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CUADRE DE CUENTAS ATMS SUC/"/>
    </mc:Choice>
  </mc:AlternateContent>
  <xr:revisionPtr revIDLastSave="116" documentId="8_{ABAC4E4C-DDA6-4B36-8242-542DAE77AF07}" xr6:coauthVersionLast="47" xr6:coauthVersionMax="47" xr10:uidLastSave="{088452EC-E755-4035-8D72-D0C651DD2313}"/>
  <bookViews>
    <workbookView xWindow="-110" yWindow="-110" windowWidth="19420" windowHeight="10300" tabRatio="587" activeTab="1" xr2:uid="{0085DD86-F8CF-4C62-BA36-17344CBF8796}"/>
  </bookViews>
  <sheets>
    <sheet name="SOBRANTE CTA 279510020" sheetId="1" r:id="rId1"/>
    <sheet name="HISTORICO 279510020" sheetId="2" r:id="rId2"/>
    <sheet name="CAJEROS" sheetId="3" r:id="rId3"/>
  </sheets>
  <definedNames>
    <definedName name="_xlnm._FilterDatabase" localSheetId="2" hidden="1">CAJEROS!$A$1:$D$998</definedName>
    <definedName name="_xlnm._FilterDatabase" localSheetId="1" hidden="1">'HISTORICO 279510020'!$A$1:$K$7109</definedName>
    <definedName name="_xlnm._FilterDatabase" localSheetId="0" hidden="1">'SOBRANTE CTA 279510020'!$A$1:$J$1223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9" i="1" l="1"/>
  <c r="H1208" i="1"/>
  <c r="H1207" i="1"/>
  <c r="H1206" i="1"/>
  <c r="H1205" i="1"/>
  <c r="H1204" i="1"/>
  <c r="H1203" i="1"/>
  <c r="H1202" i="1"/>
  <c r="H1172" i="1"/>
  <c r="J1172" i="1"/>
  <c r="H1173" i="1"/>
  <c r="J1173" i="1"/>
  <c r="H1174" i="1"/>
  <c r="J1174" i="1"/>
  <c r="H1175" i="1"/>
  <c r="J1175" i="1"/>
  <c r="H1176" i="1"/>
  <c r="J1176" i="1"/>
  <c r="H1177" i="1"/>
  <c r="J1177" i="1"/>
  <c r="H1178" i="1"/>
  <c r="J1178" i="1"/>
  <c r="H1179" i="1"/>
  <c r="J1179" i="1"/>
  <c r="H1180" i="1"/>
  <c r="J1180" i="1"/>
  <c r="H1181" i="1"/>
  <c r="J1181" i="1"/>
  <c r="H1182" i="1"/>
  <c r="J1182" i="1"/>
  <c r="H1183" i="1"/>
  <c r="J1183" i="1"/>
  <c r="H1184" i="1"/>
  <c r="J1184" i="1"/>
  <c r="H1185" i="1"/>
  <c r="J1185" i="1"/>
  <c r="H1186" i="1"/>
  <c r="J1186" i="1"/>
  <c r="H1187" i="1"/>
  <c r="J1187" i="1"/>
  <c r="H1188" i="1"/>
  <c r="J1188" i="1"/>
  <c r="H1189" i="1"/>
  <c r="J1189" i="1"/>
  <c r="H1190" i="1"/>
  <c r="J1190" i="1"/>
  <c r="H1191" i="1"/>
  <c r="J1191" i="1"/>
  <c r="H1192" i="1"/>
  <c r="J1192" i="1"/>
  <c r="H1193" i="1"/>
  <c r="J1193" i="1"/>
  <c r="H1194" i="1"/>
  <c r="J1194" i="1"/>
  <c r="H1195" i="1"/>
  <c r="J1195" i="1"/>
  <c r="H1196" i="1"/>
  <c r="J1196" i="1"/>
  <c r="H1197" i="1"/>
  <c r="J1197" i="1"/>
  <c r="H1198" i="1"/>
  <c r="J1198" i="1"/>
  <c r="H1199" i="1"/>
  <c r="J1199" i="1"/>
  <c r="H1200" i="1"/>
  <c r="J1200" i="1"/>
  <c r="H1201" i="1"/>
  <c r="J1201" i="1"/>
  <c r="J1202" i="1"/>
  <c r="J1203" i="1"/>
  <c r="J1204" i="1"/>
  <c r="J1205" i="1"/>
  <c r="J1206" i="1"/>
  <c r="J1207" i="1"/>
  <c r="J1208" i="1"/>
  <c r="J1209" i="1"/>
  <c r="H1210" i="1"/>
  <c r="J1210" i="1"/>
  <c r="H1211" i="1"/>
  <c r="J1211" i="1"/>
  <c r="H1212" i="1"/>
  <c r="J1212" i="1"/>
  <c r="H1213" i="1"/>
  <c r="J1213" i="1"/>
  <c r="H1214" i="1"/>
  <c r="J1214" i="1"/>
  <c r="H1215" i="1"/>
  <c r="J1215" i="1"/>
  <c r="H1216" i="1"/>
  <c r="J1216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D42" i="1"/>
  <c r="C880" i="1" l="1"/>
  <c r="J1169" i="1"/>
  <c r="H1169" i="1"/>
  <c r="E1169" i="1"/>
  <c r="J1168" i="1"/>
  <c r="H1168" i="1"/>
  <c r="E1168" i="1"/>
  <c r="J1167" i="1"/>
  <c r="H1167" i="1"/>
  <c r="E1167" i="1"/>
  <c r="J1166" i="1"/>
  <c r="H1166" i="1"/>
  <c r="E1166" i="1"/>
  <c r="J1165" i="1"/>
  <c r="H1165" i="1"/>
  <c r="E1165" i="1"/>
  <c r="J1164" i="1"/>
  <c r="H1164" i="1"/>
  <c r="E1164" i="1"/>
  <c r="J1163" i="1"/>
  <c r="H1163" i="1"/>
  <c r="E1163" i="1"/>
  <c r="J1162" i="1"/>
  <c r="H1162" i="1"/>
  <c r="E1162" i="1"/>
  <c r="J1161" i="1"/>
  <c r="H1161" i="1"/>
  <c r="E1161" i="1"/>
  <c r="J1160" i="1"/>
  <c r="H1160" i="1"/>
  <c r="E1160" i="1"/>
  <c r="J1159" i="1"/>
  <c r="H1159" i="1"/>
  <c r="E1159" i="1"/>
  <c r="J1158" i="1"/>
  <c r="H1158" i="1"/>
  <c r="E1158" i="1"/>
  <c r="J1157" i="1"/>
  <c r="H1157" i="1"/>
  <c r="E1157" i="1"/>
  <c r="J1156" i="1"/>
  <c r="H1156" i="1"/>
  <c r="E1156" i="1"/>
  <c r="J1155" i="1"/>
  <c r="H1155" i="1"/>
  <c r="E1155" i="1"/>
  <c r="J1154" i="1"/>
  <c r="H1154" i="1"/>
  <c r="E1154" i="1"/>
  <c r="J1153" i="1"/>
  <c r="H1153" i="1"/>
  <c r="E1153" i="1"/>
  <c r="J1152" i="1"/>
  <c r="H1152" i="1"/>
  <c r="E1152" i="1"/>
  <c r="J1151" i="1"/>
  <c r="H1151" i="1"/>
  <c r="E1151" i="1"/>
  <c r="J1150" i="1"/>
  <c r="H1150" i="1"/>
  <c r="E1150" i="1"/>
  <c r="J1149" i="1"/>
  <c r="H1149" i="1"/>
  <c r="E1149" i="1"/>
  <c r="J1148" i="1"/>
  <c r="H1148" i="1"/>
  <c r="E1148" i="1"/>
  <c r="J1147" i="1"/>
  <c r="H1147" i="1"/>
  <c r="E1147" i="1"/>
  <c r="J1146" i="1"/>
  <c r="H1146" i="1"/>
  <c r="E1146" i="1"/>
  <c r="J1145" i="1"/>
  <c r="H1145" i="1"/>
  <c r="E1145" i="1"/>
  <c r="J1144" i="1"/>
  <c r="H1144" i="1"/>
  <c r="E1144" i="1"/>
  <c r="J1143" i="1"/>
  <c r="H1143" i="1"/>
  <c r="E1143" i="1"/>
  <c r="J1142" i="1"/>
  <c r="H1142" i="1"/>
  <c r="E1142" i="1"/>
  <c r="J1141" i="1"/>
  <c r="H1141" i="1"/>
  <c r="E1141" i="1"/>
  <c r="J1140" i="1"/>
  <c r="H1140" i="1"/>
  <c r="E1140" i="1"/>
  <c r="J1139" i="1"/>
  <c r="H1139" i="1"/>
  <c r="E1139" i="1"/>
  <c r="J1138" i="1"/>
  <c r="H1138" i="1"/>
  <c r="E1138" i="1"/>
  <c r="J1137" i="1"/>
  <c r="H1137" i="1"/>
  <c r="E1137" i="1"/>
  <c r="J1136" i="1"/>
  <c r="H1136" i="1"/>
  <c r="E1136" i="1"/>
  <c r="J1135" i="1"/>
  <c r="H1135" i="1"/>
  <c r="E1135" i="1"/>
  <c r="J1134" i="1"/>
  <c r="H1134" i="1"/>
  <c r="E1134" i="1"/>
  <c r="J1133" i="1"/>
  <c r="H1133" i="1"/>
  <c r="E1133" i="1"/>
  <c r="J1132" i="1"/>
  <c r="H1132" i="1"/>
  <c r="E1132" i="1"/>
  <c r="J1131" i="1"/>
  <c r="H1131" i="1"/>
  <c r="E1131" i="1"/>
  <c r="J1130" i="1"/>
  <c r="H1130" i="1"/>
  <c r="E1130" i="1"/>
  <c r="J1129" i="1"/>
  <c r="H1129" i="1"/>
  <c r="E1129" i="1"/>
  <c r="J1128" i="1"/>
  <c r="H1128" i="1"/>
  <c r="E1128" i="1"/>
  <c r="J1127" i="1"/>
  <c r="H1127" i="1"/>
  <c r="E1127" i="1"/>
  <c r="J1126" i="1"/>
  <c r="H1126" i="1"/>
  <c r="E1126" i="1"/>
  <c r="J1125" i="1"/>
  <c r="H1125" i="1"/>
  <c r="E1125" i="1"/>
  <c r="J1124" i="1"/>
  <c r="H1124" i="1"/>
  <c r="E1124" i="1"/>
  <c r="J1123" i="1"/>
  <c r="H1123" i="1"/>
  <c r="E1123" i="1"/>
  <c r="J1122" i="1"/>
  <c r="H1122" i="1"/>
  <c r="E1122" i="1"/>
  <c r="J1121" i="1"/>
  <c r="H1121" i="1"/>
  <c r="E1121" i="1"/>
  <c r="J1120" i="1"/>
  <c r="H1120" i="1"/>
  <c r="E1120" i="1"/>
  <c r="J1119" i="1"/>
  <c r="H1119" i="1"/>
  <c r="E1119" i="1"/>
  <c r="J1118" i="1"/>
  <c r="H1118" i="1"/>
  <c r="E1118" i="1"/>
  <c r="J1117" i="1"/>
  <c r="H1117" i="1"/>
  <c r="E1117" i="1"/>
  <c r="J1116" i="1"/>
  <c r="H1116" i="1"/>
  <c r="E1116" i="1"/>
  <c r="J1115" i="1"/>
  <c r="H1115" i="1"/>
  <c r="E1115" i="1"/>
  <c r="J1114" i="1"/>
  <c r="H1114" i="1"/>
  <c r="E1114" i="1"/>
  <c r="J1113" i="1"/>
  <c r="H1113" i="1"/>
  <c r="E1113" i="1"/>
  <c r="J1112" i="1"/>
  <c r="H1112" i="1"/>
  <c r="E1112" i="1"/>
  <c r="J1111" i="1"/>
  <c r="H1111" i="1"/>
  <c r="E1111" i="1"/>
  <c r="J1110" i="1"/>
  <c r="H1110" i="1"/>
  <c r="E1110" i="1"/>
  <c r="J1109" i="1"/>
  <c r="H1109" i="1"/>
  <c r="E1109" i="1"/>
  <c r="J1108" i="1"/>
  <c r="H1108" i="1"/>
  <c r="E1108" i="1"/>
  <c r="J1107" i="1"/>
  <c r="H1107" i="1"/>
  <c r="E1107" i="1"/>
  <c r="J1106" i="1"/>
  <c r="H1106" i="1"/>
  <c r="E1106" i="1"/>
  <c r="J1105" i="1"/>
  <c r="H1105" i="1"/>
  <c r="E1105" i="1"/>
  <c r="J1104" i="1"/>
  <c r="H1104" i="1"/>
  <c r="E1104" i="1"/>
  <c r="J1103" i="1"/>
  <c r="H1103" i="1"/>
  <c r="E1103" i="1"/>
  <c r="J1102" i="1"/>
  <c r="H1102" i="1"/>
  <c r="E1102" i="1"/>
  <c r="J1101" i="1"/>
  <c r="H1101" i="1"/>
  <c r="E1101" i="1"/>
  <c r="J1100" i="1"/>
  <c r="H1100" i="1"/>
  <c r="E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97" i="1"/>
  <c r="J1098" i="1"/>
  <c r="J109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97" i="1"/>
  <c r="E1098" i="1"/>
  <c r="E1099" i="1"/>
  <c r="D17" i="1"/>
  <c r="J1059" i="1"/>
  <c r="H1059" i="1"/>
  <c r="E1059" i="1"/>
  <c r="J1058" i="1"/>
  <c r="H1058" i="1"/>
  <c r="E1058" i="1"/>
  <c r="J1057" i="1"/>
  <c r="H1057" i="1"/>
  <c r="E1057" i="1"/>
  <c r="J1056" i="1"/>
  <c r="H1056" i="1"/>
  <c r="E1056" i="1"/>
  <c r="J1055" i="1"/>
  <c r="H1055" i="1"/>
  <c r="E1055" i="1"/>
  <c r="J1054" i="1"/>
  <c r="H1054" i="1"/>
  <c r="E1054" i="1"/>
  <c r="J1053" i="1"/>
  <c r="H1053" i="1"/>
  <c r="E1053" i="1"/>
  <c r="J1052" i="1"/>
  <c r="H1052" i="1"/>
  <c r="E1052" i="1"/>
  <c r="J1051" i="1"/>
  <c r="H1051" i="1"/>
  <c r="E1051" i="1"/>
  <c r="J1050" i="1"/>
  <c r="H1050" i="1"/>
  <c r="E1050" i="1"/>
  <c r="J1049" i="1"/>
  <c r="H1049" i="1"/>
  <c r="E1049" i="1"/>
  <c r="J1048" i="1"/>
  <c r="H1048" i="1"/>
  <c r="E1048" i="1"/>
  <c r="J1047" i="1"/>
  <c r="H1047" i="1"/>
  <c r="E1047" i="1"/>
  <c r="J1046" i="1"/>
  <c r="H1046" i="1"/>
  <c r="E1046" i="1"/>
  <c r="J1045" i="1"/>
  <c r="H1045" i="1"/>
  <c r="E1045" i="1"/>
  <c r="J1044" i="1"/>
  <c r="H1044" i="1"/>
  <c r="E1044" i="1"/>
  <c r="J1043" i="1"/>
  <c r="H1043" i="1"/>
  <c r="E1043" i="1"/>
  <c r="J1042" i="1"/>
  <c r="H1042" i="1"/>
  <c r="E1042" i="1"/>
  <c r="J1041" i="1"/>
  <c r="H1041" i="1"/>
  <c r="E1041" i="1"/>
  <c r="J1040" i="1"/>
  <c r="H1040" i="1"/>
  <c r="E1040" i="1"/>
  <c r="J1039" i="1"/>
  <c r="H1039" i="1"/>
  <c r="E1039" i="1"/>
  <c r="D438" i="1"/>
  <c r="D86" i="1" l="1"/>
  <c r="J942" i="1"/>
  <c r="H942" i="1"/>
  <c r="E942" i="1"/>
  <c r="J941" i="1"/>
  <c r="H941" i="1"/>
  <c r="E941" i="1"/>
  <c r="J940" i="1"/>
  <c r="H940" i="1"/>
  <c r="E940" i="1"/>
  <c r="J939" i="1"/>
  <c r="H939" i="1"/>
  <c r="E939" i="1"/>
  <c r="J938" i="1"/>
  <c r="H938" i="1"/>
  <c r="E938" i="1"/>
  <c r="D332" i="1"/>
  <c r="D227" i="1"/>
  <c r="D49" i="1"/>
  <c r="J1038" i="1"/>
  <c r="H1038" i="1"/>
  <c r="E1038" i="1"/>
  <c r="J1037" i="1"/>
  <c r="H1037" i="1"/>
  <c r="E1037" i="1"/>
  <c r="J1036" i="1"/>
  <c r="H1036" i="1"/>
  <c r="E1036" i="1"/>
  <c r="J1035" i="1"/>
  <c r="H1035" i="1"/>
  <c r="E1035" i="1"/>
  <c r="J1034" i="1"/>
  <c r="H1034" i="1"/>
  <c r="E1034" i="1"/>
  <c r="J1033" i="1"/>
  <c r="H1033" i="1"/>
  <c r="E1033" i="1"/>
  <c r="J1032" i="1"/>
  <c r="H1032" i="1"/>
  <c r="E1032" i="1"/>
  <c r="J1031" i="1"/>
  <c r="H1031" i="1"/>
  <c r="E1031" i="1"/>
  <c r="J1030" i="1"/>
  <c r="H1030" i="1"/>
  <c r="E1030" i="1"/>
  <c r="J1029" i="1"/>
  <c r="H1029" i="1"/>
  <c r="E1029" i="1"/>
  <c r="J1028" i="1"/>
  <c r="H1028" i="1"/>
  <c r="E1028" i="1"/>
  <c r="J1027" i="1"/>
  <c r="H1027" i="1"/>
  <c r="E1027" i="1"/>
  <c r="J1026" i="1"/>
  <c r="H1026" i="1"/>
  <c r="E1026" i="1"/>
  <c r="J1025" i="1"/>
  <c r="H1025" i="1"/>
  <c r="E1025" i="1"/>
  <c r="J1024" i="1"/>
  <c r="H1024" i="1"/>
  <c r="E1024" i="1"/>
  <c r="J1023" i="1"/>
  <c r="H1023" i="1"/>
  <c r="E1023" i="1"/>
  <c r="J1022" i="1"/>
  <c r="H1022" i="1"/>
  <c r="E1022" i="1"/>
  <c r="J1021" i="1"/>
  <c r="H1021" i="1"/>
  <c r="E1021" i="1"/>
  <c r="J1020" i="1"/>
  <c r="H1020" i="1"/>
  <c r="E1020" i="1"/>
  <c r="J1019" i="1"/>
  <c r="H1019" i="1"/>
  <c r="E1019" i="1"/>
  <c r="J1018" i="1"/>
  <c r="H1018" i="1"/>
  <c r="E1018" i="1"/>
  <c r="J1017" i="1"/>
  <c r="H1017" i="1"/>
  <c r="E1017" i="1"/>
  <c r="J1016" i="1"/>
  <c r="H1016" i="1"/>
  <c r="E1016" i="1"/>
  <c r="J1015" i="1"/>
  <c r="H1015" i="1"/>
  <c r="E1015" i="1"/>
  <c r="J1014" i="1"/>
  <c r="H1014" i="1"/>
  <c r="E1014" i="1"/>
  <c r="J1013" i="1"/>
  <c r="H1013" i="1"/>
  <c r="E1013" i="1"/>
  <c r="J1012" i="1"/>
  <c r="H1012" i="1"/>
  <c r="E1012" i="1"/>
  <c r="J1011" i="1"/>
  <c r="H1011" i="1"/>
  <c r="E1011" i="1"/>
  <c r="J1010" i="1"/>
  <c r="H1010" i="1"/>
  <c r="E1010" i="1"/>
  <c r="J1009" i="1"/>
  <c r="H1009" i="1"/>
  <c r="E1009" i="1"/>
  <c r="J1008" i="1"/>
  <c r="H1008" i="1"/>
  <c r="E1008" i="1"/>
  <c r="J1007" i="1"/>
  <c r="H1007" i="1"/>
  <c r="E1007" i="1"/>
  <c r="J1006" i="1"/>
  <c r="H1006" i="1"/>
  <c r="E1006" i="1"/>
  <c r="J1005" i="1"/>
  <c r="H1005" i="1"/>
  <c r="E1005" i="1"/>
  <c r="J1004" i="1"/>
  <c r="H1004" i="1"/>
  <c r="E1004" i="1"/>
  <c r="J1003" i="1"/>
  <c r="H1003" i="1"/>
  <c r="E1003" i="1"/>
  <c r="J1002" i="1"/>
  <c r="H1002" i="1"/>
  <c r="E1002" i="1"/>
  <c r="J1001" i="1"/>
  <c r="H1001" i="1"/>
  <c r="E1001" i="1"/>
  <c r="J1000" i="1"/>
  <c r="H1000" i="1"/>
  <c r="E1000" i="1"/>
  <c r="J999" i="1"/>
  <c r="H999" i="1"/>
  <c r="E999" i="1"/>
  <c r="J998" i="1"/>
  <c r="H998" i="1"/>
  <c r="E998" i="1"/>
  <c r="J997" i="1"/>
  <c r="H997" i="1"/>
  <c r="E997" i="1"/>
  <c r="J996" i="1"/>
  <c r="H996" i="1"/>
  <c r="E996" i="1"/>
  <c r="J995" i="1"/>
  <c r="H995" i="1"/>
  <c r="E995" i="1"/>
  <c r="J994" i="1"/>
  <c r="H994" i="1"/>
  <c r="E994" i="1"/>
  <c r="J993" i="1"/>
  <c r="H993" i="1"/>
  <c r="E993" i="1"/>
  <c r="J992" i="1"/>
  <c r="H992" i="1"/>
  <c r="E992" i="1"/>
  <c r="J991" i="1"/>
  <c r="H991" i="1"/>
  <c r="E991" i="1"/>
  <c r="J990" i="1"/>
  <c r="H990" i="1"/>
  <c r="E990" i="1"/>
  <c r="J989" i="1"/>
  <c r="H989" i="1"/>
  <c r="E989" i="1"/>
  <c r="J988" i="1"/>
  <c r="H988" i="1"/>
  <c r="E988" i="1"/>
  <c r="J987" i="1"/>
  <c r="H987" i="1"/>
  <c r="E987" i="1"/>
  <c r="J986" i="1"/>
  <c r="H986" i="1"/>
  <c r="E986" i="1"/>
  <c r="J985" i="1"/>
  <c r="H985" i="1"/>
  <c r="E985" i="1"/>
  <c r="J984" i="1"/>
  <c r="H984" i="1"/>
  <c r="E984" i="1"/>
  <c r="J983" i="1"/>
  <c r="H983" i="1"/>
  <c r="E983" i="1"/>
  <c r="J982" i="1"/>
  <c r="H982" i="1"/>
  <c r="E982" i="1"/>
  <c r="J981" i="1"/>
  <c r="H981" i="1"/>
  <c r="E981" i="1"/>
  <c r="J980" i="1"/>
  <c r="H980" i="1"/>
  <c r="E980" i="1"/>
  <c r="J979" i="1"/>
  <c r="H979" i="1"/>
  <c r="E979" i="1"/>
  <c r="D123" i="1"/>
  <c r="D276" i="1"/>
  <c r="H1170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1170" i="1"/>
  <c r="H1171" i="1"/>
  <c r="J1171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1170" i="1"/>
  <c r="E1171" i="1"/>
  <c r="J945" i="1"/>
  <c r="J946" i="1"/>
  <c r="H945" i="1"/>
  <c r="H946" i="1"/>
  <c r="E945" i="1"/>
  <c r="E946" i="1"/>
  <c r="J944" i="1"/>
  <c r="H944" i="1"/>
  <c r="E944" i="1"/>
  <c r="J937" i="1" l="1"/>
  <c r="H937" i="1"/>
  <c r="E937" i="1"/>
  <c r="J936" i="1"/>
  <c r="H936" i="1"/>
  <c r="E936" i="1"/>
  <c r="J935" i="1"/>
  <c r="H935" i="1"/>
  <c r="E935" i="1"/>
  <c r="J934" i="1"/>
  <c r="H934" i="1"/>
  <c r="E934" i="1"/>
  <c r="J933" i="1"/>
  <c r="H933" i="1"/>
  <c r="E933" i="1"/>
  <c r="J932" i="1"/>
  <c r="H932" i="1"/>
  <c r="E932" i="1"/>
  <c r="J931" i="1"/>
  <c r="H931" i="1"/>
  <c r="E931" i="1"/>
  <c r="J930" i="1"/>
  <c r="H930" i="1"/>
  <c r="E930" i="1"/>
  <c r="J929" i="1"/>
  <c r="H929" i="1"/>
  <c r="E929" i="1"/>
  <c r="J928" i="1"/>
  <c r="H928" i="1"/>
  <c r="E928" i="1"/>
  <c r="J927" i="1"/>
  <c r="H927" i="1"/>
  <c r="E927" i="1"/>
  <c r="J926" i="1"/>
  <c r="H926" i="1"/>
  <c r="E926" i="1"/>
  <c r="J925" i="1"/>
  <c r="H925" i="1"/>
  <c r="E925" i="1"/>
  <c r="J924" i="1"/>
  <c r="H924" i="1"/>
  <c r="E924" i="1"/>
  <c r="J923" i="1"/>
  <c r="H923" i="1"/>
  <c r="E923" i="1"/>
  <c r="J922" i="1"/>
  <c r="H922" i="1"/>
  <c r="E922" i="1"/>
  <c r="J921" i="1"/>
  <c r="H921" i="1"/>
  <c r="E921" i="1"/>
  <c r="J920" i="1"/>
  <c r="H920" i="1"/>
  <c r="E920" i="1"/>
  <c r="J919" i="1"/>
  <c r="H919" i="1"/>
  <c r="E919" i="1"/>
  <c r="J918" i="1"/>
  <c r="H918" i="1"/>
  <c r="E918" i="1"/>
  <c r="J917" i="1"/>
  <c r="H917" i="1"/>
  <c r="E917" i="1"/>
  <c r="J916" i="1"/>
  <c r="H916" i="1"/>
  <c r="E916" i="1"/>
  <c r="J915" i="1"/>
  <c r="H915" i="1"/>
  <c r="E915" i="1"/>
  <c r="J914" i="1"/>
  <c r="H914" i="1"/>
  <c r="E914" i="1"/>
  <c r="J913" i="1"/>
  <c r="H913" i="1"/>
  <c r="E913" i="1"/>
  <c r="J912" i="1"/>
  <c r="H912" i="1"/>
  <c r="E912" i="1"/>
  <c r="J911" i="1"/>
  <c r="H911" i="1"/>
  <c r="E911" i="1"/>
  <c r="J910" i="1"/>
  <c r="H910" i="1"/>
  <c r="E910" i="1"/>
  <c r="J909" i="1"/>
  <c r="H909" i="1"/>
  <c r="E909" i="1"/>
  <c r="J908" i="1"/>
  <c r="H908" i="1"/>
  <c r="E908" i="1"/>
  <c r="J907" i="1"/>
  <c r="H907" i="1"/>
  <c r="E907" i="1"/>
  <c r="J906" i="1"/>
  <c r="H906" i="1"/>
  <c r="E906" i="1"/>
  <c r="J905" i="1"/>
  <c r="H905" i="1"/>
  <c r="E905" i="1"/>
  <c r="J904" i="1"/>
  <c r="H904" i="1"/>
  <c r="E904" i="1"/>
  <c r="J903" i="1"/>
  <c r="H903" i="1"/>
  <c r="E903" i="1"/>
  <c r="J902" i="1"/>
  <c r="H902" i="1"/>
  <c r="E902" i="1"/>
  <c r="J901" i="1"/>
  <c r="H901" i="1"/>
  <c r="E901" i="1"/>
  <c r="J900" i="1"/>
  <c r="H900" i="1"/>
  <c r="E900" i="1"/>
  <c r="J899" i="1"/>
  <c r="H899" i="1"/>
  <c r="E899" i="1"/>
  <c r="J898" i="1"/>
  <c r="H898" i="1"/>
  <c r="E898" i="1"/>
  <c r="J897" i="1"/>
  <c r="H897" i="1"/>
  <c r="E897" i="1"/>
  <c r="J896" i="1"/>
  <c r="H896" i="1"/>
  <c r="E896" i="1"/>
  <c r="D296" i="1" l="1"/>
  <c r="D139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H847" i="1"/>
  <c r="J847" i="1"/>
  <c r="H848" i="1"/>
  <c r="J848" i="1"/>
  <c r="E847" i="1"/>
  <c r="E848" i="1"/>
  <c r="H842" i="1" l="1"/>
  <c r="J842" i="1"/>
  <c r="H843" i="1"/>
  <c r="J843" i="1"/>
  <c r="H844" i="1"/>
  <c r="J844" i="1"/>
  <c r="H845" i="1"/>
  <c r="J845" i="1"/>
  <c r="E842" i="1"/>
  <c r="E843" i="1"/>
  <c r="E844" i="1"/>
  <c r="E845" i="1"/>
  <c r="J846" i="1"/>
  <c r="J943" i="1"/>
  <c r="J1217" i="1"/>
  <c r="H846" i="1"/>
  <c r="H943" i="1"/>
  <c r="H1217" i="1"/>
  <c r="E846" i="1"/>
  <c r="E943" i="1"/>
  <c r="E1217" i="1"/>
  <c r="J837" i="1"/>
  <c r="J838" i="1"/>
  <c r="J839" i="1"/>
  <c r="J840" i="1"/>
  <c r="H837" i="1"/>
  <c r="H838" i="1"/>
  <c r="H839" i="1"/>
  <c r="H840" i="1"/>
  <c r="E837" i="1"/>
  <c r="E838" i="1"/>
  <c r="E839" i="1"/>
  <c r="E840" i="1"/>
  <c r="J833" i="1"/>
  <c r="H833" i="1"/>
  <c r="E833" i="1"/>
  <c r="J832" i="1" l="1"/>
  <c r="H832" i="1"/>
  <c r="E832" i="1"/>
  <c r="J831" i="1"/>
  <c r="H831" i="1"/>
  <c r="E831" i="1"/>
  <c r="J830" i="1"/>
  <c r="H830" i="1"/>
  <c r="E830" i="1"/>
  <c r="J829" i="1"/>
  <c r="H829" i="1"/>
  <c r="E829" i="1"/>
  <c r="J828" i="1"/>
  <c r="H828" i="1"/>
  <c r="E828" i="1"/>
  <c r="J827" i="1"/>
  <c r="H827" i="1"/>
  <c r="E827" i="1"/>
  <c r="J826" i="1"/>
  <c r="H826" i="1"/>
  <c r="E826" i="1"/>
  <c r="D233" i="1"/>
  <c r="J825" i="1" l="1"/>
  <c r="H825" i="1"/>
  <c r="E825" i="1"/>
  <c r="J824" i="1"/>
  <c r="H824" i="1"/>
  <c r="E824" i="1"/>
  <c r="J823" i="1"/>
  <c r="H823" i="1"/>
  <c r="E823" i="1"/>
  <c r="J822" i="1"/>
  <c r="H822" i="1"/>
  <c r="E822" i="1"/>
  <c r="J821" i="1"/>
  <c r="H821" i="1"/>
  <c r="E821" i="1"/>
  <c r="J820" i="1"/>
  <c r="H820" i="1"/>
  <c r="E820" i="1"/>
  <c r="J819" i="1"/>
  <c r="H819" i="1"/>
  <c r="E819" i="1"/>
  <c r="J818" i="1"/>
  <c r="H818" i="1"/>
  <c r="E818" i="1"/>
  <c r="J817" i="1"/>
  <c r="H817" i="1"/>
  <c r="E817" i="1"/>
  <c r="J816" i="1"/>
  <c r="H816" i="1"/>
  <c r="E816" i="1"/>
  <c r="J815" i="1"/>
  <c r="H815" i="1"/>
  <c r="E815" i="1"/>
  <c r="J814" i="1"/>
  <c r="H814" i="1"/>
  <c r="E814" i="1"/>
  <c r="J813" i="1"/>
  <c r="H813" i="1"/>
  <c r="E813" i="1"/>
  <c r="J812" i="1"/>
  <c r="H812" i="1"/>
  <c r="E812" i="1"/>
  <c r="J811" i="1"/>
  <c r="H811" i="1"/>
  <c r="E811" i="1"/>
  <c r="J810" i="1"/>
  <c r="H810" i="1"/>
  <c r="E810" i="1"/>
  <c r="J809" i="1"/>
  <c r="H809" i="1"/>
  <c r="E809" i="1"/>
  <c r="J808" i="1"/>
  <c r="H808" i="1"/>
  <c r="E808" i="1"/>
  <c r="J807" i="1"/>
  <c r="H807" i="1"/>
  <c r="E807" i="1"/>
  <c r="J806" i="1"/>
  <c r="H806" i="1"/>
  <c r="E806" i="1"/>
  <c r="J805" i="1"/>
  <c r="H805" i="1"/>
  <c r="E805" i="1"/>
  <c r="J804" i="1"/>
  <c r="H804" i="1"/>
  <c r="E804" i="1"/>
  <c r="J803" i="1"/>
  <c r="H803" i="1"/>
  <c r="E803" i="1"/>
  <c r="J802" i="1"/>
  <c r="H802" i="1"/>
  <c r="E802" i="1"/>
  <c r="J801" i="1"/>
  <c r="H801" i="1"/>
  <c r="E801" i="1"/>
  <c r="J800" i="1"/>
  <c r="H800" i="1"/>
  <c r="E800" i="1"/>
  <c r="J799" i="1"/>
  <c r="H799" i="1"/>
  <c r="E799" i="1"/>
  <c r="J798" i="1"/>
  <c r="H798" i="1"/>
  <c r="E798" i="1"/>
  <c r="J797" i="1"/>
  <c r="H797" i="1"/>
  <c r="E797" i="1"/>
  <c r="J796" i="1"/>
  <c r="H796" i="1"/>
  <c r="E796" i="1"/>
  <c r="J795" i="1"/>
  <c r="H795" i="1"/>
  <c r="E795" i="1"/>
  <c r="J794" i="1"/>
  <c r="H794" i="1"/>
  <c r="E794" i="1"/>
  <c r="J793" i="1"/>
  <c r="H793" i="1"/>
  <c r="E793" i="1"/>
  <c r="J792" i="1"/>
  <c r="H792" i="1"/>
  <c r="E792" i="1"/>
  <c r="J791" i="1"/>
  <c r="H791" i="1"/>
  <c r="E791" i="1"/>
  <c r="J790" i="1"/>
  <c r="H790" i="1"/>
  <c r="E790" i="1"/>
  <c r="J789" i="1"/>
  <c r="H789" i="1"/>
  <c r="E789" i="1"/>
  <c r="J788" i="1"/>
  <c r="H788" i="1"/>
  <c r="E788" i="1"/>
  <c r="J787" i="1"/>
  <c r="H787" i="1"/>
  <c r="E787" i="1"/>
  <c r="J786" i="1"/>
  <c r="H786" i="1"/>
  <c r="E786" i="1"/>
  <c r="J785" i="1"/>
  <c r="H785" i="1"/>
  <c r="E785" i="1"/>
  <c r="J784" i="1"/>
  <c r="H784" i="1"/>
  <c r="E784" i="1"/>
  <c r="J783" i="1"/>
  <c r="H783" i="1"/>
  <c r="E783" i="1"/>
  <c r="J782" i="1"/>
  <c r="H782" i="1"/>
  <c r="E782" i="1"/>
  <c r="J781" i="1"/>
  <c r="H781" i="1"/>
  <c r="E781" i="1"/>
  <c r="J780" i="1"/>
  <c r="H780" i="1"/>
  <c r="E780" i="1"/>
  <c r="J779" i="1"/>
  <c r="H779" i="1"/>
  <c r="E779" i="1"/>
  <c r="J778" i="1"/>
  <c r="H778" i="1"/>
  <c r="E778" i="1"/>
  <c r="J777" i="1"/>
  <c r="H777" i="1"/>
  <c r="E777" i="1"/>
  <c r="J776" i="1"/>
  <c r="H776" i="1"/>
  <c r="E776" i="1"/>
  <c r="J775" i="1"/>
  <c r="H775" i="1"/>
  <c r="E775" i="1"/>
  <c r="J774" i="1"/>
  <c r="H774" i="1"/>
  <c r="E774" i="1"/>
  <c r="J773" i="1"/>
  <c r="H773" i="1"/>
  <c r="E773" i="1"/>
  <c r="J772" i="1"/>
  <c r="H772" i="1"/>
  <c r="E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69" i="1"/>
  <c r="J770" i="1"/>
  <c r="J77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69" i="1"/>
  <c r="E770" i="1"/>
  <c r="E771" i="1"/>
  <c r="J721" i="1" l="1"/>
  <c r="H721" i="1"/>
  <c r="E721" i="1"/>
  <c r="J720" i="1"/>
  <c r="H720" i="1"/>
  <c r="E720" i="1"/>
  <c r="J719" i="1"/>
  <c r="H719" i="1"/>
  <c r="E719" i="1"/>
  <c r="D506" i="1"/>
  <c r="E506" i="1" s="1"/>
  <c r="J718" i="1"/>
  <c r="H718" i="1"/>
  <c r="E718" i="1"/>
  <c r="J717" i="1"/>
  <c r="H717" i="1"/>
  <c r="E717" i="1"/>
  <c r="J716" i="1"/>
  <c r="H716" i="1"/>
  <c r="E716" i="1"/>
  <c r="J715" i="1"/>
  <c r="H715" i="1"/>
  <c r="E715" i="1"/>
  <c r="J714" i="1"/>
  <c r="H714" i="1"/>
  <c r="E714" i="1"/>
  <c r="J713" i="1"/>
  <c r="H713" i="1"/>
  <c r="E713" i="1"/>
  <c r="J712" i="1"/>
  <c r="H712" i="1"/>
  <c r="E712" i="1"/>
  <c r="J711" i="1"/>
  <c r="H711" i="1"/>
  <c r="E711" i="1"/>
  <c r="J710" i="1"/>
  <c r="H710" i="1"/>
  <c r="E710" i="1"/>
  <c r="J709" i="1"/>
  <c r="H709" i="1"/>
  <c r="E709" i="1"/>
  <c r="J708" i="1"/>
  <c r="H708" i="1"/>
  <c r="E708" i="1"/>
  <c r="J707" i="1"/>
  <c r="H707" i="1"/>
  <c r="E707" i="1"/>
  <c r="J706" i="1"/>
  <c r="H706" i="1"/>
  <c r="E706" i="1"/>
  <c r="J705" i="1"/>
  <c r="H705" i="1"/>
  <c r="E705" i="1"/>
  <c r="J704" i="1"/>
  <c r="H704" i="1"/>
  <c r="E704" i="1"/>
  <c r="J703" i="1"/>
  <c r="H703" i="1"/>
  <c r="E703" i="1"/>
  <c r="J702" i="1"/>
  <c r="H702" i="1"/>
  <c r="E702" i="1"/>
  <c r="J701" i="1"/>
  <c r="H701" i="1"/>
  <c r="E701" i="1"/>
  <c r="J700" i="1"/>
  <c r="H700" i="1"/>
  <c r="E700" i="1"/>
  <c r="J699" i="1"/>
  <c r="H699" i="1"/>
  <c r="E699" i="1"/>
  <c r="J698" i="1"/>
  <c r="H698" i="1"/>
  <c r="E698" i="1"/>
  <c r="J697" i="1"/>
  <c r="H697" i="1"/>
  <c r="E697" i="1"/>
  <c r="J696" i="1"/>
  <c r="H696" i="1"/>
  <c r="E696" i="1"/>
  <c r="J695" i="1"/>
  <c r="H695" i="1"/>
  <c r="E695" i="1"/>
  <c r="J694" i="1"/>
  <c r="H694" i="1"/>
  <c r="E694" i="1"/>
  <c r="J693" i="1"/>
  <c r="H693" i="1"/>
  <c r="E693" i="1"/>
  <c r="J692" i="1"/>
  <c r="H692" i="1"/>
  <c r="E692" i="1"/>
  <c r="J691" i="1"/>
  <c r="H691" i="1"/>
  <c r="E691" i="1"/>
  <c r="J690" i="1"/>
  <c r="H690" i="1"/>
  <c r="E690" i="1"/>
  <c r="J689" i="1"/>
  <c r="H689" i="1"/>
  <c r="E689" i="1"/>
  <c r="J688" i="1"/>
  <c r="H688" i="1"/>
  <c r="E688" i="1"/>
  <c r="J687" i="1"/>
  <c r="H687" i="1"/>
  <c r="E687" i="1"/>
  <c r="J686" i="1"/>
  <c r="H686" i="1"/>
  <c r="E686" i="1"/>
  <c r="J685" i="1"/>
  <c r="H685" i="1"/>
  <c r="E685" i="1"/>
  <c r="J684" i="1"/>
  <c r="H684" i="1"/>
  <c r="E684" i="1"/>
  <c r="J683" i="1"/>
  <c r="H683" i="1"/>
  <c r="E683" i="1"/>
  <c r="J682" i="1"/>
  <c r="H682" i="1"/>
  <c r="E682" i="1"/>
  <c r="J681" i="1"/>
  <c r="H681" i="1"/>
  <c r="E681" i="1"/>
  <c r="J680" i="1"/>
  <c r="H680" i="1"/>
  <c r="E680" i="1"/>
  <c r="J679" i="1"/>
  <c r="H679" i="1"/>
  <c r="E679" i="1"/>
  <c r="J678" i="1"/>
  <c r="H678" i="1"/>
  <c r="E678" i="1"/>
  <c r="J677" i="1"/>
  <c r="H677" i="1"/>
  <c r="E677" i="1"/>
  <c r="J676" i="1"/>
  <c r="H676" i="1"/>
  <c r="E676" i="1"/>
  <c r="J675" i="1"/>
  <c r="H675" i="1"/>
  <c r="E675" i="1"/>
  <c r="J674" i="1"/>
  <c r="H674" i="1"/>
  <c r="E674" i="1"/>
  <c r="J673" i="1"/>
  <c r="H673" i="1"/>
  <c r="E673" i="1"/>
  <c r="J672" i="1"/>
  <c r="H672" i="1"/>
  <c r="E672" i="1"/>
  <c r="J671" i="1"/>
  <c r="H671" i="1"/>
  <c r="E671" i="1"/>
  <c r="J670" i="1"/>
  <c r="H670" i="1"/>
  <c r="E670" i="1"/>
  <c r="J669" i="1"/>
  <c r="H669" i="1"/>
  <c r="E669" i="1"/>
  <c r="J668" i="1"/>
  <c r="H668" i="1"/>
  <c r="E668" i="1"/>
  <c r="J667" i="1"/>
  <c r="H667" i="1"/>
  <c r="E667" i="1"/>
  <c r="J666" i="1"/>
  <c r="H666" i="1"/>
  <c r="E666" i="1"/>
  <c r="J665" i="1"/>
  <c r="H665" i="1"/>
  <c r="E665" i="1"/>
  <c r="J664" i="1"/>
  <c r="H664" i="1"/>
  <c r="E664" i="1"/>
  <c r="J663" i="1"/>
  <c r="H663" i="1"/>
  <c r="E663" i="1"/>
  <c r="J662" i="1"/>
  <c r="H662" i="1"/>
  <c r="E662" i="1"/>
  <c r="J661" i="1"/>
  <c r="H661" i="1"/>
  <c r="E661" i="1"/>
  <c r="J660" i="1"/>
  <c r="H660" i="1"/>
  <c r="E660" i="1"/>
  <c r="J659" i="1"/>
  <c r="H659" i="1"/>
  <c r="E659" i="1"/>
  <c r="J658" i="1"/>
  <c r="H658" i="1"/>
  <c r="E658" i="1"/>
  <c r="J657" i="1"/>
  <c r="H657" i="1"/>
  <c r="E657" i="1"/>
  <c r="J656" i="1"/>
  <c r="H656" i="1"/>
  <c r="E656" i="1"/>
  <c r="J655" i="1"/>
  <c r="H655" i="1"/>
  <c r="E655" i="1"/>
  <c r="J654" i="1"/>
  <c r="H654" i="1"/>
  <c r="E654" i="1"/>
  <c r="J653" i="1"/>
  <c r="H653" i="1"/>
  <c r="E653" i="1"/>
  <c r="J652" i="1"/>
  <c r="H652" i="1"/>
  <c r="E652" i="1"/>
  <c r="J651" i="1"/>
  <c r="H651" i="1"/>
  <c r="E651" i="1"/>
  <c r="J650" i="1"/>
  <c r="H650" i="1"/>
  <c r="E650" i="1"/>
  <c r="J649" i="1"/>
  <c r="H649" i="1"/>
  <c r="E649" i="1"/>
  <c r="J648" i="1"/>
  <c r="H648" i="1"/>
  <c r="E648" i="1"/>
  <c r="J647" i="1"/>
  <c r="H647" i="1"/>
  <c r="E647" i="1"/>
  <c r="J646" i="1"/>
  <c r="H646" i="1"/>
  <c r="E646" i="1"/>
  <c r="J645" i="1"/>
  <c r="H645" i="1"/>
  <c r="E645" i="1"/>
  <c r="J644" i="1"/>
  <c r="H644" i="1"/>
  <c r="E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43" i="1"/>
  <c r="J834" i="1"/>
  <c r="J835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834" i="1"/>
  <c r="H835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43" i="1"/>
  <c r="E834" i="1"/>
  <c r="E835" i="1"/>
  <c r="J610" i="1"/>
  <c r="J611" i="1"/>
  <c r="J612" i="1"/>
  <c r="H612" i="1"/>
  <c r="H611" i="1"/>
  <c r="H610" i="1"/>
  <c r="E612" i="1"/>
  <c r="E611" i="1"/>
  <c r="E610" i="1"/>
  <c r="J609" i="1"/>
  <c r="H609" i="1"/>
  <c r="E609" i="1"/>
  <c r="J608" i="1"/>
  <c r="H608" i="1"/>
  <c r="E608" i="1"/>
  <c r="J607" i="1"/>
  <c r="H607" i="1"/>
  <c r="E607" i="1"/>
  <c r="J606" i="1"/>
  <c r="H606" i="1"/>
  <c r="E606" i="1"/>
  <c r="J605" i="1"/>
  <c r="H605" i="1"/>
  <c r="E605" i="1"/>
  <c r="J604" i="1"/>
  <c r="H604" i="1"/>
  <c r="E604" i="1"/>
  <c r="J603" i="1"/>
  <c r="H603" i="1"/>
  <c r="E603" i="1"/>
  <c r="J602" i="1"/>
  <c r="H602" i="1"/>
  <c r="E602" i="1"/>
  <c r="J601" i="1"/>
  <c r="H601" i="1"/>
  <c r="E601" i="1"/>
  <c r="J600" i="1"/>
  <c r="H600" i="1"/>
  <c r="E600" i="1"/>
  <c r="J599" i="1"/>
  <c r="H599" i="1"/>
  <c r="E599" i="1"/>
  <c r="J598" i="1"/>
  <c r="H598" i="1"/>
  <c r="E598" i="1"/>
  <c r="J597" i="1"/>
  <c r="H597" i="1"/>
  <c r="E597" i="1"/>
  <c r="J596" i="1"/>
  <c r="H596" i="1"/>
  <c r="E596" i="1"/>
  <c r="J595" i="1"/>
  <c r="H595" i="1"/>
  <c r="E595" i="1"/>
  <c r="J594" i="1"/>
  <c r="H594" i="1"/>
  <c r="E594" i="1"/>
  <c r="J593" i="1"/>
  <c r="H593" i="1"/>
  <c r="E593" i="1"/>
  <c r="J592" i="1"/>
  <c r="H592" i="1"/>
  <c r="E592" i="1"/>
  <c r="J591" i="1"/>
  <c r="H591" i="1"/>
  <c r="E591" i="1"/>
  <c r="J590" i="1"/>
  <c r="H590" i="1"/>
  <c r="E590" i="1"/>
  <c r="J589" i="1"/>
  <c r="H589" i="1"/>
  <c r="E589" i="1"/>
  <c r="J588" i="1"/>
  <c r="H588" i="1"/>
  <c r="E588" i="1"/>
  <c r="J587" i="1"/>
  <c r="H587" i="1"/>
  <c r="E587" i="1"/>
  <c r="J586" i="1"/>
  <c r="H586" i="1"/>
  <c r="E586" i="1"/>
  <c r="J585" i="1"/>
  <c r="H585" i="1"/>
  <c r="E585" i="1"/>
  <c r="J584" i="1"/>
  <c r="H584" i="1"/>
  <c r="E584" i="1"/>
  <c r="J583" i="1"/>
  <c r="H583" i="1"/>
  <c r="E583" i="1"/>
  <c r="J582" i="1"/>
  <c r="H582" i="1"/>
  <c r="E582" i="1"/>
  <c r="J581" i="1"/>
  <c r="H581" i="1"/>
  <c r="E581" i="1"/>
  <c r="J580" i="1"/>
  <c r="H580" i="1"/>
  <c r="E580" i="1"/>
  <c r="J579" i="1"/>
  <c r="H579" i="1"/>
  <c r="E579" i="1"/>
  <c r="J578" i="1"/>
  <c r="H578" i="1"/>
  <c r="E578" i="1"/>
  <c r="J577" i="1"/>
  <c r="H577" i="1"/>
  <c r="E577" i="1"/>
  <c r="J576" i="1"/>
  <c r="H576" i="1"/>
  <c r="E576" i="1"/>
  <c r="J575" i="1"/>
  <c r="H575" i="1"/>
  <c r="E575" i="1"/>
  <c r="J574" i="1"/>
  <c r="H574" i="1"/>
  <c r="E574" i="1"/>
  <c r="J573" i="1"/>
  <c r="H573" i="1"/>
  <c r="E573" i="1"/>
  <c r="J572" i="1"/>
  <c r="H572" i="1"/>
  <c r="E572" i="1"/>
  <c r="J571" i="1"/>
  <c r="H571" i="1"/>
  <c r="E571" i="1"/>
  <c r="J570" i="1"/>
  <c r="H570" i="1"/>
  <c r="E570" i="1"/>
  <c r="J6935" i="2"/>
  <c r="H6935" i="2"/>
  <c r="E6935" i="2"/>
  <c r="J6934" i="2"/>
  <c r="H6934" i="2"/>
  <c r="E6934" i="2"/>
  <c r="J6933" i="2"/>
  <c r="H6933" i="2"/>
  <c r="E6933" i="2"/>
  <c r="J6932" i="2"/>
  <c r="H6932" i="2"/>
  <c r="E6932" i="2"/>
  <c r="J6931" i="2"/>
  <c r="H6931" i="2"/>
  <c r="E6931" i="2"/>
  <c r="J6930" i="2"/>
  <c r="H6930" i="2"/>
  <c r="E6930" i="2"/>
  <c r="J6929" i="2"/>
  <c r="H6929" i="2"/>
  <c r="E6929" i="2"/>
  <c r="J6928" i="2"/>
  <c r="H6928" i="2"/>
  <c r="E6928" i="2"/>
  <c r="J6927" i="2"/>
  <c r="H6927" i="2"/>
  <c r="E6927" i="2"/>
  <c r="J6926" i="2"/>
  <c r="H6926" i="2"/>
  <c r="E6926" i="2"/>
  <c r="J6925" i="2"/>
  <c r="H6925" i="2"/>
  <c r="E6925" i="2"/>
  <c r="J6924" i="2"/>
  <c r="H6924" i="2"/>
  <c r="E6924" i="2"/>
  <c r="J6923" i="2"/>
  <c r="H6923" i="2"/>
  <c r="E6923" i="2"/>
  <c r="J6922" i="2"/>
  <c r="H6922" i="2"/>
  <c r="E6922" i="2"/>
  <c r="J6921" i="2"/>
  <c r="H6921" i="2"/>
  <c r="E6921" i="2"/>
  <c r="J6920" i="2"/>
  <c r="H6920" i="2"/>
  <c r="E6920" i="2"/>
  <c r="J6919" i="2"/>
  <c r="H6919" i="2"/>
  <c r="E6919" i="2"/>
  <c r="J6918" i="2"/>
  <c r="H6918" i="2"/>
  <c r="E6918" i="2"/>
  <c r="J6917" i="2"/>
  <c r="H6917" i="2"/>
  <c r="E6917" i="2"/>
  <c r="J6916" i="2"/>
  <c r="H6916" i="2"/>
  <c r="E6916" i="2"/>
  <c r="J6915" i="2"/>
  <c r="H6915" i="2"/>
  <c r="E6915" i="2"/>
  <c r="J6914" i="2"/>
  <c r="H6914" i="2"/>
  <c r="E6914" i="2"/>
  <c r="J6913" i="2"/>
  <c r="H6913" i="2"/>
  <c r="E6913" i="2"/>
  <c r="J6912" i="2"/>
  <c r="H6912" i="2"/>
  <c r="E6912" i="2"/>
  <c r="J6911" i="2"/>
  <c r="H6911" i="2"/>
  <c r="E6911" i="2"/>
  <c r="J6910" i="2"/>
  <c r="H6910" i="2"/>
  <c r="E6910" i="2"/>
  <c r="J6909" i="2"/>
  <c r="H6909" i="2"/>
  <c r="E6909" i="2"/>
  <c r="J6908" i="2"/>
  <c r="H6908" i="2"/>
  <c r="E6908" i="2"/>
  <c r="J6907" i="2"/>
  <c r="H6907" i="2"/>
  <c r="E6907" i="2"/>
  <c r="J6906" i="2"/>
  <c r="H6906" i="2"/>
  <c r="E6906" i="2"/>
  <c r="J6905" i="2"/>
  <c r="H6905" i="2"/>
  <c r="E6905" i="2"/>
  <c r="J6904" i="2"/>
  <c r="H6904" i="2"/>
  <c r="E6904" i="2"/>
  <c r="J6903" i="2"/>
  <c r="H6903" i="2"/>
  <c r="E6903" i="2"/>
  <c r="J6902" i="2"/>
  <c r="H6902" i="2"/>
  <c r="E6902" i="2"/>
  <c r="J6901" i="2"/>
  <c r="H6901" i="2"/>
  <c r="E6901" i="2"/>
  <c r="J6900" i="2"/>
  <c r="H6900" i="2"/>
  <c r="E6900" i="2"/>
  <c r="J6899" i="2"/>
  <c r="H6899" i="2"/>
  <c r="E6899" i="2"/>
  <c r="J6898" i="2"/>
  <c r="H6898" i="2"/>
  <c r="E6898" i="2"/>
  <c r="J6897" i="2"/>
  <c r="H6897" i="2"/>
  <c r="E6897" i="2"/>
  <c r="J6896" i="2"/>
  <c r="H6896" i="2"/>
  <c r="E6896" i="2"/>
  <c r="J6895" i="2"/>
  <c r="H6895" i="2"/>
  <c r="E6895" i="2"/>
  <c r="J6894" i="2"/>
  <c r="H6894" i="2"/>
  <c r="E6894" i="2"/>
  <c r="J6893" i="2"/>
  <c r="H6893" i="2"/>
  <c r="E6893" i="2"/>
  <c r="J6892" i="2"/>
  <c r="H6892" i="2"/>
  <c r="E6892" i="2"/>
  <c r="J6891" i="2"/>
  <c r="H6891" i="2"/>
  <c r="E6891" i="2"/>
  <c r="J6890" i="2"/>
  <c r="H6890" i="2"/>
  <c r="E6890" i="2"/>
  <c r="J6889" i="2"/>
  <c r="H6889" i="2"/>
  <c r="E6889" i="2"/>
  <c r="J6888" i="2"/>
  <c r="H6888" i="2"/>
  <c r="E6888" i="2"/>
  <c r="J6887" i="2"/>
  <c r="H6887" i="2"/>
  <c r="E6887" i="2"/>
  <c r="J6886" i="2"/>
  <c r="H6886" i="2"/>
  <c r="E6886" i="2"/>
  <c r="J6885" i="2"/>
  <c r="H6885" i="2"/>
  <c r="E6885" i="2"/>
  <c r="J6884" i="2"/>
  <c r="H6884" i="2"/>
  <c r="E6884" i="2"/>
  <c r="J6883" i="2"/>
  <c r="H6883" i="2"/>
  <c r="E6883" i="2"/>
  <c r="J6882" i="2"/>
  <c r="H6882" i="2"/>
  <c r="E6882" i="2"/>
  <c r="J6881" i="2"/>
  <c r="H6881" i="2"/>
  <c r="E6881" i="2"/>
  <c r="J6880" i="2"/>
  <c r="H6880" i="2"/>
  <c r="E6880" i="2"/>
  <c r="J6879" i="2"/>
  <c r="H6879" i="2"/>
  <c r="E6879" i="2"/>
  <c r="J6878" i="2"/>
  <c r="H6878" i="2"/>
  <c r="E6878" i="2"/>
  <c r="J6877" i="2"/>
  <c r="H6877" i="2"/>
  <c r="E6877" i="2"/>
  <c r="J6876" i="2"/>
  <c r="H6876" i="2"/>
  <c r="E6876" i="2"/>
  <c r="J6875" i="2"/>
  <c r="H6875" i="2"/>
  <c r="E6875" i="2"/>
  <c r="J6874" i="2"/>
  <c r="H6874" i="2"/>
  <c r="E6874" i="2"/>
  <c r="J6873" i="2"/>
  <c r="H6873" i="2"/>
  <c r="E6873" i="2"/>
  <c r="J6872" i="2"/>
  <c r="H6872" i="2"/>
  <c r="E6872" i="2"/>
  <c r="J6871" i="2"/>
  <c r="H6871" i="2"/>
  <c r="E6871" i="2"/>
  <c r="J6870" i="2"/>
  <c r="H6870" i="2"/>
  <c r="E6870" i="2"/>
  <c r="J6869" i="2"/>
  <c r="H6869" i="2"/>
  <c r="E6869" i="2"/>
  <c r="J6868" i="2"/>
  <c r="H6868" i="2"/>
  <c r="E6868" i="2"/>
  <c r="J6867" i="2"/>
  <c r="H6867" i="2"/>
  <c r="E6867" i="2"/>
  <c r="J6866" i="2"/>
  <c r="H6866" i="2"/>
  <c r="E6866" i="2"/>
  <c r="J6865" i="2"/>
  <c r="H6865" i="2"/>
  <c r="E6865" i="2"/>
  <c r="J6864" i="2"/>
  <c r="H6864" i="2"/>
  <c r="E6864" i="2"/>
  <c r="J6863" i="2"/>
  <c r="H6863" i="2"/>
  <c r="E6863" i="2"/>
  <c r="J6862" i="2"/>
  <c r="H6862" i="2"/>
  <c r="E6862" i="2"/>
  <c r="J6861" i="2"/>
  <c r="H6861" i="2"/>
  <c r="E6861" i="2"/>
  <c r="J6860" i="2"/>
  <c r="H6860" i="2"/>
  <c r="E6860" i="2"/>
  <c r="J6859" i="2"/>
  <c r="H6859" i="2"/>
  <c r="E6859" i="2"/>
  <c r="J6858" i="2"/>
  <c r="H6858" i="2"/>
  <c r="E6858" i="2"/>
  <c r="J6857" i="2"/>
  <c r="H6857" i="2"/>
  <c r="E6857" i="2"/>
  <c r="J6856" i="2"/>
  <c r="H6856" i="2"/>
  <c r="E6856" i="2"/>
  <c r="J6855" i="2"/>
  <c r="H6855" i="2"/>
  <c r="E6855" i="2"/>
  <c r="J6854" i="2"/>
  <c r="H6854" i="2"/>
  <c r="E6854" i="2"/>
  <c r="J6853" i="2"/>
  <c r="H6853" i="2"/>
  <c r="E6853" i="2"/>
  <c r="J6852" i="2"/>
  <c r="H6852" i="2"/>
  <c r="E6852" i="2"/>
  <c r="J6851" i="2"/>
  <c r="H6851" i="2"/>
  <c r="E6851" i="2"/>
  <c r="J6850" i="2"/>
  <c r="H6850" i="2"/>
  <c r="E6850" i="2"/>
  <c r="J6849" i="2"/>
  <c r="H6849" i="2"/>
  <c r="D6849" i="2"/>
  <c r="E6849" i="2" s="1"/>
  <c r="J6848" i="2"/>
  <c r="H6848" i="2"/>
  <c r="E6848" i="2"/>
  <c r="J6847" i="2"/>
  <c r="H6847" i="2"/>
  <c r="E6847" i="2"/>
  <c r="J6846" i="2"/>
  <c r="H6846" i="2"/>
  <c r="E6846" i="2"/>
  <c r="J6845" i="2"/>
  <c r="H6845" i="2"/>
  <c r="E6845" i="2"/>
  <c r="J6844" i="2"/>
  <c r="H6844" i="2"/>
  <c r="E6844" i="2"/>
  <c r="J6843" i="2"/>
  <c r="H6843" i="2"/>
  <c r="E6843" i="2"/>
  <c r="J6842" i="2"/>
  <c r="H6842" i="2"/>
  <c r="E6842" i="2"/>
  <c r="J6841" i="2"/>
  <c r="H6841" i="2"/>
  <c r="E6841" i="2"/>
  <c r="J6840" i="2"/>
  <c r="H6840" i="2"/>
  <c r="E6840" i="2"/>
  <c r="J6839" i="2"/>
  <c r="H6839" i="2"/>
  <c r="E6839" i="2"/>
  <c r="J6838" i="2"/>
  <c r="H6838" i="2"/>
  <c r="E6838" i="2"/>
  <c r="J6837" i="2"/>
  <c r="H6837" i="2"/>
  <c r="E6837" i="2"/>
  <c r="J6836" i="2"/>
  <c r="H6836" i="2"/>
  <c r="E6836" i="2"/>
  <c r="J6835" i="2"/>
  <c r="H6835" i="2"/>
  <c r="E6835" i="2"/>
  <c r="J6834" i="2"/>
  <c r="H6834" i="2"/>
  <c r="E6834" i="2"/>
  <c r="J6833" i="2"/>
  <c r="H6833" i="2"/>
  <c r="E6833" i="2"/>
  <c r="J6832" i="2"/>
  <c r="H6832" i="2"/>
  <c r="E6832" i="2"/>
  <c r="J6831" i="2"/>
  <c r="H6831" i="2"/>
  <c r="E6831" i="2"/>
  <c r="J6830" i="2"/>
  <c r="H6830" i="2"/>
  <c r="E6830" i="2"/>
  <c r="J6829" i="2"/>
  <c r="H6829" i="2"/>
  <c r="E6829" i="2"/>
  <c r="J6828" i="2"/>
  <c r="H6828" i="2"/>
  <c r="E6828" i="2"/>
  <c r="J6827" i="2"/>
  <c r="H6827" i="2"/>
  <c r="E6827" i="2"/>
  <c r="J6826" i="2"/>
  <c r="H6826" i="2"/>
  <c r="E6826" i="2"/>
  <c r="J6825" i="2"/>
  <c r="H6825" i="2"/>
  <c r="E6825" i="2"/>
  <c r="J6824" i="2"/>
  <c r="H6824" i="2"/>
  <c r="E6824" i="2"/>
  <c r="J6823" i="2"/>
  <c r="H6823" i="2"/>
  <c r="E6823" i="2"/>
  <c r="J6822" i="2"/>
  <c r="H6822" i="2"/>
  <c r="E6822" i="2"/>
  <c r="J6821" i="2"/>
  <c r="H6821" i="2"/>
  <c r="E6821" i="2"/>
  <c r="J6820" i="2"/>
  <c r="H6820" i="2"/>
  <c r="E6820" i="2"/>
  <c r="J6819" i="2"/>
  <c r="H6819" i="2"/>
  <c r="E6819" i="2"/>
  <c r="J6818" i="2"/>
  <c r="H6818" i="2"/>
  <c r="E6818" i="2"/>
  <c r="J6817" i="2"/>
  <c r="H6817" i="2"/>
  <c r="E6817" i="2"/>
  <c r="J6816" i="2"/>
  <c r="H6816" i="2"/>
  <c r="E6816" i="2"/>
  <c r="J6815" i="2"/>
  <c r="H6815" i="2"/>
  <c r="E6815" i="2"/>
  <c r="J6814" i="2"/>
  <c r="H6814" i="2"/>
  <c r="E6814" i="2"/>
  <c r="J6813" i="2"/>
  <c r="H6813" i="2"/>
  <c r="E6813" i="2"/>
  <c r="J6812" i="2"/>
  <c r="H6812" i="2"/>
  <c r="E6812" i="2"/>
  <c r="J6811" i="2"/>
  <c r="H6811" i="2"/>
  <c r="E6811" i="2"/>
  <c r="J6810" i="2"/>
  <c r="H6810" i="2"/>
  <c r="E6810" i="2"/>
  <c r="J6809" i="2"/>
  <c r="H6809" i="2"/>
  <c r="E6809" i="2"/>
  <c r="J6808" i="2"/>
  <c r="H6808" i="2"/>
  <c r="E6808" i="2"/>
  <c r="J6807" i="2"/>
  <c r="H6807" i="2"/>
  <c r="E6807" i="2"/>
  <c r="J6806" i="2"/>
  <c r="H6806" i="2"/>
  <c r="E6806" i="2"/>
  <c r="J6805" i="2"/>
  <c r="H6805" i="2"/>
  <c r="E6805" i="2"/>
  <c r="J6804" i="2"/>
  <c r="H6804" i="2"/>
  <c r="E6804" i="2"/>
  <c r="J6803" i="2"/>
  <c r="H6803" i="2"/>
  <c r="E6803" i="2"/>
  <c r="J6802" i="2"/>
  <c r="H6802" i="2"/>
  <c r="E6802" i="2"/>
  <c r="J6801" i="2"/>
  <c r="H6801" i="2"/>
  <c r="E6801" i="2"/>
  <c r="J6800" i="2"/>
  <c r="H6800" i="2"/>
  <c r="E6800" i="2"/>
  <c r="J6799" i="2"/>
  <c r="H6799" i="2"/>
  <c r="E6799" i="2"/>
  <c r="J6798" i="2"/>
  <c r="H6798" i="2"/>
  <c r="E6798" i="2"/>
  <c r="J6797" i="2"/>
  <c r="H6797" i="2"/>
  <c r="E6797" i="2"/>
  <c r="J6796" i="2"/>
  <c r="H6796" i="2"/>
  <c r="E6796" i="2"/>
  <c r="J6795" i="2"/>
  <c r="H6795" i="2"/>
  <c r="E6795" i="2"/>
  <c r="J6794" i="2"/>
  <c r="H6794" i="2"/>
  <c r="E6794" i="2"/>
  <c r="J6793" i="2"/>
  <c r="H6793" i="2"/>
  <c r="E6793" i="2"/>
  <c r="J6792" i="2"/>
  <c r="H6792" i="2"/>
  <c r="E6792" i="2"/>
  <c r="J6791" i="2"/>
  <c r="H6791" i="2"/>
  <c r="E6791" i="2"/>
  <c r="J6790" i="2"/>
  <c r="H6790" i="2"/>
  <c r="E6790" i="2"/>
  <c r="J6789" i="2"/>
  <c r="H6789" i="2"/>
  <c r="E6789" i="2"/>
  <c r="J6788" i="2"/>
  <c r="H6788" i="2"/>
  <c r="E6788" i="2"/>
  <c r="J6787" i="2"/>
  <c r="H6787" i="2"/>
  <c r="E6787" i="2"/>
  <c r="J6786" i="2"/>
  <c r="H6786" i="2"/>
  <c r="E6786" i="2"/>
  <c r="J6785" i="2"/>
  <c r="H6785" i="2"/>
  <c r="E6785" i="2"/>
  <c r="J6784" i="2"/>
  <c r="H6784" i="2"/>
  <c r="E6784" i="2"/>
  <c r="J6783" i="2"/>
  <c r="H6783" i="2"/>
  <c r="E6783" i="2"/>
  <c r="J6782" i="2"/>
  <c r="H6782" i="2"/>
  <c r="E6782" i="2"/>
  <c r="J6781" i="2"/>
  <c r="H6781" i="2"/>
  <c r="E6781" i="2"/>
  <c r="J6780" i="2"/>
  <c r="H6780" i="2"/>
  <c r="E6780" i="2"/>
  <c r="J6779" i="2"/>
  <c r="H6779" i="2"/>
  <c r="E6779" i="2"/>
  <c r="J6778" i="2"/>
  <c r="H6778" i="2"/>
  <c r="E6778" i="2"/>
  <c r="J6777" i="2"/>
  <c r="H6777" i="2"/>
  <c r="E6777" i="2"/>
  <c r="J6776" i="2"/>
  <c r="H6776" i="2"/>
  <c r="E6776" i="2"/>
  <c r="J6775" i="2"/>
  <c r="H6775" i="2"/>
  <c r="E6775" i="2"/>
  <c r="J6774" i="2"/>
  <c r="H6774" i="2"/>
  <c r="E6774" i="2"/>
  <c r="J6773" i="2"/>
  <c r="H6773" i="2"/>
  <c r="E6773" i="2"/>
  <c r="J6772" i="2"/>
  <c r="H6772" i="2"/>
  <c r="E6772" i="2"/>
  <c r="J6771" i="2"/>
  <c r="H6771" i="2"/>
  <c r="E6771" i="2"/>
  <c r="J6770" i="2"/>
  <c r="H6770" i="2"/>
  <c r="E6770" i="2"/>
  <c r="J6769" i="2"/>
  <c r="H6769" i="2"/>
  <c r="E6769" i="2"/>
  <c r="J6768" i="2"/>
  <c r="H6768" i="2"/>
  <c r="E6768" i="2"/>
  <c r="J6767" i="2"/>
  <c r="H6767" i="2"/>
  <c r="D6767" i="2"/>
  <c r="E6767" i="2" s="1"/>
  <c r="J6766" i="2"/>
  <c r="H6766" i="2"/>
  <c r="E6766" i="2"/>
  <c r="J6765" i="2"/>
  <c r="H6765" i="2"/>
  <c r="E6765" i="2"/>
  <c r="J6764" i="2"/>
  <c r="H6764" i="2"/>
  <c r="E6764" i="2"/>
  <c r="J6763" i="2"/>
  <c r="H6763" i="2"/>
  <c r="E6763" i="2"/>
  <c r="J6762" i="2"/>
  <c r="H6762" i="2"/>
  <c r="E6762" i="2"/>
  <c r="J6761" i="2"/>
  <c r="H6761" i="2"/>
  <c r="E6761" i="2"/>
  <c r="J6760" i="2"/>
  <c r="H6760" i="2"/>
  <c r="E6760" i="2"/>
  <c r="J6759" i="2"/>
  <c r="H6759" i="2"/>
  <c r="E6759" i="2"/>
  <c r="J6758" i="2"/>
  <c r="H6758" i="2"/>
  <c r="D6758" i="2"/>
  <c r="E6758" i="2" s="1"/>
  <c r="J6757" i="2"/>
  <c r="H6757" i="2"/>
  <c r="E6757" i="2"/>
  <c r="J6756" i="2"/>
  <c r="H6756" i="2"/>
  <c r="E6756" i="2"/>
  <c r="J6755" i="2"/>
  <c r="H6755" i="2"/>
  <c r="E6755" i="2"/>
  <c r="J6754" i="2"/>
  <c r="H6754" i="2"/>
  <c r="E6754" i="2"/>
  <c r="J6753" i="2"/>
  <c r="H6753" i="2"/>
  <c r="E6753" i="2"/>
  <c r="J6752" i="2"/>
  <c r="H6752" i="2"/>
  <c r="E6752" i="2"/>
  <c r="J6751" i="2"/>
  <c r="H6751" i="2"/>
  <c r="E6751" i="2"/>
  <c r="J6750" i="2"/>
  <c r="H6750" i="2"/>
  <c r="E6750" i="2"/>
  <c r="J6749" i="2"/>
  <c r="H6749" i="2"/>
  <c r="E6749" i="2"/>
  <c r="J6748" i="2"/>
  <c r="H6748" i="2"/>
  <c r="E6748" i="2"/>
  <c r="J6747" i="2"/>
  <c r="H6747" i="2"/>
  <c r="E6747" i="2"/>
  <c r="J6746" i="2"/>
  <c r="H6746" i="2"/>
  <c r="E6746" i="2"/>
  <c r="J6745" i="2"/>
  <c r="H6745" i="2"/>
  <c r="E6745" i="2"/>
  <c r="J6744" i="2"/>
  <c r="H6744" i="2"/>
  <c r="E6744" i="2"/>
  <c r="J6743" i="2"/>
  <c r="H6743" i="2"/>
  <c r="E6743" i="2"/>
  <c r="J6742" i="2"/>
  <c r="H6742" i="2"/>
  <c r="E6742" i="2"/>
  <c r="J6741" i="2"/>
  <c r="H6741" i="2"/>
  <c r="E6741" i="2"/>
  <c r="J6740" i="2"/>
  <c r="H6740" i="2"/>
  <c r="E6740" i="2"/>
  <c r="J6739" i="2"/>
  <c r="H6739" i="2"/>
  <c r="E6739" i="2"/>
  <c r="J6738" i="2"/>
  <c r="H6738" i="2"/>
  <c r="E6738" i="2"/>
  <c r="J6737" i="2"/>
  <c r="H6737" i="2"/>
  <c r="E6737" i="2"/>
  <c r="J6736" i="2"/>
  <c r="H6736" i="2"/>
  <c r="E6736" i="2"/>
  <c r="J6735" i="2"/>
  <c r="H6735" i="2"/>
  <c r="E6735" i="2"/>
  <c r="J6734" i="2"/>
  <c r="H6734" i="2"/>
  <c r="E6734" i="2"/>
  <c r="J6733" i="2"/>
  <c r="H6733" i="2"/>
  <c r="E6733" i="2"/>
  <c r="J6732" i="2"/>
  <c r="H6732" i="2"/>
  <c r="E6732" i="2"/>
  <c r="J6731" i="2"/>
  <c r="H6731" i="2"/>
  <c r="E6731" i="2"/>
  <c r="J6730" i="2"/>
  <c r="H6730" i="2"/>
  <c r="E6730" i="2"/>
  <c r="J6729" i="2"/>
  <c r="H6729" i="2"/>
  <c r="E6729" i="2"/>
  <c r="J6728" i="2"/>
  <c r="H6728" i="2"/>
  <c r="E6728" i="2"/>
  <c r="J6727" i="2"/>
  <c r="H6727" i="2"/>
  <c r="E6727" i="2"/>
  <c r="J6726" i="2"/>
  <c r="H6726" i="2"/>
  <c r="E6726" i="2"/>
  <c r="J6725" i="2"/>
  <c r="H6725" i="2"/>
  <c r="E6725" i="2"/>
  <c r="J6724" i="2"/>
  <c r="H6724" i="2"/>
  <c r="E6724" i="2"/>
  <c r="J6723" i="2"/>
  <c r="H6723" i="2"/>
  <c r="E6723" i="2"/>
  <c r="J6722" i="2"/>
  <c r="H6722" i="2"/>
  <c r="E6722" i="2"/>
  <c r="J6721" i="2"/>
  <c r="H6721" i="2"/>
  <c r="E6721" i="2"/>
  <c r="J6720" i="2"/>
  <c r="H6720" i="2"/>
  <c r="E6720" i="2"/>
  <c r="J6719" i="2"/>
  <c r="H6719" i="2"/>
  <c r="E6719" i="2"/>
  <c r="J6718" i="2"/>
  <c r="H6718" i="2"/>
  <c r="E6718" i="2"/>
  <c r="J6717" i="2"/>
  <c r="H6717" i="2"/>
  <c r="E6717" i="2"/>
  <c r="J6716" i="2"/>
  <c r="H6716" i="2"/>
  <c r="E6716" i="2"/>
  <c r="J6715" i="2"/>
  <c r="H6715" i="2"/>
  <c r="E6715" i="2"/>
  <c r="J6714" i="2"/>
  <c r="H6714" i="2"/>
  <c r="E6714" i="2"/>
  <c r="J6713" i="2"/>
  <c r="H6713" i="2"/>
  <c r="E6713" i="2"/>
  <c r="J6712" i="2"/>
  <c r="H6712" i="2"/>
  <c r="E6712" i="2"/>
  <c r="J6711" i="2"/>
  <c r="H6711" i="2"/>
  <c r="E6711" i="2"/>
  <c r="J6710" i="2"/>
  <c r="H6710" i="2"/>
  <c r="E6710" i="2"/>
  <c r="J6709" i="2"/>
  <c r="H6709" i="2"/>
  <c r="E6709" i="2"/>
  <c r="J6708" i="2"/>
  <c r="H6708" i="2"/>
  <c r="E6708" i="2"/>
  <c r="J6707" i="2"/>
  <c r="H6707" i="2"/>
  <c r="E6707" i="2"/>
  <c r="J6706" i="2"/>
  <c r="H6706" i="2"/>
  <c r="E6706" i="2"/>
  <c r="J6705" i="2"/>
  <c r="H6705" i="2"/>
  <c r="E6705" i="2"/>
  <c r="J6704" i="2"/>
  <c r="H6704" i="2"/>
  <c r="E6704" i="2"/>
  <c r="J6703" i="2"/>
  <c r="H6703" i="2"/>
  <c r="E6703" i="2"/>
  <c r="J6702" i="2"/>
  <c r="H6702" i="2"/>
  <c r="E6702" i="2"/>
  <c r="J6701" i="2"/>
  <c r="H6701" i="2"/>
  <c r="E6701" i="2"/>
  <c r="J6700" i="2"/>
  <c r="H6700" i="2"/>
  <c r="E6700" i="2"/>
  <c r="J6699" i="2"/>
  <c r="H6699" i="2"/>
  <c r="E6699" i="2"/>
  <c r="J6698" i="2"/>
  <c r="H6698" i="2"/>
  <c r="E6698" i="2"/>
  <c r="J6697" i="2"/>
  <c r="H6697" i="2"/>
  <c r="E6697" i="2"/>
  <c r="J6696" i="2"/>
  <c r="H6696" i="2"/>
  <c r="E6696" i="2"/>
  <c r="J6695" i="2"/>
  <c r="H6695" i="2"/>
  <c r="E6695" i="2"/>
  <c r="J6694" i="2"/>
  <c r="H6694" i="2"/>
  <c r="E6694" i="2"/>
  <c r="J6693" i="2"/>
  <c r="H6693" i="2"/>
  <c r="E6693" i="2"/>
  <c r="J6692" i="2"/>
  <c r="H6692" i="2"/>
  <c r="E6692" i="2"/>
  <c r="J6691" i="2"/>
  <c r="H6691" i="2"/>
  <c r="E6691" i="2"/>
  <c r="J6690" i="2"/>
  <c r="H6690" i="2"/>
  <c r="E6690" i="2"/>
  <c r="J6689" i="2"/>
  <c r="H6689" i="2"/>
  <c r="E6689" i="2"/>
  <c r="J6688" i="2"/>
  <c r="H6688" i="2"/>
  <c r="E6688" i="2"/>
  <c r="J6687" i="2"/>
  <c r="H6687" i="2"/>
  <c r="E6687" i="2"/>
  <c r="J6686" i="2"/>
  <c r="H6686" i="2"/>
  <c r="E6686" i="2"/>
  <c r="J6685" i="2"/>
  <c r="H6685" i="2"/>
  <c r="E6685" i="2"/>
  <c r="J6684" i="2"/>
  <c r="H6684" i="2"/>
  <c r="E6684" i="2"/>
  <c r="J6683" i="2"/>
  <c r="H6683" i="2"/>
  <c r="E6683" i="2"/>
  <c r="J6682" i="2"/>
  <c r="H6682" i="2"/>
  <c r="E6682" i="2"/>
  <c r="J6681" i="2"/>
  <c r="H6681" i="2"/>
  <c r="E6681" i="2"/>
  <c r="J6680" i="2"/>
  <c r="H6680" i="2"/>
  <c r="E6680" i="2"/>
  <c r="J6679" i="2"/>
  <c r="H6679" i="2"/>
  <c r="E6679" i="2"/>
  <c r="J6678" i="2"/>
  <c r="H6678" i="2"/>
  <c r="E6678" i="2"/>
  <c r="J6677" i="2"/>
  <c r="H6677" i="2"/>
  <c r="E6677" i="2"/>
  <c r="J6676" i="2"/>
  <c r="H6676" i="2"/>
  <c r="E6676" i="2"/>
  <c r="J6675" i="2"/>
  <c r="H6675" i="2"/>
  <c r="E6675" i="2"/>
  <c r="J6674" i="2"/>
  <c r="H6674" i="2"/>
  <c r="E6674" i="2"/>
  <c r="J6673" i="2"/>
  <c r="H6673" i="2"/>
  <c r="E6673" i="2"/>
  <c r="J6672" i="2"/>
  <c r="H6672" i="2"/>
  <c r="E6672" i="2"/>
  <c r="J6671" i="2"/>
  <c r="H6671" i="2"/>
  <c r="D6671" i="2"/>
  <c r="E6671" i="2" s="1"/>
  <c r="J6670" i="2"/>
  <c r="H6670" i="2"/>
  <c r="E6670" i="2"/>
  <c r="J6669" i="2"/>
  <c r="H6669" i="2"/>
  <c r="E6669" i="2"/>
  <c r="J6668" i="2"/>
  <c r="H6668" i="2"/>
  <c r="E6668" i="2"/>
  <c r="J6667" i="2"/>
  <c r="H6667" i="2"/>
  <c r="E6667" i="2"/>
  <c r="J6666" i="2"/>
  <c r="H6666" i="2"/>
  <c r="E6666" i="2"/>
  <c r="J6665" i="2"/>
  <c r="H6665" i="2"/>
  <c r="E6665" i="2"/>
  <c r="J6664" i="2"/>
  <c r="H6664" i="2"/>
  <c r="E6664" i="2"/>
  <c r="J6663" i="2"/>
  <c r="H6663" i="2"/>
  <c r="E6663" i="2"/>
  <c r="J6662" i="2"/>
  <c r="H6662" i="2"/>
  <c r="E6662" i="2"/>
  <c r="J6661" i="2"/>
  <c r="H6661" i="2"/>
  <c r="E6661" i="2"/>
  <c r="J6660" i="2"/>
  <c r="H6660" i="2"/>
  <c r="E6660" i="2"/>
  <c r="J6659" i="2"/>
  <c r="H6659" i="2"/>
  <c r="E6659" i="2"/>
  <c r="J6658" i="2"/>
  <c r="H6658" i="2"/>
  <c r="E6658" i="2"/>
  <c r="J6657" i="2"/>
  <c r="H6657" i="2"/>
  <c r="E6657" i="2"/>
  <c r="J6656" i="2"/>
  <c r="H6656" i="2"/>
  <c r="E6656" i="2"/>
  <c r="J6655" i="2"/>
  <c r="H6655" i="2"/>
  <c r="E6655" i="2"/>
  <c r="J6654" i="2"/>
  <c r="H6654" i="2"/>
  <c r="E6654" i="2"/>
  <c r="J6653" i="2"/>
  <c r="H6653" i="2"/>
  <c r="E6653" i="2"/>
  <c r="J6652" i="2"/>
  <c r="H6652" i="2"/>
  <c r="E6652" i="2"/>
  <c r="J6651" i="2"/>
  <c r="H6651" i="2"/>
  <c r="E6651" i="2"/>
  <c r="J6650" i="2"/>
  <c r="H6650" i="2"/>
  <c r="E6650" i="2"/>
  <c r="J6649" i="2"/>
  <c r="H6649" i="2"/>
  <c r="E6649" i="2"/>
  <c r="J6648" i="2"/>
  <c r="H6648" i="2"/>
  <c r="E6648" i="2"/>
  <c r="J6647" i="2"/>
  <c r="H6647" i="2"/>
  <c r="E6647" i="2"/>
  <c r="J6646" i="2"/>
  <c r="H6646" i="2"/>
  <c r="E6646" i="2"/>
  <c r="J6645" i="2"/>
  <c r="H6645" i="2"/>
  <c r="E6645" i="2"/>
  <c r="J6644" i="2"/>
  <c r="H6644" i="2"/>
  <c r="E6644" i="2"/>
  <c r="J6643" i="2"/>
  <c r="H6643" i="2"/>
  <c r="E6643" i="2"/>
  <c r="J6642" i="2"/>
  <c r="H6642" i="2"/>
  <c r="E6642" i="2"/>
  <c r="J6641" i="2"/>
  <c r="H6641" i="2"/>
  <c r="E6641" i="2"/>
  <c r="J6640" i="2"/>
  <c r="H6640" i="2"/>
  <c r="E6640" i="2"/>
  <c r="J6639" i="2"/>
  <c r="H6639" i="2"/>
  <c r="E6639" i="2"/>
  <c r="J6638" i="2"/>
  <c r="H6638" i="2"/>
  <c r="E6638" i="2"/>
  <c r="J6637" i="2"/>
  <c r="H6637" i="2"/>
  <c r="E6637" i="2"/>
  <c r="J6636" i="2"/>
  <c r="H6636" i="2"/>
  <c r="E6636" i="2"/>
  <c r="J6635" i="2"/>
  <c r="H6635" i="2"/>
  <c r="E6635" i="2"/>
  <c r="J6634" i="2"/>
  <c r="H6634" i="2"/>
  <c r="E6634" i="2"/>
  <c r="J6633" i="2"/>
  <c r="H6633" i="2"/>
  <c r="E6633" i="2"/>
  <c r="J6632" i="2"/>
  <c r="H6632" i="2"/>
  <c r="E6632" i="2"/>
  <c r="J6631" i="2"/>
  <c r="H6631" i="2"/>
  <c r="E6631" i="2"/>
  <c r="J6630" i="2"/>
  <c r="H6630" i="2"/>
  <c r="E6630" i="2"/>
  <c r="J6629" i="2"/>
  <c r="H6629" i="2"/>
  <c r="E6629" i="2"/>
  <c r="J6628" i="2"/>
  <c r="H6628" i="2"/>
  <c r="E6628" i="2"/>
  <c r="J6627" i="2"/>
  <c r="H6627" i="2"/>
  <c r="E6627" i="2"/>
  <c r="J6626" i="2"/>
  <c r="H6626" i="2"/>
  <c r="E6626" i="2"/>
  <c r="J6625" i="2"/>
  <c r="H6625" i="2"/>
  <c r="E6625" i="2"/>
  <c r="J6624" i="2"/>
  <c r="H6624" i="2"/>
  <c r="E6624" i="2"/>
  <c r="J6623" i="2"/>
  <c r="H6623" i="2"/>
  <c r="E6623" i="2"/>
  <c r="J6622" i="2"/>
  <c r="H6622" i="2"/>
  <c r="E6622" i="2"/>
  <c r="J6621" i="2"/>
  <c r="H6621" i="2"/>
  <c r="E6621" i="2"/>
  <c r="J6620" i="2"/>
  <c r="H6620" i="2"/>
  <c r="E6620" i="2"/>
  <c r="J6619" i="2"/>
  <c r="H6619" i="2"/>
  <c r="E6619" i="2"/>
  <c r="J6618" i="2"/>
  <c r="H6618" i="2"/>
  <c r="E6618" i="2"/>
  <c r="J6617" i="2"/>
  <c r="H6617" i="2"/>
  <c r="E6617" i="2"/>
  <c r="J6616" i="2"/>
  <c r="H6616" i="2"/>
  <c r="E6616" i="2"/>
  <c r="J6615" i="2"/>
  <c r="H6615" i="2"/>
  <c r="E6615" i="2"/>
  <c r="J6614" i="2"/>
  <c r="H6614" i="2"/>
  <c r="E6614" i="2"/>
  <c r="J6613" i="2"/>
  <c r="H6613" i="2"/>
  <c r="E6613" i="2"/>
  <c r="J6612" i="2"/>
  <c r="H6612" i="2"/>
  <c r="E6612" i="2"/>
  <c r="J6611" i="2"/>
  <c r="H6611" i="2"/>
  <c r="E6611" i="2"/>
  <c r="J6610" i="2"/>
  <c r="H6610" i="2"/>
  <c r="E6610" i="2"/>
  <c r="J6609" i="2"/>
  <c r="H6609" i="2"/>
  <c r="E6609" i="2"/>
  <c r="J6608" i="2"/>
  <c r="H6608" i="2"/>
  <c r="E6608" i="2"/>
  <c r="J6607" i="2"/>
  <c r="H6607" i="2"/>
  <c r="E6607" i="2"/>
  <c r="J6606" i="2"/>
  <c r="H6606" i="2"/>
  <c r="E6606" i="2"/>
  <c r="J6605" i="2"/>
  <c r="H6605" i="2"/>
  <c r="E6605" i="2"/>
  <c r="J6604" i="2"/>
  <c r="H6604" i="2"/>
  <c r="E6604" i="2"/>
  <c r="J6603" i="2"/>
  <c r="H6603" i="2"/>
  <c r="E6603" i="2"/>
  <c r="J6602" i="2"/>
  <c r="H6602" i="2"/>
  <c r="E6602" i="2"/>
  <c r="J6601" i="2"/>
  <c r="H6601" i="2"/>
  <c r="E6601" i="2"/>
  <c r="J6600" i="2"/>
  <c r="H6600" i="2"/>
  <c r="E6600" i="2"/>
  <c r="J6599" i="2"/>
  <c r="H6599" i="2"/>
  <c r="E6599" i="2"/>
  <c r="J6598" i="2"/>
  <c r="H6598" i="2"/>
  <c r="E6598" i="2"/>
  <c r="J6597" i="2"/>
  <c r="H6597" i="2"/>
  <c r="E6597" i="2"/>
  <c r="J6596" i="2"/>
  <c r="H6596" i="2"/>
  <c r="E6596" i="2"/>
  <c r="J6595" i="2"/>
  <c r="H6595" i="2"/>
  <c r="E6595" i="2"/>
  <c r="J6594" i="2"/>
  <c r="H6594" i="2"/>
  <c r="E6594" i="2"/>
  <c r="J6593" i="2"/>
  <c r="H6593" i="2"/>
  <c r="E6593" i="2"/>
  <c r="J6592" i="2"/>
  <c r="H6592" i="2"/>
  <c r="E6592" i="2"/>
  <c r="J6591" i="2"/>
  <c r="H6591" i="2"/>
  <c r="E6591" i="2"/>
  <c r="J6590" i="2"/>
  <c r="H6590" i="2"/>
  <c r="E6590" i="2"/>
  <c r="J6589" i="2"/>
  <c r="H6589" i="2"/>
  <c r="E6589" i="2"/>
  <c r="J6588" i="2"/>
  <c r="H6588" i="2"/>
  <c r="E6588" i="2"/>
  <c r="J6587" i="2"/>
  <c r="H6587" i="2"/>
  <c r="E6587" i="2"/>
  <c r="J6586" i="2"/>
  <c r="H6586" i="2"/>
  <c r="E6586" i="2"/>
  <c r="J6585" i="2"/>
  <c r="H6585" i="2"/>
  <c r="E6585" i="2"/>
  <c r="J6584" i="2"/>
  <c r="H6584" i="2"/>
  <c r="E6584" i="2"/>
  <c r="J6583" i="2"/>
  <c r="H6583" i="2"/>
  <c r="E6583" i="2"/>
  <c r="J6582" i="2"/>
  <c r="H6582" i="2"/>
  <c r="E6582" i="2"/>
  <c r="J6581" i="2"/>
  <c r="H6581" i="2"/>
  <c r="E6581" i="2"/>
  <c r="J6580" i="2"/>
  <c r="H6580" i="2"/>
  <c r="E6580" i="2"/>
  <c r="J6579" i="2"/>
  <c r="H6579" i="2"/>
  <c r="E6579" i="2"/>
  <c r="J6578" i="2"/>
  <c r="H6578" i="2"/>
  <c r="E6578" i="2"/>
  <c r="J6577" i="2"/>
  <c r="H6577" i="2"/>
  <c r="E6577" i="2"/>
  <c r="J6576" i="2"/>
  <c r="H6576" i="2"/>
  <c r="E6576" i="2"/>
  <c r="J6575" i="2"/>
  <c r="H6575" i="2"/>
  <c r="E6575" i="2"/>
  <c r="J6574" i="2"/>
  <c r="H6574" i="2"/>
  <c r="E6574" i="2"/>
  <c r="J6573" i="2"/>
  <c r="H6573" i="2"/>
  <c r="E6573" i="2"/>
  <c r="J6572" i="2"/>
  <c r="H6572" i="2"/>
  <c r="E6572" i="2"/>
  <c r="J6571" i="2"/>
  <c r="H6571" i="2"/>
  <c r="E6571" i="2"/>
  <c r="J6570" i="2"/>
  <c r="H6570" i="2"/>
  <c r="E6570" i="2"/>
  <c r="J6569" i="2"/>
  <c r="H6569" i="2"/>
  <c r="E6569" i="2"/>
  <c r="J6568" i="2"/>
  <c r="H6568" i="2"/>
  <c r="E6568" i="2"/>
  <c r="J6567" i="2"/>
  <c r="H6567" i="2"/>
  <c r="E6567" i="2"/>
  <c r="J6566" i="2"/>
  <c r="H6566" i="2"/>
  <c r="E6566" i="2"/>
  <c r="J6565" i="2"/>
  <c r="H6565" i="2"/>
  <c r="E6565" i="2"/>
  <c r="J6564" i="2"/>
  <c r="H6564" i="2"/>
  <c r="E6564" i="2"/>
  <c r="J6563" i="2"/>
  <c r="H6563" i="2"/>
  <c r="E6563" i="2"/>
  <c r="J6562" i="2"/>
  <c r="H6562" i="2"/>
  <c r="E6562" i="2"/>
  <c r="J6561" i="2"/>
  <c r="H6561" i="2"/>
  <c r="E6561" i="2"/>
  <c r="J6560" i="2"/>
  <c r="H6560" i="2"/>
  <c r="E6560" i="2"/>
  <c r="J6559" i="2"/>
  <c r="H6559" i="2"/>
  <c r="E6559" i="2"/>
  <c r="J6558" i="2"/>
  <c r="H6558" i="2"/>
  <c r="E6558" i="2"/>
  <c r="J6557" i="2"/>
  <c r="H6557" i="2"/>
  <c r="E6557" i="2"/>
  <c r="J6556" i="2"/>
  <c r="H6556" i="2"/>
  <c r="E6556" i="2"/>
  <c r="J6555" i="2"/>
  <c r="H6555" i="2"/>
  <c r="E6555" i="2"/>
  <c r="J6554" i="2"/>
  <c r="H6554" i="2"/>
  <c r="E6554" i="2"/>
  <c r="J6553" i="2"/>
  <c r="H6553" i="2"/>
  <c r="E6553" i="2"/>
  <c r="J6552" i="2"/>
  <c r="H6552" i="2"/>
  <c r="E6552" i="2"/>
  <c r="J6551" i="2"/>
  <c r="H6551" i="2"/>
  <c r="E6551" i="2"/>
  <c r="J6550" i="2"/>
  <c r="H6550" i="2"/>
  <c r="E6550" i="2"/>
  <c r="J6549" i="2"/>
  <c r="H6549" i="2"/>
  <c r="E6549" i="2"/>
  <c r="J6548" i="2"/>
  <c r="H6548" i="2"/>
  <c r="E6548" i="2"/>
  <c r="J6547" i="2"/>
  <c r="H6547" i="2"/>
  <c r="E6547" i="2"/>
  <c r="J6546" i="2"/>
  <c r="H6546" i="2"/>
  <c r="D6546" i="2"/>
  <c r="E6546" i="2" s="1"/>
  <c r="J6545" i="2"/>
  <c r="H6545" i="2"/>
  <c r="E6545" i="2"/>
  <c r="J6544" i="2"/>
  <c r="H6544" i="2"/>
  <c r="E6544" i="2"/>
  <c r="J6543" i="2"/>
  <c r="H6543" i="2"/>
  <c r="E6543" i="2"/>
  <c r="J6542" i="2"/>
  <c r="H6542" i="2"/>
  <c r="E6542" i="2"/>
  <c r="J6541" i="2"/>
  <c r="H6541" i="2"/>
  <c r="E6541" i="2"/>
  <c r="J6540" i="2"/>
  <c r="H6540" i="2"/>
  <c r="E6540" i="2"/>
  <c r="J6539" i="2"/>
  <c r="H6539" i="2"/>
  <c r="E6539" i="2"/>
  <c r="J6538" i="2"/>
  <c r="H6538" i="2"/>
  <c r="E6538" i="2"/>
  <c r="J6537" i="2"/>
  <c r="H6537" i="2"/>
  <c r="E6537" i="2"/>
  <c r="J6536" i="2"/>
  <c r="H6536" i="2"/>
  <c r="E6536" i="2"/>
  <c r="J6535" i="2"/>
  <c r="H6535" i="2"/>
  <c r="E6535" i="2"/>
  <c r="J6534" i="2"/>
  <c r="H6534" i="2"/>
  <c r="E6534" i="2"/>
  <c r="J6533" i="2"/>
  <c r="H6533" i="2"/>
  <c r="E6533" i="2"/>
  <c r="J6532" i="2"/>
  <c r="H6532" i="2"/>
  <c r="D6532" i="2"/>
  <c r="E6532" i="2" s="1"/>
  <c r="J6531" i="2"/>
  <c r="H6531" i="2"/>
  <c r="E6531" i="2"/>
  <c r="J6530" i="2"/>
  <c r="H6530" i="2"/>
  <c r="E6530" i="2"/>
  <c r="J6529" i="2"/>
  <c r="H6529" i="2"/>
  <c r="E6529" i="2"/>
  <c r="J6528" i="2"/>
  <c r="H6528" i="2"/>
  <c r="E6528" i="2"/>
  <c r="J6527" i="2"/>
  <c r="H6527" i="2"/>
  <c r="E6527" i="2"/>
  <c r="J6526" i="2"/>
  <c r="H6526" i="2"/>
  <c r="E6526" i="2"/>
  <c r="J6525" i="2"/>
  <c r="H6525" i="2"/>
  <c r="E6525" i="2"/>
  <c r="J6524" i="2"/>
  <c r="H6524" i="2"/>
  <c r="D6524" i="2"/>
  <c r="E6524" i="2" s="1"/>
  <c r="J6523" i="2"/>
  <c r="H6523" i="2"/>
  <c r="E6523" i="2"/>
  <c r="J6522" i="2"/>
  <c r="H6522" i="2"/>
  <c r="E6522" i="2"/>
  <c r="J6521" i="2"/>
  <c r="H6521" i="2"/>
  <c r="E6521" i="2"/>
  <c r="J6520" i="2"/>
  <c r="H6520" i="2"/>
  <c r="E6520" i="2"/>
  <c r="J6519" i="2"/>
  <c r="H6519" i="2"/>
  <c r="E6519" i="2"/>
  <c r="J6518" i="2"/>
  <c r="H6518" i="2"/>
  <c r="E6518" i="2"/>
  <c r="J6517" i="2"/>
  <c r="H6517" i="2"/>
  <c r="E6517" i="2"/>
  <c r="J6516" i="2"/>
  <c r="H6516" i="2"/>
  <c r="E6516" i="2"/>
  <c r="J6515" i="2"/>
  <c r="H6515" i="2"/>
  <c r="E6515" i="2"/>
  <c r="J6514" i="2"/>
  <c r="H6514" i="2"/>
  <c r="E6514" i="2"/>
  <c r="J6513" i="2"/>
  <c r="H6513" i="2"/>
  <c r="E6513" i="2"/>
  <c r="J6512" i="2"/>
  <c r="H6512" i="2"/>
  <c r="E6512" i="2"/>
  <c r="J6511" i="2"/>
  <c r="H6511" i="2"/>
  <c r="E6511" i="2"/>
  <c r="J6510" i="2"/>
  <c r="H6510" i="2"/>
  <c r="E6510" i="2"/>
  <c r="J6509" i="2"/>
  <c r="H6509" i="2"/>
  <c r="D6509" i="2"/>
  <c r="E6509" i="2" s="1"/>
  <c r="J6508" i="2"/>
  <c r="H6508" i="2"/>
  <c r="E6508" i="2"/>
  <c r="J6507" i="2"/>
  <c r="H6507" i="2"/>
  <c r="E6507" i="2"/>
  <c r="J6506" i="2"/>
  <c r="H6506" i="2"/>
  <c r="E6506" i="2"/>
  <c r="J6505" i="2"/>
  <c r="H6505" i="2"/>
  <c r="D6505" i="2"/>
  <c r="E6505" i="2" s="1"/>
  <c r="J6504" i="2"/>
  <c r="H6504" i="2"/>
  <c r="E6504" i="2"/>
  <c r="J6503" i="2"/>
  <c r="H6503" i="2"/>
  <c r="E6503" i="2"/>
  <c r="J6502" i="2"/>
  <c r="H6502" i="2"/>
  <c r="E6502" i="2"/>
  <c r="J6501" i="2"/>
  <c r="H6501" i="2"/>
  <c r="E6501" i="2"/>
  <c r="J6500" i="2"/>
  <c r="H6500" i="2"/>
  <c r="E6500" i="2"/>
  <c r="J6499" i="2"/>
  <c r="H6499" i="2"/>
  <c r="E6499" i="2"/>
  <c r="J6498" i="2"/>
  <c r="H6498" i="2"/>
  <c r="E6498" i="2"/>
  <c r="J6497" i="2"/>
  <c r="H6497" i="2"/>
  <c r="E6497" i="2"/>
  <c r="J6496" i="2"/>
  <c r="H6496" i="2"/>
  <c r="E6496" i="2"/>
  <c r="J6495" i="2"/>
  <c r="H6495" i="2"/>
  <c r="E6495" i="2"/>
  <c r="J6494" i="2"/>
  <c r="H6494" i="2"/>
  <c r="E6494" i="2"/>
  <c r="J6493" i="2"/>
  <c r="H6493" i="2"/>
  <c r="E6493" i="2"/>
  <c r="J6492" i="2"/>
  <c r="H6492" i="2"/>
  <c r="E6492" i="2"/>
  <c r="J6491" i="2"/>
  <c r="H6491" i="2"/>
  <c r="E6491" i="2"/>
  <c r="J6490" i="2"/>
  <c r="H6490" i="2"/>
  <c r="E6490" i="2"/>
  <c r="J6489" i="2"/>
  <c r="H6489" i="2"/>
  <c r="E6489" i="2"/>
  <c r="J6488" i="2"/>
  <c r="H6488" i="2"/>
  <c r="E6488" i="2"/>
  <c r="J6487" i="2"/>
  <c r="H6487" i="2"/>
  <c r="E6487" i="2"/>
  <c r="J6486" i="2"/>
  <c r="H6486" i="2"/>
  <c r="E6486" i="2"/>
  <c r="J6485" i="2"/>
  <c r="H6485" i="2"/>
  <c r="E6485" i="2"/>
  <c r="J6484" i="2"/>
  <c r="H6484" i="2"/>
  <c r="E6484" i="2"/>
  <c r="J6483" i="2"/>
  <c r="H6483" i="2"/>
  <c r="E6483" i="2"/>
  <c r="J6482" i="2"/>
  <c r="H6482" i="2"/>
  <c r="E6482" i="2"/>
  <c r="J6481" i="2"/>
  <c r="H6481" i="2"/>
  <c r="E6481" i="2"/>
  <c r="J6480" i="2"/>
  <c r="H6480" i="2"/>
  <c r="E6480" i="2"/>
  <c r="J6479" i="2"/>
  <c r="H6479" i="2"/>
  <c r="E6479" i="2"/>
  <c r="J6478" i="2"/>
  <c r="H6478" i="2"/>
  <c r="E6478" i="2"/>
  <c r="J6477" i="2"/>
  <c r="H6477" i="2"/>
  <c r="E6477" i="2"/>
  <c r="J6476" i="2"/>
  <c r="H6476" i="2"/>
  <c r="E6476" i="2"/>
  <c r="J6475" i="2"/>
  <c r="H6475" i="2"/>
  <c r="E6475" i="2"/>
  <c r="J6474" i="2"/>
  <c r="H6474" i="2"/>
  <c r="E6474" i="2"/>
  <c r="J6473" i="2"/>
  <c r="H6473" i="2"/>
  <c r="E6473" i="2"/>
  <c r="J6472" i="2"/>
  <c r="H6472" i="2"/>
  <c r="E6472" i="2"/>
  <c r="J6471" i="2"/>
  <c r="H6471" i="2"/>
  <c r="E6471" i="2"/>
  <c r="J6470" i="2"/>
  <c r="H6470" i="2"/>
  <c r="E6470" i="2"/>
  <c r="J6469" i="2"/>
  <c r="H6469" i="2"/>
  <c r="E6469" i="2"/>
  <c r="J6468" i="2"/>
  <c r="H6468" i="2"/>
  <c r="E6468" i="2"/>
  <c r="J6467" i="2"/>
  <c r="H6467" i="2"/>
  <c r="E6467" i="2"/>
  <c r="J6466" i="2"/>
  <c r="H6466" i="2"/>
  <c r="E6466" i="2"/>
  <c r="J6465" i="2"/>
  <c r="H6465" i="2"/>
  <c r="E6465" i="2"/>
  <c r="J6464" i="2"/>
  <c r="H6464" i="2"/>
  <c r="E6464" i="2"/>
  <c r="J6463" i="2"/>
  <c r="H6463" i="2"/>
  <c r="E6463" i="2"/>
  <c r="J6462" i="2"/>
  <c r="H6462" i="2"/>
  <c r="E6462" i="2"/>
  <c r="J6461" i="2"/>
  <c r="H6461" i="2"/>
  <c r="E6461" i="2"/>
  <c r="J6460" i="2"/>
  <c r="H6460" i="2"/>
  <c r="E6460" i="2"/>
  <c r="J6459" i="2"/>
  <c r="H6459" i="2"/>
  <c r="E6459" i="2"/>
  <c r="J6458" i="2"/>
  <c r="H6458" i="2"/>
  <c r="E6458" i="2"/>
  <c r="J6457" i="2"/>
  <c r="H6457" i="2"/>
  <c r="E6457" i="2"/>
  <c r="J6456" i="2"/>
  <c r="H6456" i="2"/>
  <c r="E6456" i="2"/>
  <c r="J6455" i="2"/>
  <c r="H6455" i="2"/>
  <c r="E6455" i="2"/>
  <c r="J6454" i="2"/>
  <c r="H6454" i="2"/>
  <c r="E6454" i="2"/>
  <c r="J6453" i="2"/>
  <c r="H6453" i="2"/>
  <c r="E6453" i="2"/>
  <c r="J6452" i="2"/>
  <c r="H6452" i="2"/>
  <c r="E6452" i="2"/>
  <c r="J6451" i="2"/>
  <c r="H6451" i="2"/>
  <c r="E6451" i="2"/>
  <c r="J6450" i="2"/>
  <c r="H6450" i="2"/>
  <c r="E6450" i="2"/>
  <c r="J6449" i="2"/>
  <c r="H6449" i="2"/>
  <c r="E6449" i="2"/>
  <c r="J6448" i="2"/>
  <c r="H6448" i="2"/>
  <c r="E6448" i="2"/>
  <c r="J6447" i="2"/>
  <c r="H6447" i="2"/>
  <c r="E6447" i="2"/>
  <c r="J6446" i="2"/>
  <c r="H6446" i="2"/>
  <c r="E6446" i="2"/>
  <c r="J6445" i="2"/>
  <c r="H6445" i="2"/>
  <c r="E6445" i="2"/>
  <c r="J6444" i="2"/>
  <c r="H6444" i="2"/>
  <c r="E6444" i="2"/>
  <c r="J6443" i="2"/>
  <c r="H6443" i="2"/>
  <c r="E6443" i="2"/>
  <c r="J6442" i="2"/>
  <c r="H6442" i="2"/>
  <c r="E6442" i="2"/>
  <c r="J6441" i="2"/>
  <c r="H6441" i="2"/>
  <c r="E6441" i="2"/>
  <c r="J6440" i="2"/>
  <c r="H6440" i="2"/>
  <c r="E6440" i="2"/>
  <c r="J6439" i="2"/>
  <c r="H6439" i="2"/>
  <c r="E6439" i="2"/>
  <c r="J6438" i="2"/>
  <c r="H6438" i="2"/>
  <c r="E6438" i="2"/>
  <c r="J6437" i="2"/>
  <c r="H6437" i="2"/>
  <c r="E6437" i="2"/>
  <c r="J6436" i="2"/>
  <c r="H6436" i="2"/>
  <c r="E6436" i="2"/>
  <c r="J6435" i="2"/>
  <c r="H6435" i="2"/>
  <c r="E6435" i="2"/>
  <c r="J6434" i="2"/>
  <c r="H6434" i="2"/>
  <c r="E6434" i="2"/>
  <c r="J6433" i="2"/>
  <c r="H6433" i="2"/>
  <c r="E6433" i="2"/>
  <c r="J6432" i="2"/>
  <c r="H6432" i="2"/>
  <c r="E6432" i="2"/>
  <c r="J6431" i="2"/>
  <c r="H6431" i="2"/>
  <c r="E6431" i="2"/>
  <c r="J6430" i="2"/>
  <c r="H6430" i="2"/>
  <c r="E6430" i="2"/>
  <c r="J6429" i="2"/>
  <c r="H6429" i="2"/>
  <c r="E6429" i="2"/>
  <c r="J6428" i="2"/>
  <c r="H6428" i="2"/>
  <c r="E6428" i="2"/>
  <c r="J6427" i="2"/>
  <c r="H6427" i="2"/>
  <c r="E6427" i="2"/>
  <c r="J6426" i="2"/>
  <c r="H6426" i="2"/>
  <c r="E6426" i="2"/>
  <c r="J6425" i="2"/>
  <c r="H6425" i="2"/>
  <c r="E6425" i="2"/>
  <c r="J6424" i="2"/>
  <c r="H6424" i="2"/>
  <c r="E6424" i="2"/>
  <c r="J6423" i="2"/>
  <c r="H6423" i="2"/>
  <c r="E6423" i="2"/>
  <c r="J6422" i="2"/>
  <c r="H6422" i="2"/>
  <c r="E6422" i="2"/>
  <c r="J6421" i="2"/>
  <c r="H6421" i="2"/>
  <c r="E6421" i="2"/>
  <c r="J6420" i="2"/>
  <c r="H6420" i="2"/>
  <c r="E6420" i="2"/>
  <c r="J6419" i="2"/>
  <c r="H6419" i="2"/>
  <c r="E6419" i="2"/>
  <c r="J6418" i="2"/>
  <c r="H6418" i="2"/>
  <c r="E6418" i="2"/>
  <c r="J6417" i="2"/>
  <c r="H6417" i="2"/>
  <c r="E6417" i="2"/>
  <c r="J6416" i="2"/>
  <c r="H6416" i="2"/>
  <c r="E6416" i="2"/>
  <c r="J6415" i="2"/>
  <c r="H6415" i="2"/>
  <c r="E6415" i="2"/>
  <c r="J6414" i="2"/>
  <c r="H6414" i="2"/>
  <c r="E6414" i="2"/>
  <c r="J6413" i="2"/>
  <c r="H6413" i="2"/>
  <c r="E6413" i="2"/>
  <c r="J6412" i="2"/>
  <c r="H6412" i="2"/>
  <c r="E6412" i="2"/>
  <c r="J6411" i="2"/>
  <c r="H6411" i="2"/>
  <c r="E6411" i="2"/>
  <c r="J6410" i="2"/>
  <c r="H6410" i="2"/>
  <c r="E6410" i="2"/>
  <c r="J6409" i="2"/>
  <c r="H6409" i="2"/>
  <c r="E6409" i="2"/>
  <c r="J6408" i="2"/>
  <c r="H6408" i="2"/>
  <c r="E6408" i="2"/>
  <c r="J6407" i="2"/>
  <c r="H6407" i="2"/>
  <c r="E6407" i="2"/>
  <c r="J6406" i="2"/>
  <c r="H6406" i="2"/>
  <c r="E6406" i="2"/>
  <c r="J6405" i="2"/>
  <c r="H6405" i="2"/>
  <c r="E6405" i="2"/>
  <c r="J6404" i="2"/>
  <c r="H6404" i="2"/>
  <c r="E6404" i="2"/>
  <c r="J6403" i="2"/>
  <c r="H6403" i="2"/>
  <c r="E6403" i="2"/>
  <c r="J6402" i="2"/>
  <c r="H6402" i="2"/>
  <c r="E6402" i="2"/>
  <c r="J6401" i="2"/>
  <c r="H6401" i="2"/>
  <c r="E6401" i="2"/>
  <c r="J6400" i="2"/>
  <c r="H6400" i="2"/>
  <c r="E6400" i="2"/>
  <c r="J6399" i="2"/>
  <c r="H6399" i="2"/>
  <c r="E6399" i="2"/>
  <c r="J6398" i="2"/>
  <c r="H6398" i="2"/>
  <c r="E6398" i="2"/>
  <c r="J6397" i="2"/>
  <c r="H6397" i="2"/>
  <c r="E6397" i="2"/>
  <c r="J6396" i="2"/>
  <c r="H6396" i="2"/>
  <c r="E6396" i="2"/>
  <c r="J6395" i="2"/>
  <c r="H6395" i="2"/>
  <c r="E6395" i="2"/>
  <c r="J6394" i="2"/>
  <c r="H6394" i="2"/>
  <c r="E6394" i="2"/>
  <c r="J6393" i="2"/>
  <c r="H6393" i="2"/>
  <c r="E6393" i="2"/>
  <c r="J6392" i="2"/>
  <c r="H6392" i="2"/>
  <c r="E6392" i="2"/>
  <c r="J6391" i="2"/>
  <c r="H6391" i="2"/>
  <c r="E6391" i="2"/>
  <c r="J6390" i="2"/>
  <c r="H6390" i="2"/>
  <c r="E6390" i="2"/>
  <c r="J6389" i="2"/>
  <c r="H6389" i="2"/>
  <c r="E6389" i="2"/>
  <c r="J6388" i="2"/>
  <c r="H6388" i="2"/>
  <c r="E6388" i="2"/>
  <c r="J6387" i="2"/>
  <c r="H6387" i="2"/>
  <c r="E6387" i="2"/>
  <c r="J6386" i="2"/>
  <c r="H6386" i="2"/>
  <c r="E6386" i="2"/>
  <c r="J6385" i="2"/>
  <c r="H6385" i="2"/>
  <c r="E6385" i="2"/>
  <c r="J6384" i="2"/>
  <c r="H6384" i="2"/>
  <c r="E6384" i="2"/>
  <c r="J6383" i="2"/>
  <c r="H6383" i="2"/>
  <c r="E6383" i="2"/>
  <c r="J6382" i="2"/>
  <c r="H6382" i="2"/>
  <c r="E6382" i="2"/>
  <c r="J6381" i="2"/>
  <c r="H6381" i="2"/>
  <c r="E6381" i="2"/>
  <c r="J6380" i="2"/>
  <c r="H6380" i="2"/>
  <c r="E6380" i="2"/>
  <c r="J6379" i="2"/>
  <c r="H6379" i="2"/>
  <c r="E6379" i="2"/>
  <c r="J6378" i="2"/>
  <c r="H6378" i="2"/>
  <c r="E6378" i="2"/>
  <c r="J6377" i="2"/>
  <c r="H6377" i="2"/>
  <c r="E6377" i="2"/>
  <c r="J6376" i="2"/>
  <c r="H6376" i="2"/>
  <c r="E6376" i="2"/>
  <c r="J6375" i="2"/>
  <c r="H6375" i="2"/>
  <c r="E6375" i="2"/>
  <c r="J6374" i="2"/>
  <c r="H6374" i="2"/>
  <c r="E6374" i="2"/>
  <c r="J6373" i="2"/>
  <c r="H6373" i="2"/>
  <c r="E6373" i="2"/>
  <c r="J6372" i="2"/>
  <c r="H6372" i="2"/>
  <c r="E6372" i="2"/>
  <c r="J6371" i="2"/>
  <c r="H6371" i="2"/>
  <c r="E6371" i="2"/>
  <c r="J6370" i="2"/>
  <c r="H6370" i="2"/>
  <c r="E6370" i="2"/>
  <c r="J6369" i="2"/>
  <c r="H6369" i="2"/>
  <c r="E6369" i="2"/>
  <c r="J6368" i="2"/>
  <c r="H6368" i="2"/>
  <c r="E6368" i="2"/>
  <c r="J6367" i="2"/>
  <c r="H6367" i="2"/>
  <c r="E6367" i="2"/>
  <c r="J6366" i="2"/>
  <c r="H6366" i="2"/>
  <c r="E6366" i="2"/>
  <c r="J6365" i="2"/>
  <c r="H6365" i="2"/>
  <c r="E6365" i="2"/>
  <c r="J6364" i="2"/>
  <c r="H6364" i="2"/>
  <c r="E6364" i="2"/>
  <c r="J6363" i="2"/>
  <c r="H6363" i="2"/>
  <c r="E6363" i="2"/>
  <c r="J6362" i="2"/>
  <c r="H6362" i="2"/>
  <c r="E6362" i="2"/>
  <c r="J6361" i="2"/>
  <c r="H6361" i="2"/>
  <c r="E6361" i="2"/>
  <c r="J6360" i="2"/>
  <c r="H6360" i="2"/>
  <c r="E6360" i="2"/>
  <c r="J6359" i="2"/>
  <c r="H6359" i="2"/>
  <c r="E6359" i="2"/>
  <c r="J6358" i="2"/>
  <c r="H6358" i="2"/>
  <c r="E6358" i="2"/>
  <c r="J6357" i="2"/>
  <c r="H6357" i="2"/>
  <c r="E6357" i="2"/>
  <c r="J6356" i="2"/>
  <c r="H6356" i="2"/>
  <c r="E6356" i="2"/>
  <c r="J6355" i="2"/>
  <c r="H6355" i="2"/>
  <c r="E6355" i="2"/>
  <c r="J6354" i="2"/>
  <c r="H6354" i="2"/>
  <c r="E6354" i="2"/>
  <c r="J6353" i="2"/>
  <c r="H6353" i="2"/>
  <c r="E6353" i="2"/>
  <c r="J6352" i="2"/>
  <c r="H6352" i="2"/>
  <c r="E6352" i="2"/>
  <c r="J6351" i="2"/>
  <c r="H6351" i="2"/>
  <c r="E6351" i="2"/>
  <c r="J6350" i="2"/>
  <c r="H6350" i="2"/>
  <c r="E6350" i="2"/>
  <c r="J6349" i="2"/>
  <c r="H6349" i="2"/>
  <c r="E6349" i="2"/>
  <c r="J6348" i="2"/>
  <c r="H6348" i="2"/>
  <c r="E6348" i="2"/>
  <c r="J6347" i="2"/>
  <c r="H6347" i="2"/>
  <c r="E6347" i="2"/>
  <c r="J6346" i="2"/>
  <c r="H6346" i="2"/>
  <c r="E6346" i="2"/>
  <c r="J6345" i="2"/>
  <c r="H6345" i="2"/>
  <c r="E6345" i="2"/>
  <c r="J6344" i="2"/>
  <c r="H6344" i="2"/>
  <c r="E6344" i="2"/>
  <c r="J6343" i="2"/>
  <c r="H6343" i="2"/>
  <c r="E6343" i="2"/>
  <c r="J6342" i="2"/>
  <c r="H6342" i="2"/>
  <c r="E6342" i="2"/>
  <c r="J6341" i="2"/>
  <c r="H6341" i="2"/>
  <c r="E6341" i="2"/>
  <c r="J6340" i="2"/>
  <c r="H6340" i="2"/>
  <c r="E6340" i="2"/>
  <c r="J6339" i="2"/>
  <c r="H6339" i="2"/>
  <c r="E6339" i="2"/>
  <c r="J6338" i="2"/>
  <c r="H6338" i="2"/>
  <c r="E6338" i="2"/>
  <c r="J6337" i="2"/>
  <c r="H6337" i="2"/>
  <c r="E6337" i="2"/>
  <c r="J6336" i="2"/>
  <c r="H6336" i="2"/>
  <c r="E6336" i="2"/>
  <c r="J6335" i="2"/>
  <c r="H6335" i="2"/>
  <c r="E6335" i="2"/>
  <c r="J6334" i="2"/>
  <c r="H6334" i="2"/>
  <c r="E6334" i="2"/>
  <c r="J6333" i="2"/>
  <c r="H6333" i="2"/>
  <c r="E6333" i="2"/>
  <c r="J6332" i="2"/>
  <c r="H6332" i="2"/>
  <c r="E6332" i="2"/>
  <c r="J6331" i="2"/>
  <c r="H6331" i="2"/>
  <c r="E6331" i="2"/>
  <c r="J6330" i="2"/>
  <c r="H6330" i="2"/>
  <c r="E6330" i="2"/>
  <c r="J6329" i="2"/>
  <c r="H6329" i="2"/>
  <c r="E6329" i="2"/>
  <c r="J6328" i="2"/>
  <c r="H6328" i="2"/>
  <c r="E6328" i="2"/>
  <c r="J6327" i="2"/>
  <c r="H6327" i="2"/>
  <c r="E6327" i="2"/>
  <c r="J6326" i="2"/>
  <c r="H6326" i="2"/>
  <c r="E6326" i="2"/>
  <c r="J6325" i="2"/>
  <c r="H6325" i="2"/>
  <c r="E6325" i="2"/>
  <c r="J6324" i="2"/>
  <c r="H6324" i="2"/>
  <c r="E6324" i="2"/>
  <c r="J6323" i="2"/>
  <c r="H6323" i="2"/>
  <c r="E6323" i="2"/>
  <c r="J6322" i="2"/>
  <c r="H6322" i="2"/>
  <c r="E6322" i="2"/>
  <c r="J6321" i="2"/>
  <c r="H6321" i="2"/>
  <c r="E6321" i="2"/>
  <c r="J6320" i="2"/>
  <c r="H6320" i="2"/>
  <c r="E6320" i="2"/>
  <c r="J6319" i="2"/>
  <c r="H6319" i="2"/>
  <c r="E6319" i="2"/>
  <c r="J6318" i="2"/>
  <c r="H6318" i="2"/>
  <c r="E6318" i="2"/>
  <c r="J6317" i="2"/>
  <c r="H6317" i="2"/>
  <c r="E6317" i="2"/>
  <c r="J6316" i="2"/>
  <c r="H6316" i="2"/>
  <c r="E6316" i="2"/>
  <c r="J6315" i="2"/>
  <c r="H6315" i="2"/>
  <c r="E6315" i="2"/>
  <c r="J6314" i="2"/>
  <c r="H6314" i="2"/>
  <c r="E6314" i="2"/>
  <c r="J6313" i="2"/>
  <c r="H6313" i="2"/>
  <c r="D6313" i="2"/>
  <c r="E6313" i="2" s="1"/>
  <c r="J6312" i="2"/>
  <c r="H6312" i="2"/>
  <c r="E6312" i="2"/>
  <c r="J6311" i="2"/>
  <c r="H6311" i="2"/>
  <c r="E6311" i="2"/>
  <c r="J6310" i="2"/>
  <c r="H6310" i="2"/>
  <c r="E6310" i="2"/>
  <c r="J6309" i="2"/>
  <c r="H6309" i="2"/>
  <c r="E6309" i="2"/>
  <c r="J6308" i="2"/>
  <c r="H6308" i="2"/>
  <c r="E6308" i="2"/>
  <c r="J6307" i="2"/>
  <c r="H6307" i="2"/>
  <c r="E6307" i="2"/>
  <c r="J6306" i="2"/>
  <c r="H6306" i="2"/>
  <c r="E6306" i="2"/>
  <c r="J6305" i="2"/>
  <c r="H6305" i="2"/>
  <c r="E6305" i="2"/>
  <c r="J6304" i="2"/>
  <c r="H6304" i="2"/>
  <c r="E6304" i="2"/>
  <c r="J6303" i="2"/>
  <c r="H6303" i="2"/>
  <c r="E6303" i="2"/>
  <c r="J6302" i="2"/>
  <c r="H6302" i="2"/>
  <c r="E6302" i="2"/>
  <c r="J6301" i="2"/>
  <c r="H6301" i="2"/>
  <c r="E6301" i="2"/>
  <c r="J6300" i="2"/>
  <c r="H6300" i="2"/>
  <c r="E6300" i="2"/>
  <c r="J6299" i="2"/>
  <c r="H6299" i="2"/>
  <c r="E6299" i="2"/>
  <c r="J6298" i="2"/>
  <c r="H6298" i="2"/>
  <c r="E6298" i="2"/>
  <c r="J6297" i="2"/>
  <c r="H6297" i="2"/>
  <c r="E6297" i="2"/>
  <c r="J6296" i="2"/>
  <c r="H6296" i="2"/>
  <c r="E6296" i="2"/>
  <c r="J6295" i="2"/>
  <c r="H6295" i="2"/>
  <c r="E6295" i="2"/>
  <c r="J6294" i="2"/>
  <c r="H6294" i="2"/>
  <c r="E6294" i="2"/>
  <c r="J6293" i="2"/>
  <c r="H6293" i="2"/>
  <c r="E6293" i="2"/>
  <c r="J6292" i="2"/>
  <c r="H6292" i="2"/>
  <c r="E6292" i="2"/>
  <c r="J6291" i="2"/>
  <c r="H6291" i="2"/>
  <c r="E6291" i="2"/>
  <c r="J6290" i="2"/>
  <c r="H6290" i="2"/>
  <c r="E6290" i="2"/>
  <c r="J6289" i="2"/>
  <c r="H6289" i="2"/>
  <c r="E6289" i="2"/>
  <c r="J6288" i="2"/>
  <c r="H6288" i="2"/>
  <c r="E6288" i="2"/>
  <c r="J6287" i="2"/>
  <c r="H6287" i="2"/>
  <c r="E6287" i="2"/>
  <c r="J6286" i="2"/>
  <c r="H6286" i="2"/>
  <c r="E6286" i="2"/>
  <c r="J6285" i="2"/>
  <c r="H6285" i="2"/>
  <c r="E6285" i="2"/>
  <c r="J6284" i="2"/>
  <c r="H6284" i="2"/>
  <c r="E6284" i="2"/>
  <c r="J6283" i="2"/>
  <c r="H6283" i="2"/>
  <c r="E6283" i="2"/>
  <c r="J6282" i="2"/>
  <c r="H6282" i="2"/>
  <c r="E6282" i="2"/>
  <c r="J6281" i="2"/>
  <c r="H6281" i="2"/>
  <c r="E6281" i="2"/>
  <c r="J6280" i="2"/>
  <c r="H6280" i="2"/>
  <c r="E6280" i="2"/>
  <c r="J6279" i="2"/>
  <c r="H6279" i="2"/>
  <c r="E6279" i="2"/>
  <c r="J6278" i="2"/>
  <c r="H6278" i="2"/>
  <c r="E6278" i="2"/>
  <c r="J6277" i="2"/>
  <c r="H6277" i="2"/>
  <c r="E6277" i="2"/>
  <c r="J6276" i="2"/>
  <c r="H6276" i="2"/>
  <c r="D6276" i="2"/>
  <c r="E6276" i="2" s="1"/>
  <c r="J6275" i="2"/>
  <c r="H6275" i="2"/>
  <c r="E6275" i="2"/>
  <c r="J6274" i="2"/>
  <c r="H6274" i="2"/>
  <c r="E6274" i="2"/>
  <c r="J6273" i="2"/>
  <c r="H6273" i="2"/>
  <c r="E6273" i="2"/>
  <c r="J6272" i="2"/>
  <c r="H6272" i="2"/>
  <c r="E6272" i="2"/>
  <c r="J6271" i="2"/>
  <c r="H6271" i="2"/>
  <c r="E6271" i="2"/>
  <c r="J6270" i="2"/>
  <c r="H6270" i="2"/>
  <c r="E6270" i="2"/>
  <c r="J6269" i="2"/>
  <c r="H6269" i="2"/>
  <c r="E6269" i="2"/>
  <c r="J6268" i="2"/>
  <c r="H6268" i="2"/>
  <c r="E6268" i="2"/>
  <c r="J6267" i="2"/>
  <c r="H6267" i="2"/>
  <c r="E6267" i="2"/>
  <c r="J6266" i="2"/>
  <c r="H6266" i="2"/>
  <c r="E6266" i="2"/>
  <c r="J6265" i="2"/>
  <c r="H6265" i="2"/>
  <c r="E6265" i="2"/>
  <c r="J6264" i="2"/>
  <c r="H6264" i="2"/>
  <c r="E6264" i="2"/>
  <c r="J6263" i="2"/>
  <c r="H6263" i="2"/>
  <c r="E6263" i="2"/>
  <c r="J6262" i="2"/>
  <c r="H6262" i="2"/>
  <c r="E6262" i="2"/>
  <c r="J6261" i="2"/>
  <c r="H6261" i="2"/>
  <c r="E6261" i="2"/>
  <c r="J6260" i="2"/>
  <c r="H6260" i="2"/>
  <c r="E6260" i="2"/>
  <c r="J6259" i="2"/>
  <c r="H6259" i="2"/>
  <c r="E6259" i="2"/>
  <c r="J6258" i="2"/>
  <c r="H6258" i="2"/>
  <c r="E6258" i="2"/>
  <c r="J6257" i="2"/>
  <c r="H6257" i="2"/>
  <c r="E6257" i="2"/>
  <c r="J6256" i="2"/>
  <c r="H6256" i="2"/>
  <c r="E6256" i="2"/>
  <c r="J6255" i="2"/>
  <c r="H6255" i="2"/>
  <c r="E6255" i="2"/>
  <c r="J6254" i="2"/>
  <c r="H6254" i="2"/>
  <c r="E6254" i="2"/>
  <c r="J6253" i="2"/>
  <c r="H6253" i="2"/>
  <c r="E6253" i="2"/>
  <c r="J6252" i="2"/>
  <c r="H6252" i="2"/>
  <c r="E6252" i="2"/>
  <c r="J6251" i="2"/>
  <c r="H6251" i="2"/>
  <c r="E6251" i="2"/>
  <c r="J6250" i="2"/>
  <c r="H6250" i="2"/>
  <c r="E6250" i="2"/>
  <c r="J6249" i="2"/>
  <c r="H6249" i="2"/>
  <c r="E6249" i="2"/>
  <c r="J6248" i="2"/>
  <c r="H6248" i="2"/>
  <c r="E6248" i="2"/>
  <c r="J6247" i="2"/>
  <c r="H6247" i="2"/>
  <c r="E6247" i="2"/>
  <c r="J6246" i="2"/>
  <c r="H6246" i="2"/>
  <c r="E6246" i="2"/>
  <c r="J6245" i="2"/>
  <c r="H6245" i="2"/>
  <c r="D6245" i="2"/>
  <c r="E6245" i="2" s="1"/>
  <c r="J6244" i="2"/>
  <c r="H6244" i="2"/>
  <c r="E6244" i="2"/>
  <c r="J6243" i="2"/>
  <c r="H6243" i="2"/>
  <c r="E6243" i="2"/>
  <c r="J6242" i="2"/>
  <c r="H6242" i="2"/>
  <c r="E6242" i="2"/>
  <c r="J6241" i="2"/>
  <c r="H6241" i="2"/>
  <c r="E6241" i="2"/>
  <c r="J6240" i="2"/>
  <c r="H6240" i="2"/>
  <c r="E6240" i="2"/>
  <c r="J6239" i="2"/>
  <c r="H6239" i="2"/>
  <c r="E6239" i="2"/>
  <c r="J6238" i="2"/>
  <c r="H6238" i="2"/>
  <c r="E6238" i="2"/>
  <c r="J6237" i="2"/>
  <c r="H6237" i="2"/>
  <c r="E6237" i="2"/>
  <c r="J6236" i="2"/>
  <c r="H6236" i="2"/>
  <c r="E6236" i="2"/>
  <c r="J6235" i="2"/>
  <c r="H6235" i="2"/>
  <c r="E6235" i="2"/>
  <c r="J6234" i="2"/>
  <c r="H6234" i="2"/>
  <c r="E6234" i="2"/>
  <c r="J6233" i="2"/>
  <c r="H6233" i="2"/>
  <c r="E6233" i="2"/>
  <c r="J6232" i="2"/>
  <c r="H6232" i="2"/>
  <c r="E6232" i="2"/>
  <c r="J6231" i="2"/>
  <c r="H6231" i="2"/>
  <c r="E6231" i="2"/>
  <c r="J6230" i="2"/>
  <c r="H6230" i="2"/>
  <c r="E6230" i="2"/>
  <c r="J6229" i="2"/>
  <c r="H6229" i="2"/>
  <c r="E6229" i="2"/>
  <c r="J6228" i="2"/>
  <c r="H6228" i="2"/>
  <c r="E6228" i="2"/>
  <c r="J6227" i="2"/>
  <c r="H6227" i="2"/>
  <c r="E6227" i="2"/>
  <c r="J6226" i="2"/>
  <c r="H6226" i="2"/>
  <c r="E6226" i="2"/>
  <c r="J6225" i="2"/>
  <c r="H6225" i="2"/>
  <c r="E6225" i="2"/>
  <c r="J6224" i="2"/>
  <c r="H6224" i="2"/>
  <c r="E6224" i="2"/>
  <c r="J6223" i="2"/>
  <c r="H6223" i="2"/>
  <c r="E6223" i="2"/>
  <c r="J6222" i="2"/>
  <c r="H6222" i="2"/>
  <c r="E6222" i="2"/>
  <c r="J6221" i="2"/>
  <c r="H6221" i="2"/>
  <c r="E6221" i="2"/>
  <c r="J6220" i="2"/>
  <c r="H6220" i="2"/>
  <c r="E6220" i="2"/>
  <c r="J6219" i="2"/>
  <c r="H6219" i="2"/>
  <c r="E6219" i="2"/>
  <c r="J6218" i="2"/>
  <c r="H6218" i="2"/>
  <c r="E6218" i="2"/>
  <c r="J6217" i="2"/>
  <c r="H6217" i="2"/>
  <c r="E6217" i="2"/>
  <c r="J6216" i="2"/>
  <c r="H6216" i="2"/>
  <c r="E6216" i="2"/>
  <c r="J6215" i="2"/>
  <c r="H6215" i="2"/>
  <c r="E6215" i="2"/>
  <c r="J6214" i="2"/>
  <c r="H6214" i="2"/>
  <c r="E6214" i="2"/>
  <c r="J6213" i="2"/>
  <c r="H6213" i="2"/>
  <c r="E6213" i="2"/>
  <c r="J6212" i="2"/>
  <c r="H6212" i="2"/>
  <c r="E6212" i="2"/>
  <c r="J6211" i="2"/>
  <c r="H6211" i="2"/>
  <c r="D6211" i="2"/>
  <c r="E6211" i="2" s="1"/>
  <c r="J6210" i="2"/>
  <c r="H6210" i="2"/>
  <c r="E6210" i="2"/>
  <c r="J6209" i="2"/>
  <c r="H6209" i="2"/>
  <c r="E6209" i="2"/>
  <c r="J6208" i="2"/>
  <c r="H6208" i="2"/>
  <c r="E6208" i="2"/>
  <c r="J6207" i="2"/>
  <c r="H6207" i="2"/>
  <c r="E6207" i="2"/>
  <c r="J6206" i="2"/>
  <c r="H6206" i="2"/>
  <c r="E6206" i="2"/>
  <c r="J6205" i="2"/>
  <c r="H6205" i="2"/>
  <c r="E6205" i="2"/>
  <c r="J6204" i="2"/>
  <c r="H6204" i="2"/>
  <c r="E6204" i="2"/>
  <c r="J6203" i="2"/>
  <c r="H6203" i="2"/>
  <c r="E6203" i="2"/>
  <c r="J6202" i="2"/>
  <c r="H6202" i="2"/>
  <c r="E6202" i="2"/>
  <c r="J6201" i="2"/>
  <c r="H6201" i="2"/>
  <c r="E6201" i="2"/>
  <c r="J6200" i="2"/>
  <c r="H6200" i="2"/>
  <c r="E6200" i="2"/>
  <c r="J6199" i="2"/>
  <c r="H6199" i="2"/>
  <c r="E6199" i="2"/>
  <c r="J6198" i="2"/>
  <c r="H6198" i="2"/>
  <c r="E6198" i="2"/>
  <c r="J6197" i="2"/>
  <c r="H6197" i="2"/>
  <c r="E6197" i="2"/>
  <c r="J6196" i="2"/>
  <c r="H6196" i="2"/>
  <c r="E6196" i="2"/>
  <c r="J6195" i="2"/>
  <c r="H6195" i="2"/>
  <c r="E6195" i="2"/>
  <c r="J6194" i="2"/>
  <c r="H6194" i="2"/>
  <c r="E6194" i="2"/>
  <c r="J6193" i="2"/>
  <c r="H6193" i="2"/>
  <c r="E6193" i="2"/>
  <c r="J6192" i="2"/>
  <c r="H6192" i="2"/>
  <c r="E6192" i="2"/>
  <c r="J6191" i="2"/>
  <c r="H6191" i="2"/>
  <c r="E6191" i="2"/>
  <c r="J6190" i="2"/>
  <c r="H6190" i="2"/>
  <c r="E6190" i="2"/>
  <c r="J6189" i="2"/>
  <c r="H6189" i="2"/>
  <c r="E6189" i="2"/>
  <c r="J6188" i="2"/>
  <c r="H6188" i="2"/>
  <c r="D6188" i="2"/>
  <c r="E6188" i="2" s="1"/>
  <c r="J6187" i="2"/>
  <c r="H6187" i="2"/>
  <c r="E6187" i="2"/>
  <c r="J6186" i="2"/>
  <c r="H6186" i="2"/>
  <c r="E6186" i="2"/>
  <c r="J6185" i="2"/>
  <c r="H6185" i="2"/>
  <c r="E6185" i="2"/>
  <c r="J6184" i="2"/>
  <c r="H6184" i="2"/>
  <c r="E6184" i="2"/>
  <c r="J6183" i="2"/>
  <c r="H6183" i="2"/>
  <c r="D6183" i="2"/>
  <c r="E6183" i="2" s="1"/>
  <c r="J6182" i="2"/>
  <c r="H6182" i="2"/>
  <c r="E6182" i="2"/>
  <c r="J6181" i="2"/>
  <c r="H6181" i="2"/>
  <c r="E6181" i="2"/>
  <c r="J6180" i="2"/>
  <c r="H6180" i="2"/>
  <c r="E6180" i="2"/>
  <c r="J6179" i="2"/>
  <c r="H6179" i="2"/>
  <c r="E6179" i="2"/>
  <c r="J6178" i="2"/>
  <c r="H6178" i="2"/>
  <c r="D6178" i="2"/>
  <c r="E6178" i="2" s="1"/>
  <c r="J6177" i="2"/>
  <c r="H6177" i="2"/>
  <c r="E6177" i="2"/>
  <c r="J6176" i="2"/>
  <c r="H6176" i="2"/>
  <c r="E6176" i="2"/>
  <c r="J6175" i="2"/>
  <c r="H6175" i="2"/>
  <c r="E6175" i="2"/>
  <c r="J6174" i="2"/>
  <c r="H6174" i="2"/>
  <c r="E6174" i="2"/>
  <c r="J6173" i="2"/>
  <c r="H6173" i="2"/>
  <c r="E6173" i="2"/>
  <c r="J6172" i="2"/>
  <c r="H6172" i="2"/>
  <c r="E6172" i="2"/>
  <c r="J6171" i="2"/>
  <c r="H6171" i="2"/>
  <c r="E6171" i="2"/>
  <c r="J6170" i="2"/>
  <c r="H6170" i="2"/>
  <c r="E6170" i="2"/>
  <c r="J6169" i="2"/>
  <c r="H6169" i="2"/>
  <c r="E6169" i="2"/>
  <c r="J6168" i="2"/>
  <c r="H6168" i="2"/>
  <c r="E6168" i="2"/>
  <c r="J6167" i="2"/>
  <c r="H6167" i="2"/>
  <c r="E6167" i="2"/>
  <c r="J6166" i="2"/>
  <c r="H6166" i="2"/>
  <c r="E6166" i="2"/>
  <c r="J6165" i="2"/>
  <c r="H6165" i="2"/>
  <c r="E6165" i="2"/>
  <c r="J6164" i="2"/>
  <c r="H6164" i="2"/>
  <c r="E6164" i="2"/>
  <c r="J6163" i="2"/>
  <c r="H6163" i="2"/>
  <c r="E6163" i="2"/>
  <c r="J6162" i="2"/>
  <c r="H6162" i="2"/>
  <c r="E6162" i="2"/>
  <c r="J6161" i="2"/>
  <c r="H6161" i="2"/>
  <c r="E6161" i="2"/>
  <c r="J6160" i="2"/>
  <c r="H6160" i="2"/>
  <c r="E6160" i="2"/>
  <c r="J6159" i="2"/>
  <c r="H6159" i="2"/>
  <c r="E6159" i="2"/>
  <c r="J6158" i="2"/>
  <c r="H6158" i="2"/>
  <c r="E6158" i="2"/>
  <c r="J6157" i="2"/>
  <c r="H6157" i="2"/>
  <c r="E6157" i="2"/>
  <c r="J6156" i="2"/>
  <c r="H6156" i="2"/>
  <c r="E6156" i="2"/>
  <c r="J6155" i="2"/>
  <c r="H6155" i="2"/>
  <c r="E6155" i="2"/>
  <c r="J6154" i="2"/>
  <c r="H6154" i="2"/>
  <c r="E6154" i="2"/>
  <c r="J6153" i="2"/>
  <c r="H6153" i="2"/>
  <c r="E6153" i="2"/>
  <c r="J6152" i="2"/>
  <c r="H6152" i="2"/>
  <c r="E6152" i="2"/>
  <c r="J6151" i="2"/>
  <c r="H6151" i="2"/>
  <c r="E6151" i="2"/>
  <c r="J6150" i="2"/>
  <c r="H6150" i="2"/>
  <c r="E6150" i="2"/>
  <c r="J6149" i="2"/>
  <c r="H6149" i="2"/>
  <c r="E6149" i="2"/>
  <c r="J6148" i="2"/>
  <c r="H6148" i="2"/>
  <c r="E6148" i="2"/>
  <c r="J6147" i="2"/>
  <c r="H6147" i="2"/>
  <c r="E6147" i="2"/>
  <c r="J6146" i="2"/>
  <c r="H6146" i="2"/>
  <c r="E6146" i="2"/>
  <c r="J6145" i="2"/>
  <c r="H6145" i="2"/>
  <c r="D6145" i="2"/>
  <c r="E6145" i="2" s="1"/>
  <c r="J6144" i="2"/>
  <c r="H6144" i="2"/>
  <c r="E6144" i="2"/>
  <c r="J6143" i="2"/>
  <c r="H6143" i="2"/>
  <c r="E6143" i="2"/>
  <c r="J6142" i="2"/>
  <c r="H6142" i="2"/>
  <c r="E6142" i="2"/>
  <c r="J6141" i="2"/>
  <c r="H6141" i="2"/>
  <c r="E6141" i="2"/>
  <c r="J6140" i="2"/>
  <c r="H6140" i="2"/>
  <c r="E6140" i="2"/>
  <c r="J6139" i="2"/>
  <c r="H6139" i="2"/>
  <c r="E6139" i="2"/>
  <c r="J6138" i="2"/>
  <c r="H6138" i="2"/>
  <c r="E6138" i="2"/>
  <c r="J6137" i="2"/>
  <c r="H6137" i="2"/>
  <c r="E6137" i="2"/>
  <c r="J6136" i="2"/>
  <c r="H6136" i="2"/>
  <c r="E6136" i="2"/>
  <c r="J6135" i="2"/>
  <c r="H6135" i="2"/>
  <c r="E6135" i="2"/>
  <c r="J6134" i="2"/>
  <c r="H6134" i="2"/>
  <c r="E6134" i="2"/>
  <c r="J6133" i="2"/>
  <c r="H6133" i="2"/>
  <c r="E6133" i="2"/>
  <c r="J6132" i="2"/>
  <c r="H6132" i="2"/>
  <c r="E6132" i="2"/>
  <c r="J6131" i="2"/>
  <c r="H6131" i="2"/>
  <c r="E6131" i="2"/>
  <c r="J6130" i="2"/>
  <c r="H6130" i="2"/>
  <c r="E6130" i="2"/>
  <c r="J6129" i="2"/>
  <c r="H6129" i="2"/>
  <c r="E6129" i="2"/>
  <c r="J6128" i="2"/>
  <c r="H6128" i="2"/>
  <c r="E6128" i="2"/>
  <c r="J6127" i="2"/>
  <c r="H6127" i="2"/>
  <c r="E6127" i="2"/>
  <c r="J6126" i="2"/>
  <c r="H6126" i="2"/>
  <c r="E6126" i="2"/>
  <c r="J6125" i="2"/>
  <c r="H6125" i="2"/>
  <c r="E6125" i="2"/>
  <c r="J6124" i="2"/>
  <c r="H6124" i="2"/>
  <c r="E6124" i="2"/>
  <c r="J6123" i="2"/>
  <c r="H6123" i="2"/>
  <c r="E6123" i="2"/>
  <c r="J6122" i="2"/>
  <c r="H6122" i="2"/>
  <c r="E6122" i="2"/>
  <c r="J6121" i="2"/>
  <c r="H6121" i="2"/>
  <c r="D6121" i="2"/>
  <c r="E6121" i="2" s="1"/>
  <c r="J6120" i="2"/>
  <c r="H6120" i="2"/>
  <c r="D6120" i="2"/>
  <c r="E6120" i="2" s="1"/>
  <c r="J6119" i="2"/>
  <c r="H6119" i="2"/>
  <c r="E6119" i="2"/>
  <c r="J6118" i="2"/>
  <c r="H6118" i="2"/>
  <c r="E6118" i="2"/>
  <c r="J6117" i="2"/>
  <c r="H6117" i="2"/>
  <c r="E6117" i="2"/>
  <c r="J6116" i="2"/>
  <c r="H6116" i="2"/>
  <c r="E6116" i="2"/>
  <c r="J6115" i="2"/>
  <c r="H6115" i="2"/>
  <c r="E6115" i="2"/>
  <c r="J6114" i="2"/>
  <c r="H6114" i="2"/>
  <c r="E6114" i="2"/>
  <c r="J6113" i="2"/>
  <c r="H6113" i="2"/>
  <c r="E6113" i="2"/>
  <c r="J6112" i="2"/>
  <c r="H6112" i="2"/>
  <c r="E6112" i="2"/>
  <c r="J6111" i="2"/>
  <c r="H6111" i="2"/>
  <c r="E6111" i="2"/>
  <c r="J6110" i="2"/>
  <c r="H6110" i="2"/>
  <c r="E6110" i="2"/>
  <c r="J6109" i="2"/>
  <c r="H6109" i="2"/>
  <c r="E6109" i="2"/>
  <c r="J6108" i="2"/>
  <c r="H6108" i="2"/>
  <c r="E6108" i="2"/>
  <c r="J6107" i="2"/>
  <c r="H6107" i="2"/>
  <c r="E6107" i="2"/>
  <c r="J6106" i="2"/>
  <c r="H6106" i="2"/>
  <c r="E6106" i="2"/>
  <c r="J6105" i="2"/>
  <c r="H6105" i="2"/>
  <c r="D6105" i="2"/>
  <c r="E6105" i="2" s="1"/>
  <c r="J6104" i="2"/>
  <c r="H6104" i="2"/>
  <c r="E6104" i="2"/>
  <c r="J6103" i="2"/>
  <c r="H6103" i="2"/>
  <c r="E6103" i="2"/>
  <c r="J6102" i="2"/>
  <c r="H6102" i="2"/>
  <c r="E6102" i="2"/>
  <c r="J6101" i="2"/>
  <c r="H6101" i="2"/>
  <c r="E6101" i="2"/>
  <c r="J6100" i="2"/>
  <c r="H6100" i="2"/>
  <c r="E6100" i="2"/>
  <c r="J6099" i="2"/>
  <c r="H6099" i="2"/>
  <c r="E6099" i="2"/>
  <c r="J6098" i="2"/>
  <c r="H6098" i="2"/>
  <c r="E6098" i="2"/>
  <c r="J6097" i="2"/>
  <c r="H6097" i="2"/>
  <c r="E6097" i="2"/>
  <c r="J6096" i="2"/>
  <c r="H6096" i="2"/>
  <c r="E6096" i="2"/>
  <c r="J6095" i="2"/>
  <c r="H6095" i="2"/>
  <c r="E6095" i="2"/>
  <c r="J6094" i="2"/>
  <c r="H6094" i="2"/>
  <c r="E6094" i="2"/>
  <c r="J6093" i="2"/>
  <c r="H6093" i="2"/>
  <c r="E6093" i="2"/>
  <c r="J6092" i="2"/>
  <c r="H6092" i="2"/>
  <c r="E6092" i="2"/>
  <c r="J6091" i="2"/>
  <c r="H6091" i="2"/>
  <c r="E6091" i="2"/>
  <c r="J6090" i="2"/>
  <c r="H6090" i="2"/>
  <c r="E6090" i="2"/>
  <c r="J6089" i="2"/>
  <c r="H6089" i="2"/>
  <c r="E6089" i="2"/>
  <c r="J6088" i="2"/>
  <c r="H6088" i="2"/>
  <c r="E6088" i="2"/>
  <c r="J6087" i="2"/>
  <c r="H6087" i="2"/>
  <c r="E6087" i="2"/>
  <c r="J6086" i="2"/>
  <c r="H6086" i="2"/>
  <c r="E6086" i="2"/>
  <c r="J6085" i="2"/>
  <c r="H6085" i="2"/>
  <c r="E6085" i="2"/>
  <c r="J6084" i="2"/>
  <c r="H6084" i="2"/>
  <c r="E6084" i="2"/>
  <c r="J6083" i="2"/>
  <c r="H6083" i="2"/>
  <c r="E6083" i="2"/>
  <c r="J6082" i="2"/>
  <c r="H6082" i="2"/>
  <c r="E6082" i="2"/>
  <c r="J6081" i="2"/>
  <c r="H6081" i="2"/>
  <c r="E6081" i="2"/>
  <c r="J6080" i="2"/>
  <c r="H6080" i="2"/>
  <c r="E6080" i="2"/>
  <c r="J6079" i="2"/>
  <c r="H6079" i="2"/>
  <c r="E6079" i="2"/>
  <c r="J6078" i="2"/>
  <c r="H6078" i="2"/>
  <c r="E6078" i="2"/>
  <c r="J6077" i="2"/>
  <c r="H6077" i="2"/>
  <c r="E6077" i="2"/>
  <c r="J6076" i="2"/>
  <c r="H6076" i="2"/>
  <c r="E6076" i="2"/>
  <c r="J6075" i="2"/>
  <c r="H6075" i="2"/>
  <c r="E6075" i="2"/>
  <c r="J6074" i="2"/>
  <c r="H6074" i="2"/>
  <c r="E6074" i="2"/>
  <c r="J6073" i="2"/>
  <c r="H6073" i="2"/>
  <c r="E6073" i="2"/>
  <c r="J6072" i="2"/>
  <c r="H6072" i="2"/>
  <c r="E6072" i="2"/>
  <c r="J6071" i="2"/>
  <c r="H6071" i="2"/>
  <c r="E6071" i="2"/>
  <c r="J6070" i="2"/>
  <c r="H6070" i="2"/>
  <c r="E6070" i="2"/>
  <c r="J6069" i="2"/>
  <c r="H6069" i="2"/>
  <c r="E6069" i="2"/>
  <c r="J6068" i="2"/>
  <c r="H6068" i="2"/>
  <c r="E6068" i="2"/>
  <c r="J6067" i="2"/>
  <c r="H6067" i="2"/>
  <c r="E6067" i="2"/>
  <c r="J6066" i="2"/>
  <c r="H6066" i="2"/>
  <c r="E6066" i="2"/>
  <c r="J6065" i="2"/>
  <c r="H6065" i="2"/>
  <c r="E6065" i="2"/>
  <c r="J6064" i="2"/>
  <c r="H6064" i="2"/>
  <c r="E6064" i="2"/>
  <c r="J6063" i="2"/>
  <c r="H6063" i="2"/>
  <c r="E6063" i="2"/>
  <c r="J6062" i="2"/>
  <c r="H6062" i="2"/>
  <c r="E6062" i="2"/>
  <c r="J6061" i="2"/>
  <c r="H6061" i="2"/>
  <c r="E6061" i="2"/>
  <c r="J6060" i="2"/>
  <c r="H6060" i="2"/>
  <c r="E6060" i="2"/>
  <c r="J6059" i="2"/>
  <c r="H6059" i="2"/>
  <c r="E6059" i="2"/>
  <c r="J6058" i="2"/>
  <c r="H6058" i="2"/>
  <c r="E6058" i="2"/>
  <c r="J6057" i="2"/>
  <c r="H6057" i="2"/>
  <c r="E6057" i="2"/>
  <c r="J6056" i="2"/>
  <c r="H6056" i="2"/>
  <c r="E6056" i="2"/>
  <c r="J6055" i="2"/>
  <c r="H6055" i="2"/>
  <c r="E6055" i="2"/>
  <c r="J6054" i="2"/>
  <c r="H6054" i="2"/>
  <c r="E6054" i="2"/>
  <c r="J6053" i="2"/>
  <c r="H6053" i="2"/>
  <c r="E6053" i="2"/>
  <c r="J6052" i="2"/>
  <c r="H6052" i="2"/>
  <c r="E6052" i="2"/>
  <c r="J6051" i="2"/>
  <c r="H6051" i="2"/>
  <c r="E6051" i="2"/>
  <c r="J6050" i="2"/>
  <c r="H6050" i="2"/>
  <c r="E6050" i="2"/>
  <c r="J6049" i="2"/>
  <c r="H6049" i="2"/>
  <c r="E6049" i="2"/>
  <c r="J6048" i="2"/>
  <c r="H6048" i="2"/>
  <c r="E6048" i="2"/>
  <c r="J6047" i="2"/>
  <c r="H6047" i="2"/>
  <c r="E6047" i="2"/>
  <c r="J6046" i="2"/>
  <c r="H6046" i="2"/>
  <c r="E6046" i="2"/>
  <c r="J6045" i="2"/>
  <c r="H6045" i="2"/>
  <c r="E6045" i="2"/>
  <c r="J6044" i="2"/>
  <c r="H6044" i="2"/>
  <c r="E6044" i="2"/>
  <c r="J6043" i="2"/>
  <c r="H6043" i="2"/>
  <c r="E6043" i="2"/>
  <c r="J6042" i="2"/>
  <c r="H6042" i="2"/>
  <c r="E6042" i="2"/>
  <c r="J6041" i="2"/>
  <c r="H6041" i="2"/>
  <c r="E6041" i="2"/>
  <c r="J6040" i="2"/>
  <c r="H6040" i="2"/>
  <c r="E6040" i="2"/>
  <c r="J6039" i="2"/>
  <c r="H6039" i="2"/>
  <c r="E6039" i="2"/>
  <c r="J6038" i="2"/>
  <c r="H6038" i="2"/>
  <c r="E6038" i="2"/>
  <c r="J6037" i="2"/>
  <c r="H6037" i="2"/>
  <c r="E6037" i="2"/>
  <c r="J6036" i="2"/>
  <c r="H6036" i="2"/>
  <c r="E6036" i="2"/>
  <c r="J6035" i="2"/>
  <c r="H6035" i="2"/>
  <c r="E6035" i="2"/>
  <c r="J6034" i="2"/>
  <c r="H6034" i="2"/>
  <c r="E6034" i="2"/>
  <c r="J6033" i="2"/>
  <c r="H6033" i="2"/>
  <c r="E6033" i="2"/>
  <c r="J6032" i="2"/>
  <c r="H6032" i="2"/>
  <c r="D6032" i="2"/>
  <c r="E6032" i="2" s="1"/>
  <c r="J6031" i="2"/>
  <c r="H6031" i="2"/>
  <c r="E6031" i="2"/>
  <c r="J6030" i="2"/>
  <c r="H6030" i="2"/>
  <c r="E6030" i="2"/>
  <c r="J6029" i="2"/>
  <c r="H6029" i="2"/>
  <c r="E6029" i="2"/>
  <c r="J6028" i="2"/>
  <c r="H6028" i="2"/>
  <c r="E6028" i="2"/>
  <c r="J6027" i="2"/>
  <c r="H6027" i="2"/>
  <c r="E6027" i="2"/>
  <c r="J6026" i="2"/>
  <c r="H6026" i="2"/>
  <c r="E6026" i="2"/>
  <c r="J6025" i="2"/>
  <c r="H6025" i="2"/>
  <c r="E6025" i="2"/>
  <c r="J6024" i="2"/>
  <c r="H6024" i="2"/>
  <c r="E6024" i="2"/>
  <c r="J6023" i="2"/>
  <c r="H6023" i="2"/>
  <c r="E6023" i="2"/>
  <c r="J6022" i="2"/>
  <c r="H6022" i="2"/>
  <c r="E6022" i="2"/>
  <c r="J6021" i="2"/>
  <c r="H6021" i="2"/>
  <c r="E6021" i="2"/>
  <c r="J6020" i="2"/>
  <c r="H6020" i="2"/>
  <c r="E6020" i="2"/>
  <c r="J6019" i="2"/>
  <c r="H6019" i="2"/>
  <c r="E6019" i="2"/>
  <c r="J6018" i="2"/>
  <c r="H6018" i="2"/>
  <c r="E6018" i="2"/>
  <c r="J6017" i="2"/>
  <c r="H6017" i="2"/>
  <c r="E6017" i="2"/>
  <c r="J6016" i="2"/>
  <c r="H6016" i="2"/>
  <c r="E6016" i="2"/>
  <c r="J6015" i="2"/>
  <c r="H6015" i="2"/>
  <c r="E6015" i="2"/>
  <c r="J6014" i="2"/>
  <c r="H6014" i="2"/>
  <c r="E6014" i="2"/>
  <c r="J6013" i="2"/>
  <c r="H6013" i="2"/>
  <c r="E6013" i="2"/>
  <c r="J6012" i="2"/>
  <c r="H6012" i="2"/>
  <c r="E6012" i="2"/>
  <c r="J6011" i="2"/>
  <c r="H6011" i="2"/>
  <c r="E6011" i="2"/>
  <c r="J6010" i="2"/>
  <c r="H6010" i="2"/>
  <c r="E6010" i="2"/>
  <c r="J6009" i="2"/>
  <c r="H6009" i="2"/>
  <c r="E6009" i="2"/>
  <c r="J6008" i="2"/>
  <c r="H6008" i="2"/>
  <c r="E6008" i="2"/>
  <c r="J6007" i="2"/>
  <c r="H6007" i="2"/>
  <c r="E6007" i="2"/>
  <c r="J6006" i="2"/>
  <c r="H6006" i="2"/>
  <c r="E6006" i="2"/>
  <c r="J6005" i="2"/>
  <c r="H6005" i="2"/>
  <c r="E6005" i="2"/>
  <c r="J6004" i="2"/>
  <c r="H6004" i="2"/>
  <c r="E6004" i="2"/>
  <c r="J6003" i="2"/>
  <c r="H6003" i="2"/>
  <c r="E6003" i="2"/>
  <c r="J6002" i="2"/>
  <c r="H6002" i="2"/>
  <c r="E6002" i="2"/>
  <c r="J6001" i="2"/>
  <c r="H6001" i="2"/>
  <c r="E6001" i="2"/>
  <c r="J6000" i="2"/>
  <c r="H6000" i="2"/>
  <c r="E6000" i="2"/>
  <c r="J5999" i="2"/>
  <c r="H5999" i="2"/>
  <c r="E5999" i="2"/>
  <c r="J5998" i="2"/>
  <c r="H5998" i="2"/>
  <c r="E5998" i="2"/>
  <c r="J5997" i="2"/>
  <c r="H5997" i="2"/>
  <c r="E5997" i="2"/>
  <c r="J5996" i="2"/>
  <c r="H5996" i="2"/>
  <c r="E5996" i="2"/>
  <c r="J5995" i="2"/>
  <c r="H5995" i="2"/>
  <c r="E5995" i="2"/>
  <c r="J5994" i="2"/>
  <c r="H5994" i="2"/>
  <c r="E5994" i="2"/>
  <c r="J5993" i="2"/>
  <c r="H5993" i="2"/>
  <c r="E5993" i="2"/>
  <c r="J5992" i="2"/>
  <c r="H5992" i="2"/>
  <c r="E5992" i="2"/>
  <c r="J5991" i="2"/>
  <c r="H5991" i="2"/>
  <c r="E5991" i="2"/>
  <c r="J5990" i="2"/>
  <c r="H5990" i="2"/>
  <c r="E5990" i="2"/>
  <c r="J5989" i="2"/>
  <c r="H5989" i="2"/>
  <c r="E5989" i="2"/>
  <c r="J5988" i="2"/>
  <c r="H5988" i="2"/>
  <c r="E5988" i="2"/>
  <c r="J5987" i="2"/>
  <c r="H5987" i="2"/>
  <c r="E5987" i="2"/>
  <c r="J5986" i="2"/>
  <c r="H5986" i="2"/>
  <c r="E5986" i="2"/>
  <c r="J5985" i="2"/>
  <c r="H5985" i="2"/>
  <c r="E5985" i="2"/>
  <c r="J5984" i="2"/>
  <c r="H5984" i="2"/>
  <c r="E5984" i="2"/>
  <c r="J5983" i="2"/>
  <c r="H5983" i="2"/>
  <c r="E5983" i="2"/>
  <c r="J5982" i="2"/>
  <c r="H5982" i="2"/>
  <c r="E5982" i="2"/>
  <c r="J5981" i="2"/>
  <c r="H5981" i="2"/>
  <c r="E5981" i="2"/>
  <c r="J5980" i="2"/>
  <c r="H5980" i="2"/>
  <c r="E5980" i="2"/>
  <c r="J5979" i="2"/>
  <c r="H5979" i="2"/>
  <c r="E5979" i="2"/>
  <c r="J5978" i="2"/>
  <c r="H5978" i="2"/>
  <c r="E5978" i="2"/>
  <c r="J5977" i="2"/>
  <c r="H5977" i="2"/>
  <c r="E5977" i="2"/>
  <c r="J5976" i="2"/>
  <c r="H5976" i="2"/>
  <c r="E5976" i="2"/>
  <c r="J5975" i="2"/>
  <c r="H5975" i="2"/>
  <c r="E5975" i="2"/>
  <c r="J5974" i="2"/>
  <c r="H5974" i="2"/>
  <c r="E5974" i="2"/>
  <c r="J5973" i="2"/>
  <c r="H5973" i="2"/>
  <c r="E5973" i="2"/>
  <c r="J5972" i="2"/>
  <c r="H5972" i="2"/>
  <c r="E5972" i="2"/>
  <c r="J5971" i="2"/>
  <c r="H5971" i="2"/>
  <c r="E5971" i="2"/>
  <c r="J5970" i="2"/>
  <c r="H5970" i="2"/>
  <c r="E5970" i="2"/>
  <c r="J5969" i="2"/>
  <c r="H5969" i="2"/>
  <c r="E5969" i="2"/>
  <c r="J5968" i="2"/>
  <c r="H5968" i="2"/>
  <c r="E5968" i="2"/>
  <c r="J5967" i="2"/>
  <c r="H5967" i="2"/>
  <c r="E5967" i="2"/>
  <c r="J5966" i="2"/>
  <c r="H5966" i="2"/>
  <c r="E5966" i="2"/>
  <c r="J5965" i="2"/>
  <c r="H5965" i="2"/>
  <c r="E5965" i="2"/>
  <c r="J5964" i="2"/>
  <c r="H5964" i="2"/>
  <c r="E5964" i="2"/>
  <c r="J5963" i="2"/>
  <c r="H5963" i="2"/>
  <c r="E5963" i="2"/>
  <c r="J5962" i="2"/>
  <c r="H5962" i="2"/>
  <c r="E5962" i="2"/>
  <c r="J5961" i="2"/>
  <c r="H5961" i="2"/>
  <c r="E5961" i="2"/>
  <c r="J5960" i="2"/>
  <c r="H5960" i="2"/>
  <c r="E5960" i="2"/>
  <c r="J5959" i="2"/>
  <c r="H5959" i="2"/>
  <c r="E5959" i="2"/>
  <c r="J5958" i="2"/>
  <c r="H5958" i="2"/>
  <c r="E5958" i="2"/>
  <c r="J5957" i="2"/>
  <c r="H5957" i="2"/>
  <c r="E5957" i="2"/>
  <c r="J5956" i="2"/>
  <c r="H5956" i="2"/>
  <c r="E5956" i="2"/>
  <c r="J5955" i="2"/>
  <c r="H5955" i="2"/>
  <c r="E5955" i="2"/>
  <c r="J5954" i="2"/>
  <c r="H5954" i="2"/>
  <c r="E5954" i="2"/>
  <c r="J5953" i="2"/>
  <c r="H5953" i="2"/>
  <c r="E5953" i="2"/>
  <c r="J5952" i="2"/>
  <c r="H5952" i="2"/>
  <c r="E5952" i="2"/>
  <c r="J5951" i="2"/>
  <c r="H5951" i="2"/>
  <c r="E5951" i="2"/>
  <c r="J5950" i="2"/>
  <c r="H5950" i="2"/>
  <c r="E5950" i="2"/>
  <c r="J5949" i="2"/>
  <c r="H5949" i="2"/>
  <c r="E5949" i="2"/>
  <c r="J5948" i="2"/>
  <c r="H5948" i="2"/>
  <c r="E5948" i="2"/>
  <c r="J5947" i="2"/>
  <c r="H5947" i="2"/>
  <c r="E5947" i="2"/>
  <c r="J5946" i="2"/>
  <c r="H5946" i="2"/>
  <c r="E5946" i="2"/>
  <c r="J5945" i="2"/>
  <c r="H5945" i="2"/>
  <c r="E5945" i="2"/>
  <c r="J5944" i="2"/>
  <c r="H5944" i="2"/>
  <c r="E5944" i="2"/>
  <c r="J5943" i="2"/>
  <c r="H5943" i="2"/>
  <c r="E5943" i="2"/>
  <c r="J5942" i="2"/>
  <c r="H5942" i="2"/>
  <c r="E5942" i="2"/>
  <c r="J5941" i="2"/>
  <c r="H5941" i="2"/>
  <c r="E5941" i="2"/>
  <c r="J5940" i="2"/>
  <c r="H5940" i="2"/>
  <c r="E5940" i="2"/>
  <c r="J5939" i="2"/>
  <c r="H5939" i="2"/>
  <c r="E5939" i="2"/>
  <c r="J5938" i="2"/>
  <c r="H5938" i="2"/>
  <c r="E5938" i="2"/>
  <c r="J5937" i="2"/>
  <c r="H5937" i="2"/>
  <c r="E5937" i="2"/>
  <c r="J5936" i="2"/>
  <c r="H5936" i="2"/>
  <c r="E5936" i="2"/>
  <c r="J5935" i="2"/>
  <c r="H5935" i="2"/>
  <c r="E5935" i="2"/>
  <c r="J5934" i="2"/>
  <c r="H5934" i="2"/>
  <c r="E5934" i="2"/>
  <c r="J5933" i="2"/>
  <c r="H5933" i="2"/>
  <c r="E5933" i="2"/>
  <c r="J5932" i="2"/>
  <c r="H5932" i="2"/>
  <c r="E5932" i="2"/>
  <c r="J5931" i="2"/>
  <c r="H5931" i="2"/>
  <c r="E5931" i="2"/>
  <c r="J5930" i="2"/>
  <c r="H5930" i="2"/>
  <c r="E5930" i="2"/>
  <c r="J5929" i="2"/>
  <c r="H5929" i="2"/>
  <c r="E5929" i="2"/>
  <c r="J5928" i="2"/>
  <c r="H5928" i="2"/>
  <c r="E5928" i="2"/>
  <c r="J5927" i="2"/>
  <c r="H5927" i="2"/>
  <c r="E5927" i="2"/>
  <c r="J5926" i="2"/>
  <c r="H5926" i="2"/>
  <c r="E5926" i="2"/>
  <c r="J5925" i="2"/>
  <c r="H5925" i="2"/>
  <c r="E5925" i="2"/>
  <c r="J5924" i="2"/>
  <c r="H5924" i="2"/>
  <c r="E5924" i="2"/>
  <c r="J5923" i="2"/>
  <c r="H5923" i="2"/>
  <c r="E5923" i="2"/>
  <c r="J5922" i="2"/>
  <c r="H5922" i="2"/>
  <c r="E5922" i="2"/>
  <c r="J5921" i="2"/>
  <c r="H5921" i="2"/>
  <c r="E5921" i="2"/>
  <c r="J5920" i="2"/>
  <c r="H5920" i="2"/>
  <c r="E5920" i="2"/>
  <c r="J5919" i="2"/>
  <c r="H5919" i="2"/>
  <c r="E5919" i="2"/>
  <c r="J5918" i="2"/>
  <c r="H5918" i="2"/>
  <c r="E5918" i="2"/>
  <c r="J5917" i="2"/>
  <c r="H5917" i="2"/>
  <c r="E5917" i="2"/>
  <c r="J5916" i="2"/>
  <c r="H5916" i="2"/>
  <c r="E5916" i="2"/>
  <c r="J5915" i="2"/>
  <c r="H5915" i="2"/>
  <c r="E5915" i="2"/>
  <c r="J5914" i="2"/>
  <c r="H5914" i="2"/>
  <c r="E5914" i="2"/>
  <c r="J5913" i="2"/>
  <c r="H5913" i="2"/>
  <c r="E5913" i="2"/>
  <c r="J5912" i="2"/>
  <c r="H5912" i="2"/>
  <c r="E5912" i="2"/>
  <c r="J5911" i="2"/>
  <c r="H5911" i="2"/>
  <c r="E5911" i="2"/>
  <c r="J5910" i="2"/>
  <c r="H5910" i="2"/>
  <c r="E5910" i="2"/>
  <c r="J5909" i="2"/>
  <c r="H5909" i="2"/>
  <c r="E5909" i="2"/>
  <c r="J5908" i="2"/>
  <c r="H5908" i="2"/>
  <c r="E5908" i="2"/>
  <c r="J5907" i="2"/>
  <c r="H5907" i="2"/>
  <c r="E5907" i="2"/>
  <c r="J5906" i="2"/>
  <c r="H5906" i="2"/>
  <c r="D5906" i="2"/>
  <c r="E5906" i="2" s="1"/>
  <c r="J5905" i="2"/>
  <c r="H5905" i="2"/>
  <c r="E5905" i="2"/>
  <c r="J5904" i="2"/>
  <c r="H5904" i="2"/>
  <c r="E5904" i="2"/>
  <c r="J5903" i="2"/>
  <c r="H5903" i="2"/>
  <c r="E5903" i="2"/>
  <c r="J5902" i="2"/>
  <c r="H5902" i="2"/>
  <c r="E5902" i="2"/>
  <c r="J5901" i="2"/>
  <c r="H5901" i="2"/>
  <c r="E5901" i="2"/>
  <c r="J5900" i="2"/>
  <c r="H5900" i="2"/>
  <c r="E5900" i="2"/>
  <c r="J5899" i="2"/>
  <c r="H5899" i="2"/>
  <c r="E5899" i="2"/>
  <c r="J5898" i="2"/>
  <c r="H5898" i="2"/>
  <c r="E5898" i="2"/>
  <c r="J5897" i="2"/>
  <c r="H5897" i="2"/>
  <c r="D5897" i="2"/>
  <c r="E5897" i="2" s="1"/>
  <c r="J5896" i="2"/>
  <c r="H5896" i="2"/>
  <c r="E5896" i="2"/>
  <c r="J5895" i="2"/>
  <c r="H5895" i="2"/>
  <c r="E5895" i="2"/>
  <c r="J5894" i="2"/>
  <c r="H5894" i="2"/>
  <c r="E5894" i="2"/>
  <c r="J5893" i="2"/>
  <c r="H5893" i="2"/>
  <c r="E5893" i="2"/>
  <c r="J5892" i="2"/>
  <c r="H5892" i="2"/>
  <c r="E5892" i="2"/>
  <c r="J5891" i="2"/>
  <c r="H5891" i="2"/>
  <c r="E5891" i="2"/>
  <c r="J5890" i="2"/>
  <c r="H5890" i="2"/>
  <c r="E5890" i="2"/>
  <c r="J5889" i="2"/>
  <c r="H5889" i="2"/>
  <c r="E5889" i="2"/>
  <c r="J5888" i="2"/>
  <c r="H5888" i="2"/>
  <c r="E5888" i="2"/>
  <c r="J5887" i="2"/>
  <c r="H5887" i="2"/>
  <c r="E5887" i="2"/>
  <c r="J5886" i="2"/>
  <c r="H5886" i="2"/>
  <c r="E5886" i="2"/>
  <c r="J5885" i="2"/>
  <c r="H5885" i="2"/>
  <c r="E5885" i="2"/>
  <c r="J5884" i="2"/>
  <c r="H5884" i="2"/>
  <c r="E5884" i="2"/>
  <c r="J5883" i="2"/>
  <c r="H5883" i="2"/>
  <c r="E5883" i="2"/>
  <c r="J5882" i="2"/>
  <c r="H5882" i="2"/>
  <c r="E5882" i="2"/>
  <c r="J5881" i="2"/>
  <c r="H5881" i="2"/>
  <c r="E5881" i="2"/>
  <c r="J5880" i="2"/>
  <c r="H5880" i="2"/>
  <c r="D5880" i="2"/>
  <c r="E5880" i="2" s="1"/>
  <c r="J5879" i="2"/>
  <c r="H5879" i="2"/>
  <c r="D5879" i="2"/>
  <c r="E5879" i="2" s="1"/>
  <c r="J5878" i="2"/>
  <c r="H5878" i="2"/>
  <c r="E5878" i="2"/>
  <c r="J5877" i="2"/>
  <c r="H5877" i="2"/>
  <c r="E5877" i="2"/>
  <c r="J5876" i="2"/>
  <c r="H5876" i="2"/>
  <c r="E5876" i="2"/>
  <c r="J5875" i="2"/>
  <c r="H5875" i="2"/>
  <c r="E5875" i="2"/>
  <c r="J5874" i="2"/>
  <c r="H5874" i="2"/>
  <c r="E5874" i="2"/>
  <c r="J5873" i="2"/>
  <c r="H5873" i="2"/>
  <c r="E5873" i="2"/>
  <c r="J5872" i="2"/>
  <c r="H5872" i="2"/>
  <c r="E5872" i="2"/>
  <c r="J5871" i="2"/>
  <c r="H5871" i="2"/>
  <c r="E5871" i="2"/>
  <c r="J5870" i="2"/>
  <c r="H5870" i="2"/>
  <c r="E5870" i="2"/>
  <c r="J5869" i="2"/>
  <c r="H5869" i="2"/>
  <c r="E5869" i="2"/>
  <c r="J5868" i="2"/>
  <c r="H5868" i="2"/>
  <c r="E5868" i="2"/>
  <c r="J5867" i="2"/>
  <c r="H5867" i="2"/>
  <c r="E5867" i="2"/>
  <c r="J5866" i="2"/>
  <c r="H5866" i="2"/>
  <c r="E5866" i="2"/>
  <c r="J5865" i="2"/>
  <c r="H5865" i="2"/>
  <c r="E5865" i="2"/>
  <c r="J5864" i="2"/>
  <c r="H5864" i="2"/>
  <c r="E5864" i="2"/>
  <c r="J5863" i="2"/>
  <c r="H5863" i="2"/>
  <c r="E5863" i="2"/>
  <c r="J5862" i="2"/>
  <c r="H5862" i="2"/>
  <c r="E5862" i="2"/>
  <c r="J5861" i="2"/>
  <c r="H5861" i="2"/>
  <c r="E5861" i="2"/>
  <c r="J5860" i="2"/>
  <c r="H5860" i="2"/>
  <c r="E5860" i="2"/>
  <c r="J5859" i="2"/>
  <c r="H5859" i="2"/>
  <c r="E5859" i="2"/>
  <c r="J5858" i="2"/>
  <c r="H5858" i="2"/>
  <c r="E5858" i="2"/>
  <c r="J5857" i="2"/>
  <c r="H5857" i="2"/>
  <c r="E5857" i="2"/>
  <c r="J5856" i="2"/>
  <c r="H5856" i="2"/>
  <c r="E5856" i="2"/>
  <c r="J5855" i="2"/>
  <c r="H5855" i="2"/>
  <c r="E5855" i="2"/>
  <c r="J5854" i="2"/>
  <c r="H5854" i="2"/>
  <c r="D5854" i="2"/>
  <c r="E5854" i="2" s="1"/>
  <c r="J5853" i="2"/>
  <c r="H5853" i="2"/>
  <c r="D5853" i="2"/>
  <c r="E5853" i="2" s="1"/>
  <c r="J5852" i="2"/>
  <c r="H5852" i="2"/>
  <c r="E5852" i="2"/>
  <c r="J5851" i="2"/>
  <c r="H5851" i="2"/>
  <c r="E5851" i="2"/>
  <c r="J5850" i="2"/>
  <c r="H5850" i="2"/>
  <c r="E5850" i="2"/>
  <c r="J5849" i="2"/>
  <c r="H5849" i="2"/>
  <c r="E5849" i="2"/>
  <c r="J5848" i="2"/>
  <c r="H5848" i="2"/>
  <c r="E5848" i="2"/>
  <c r="J5847" i="2"/>
  <c r="H5847" i="2"/>
  <c r="E5847" i="2"/>
  <c r="J5846" i="2"/>
  <c r="H5846" i="2"/>
  <c r="E5846" i="2"/>
  <c r="J5845" i="2"/>
  <c r="H5845" i="2"/>
  <c r="E5845" i="2"/>
  <c r="J5844" i="2"/>
  <c r="H5844" i="2"/>
  <c r="E5844" i="2"/>
  <c r="J5843" i="2"/>
  <c r="H5843" i="2"/>
  <c r="E5843" i="2"/>
  <c r="J5842" i="2"/>
  <c r="H5842" i="2"/>
  <c r="E5842" i="2"/>
  <c r="J5841" i="2"/>
  <c r="H5841" i="2"/>
  <c r="E5841" i="2"/>
  <c r="J5840" i="2"/>
  <c r="H5840" i="2"/>
  <c r="E5840" i="2"/>
  <c r="J5839" i="2"/>
  <c r="H5839" i="2"/>
  <c r="E5839" i="2"/>
  <c r="J5838" i="2"/>
  <c r="H5838" i="2"/>
  <c r="E5838" i="2"/>
  <c r="J5837" i="2"/>
  <c r="H5837" i="2"/>
  <c r="E5837" i="2"/>
  <c r="J5836" i="2"/>
  <c r="H5836" i="2"/>
  <c r="E5836" i="2"/>
  <c r="J5835" i="2"/>
  <c r="H5835" i="2"/>
  <c r="E5835" i="2"/>
  <c r="J5834" i="2"/>
  <c r="H5834" i="2"/>
  <c r="E5834" i="2"/>
  <c r="J5833" i="2"/>
  <c r="H5833" i="2"/>
  <c r="E5833" i="2"/>
  <c r="J5832" i="2"/>
  <c r="H5832" i="2"/>
  <c r="E5832" i="2"/>
  <c r="J5831" i="2"/>
  <c r="H5831" i="2"/>
  <c r="E5831" i="2"/>
  <c r="J5830" i="2"/>
  <c r="H5830" i="2"/>
  <c r="D5830" i="2"/>
  <c r="E5830" i="2" s="1"/>
  <c r="J5829" i="2"/>
  <c r="H5829" i="2"/>
  <c r="E5829" i="2"/>
  <c r="J5828" i="2"/>
  <c r="H5828" i="2"/>
  <c r="E5828" i="2"/>
  <c r="J5827" i="2"/>
  <c r="H5827" i="2"/>
  <c r="E5827" i="2"/>
  <c r="J5826" i="2"/>
  <c r="H5826" i="2"/>
  <c r="E5826" i="2"/>
  <c r="J5825" i="2"/>
  <c r="H5825" i="2"/>
  <c r="E5825" i="2"/>
  <c r="J5824" i="2"/>
  <c r="H5824" i="2"/>
  <c r="E5824" i="2"/>
  <c r="J5823" i="2"/>
  <c r="H5823" i="2"/>
  <c r="E5823" i="2"/>
  <c r="J5822" i="2"/>
  <c r="H5822" i="2"/>
  <c r="E5822" i="2"/>
  <c r="J5821" i="2"/>
  <c r="H5821" i="2"/>
  <c r="E5821" i="2"/>
  <c r="J5820" i="2"/>
  <c r="H5820" i="2"/>
  <c r="E5820" i="2"/>
  <c r="J5819" i="2"/>
  <c r="H5819" i="2"/>
  <c r="E5819" i="2"/>
  <c r="J5818" i="2"/>
  <c r="H5818" i="2"/>
  <c r="E5818" i="2"/>
  <c r="J5817" i="2"/>
  <c r="H5817" i="2"/>
  <c r="E5817" i="2"/>
  <c r="J5816" i="2"/>
  <c r="H5816" i="2"/>
  <c r="E5816" i="2"/>
  <c r="J5815" i="2"/>
  <c r="H5815" i="2"/>
  <c r="E5815" i="2"/>
  <c r="J5814" i="2"/>
  <c r="H5814" i="2"/>
  <c r="E5814" i="2"/>
  <c r="J5813" i="2"/>
  <c r="H5813" i="2"/>
  <c r="E5813" i="2"/>
  <c r="J5812" i="2"/>
  <c r="H5812" i="2"/>
  <c r="E5812" i="2"/>
  <c r="J5811" i="2"/>
  <c r="H5811" i="2"/>
  <c r="E5811" i="2"/>
  <c r="J5810" i="2"/>
  <c r="H5810" i="2"/>
  <c r="E5810" i="2"/>
  <c r="J5809" i="2"/>
  <c r="H5809" i="2"/>
  <c r="E5809" i="2"/>
  <c r="J5808" i="2"/>
  <c r="H5808" i="2"/>
  <c r="E5808" i="2"/>
  <c r="J5807" i="2"/>
  <c r="H5807" i="2"/>
  <c r="E5807" i="2"/>
  <c r="J5806" i="2"/>
  <c r="H5806" i="2"/>
  <c r="E5806" i="2"/>
  <c r="J5805" i="2"/>
  <c r="H5805" i="2"/>
  <c r="E5805" i="2"/>
  <c r="J5804" i="2"/>
  <c r="H5804" i="2"/>
  <c r="E5804" i="2"/>
  <c r="J5803" i="2"/>
  <c r="H5803" i="2"/>
  <c r="E5803" i="2"/>
  <c r="J5802" i="2"/>
  <c r="H5802" i="2"/>
  <c r="E5802" i="2"/>
  <c r="J5801" i="2"/>
  <c r="H5801" i="2"/>
  <c r="E5801" i="2"/>
  <c r="J5800" i="2"/>
  <c r="H5800" i="2"/>
  <c r="E5800" i="2"/>
  <c r="J5799" i="2"/>
  <c r="H5799" i="2"/>
  <c r="E5799" i="2"/>
  <c r="J5798" i="2"/>
  <c r="H5798" i="2"/>
  <c r="E5798" i="2"/>
  <c r="J5797" i="2"/>
  <c r="H5797" i="2"/>
  <c r="E5797" i="2"/>
  <c r="J5796" i="2"/>
  <c r="H5796" i="2"/>
  <c r="E5796" i="2"/>
  <c r="J5795" i="2"/>
  <c r="H5795" i="2"/>
  <c r="E5795" i="2"/>
  <c r="J5794" i="2"/>
  <c r="H5794" i="2"/>
  <c r="E5794" i="2"/>
  <c r="J5793" i="2"/>
  <c r="H5793" i="2"/>
  <c r="E5793" i="2"/>
  <c r="J5792" i="2"/>
  <c r="H5792" i="2"/>
  <c r="D5792" i="2"/>
  <c r="E5792" i="2" s="1"/>
  <c r="J5791" i="2"/>
  <c r="H5791" i="2"/>
  <c r="E5791" i="2"/>
  <c r="J5790" i="2"/>
  <c r="H5790" i="2"/>
  <c r="E5790" i="2"/>
  <c r="J5789" i="2"/>
  <c r="H5789" i="2"/>
  <c r="E5789" i="2"/>
  <c r="J5788" i="2"/>
  <c r="H5788" i="2"/>
  <c r="E5788" i="2"/>
  <c r="J5787" i="2"/>
  <c r="H5787" i="2"/>
  <c r="E5787" i="2"/>
  <c r="J5786" i="2"/>
  <c r="H5786" i="2"/>
  <c r="E5786" i="2"/>
  <c r="J5785" i="2"/>
  <c r="H5785" i="2"/>
  <c r="E5785" i="2"/>
  <c r="J5784" i="2"/>
  <c r="H5784" i="2"/>
  <c r="E5784" i="2"/>
  <c r="J5783" i="2"/>
  <c r="H5783" i="2"/>
  <c r="E5783" i="2"/>
  <c r="J5782" i="2"/>
  <c r="H5782" i="2"/>
  <c r="E5782" i="2"/>
  <c r="J5781" i="2"/>
  <c r="H5781" i="2"/>
  <c r="E5781" i="2"/>
  <c r="J5780" i="2"/>
  <c r="H5780" i="2"/>
  <c r="E5780" i="2"/>
  <c r="J5779" i="2"/>
  <c r="H5779" i="2"/>
  <c r="E5779" i="2"/>
  <c r="J5778" i="2"/>
  <c r="H5778" i="2"/>
  <c r="E5778" i="2"/>
  <c r="J5777" i="2"/>
  <c r="H5777" i="2"/>
  <c r="E5777" i="2"/>
  <c r="J5776" i="2"/>
  <c r="H5776" i="2"/>
  <c r="E5776" i="2"/>
  <c r="J5775" i="2"/>
  <c r="H5775" i="2"/>
  <c r="E5775" i="2"/>
  <c r="J5774" i="2"/>
  <c r="H5774" i="2"/>
  <c r="D5774" i="2"/>
  <c r="E5774" i="2" s="1"/>
  <c r="J5773" i="2"/>
  <c r="H5773" i="2"/>
  <c r="E5773" i="2"/>
  <c r="J5772" i="2"/>
  <c r="H5772" i="2"/>
  <c r="E5772" i="2"/>
  <c r="J5771" i="2"/>
  <c r="H5771" i="2"/>
  <c r="E5771" i="2"/>
  <c r="J5770" i="2"/>
  <c r="H5770" i="2"/>
  <c r="E5770" i="2"/>
  <c r="J5769" i="2"/>
  <c r="H5769" i="2"/>
  <c r="E5769" i="2"/>
  <c r="J5768" i="2"/>
  <c r="H5768" i="2"/>
  <c r="E5768" i="2"/>
  <c r="J5767" i="2"/>
  <c r="H5767" i="2"/>
  <c r="E5767" i="2"/>
  <c r="J5766" i="2"/>
  <c r="H5766" i="2"/>
  <c r="E5766" i="2"/>
  <c r="J5765" i="2"/>
  <c r="H5765" i="2"/>
  <c r="E5765" i="2"/>
  <c r="J5764" i="2"/>
  <c r="H5764" i="2"/>
  <c r="E5764" i="2"/>
  <c r="J5763" i="2"/>
  <c r="H5763" i="2"/>
  <c r="E5763" i="2"/>
  <c r="J5762" i="2"/>
  <c r="H5762" i="2"/>
  <c r="E5762" i="2"/>
  <c r="J5761" i="2"/>
  <c r="H5761" i="2"/>
  <c r="E5761" i="2"/>
  <c r="J5760" i="2"/>
  <c r="H5760" i="2"/>
  <c r="E5760" i="2"/>
  <c r="J5759" i="2"/>
  <c r="H5759" i="2"/>
  <c r="E5759" i="2"/>
  <c r="J5758" i="2"/>
  <c r="H5758" i="2"/>
  <c r="E5758" i="2"/>
  <c r="J5757" i="2"/>
  <c r="H5757" i="2"/>
  <c r="E5757" i="2"/>
  <c r="J5756" i="2"/>
  <c r="H5756" i="2"/>
  <c r="E5756" i="2"/>
  <c r="J5755" i="2"/>
  <c r="H5755" i="2"/>
  <c r="E5755" i="2"/>
  <c r="J5754" i="2"/>
  <c r="H5754" i="2"/>
  <c r="E5754" i="2"/>
  <c r="J5753" i="2"/>
  <c r="H5753" i="2"/>
  <c r="E5753" i="2"/>
  <c r="J5752" i="2"/>
  <c r="H5752" i="2"/>
  <c r="E5752" i="2"/>
  <c r="J5751" i="2"/>
  <c r="H5751" i="2"/>
  <c r="E5751" i="2"/>
  <c r="J5750" i="2"/>
  <c r="H5750" i="2"/>
  <c r="E5750" i="2"/>
  <c r="J5749" i="2"/>
  <c r="H5749" i="2"/>
  <c r="E5749" i="2"/>
  <c r="J5748" i="2"/>
  <c r="H5748" i="2"/>
  <c r="E5748" i="2"/>
  <c r="J5747" i="2"/>
  <c r="H5747" i="2"/>
  <c r="E5747" i="2"/>
  <c r="J5746" i="2"/>
  <c r="H5746" i="2"/>
  <c r="E5746" i="2"/>
  <c r="J5745" i="2"/>
  <c r="H5745" i="2"/>
  <c r="E5745" i="2"/>
  <c r="J5744" i="2"/>
  <c r="H5744" i="2"/>
  <c r="E5744" i="2"/>
  <c r="J5743" i="2"/>
  <c r="H5743" i="2"/>
  <c r="E5743" i="2"/>
  <c r="J5742" i="2"/>
  <c r="H5742" i="2"/>
  <c r="E5742" i="2"/>
  <c r="J5741" i="2"/>
  <c r="H5741" i="2"/>
  <c r="E5741" i="2"/>
  <c r="J5740" i="2"/>
  <c r="H5740" i="2"/>
  <c r="E5740" i="2"/>
  <c r="J5739" i="2"/>
  <c r="H5739" i="2"/>
  <c r="E5739" i="2"/>
  <c r="J5738" i="2"/>
  <c r="H5738" i="2"/>
  <c r="E5738" i="2"/>
  <c r="J5737" i="2"/>
  <c r="H5737" i="2"/>
  <c r="E5737" i="2"/>
  <c r="J5736" i="2"/>
  <c r="H5736" i="2"/>
  <c r="E5736" i="2"/>
  <c r="J5735" i="2"/>
  <c r="H5735" i="2"/>
  <c r="E5735" i="2"/>
  <c r="J5734" i="2"/>
  <c r="H5734" i="2"/>
  <c r="E5734" i="2"/>
  <c r="J5733" i="2"/>
  <c r="H5733" i="2"/>
  <c r="E5733" i="2"/>
  <c r="J5732" i="2"/>
  <c r="H5732" i="2"/>
  <c r="E5732" i="2"/>
  <c r="J5731" i="2"/>
  <c r="H5731" i="2"/>
  <c r="E5731" i="2"/>
  <c r="J5730" i="2"/>
  <c r="H5730" i="2"/>
  <c r="E5730" i="2"/>
  <c r="J5729" i="2"/>
  <c r="H5729" i="2"/>
  <c r="D5729" i="2"/>
  <c r="E5729" i="2" s="1"/>
  <c r="J5728" i="2"/>
  <c r="H5728" i="2"/>
  <c r="E5728" i="2"/>
  <c r="J5727" i="2"/>
  <c r="H5727" i="2"/>
  <c r="E5727" i="2"/>
  <c r="J5726" i="2"/>
  <c r="H5726" i="2"/>
  <c r="E5726" i="2"/>
  <c r="J5725" i="2"/>
  <c r="H5725" i="2"/>
  <c r="E5725" i="2"/>
  <c r="J5724" i="2"/>
  <c r="H5724" i="2"/>
  <c r="E5724" i="2"/>
  <c r="J5723" i="2"/>
  <c r="H5723" i="2"/>
  <c r="E5723" i="2"/>
  <c r="J5722" i="2"/>
  <c r="H5722" i="2"/>
  <c r="E5722" i="2"/>
  <c r="J5721" i="2"/>
  <c r="H5721" i="2"/>
  <c r="E5721" i="2"/>
  <c r="J5720" i="2"/>
  <c r="H5720" i="2"/>
  <c r="E5720" i="2"/>
  <c r="J5719" i="2"/>
  <c r="H5719" i="2"/>
  <c r="E5719" i="2"/>
  <c r="J5718" i="2"/>
  <c r="H5718" i="2"/>
  <c r="E5718" i="2"/>
  <c r="J5717" i="2"/>
  <c r="H5717" i="2"/>
  <c r="E5717" i="2"/>
  <c r="J5716" i="2"/>
  <c r="H5716" i="2"/>
  <c r="E5716" i="2"/>
  <c r="J5715" i="2"/>
  <c r="H5715" i="2"/>
  <c r="E5715" i="2"/>
  <c r="J5714" i="2"/>
  <c r="H5714" i="2"/>
  <c r="D5714" i="2"/>
  <c r="E5714" i="2" s="1"/>
  <c r="J5713" i="2"/>
  <c r="H5713" i="2"/>
  <c r="E5713" i="2"/>
  <c r="J5712" i="2"/>
  <c r="H5712" i="2"/>
  <c r="E5712" i="2"/>
  <c r="J5711" i="2"/>
  <c r="H5711" i="2"/>
  <c r="E5711" i="2"/>
  <c r="J5710" i="2"/>
  <c r="H5710" i="2"/>
  <c r="E5710" i="2"/>
  <c r="J5709" i="2"/>
  <c r="H5709" i="2"/>
  <c r="E5709" i="2"/>
  <c r="J5708" i="2"/>
  <c r="H5708" i="2"/>
  <c r="E5708" i="2"/>
  <c r="J5707" i="2"/>
  <c r="H5707" i="2"/>
  <c r="E5707" i="2"/>
  <c r="J5706" i="2"/>
  <c r="H5706" i="2"/>
  <c r="E5706" i="2"/>
  <c r="J5705" i="2"/>
  <c r="H5705" i="2"/>
  <c r="E5705" i="2"/>
  <c r="J5704" i="2"/>
  <c r="H5704" i="2"/>
  <c r="E5704" i="2"/>
  <c r="J5703" i="2"/>
  <c r="H5703" i="2"/>
  <c r="E5703" i="2"/>
  <c r="J5702" i="2"/>
  <c r="H5702" i="2"/>
  <c r="E5702" i="2"/>
  <c r="J5701" i="2"/>
  <c r="H5701" i="2"/>
  <c r="E5701" i="2"/>
  <c r="J5700" i="2"/>
  <c r="H5700" i="2"/>
  <c r="E5700" i="2"/>
  <c r="J5699" i="2"/>
  <c r="H5699" i="2"/>
  <c r="E5699" i="2"/>
  <c r="J5698" i="2"/>
  <c r="H5698" i="2"/>
  <c r="E5698" i="2"/>
  <c r="J5697" i="2"/>
  <c r="H5697" i="2"/>
  <c r="E5697" i="2"/>
  <c r="J5696" i="2"/>
  <c r="H5696" i="2"/>
  <c r="E5696" i="2"/>
  <c r="J5695" i="2"/>
  <c r="H5695" i="2"/>
  <c r="E5695" i="2"/>
  <c r="J5694" i="2"/>
  <c r="H5694" i="2"/>
  <c r="E5694" i="2"/>
  <c r="J5693" i="2"/>
  <c r="H5693" i="2"/>
  <c r="E5693" i="2"/>
  <c r="J5692" i="2"/>
  <c r="H5692" i="2"/>
  <c r="E5692" i="2"/>
  <c r="J5691" i="2"/>
  <c r="H5691" i="2"/>
  <c r="E5691" i="2"/>
  <c r="J5690" i="2"/>
  <c r="H5690" i="2"/>
  <c r="E5690" i="2"/>
  <c r="J5689" i="2"/>
  <c r="H5689" i="2"/>
  <c r="E5689" i="2"/>
  <c r="J5688" i="2"/>
  <c r="H5688" i="2"/>
  <c r="E5688" i="2"/>
  <c r="J5687" i="2"/>
  <c r="H5687" i="2"/>
  <c r="E5687" i="2"/>
  <c r="J5686" i="2"/>
  <c r="H5686" i="2"/>
  <c r="E5686" i="2"/>
  <c r="J5685" i="2"/>
  <c r="H5685" i="2"/>
  <c r="D5685" i="2"/>
  <c r="E5685" i="2" s="1"/>
  <c r="J5684" i="2"/>
  <c r="H5684" i="2"/>
  <c r="E5684" i="2"/>
  <c r="J5683" i="2"/>
  <c r="H5683" i="2"/>
  <c r="E5683" i="2"/>
  <c r="J5682" i="2"/>
  <c r="H5682" i="2"/>
  <c r="E5682" i="2"/>
  <c r="J5681" i="2"/>
  <c r="H5681" i="2"/>
  <c r="E5681" i="2"/>
  <c r="J5680" i="2"/>
  <c r="H5680" i="2"/>
  <c r="E5680" i="2"/>
  <c r="J5679" i="2"/>
  <c r="H5679" i="2"/>
  <c r="E5679" i="2"/>
  <c r="J5678" i="2"/>
  <c r="H5678" i="2"/>
  <c r="E5678" i="2"/>
  <c r="J5677" i="2"/>
  <c r="H5677" i="2"/>
  <c r="E5677" i="2"/>
  <c r="J5676" i="2"/>
  <c r="H5676" i="2"/>
  <c r="E5676" i="2"/>
  <c r="J5675" i="2"/>
  <c r="H5675" i="2"/>
  <c r="E5675" i="2"/>
  <c r="J5674" i="2"/>
  <c r="H5674" i="2"/>
  <c r="E5674" i="2"/>
  <c r="J5673" i="2"/>
  <c r="H5673" i="2"/>
  <c r="E5673" i="2"/>
  <c r="J5672" i="2"/>
  <c r="H5672" i="2"/>
  <c r="E5672" i="2"/>
  <c r="J5671" i="2"/>
  <c r="H5671" i="2"/>
  <c r="E5671" i="2"/>
  <c r="J5670" i="2"/>
  <c r="H5670" i="2"/>
  <c r="E5670" i="2"/>
  <c r="J5669" i="2"/>
  <c r="H5669" i="2"/>
  <c r="E5669" i="2"/>
  <c r="J5668" i="2"/>
  <c r="H5668" i="2"/>
  <c r="E5668" i="2"/>
  <c r="J5667" i="2"/>
  <c r="H5667" i="2"/>
  <c r="E5667" i="2"/>
  <c r="J5666" i="2"/>
  <c r="H5666" i="2"/>
  <c r="E5666" i="2"/>
  <c r="J5665" i="2"/>
  <c r="H5665" i="2"/>
  <c r="E5665" i="2"/>
  <c r="J5664" i="2"/>
  <c r="H5664" i="2"/>
  <c r="E5664" i="2"/>
  <c r="J5663" i="2"/>
  <c r="H5663" i="2"/>
  <c r="E5663" i="2"/>
  <c r="J5662" i="2"/>
  <c r="H5662" i="2"/>
  <c r="E5662" i="2"/>
  <c r="J5661" i="2"/>
  <c r="H5661" i="2"/>
  <c r="E5661" i="2"/>
  <c r="J5660" i="2"/>
  <c r="H5660" i="2"/>
  <c r="E5660" i="2"/>
  <c r="J5659" i="2"/>
  <c r="H5659" i="2"/>
  <c r="E5659" i="2"/>
  <c r="J5658" i="2"/>
  <c r="H5658" i="2"/>
  <c r="E5658" i="2"/>
  <c r="J5657" i="2"/>
  <c r="H5657" i="2"/>
  <c r="E5657" i="2"/>
  <c r="J5656" i="2"/>
  <c r="H5656" i="2"/>
  <c r="E5656" i="2"/>
  <c r="J5655" i="2"/>
  <c r="H5655" i="2"/>
  <c r="E5655" i="2"/>
  <c r="J5654" i="2"/>
  <c r="H5654" i="2"/>
  <c r="E5654" i="2"/>
  <c r="J5653" i="2"/>
  <c r="H5653" i="2"/>
  <c r="E5653" i="2"/>
  <c r="J5652" i="2"/>
  <c r="H5652" i="2"/>
  <c r="E5652" i="2"/>
  <c r="J5651" i="2"/>
  <c r="H5651" i="2"/>
  <c r="E5651" i="2"/>
  <c r="J5650" i="2"/>
  <c r="H5650" i="2"/>
  <c r="E5650" i="2"/>
  <c r="J5649" i="2"/>
  <c r="H5649" i="2"/>
  <c r="E5649" i="2"/>
  <c r="J5648" i="2"/>
  <c r="H5648" i="2"/>
  <c r="E5648" i="2"/>
  <c r="J5647" i="2"/>
  <c r="H5647" i="2"/>
  <c r="E5647" i="2"/>
  <c r="J5646" i="2"/>
  <c r="H5646" i="2"/>
  <c r="E5646" i="2"/>
  <c r="J5645" i="2"/>
  <c r="H5645" i="2"/>
  <c r="E5645" i="2"/>
  <c r="J5644" i="2"/>
  <c r="H5644" i="2"/>
  <c r="E5644" i="2"/>
  <c r="J5643" i="2"/>
  <c r="H5643" i="2"/>
  <c r="E5643" i="2"/>
  <c r="J5642" i="2"/>
  <c r="H5642" i="2"/>
  <c r="E5642" i="2"/>
  <c r="J5641" i="2"/>
  <c r="H5641" i="2"/>
  <c r="E5641" i="2"/>
  <c r="J5640" i="2"/>
  <c r="H5640" i="2"/>
  <c r="E5640" i="2"/>
  <c r="J5639" i="2"/>
  <c r="H5639" i="2"/>
  <c r="E5639" i="2"/>
  <c r="J5638" i="2"/>
  <c r="H5638" i="2"/>
  <c r="E5638" i="2"/>
  <c r="J5637" i="2"/>
  <c r="H5637" i="2"/>
  <c r="E5637" i="2"/>
  <c r="J5636" i="2"/>
  <c r="H5636" i="2"/>
  <c r="E5636" i="2"/>
  <c r="J5635" i="2"/>
  <c r="H5635" i="2"/>
  <c r="E5635" i="2"/>
  <c r="J5634" i="2"/>
  <c r="H5634" i="2"/>
  <c r="E5634" i="2"/>
  <c r="J5633" i="2"/>
  <c r="H5633" i="2"/>
  <c r="E5633" i="2"/>
  <c r="J5632" i="2"/>
  <c r="H5632" i="2"/>
  <c r="E5632" i="2"/>
  <c r="J5631" i="2"/>
  <c r="H5631" i="2"/>
  <c r="E5631" i="2"/>
  <c r="J5630" i="2"/>
  <c r="H5630" i="2"/>
  <c r="E5630" i="2"/>
  <c r="J5629" i="2"/>
  <c r="H5629" i="2"/>
  <c r="E5629" i="2"/>
  <c r="J5628" i="2"/>
  <c r="H5628" i="2"/>
  <c r="E5628" i="2"/>
  <c r="J5627" i="2"/>
  <c r="H5627" i="2"/>
  <c r="E5627" i="2"/>
  <c r="J5626" i="2"/>
  <c r="H5626" i="2"/>
  <c r="E5626" i="2"/>
  <c r="J5625" i="2"/>
  <c r="H5625" i="2"/>
  <c r="E5625" i="2"/>
  <c r="J5624" i="2"/>
  <c r="H5624" i="2"/>
  <c r="E5624" i="2"/>
  <c r="J5623" i="2"/>
  <c r="H5623" i="2"/>
  <c r="E5623" i="2"/>
  <c r="J5622" i="2"/>
  <c r="H5622" i="2"/>
  <c r="E5622" i="2"/>
  <c r="J5621" i="2"/>
  <c r="H5621" i="2"/>
  <c r="E5621" i="2"/>
  <c r="J5620" i="2"/>
  <c r="H5620" i="2"/>
  <c r="E5620" i="2"/>
  <c r="J5619" i="2"/>
  <c r="H5619" i="2"/>
  <c r="E5619" i="2"/>
  <c r="J5618" i="2"/>
  <c r="H5618" i="2"/>
  <c r="E5618" i="2"/>
  <c r="J5617" i="2"/>
  <c r="H5617" i="2"/>
  <c r="E5617" i="2"/>
  <c r="J5616" i="2"/>
  <c r="H5616" i="2"/>
  <c r="E5616" i="2"/>
  <c r="J5615" i="2"/>
  <c r="H5615" i="2"/>
  <c r="E5615" i="2"/>
  <c r="J5614" i="2"/>
  <c r="H5614" i="2"/>
  <c r="E5614" i="2"/>
  <c r="J5613" i="2"/>
  <c r="H5613" i="2"/>
  <c r="E5613" i="2"/>
  <c r="J5612" i="2"/>
  <c r="H5612" i="2"/>
  <c r="E5612" i="2"/>
  <c r="J5611" i="2"/>
  <c r="H5611" i="2"/>
  <c r="E5611" i="2"/>
  <c r="J5610" i="2"/>
  <c r="H5610" i="2"/>
  <c r="E5610" i="2"/>
  <c r="J5609" i="2"/>
  <c r="H5609" i="2"/>
  <c r="E5609" i="2"/>
  <c r="J5608" i="2"/>
  <c r="H5608" i="2"/>
  <c r="E5608" i="2"/>
  <c r="J5607" i="2"/>
  <c r="H5607" i="2"/>
  <c r="E5607" i="2"/>
  <c r="J5606" i="2"/>
  <c r="H5606" i="2"/>
  <c r="E5606" i="2"/>
  <c r="J5605" i="2"/>
  <c r="H5605" i="2"/>
  <c r="E5605" i="2"/>
  <c r="J5604" i="2"/>
  <c r="H5604" i="2"/>
  <c r="E5604" i="2"/>
  <c r="J5603" i="2"/>
  <c r="H5603" i="2"/>
  <c r="E5603" i="2"/>
  <c r="J5602" i="2"/>
  <c r="H5602" i="2"/>
  <c r="D5602" i="2"/>
  <c r="E5602" i="2" s="1"/>
  <c r="J5601" i="2"/>
  <c r="H5601" i="2"/>
  <c r="E5601" i="2"/>
  <c r="J5600" i="2"/>
  <c r="H5600" i="2"/>
  <c r="E5600" i="2"/>
  <c r="J5599" i="2"/>
  <c r="H5599" i="2"/>
  <c r="E5599" i="2"/>
  <c r="J5598" i="2"/>
  <c r="H5598" i="2"/>
  <c r="E5598" i="2"/>
  <c r="J5597" i="2"/>
  <c r="H5597" i="2"/>
  <c r="E5597" i="2"/>
  <c r="J5596" i="2"/>
  <c r="H5596" i="2"/>
  <c r="E5596" i="2"/>
  <c r="J5595" i="2"/>
  <c r="H5595" i="2"/>
  <c r="E5595" i="2"/>
  <c r="J5594" i="2"/>
  <c r="H5594" i="2"/>
  <c r="E5594" i="2"/>
  <c r="J5593" i="2"/>
  <c r="H5593" i="2"/>
  <c r="E5593" i="2"/>
  <c r="J5592" i="2"/>
  <c r="H5592" i="2"/>
  <c r="E5592" i="2"/>
  <c r="J5591" i="2"/>
  <c r="H5591" i="2"/>
  <c r="E5591" i="2"/>
  <c r="J5590" i="2"/>
  <c r="H5590" i="2"/>
  <c r="E5590" i="2"/>
  <c r="J5589" i="2"/>
  <c r="H5589" i="2"/>
  <c r="E5589" i="2"/>
  <c r="J5588" i="2"/>
  <c r="H5588" i="2"/>
  <c r="E5588" i="2"/>
  <c r="J5587" i="2"/>
  <c r="H5587" i="2"/>
  <c r="E5587" i="2"/>
  <c r="J5586" i="2"/>
  <c r="H5586" i="2"/>
  <c r="E5586" i="2"/>
  <c r="J5585" i="2"/>
  <c r="H5585" i="2"/>
  <c r="E5585" i="2"/>
  <c r="J5584" i="2"/>
  <c r="H5584" i="2"/>
  <c r="E5584" i="2"/>
  <c r="J5583" i="2"/>
  <c r="H5583" i="2"/>
  <c r="E5583" i="2"/>
  <c r="J5582" i="2"/>
  <c r="H5582" i="2"/>
  <c r="E5582" i="2"/>
  <c r="J5581" i="2"/>
  <c r="H5581" i="2"/>
  <c r="E5581" i="2"/>
  <c r="J5580" i="2"/>
  <c r="H5580" i="2"/>
  <c r="E5580" i="2"/>
  <c r="J5579" i="2"/>
  <c r="H5579" i="2"/>
  <c r="E5579" i="2"/>
  <c r="J5578" i="2"/>
  <c r="H5578" i="2"/>
  <c r="E5578" i="2"/>
  <c r="J5577" i="2"/>
  <c r="H5577" i="2"/>
  <c r="E5577" i="2"/>
  <c r="J5576" i="2"/>
  <c r="H5576" i="2"/>
  <c r="E5576" i="2"/>
  <c r="J5575" i="2"/>
  <c r="H5575" i="2"/>
  <c r="E5575" i="2"/>
  <c r="J5574" i="2"/>
  <c r="H5574" i="2"/>
  <c r="E5574" i="2"/>
  <c r="J5573" i="2"/>
  <c r="H5573" i="2"/>
  <c r="E5573" i="2"/>
  <c r="J5572" i="2"/>
  <c r="H5572" i="2"/>
  <c r="E5572" i="2"/>
  <c r="J5571" i="2"/>
  <c r="H5571" i="2"/>
  <c r="E5571" i="2"/>
  <c r="J5570" i="2"/>
  <c r="H5570" i="2"/>
  <c r="E5570" i="2"/>
  <c r="J5569" i="2"/>
  <c r="H5569" i="2"/>
  <c r="E5569" i="2"/>
  <c r="J5568" i="2"/>
  <c r="H5568" i="2"/>
  <c r="E5568" i="2"/>
  <c r="J5567" i="2"/>
  <c r="H5567" i="2"/>
  <c r="E5567" i="2"/>
  <c r="J5566" i="2"/>
  <c r="H5566" i="2"/>
  <c r="E5566" i="2"/>
  <c r="J5565" i="2"/>
  <c r="H5565" i="2"/>
  <c r="E5565" i="2"/>
  <c r="J5564" i="2"/>
  <c r="H5564" i="2"/>
  <c r="E5564" i="2"/>
  <c r="J5563" i="2"/>
  <c r="H5563" i="2"/>
  <c r="E5563" i="2"/>
  <c r="J5562" i="2"/>
  <c r="H5562" i="2"/>
  <c r="E5562" i="2"/>
  <c r="J5561" i="2"/>
  <c r="H5561" i="2"/>
  <c r="E5561" i="2"/>
  <c r="J5560" i="2"/>
  <c r="H5560" i="2"/>
  <c r="E5560" i="2"/>
  <c r="J5559" i="2"/>
  <c r="H5559" i="2"/>
  <c r="E5559" i="2"/>
  <c r="J5558" i="2"/>
  <c r="H5558" i="2"/>
  <c r="E5558" i="2"/>
  <c r="J5557" i="2"/>
  <c r="H5557" i="2"/>
  <c r="E5557" i="2"/>
  <c r="J5556" i="2"/>
  <c r="H5556" i="2"/>
  <c r="E5556" i="2"/>
  <c r="J5555" i="2"/>
  <c r="H5555" i="2"/>
  <c r="D5555" i="2"/>
  <c r="E5555" i="2" s="1"/>
  <c r="J5554" i="2"/>
  <c r="H5554" i="2"/>
  <c r="E5554" i="2"/>
  <c r="J5553" i="2"/>
  <c r="H5553" i="2"/>
  <c r="E5553" i="2"/>
  <c r="J5552" i="2"/>
  <c r="H5552" i="2"/>
  <c r="E5552" i="2"/>
  <c r="J5551" i="2"/>
  <c r="H5551" i="2"/>
  <c r="E5551" i="2"/>
  <c r="J5550" i="2"/>
  <c r="H5550" i="2"/>
  <c r="E5550" i="2"/>
  <c r="J5549" i="2"/>
  <c r="H5549" i="2"/>
  <c r="E5549" i="2"/>
  <c r="J5548" i="2"/>
  <c r="H5548" i="2"/>
  <c r="E5548" i="2"/>
  <c r="J5547" i="2"/>
  <c r="H5547" i="2"/>
  <c r="E5547" i="2"/>
  <c r="J5546" i="2"/>
  <c r="H5546" i="2"/>
  <c r="E5546" i="2"/>
  <c r="J5545" i="2"/>
  <c r="H5545" i="2"/>
  <c r="E5545" i="2"/>
  <c r="J5544" i="2"/>
  <c r="H5544" i="2"/>
  <c r="E5544" i="2"/>
  <c r="J5543" i="2"/>
  <c r="H5543" i="2"/>
  <c r="E5543" i="2"/>
  <c r="J5542" i="2"/>
  <c r="H5542" i="2"/>
  <c r="E5542" i="2"/>
  <c r="J5541" i="2"/>
  <c r="H5541" i="2"/>
  <c r="E5541" i="2"/>
  <c r="J5540" i="2"/>
  <c r="H5540" i="2"/>
  <c r="E5540" i="2"/>
  <c r="J5539" i="2"/>
  <c r="H5539" i="2"/>
  <c r="E5539" i="2"/>
  <c r="J5538" i="2"/>
  <c r="H5538" i="2"/>
  <c r="E5538" i="2"/>
  <c r="J5537" i="2"/>
  <c r="H5537" i="2"/>
  <c r="E5537" i="2"/>
  <c r="J5536" i="2"/>
  <c r="H5536" i="2"/>
  <c r="E5536" i="2"/>
  <c r="J5535" i="2"/>
  <c r="H5535" i="2"/>
  <c r="E5535" i="2"/>
  <c r="J5534" i="2"/>
  <c r="H5534" i="2"/>
  <c r="E5534" i="2"/>
  <c r="J5533" i="2"/>
  <c r="H5533" i="2"/>
  <c r="E5533" i="2"/>
  <c r="J5532" i="2"/>
  <c r="H5532" i="2"/>
  <c r="E5532" i="2"/>
  <c r="J5531" i="2"/>
  <c r="H5531" i="2"/>
  <c r="E5531" i="2"/>
  <c r="J5530" i="2"/>
  <c r="H5530" i="2"/>
  <c r="E5530" i="2"/>
  <c r="J5529" i="2"/>
  <c r="H5529" i="2"/>
  <c r="E5529" i="2"/>
  <c r="J5528" i="2"/>
  <c r="H5528" i="2"/>
  <c r="E5528" i="2"/>
  <c r="J5527" i="2"/>
  <c r="H5527" i="2"/>
  <c r="E5527" i="2"/>
  <c r="J5526" i="2"/>
  <c r="H5526" i="2"/>
  <c r="E5526" i="2"/>
  <c r="J5525" i="2"/>
  <c r="H5525" i="2"/>
  <c r="D5525" i="2"/>
  <c r="E5525" i="2" s="1"/>
  <c r="J5524" i="2"/>
  <c r="H5524" i="2"/>
  <c r="E5524" i="2"/>
  <c r="J5523" i="2"/>
  <c r="H5523" i="2"/>
  <c r="E5523" i="2"/>
  <c r="J5522" i="2"/>
  <c r="H5522" i="2"/>
  <c r="E5522" i="2"/>
  <c r="J5521" i="2"/>
  <c r="H5521" i="2"/>
  <c r="E5521" i="2"/>
  <c r="J5520" i="2"/>
  <c r="H5520" i="2"/>
  <c r="E5520" i="2"/>
  <c r="J5519" i="2"/>
  <c r="H5519" i="2"/>
  <c r="D5519" i="2"/>
  <c r="E5519" i="2" s="1"/>
  <c r="J5518" i="2"/>
  <c r="H5518" i="2"/>
  <c r="E5518" i="2"/>
  <c r="J5517" i="2"/>
  <c r="H5517" i="2"/>
  <c r="E5517" i="2"/>
  <c r="J5516" i="2"/>
  <c r="H5516" i="2"/>
  <c r="E5516" i="2"/>
  <c r="J5515" i="2"/>
  <c r="H5515" i="2"/>
  <c r="D5515" i="2"/>
  <c r="E5515" i="2" s="1"/>
  <c r="J5514" i="2"/>
  <c r="H5514" i="2"/>
  <c r="E5514" i="2"/>
  <c r="J5513" i="2"/>
  <c r="H5513" i="2"/>
  <c r="E5513" i="2"/>
  <c r="J5512" i="2"/>
  <c r="H5512" i="2"/>
  <c r="E5512" i="2"/>
  <c r="J5511" i="2"/>
  <c r="H5511" i="2"/>
  <c r="E5511" i="2"/>
  <c r="J5510" i="2"/>
  <c r="H5510" i="2"/>
  <c r="D5510" i="2"/>
  <c r="E5510" i="2" s="1"/>
  <c r="J5509" i="2"/>
  <c r="H5509" i="2"/>
  <c r="E5509" i="2"/>
  <c r="J5508" i="2"/>
  <c r="H5508" i="2"/>
  <c r="E5508" i="2"/>
  <c r="J5507" i="2"/>
  <c r="H5507" i="2"/>
  <c r="E5507" i="2"/>
  <c r="J5506" i="2"/>
  <c r="H5506" i="2"/>
  <c r="E5506" i="2"/>
  <c r="J5505" i="2"/>
  <c r="H5505" i="2"/>
  <c r="E5505" i="2"/>
  <c r="J5504" i="2"/>
  <c r="H5504" i="2"/>
  <c r="E5504" i="2"/>
  <c r="J5503" i="2"/>
  <c r="H5503" i="2"/>
  <c r="E5503" i="2"/>
  <c r="J5502" i="2"/>
  <c r="H5502" i="2"/>
  <c r="D5502" i="2"/>
  <c r="E5502" i="2" s="1"/>
  <c r="J5501" i="2"/>
  <c r="H5501" i="2"/>
  <c r="E5501" i="2"/>
  <c r="J5500" i="2"/>
  <c r="H5500" i="2"/>
  <c r="E5500" i="2"/>
  <c r="J5499" i="2"/>
  <c r="H5499" i="2"/>
  <c r="E5499" i="2"/>
  <c r="J5498" i="2"/>
  <c r="H5498" i="2"/>
  <c r="E5498" i="2"/>
  <c r="J5497" i="2"/>
  <c r="H5497" i="2"/>
  <c r="E5497" i="2"/>
  <c r="J5496" i="2"/>
  <c r="H5496" i="2"/>
  <c r="E5496" i="2"/>
  <c r="J5495" i="2"/>
  <c r="H5495" i="2"/>
  <c r="E5495" i="2"/>
  <c r="J5494" i="2"/>
  <c r="H5494" i="2"/>
  <c r="E5494" i="2"/>
  <c r="J5493" i="2"/>
  <c r="H5493" i="2"/>
  <c r="E5493" i="2"/>
  <c r="J5492" i="2"/>
  <c r="H5492" i="2"/>
  <c r="E5492" i="2"/>
  <c r="J5491" i="2"/>
  <c r="H5491" i="2"/>
  <c r="E5491" i="2"/>
  <c r="J5490" i="2"/>
  <c r="H5490" i="2"/>
  <c r="E5490" i="2"/>
  <c r="J5489" i="2"/>
  <c r="H5489" i="2"/>
  <c r="E5489" i="2"/>
  <c r="J5488" i="2"/>
  <c r="H5488" i="2"/>
  <c r="E5488" i="2"/>
  <c r="J5487" i="2"/>
  <c r="H5487" i="2"/>
  <c r="E5487" i="2"/>
  <c r="J5486" i="2"/>
  <c r="H5486" i="2"/>
  <c r="E5486" i="2"/>
  <c r="J5485" i="2"/>
  <c r="H5485" i="2"/>
  <c r="E5485" i="2"/>
  <c r="J5484" i="2"/>
  <c r="H5484" i="2"/>
  <c r="E5484" i="2"/>
  <c r="J5483" i="2"/>
  <c r="H5483" i="2"/>
  <c r="E5483" i="2"/>
  <c r="J5482" i="2"/>
  <c r="H5482" i="2"/>
  <c r="E5482" i="2"/>
  <c r="J5481" i="2"/>
  <c r="H5481" i="2"/>
  <c r="E5481" i="2"/>
  <c r="J5480" i="2"/>
  <c r="H5480" i="2"/>
  <c r="E5480" i="2"/>
  <c r="J5479" i="2"/>
  <c r="H5479" i="2"/>
  <c r="E5479" i="2"/>
  <c r="J5478" i="2"/>
  <c r="H5478" i="2"/>
  <c r="E5478" i="2"/>
  <c r="J5477" i="2"/>
  <c r="H5477" i="2"/>
  <c r="E5477" i="2"/>
  <c r="J5476" i="2"/>
  <c r="H5476" i="2"/>
  <c r="E5476" i="2"/>
  <c r="J5475" i="2"/>
  <c r="H5475" i="2"/>
  <c r="D5475" i="2"/>
  <c r="E5475" i="2" s="1"/>
  <c r="J5474" i="2"/>
  <c r="H5474" i="2"/>
  <c r="E5474" i="2"/>
  <c r="J5473" i="2"/>
  <c r="H5473" i="2"/>
  <c r="E5473" i="2"/>
  <c r="J5472" i="2"/>
  <c r="H5472" i="2"/>
  <c r="E5472" i="2"/>
  <c r="J5471" i="2"/>
  <c r="H5471" i="2"/>
  <c r="E5471" i="2"/>
  <c r="J5470" i="2"/>
  <c r="H5470" i="2"/>
  <c r="E5470" i="2"/>
  <c r="J5469" i="2"/>
  <c r="H5469" i="2"/>
  <c r="E5469" i="2"/>
  <c r="J5468" i="2"/>
  <c r="H5468" i="2"/>
  <c r="E5468" i="2"/>
  <c r="J5467" i="2"/>
  <c r="H5467" i="2"/>
  <c r="E5467" i="2"/>
  <c r="J5466" i="2"/>
  <c r="H5466" i="2"/>
  <c r="E5466" i="2"/>
  <c r="J5465" i="2"/>
  <c r="H5465" i="2"/>
  <c r="E5465" i="2"/>
  <c r="J5464" i="2"/>
  <c r="H5464" i="2"/>
  <c r="E5464" i="2"/>
  <c r="J5463" i="2"/>
  <c r="H5463" i="2"/>
  <c r="E5463" i="2"/>
  <c r="J5462" i="2"/>
  <c r="H5462" i="2"/>
  <c r="E5462" i="2"/>
  <c r="J5461" i="2"/>
  <c r="H5461" i="2"/>
  <c r="E5461" i="2"/>
  <c r="J5460" i="2"/>
  <c r="H5460" i="2"/>
  <c r="E5460" i="2"/>
  <c r="J5459" i="2"/>
  <c r="H5459" i="2"/>
  <c r="D5459" i="2"/>
  <c r="E5459" i="2" s="1"/>
  <c r="J5458" i="2"/>
  <c r="H5458" i="2"/>
  <c r="E5458" i="2"/>
  <c r="J5457" i="2"/>
  <c r="H5457" i="2"/>
  <c r="E5457" i="2"/>
  <c r="J5456" i="2"/>
  <c r="H5456" i="2"/>
  <c r="E5456" i="2"/>
  <c r="J5455" i="2"/>
  <c r="H5455" i="2"/>
  <c r="E5455" i="2"/>
  <c r="J5454" i="2"/>
  <c r="H5454" i="2"/>
  <c r="E5454" i="2"/>
  <c r="J5453" i="2"/>
  <c r="H5453" i="2"/>
  <c r="E5453" i="2"/>
  <c r="J5452" i="2"/>
  <c r="H5452" i="2"/>
  <c r="E5452" i="2"/>
  <c r="J5451" i="2"/>
  <c r="H5451" i="2"/>
  <c r="E5451" i="2"/>
  <c r="J5450" i="2"/>
  <c r="H5450" i="2"/>
  <c r="E5450" i="2"/>
  <c r="J5449" i="2"/>
  <c r="H5449" i="2"/>
  <c r="E5449" i="2"/>
  <c r="J5448" i="2"/>
  <c r="H5448" i="2"/>
  <c r="E5448" i="2"/>
  <c r="J5447" i="2"/>
  <c r="H5447" i="2"/>
  <c r="E5447" i="2"/>
  <c r="J5446" i="2"/>
  <c r="H5446" i="2"/>
  <c r="E5446" i="2"/>
  <c r="J5445" i="2"/>
  <c r="H5445" i="2"/>
  <c r="E5445" i="2"/>
  <c r="J5444" i="2"/>
  <c r="H5444" i="2"/>
  <c r="E5444" i="2"/>
  <c r="J5443" i="2"/>
  <c r="H5443" i="2"/>
  <c r="E5443" i="2"/>
  <c r="J5442" i="2"/>
  <c r="H5442" i="2"/>
  <c r="E5442" i="2"/>
  <c r="J5441" i="2"/>
  <c r="H5441" i="2"/>
  <c r="E5441" i="2"/>
  <c r="J5440" i="2"/>
  <c r="H5440" i="2"/>
  <c r="E5440" i="2"/>
  <c r="J5439" i="2"/>
  <c r="H5439" i="2"/>
  <c r="E5439" i="2"/>
  <c r="J5438" i="2"/>
  <c r="H5438" i="2"/>
  <c r="E5438" i="2"/>
  <c r="J5437" i="2"/>
  <c r="H5437" i="2"/>
  <c r="E5437" i="2"/>
  <c r="J5436" i="2"/>
  <c r="H5436" i="2"/>
  <c r="E5436" i="2"/>
  <c r="J5435" i="2"/>
  <c r="H5435" i="2"/>
  <c r="E5435" i="2"/>
  <c r="J5434" i="2"/>
  <c r="H5434" i="2"/>
  <c r="E5434" i="2"/>
  <c r="J5433" i="2"/>
  <c r="H5433" i="2"/>
  <c r="E5433" i="2"/>
  <c r="J5432" i="2"/>
  <c r="H5432" i="2"/>
  <c r="E5432" i="2"/>
  <c r="J5431" i="2"/>
  <c r="H5431" i="2"/>
  <c r="E5431" i="2"/>
  <c r="J5430" i="2"/>
  <c r="H5430" i="2"/>
  <c r="E5430" i="2"/>
  <c r="J5429" i="2"/>
  <c r="H5429" i="2"/>
  <c r="E5429" i="2"/>
  <c r="J5428" i="2"/>
  <c r="H5428" i="2"/>
  <c r="E5428" i="2"/>
  <c r="J5427" i="2"/>
  <c r="H5427" i="2"/>
  <c r="E5427" i="2"/>
  <c r="J5426" i="2"/>
  <c r="H5426" i="2"/>
  <c r="E5426" i="2"/>
  <c r="J5425" i="2"/>
  <c r="H5425" i="2"/>
  <c r="E5425" i="2"/>
  <c r="J5424" i="2"/>
  <c r="H5424" i="2"/>
  <c r="E5424" i="2"/>
  <c r="J5423" i="2"/>
  <c r="H5423" i="2"/>
  <c r="E5423" i="2"/>
  <c r="J5422" i="2"/>
  <c r="H5422" i="2"/>
  <c r="E5422" i="2"/>
  <c r="J5421" i="2"/>
  <c r="H5421" i="2"/>
  <c r="E5421" i="2"/>
  <c r="J5420" i="2"/>
  <c r="H5420" i="2"/>
  <c r="E5420" i="2"/>
  <c r="J5419" i="2"/>
  <c r="H5419" i="2"/>
  <c r="E5419" i="2"/>
  <c r="J5418" i="2"/>
  <c r="H5418" i="2"/>
  <c r="E5418" i="2"/>
  <c r="J5417" i="2"/>
  <c r="H5417" i="2"/>
  <c r="E5417" i="2"/>
  <c r="J5416" i="2"/>
  <c r="H5416" i="2"/>
  <c r="E5416" i="2"/>
  <c r="J5415" i="2"/>
  <c r="H5415" i="2"/>
  <c r="E5415" i="2"/>
  <c r="J5414" i="2"/>
  <c r="H5414" i="2"/>
  <c r="D5414" i="2"/>
  <c r="E5414" i="2" s="1"/>
  <c r="J5413" i="2"/>
  <c r="H5413" i="2"/>
  <c r="D5413" i="2"/>
  <c r="E5413" i="2" s="1"/>
  <c r="J5412" i="2"/>
  <c r="H5412" i="2"/>
  <c r="E5412" i="2"/>
  <c r="J5411" i="2"/>
  <c r="H5411" i="2"/>
  <c r="E5411" i="2"/>
  <c r="J5410" i="2"/>
  <c r="H5410" i="2"/>
  <c r="E5410" i="2"/>
  <c r="J5409" i="2"/>
  <c r="H5409" i="2"/>
  <c r="E5409" i="2"/>
  <c r="J5408" i="2"/>
  <c r="H5408" i="2"/>
  <c r="E5408" i="2"/>
  <c r="J5407" i="2"/>
  <c r="H5407" i="2"/>
  <c r="E5407" i="2"/>
  <c r="J5406" i="2"/>
  <c r="H5406" i="2"/>
  <c r="E5406" i="2"/>
  <c r="J5405" i="2"/>
  <c r="H5405" i="2"/>
  <c r="E5405" i="2"/>
  <c r="J5404" i="2"/>
  <c r="H5404" i="2"/>
  <c r="E5404" i="2"/>
  <c r="J5403" i="2"/>
  <c r="H5403" i="2"/>
  <c r="E5403" i="2"/>
  <c r="J5402" i="2"/>
  <c r="H5402" i="2"/>
  <c r="E5402" i="2"/>
  <c r="J5401" i="2"/>
  <c r="H5401" i="2"/>
  <c r="D5401" i="2"/>
  <c r="E5401" i="2" s="1"/>
  <c r="J5400" i="2"/>
  <c r="H5400" i="2"/>
  <c r="E5400" i="2"/>
  <c r="J5399" i="2"/>
  <c r="H5399" i="2"/>
  <c r="E5399" i="2"/>
  <c r="J5398" i="2"/>
  <c r="H5398" i="2"/>
  <c r="E5398" i="2"/>
  <c r="J5397" i="2"/>
  <c r="H5397" i="2"/>
  <c r="E5397" i="2"/>
  <c r="J5396" i="2"/>
  <c r="H5396" i="2"/>
  <c r="E5396" i="2"/>
  <c r="J5395" i="2"/>
  <c r="H5395" i="2"/>
  <c r="E5395" i="2"/>
  <c r="J5394" i="2"/>
  <c r="H5394" i="2"/>
  <c r="E5394" i="2"/>
  <c r="J5393" i="2"/>
  <c r="H5393" i="2"/>
  <c r="E5393" i="2"/>
  <c r="J5392" i="2"/>
  <c r="H5392" i="2"/>
  <c r="E5392" i="2"/>
  <c r="J5391" i="2"/>
  <c r="H5391" i="2"/>
  <c r="E5391" i="2"/>
  <c r="J5390" i="2"/>
  <c r="H5390" i="2"/>
  <c r="D5390" i="2"/>
  <c r="E5390" i="2" s="1"/>
  <c r="J5389" i="2"/>
  <c r="H5389" i="2"/>
  <c r="E5389" i="2"/>
  <c r="J5388" i="2"/>
  <c r="H5388" i="2"/>
  <c r="E5388" i="2"/>
  <c r="J5387" i="2"/>
  <c r="H5387" i="2"/>
  <c r="E5387" i="2"/>
  <c r="J5386" i="2"/>
  <c r="H5386" i="2"/>
  <c r="E5386" i="2"/>
  <c r="J5385" i="2"/>
  <c r="H5385" i="2"/>
  <c r="E5385" i="2"/>
  <c r="J5384" i="2"/>
  <c r="H5384" i="2"/>
  <c r="E5384" i="2"/>
  <c r="J5383" i="2"/>
  <c r="H5383" i="2"/>
  <c r="E5383" i="2"/>
  <c r="J5382" i="2"/>
  <c r="H5382" i="2"/>
  <c r="E5382" i="2"/>
  <c r="J5381" i="2"/>
  <c r="H5381" i="2"/>
  <c r="E5381" i="2"/>
  <c r="J5380" i="2"/>
  <c r="H5380" i="2"/>
  <c r="E5380" i="2"/>
  <c r="J5379" i="2"/>
  <c r="H5379" i="2"/>
  <c r="E5379" i="2"/>
  <c r="J5378" i="2"/>
  <c r="H5378" i="2"/>
  <c r="E5378" i="2"/>
  <c r="J5377" i="2"/>
  <c r="H5377" i="2"/>
  <c r="E5377" i="2"/>
  <c r="J5376" i="2"/>
  <c r="H5376" i="2"/>
  <c r="E5376" i="2"/>
  <c r="J5375" i="2"/>
  <c r="H5375" i="2"/>
  <c r="E5375" i="2"/>
  <c r="J5374" i="2"/>
  <c r="H5374" i="2"/>
  <c r="D5374" i="2"/>
  <c r="E5374" i="2" s="1"/>
  <c r="J5373" i="2"/>
  <c r="H5373" i="2"/>
  <c r="E5373" i="2"/>
  <c r="J5372" i="2"/>
  <c r="H5372" i="2"/>
  <c r="E5372" i="2"/>
  <c r="J5371" i="2"/>
  <c r="H5371" i="2"/>
  <c r="E5371" i="2"/>
  <c r="J5370" i="2"/>
  <c r="H5370" i="2"/>
  <c r="E5370" i="2"/>
  <c r="J5369" i="2"/>
  <c r="H5369" i="2"/>
  <c r="E5369" i="2"/>
  <c r="J5368" i="2"/>
  <c r="H5368" i="2"/>
  <c r="E5368" i="2"/>
  <c r="J5367" i="2"/>
  <c r="H5367" i="2"/>
  <c r="E5367" i="2"/>
  <c r="J5366" i="2"/>
  <c r="H5366" i="2"/>
  <c r="D5366" i="2"/>
  <c r="E5366" i="2" s="1"/>
  <c r="J5365" i="2"/>
  <c r="H5365" i="2"/>
  <c r="E5365" i="2"/>
  <c r="J5364" i="2"/>
  <c r="H5364" i="2"/>
  <c r="D5364" i="2"/>
  <c r="E5364" i="2" s="1"/>
  <c r="J5363" i="2"/>
  <c r="H5363" i="2"/>
  <c r="E5363" i="2"/>
  <c r="J5362" i="2"/>
  <c r="H5362" i="2"/>
  <c r="E5362" i="2"/>
  <c r="J5361" i="2"/>
  <c r="H5361" i="2"/>
  <c r="E5361" i="2"/>
  <c r="J5360" i="2"/>
  <c r="H5360" i="2"/>
  <c r="D5360" i="2"/>
  <c r="E5360" i="2" s="1"/>
  <c r="J5359" i="2"/>
  <c r="H5359" i="2"/>
  <c r="D5359" i="2"/>
  <c r="E5359" i="2" s="1"/>
  <c r="J5358" i="2"/>
  <c r="H5358" i="2"/>
  <c r="E5358" i="2"/>
  <c r="J5357" i="2"/>
  <c r="H5357" i="2"/>
  <c r="E5357" i="2"/>
  <c r="J5356" i="2"/>
  <c r="H5356" i="2"/>
  <c r="E5356" i="2"/>
  <c r="J5355" i="2"/>
  <c r="H5355" i="2"/>
  <c r="E5355" i="2"/>
  <c r="J5354" i="2"/>
  <c r="H5354" i="2"/>
  <c r="E5354" i="2"/>
  <c r="J5353" i="2"/>
  <c r="H5353" i="2"/>
  <c r="E5353" i="2"/>
  <c r="J5352" i="2"/>
  <c r="H5352" i="2"/>
  <c r="E5352" i="2"/>
  <c r="J5351" i="2"/>
  <c r="H5351" i="2"/>
  <c r="E5351" i="2"/>
  <c r="J5350" i="2"/>
  <c r="H5350" i="2"/>
  <c r="E5350" i="2"/>
  <c r="J5349" i="2"/>
  <c r="H5349" i="2"/>
  <c r="E5349" i="2"/>
  <c r="J5348" i="2"/>
  <c r="H5348" i="2"/>
  <c r="E5348" i="2"/>
  <c r="J5347" i="2"/>
  <c r="H5347" i="2"/>
  <c r="E5347" i="2"/>
  <c r="J5346" i="2"/>
  <c r="H5346" i="2"/>
  <c r="E5346" i="2"/>
  <c r="J5345" i="2"/>
  <c r="H5345" i="2"/>
  <c r="E5345" i="2"/>
  <c r="J5344" i="2"/>
  <c r="H5344" i="2"/>
  <c r="E5344" i="2"/>
  <c r="J5343" i="2"/>
  <c r="H5343" i="2"/>
  <c r="E5343" i="2"/>
  <c r="J5342" i="2"/>
  <c r="H5342" i="2"/>
  <c r="E5342" i="2"/>
  <c r="J5341" i="2"/>
  <c r="H5341" i="2"/>
  <c r="E5341" i="2"/>
  <c r="J5340" i="2"/>
  <c r="H5340" i="2"/>
  <c r="E5340" i="2"/>
  <c r="J5339" i="2"/>
  <c r="H5339" i="2"/>
  <c r="E5339" i="2"/>
  <c r="J5338" i="2"/>
  <c r="H5338" i="2"/>
  <c r="E5338" i="2"/>
  <c r="J5337" i="2"/>
  <c r="H5337" i="2"/>
  <c r="E5337" i="2"/>
  <c r="J5336" i="2"/>
  <c r="H5336" i="2"/>
  <c r="E5336" i="2"/>
  <c r="J5335" i="2"/>
  <c r="H5335" i="2"/>
  <c r="E5335" i="2"/>
  <c r="J5334" i="2"/>
  <c r="H5334" i="2"/>
  <c r="E5334" i="2"/>
  <c r="J5333" i="2"/>
  <c r="H5333" i="2"/>
  <c r="E5333" i="2"/>
  <c r="J5332" i="2"/>
  <c r="H5332" i="2"/>
  <c r="E5332" i="2"/>
  <c r="J5331" i="2"/>
  <c r="H5331" i="2"/>
  <c r="E5331" i="2"/>
  <c r="J5330" i="2"/>
  <c r="H5330" i="2"/>
  <c r="E5330" i="2"/>
  <c r="J5329" i="2"/>
  <c r="H5329" i="2"/>
  <c r="D5329" i="2"/>
  <c r="E5329" i="2" s="1"/>
  <c r="J5328" i="2"/>
  <c r="H5328" i="2"/>
  <c r="E5328" i="2"/>
  <c r="J5327" i="2"/>
  <c r="H5327" i="2"/>
  <c r="E5327" i="2"/>
  <c r="J5326" i="2"/>
  <c r="H5326" i="2"/>
  <c r="E5326" i="2"/>
  <c r="J5325" i="2"/>
  <c r="H5325" i="2"/>
  <c r="E5325" i="2"/>
  <c r="J5324" i="2"/>
  <c r="H5324" i="2"/>
  <c r="E5324" i="2"/>
  <c r="J5323" i="2"/>
  <c r="H5323" i="2"/>
  <c r="E5323" i="2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H546" i="1"/>
  <c r="H547" i="1"/>
  <c r="H548" i="1"/>
  <c r="H549" i="1"/>
  <c r="H550" i="1"/>
  <c r="H551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D53" i="1"/>
  <c r="J545" i="1"/>
  <c r="H545" i="1"/>
  <c r="E545" i="1"/>
  <c r="J544" i="1"/>
  <c r="H544" i="1"/>
  <c r="E544" i="1"/>
  <c r="J543" i="1"/>
  <c r="H543" i="1"/>
  <c r="E543" i="1"/>
  <c r="J542" i="1"/>
  <c r="H542" i="1"/>
  <c r="E542" i="1"/>
  <c r="J541" i="1"/>
  <c r="H541" i="1"/>
  <c r="E541" i="1"/>
  <c r="J540" i="1"/>
  <c r="H540" i="1"/>
  <c r="E540" i="1"/>
  <c r="J539" i="1"/>
  <c r="H539" i="1"/>
  <c r="E539" i="1"/>
  <c r="J538" i="1"/>
  <c r="H538" i="1"/>
  <c r="E538" i="1"/>
  <c r="J537" i="1"/>
  <c r="H537" i="1"/>
  <c r="E537" i="1"/>
  <c r="J536" i="1"/>
  <c r="H536" i="1"/>
  <c r="E536" i="1"/>
  <c r="J535" i="1"/>
  <c r="H535" i="1"/>
  <c r="E535" i="1"/>
  <c r="J534" i="1"/>
  <c r="H534" i="1"/>
  <c r="E534" i="1"/>
  <c r="J533" i="1"/>
  <c r="H533" i="1"/>
  <c r="E533" i="1"/>
  <c r="J532" i="1"/>
  <c r="H532" i="1"/>
  <c r="E532" i="1"/>
  <c r="J531" i="1"/>
  <c r="H531" i="1"/>
  <c r="E531" i="1"/>
  <c r="J530" i="1"/>
  <c r="H530" i="1"/>
  <c r="E530" i="1"/>
  <c r="J529" i="1"/>
  <c r="H529" i="1"/>
  <c r="E529" i="1"/>
  <c r="J528" i="1"/>
  <c r="H528" i="1"/>
  <c r="E528" i="1"/>
  <c r="J527" i="1"/>
  <c r="H527" i="1"/>
  <c r="E527" i="1"/>
  <c r="J526" i="1"/>
  <c r="H526" i="1"/>
  <c r="E526" i="1"/>
  <c r="J525" i="1"/>
  <c r="H525" i="1"/>
  <c r="E525" i="1"/>
  <c r="J524" i="1"/>
  <c r="H524" i="1"/>
  <c r="E524" i="1"/>
  <c r="J523" i="1"/>
  <c r="H523" i="1"/>
  <c r="E523" i="1"/>
  <c r="J522" i="1"/>
  <c r="H522" i="1"/>
  <c r="E522" i="1"/>
  <c r="J521" i="1"/>
  <c r="H521" i="1"/>
  <c r="E521" i="1"/>
  <c r="J520" i="1"/>
  <c r="H520" i="1"/>
  <c r="E520" i="1"/>
  <c r="J519" i="1"/>
  <c r="H519" i="1"/>
  <c r="E519" i="1"/>
  <c r="J518" i="1"/>
  <c r="H518" i="1"/>
  <c r="E518" i="1"/>
  <c r="J517" i="1"/>
  <c r="H517" i="1"/>
  <c r="E517" i="1"/>
  <c r="J516" i="1"/>
  <c r="H516" i="1"/>
  <c r="E516" i="1"/>
  <c r="J515" i="1"/>
  <c r="H515" i="1"/>
  <c r="E515" i="1"/>
  <c r="J514" i="1"/>
  <c r="H514" i="1"/>
  <c r="E514" i="1"/>
  <c r="J513" i="1"/>
  <c r="H513" i="1"/>
  <c r="E513" i="1"/>
  <c r="J512" i="1"/>
  <c r="H512" i="1"/>
  <c r="E512" i="1"/>
  <c r="J511" i="1"/>
  <c r="H511" i="1"/>
  <c r="E511" i="1"/>
  <c r="J510" i="1"/>
  <c r="H510" i="1"/>
  <c r="E510" i="1"/>
  <c r="J509" i="1"/>
  <c r="H509" i="1"/>
  <c r="E509" i="1"/>
  <c r="J508" i="1"/>
  <c r="H508" i="1"/>
  <c r="E508" i="1"/>
  <c r="J507" i="1"/>
  <c r="H507" i="1"/>
  <c r="E507" i="1"/>
  <c r="J506" i="1"/>
  <c r="H506" i="1"/>
  <c r="J505" i="1"/>
  <c r="H505" i="1"/>
  <c r="E505" i="1"/>
  <c r="J504" i="1"/>
  <c r="H504" i="1"/>
  <c r="E504" i="1"/>
  <c r="J503" i="1"/>
  <c r="H503" i="1"/>
  <c r="E503" i="1"/>
  <c r="J502" i="1"/>
  <c r="H502" i="1"/>
  <c r="E502" i="1"/>
  <c r="J501" i="1"/>
  <c r="H501" i="1"/>
  <c r="E501" i="1"/>
  <c r="J500" i="1"/>
  <c r="H500" i="1"/>
  <c r="E500" i="1"/>
  <c r="J499" i="1"/>
  <c r="H499" i="1"/>
  <c r="E499" i="1"/>
  <c r="J498" i="1"/>
  <c r="H498" i="1"/>
  <c r="E498" i="1"/>
  <c r="J497" i="1"/>
  <c r="H497" i="1"/>
  <c r="E497" i="1"/>
  <c r="J496" i="1"/>
  <c r="H496" i="1"/>
  <c r="E496" i="1"/>
  <c r="J495" i="1"/>
  <c r="H495" i="1"/>
  <c r="E495" i="1"/>
  <c r="J494" i="1"/>
  <c r="H494" i="1"/>
  <c r="E494" i="1"/>
  <c r="J493" i="1"/>
  <c r="H493" i="1"/>
  <c r="E493" i="1"/>
  <c r="J492" i="1"/>
  <c r="H492" i="1"/>
  <c r="E492" i="1"/>
  <c r="J491" i="1"/>
  <c r="H491" i="1"/>
  <c r="E491" i="1"/>
  <c r="H490" i="1" l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J467" i="1"/>
  <c r="J468" i="1"/>
  <c r="J469" i="1"/>
  <c r="J470" i="1"/>
  <c r="H467" i="1"/>
  <c r="H468" i="1"/>
  <c r="H469" i="1"/>
  <c r="H470" i="1"/>
  <c r="E467" i="1"/>
  <c r="E468" i="1"/>
  <c r="E469" i="1"/>
  <c r="E470" i="1"/>
  <c r="C1219" i="1"/>
  <c r="J466" i="1"/>
  <c r="H466" i="1"/>
  <c r="E466" i="1"/>
  <c r="J465" i="1"/>
  <c r="H465" i="1"/>
  <c r="E465" i="1"/>
  <c r="J464" i="1"/>
  <c r="H464" i="1"/>
  <c r="E464" i="1"/>
  <c r="J463" i="1"/>
  <c r="H463" i="1"/>
  <c r="E463" i="1"/>
  <c r="J462" i="1"/>
  <c r="H462" i="1"/>
  <c r="E462" i="1"/>
  <c r="J461" i="1"/>
  <c r="H461" i="1"/>
  <c r="E461" i="1"/>
  <c r="J460" i="1"/>
  <c r="H460" i="1"/>
  <c r="E460" i="1"/>
  <c r="J459" i="1"/>
  <c r="H459" i="1"/>
  <c r="E459" i="1"/>
  <c r="J458" i="1"/>
  <c r="H458" i="1"/>
  <c r="E458" i="1"/>
  <c r="J457" i="1"/>
  <c r="H457" i="1"/>
  <c r="E457" i="1"/>
  <c r="J456" i="1"/>
  <c r="H456" i="1"/>
  <c r="E456" i="1"/>
  <c r="J455" i="1"/>
  <c r="H455" i="1"/>
  <c r="E455" i="1"/>
  <c r="J454" i="1"/>
  <c r="H454" i="1"/>
  <c r="E454" i="1"/>
  <c r="J453" i="1"/>
  <c r="H453" i="1"/>
  <c r="E453" i="1"/>
  <c r="J452" i="1"/>
  <c r="H452" i="1"/>
  <c r="E452" i="1"/>
  <c r="J451" i="1"/>
  <c r="H451" i="1"/>
  <c r="E451" i="1"/>
  <c r="J450" i="1"/>
  <c r="H450" i="1"/>
  <c r="E450" i="1"/>
  <c r="J449" i="1"/>
  <c r="H449" i="1"/>
  <c r="E449" i="1"/>
  <c r="J448" i="1"/>
  <c r="H448" i="1"/>
  <c r="E448" i="1"/>
  <c r="J447" i="1"/>
  <c r="H447" i="1"/>
  <c r="E447" i="1"/>
  <c r="J446" i="1"/>
  <c r="H446" i="1"/>
  <c r="E446" i="1"/>
  <c r="J445" i="1"/>
  <c r="H445" i="1"/>
  <c r="E445" i="1"/>
  <c r="J444" i="1"/>
  <c r="H444" i="1"/>
  <c r="E444" i="1"/>
  <c r="J443" i="1"/>
  <c r="H443" i="1"/>
  <c r="E443" i="1"/>
  <c r="J442" i="1"/>
  <c r="H442" i="1"/>
  <c r="E442" i="1"/>
  <c r="J441" i="1"/>
  <c r="H441" i="1"/>
  <c r="E441" i="1"/>
  <c r="J440" i="1"/>
  <c r="H440" i="1"/>
  <c r="E440" i="1"/>
  <c r="J439" i="1"/>
  <c r="H439" i="1"/>
  <c r="E439" i="1"/>
  <c r="J438" i="1"/>
  <c r="H438" i="1"/>
  <c r="E438" i="1"/>
  <c r="J437" i="1"/>
  <c r="H437" i="1"/>
  <c r="E437" i="1"/>
  <c r="J436" i="1"/>
  <c r="H436" i="1"/>
  <c r="E436" i="1"/>
  <c r="J435" i="1"/>
  <c r="H435" i="1"/>
  <c r="E435" i="1"/>
  <c r="J434" i="1"/>
  <c r="H434" i="1"/>
  <c r="E434" i="1"/>
  <c r="J433" i="1"/>
  <c r="H433" i="1"/>
  <c r="E433" i="1"/>
  <c r="J432" i="1"/>
  <c r="H432" i="1"/>
  <c r="E432" i="1"/>
  <c r="J431" i="1"/>
  <c r="H431" i="1"/>
  <c r="E431" i="1"/>
  <c r="J430" i="1"/>
  <c r="H430" i="1"/>
  <c r="E430" i="1"/>
  <c r="J429" i="1"/>
  <c r="H429" i="1"/>
  <c r="E429" i="1"/>
  <c r="J428" i="1"/>
  <c r="H428" i="1"/>
  <c r="E428" i="1"/>
  <c r="J427" i="1"/>
  <c r="H427" i="1"/>
  <c r="E427" i="1"/>
  <c r="J426" i="1"/>
  <c r="H426" i="1"/>
  <c r="E426" i="1"/>
  <c r="J425" i="1"/>
  <c r="H425" i="1"/>
  <c r="E425" i="1"/>
  <c r="J424" i="1"/>
  <c r="H424" i="1"/>
  <c r="E424" i="1"/>
  <c r="J423" i="1"/>
  <c r="H423" i="1"/>
  <c r="E423" i="1"/>
  <c r="J422" i="1"/>
  <c r="H422" i="1"/>
  <c r="E422" i="1"/>
  <c r="J421" i="1"/>
  <c r="H421" i="1"/>
  <c r="E421" i="1"/>
  <c r="J420" i="1"/>
  <c r="H420" i="1"/>
  <c r="E420" i="1"/>
  <c r="J419" i="1"/>
  <c r="H419" i="1"/>
  <c r="E419" i="1"/>
  <c r="J418" i="1"/>
  <c r="H418" i="1"/>
  <c r="E418" i="1"/>
  <c r="J417" i="1"/>
  <c r="H417" i="1"/>
  <c r="E417" i="1"/>
  <c r="J416" i="1"/>
  <c r="H416" i="1"/>
  <c r="E416" i="1"/>
  <c r="J415" i="1"/>
  <c r="H415" i="1"/>
  <c r="E415" i="1"/>
  <c r="J414" i="1"/>
  <c r="H414" i="1"/>
  <c r="E414" i="1"/>
  <c r="J413" i="1"/>
  <c r="H413" i="1"/>
  <c r="E413" i="1"/>
  <c r="J412" i="1"/>
  <c r="H412" i="1"/>
  <c r="E412" i="1"/>
  <c r="J613" i="1" l="1"/>
  <c r="J836" i="1"/>
  <c r="J841" i="1"/>
  <c r="J1218" i="1"/>
  <c r="H613" i="1"/>
  <c r="H836" i="1"/>
  <c r="H841" i="1"/>
  <c r="H1218" i="1"/>
  <c r="E613" i="1"/>
  <c r="E836" i="1"/>
  <c r="E841" i="1"/>
  <c r="E1218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J372" i="1"/>
  <c r="J373" i="1"/>
  <c r="J374" i="1"/>
  <c r="J375" i="1"/>
  <c r="J376" i="1"/>
  <c r="J377" i="1"/>
  <c r="J378" i="1"/>
  <c r="J379" i="1"/>
  <c r="J406" i="1"/>
  <c r="J407" i="1"/>
  <c r="J408" i="1"/>
  <c r="H372" i="1"/>
  <c r="H373" i="1"/>
  <c r="H374" i="1"/>
  <c r="H375" i="1"/>
  <c r="H376" i="1"/>
  <c r="H377" i="1"/>
  <c r="H378" i="1"/>
  <c r="H379" i="1"/>
  <c r="E372" i="1"/>
  <c r="E373" i="1"/>
  <c r="E374" i="1"/>
  <c r="E375" i="1"/>
  <c r="E376" i="1"/>
  <c r="E377" i="1"/>
  <c r="E378" i="1"/>
  <c r="E379" i="1"/>
  <c r="E406" i="1"/>
  <c r="E407" i="1"/>
  <c r="E408" i="1"/>
  <c r="J371" i="1"/>
  <c r="H371" i="1"/>
  <c r="E371" i="1"/>
  <c r="J370" i="1"/>
  <c r="H370" i="1"/>
  <c r="E370" i="1"/>
  <c r="J369" i="1"/>
  <c r="H369" i="1"/>
  <c r="E369" i="1"/>
  <c r="J368" i="1"/>
  <c r="H368" i="1"/>
  <c r="E368" i="1"/>
  <c r="J367" i="1"/>
  <c r="H367" i="1"/>
  <c r="E367" i="1"/>
  <c r="J366" i="1"/>
  <c r="H366" i="1"/>
  <c r="E366" i="1"/>
  <c r="J365" i="1"/>
  <c r="H365" i="1"/>
  <c r="E365" i="1"/>
  <c r="J364" i="1"/>
  <c r="H364" i="1"/>
  <c r="E364" i="1"/>
  <c r="J363" i="1"/>
  <c r="H363" i="1"/>
  <c r="E363" i="1"/>
  <c r="J362" i="1"/>
  <c r="H362" i="1"/>
  <c r="E362" i="1"/>
  <c r="J361" i="1"/>
  <c r="H361" i="1"/>
  <c r="E361" i="1"/>
  <c r="J360" i="1"/>
  <c r="H360" i="1"/>
  <c r="E360" i="1"/>
  <c r="J359" i="1"/>
  <c r="H359" i="1"/>
  <c r="E359" i="1"/>
  <c r="J358" i="1"/>
  <c r="H358" i="1"/>
  <c r="E358" i="1"/>
  <c r="J357" i="1"/>
  <c r="H357" i="1"/>
  <c r="E357" i="1"/>
  <c r="D92" i="1"/>
  <c r="J356" i="1"/>
  <c r="H356" i="1"/>
  <c r="E356" i="1"/>
  <c r="J355" i="1"/>
  <c r="H355" i="1"/>
  <c r="E355" i="1"/>
  <c r="J354" i="1"/>
  <c r="H354" i="1"/>
  <c r="E354" i="1"/>
  <c r="J353" i="1"/>
  <c r="H353" i="1"/>
  <c r="E353" i="1"/>
  <c r="J352" i="1"/>
  <c r="H352" i="1"/>
  <c r="E352" i="1"/>
  <c r="J351" i="1"/>
  <c r="H351" i="1"/>
  <c r="E351" i="1"/>
  <c r="J350" i="1"/>
  <c r="H350" i="1"/>
  <c r="E350" i="1"/>
  <c r="J349" i="1"/>
  <c r="H349" i="1"/>
  <c r="E349" i="1"/>
  <c r="J348" i="1"/>
  <c r="H348" i="1"/>
  <c r="E348" i="1"/>
  <c r="J347" i="1"/>
  <c r="H347" i="1"/>
  <c r="E347" i="1"/>
  <c r="J346" i="1"/>
  <c r="H346" i="1"/>
  <c r="E346" i="1"/>
  <c r="J345" i="1"/>
  <c r="H345" i="1"/>
  <c r="E345" i="1"/>
  <c r="J344" i="1"/>
  <c r="H344" i="1"/>
  <c r="E344" i="1"/>
  <c r="J343" i="1"/>
  <c r="H343" i="1"/>
  <c r="E343" i="1"/>
  <c r="J342" i="1"/>
  <c r="H342" i="1"/>
  <c r="E342" i="1"/>
  <c r="J341" i="1"/>
  <c r="H341" i="1"/>
  <c r="E341" i="1"/>
  <c r="J340" i="1"/>
  <c r="H340" i="1"/>
  <c r="E340" i="1"/>
  <c r="J339" i="1"/>
  <c r="H339" i="1"/>
  <c r="E339" i="1"/>
  <c r="J338" i="1"/>
  <c r="H338" i="1"/>
  <c r="E338" i="1"/>
  <c r="J337" i="1"/>
  <c r="H337" i="1"/>
  <c r="E337" i="1"/>
  <c r="J336" i="1"/>
  <c r="H336" i="1"/>
  <c r="E336" i="1"/>
  <c r="J335" i="1"/>
  <c r="H335" i="1"/>
  <c r="E335" i="1"/>
  <c r="J334" i="1"/>
  <c r="H334" i="1"/>
  <c r="E334" i="1"/>
  <c r="J333" i="1"/>
  <c r="H333" i="1"/>
  <c r="E333" i="1"/>
  <c r="J332" i="1"/>
  <c r="H332" i="1"/>
  <c r="E332" i="1"/>
  <c r="J331" i="1"/>
  <c r="H331" i="1"/>
  <c r="E331" i="1"/>
  <c r="J330" i="1"/>
  <c r="H330" i="1"/>
  <c r="E330" i="1"/>
  <c r="J329" i="1"/>
  <c r="H329" i="1"/>
  <c r="E329" i="1"/>
  <c r="J328" i="1"/>
  <c r="H328" i="1"/>
  <c r="E328" i="1"/>
  <c r="J327" i="1"/>
  <c r="H327" i="1"/>
  <c r="E327" i="1"/>
  <c r="J326" i="1"/>
  <c r="H326" i="1"/>
  <c r="E326" i="1"/>
  <c r="J325" i="1"/>
  <c r="H325" i="1"/>
  <c r="E325" i="1"/>
  <c r="J324" i="1"/>
  <c r="H324" i="1"/>
  <c r="E324" i="1"/>
  <c r="J323" i="1"/>
  <c r="H323" i="1"/>
  <c r="E323" i="1"/>
  <c r="J322" i="1"/>
  <c r="H322" i="1"/>
  <c r="E322" i="1"/>
  <c r="J321" i="1"/>
  <c r="H321" i="1"/>
  <c r="E321" i="1"/>
  <c r="J320" i="1"/>
  <c r="H320" i="1"/>
  <c r="E320" i="1"/>
  <c r="J319" i="1"/>
  <c r="H319" i="1"/>
  <c r="E319" i="1"/>
  <c r="J318" i="1"/>
  <c r="H318" i="1"/>
  <c r="E318" i="1"/>
  <c r="J317" i="1"/>
  <c r="H317" i="1"/>
  <c r="E317" i="1"/>
  <c r="J316" i="1"/>
  <c r="H316" i="1"/>
  <c r="E316" i="1"/>
  <c r="J315" i="1"/>
  <c r="H315" i="1"/>
  <c r="E315" i="1"/>
  <c r="J314" i="1"/>
  <c r="H314" i="1"/>
  <c r="E314" i="1"/>
  <c r="J313" i="1"/>
  <c r="H313" i="1"/>
  <c r="E313" i="1"/>
  <c r="J312" i="1"/>
  <c r="H312" i="1"/>
  <c r="E312" i="1"/>
  <c r="J311" i="1"/>
  <c r="H311" i="1"/>
  <c r="E311" i="1"/>
  <c r="J310" i="1"/>
  <c r="H310" i="1"/>
  <c r="E310" i="1"/>
  <c r="J309" i="1"/>
  <c r="H309" i="1"/>
  <c r="E309" i="1"/>
  <c r="J308" i="1"/>
  <c r="H308" i="1"/>
  <c r="E308" i="1"/>
  <c r="J307" i="1"/>
  <c r="H307" i="1"/>
  <c r="E307" i="1"/>
  <c r="J306" i="1"/>
  <c r="H306" i="1"/>
  <c r="E306" i="1"/>
  <c r="J305" i="1"/>
  <c r="H305" i="1"/>
  <c r="E305" i="1"/>
  <c r="J304" i="1"/>
  <c r="H304" i="1"/>
  <c r="E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300" i="1"/>
  <c r="J301" i="1"/>
  <c r="J302" i="1"/>
  <c r="J303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300" i="1"/>
  <c r="E301" i="1"/>
  <c r="E302" i="1"/>
  <c r="E303" i="1"/>
  <c r="J246" i="1"/>
  <c r="H246" i="1"/>
  <c r="E246" i="1"/>
  <c r="J245" i="1"/>
  <c r="H245" i="1"/>
  <c r="E245" i="1"/>
  <c r="J244" i="1"/>
  <c r="H244" i="1"/>
  <c r="E244" i="1"/>
  <c r="E243" i="1"/>
  <c r="J243" i="1"/>
  <c r="H243" i="1"/>
  <c r="J242" i="1"/>
  <c r="H242" i="1"/>
  <c r="E242" i="1"/>
  <c r="J241" i="1"/>
  <c r="H241" i="1"/>
  <c r="E241" i="1"/>
  <c r="J240" i="1"/>
  <c r="H240" i="1"/>
  <c r="E240" i="1"/>
  <c r="J239" i="1"/>
  <c r="H239" i="1"/>
  <c r="E239" i="1"/>
  <c r="J238" i="1"/>
  <c r="H238" i="1"/>
  <c r="E238" i="1"/>
  <c r="J237" i="1"/>
  <c r="H237" i="1"/>
  <c r="E237" i="1"/>
  <c r="J236" i="1"/>
  <c r="H236" i="1"/>
  <c r="E236" i="1"/>
  <c r="J235" i="1"/>
  <c r="H235" i="1"/>
  <c r="E235" i="1"/>
  <c r="J234" i="1"/>
  <c r="H234" i="1"/>
  <c r="E234" i="1"/>
  <c r="J233" i="1"/>
  <c r="H233" i="1"/>
  <c r="E233" i="1"/>
  <c r="J232" i="1"/>
  <c r="H232" i="1"/>
  <c r="E232" i="1"/>
  <c r="J231" i="1"/>
  <c r="H231" i="1"/>
  <c r="E231" i="1"/>
  <c r="J230" i="1"/>
  <c r="H230" i="1"/>
  <c r="E230" i="1"/>
  <c r="J229" i="1"/>
  <c r="H229" i="1"/>
  <c r="E229" i="1"/>
  <c r="J228" i="1"/>
  <c r="H228" i="1"/>
  <c r="E228" i="1"/>
  <c r="J227" i="1"/>
  <c r="H227" i="1"/>
  <c r="E227" i="1"/>
  <c r="J226" i="1"/>
  <c r="H226" i="1"/>
  <c r="E226" i="1"/>
  <c r="J225" i="1"/>
  <c r="H225" i="1"/>
  <c r="E225" i="1"/>
  <c r="J224" i="1"/>
  <c r="H224" i="1"/>
  <c r="E224" i="1"/>
  <c r="J223" i="1"/>
  <c r="H223" i="1"/>
  <c r="E223" i="1"/>
  <c r="J222" i="1"/>
  <c r="H222" i="1"/>
  <c r="E222" i="1"/>
  <c r="J221" i="1"/>
  <c r="H221" i="1"/>
  <c r="E221" i="1"/>
  <c r="J220" i="1"/>
  <c r="H220" i="1"/>
  <c r="E220" i="1"/>
  <c r="J219" i="1"/>
  <c r="H219" i="1"/>
  <c r="E219" i="1"/>
  <c r="J218" i="1"/>
  <c r="H218" i="1"/>
  <c r="E218" i="1"/>
  <c r="J217" i="1"/>
  <c r="H217" i="1"/>
  <c r="E217" i="1"/>
  <c r="J216" i="1"/>
  <c r="H216" i="1"/>
  <c r="E216" i="1"/>
  <c r="J215" i="1"/>
  <c r="H215" i="1"/>
  <c r="E215" i="1"/>
  <c r="J214" i="1"/>
  <c r="H214" i="1"/>
  <c r="E214" i="1"/>
  <c r="J213" i="1"/>
  <c r="H213" i="1"/>
  <c r="E213" i="1"/>
  <c r="J212" i="1"/>
  <c r="H212" i="1"/>
  <c r="E212" i="1"/>
  <c r="J211" i="1"/>
  <c r="H211" i="1"/>
  <c r="E211" i="1"/>
  <c r="J210" i="1"/>
  <c r="H210" i="1"/>
  <c r="E210" i="1"/>
  <c r="J209" i="1"/>
  <c r="H209" i="1"/>
  <c r="E209" i="1"/>
  <c r="J208" i="1"/>
  <c r="H208" i="1"/>
  <c r="E208" i="1"/>
  <c r="J207" i="1"/>
  <c r="H207" i="1"/>
  <c r="E207" i="1"/>
  <c r="J206" i="1"/>
  <c r="H206" i="1"/>
  <c r="E206" i="1"/>
  <c r="J205" i="1"/>
  <c r="H205" i="1"/>
  <c r="E205" i="1"/>
  <c r="J204" i="1"/>
  <c r="H204" i="1"/>
  <c r="E204" i="1"/>
  <c r="J203" i="1"/>
  <c r="H203" i="1"/>
  <c r="E203" i="1"/>
  <c r="J202" i="1"/>
  <c r="H202" i="1"/>
  <c r="E202" i="1"/>
  <c r="J201" i="1"/>
  <c r="H201" i="1"/>
  <c r="E201" i="1"/>
  <c r="J200" i="1"/>
  <c r="H200" i="1"/>
  <c r="E200" i="1"/>
  <c r="J199" i="1"/>
  <c r="H199" i="1"/>
  <c r="E199" i="1"/>
  <c r="J198" i="1"/>
  <c r="H198" i="1"/>
  <c r="E198" i="1"/>
  <c r="J197" i="1"/>
  <c r="H197" i="1"/>
  <c r="E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409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409" i="1"/>
  <c r="H167" i="1"/>
  <c r="J167" i="1"/>
  <c r="H168" i="1"/>
  <c r="J168" i="1"/>
  <c r="H169" i="1"/>
  <c r="J169" i="1"/>
  <c r="H170" i="1"/>
  <c r="J170" i="1"/>
  <c r="H171" i="1"/>
  <c r="J171" i="1"/>
  <c r="H172" i="1"/>
  <c r="J172" i="1"/>
  <c r="H173" i="1"/>
  <c r="J173" i="1"/>
  <c r="H174" i="1"/>
  <c r="J174" i="1"/>
  <c r="H175" i="1"/>
  <c r="J175" i="1"/>
  <c r="H176" i="1"/>
  <c r="J176" i="1"/>
  <c r="E167" i="1"/>
  <c r="E168" i="1"/>
  <c r="E169" i="1"/>
  <c r="E170" i="1"/>
  <c r="E171" i="1"/>
  <c r="E172" i="1"/>
  <c r="E173" i="1"/>
  <c r="E174" i="1"/>
  <c r="E175" i="1"/>
  <c r="E176" i="1"/>
  <c r="J165" i="1" l="1"/>
  <c r="H165" i="1"/>
  <c r="E165" i="1"/>
  <c r="J164" i="1"/>
  <c r="H164" i="1"/>
  <c r="E164" i="1"/>
  <c r="J163" i="1"/>
  <c r="H163" i="1"/>
  <c r="E163" i="1"/>
  <c r="J162" i="1"/>
  <c r="H162" i="1"/>
  <c r="E162" i="1"/>
  <c r="J161" i="1"/>
  <c r="H161" i="1"/>
  <c r="E161" i="1"/>
  <c r="J160" i="1"/>
  <c r="H160" i="1"/>
  <c r="E160" i="1"/>
  <c r="J159" i="1"/>
  <c r="H159" i="1"/>
  <c r="E159" i="1"/>
  <c r="J158" i="1"/>
  <c r="H158" i="1"/>
  <c r="E158" i="1"/>
  <c r="J157" i="1"/>
  <c r="H157" i="1"/>
  <c r="E157" i="1"/>
  <c r="J156" i="1"/>
  <c r="H156" i="1"/>
  <c r="E156" i="1"/>
  <c r="J155" i="1"/>
  <c r="H155" i="1"/>
  <c r="E155" i="1"/>
  <c r="J154" i="1"/>
  <c r="H154" i="1"/>
  <c r="E154" i="1"/>
  <c r="J153" i="1"/>
  <c r="H153" i="1"/>
  <c r="E153" i="1"/>
  <c r="J152" i="1"/>
  <c r="H152" i="1"/>
  <c r="E152" i="1"/>
  <c r="J151" i="1"/>
  <c r="H151" i="1"/>
  <c r="E151" i="1"/>
  <c r="J150" i="1"/>
  <c r="H150" i="1"/>
  <c r="E150" i="1"/>
  <c r="J149" i="1"/>
  <c r="H149" i="1"/>
  <c r="E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J117" i="1" l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6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J116" i="1"/>
  <c r="H116" i="1"/>
  <c r="E116" i="1"/>
  <c r="J115" i="1"/>
  <c r="H115" i="1"/>
  <c r="E115" i="1"/>
  <c r="J114" i="1"/>
  <c r="H114" i="1"/>
  <c r="E114" i="1"/>
  <c r="J113" i="1"/>
  <c r="H113" i="1"/>
  <c r="E113" i="1"/>
  <c r="J112" i="1"/>
  <c r="H112" i="1"/>
  <c r="E112" i="1"/>
  <c r="J111" i="1"/>
  <c r="H111" i="1"/>
  <c r="E111" i="1"/>
  <c r="J110" i="1"/>
  <c r="H110" i="1"/>
  <c r="E110" i="1"/>
  <c r="J109" i="1"/>
  <c r="H109" i="1"/>
  <c r="E109" i="1"/>
  <c r="J108" i="1"/>
  <c r="H108" i="1"/>
  <c r="E108" i="1"/>
  <c r="J107" i="1"/>
  <c r="H107" i="1"/>
  <c r="E107" i="1"/>
  <c r="J106" i="1"/>
  <c r="H106" i="1"/>
  <c r="E106" i="1"/>
  <c r="J105" i="1"/>
  <c r="H105" i="1"/>
  <c r="E105" i="1"/>
  <c r="J104" i="1"/>
  <c r="H104" i="1"/>
  <c r="E104" i="1"/>
  <c r="J103" i="1"/>
  <c r="H103" i="1"/>
  <c r="E103" i="1"/>
  <c r="J102" i="1"/>
  <c r="H102" i="1"/>
  <c r="E102" i="1"/>
  <c r="J101" i="1"/>
  <c r="H101" i="1"/>
  <c r="E101" i="1"/>
  <c r="J100" i="1"/>
  <c r="H100" i="1"/>
  <c r="E100" i="1"/>
  <c r="J99" i="1"/>
  <c r="H99" i="1"/>
  <c r="E99" i="1"/>
  <c r="J98" i="1"/>
  <c r="H98" i="1"/>
  <c r="E98" i="1"/>
  <c r="J97" i="1"/>
  <c r="H97" i="1"/>
  <c r="E97" i="1"/>
  <c r="J96" i="1"/>
  <c r="H96" i="1"/>
  <c r="E96" i="1"/>
  <c r="J95" i="1"/>
  <c r="H95" i="1"/>
  <c r="E95" i="1"/>
  <c r="J94" i="1"/>
  <c r="H94" i="1"/>
  <c r="E94" i="1"/>
  <c r="J93" i="1"/>
  <c r="H93" i="1"/>
  <c r="E93" i="1"/>
  <c r="J92" i="1"/>
  <c r="H92" i="1"/>
  <c r="E92" i="1"/>
  <c r="J91" i="1"/>
  <c r="H91" i="1"/>
  <c r="E91" i="1"/>
  <c r="J90" i="1"/>
  <c r="H90" i="1"/>
  <c r="E90" i="1"/>
  <c r="J89" i="1"/>
  <c r="H89" i="1"/>
  <c r="E89" i="1"/>
  <c r="J88" i="1"/>
  <c r="H88" i="1"/>
  <c r="E88" i="1"/>
  <c r="J87" i="1"/>
  <c r="H87" i="1"/>
  <c r="E87" i="1"/>
  <c r="J86" i="1"/>
  <c r="H86" i="1"/>
  <c r="E86" i="1"/>
  <c r="J85" i="1"/>
  <c r="H85" i="1"/>
  <c r="E85" i="1"/>
  <c r="H166" i="1"/>
  <c r="E166" i="1"/>
  <c r="J84" i="1"/>
  <c r="H84" i="1"/>
  <c r="E84" i="1"/>
  <c r="J83" i="1"/>
  <c r="H83" i="1"/>
  <c r="E83" i="1"/>
  <c r="J82" i="1"/>
  <c r="H82" i="1"/>
  <c r="E82" i="1"/>
  <c r="J81" i="1"/>
  <c r="H81" i="1"/>
  <c r="E81" i="1"/>
  <c r="J80" i="1"/>
  <c r="H80" i="1"/>
  <c r="E80" i="1"/>
  <c r="J79" i="1"/>
  <c r="H79" i="1"/>
  <c r="E79" i="1"/>
  <c r="J78" i="1"/>
  <c r="H78" i="1"/>
  <c r="E78" i="1"/>
  <c r="J77" i="1"/>
  <c r="H77" i="1"/>
  <c r="E77" i="1"/>
  <c r="J76" i="1"/>
  <c r="H76" i="1"/>
  <c r="E76" i="1"/>
  <c r="J75" i="1"/>
  <c r="H75" i="1"/>
  <c r="E75" i="1"/>
  <c r="J74" i="1"/>
  <c r="H74" i="1"/>
  <c r="E74" i="1"/>
  <c r="J73" i="1"/>
  <c r="H73" i="1"/>
  <c r="E73" i="1"/>
  <c r="J72" i="1"/>
  <c r="H72" i="1"/>
  <c r="E72" i="1"/>
  <c r="J71" i="1"/>
  <c r="H71" i="1"/>
  <c r="E71" i="1"/>
  <c r="J70" i="1"/>
  <c r="H70" i="1"/>
  <c r="E70" i="1"/>
  <c r="J69" i="1"/>
  <c r="H69" i="1"/>
  <c r="E69" i="1"/>
  <c r="J68" i="1"/>
  <c r="H68" i="1"/>
  <c r="E68" i="1"/>
  <c r="J67" i="1"/>
  <c r="H67" i="1"/>
  <c r="E67" i="1"/>
  <c r="J66" i="1"/>
  <c r="H66" i="1"/>
  <c r="E66" i="1"/>
  <c r="J65" i="1"/>
  <c r="H65" i="1"/>
  <c r="E65" i="1"/>
  <c r="J64" i="1"/>
  <c r="H64" i="1"/>
  <c r="E64" i="1"/>
  <c r="J63" i="1"/>
  <c r="H63" i="1"/>
  <c r="E63" i="1"/>
  <c r="J62" i="1"/>
  <c r="H62" i="1"/>
  <c r="E62" i="1"/>
  <c r="J61" i="1"/>
  <c r="H61" i="1"/>
  <c r="E61" i="1"/>
  <c r="J60" i="1"/>
  <c r="H60" i="1"/>
  <c r="E60" i="1"/>
  <c r="J59" i="1"/>
  <c r="H59" i="1"/>
  <c r="E59" i="1"/>
  <c r="J58" i="1"/>
  <c r="H58" i="1"/>
  <c r="E58" i="1"/>
  <c r="J57" i="1"/>
  <c r="H57" i="1"/>
  <c r="E57" i="1"/>
  <c r="J56" i="1"/>
  <c r="H56" i="1"/>
  <c r="E56" i="1"/>
  <c r="J55" i="1"/>
  <c r="H55" i="1"/>
  <c r="E55" i="1"/>
  <c r="J54" i="1"/>
  <c r="H54" i="1"/>
  <c r="E54" i="1"/>
  <c r="J53" i="1"/>
  <c r="H53" i="1"/>
  <c r="E53" i="1"/>
  <c r="J52" i="1"/>
  <c r="H52" i="1"/>
  <c r="E52" i="1"/>
  <c r="J51" i="1"/>
  <c r="H51" i="1"/>
  <c r="E51" i="1"/>
  <c r="J50" i="1"/>
  <c r="H50" i="1"/>
  <c r="E50" i="1"/>
  <c r="J49" i="1"/>
  <c r="H49" i="1"/>
  <c r="E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J410" i="1" l="1"/>
  <c r="E410" i="1"/>
  <c r="J5016" i="2"/>
  <c r="H5016" i="2"/>
  <c r="E5016" i="2"/>
  <c r="J5015" i="2"/>
  <c r="H5015" i="2"/>
  <c r="E5015" i="2"/>
  <c r="J5014" i="2"/>
  <c r="H5014" i="2"/>
  <c r="E5014" i="2"/>
  <c r="J5013" i="2"/>
  <c r="H5013" i="2"/>
  <c r="E5013" i="2"/>
  <c r="J5012" i="2"/>
  <c r="H5012" i="2"/>
  <c r="E5012" i="2"/>
  <c r="J5011" i="2"/>
  <c r="H5011" i="2"/>
  <c r="E5011" i="2"/>
  <c r="J5010" i="2"/>
  <c r="H5010" i="2"/>
  <c r="E5010" i="2"/>
  <c r="J5009" i="2"/>
  <c r="H5009" i="2"/>
  <c r="E5009" i="2"/>
  <c r="J5008" i="2"/>
  <c r="H5008" i="2"/>
  <c r="E5008" i="2"/>
  <c r="J5007" i="2"/>
  <c r="H5007" i="2"/>
  <c r="E5007" i="2"/>
  <c r="J5006" i="2"/>
  <c r="H5006" i="2"/>
  <c r="E5006" i="2"/>
  <c r="J5005" i="2"/>
  <c r="H5005" i="2"/>
  <c r="E5005" i="2"/>
  <c r="J5004" i="2"/>
  <c r="H5004" i="2"/>
  <c r="E5004" i="2"/>
  <c r="J5003" i="2"/>
  <c r="H5003" i="2"/>
  <c r="E5003" i="2"/>
  <c r="J5002" i="2"/>
  <c r="H5002" i="2"/>
  <c r="E5002" i="2"/>
  <c r="J5001" i="2"/>
  <c r="H5001" i="2"/>
  <c r="E5001" i="2"/>
  <c r="J5000" i="2"/>
  <c r="H5000" i="2"/>
  <c r="E5000" i="2"/>
  <c r="J4999" i="2"/>
  <c r="H4999" i="2"/>
  <c r="E4999" i="2"/>
  <c r="J4998" i="2"/>
  <c r="H4998" i="2"/>
  <c r="E4998" i="2"/>
  <c r="J4997" i="2"/>
  <c r="H4997" i="2"/>
  <c r="E4997" i="2"/>
  <c r="J4996" i="2"/>
  <c r="H4996" i="2"/>
  <c r="E4996" i="2"/>
  <c r="J4995" i="2"/>
  <c r="H4995" i="2"/>
  <c r="E4995" i="2"/>
  <c r="J4994" i="2"/>
  <c r="H4994" i="2"/>
  <c r="E4994" i="2"/>
  <c r="J4993" i="2"/>
  <c r="H4993" i="2"/>
  <c r="E4993" i="2"/>
  <c r="J4992" i="2"/>
  <c r="H4992" i="2"/>
  <c r="E4992" i="2"/>
  <c r="J4991" i="2"/>
  <c r="H4991" i="2"/>
  <c r="E4991" i="2"/>
  <c r="J4990" i="2"/>
  <c r="H4990" i="2"/>
  <c r="E4990" i="2"/>
  <c r="J4989" i="2"/>
  <c r="H4989" i="2"/>
  <c r="E4989" i="2"/>
  <c r="J4988" i="2"/>
  <c r="H4988" i="2"/>
  <c r="E4988" i="2"/>
  <c r="J4987" i="2"/>
  <c r="H4987" i="2"/>
  <c r="E4987" i="2"/>
  <c r="J4986" i="2"/>
  <c r="H4986" i="2"/>
  <c r="E4986" i="2"/>
  <c r="J4985" i="2"/>
  <c r="H4985" i="2"/>
  <c r="E4985" i="2"/>
  <c r="J4984" i="2"/>
  <c r="H4984" i="2"/>
  <c r="E4984" i="2"/>
  <c r="J4983" i="2"/>
  <c r="H4983" i="2"/>
  <c r="E4983" i="2"/>
  <c r="J4982" i="2"/>
  <c r="H4982" i="2"/>
  <c r="E4982" i="2"/>
  <c r="J4981" i="2"/>
  <c r="H4981" i="2"/>
  <c r="E4981" i="2"/>
  <c r="J4980" i="2"/>
  <c r="H4980" i="2"/>
  <c r="E4980" i="2"/>
  <c r="J4979" i="2"/>
  <c r="H4979" i="2"/>
  <c r="E4979" i="2"/>
  <c r="J4978" i="2"/>
  <c r="H4978" i="2"/>
  <c r="E4978" i="2"/>
  <c r="J4977" i="2"/>
  <c r="H4977" i="2"/>
  <c r="E4977" i="2"/>
  <c r="J4976" i="2"/>
  <c r="H4976" i="2"/>
  <c r="E4976" i="2"/>
  <c r="J4975" i="2"/>
  <c r="H4975" i="2"/>
  <c r="E4975" i="2"/>
  <c r="J4974" i="2"/>
  <c r="H4974" i="2"/>
  <c r="E4974" i="2"/>
  <c r="J4973" i="2"/>
  <c r="H4973" i="2"/>
  <c r="E4973" i="2"/>
  <c r="J4972" i="2"/>
  <c r="H4972" i="2"/>
  <c r="E4972" i="2"/>
  <c r="J4971" i="2"/>
  <c r="H4971" i="2"/>
  <c r="E4971" i="2"/>
  <c r="J4970" i="2"/>
  <c r="H4970" i="2"/>
  <c r="E4970" i="2"/>
  <c r="J4969" i="2"/>
  <c r="H4969" i="2"/>
  <c r="E4969" i="2"/>
  <c r="J4968" i="2"/>
  <c r="H4968" i="2"/>
  <c r="E4968" i="2"/>
  <c r="J4967" i="2"/>
  <c r="H4967" i="2"/>
  <c r="E4967" i="2"/>
  <c r="J4966" i="2"/>
  <c r="H4966" i="2"/>
  <c r="E4966" i="2"/>
  <c r="J4965" i="2"/>
  <c r="H4965" i="2"/>
  <c r="E4965" i="2"/>
  <c r="J4964" i="2"/>
  <c r="H4964" i="2"/>
  <c r="E4964" i="2"/>
  <c r="J4963" i="2"/>
  <c r="H4963" i="2"/>
  <c r="E4963" i="2"/>
  <c r="J4962" i="2"/>
  <c r="H4962" i="2"/>
  <c r="E4962" i="2"/>
  <c r="J4961" i="2"/>
  <c r="H4961" i="2"/>
  <c r="E4961" i="2"/>
  <c r="J4960" i="2"/>
  <c r="H4960" i="2"/>
  <c r="E4960" i="2"/>
  <c r="J4959" i="2"/>
  <c r="H4959" i="2"/>
  <c r="E4959" i="2"/>
  <c r="J4958" i="2"/>
  <c r="H4958" i="2"/>
  <c r="E4958" i="2"/>
  <c r="J4957" i="2"/>
  <c r="H4957" i="2"/>
  <c r="E4957" i="2"/>
  <c r="J4956" i="2"/>
  <c r="H4956" i="2"/>
  <c r="E4956" i="2"/>
  <c r="J4955" i="2"/>
  <c r="H4955" i="2"/>
  <c r="E4955" i="2"/>
  <c r="J4954" i="2"/>
  <c r="H4954" i="2"/>
  <c r="E4954" i="2"/>
  <c r="J4953" i="2"/>
  <c r="H4953" i="2"/>
  <c r="E4953" i="2"/>
  <c r="J4952" i="2"/>
  <c r="H4952" i="2"/>
  <c r="E4952" i="2"/>
  <c r="J4951" i="2"/>
  <c r="H4951" i="2"/>
  <c r="E4951" i="2"/>
  <c r="J4950" i="2"/>
  <c r="H4950" i="2"/>
  <c r="E4950" i="2"/>
  <c r="J4949" i="2"/>
  <c r="H4949" i="2"/>
  <c r="E4949" i="2"/>
  <c r="J4948" i="2"/>
  <c r="H4948" i="2"/>
  <c r="E4948" i="2"/>
  <c r="J4947" i="2"/>
  <c r="H4947" i="2"/>
  <c r="E4947" i="2"/>
  <c r="J4946" i="2"/>
  <c r="H4946" i="2"/>
  <c r="E4946" i="2"/>
  <c r="J4945" i="2"/>
  <c r="H4945" i="2"/>
  <c r="E4945" i="2"/>
  <c r="J4944" i="2"/>
  <c r="H4944" i="2"/>
  <c r="E4944" i="2"/>
  <c r="J4943" i="2"/>
  <c r="H4943" i="2"/>
  <c r="E4943" i="2"/>
  <c r="J4942" i="2"/>
  <c r="H4942" i="2"/>
  <c r="E4942" i="2"/>
  <c r="J4941" i="2"/>
  <c r="H4941" i="2"/>
  <c r="E4941" i="2"/>
  <c r="J4940" i="2"/>
  <c r="H4940" i="2"/>
  <c r="E4940" i="2"/>
  <c r="J4939" i="2"/>
  <c r="H4939" i="2"/>
  <c r="E4939" i="2"/>
  <c r="J4938" i="2"/>
  <c r="H4938" i="2"/>
  <c r="E4938" i="2"/>
  <c r="J4937" i="2"/>
  <c r="H4937" i="2"/>
  <c r="E4937" i="2"/>
  <c r="J4936" i="2"/>
  <c r="H4936" i="2"/>
  <c r="E4936" i="2"/>
  <c r="J4935" i="2"/>
  <c r="H4935" i="2"/>
  <c r="E4935" i="2"/>
  <c r="J4934" i="2"/>
  <c r="H4934" i="2"/>
  <c r="E4934" i="2"/>
  <c r="J4933" i="2"/>
  <c r="H4933" i="2"/>
  <c r="D4933" i="2"/>
  <c r="E4933" i="2" s="1"/>
  <c r="J4932" i="2"/>
  <c r="H4932" i="2"/>
  <c r="E4932" i="2"/>
  <c r="J4931" i="2"/>
  <c r="H4931" i="2"/>
  <c r="E4931" i="2"/>
  <c r="J4930" i="2"/>
  <c r="H4930" i="2"/>
  <c r="E4930" i="2"/>
  <c r="J4929" i="2"/>
  <c r="H4929" i="2"/>
  <c r="E4929" i="2"/>
  <c r="J4928" i="2"/>
  <c r="H4928" i="2"/>
  <c r="D4928" i="2"/>
  <c r="E4928" i="2" s="1"/>
  <c r="J4927" i="2"/>
  <c r="H4927" i="2"/>
  <c r="E4927" i="2"/>
  <c r="J4926" i="2"/>
  <c r="H4926" i="2"/>
  <c r="E4926" i="2"/>
  <c r="J4925" i="2"/>
  <c r="H4925" i="2"/>
  <c r="E4925" i="2"/>
  <c r="J4924" i="2"/>
  <c r="H4924" i="2"/>
  <c r="E4924" i="2"/>
  <c r="J4923" i="2"/>
  <c r="H4923" i="2"/>
  <c r="E4923" i="2"/>
  <c r="J4922" i="2"/>
  <c r="H4922" i="2"/>
  <c r="D4922" i="2"/>
  <c r="E4922" i="2" s="1"/>
  <c r="J4921" i="2"/>
  <c r="H4921" i="2"/>
  <c r="E4921" i="2"/>
  <c r="J4920" i="2"/>
  <c r="H4920" i="2"/>
  <c r="E4920" i="2"/>
  <c r="J4919" i="2"/>
  <c r="H4919" i="2"/>
  <c r="E4919" i="2"/>
  <c r="J4918" i="2"/>
  <c r="H4918" i="2"/>
  <c r="E4918" i="2"/>
  <c r="J4917" i="2"/>
  <c r="H4917" i="2"/>
  <c r="E4917" i="2"/>
  <c r="J4916" i="2"/>
  <c r="H4916" i="2"/>
  <c r="E4916" i="2"/>
  <c r="J4915" i="2"/>
  <c r="H4915" i="2"/>
  <c r="E4915" i="2"/>
  <c r="J4914" i="2"/>
  <c r="H4914" i="2"/>
  <c r="E4914" i="2"/>
  <c r="J4913" i="2"/>
  <c r="H4913" i="2"/>
  <c r="E4913" i="2"/>
  <c r="J4912" i="2"/>
  <c r="H4912" i="2"/>
  <c r="E4912" i="2"/>
  <c r="J4911" i="2"/>
  <c r="H4911" i="2"/>
  <c r="E4911" i="2"/>
  <c r="J4910" i="2"/>
  <c r="H4910" i="2"/>
  <c r="E4910" i="2"/>
  <c r="J4909" i="2"/>
  <c r="H4909" i="2"/>
  <c r="E4909" i="2"/>
  <c r="J4908" i="2"/>
  <c r="H4908" i="2"/>
  <c r="E4908" i="2"/>
  <c r="J4907" i="2"/>
  <c r="H4907" i="2"/>
  <c r="E4907" i="2"/>
  <c r="J4906" i="2"/>
  <c r="H4906" i="2"/>
  <c r="E4906" i="2"/>
  <c r="J4905" i="2"/>
  <c r="H4905" i="2"/>
  <c r="E4905" i="2"/>
  <c r="J4904" i="2"/>
  <c r="H4904" i="2"/>
  <c r="E4904" i="2"/>
  <c r="J4903" i="2"/>
  <c r="H4903" i="2"/>
  <c r="E4903" i="2"/>
  <c r="D4903" i="2"/>
  <c r="J4902" i="2"/>
  <c r="H4902" i="2"/>
  <c r="E4902" i="2"/>
  <c r="J4901" i="2"/>
  <c r="H4901" i="2"/>
  <c r="E4901" i="2"/>
  <c r="J4900" i="2"/>
  <c r="H4900" i="2"/>
  <c r="E4900" i="2"/>
  <c r="J4899" i="2"/>
  <c r="H4899" i="2"/>
  <c r="E4899" i="2"/>
  <c r="J4898" i="2"/>
  <c r="H4898" i="2"/>
  <c r="E4898" i="2"/>
  <c r="J4897" i="2"/>
  <c r="H4897" i="2"/>
  <c r="E4897" i="2"/>
  <c r="J4896" i="2"/>
  <c r="H4896" i="2"/>
  <c r="E4896" i="2"/>
  <c r="J4895" i="2"/>
  <c r="H4895" i="2"/>
  <c r="E4895" i="2"/>
  <c r="J4894" i="2"/>
  <c r="H4894" i="2"/>
  <c r="E4894" i="2"/>
  <c r="J4893" i="2"/>
  <c r="H4893" i="2"/>
  <c r="E4893" i="2"/>
  <c r="J4892" i="2"/>
  <c r="H4892" i="2"/>
  <c r="E4892" i="2"/>
  <c r="J4891" i="2"/>
  <c r="H4891" i="2"/>
  <c r="E4891" i="2"/>
  <c r="J4890" i="2"/>
  <c r="H4890" i="2"/>
  <c r="E4890" i="2"/>
  <c r="J4889" i="2"/>
  <c r="H4889" i="2"/>
  <c r="E4889" i="2"/>
  <c r="J4888" i="2"/>
  <c r="H4888" i="2"/>
  <c r="D4888" i="2"/>
  <c r="E4888" i="2" s="1"/>
  <c r="J4887" i="2"/>
  <c r="H4887" i="2"/>
  <c r="E4887" i="2"/>
  <c r="J4886" i="2"/>
  <c r="H4886" i="2"/>
  <c r="E4886" i="2"/>
  <c r="J4885" i="2"/>
  <c r="H4885" i="2"/>
  <c r="E4885" i="2"/>
  <c r="J4884" i="2"/>
  <c r="H4884" i="2"/>
  <c r="E4884" i="2"/>
  <c r="J4883" i="2"/>
  <c r="H4883" i="2"/>
  <c r="E4883" i="2"/>
  <c r="J4882" i="2"/>
  <c r="H4882" i="2"/>
  <c r="E4882" i="2"/>
  <c r="J4881" i="2"/>
  <c r="H4881" i="2"/>
  <c r="E4881" i="2"/>
  <c r="J4880" i="2"/>
  <c r="H4880" i="2"/>
  <c r="E4880" i="2"/>
  <c r="J4879" i="2"/>
  <c r="H4879" i="2"/>
  <c r="E4879" i="2"/>
  <c r="J4878" i="2"/>
  <c r="H4878" i="2"/>
  <c r="E4878" i="2"/>
  <c r="J4877" i="2"/>
  <c r="H4877" i="2"/>
  <c r="E4877" i="2"/>
  <c r="J4876" i="2"/>
  <c r="H4876" i="2"/>
  <c r="E4876" i="2"/>
  <c r="J4875" i="2"/>
  <c r="H4875" i="2"/>
  <c r="E4875" i="2"/>
  <c r="J4874" i="2"/>
  <c r="H4874" i="2"/>
  <c r="E4874" i="2"/>
  <c r="J4873" i="2"/>
  <c r="H4873" i="2"/>
  <c r="E4873" i="2"/>
  <c r="J4872" i="2"/>
  <c r="H4872" i="2"/>
  <c r="E4872" i="2"/>
  <c r="J4871" i="2"/>
  <c r="H4871" i="2"/>
  <c r="E4871" i="2"/>
  <c r="J4870" i="2"/>
  <c r="H4870" i="2"/>
  <c r="E4870" i="2"/>
  <c r="J4869" i="2"/>
  <c r="H4869" i="2"/>
  <c r="E4869" i="2"/>
  <c r="J4868" i="2"/>
  <c r="H4868" i="2"/>
  <c r="E4868" i="2"/>
  <c r="J4867" i="2"/>
  <c r="H4867" i="2"/>
  <c r="E4867" i="2"/>
  <c r="J4866" i="2"/>
  <c r="H4866" i="2"/>
  <c r="E4866" i="2"/>
  <c r="J4865" i="2"/>
  <c r="H4865" i="2"/>
  <c r="E4865" i="2"/>
  <c r="J4864" i="2"/>
  <c r="H4864" i="2"/>
  <c r="E4864" i="2"/>
  <c r="J4863" i="2"/>
  <c r="H4863" i="2"/>
  <c r="E4863" i="2"/>
  <c r="J4862" i="2"/>
  <c r="H4862" i="2"/>
  <c r="E4862" i="2"/>
  <c r="J4861" i="2"/>
  <c r="H4861" i="2"/>
  <c r="E4861" i="2"/>
  <c r="J4860" i="2"/>
  <c r="H4860" i="2"/>
  <c r="E4860" i="2"/>
  <c r="J4859" i="2"/>
  <c r="H4859" i="2"/>
  <c r="D4859" i="2"/>
  <c r="E4859" i="2" s="1"/>
  <c r="J4858" i="2"/>
  <c r="H4858" i="2"/>
  <c r="E4858" i="2"/>
  <c r="J4857" i="2"/>
  <c r="H4857" i="2"/>
  <c r="E4857" i="2"/>
  <c r="J4856" i="2"/>
  <c r="H4856" i="2"/>
  <c r="E4856" i="2"/>
  <c r="J4855" i="2"/>
  <c r="H4855" i="2"/>
  <c r="E4855" i="2"/>
  <c r="J4854" i="2"/>
  <c r="H4854" i="2"/>
  <c r="E4854" i="2"/>
  <c r="J4853" i="2"/>
  <c r="H4853" i="2"/>
  <c r="E4853" i="2"/>
  <c r="J4852" i="2"/>
  <c r="H4852" i="2"/>
  <c r="E4852" i="2"/>
  <c r="J4851" i="2"/>
  <c r="H4851" i="2"/>
  <c r="E4851" i="2"/>
  <c r="J4850" i="2"/>
  <c r="H4850" i="2"/>
  <c r="E4850" i="2"/>
  <c r="J4849" i="2"/>
  <c r="H4849" i="2"/>
  <c r="E4849" i="2"/>
  <c r="J4848" i="2"/>
  <c r="H4848" i="2"/>
  <c r="E4848" i="2"/>
  <c r="J4847" i="2"/>
  <c r="H4847" i="2"/>
  <c r="E4847" i="2"/>
  <c r="J4846" i="2"/>
  <c r="H4846" i="2"/>
  <c r="E4846" i="2"/>
  <c r="J4845" i="2"/>
  <c r="H4845" i="2"/>
  <c r="E4845" i="2"/>
  <c r="J4844" i="2"/>
  <c r="H4844" i="2"/>
  <c r="E4844" i="2"/>
  <c r="J4843" i="2"/>
  <c r="H4843" i="2"/>
  <c r="E4843" i="2"/>
  <c r="J4842" i="2"/>
  <c r="H4842" i="2"/>
  <c r="E4842" i="2"/>
  <c r="J4841" i="2"/>
  <c r="H4841" i="2"/>
  <c r="E4841" i="2"/>
  <c r="J4840" i="2"/>
  <c r="H4840" i="2"/>
  <c r="E4840" i="2"/>
  <c r="J4839" i="2"/>
  <c r="H4839" i="2"/>
  <c r="E4839" i="2"/>
  <c r="J4838" i="2"/>
  <c r="H4838" i="2"/>
  <c r="E4838" i="2"/>
  <c r="J4837" i="2"/>
  <c r="H4837" i="2"/>
  <c r="E4837" i="2"/>
  <c r="J4836" i="2"/>
  <c r="H4836" i="2"/>
  <c r="E4836" i="2"/>
  <c r="J4835" i="2"/>
  <c r="H4835" i="2"/>
  <c r="E4835" i="2"/>
  <c r="J4834" i="2"/>
  <c r="H4834" i="2"/>
  <c r="E4834" i="2"/>
  <c r="J4833" i="2"/>
  <c r="H4833" i="2"/>
  <c r="E4833" i="2"/>
  <c r="J4832" i="2"/>
  <c r="H4832" i="2"/>
  <c r="E4832" i="2"/>
  <c r="J4831" i="2"/>
  <c r="H4831" i="2"/>
  <c r="E4831" i="2"/>
  <c r="J4830" i="2"/>
  <c r="H4830" i="2"/>
  <c r="E4830" i="2"/>
  <c r="J4829" i="2"/>
  <c r="H4829" i="2"/>
  <c r="E4829" i="2"/>
  <c r="J4828" i="2"/>
  <c r="H4828" i="2"/>
  <c r="E4828" i="2"/>
  <c r="J4827" i="2"/>
  <c r="H4827" i="2"/>
  <c r="E4827" i="2"/>
  <c r="J4826" i="2"/>
  <c r="H4826" i="2"/>
  <c r="E4826" i="2"/>
  <c r="J4825" i="2"/>
  <c r="H4825" i="2"/>
  <c r="E4825" i="2"/>
  <c r="J4824" i="2"/>
  <c r="H4824" i="2"/>
  <c r="E4824" i="2"/>
  <c r="J4823" i="2"/>
  <c r="H4823" i="2"/>
  <c r="E4823" i="2"/>
  <c r="J4822" i="2"/>
  <c r="H4822" i="2"/>
  <c r="E4822" i="2"/>
  <c r="J4821" i="2"/>
  <c r="H4821" i="2"/>
  <c r="E4821" i="2"/>
  <c r="J4820" i="2"/>
  <c r="H4820" i="2"/>
  <c r="E4820" i="2"/>
  <c r="J4819" i="2"/>
  <c r="H4819" i="2"/>
  <c r="E4819" i="2"/>
  <c r="J4818" i="2"/>
  <c r="H4818" i="2"/>
  <c r="E4818" i="2"/>
  <c r="J4817" i="2"/>
  <c r="H4817" i="2"/>
  <c r="E4817" i="2"/>
  <c r="J4816" i="2"/>
  <c r="H4816" i="2"/>
  <c r="E4816" i="2"/>
  <c r="J4815" i="2"/>
  <c r="H4815" i="2"/>
  <c r="E4815" i="2"/>
  <c r="J4814" i="2"/>
  <c r="H4814" i="2"/>
  <c r="E4814" i="2"/>
  <c r="J4813" i="2"/>
  <c r="H4813" i="2"/>
  <c r="E4813" i="2"/>
  <c r="J4812" i="2"/>
  <c r="H4812" i="2"/>
  <c r="D4812" i="2"/>
  <c r="E4812" i="2" s="1"/>
  <c r="J4811" i="2"/>
  <c r="H4811" i="2"/>
  <c r="D4811" i="2"/>
  <c r="E4811" i="2" s="1"/>
  <c r="J4810" i="2"/>
  <c r="H4810" i="2"/>
  <c r="E4810" i="2"/>
  <c r="J4809" i="2"/>
  <c r="H4809" i="2"/>
  <c r="E4809" i="2"/>
  <c r="J4808" i="2"/>
  <c r="H4808" i="2"/>
  <c r="E4808" i="2"/>
  <c r="J4807" i="2"/>
  <c r="H4807" i="2"/>
  <c r="E4807" i="2"/>
  <c r="J4806" i="2"/>
  <c r="H4806" i="2"/>
  <c r="E4806" i="2"/>
  <c r="J4805" i="2"/>
  <c r="H4805" i="2"/>
  <c r="E4805" i="2"/>
  <c r="J4804" i="2"/>
  <c r="H4804" i="2"/>
  <c r="D4804" i="2"/>
  <c r="E4804" i="2" s="1"/>
  <c r="J4803" i="2"/>
  <c r="H4803" i="2"/>
  <c r="E4803" i="2"/>
  <c r="J4802" i="2"/>
  <c r="H4802" i="2"/>
  <c r="E4802" i="2"/>
  <c r="J4801" i="2"/>
  <c r="H4801" i="2"/>
  <c r="E4801" i="2"/>
  <c r="J4800" i="2"/>
  <c r="H4800" i="2"/>
  <c r="E4800" i="2"/>
  <c r="J4799" i="2"/>
  <c r="H4799" i="2"/>
  <c r="E4799" i="2"/>
  <c r="J4798" i="2"/>
  <c r="H4798" i="2"/>
  <c r="E4798" i="2"/>
  <c r="J4797" i="2"/>
  <c r="H4797" i="2"/>
  <c r="E4797" i="2"/>
  <c r="J4796" i="2"/>
  <c r="H4796" i="2"/>
  <c r="E4796" i="2"/>
  <c r="J4795" i="2"/>
  <c r="H4795" i="2"/>
  <c r="E4795" i="2"/>
  <c r="J4794" i="2"/>
  <c r="H4794" i="2"/>
  <c r="E4794" i="2"/>
  <c r="J4793" i="2"/>
  <c r="H4793" i="2"/>
  <c r="E4793" i="2"/>
  <c r="J4792" i="2"/>
  <c r="H4792" i="2"/>
  <c r="E4792" i="2"/>
  <c r="J4791" i="2"/>
  <c r="H4791" i="2"/>
  <c r="E4791" i="2"/>
  <c r="J4790" i="2"/>
  <c r="H4790" i="2"/>
  <c r="E4790" i="2"/>
  <c r="J4789" i="2"/>
  <c r="H4789" i="2"/>
  <c r="E4789" i="2"/>
  <c r="J4788" i="2"/>
  <c r="H4788" i="2"/>
  <c r="E4788" i="2"/>
  <c r="J4787" i="2"/>
  <c r="H4787" i="2"/>
  <c r="E4787" i="2"/>
  <c r="J4786" i="2"/>
  <c r="H4786" i="2"/>
  <c r="E4786" i="2"/>
  <c r="J4785" i="2"/>
  <c r="H4785" i="2"/>
  <c r="E4785" i="2"/>
  <c r="J4784" i="2"/>
  <c r="H4784" i="2"/>
  <c r="E4784" i="2"/>
  <c r="J4783" i="2"/>
  <c r="H4783" i="2"/>
  <c r="E4783" i="2"/>
  <c r="J4782" i="2"/>
  <c r="H4782" i="2"/>
  <c r="E4782" i="2"/>
  <c r="J4781" i="2"/>
  <c r="H4781" i="2"/>
  <c r="E4781" i="2"/>
  <c r="J4780" i="2"/>
  <c r="H4780" i="2"/>
  <c r="E4780" i="2"/>
  <c r="J4779" i="2"/>
  <c r="H4779" i="2"/>
  <c r="E4779" i="2"/>
  <c r="J4778" i="2"/>
  <c r="H4778" i="2"/>
  <c r="E4778" i="2"/>
  <c r="J4777" i="2"/>
  <c r="H4777" i="2"/>
  <c r="E4777" i="2"/>
  <c r="J4776" i="2"/>
  <c r="H4776" i="2"/>
  <c r="E4776" i="2"/>
  <c r="J4775" i="2"/>
  <c r="H4775" i="2"/>
  <c r="E4775" i="2"/>
  <c r="J4774" i="2"/>
  <c r="H4774" i="2"/>
  <c r="E4774" i="2"/>
  <c r="J4773" i="2"/>
  <c r="H4773" i="2"/>
  <c r="E4773" i="2"/>
  <c r="J4772" i="2"/>
  <c r="H4772" i="2"/>
  <c r="E4772" i="2"/>
  <c r="J4771" i="2"/>
  <c r="H4771" i="2"/>
  <c r="E4771" i="2"/>
  <c r="J4770" i="2"/>
  <c r="H4770" i="2"/>
  <c r="E4770" i="2"/>
  <c r="J4769" i="2"/>
  <c r="H4769" i="2"/>
  <c r="E4769" i="2"/>
  <c r="J4768" i="2"/>
  <c r="H4768" i="2"/>
  <c r="E4768" i="2"/>
  <c r="J4767" i="2"/>
  <c r="H4767" i="2"/>
  <c r="E4767" i="2"/>
  <c r="J4766" i="2"/>
  <c r="H4766" i="2"/>
  <c r="E4766" i="2"/>
  <c r="J4765" i="2"/>
  <c r="H4765" i="2"/>
  <c r="E4765" i="2"/>
  <c r="J4764" i="2"/>
  <c r="H4764" i="2"/>
  <c r="E4764" i="2"/>
  <c r="J4763" i="2"/>
  <c r="H4763" i="2"/>
  <c r="E4763" i="2"/>
  <c r="J4762" i="2"/>
  <c r="H4762" i="2"/>
  <c r="E4762" i="2"/>
  <c r="J4761" i="2"/>
  <c r="H4761" i="2"/>
  <c r="E4761" i="2"/>
  <c r="J4760" i="2"/>
  <c r="H4760" i="2"/>
  <c r="E4760" i="2"/>
  <c r="J4759" i="2"/>
  <c r="H4759" i="2"/>
  <c r="E4759" i="2"/>
  <c r="J4758" i="2"/>
  <c r="H4758" i="2"/>
  <c r="E4758" i="2"/>
  <c r="J4757" i="2"/>
  <c r="H4757" i="2"/>
  <c r="E4757" i="2"/>
  <c r="J4756" i="2"/>
  <c r="H4756" i="2"/>
  <c r="E4756" i="2"/>
  <c r="J4755" i="2"/>
  <c r="H4755" i="2"/>
  <c r="D4755" i="2"/>
  <c r="E4755" i="2" s="1"/>
  <c r="J4754" i="2"/>
  <c r="H4754" i="2"/>
  <c r="E4754" i="2"/>
  <c r="J4753" i="2"/>
  <c r="H4753" i="2"/>
  <c r="E4753" i="2"/>
  <c r="J4752" i="2"/>
  <c r="H4752" i="2"/>
  <c r="E4752" i="2"/>
  <c r="J4751" i="2"/>
  <c r="H4751" i="2"/>
  <c r="E4751" i="2"/>
  <c r="J4750" i="2"/>
  <c r="H4750" i="2"/>
  <c r="D4750" i="2"/>
  <c r="E4750" i="2" s="1"/>
  <c r="J4749" i="2"/>
  <c r="H4749" i="2"/>
  <c r="E4749" i="2"/>
  <c r="J4748" i="2"/>
  <c r="H4748" i="2"/>
  <c r="E4748" i="2"/>
  <c r="J4747" i="2"/>
  <c r="H4747" i="2"/>
  <c r="E4747" i="2"/>
  <c r="J4746" i="2"/>
  <c r="H4746" i="2"/>
  <c r="E4746" i="2"/>
  <c r="J4745" i="2"/>
  <c r="H4745" i="2"/>
  <c r="E4745" i="2"/>
  <c r="J4744" i="2"/>
  <c r="H4744" i="2"/>
  <c r="E4744" i="2"/>
  <c r="J4743" i="2"/>
  <c r="H4743" i="2"/>
  <c r="D4743" i="2"/>
  <c r="E4743" i="2" s="1"/>
  <c r="J4742" i="2"/>
  <c r="H4742" i="2"/>
  <c r="E4742" i="2"/>
  <c r="J4741" i="2"/>
  <c r="H4741" i="2"/>
  <c r="D4741" i="2"/>
  <c r="E4741" i="2" s="1"/>
  <c r="J4740" i="2"/>
  <c r="H4740" i="2"/>
  <c r="D4740" i="2"/>
  <c r="E4740" i="2" s="1"/>
  <c r="J4739" i="2"/>
  <c r="H4739" i="2"/>
  <c r="E4739" i="2"/>
  <c r="J4738" i="2"/>
  <c r="H4738" i="2"/>
  <c r="D4738" i="2"/>
  <c r="E4738" i="2" s="1"/>
  <c r="J4737" i="2"/>
  <c r="H4737" i="2"/>
  <c r="E4737" i="2"/>
  <c r="J4736" i="2"/>
  <c r="H4736" i="2"/>
  <c r="E4736" i="2"/>
  <c r="J4735" i="2"/>
  <c r="H4735" i="2"/>
  <c r="E4735" i="2"/>
  <c r="J4734" i="2"/>
  <c r="H4734" i="2"/>
  <c r="E4734" i="2"/>
  <c r="J4733" i="2"/>
  <c r="H4733" i="2"/>
  <c r="E4733" i="2"/>
  <c r="J4732" i="2"/>
  <c r="H4732" i="2"/>
  <c r="E4732" i="2"/>
  <c r="J4731" i="2"/>
  <c r="H4731" i="2"/>
  <c r="E4731" i="2"/>
  <c r="J4730" i="2"/>
  <c r="H4730" i="2"/>
  <c r="E4730" i="2"/>
  <c r="J4729" i="2"/>
  <c r="H4729" i="2"/>
  <c r="E4729" i="2"/>
  <c r="J4728" i="2"/>
  <c r="H4728" i="2"/>
  <c r="E4728" i="2"/>
  <c r="J4727" i="2"/>
  <c r="H4727" i="2"/>
  <c r="E4727" i="2"/>
  <c r="J4726" i="2"/>
  <c r="H4726" i="2"/>
  <c r="E4726" i="2"/>
  <c r="J4725" i="2"/>
  <c r="H4725" i="2"/>
  <c r="E4725" i="2"/>
  <c r="J4724" i="2"/>
  <c r="H4724" i="2"/>
  <c r="E4724" i="2"/>
  <c r="J4723" i="2"/>
  <c r="H4723" i="2"/>
  <c r="E4723" i="2"/>
  <c r="J4722" i="2"/>
  <c r="H4722" i="2"/>
  <c r="E4722" i="2"/>
  <c r="J4721" i="2"/>
  <c r="H4721" i="2"/>
  <c r="D4721" i="2"/>
  <c r="E4721" i="2" s="1"/>
  <c r="J4720" i="2"/>
  <c r="H4720" i="2"/>
  <c r="E4720" i="2"/>
  <c r="J4719" i="2"/>
  <c r="H4719" i="2"/>
  <c r="E4719" i="2"/>
  <c r="J4718" i="2"/>
  <c r="H4718" i="2"/>
  <c r="E4718" i="2"/>
  <c r="J4717" i="2"/>
  <c r="H4717" i="2"/>
  <c r="E4717" i="2"/>
  <c r="J4716" i="2"/>
  <c r="H4716" i="2"/>
  <c r="E4716" i="2"/>
  <c r="J4715" i="2"/>
  <c r="H4715" i="2"/>
  <c r="E4715" i="2"/>
  <c r="J4714" i="2"/>
  <c r="H4714" i="2"/>
  <c r="E4714" i="2"/>
  <c r="J4713" i="2"/>
  <c r="H4713" i="2"/>
  <c r="E4713" i="2"/>
  <c r="J4712" i="2"/>
  <c r="H4712" i="2"/>
  <c r="E4712" i="2"/>
  <c r="J4711" i="2"/>
  <c r="H4711" i="2"/>
  <c r="E4711" i="2"/>
  <c r="J4710" i="2"/>
  <c r="H4710" i="2"/>
  <c r="E4710" i="2"/>
  <c r="J4709" i="2"/>
  <c r="H4709" i="2"/>
  <c r="E4709" i="2"/>
  <c r="J4708" i="2"/>
  <c r="H4708" i="2"/>
  <c r="E4708" i="2"/>
  <c r="J4707" i="2"/>
  <c r="H4707" i="2"/>
  <c r="E4707" i="2"/>
  <c r="J4706" i="2"/>
  <c r="H4706" i="2"/>
  <c r="E4706" i="2"/>
  <c r="J4705" i="2"/>
  <c r="H4705" i="2"/>
  <c r="E4705" i="2"/>
  <c r="J4704" i="2"/>
  <c r="H4704" i="2"/>
  <c r="E4704" i="2"/>
  <c r="J4703" i="2"/>
  <c r="H4703" i="2"/>
  <c r="E4703" i="2"/>
  <c r="J4702" i="2"/>
  <c r="H4702" i="2"/>
  <c r="E4702" i="2"/>
  <c r="J4701" i="2"/>
  <c r="H4701" i="2"/>
  <c r="D4701" i="2"/>
  <c r="E4701" i="2" s="1"/>
  <c r="J4700" i="2"/>
  <c r="H4700" i="2"/>
  <c r="E4700" i="2"/>
  <c r="J4699" i="2"/>
  <c r="H4699" i="2"/>
  <c r="E4699" i="2"/>
  <c r="J4698" i="2"/>
  <c r="H4698" i="2"/>
  <c r="E4698" i="2"/>
  <c r="J4697" i="2"/>
  <c r="H4697" i="2"/>
  <c r="E4697" i="2"/>
  <c r="J4696" i="2"/>
  <c r="H4696" i="2"/>
  <c r="E4696" i="2"/>
  <c r="J4695" i="2"/>
  <c r="H4695" i="2"/>
  <c r="E4695" i="2"/>
  <c r="J4694" i="2"/>
  <c r="H4694" i="2"/>
  <c r="E4694" i="2"/>
  <c r="J4693" i="2"/>
  <c r="H4693" i="2"/>
  <c r="E4693" i="2"/>
  <c r="J4692" i="2"/>
  <c r="H4692" i="2"/>
  <c r="E4692" i="2"/>
  <c r="J4691" i="2"/>
  <c r="H4691" i="2"/>
  <c r="E4691" i="2"/>
  <c r="J4690" i="2"/>
  <c r="H4690" i="2"/>
  <c r="E4690" i="2"/>
  <c r="J4689" i="2"/>
  <c r="H4689" i="2"/>
  <c r="E4689" i="2"/>
  <c r="J4688" i="2"/>
  <c r="H4688" i="2"/>
  <c r="E4688" i="2"/>
  <c r="J4687" i="2"/>
  <c r="H4687" i="2"/>
  <c r="E4687" i="2"/>
  <c r="J4686" i="2"/>
  <c r="H4686" i="2"/>
  <c r="E4686" i="2"/>
  <c r="J4685" i="2"/>
  <c r="H4685" i="2"/>
  <c r="E4685" i="2"/>
  <c r="J4684" i="2"/>
  <c r="H4684" i="2"/>
  <c r="E4684" i="2"/>
  <c r="J4683" i="2"/>
  <c r="H4683" i="2"/>
  <c r="E4683" i="2"/>
  <c r="J4682" i="2"/>
  <c r="H4682" i="2"/>
  <c r="E4682" i="2"/>
  <c r="J4681" i="2"/>
  <c r="H4681" i="2"/>
  <c r="E4681" i="2"/>
  <c r="J4680" i="2"/>
  <c r="H4680" i="2"/>
  <c r="E4680" i="2"/>
  <c r="J4679" i="2"/>
  <c r="H4679" i="2"/>
  <c r="D4679" i="2"/>
  <c r="E4679" i="2" s="1"/>
  <c r="J4678" i="2"/>
  <c r="H4678" i="2"/>
  <c r="E4678" i="2"/>
  <c r="J4677" i="2"/>
  <c r="H4677" i="2"/>
  <c r="E4677" i="2"/>
  <c r="J4676" i="2"/>
  <c r="H4676" i="2"/>
  <c r="E4676" i="2"/>
  <c r="J4675" i="2"/>
  <c r="H4675" i="2"/>
  <c r="E4675" i="2"/>
  <c r="J4674" i="2"/>
  <c r="H4674" i="2"/>
  <c r="E4674" i="2"/>
  <c r="J4673" i="2"/>
  <c r="H4673" i="2"/>
  <c r="E4673" i="2"/>
  <c r="J4672" i="2"/>
  <c r="H4672" i="2"/>
  <c r="E4672" i="2"/>
  <c r="J4671" i="2"/>
  <c r="H4671" i="2"/>
  <c r="E4671" i="2"/>
  <c r="J4670" i="2"/>
  <c r="H4670" i="2"/>
  <c r="E4670" i="2"/>
  <c r="J4669" i="2"/>
  <c r="H4669" i="2"/>
  <c r="E4669" i="2"/>
  <c r="J4668" i="2"/>
  <c r="H4668" i="2"/>
  <c r="E4668" i="2"/>
  <c r="J4667" i="2"/>
  <c r="H4667" i="2"/>
  <c r="E4667" i="2"/>
  <c r="J4666" i="2"/>
  <c r="H4666" i="2"/>
  <c r="E4666" i="2"/>
  <c r="J4665" i="2"/>
  <c r="H4665" i="2"/>
  <c r="E4665" i="2"/>
  <c r="J4664" i="2"/>
  <c r="H4664" i="2"/>
  <c r="E4664" i="2"/>
  <c r="J4663" i="2"/>
  <c r="H4663" i="2"/>
  <c r="E4663" i="2"/>
  <c r="J4662" i="2"/>
  <c r="H4662" i="2"/>
  <c r="E4662" i="2"/>
  <c r="J4661" i="2"/>
  <c r="H4661" i="2"/>
  <c r="E4661" i="2"/>
  <c r="J4660" i="2"/>
  <c r="H4660" i="2"/>
  <c r="E4660" i="2"/>
  <c r="J4659" i="2"/>
  <c r="H4659" i="2"/>
  <c r="E4659" i="2"/>
  <c r="J4658" i="2"/>
  <c r="H4658" i="2"/>
  <c r="E4658" i="2"/>
  <c r="J4657" i="2"/>
  <c r="H4657" i="2"/>
  <c r="E4657" i="2"/>
  <c r="J4656" i="2"/>
  <c r="H4656" i="2"/>
  <c r="D4656" i="2"/>
  <c r="E4656" i="2" s="1"/>
  <c r="J4655" i="2"/>
  <c r="H4655" i="2"/>
  <c r="E4655" i="2"/>
  <c r="J4654" i="2"/>
  <c r="H4654" i="2"/>
  <c r="E4654" i="2"/>
  <c r="J4653" i="2"/>
  <c r="H4653" i="2"/>
  <c r="E4653" i="2"/>
  <c r="J4652" i="2"/>
  <c r="H4652" i="2"/>
  <c r="E4652" i="2"/>
  <c r="J4651" i="2"/>
  <c r="H4651" i="2"/>
  <c r="E4651" i="2"/>
  <c r="J4650" i="2"/>
  <c r="H4650" i="2"/>
  <c r="E4650" i="2"/>
  <c r="J4649" i="2"/>
  <c r="H4649" i="2"/>
  <c r="E4649" i="2"/>
  <c r="J4648" i="2"/>
  <c r="H4648" i="2"/>
  <c r="E4648" i="2"/>
  <c r="J4647" i="2"/>
  <c r="H4647" i="2"/>
  <c r="E4647" i="2"/>
  <c r="J4646" i="2"/>
  <c r="H4646" i="2"/>
  <c r="E4646" i="2"/>
  <c r="J4645" i="2"/>
  <c r="H4645" i="2"/>
  <c r="E4645" i="2"/>
  <c r="J4644" i="2"/>
  <c r="H4644" i="2"/>
  <c r="E4644" i="2"/>
  <c r="J4643" i="2"/>
  <c r="H4643" i="2"/>
  <c r="E4643" i="2"/>
  <c r="J4642" i="2"/>
  <c r="H4642" i="2"/>
  <c r="E4642" i="2"/>
  <c r="J4641" i="2"/>
  <c r="H4641" i="2"/>
  <c r="E4641" i="2"/>
  <c r="J4640" i="2"/>
  <c r="H4640" i="2"/>
  <c r="E4640" i="2"/>
  <c r="J4639" i="2"/>
  <c r="H4639" i="2"/>
  <c r="E4639" i="2"/>
  <c r="J4638" i="2"/>
  <c r="H4638" i="2"/>
  <c r="E4638" i="2"/>
  <c r="J4637" i="2"/>
  <c r="H4637" i="2"/>
  <c r="E4637" i="2"/>
  <c r="J4636" i="2"/>
  <c r="H4636" i="2"/>
  <c r="E4636" i="2"/>
  <c r="J4635" i="2"/>
  <c r="H4635" i="2"/>
  <c r="E4635" i="2"/>
  <c r="J4634" i="2"/>
  <c r="H4634" i="2"/>
  <c r="E4634" i="2"/>
  <c r="J4633" i="2"/>
  <c r="H4633" i="2"/>
  <c r="E4633" i="2"/>
  <c r="J4632" i="2"/>
  <c r="H4632" i="2"/>
  <c r="E4632" i="2"/>
  <c r="J4631" i="2"/>
  <c r="H4631" i="2"/>
  <c r="E4631" i="2"/>
  <c r="J4630" i="2"/>
  <c r="H4630" i="2"/>
  <c r="E4630" i="2"/>
  <c r="J4629" i="2"/>
  <c r="H4629" i="2"/>
  <c r="E4629" i="2"/>
  <c r="J4628" i="2"/>
  <c r="H4628" i="2"/>
  <c r="E4628" i="2"/>
  <c r="J4627" i="2"/>
  <c r="H4627" i="2"/>
  <c r="E4627" i="2"/>
  <c r="J4626" i="2"/>
  <c r="H4626" i="2"/>
  <c r="D4626" i="2"/>
  <c r="E4626" i="2" s="1"/>
  <c r="J4625" i="2"/>
  <c r="H4625" i="2"/>
  <c r="E4625" i="2"/>
  <c r="J4624" i="2"/>
  <c r="H4624" i="2"/>
  <c r="E4624" i="2"/>
  <c r="J4623" i="2"/>
  <c r="H4623" i="2"/>
  <c r="E4623" i="2"/>
  <c r="J4622" i="2"/>
  <c r="H4622" i="2"/>
  <c r="E4622" i="2"/>
  <c r="J4621" i="2"/>
  <c r="H4621" i="2"/>
  <c r="E4621" i="2"/>
  <c r="J4620" i="2"/>
  <c r="H4620" i="2"/>
  <c r="D4620" i="2"/>
  <c r="E4620" i="2" s="1"/>
  <c r="J4619" i="2"/>
  <c r="H4619" i="2"/>
  <c r="E4619" i="2"/>
  <c r="J4618" i="2"/>
  <c r="H4618" i="2"/>
  <c r="D4618" i="2"/>
  <c r="E4618" i="2" s="1"/>
  <c r="J4617" i="2"/>
  <c r="H4617" i="2"/>
  <c r="E4617" i="2"/>
  <c r="J4616" i="2"/>
  <c r="H4616" i="2"/>
  <c r="E4616" i="2"/>
  <c r="J4615" i="2"/>
  <c r="H4615" i="2"/>
  <c r="D4615" i="2"/>
  <c r="E4615" i="2" s="1"/>
  <c r="J4614" i="2"/>
  <c r="H4614" i="2"/>
  <c r="D4614" i="2"/>
  <c r="E4614" i="2" s="1"/>
  <c r="J4613" i="2"/>
  <c r="H4613" i="2"/>
  <c r="E4613" i="2"/>
  <c r="J4612" i="2"/>
  <c r="H4612" i="2"/>
  <c r="E4612" i="2"/>
  <c r="J4611" i="2"/>
  <c r="H4611" i="2"/>
  <c r="E4611" i="2"/>
  <c r="J4610" i="2"/>
  <c r="H4610" i="2"/>
  <c r="E4610" i="2"/>
  <c r="J4609" i="2"/>
  <c r="H4609" i="2"/>
  <c r="E4609" i="2"/>
  <c r="J4608" i="2"/>
  <c r="H4608" i="2"/>
  <c r="E4608" i="2"/>
  <c r="J4607" i="2"/>
  <c r="H4607" i="2"/>
  <c r="E4607" i="2"/>
  <c r="J4606" i="2"/>
  <c r="H4606" i="2"/>
  <c r="E4606" i="2"/>
  <c r="J4605" i="2"/>
  <c r="H4605" i="2"/>
  <c r="D4605" i="2"/>
  <c r="E4605" i="2" s="1"/>
  <c r="J4604" i="2"/>
  <c r="H4604" i="2"/>
  <c r="E4604" i="2"/>
  <c r="J4603" i="2"/>
  <c r="H4603" i="2"/>
  <c r="E4603" i="2"/>
  <c r="J4602" i="2"/>
  <c r="H4602" i="2"/>
  <c r="E4602" i="2"/>
  <c r="J4601" i="2"/>
  <c r="H4601" i="2"/>
  <c r="E4601" i="2"/>
  <c r="J4600" i="2"/>
  <c r="H4600" i="2"/>
  <c r="E4600" i="2"/>
  <c r="J4599" i="2"/>
  <c r="H4599" i="2"/>
  <c r="E4599" i="2"/>
  <c r="J4598" i="2"/>
  <c r="H4598" i="2"/>
  <c r="E4598" i="2"/>
  <c r="J4597" i="2"/>
  <c r="H4597" i="2"/>
  <c r="E4597" i="2"/>
  <c r="J4596" i="2"/>
  <c r="H4596" i="2"/>
  <c r="E4596" i="2"/>
  <c r="J4595" i="2"/>
  <c r="H4595" i="2"/>
  <c r="E4595" i="2"/>
  <c r="J4594" i="2"/>
  <c r="H4594" i="2"/>
  <c r="E4594" i="2"/>
  <c r="J4593" i="2"/>
  <c r="H4593" i="2"/>
  <c r="E4593" i="2"/>
  <c r="J4592" i="2"/>
  <c r="H4592" i="2"/>
  <c r="E4592" i="2"/>
  <c r="J4591" i="2"/>
  <c r="H4591" i="2"/>
  <c r="E4591" i="2"/>
  <c r="J4590" i="2"/>
  <c r="H4590" i="2"/>
  <c r="E4590" i="2"/>
  <c r="J4589" i="2"/>
  <c r="H4589" i="2"/>
  <c r="E4589" i="2"/>
  <c r="J4588" i="2"/>
  <c r="H4588" i="2"/>
  <c r="E4588" i="2"/>
  <c r="J4587" i="2"/>
  <c r="H4587" i="2"/>
  <c r="E4587" i="2"/>
  <c r="J4586" i="2"/>
  <c r="H4586" i="2"/>
  <c r="E4586" i="2"/>
  <c r="J4585" i="2"/>
  <c r="H4585" i="2"/>
  <c r="E4585" i="2"/>
  <c r="J4584" i="2"/>
  <c r="H4584" i="2"/>
  <c r="E4584" i="2"/>
  <c r="J4583" i="2"/>
  <c r="H4583" i="2"/>
  <c r="E4583" i="2"/>
  <c r="J4582" i="2"/>
  <c r="H4582" i="2"/>
  <c r="E4582" i="2"/>
  <c r="J4581" i="2"/>
  <c r="H4581" i="2"/>
  <c r="E4581" i="2"/>
  <c r="J4580" i="2"/>
  <c r="H4580" i="2"/>
  <c r="E4580" i="2"/>
  <c r="J4579" i="2"/>
  <c r="H4579" i="2"/>
  <c r="E4579" i="2"/>
  <c r="J4578" i="2"/>
  <c r="H4578" i="2"/>
  <c r="E4578" i="2"/>
  <c r="J4577" i="2"/>
  <c r="H4577" i="2"/>
  <c r="D4577" i="2"/>
  <c r="E4577" i="2" s="1"/>
  <c r="J4576" i="2"/>
  <c r="H4576" i="2"/>
  <c r="E4576" i="2"/>
  <c r="J4575" i="2"/>
  <c r="H4575" i="2"/>
  <c r="E4575" i="2"/>
  <c r="J4574" i="2"/>
  <c r="H4574" i="2"/>
  <c r="E4574" i="2"/>
  <c r="J4573" i="2"/>
  <c r="H4573" i="2"/>
  <c r="E4573" i="2"/>
  <c r="J4572" i="2"/>
  <c r="H4572" i="2"/>
  <c r="E4572" i="2"/>
  <c r="J4571" i="2"/>
  <c r="H4571" i="2"/>
  <c r="E4571" i="2"/>
  <c r="J4570" i="2"/>
  <c r="H4570" i="2"/>
  <c r="E4570" i="2"/>
  <c r="J4569" i="2"/>
  <c r="H4569" i="2"/>
  <c r="E4569" i="2"/>
  <c r="J4568" i="2"/>
  <c r="H4568" i="2"/>
  <c r="D4568" i="2"/>
  <c r="E4568" i="2" s="1"/>
  <c r="J4567" i="2"/>
  <c r="H4567" i="2"/>
  <c r="E4567" i="2"/>
  <c r="J4566" i="2"/>
  <c r="H4566" i="2"/>
  <c r="E4566" i="2"/>
  <c r="J4565" i="2"/>
  <c r="H4565" i="2"/>
  <c r="E4565" i="2"/>
  <c r="J4564" i="2"/>
  <c r="H4564" i="2"/>
  <c r="E4564" i="2"/>
  <c r="J4563" i="2"/>
  <c r="H4563" i="2"/>
  <c r="E4563" i="2"/>
  <c r="J4562" i="2"/>
  <c r="H4562" i="2"/>
  <c r="E4562" i="2"/>
  <c r="J4561" i="2"/>
  <c r="H4561" i="2"/>
  <c r="E4561" i="2"/>
  <c r="J4560" i="2"/>
  <c r="H4560" i="2"/>
  <c r="E4560" i="2"/>
  <c r="J4559" i="2"/>
  <c r="H4559" i="2"/>
  <c r="E4559" i="2"/>
  <c r="J4558" i="2"/>
  <c r="H4558" i="2"/>
  <c r="E4558" i="2"/>
  <c r="J4557" i="2"/>
  <c r="H4557" i="2"/>
  <c r="E4557" i="2"/>
  <c r="J4556" i="2"/>
  <c r="H4556" i="2"/>
  <c r="E4556" i="2"/>
  <c r="J4555" i="2"/>
  <c r="H4555" i="2"/>
  <c r="E4555" i="2"/>
  <c r="J4554" i="2"/>
  <c r="H4554" i="2"/>
  <c r="E4554" i="2"/>
  <c r="J4553" i="2"/>
  <c r="H4553" i="2"/>
  <c r="E4553" i="2"/>
  <c r="J4552" i="2"/>
  <c r="H4552" i="2"/>
  <c r="E4552" i="2"/>
  <c r="J4551" i="2"/>
  <c r="H4551" i="2"/>
  <c r="E4551" i="2"/>
  <c r="J4550" i="2"/>
  <c r="H4550" i="2"/>
  <c r="E4550" i="2"/>
  <c r="J4549" i="2"/>
  <c r="H4549" i="2"/>
  <c r="E4549" i="2"/>
  <c r="J4548" i="2"/>
  <c r="H4548" i="2"/>
  <c r="E4548" i="2"/>
  <c r="J4547" i="2"/>
  <c r="H4547" i="2"/>
  <c r="E4547" i="2"/>
  <c r="J4546" i="2"/>
  <c r="H4546" i="2"/>
  <c r="E4546" i="2"/>
  <c r="J4545" i="2"/>
  <c r="H4545" i="2"/>
  <c r="E4545" i="2"/>
  <c r="J4544" i="2"/>
  <c r="H4544" i="2"/>
  <c r="E4544" i="2"/>
  <c r="J4543" i="2"/>
  <c r="H4543" i="2"/>
  <c r="E4543" i="2"/>
  <c r="J4542" i="2"/>
  <c r="H4542" i="2"/>
  <c r="E4542" i="2"/>
  <c r="J4541" i="2"/>
  <c r="H4541" i="2"/>
  <c r="E4541" i="2"/>
  <c r="J4540" i="2"/>
  <c r="H4540" i="2"/>
  <c r="E4540" i="2"/>
  <c r="J4539" i="2"/>
  <c r="H4539" i="2"/>
  <c r="E4539" i="2"/>
  <c r="J4538" i="2"/>
  <c r="H4538" i="2"/>
  <c r="E4538" i="2"/>
  <c r="J4537" i="2"/>
  <c r="H4537" i="2"/>
  <c r="E4537" i="2"/>
  <c r="J4536" i="2"/>
  <c r="H4536" i="2"/>
  <c r="E4536" i="2"/>
  <c r="J4535" i="2"/>
  <c r="H4535" i="2"/>
  <c r="E4535" i="2"/>
  <c r="J4534" i="2"/>
  <c r="H4534" i="2"/>
  <c r="E4534" i="2"/>
  <c r="J4533" i="2"/>
  <c r="H4533" i="2"/>
  <c r="E4533" i="2"/>
  <c r="J4532" i="2"/>
  <c r="H4532" i="2"/>
  <c r="E4532" i="2"/>
  <c r="J4531" i="2"/>
  <c r="H4531" i="2"/>
  <c r="E4531" i="2"/>
  <c r="J4530" i="2"/>
  <c r="H4530" i="2"/>
  <c r="E4530" i="2"/>
  <c r="J4529" i="2"/>
  <c r="H4529" i="2"/>
  <c r="E4529" i="2"/>
  <c r="J4528" i="2"/>
  <c r="H4528" i="2"/>
  <c r="E4528" i="2"/>
  <c r="J4527" i="2"/>
  <c r="H4527" i="2"/>
  <c r="E4527" i="2"/>
  <c r="J4526" i="2"/>
  <c r="H4526" i="2"/>
  <c r="E4526" i="2"/>
  <c r="J4525" i="2"/>
  <c r="H4525" i="2"/>
  <c r="E4525" i="2"/>
  <c r="J4524" i="2"/>
  <c r="H4524" i="2"/>
  <c r="E4524" i="2"/>
  <c r="J4523" i="2"/>
  <c r="H4523" i="2"/>
  <c r="E4523" i="2"/>
  <c r="J4522" i="2"/>
  <c r="H4522" i="2"/>
  <c r="E4522" i="2"/>
  <c r="J4521" i="2"/>
  <c r="H4521" i="2"/>
  <c r="E4521" i="2"/>
  <c r="J4520" i="2"/>
  <c r="H4520" i="2"/>
  <c r="E4520" i="2"/>
  <c r="J4519" i="2"/>
  <c r="H4519" i="2"/>
  <c r="E4519" i="2"/>
  <c r="J4518" i="2"/>
  <c r="H4518" i="2"/>
  <c r="E4518" i="2"/>
  <c r="J4517" i="2"/>
  <c r="H4517" i="2"/>
  <c r="E4517" i="2"/>
  <c r="J4516" i="2"/>
  <c r="H4516" i="2"/>
  <c r="E4516" i="2"/>
  <c r="J4515" i="2"/>
  <c r="H4515" i="2"/>
  <c r="E4515" i="2"/>
  <c r="J4514" i="2"/>
  <c r="H4514" i="2"/>
  <c r="E4514" i="2"/>
  <c r="J4513" i="2"/>
  <c r="H4513" i="2"/>
  <c r="E4513" i="2"/>
  <c r="J4512" i="2"/>
  <c r="H4512" i="2"/>
  <c r="E4512" i="2"/>
  <c r="J4511" i="2"/>
  <c r="H4511" i="2"/>
  <c r="E4511" i="2"/>
  <c r="J4510" i="2"/>
  <c r="H4510" i="2"/>
  <c r="E4510" i="2"/>
  <c r="J4509" i="2"/>
  <c r="H4509" i="2"/>
  <c r="E4509" i="2"/>
  <c r="J4508" i="2"/>
  <c r="H4508" i="2"/>
  <c r="E4508" i="2"/>
  <c r="J4507" i="2"/>
  <c r="H4507" i="2"/>
  <c r="E4507" i="2"/>
  <c r="J4506" i="2"/>
  <c r="H4506" i="2"/>
  <c r="E4506" i="2"/>
  <c r="J4505" i="2"/>
  <c r="H4505" i="2"/>
  <c r="E4505" i="2"/>
  <c r="J4504" i="2"/>
  <c r="H4504" i="2"/>
  <c r="E4504" i="2"/>
  <c r="J4503" i="2"/>
  <c r="H4503" i="2"/>
  <c r="E4503" i="2"/>
  <c r="J4502" i="2"/>
  <c r="H4502" i="2"/>
  <c r="E4502" i="2"/>
  <c r="J4501" i="2"/>
  <c r="H4501" i="2"/>
  <c r="E4501" i="2"/>
  <c r="J4500" i="2"/>
  <c r="H4500" i="2"/>
  <c r="E4500" i="2"/>
  <c r="J4499" i="2"/>
  <c r="H4499" i="2"/>
  <c r="E4499" i="2"/>
  <c r="J4498" i="2"/>
  <c r="H4498" i="2"/>
  <c r="E4498" i="2"/>
  <c r="J4497" i="2"/>
  <c r="H4497" i="2"/>
  <c r="E4497" i="2"/>
  <c r="J4496" i="2"/>
  <c r="H4496" i="2"/>
  <c r="E4496" i="2"/>
  <c r="J4495" i="2"/>
  <c r="H4495" i="2"/>
  <c r="E4495" i="2"/>
  <c r="J4494" i="2"/>
  <c r="H4494" i="2"/>
  <c r="E4494" i="2"/>
  <c r="J4493" i="2"/>
  <c r="H4493" i="2"/>
  <c r="E4493" i="2"/>
  <c r="J4492" i="2"/>
  <c r="H4492" i="2"/>
  <c r="E4492" i="2"/>
  <c r="J4491" i="2"/>
  <c r="H4491" i="2"/>
  <c r="E4491" i="2"/>
  <c r="J4490" i="2"/>
  <c r="H4490" i="2"/>
  <c r="E4490" i="2"/>
  <c r="J4489" i="2"/>
  <c r="H4489" i="2"/>
  <c r="E4489" i="2"/>
  <c r="J4488" i="2"/>
  <c r="H4488" i="2"/>
  <c r="E4488" i="2"/>
  <c r="J4487" i="2"/>
  <c r="H4487" i="2"/>
  <c r="E4487" i="2"/>
  <c r="J4486" i="2"/>
  <c r="H4486" i="2"/>
  <c r="E4486" i="2"/>
  <c r="J4485" i="2"/>
  <c r="H4485" i="2"/>
  <c r="E4485" i="2"/>
  <c r="J4484" i="2"/>
  <c r="H4484" i="2"/>
  <c r="E4484" i="2"/>
  <c r="J4483" i="2"/>
  <c r="H4483" i="2"/>
  <c r="E4483" i="2"/>
  <c r="J4482" i="2"/>
  <c r="H4482" i="2"/>
  <c r="E4482" i="2"/>
  <c r="J4481" i="2"/>
  <c r="H4481" i="2"/>
  <c r="E4481" i="2"/>
  <c r="J4480" i="2"/>
  <c r="H4480" i="2"/>
  <c r="E4480" i="2"/>
  <c r="J4479" i="2"/>
  <c r="H4479" i="2"/>
  <c r="E4479" i="2"/>
  <c r="J4478" i="2"/>
  <c r="H4478" i="2"/>
  <c r="E4478" i="2"/>
  <c r="J4477" i="2"/>
  <c r="H4477" i="2"/>
  <c r="E4477" i="2"/>
  <c r="J4476" i="2"/>
  <c r="H4476" i="2"/>
  <c r="E4476" i="2"/>
  <c r="J4475" i="2"/>
  <c r="H4475" i="2"/>
  <c r="E4475" i="2"/>
  <c r="J4474" i="2"/>
  <c r="H4474" i="2"/>
  <c r="E4474" i="2"/>
  <c r="J4473" i="2"/>
  <c r="H4473" i="2"/>
  <c r="E4473" i="2"/>
  <c r="J4472" i="2"/>
  <c r="H4472" i="2"/>
  <c r="E4472" i="2"/>
  <c r="J4471" i="2"/>
  <c r="H4471" i="2"/>
  <c r="E4471" i="2"/>
  <c r="J4470" i="2"/>
  <c r="H4470" i="2"/>
  <c r="E4470" i="2"/>
  <c r="J4469" i="2"/>
  <c r="H4469" i="2"/>
  <c r="E4469" i="2"/>
  <c r="J4468" i="2"/>
  <c r="H4468" i="2"/>
  <c r="E4468" i="2"/>
  <c r="J4467" i="2"/>
  <c r="H4467" i="2"/>
  <c r="E4467" i="2"/>
  <c r="J4466" i="2"/>
  <c r="H4466" i="2"/>
  <c r="E4466" i="2"/>
  <c r="J4465" i="2"/>
  <c r="H4465" i="2"/>
  <c r="E4465" i="2"/>
  <c r="J4464" i="2"/>
  <c r="H4464" i="2"/>
  <c r="E4464" i="2"/>
  <c r="J4463" i="2"/>
  <c r="H4463" i="2"/>
  <c r="E4463" i="2"/>
  <c r="J4462" i="2"/>
  <c r="H4462" i="2"/>
  <c r="E4462" i="2"/>
  <c r="J4461" i="2"/>
  <c r="H4461" i="2"/>
  <c r="E4461" i="2"/>
  <c r="J4460" i="2"/>
  <c r="H4460" i="2"/>
  <c r="E4460" i="2"/>
  <c r="J4459" i="2"/>
  <c r="H4459" i="2"/>
  <c r="E4459" i="2"/>
  <c r="J4458" i="2"/>
  <c r="H4458" i="2"/>
  <c r="E4458" i="2"/>
  <c r="J4457" i="2"/>
  <c r="H4457" i="2"/>
  <c r="E4457" i="2"/>
  <c r="J4456" i="2"/>
  <c r="H4456" i="2"/>
  <c r="E4456" i="2"/>
  <c r="J4455" i="2"/>
  <c r="H4455" i="2"/>
  <c r="E4455" i="2"/>
  <c r="J4454" i="2"/>
  <c r="H4454" i="2"/>
  <c r="D4454" i="2"/>
  <c r="E4454" i="2" s="1"/>
  <c r="J4453" i="2"/>
  <c r="H4453" i="2"/>
  <c r="E4453" i="2"/>
  <c r="J4452" i="2"/>
  <c r="H4452" i="2"/>
  <c r="E4452" i="2"/>
  <c r="J4451" i="2"/>
  <c r="H4451" i="2"/>
  <c r="E4451" i="2"/>
  <c r="J4450" i="2"/>
  <c r="H4450" i="2"/>
  <c r="E4450" i="2"/>
  <c r="J4449" i="2"/>
  <c r="H4449" i="2"/>
  <c r="E4449" i="2"/>
  <c r="J4448" i="2"/>
  <c r="H4448" i="2"/>
  <c r="E4448" i="2"/>
  <c r="J4447" i="2"/>
  <c r="H4447" i="2"/>
  <c r="E4447" i="2"/>
  <c r="J4446" i="2"/>
  <c r="H4446" i="2"/>
  <c r="E4446" i="2"/>
  <c r="J4445" i="2"/>
  <c r="H4445" i="2"/>
  <c r="E4445" i="2"/>
  <c r="J4444" i="2"/>
  <c r="H4444" i="2"/>
  <c r="E4444" i="2"/>
  <c r="J4443" i="2"/>
  <c r="H4443" i="2"/>
  <c r="E4443" i="2"/>
  <c r="J4442" i="2"/>
  <c r="H4442" i="2"/>
  <c r="E4442" i="2"/>
  <c r="J4441" i="2"/>
  <c r="H4441" i="2"/>
  <c r="E4441" i="2"/>
  <c r="J4440" i="2"/>
  <c r="H4440" i="2"/>
  <c r="E4440" i="2"/>
  <c r="J4439" i="2"/>
  <c r="H4439" i="2"/>
  <c r="E4439" i="2"/>
  <c r="J4438" i="2"/>
  <c r="H4438" i="2"/>
  <c r="E4438" i="2"/>
  <c r="J4437" i="2"/>
  <c r="H4437" i="2"/>
  <c r="E4437" i="2"/>
  <c r="J4436" i="2"/>
  <c r="H4436" i="2"/>
  <c r="E4436" i="2"/>
  <c r="J4435" i="2"/>
  <c r="H4435" i="2"/>
  <c r="E4435" i="2"/>
  <c r="J4434" i="2"/>
  <c r="H4434" i="2"/>
  <c r="E4434" i="2"/>
  <c r="J4433" i="2"/>
  <c r="H4433" i="2"/>
  <c r="E4433" i="2"/>
  <c r="J4432" i="2"/>
  <c r="H4432" i="2"/>
  <c r="E4432" i="2"/>
  <c r="J4431" i="2"/>
  <c r="H4431" i="2"/>
  <c r="E4431" i="2"/>
  <c r="J4430" i="2"/>
  <c r="H4430" i="2"/>
  <c r="E4430" i="2"/>
  <c r="J4429" i="2"/>
  <c r="H4429" i="2"/>
  <c r="E4429" i="2"/>
  <c r="J4428" i="2"/>
  <c r="H4428" i="2"/>
  <c r="E4428" i="2"/>
  <c r="J4427" i="2"/>
  <c r="H4427" i="2"/>
  <c r="E4427" i="2"/>
  <c r="J4426" i="2"/>
  <c r="H4426" i="2"/>
  <c r="E4426" i="2"/>
  <c r="J4425" i="2"/>
  <c r="H4425" i="2"/>
  <c r="E4425" i="2"/>
  <c r="J4424" i="2"/>
  <c r="H4424" i="2"/>
  <c r="D4424" i="2"/>
  <c r="E4424" i="2" s="1"/>
  <c r="J4423" i="2"/>
  <c r="H4423" i="2"/>
  <c r="E4423" i="2"/>
  <c r="J4422" i="2"/>
  <c r="H4422" i="2"/>
  <c r="E4422" i="2"/>
  <c r="J4421" i="2"/>
  <c r="H4421" i="2"/>
  <c r="E4421" i="2"/>
  <c r="J4420" i="2"/>
  <c r="H4420" i="2"/>
  <c r="E4420" i="2"/>
  <c r="J4419" i="2"/>
  <c r="H4419" i="2"/>
  <c r="E4419" i="2"/>
  <c r="J4418" i="2"/>
  <c r="H4418" i="2"/>
  <c r="E4418" i="2"/>
  <c r="J4417" i="2"/>
  <c r="H4417" i="2"/>
  <c r="E4417" i="2"/>
  <c r="J4416" i="2"/>
  <c r="H4416" i="2"/>
  <c r="E4416" i="2"/>
  <c r="J4415" i="2"/>
  <c r="H4415" i="2"/>
  <c r="E4415" i="2"/>
  <c r="J4414" i="2"/>
  <c r="H4414" i="2"/>
  <c r="E4414" i="2"/>
  <c r="J4413" i="2"/>
  <c r="H4413" i="2"/>
  <c r="E4413" i="2"/>
  <c r="J4412" i="2"/>
  <c r="H4412" i="2"/>
  <c r="E4412" i="2"/>
  <c r="J4411" i="2"/>
  <c r="H4411" i="2"/>
  <c r="E4411" i="2"/>
  <c r="J4410" i="2"/>
  <c r="H4410" i="2"/>
  <c r="E4410" i="2"/>
  <c r="J4409" i="2"/>
  <c r="H4409" i="2"/>
  <c r="E4409" i="2"/>
  <c r="J4408" i="2"/>
  <c r="H4408" i="2"/>
  <c r="E4408" i="2"/>
  <c r="J4407" i="2"/>
  <c r="H4407" i="2"/>
  <c r="E4407" i="2"/>
  <c r="J4406" i="2"/>
  <c r="H4406" i="2"/>
  <c r="E4406" i="2"/>
  <c r="J4405" i="2"/>
  <c r="H4405" i="2"/>
  <c r="E4405" i="2"/>
  <c r="J4404" i="2"/>
  <c r="H4404" i="2"/>
  <c r="D4404" i="2"/>
  <c r="E4404" i="2" s="1"/>
  <c r="J4403" i="2"/>
  <c r="H4403" i="2"/>
  <c r="E4403" i="2"/>
  <c r="J4402" i="2"/>
  <c r="H4402" i="2"/>
  <c r="D4402" i="2"/>
  <c r="E4402" i="2" s="1"/>
  <c r="J4401" i="2"/>
  <c r="H4401" i="2"/>
  <c r="E4401" i="2"/>
  <c r="J4400" i="2"/>
  <c r="H4400" i="2"/>
  <c r="E4400" i="2"/>
  <c r="J4399" i="2"/>
  <c r="H4399" i="2"/>
  <c r="E4399" i="2"/>
  <c r="J4398" i="2"/>
  <c r="H4398" i="2"/>
  <c r="E4398" i="2"/>
  <c r="J4397" i="2"/>
  <c r="H4397" i="2"/>
  <c r="E4397" i="2"/>
  <c r="J4396" i="2"/>
  <c r="H4396" i="2"/>
  <c r="E4396" i="2"/>
  <c r="J4395" i="2"/>
  <c r="H4395" i="2"/>
  <c r="E4395" i="2"/>
  <c r="J4394" i="2"/>
  <c r="H4394" i="2"/>
  <c r="E4394" i="2"/>
  <c r="J4393" i="2"/>
  <c r="H4393" i="2"/>
  <c r="E4393" i="2"/>
  <c r="J4392" i="2"/>
  <c r="H4392" i="2"/>
  <c r="E4392" i="2"/>
  <c r="J4391" i="2"/>
  <c r="H4391" i="2"/>
  <c r="E4391" i="2"/>
  <c r="J4390" i="2"/>
  <c r="H4390" i="2"/>
  <c r="E4390" i="2"/>
  <c r="J4389" i="2"/>
  <c r="H4389" i="2"/>
  <c r="E4389" i="2"/>
  <c r="J4388" i="2"/>
  <c r="H4388" i="2"/>
  <c r="E4388" i="2"/>
  <c r="J4387" i="2"/>
  <c r="H4387" i="2"/>
  <c r="E4387" i="2"/>
  <c r="J4386" i="2"/>
  <c r="H4386" i="2"/>
  <c r="E4386" i="2"/>
  <c r="J4385" i="2"/>
  <c r="H4385" i="2"/>
  <c r="E4385" i="2"/>
  <c r="J4384" i="2"/>
  <c r="H4384" i="2"/>
  <c r="E4384" i="2"/>
  <c r="J4383" i="2"/>
  <c r="H4383" i="2"/>
  <c r="E4383" i="2"/>
  <c r="J4382" i="2"/>
  <c r="H4382" i="2"/>
  <c r="D4382" i="2"/>
  <c r="E4382" i="2" s="1"/>
  <c r="J4381" i="2"/>
  <c r="H4381" i="2"/>
  <c r="E4381" i="2"/>
  <c r="J4380" i="2"/>
  <c r="H4380" i="2"/>
  <c r="E4380" i="2"/>
  <c r="J4379" i="2"/>
  <c r="H4379" i="2"/>
  <c r="E4379" i="2"/>
  <c r="J4378" i="2"/>
  <c r="H4378" i="2"/>
  <c r="E4378" i="2"/>
  <c r="J4377" i="2"/>
  <c r="H4377" i="2"/>
  <c r="E4377" i="2"/>
  <c r="J4376" i="2"/>
  <c r="H4376" i="2"/>
  <c r="E4376" i="2"/>
  <c r="J4375" i="2"/>
  <c r="H4375" i="2"/>
  <c r="E4375" i="2"/>
  <c r="J4374" i="2"/>
  <c r="H4374" i="2"/>
  <c r="E4374" i="2"/>
  <c r="J4373" i="2"/>
  <c r="H4373" i="2"/>
  <c r="E4373" i="2"/>
  <c r="J4372" i="2"/>
  <c r="H4372" i="2"/>
  <c r="E4372" i="2"/>
  <c r="J4371" i="2"/>
  <c r="H4371" i="2"/>
  <c r="E4371" i="2"/>
  <c r="J4370" i="2"/>
  <c r="H4370" i="2"/>
  <c r="E4370" i="2"/>
  <c r="J4369" i="2"/>
  <c r="H4369" i="2"/>
  <c r="E4369" i="2"/>
  <c r="J4368" i="2"/>
  <c r="H4368" i="2"/>
  <c r="E4368" i="2"/>
  <c r="J4367" i="2"/>
  <c r="H4367" i="2"/>
  <c r="E4367" i="2"/>
  <c r="J4366" i="2"/>
  <c r="H4366" i="2"/>
  <c r="E4366" i="2"/>
  <c r="J4365" i="2"/>
  <c r="H4365" i="2"/>
  <c r="E4365" i="2"/>
  <c r="J4364" i="2"/>
  <c r="H4364" i="2"/>
  <c r="E4364" i="2"/>
  <c r="J4363" i="2"/>
  <c r="H4363" i="2"/>
  <c r="E4363" i="2"/>
  <c r="J4362" i="2"/>
  <c r="H4362" i="2"/>
  <c r="E4362" i="2"/>
  <c r="J4361" i="2"/>
  <c r="H4361" i="2"/>
  <c r="E4361" i="2"/>
  <c r="J4360" i="2"/>
  <c r="H4360" i="2"/>
  <c r="E4360" i="2"/>
  <c r="J4359" i="2"/>
  <c r="H4359" i="2"/>
  <c r="E4359" i="2"/>
  <c r="J4358" i="2"/>
  <c r="H4358" i="2"/>
  <c r="E4358" i="2"/>
  <c r="J4357" i="2"/>
  <c r="H4357" i="2"/>
  <c r="E4357" i="2"/>
  <c r="J4356" i="2"/>
  <c r="H4356" i="2"/>
  <c r="E4356" i="2"/>
  <c r="J4355" i="2"/>
  <c r="H4355" i="2"/>
  <c r="E4355" i="2"/>
  <c r="J4354" i="2"/>
  <c r="H4354" i="2"/>
  <c r="E4354" i="2"/>
  <c r="J4353" i="2"/>
  <c r="H4353" i="2"/>
  <c r="E4353" i="2"/>
  <c r="J4352" i="2"/>
  <c r="H4352" i="2"/>
  <c r="E4352" i="2"/>
  <c r="J4351" i="2"/>
  <c r="H4351" i="2"/>
  <c r="E4351" i="2"/>
  <c r="J4350" i="2"/>
  <c r="H4350" i="2"/>
  <c r="E4350" i="2"/>
  <c r="J4349" i="2"/>
  <c r="H4349" i="2"/>
  <c r="E4349" i="2"/>
  <c r="J4348" i="2"/>
  <c r="H4348" i="2"/>
  <c r="E4348" i="2"/>
  <c r="J4347" i="2"/>
  <c r="H4347" i="2"/>
  <c r="E4347" i="2"/>
  <c r="J4346" i="2"/>
  <c r="H4346" i="2"/>
  <c r="E4346" i="2"/>
  <c r="J4345" i="2"/>
  <c r="H4345" i="2"/>
  <c r="E4345" i="2"/>
  <c r="J4344" i="2"/>
  <c r="H4344" i="2"/>
  <c r="E4344" i="2"/>
  <c r="J4343" i="2"/>
  <c r="H4343" i="2"/>
  <c r="E4343" i="2"/>
  <c r="J4342" i="2"/>
  <c r="H4342" i="2"/>
  <c r="E4342" i="2"/>
  <c r="J4341" i="2"/>
  <c r="H4341" i="2"/>
  <c r="E4341" i="2"/>
  <c r="J4340" i="2"/>
  <c r="H4340" i="2"/>
  <c r="E4340" i="2"/>
  <c r="J4339" i="2"/>
  <c r="H4339" i="2"/>
  <c r="E4339" i="2"/>
  <c r="J4338" i="2"/>
  <c r="H4338" i="2"/>
  <c r="E4338" i="2"/>
  <c r="J4337" i="2"/>
  <c r="H4337" i="2"/>
  <c r="E4337" i="2"/>
  <c r="J4336" i="2"/>
  <c r="H4336" i="2"/>
  <c r="E4336" i="2"/>
  <c r="J4335" i="2"/>
  <c r="H4335" i="2"/>
  <c r="E4335" i="2"/>
  <c r="J4334" i="2"/>
  <c r="H4334" i="2"/>
  <c r="E4334" i="2"/>
  <c r="J4333" i="2"/>
  <c r="H4333" i="2"/>
  <c r="E4333" i="2"/>
  <c r="J4332" i="2"/>
  <c r="H4332" i="2"/>
  <c r="E4332" i="2"/>
  <c r="J4331" i="2"/>
  <c r="H4331" i="2"/>
  <c r="E4331" i="2"/>
  <c r="J4330" i="2"/>
  <c r="H4330" i="2"/>
  <c r="E4330" i="2"/>
  <c r="J4329" i="2"/>
  <c r="H4329" i="2"/>
  <c r="E4329" i="2"/>
  <c r="J4328" i="2"/>
  <c r="H4328" i="2"/>
  <c r="E4328" i="2"/>
  <c r="J4327" i="2"/>
  <c r="H4327" i="2"/>
  <c r="E4327" i="2"/>
  <c r="J4326" i="2"/>
  <c r="H4326" i="2"/>
  <c r="E4326" i="2"/>
  <c r="J4325" i="2"/>
  <c r="H4325" i="2"/>
  <c r="E4325" i="2"/>
  <c r="J4324" i="2"/>
  <c r="H4324" i="2"/>
  <c r="E4324" i="2"/>
  <c r="J4323" i="2"/>
  <c r="H4323" i="2"/>
  <c r="E4323" i="2"/>
  <c r="J4322" i="2"/>
  <c r="H4322" i="2"/>
  <c r="E4322" i="2"/>
  <c r="J4321" i="2"/>
  <c r="H4321" i="2"/>
  <c r="E4321" i="2"/>
  <c r="J4320" i="2"/>
  <c r="H4320" i="2"/>
  <c r="E4320" i="2"/>
  <c r="J4319" i="2"/>
  <c r="H4319" i="2"/>
  <c r="E4319" i="2"/>
  <c r="J4318" i="2"/>
  <c r="H4318" i="2"/>
  <c r="E4318" i="2"/>
  <c r="J4317" i="2"/>
  <c r="H4317" i="2"/>
  <c r="E4317" i="2"/>
  <c r="J4316" i="2"/>
  <c r="H4316" i="2"/>
  <c r="E4316" i="2"/>
  <c r="J4315" i="2"/>
  <c r="H4315" i="2"/>
  <c r="D4315" i="2"/>
  <c r="E4315" i="2" s="1"/>
  <c r="J4314" i="2"/>
  <c r="H4314" i="2"/>
  <c r="E4314" i="2"/>
  <c r="J4313" i="2"/>
  <c r="H4313" i="2"/>
  <c r="E4313" i="2"/>
  <c r="J4312" i="2"/>
  <c r="H4312" i="2"/>
  <c r="D4312" i="2"/>
  <c r="E4312" i="2" s="1"/>
  <c r="J4311" i="2"/>
  <c r="H4311" i="2"/>
  <c r="E4311" i="2"/>
  <c r="J4310" i="2"/>
  <c r="H4310" i="2"/>
  <c r="E4310" i="2"/>
  <c r="J4309" i="2"/>
  <c r="H4309" i="2"/>
  <c r="E4309" i="2"/>
  <c r="J4308" i="2"/>
  <c r="H4308" i="2"/>
  <c r="E4308" i="2"/>
  <c r="J4307" i="2"/>
  <c r="H4307" i="2"/>
  <c r="E4307" i="2"/>
  <c r="J4306" i="2"/>
  <c r="H4306" i="2"/>
  <c r="D4306" i="2"/>
  <c r="E4306" i="2" s="1"/>
  <c r="J4305" i="2"/>
  <c r="H4305" i="2"/>
  <c r="E4305" i="2"/>
  <c r="J4304" i="2"/>
  <c r="H4304" i="2"/>
  <c r="E4304" i="2"/>
  <c r="J4303" i="2"/>
  <c r="H4303" i="2"/>
  <c r="E4303" i="2"/>
  <c r="J4302" i="2"/>
  <c r="H4302" i="2"/>
  <c r="E4302" i="2"/>
  <c r="J4301" i="2"/>
  <c r="H4301" i="2"/>
  <c r="E4301" i="2"/>
  <c r="J4300" i="2"/>
  <c r="H4300" i="2"/>
  <c r="E4300" i="2"/>
  <c r="J4299" i="2"/>
  <c r="H4299" i="2"/>
  <c r="E4299" i="2"/>
  <c r="J4298" i="2"/>
  <c r="H4298" i="2"/>
  <c r="E4298" i="2"/>
  <c r="J4297" i="2"/>
  <c r="H4297" i="2"/>
  <c r="D4297" i="2"/>
  <c r="E4297" i="2" s="1"/>
  <c r="J4296" i="2"/>
  <c r="H4296" i="2"/>
  <c r="E4296" i="2"/>
  <c r="J4295" i="2"/>
  <c r="H4295" i="2"/>
  <c r="E4295" i="2"/>
  <c r="J4294" i="2"/>
  <c r="H4294" i="2"/>
  <c r="E4294" i="2"/>
  <c r="J4293" i="2"/>
  <c r="H4293" i="2"/>
  <c r="D4293" i="2"/>
  <c r="E4293" i="2" s="1"/>
  <c r="J4292" i="2"/>
  <c r="H4292" i="2"/>
  <c r="E4292" i="2"/>
  <c r="J4291" i="2"/>
  <c r="H4291" i="2"/>
  <c r="E4291" i="2"/>
  <c r="J4290" i="2"/>
  <c r="H4290" i="2"/>
  <c r="E4290" i="2"/>
  <c r="J4289" i="2"/>
  <c r="H4289" i="2"/>
  <c r="E4289" i="2"/>
  <c r="J4288" i="2"/>
  <c r="H4288" i="2"/>
  <c r="E4288" i="2"/>
  <c r="J4287" i="2"/>
  <c r="H4287" i="2"/>
  <c r="E4287" i="2"/>
  <c r="J4286" i="2"/>
  <c r="H4286" i="2"/>
  <c r="E4286" i="2"/>
  <c r="J4285" i="2"/>
  <c r="H4285" i="2"/>
  <c r="E4285" i="2"/>
  <c r="J4284" i="2"/>
  <c r="H4284" i="2"/>
  <c r="E4284" i="2"/>
  <c r="J4283" i="2"/>
  <c r="H4283" i="2"/>
  <c r="E4283" i="2"/>
  <c r="J4282" i="2"/>
  <c r="H4282" i="2"/>
  <c r="E4282" i="2"/>
  <c r="J4281" i="2"/>
  <c r="H4281" i="2"/>
  <c r="E4281" i="2"/>
  <c r="J4280" i="2"/>
  <c r="H4280" i="2"/>
  <c r="D4280" i="2"/>
  <c r="E4280" i="2" s="1"/>
  <c r="J4279" i="2"/>
  <c r="H4279" i="2"/>
  <c r="E4279" i="2"/>
  <c r="J4278" i="2"/>
  <c r="H4278" i="2"/>
  <c r="E4278" i="2"/>
  <c r="J4277" i="2"/>
  <c r="H4277" i="2"/>
  <c r="E4277" i="2"/>
  <c r="J4276" i="2"/>
  <c r="H4276" i="2"/>
  <c r="E4276" i="2"/>
  <c r="J4275" i="2"/>
  <c r="H4275" i="2"/>
  <c r="E4275" i="2"/>
  <c r="J4274" i="2"/>
  <c r="H4274" i="2"/>
  <c r="E4274" i="2"/>
  <c r="J4273" i="2"/>
  <c r="H4273" i="2"/>
  <c r="E4273" i="2"/>
  <c r="J4272" i="2"/>
  <c r="H4272" i="2"/>
  <c r="E4272" i="2"/>
  <c r="J4271" i="2"/>
  <c r="H4271" i="2"/>
  <c r="E4271" i="2"/>
  <c r="J4270" i="2"/>
  <c r="H4270" i="2"/>
  <c r="E4270" i="2"/>
  <c r="J4269" i="2"/>
  <c r="H4269" i="2"/>
  <c r="E4269" i="2"/>
  <c r="J4268" i="2"/>
  <c r="H4268" i="2"/>
  <c r="E4268" i="2"/>
  <c r="J4267" i="2"/>
  <c r="H4267" i="2"/>
  <c r="E4267" i="2"/>
  <c r="J4266" i="2"/>
  <c r="H4266" i="2"/>
  <c r="E4266" i="2"/>
  <c r="J4265" i="2"/>
  <c r="H4265" i="2"/>
  <c r="E4265" i="2"/>
  <c r="J4264" i="2"/>
  <c r="H4264" i="2"/>
  <c r="E4264" i="2"/>
  <c r="J4263" i="2"/>
  <c r="H4263" i="2"/>
  <c r="E4263" i="2"/>
  <c r="J4262" i="2"/>
  <c r="H4262" i="2"/>
  <c r="E4262" i="2"/>
  <c r="J4261" i="2"/>
  <c r="H4261" i="2"/>
  <c r="E4261" i="2"/>
  <c r="J4260" i="2"/>
  <c r="H4260" i="2"/>
  <c r="E4260" i="2"/>
  <c r="J4259" i="2"/>
  <c r="H4259" i="2"/>
  <c r="E4259" i="2"/>
  <c r="J4258" i="2"/>
  <c r="H4258" i="2"/>
  <c r="E4258" i="2"/>
  <c r="J4257" i="2"/>
  <c r="H4257" i="2"/>
  <c r="E4257" i="2"/>
  <c r="J4256" i="2"/>
  <c r="H4256" i="2"/>
  <c r="E4256" i="2"/>
  <c r="J4255" i="2"/>
  <c r="H4255" i="2"/>
  <c r="E4255" i="2"/>
  <c r="J4254" i="2"/>
  <c r="H4254" i="2"/>
  <c r="E4254" i="2"/>
  <c r="J4253" i="2"/>
  <c r="H4253" i="2"/>
  <c r="E4253" i="2"/>
  <c r="J4252" i="2"/>
  <c r="H4252" i="2"/>
  <c r="E4252" i="2"/>
  <c r="J4251" i="2"/>
  <c r="H4251" i="2"/>
  <c r="E4251" i="2"/>
  <c r="J4250" i="2"/>
  <c r="H4250" i="2"/>
  <c r="E4250" i="2"/>
  <c r="J4249" i="2"/>
  <c r="H4249" i="2"/>
  <c r="E4249" i="2"/>
  <c r="J4248" i="2"/>
  <c r="H4248" i="2"/>
  <c r="E4248" i="2"/>
  <c r="J4247" i="2"/>
  <c r="H4247" i="2"/>
  <c r="D4247" i="2"/>
  <c r="E4247" i="2" s="1"/>
  <c r="J4246" i="2"/>
  <c r="H4246" i="2"/>
  <c r="E4246" i="2"/>
  <c r="J4245" i="2"/>
  <c r="H4245" i="2"/>
  <c r="E4245" i="2"/>
  <c r="J4244" i="2"/>
  <c r="H4244" i="2"/>
  <c r="E4244" i="2"/>
  <c r="J4243" i="2"/>
  <c r="H4243" i="2"/>
  <c r="E4243" i="2"/>
  <c r="J4242" i="2"/>
  <c r="H4242" i="2"/>
  <c r="E4242" i="2"/>
  <c r="J4241" i="2"/>
  <c r="H4241" i="2"/>
  <c r="E4241" i="2"/>
  <c r="J4240" i="2"/>
  <c r="H4240" i="2"/>
  <c r="E4240" i="2"/>
  <c r="J4239" i="2"/>
  <c r="H4239" i="2"/>
  <c r="E4239" i="2"/>
  <c r="J4238" i="2"/>
  <c r="H4238" i="2"/>
  <c r="E4238" i="2"/>
  <c r="J4237" i="2"/>
  <c r="H4237" i="2"/>
  <c r="E4237" i="2"/>
  <c r="J4236" i="2"/>
  <c r="H4236" i="2"/>
  <c r="E4236" i="2"/>
  <c r="J4235" i="2"/>
  <c r="H4235" i="2"/>
  <c r="E4235" i="2"/>
  <c r="J4234" i="2"/>
  <c r="H4234" i="2"/>
  <c r="E4234" i="2"/>
  <c r="J4233" i="2"/>
  <c r="H4233" i="2"/>
  <c r="E4233" i="2"/>
  <c r="J4232" i="2"/>
  <c r="H4232" i="2"/>
  <c r="D4232" i="2"/>
  <c r="E4232" i="2" s="1"/>
  <c r="J4231" i="2"/>
  <c r="H4231" i="2"/>
  <c r="E4231" i="2"/>
  <c r="J4230" i="2"/>
  <c r="H4230" i="2"/>
  <c r="E4230" i="2"/>
  <c r="J4229" i="2"/>
  <c r="H4229" i="2"/>
  <c r="E4229" i="2"/>
  <c r="J4228" i="2"/>
  <c r="H4228" i="2"/>
  <c r="E4228" i="2"/>
  <c r="J4227" i="2"/>
  <c r="H4227" i="2"/>
  <c r="E4227" i="2"/>
  <c r="J4226" i="2"/>
  <c r="H4226" i="2"/>
  <c r="E4226" i="2"/>
  <c r="J4225" i="2"/>
  <c r="H4225" i="2"/>
  <c r="E4225" i="2"/>
  <c r="J4224" i="2"/>
  <c r="H4224" i="2"/>
  <c r="E4224" i="2"/>
  <c r="J4223" i="2"/>
  <c r="H4223" i="2"/>
  <c r="E4223" i="2"/>
  <c r="J4222" i="2"/>
  <c r="H4222" i="2"/>
  <c r="E4222" i="2"/>
  <c r="J4221" i="2"/>
  <c r="H4221" i="2"/>
  <c r="E4221" i="2"/>
  <c r="J4220" i="2"/>
  <c r="H4220" i="2"/>
  <c r="E4220" i="2"/>
  <c r="J4219" i="2"/>
  <c r="H4219" i="2"/>
  <c r="E4219" i="2"/>
  <c r="J4218" i="2"/>
  <c r="H4218" i="2"/>
  <c r="E4218" i="2"/>
  <c r="J4217" i="2"/>
  <c r="H4217" i="2"/>
  <c r="E4217" i="2"/>
  <c r="J4216" i="2"/>
  <c r="H4216" i="2"/>
  <c r="E4216" i="2"/>
  <c r="J4215" i="2"/>
  <c r="H4215" i="2"/>
  <c r="E4215" i="2"/>
  <c r="J4214" i="2"/>
  <c r="H4214" i="2"/>
  <c r="E4214" i="2"/>
  <c r="J4213" i="2"/>
  <c r="H4213" i="2"/>
  <c r="D4213" i="2"/>
  <c r="E4213" i="2" s="1"/>
  <c r="J4212" i="2"/>
  <c r="H4212" i="2"/>
  <c r="E4212" i="2"/>
  <c r="J4211" i="2"/>
  <c r="H4211" i="2"/>
  <c r="E4211" i="2"/>
  <c r="J4210" i="2"/>
  <c r="H4210" i="2"/>
  <c r="D4210" i="2"/>
  <c r="E4210" i="2" s="1"/>
  <c r="J4209" i="2"/>
  <c r="H4209" i="2"/>
  <c r="E4209" i="2"/>
  <c r="J4208" i="2"/>
  <c r="H4208" i="2"/>
  <c r="E4208" i="2"/>
  <c r="J4207" i="2"/>
  <c r="H4207" i="2"/>
  <c r="E4207" i="2"/>
  <c r="J4206" i="2"/>
  <c r="H4206" i="2"/>
  <c r="E4206" i="2"/>
  <c r="J4205" i="2"/>
  <c r="H4205" i="2"/>
  <c r="E4205" i="2"/>
  <c r="J4204" i="2"/>
  <c r="H4204" i="2"/>
  <c r="E4204" i="2"/>
  <c r="J4203" i="2"/>
  <c r="H4203" i="2"/>
  <c r="E4203" i="2"/>
  <c r="J4202" i="2"/>
  <c r="H4202" i="2"/>
  <c r="E4202" i="2"/>
  <c r="J4201" i="2"/>
  <c r="H4201" i="2"/>
  <c r="E4201" i="2"/>
  <c r="J4200" i="2"/>
  <c r="H4200" i="2"/>
  <c r="E4200" i="2"/>
  <c r="J4199" i="2"/>
  <c r="H4199" i="2"/>
  <c r="E4199" i="2"/>
  <c r="J4198" i="2"/>
  <c r="H4198" i="2"/>
  <c r="E4198" i="2"/>
  <c r="J4197" i="2"/>
  <c r="H4197" i="2"/>
  <c r="E4197" i="2"/>
  <c r="J4196" i="2"/>
  <c r="H4196" i="2"/>
  <c r="E4196" i="2"/>
  <c r="J4195" i="2"/>
  <c r="H4195" i="2"/>
  <c r="E4195" i="2"/>
  <c r="J4194" i="2"/>
  <c r="H4194" i="2"/>
  <c r="E4194" i="2"/>
  <c r="J4193" i="2"/>
  <c r="H4193" i="2"/>
  <c r="E4193" i="2"/>
  <c r="J4192" i="2"/>
  <c r="H4192" i="2"/>
  <c r="E4192" i="2"/>
  <c r="J4191" i="2"/>
  <c r="H4191" i="2"/>
  <c r="E4191" i="2"/>
  <c r="J4190" i="2"/>
  <c r="H4190" i="2"/>
  <c r="E4190" i="2"/>
  <c r="J4189" i="2"/>
  <c r="H4189" i="2"/>
  <c r="E4189" i="2"/>
  <c r="J4188" i="2"/>
  <c r="H4188" i="2"/>
  <c r="E4188" i="2"/>
  <c r="J4187" i="2"/>
  <c r="H4187" i="2"/>
  <c r="E4187" i="2"/>
  <c r="J4186" i="2"/>
  <c r="H4186" i="2"/>
  <c r="E4186" i="2"/>
  <c r="J4185" i="2"/>
  <c r="H4185" i="2"/>
  <c r="E4185" i="2"/>
  <c r="J4184" i="2"/>
  <c r="H4184" i="2"/>
  <c r="E4184" i="2"/>
  <c r="J4183" i="2"/>
  <c r="H4183" i="2"/>
  <c r="E4183" i="2"/>
  <c r="J4182" i="2"/>
  <c r="H4182" i="2"/>
  <c r="E4182" i="2"/>
  <c r="J4181" i="2"/>
  <c r="H4181" i="2"/>
  <c r="E4181" i="2"/>
  <c r="J4180" i="2"/>
  <c r="H4180" i="2"/>
  <c r="E4180" i="2"/>
  <c r="J4179" i="2"/>
  <c r="H4179" i="2"/>
  <c r="D4179" i="2"/>
  <c r="E4179" i="2" s="1"/>
  <c r="J4178" i="2"/>
  <c r="H4178" i="2"/>
  <c r="E4178" i="2"/>
  <c r="J4177" i="2"/>
  <c r="H4177" i="2"/>
  <c r="E4177" i="2"/>
  <c r="J4176" i="2"/>
  <c r="H4176" i="2"/>
  <c r="E4176" i="2"/>
  <c r="J4175" i="2"/>
  <c r="H4175" i="2"/>
  <c r="E4175" i="2"/>
  <c r="J4174" i="2"/>
  <c r="H4174" i="2"/>
  <c r="D4174" i="2"/>
  <c r="E4174" i="2" s="1"/>
  <c r="J4173" i="2"/>
  <c r="H4173" i="2"/>
  <c r="E4173" i="2"/>
  <c r="J4172" i="2"/>
  <c r="H4172" i="2"/>
  <c r="E4172" i="2"/>
  <c r="J4171" i="2"/>
  <c r="H4171" i="2"/>
  <c r="E4171" i="2"/>
  <c r="J4170" i="2"/>
  <c r="H4170" i="2"/>
  <c r="D4170" i="2"/>
  <c r="E4170" i="2" s="1"/>
  <c r="J4169" i="2"/>
  <c r="H4169" i="2"/>
  <c r="E4169" i="2"/>
  <c r="J4168" i="2"/>
  <c r="H4168" i="2"/>
  <c r="E4168" i="2"/>
  <c r="J4167" i="2"/>
  <c r="H4167" i="2"/>
  <c r="E4167" i="2"/>
  <c r="J4166" i="2"/>
  <c r="H4166" i="2"/>
  <c r="E4166" i="2"/>
  <c r="J4165" i="2"/>
  <c r="H4165" i="2"/>
  <c r="E4165" i="2"/>
  <c r="J4164" i="2"/>
  <c r="H4164" i="2"/>
  <c r="E4164" i="2"/>
  <c r="J4163" i="2"/>
  <c r="H4163" i="2"/>
  <c r="E4163" i="2"/>
  <c r="J4162" i="2"/>
  <c r="H4162" i="2"/>
  <c r="E4162" i="2"/>
  <c r="J4161" i="2"/>
  <c r="H4161" i="2"/>
  <c r="E4161" i="2"/>
  <c r="J4160" i="2"/>
  <c r="H4160" i="2"/>
  <c r="D4160" i="2"/>
  <c r="E4160" i="2" s="1"/>
  <c r="J4159" i="2"/>
  <c r="H4159" i="2"/>
  <c r="E4159" i="2"/>
  <c r="J4158" i="2"/>
  <c r="H4158" i="2"/>
  <c r="D4158" i="2"/>
  <c r="E4158" i="2" s="1"/>
  <c r="J4157" i="2"/>
  <c r="H4157" i="2"/>
  <c r="E4157" i="2"/>
  <c r="J4156" i="2"/>
  <c r="H4156" i="2"/>
  <c r="E4156" i="2"/>
  <c r="J4155" i="2"/>
  <c r="H4155" i="2"/>
  <c r="E4155" i="2"/>
  <c r="J4154" i="2"/>
  <c r="H4154" i="2"/>
  <c r="E4154" i="2"/>
  <c r="J4153" i="2"/>
  <c r="H4153" i="2"/>
  <c r="E4153" i="2"/>
  <c r="J4152" i="2"/>
  <c r="H4152" i="2"/>
  <c r="E4152" i="2"/>
  <c r="J4151" i="2"/>
  <c r="H4151" i="2"/>
  <c r="E4151" i="2"/>
  <c r="J4150" i="2"/>
  <c r="H4150" i="2"/>
  <c r="E4150" i="2"/>
  <c r="J4149" i="2"/>
  <c r="H4149" i="2"/>
  <c r="E4149" i="2"/>
  <c r="J4148" i="2"/>
  <c r="H4148" i="2"/>
  <c r="E4148" i="2"/>
  <c r="J4147" i="2"/>
  <c r="H4147" i="2"/>
  <c r="E4147" i="2"/>
  <c r="J4146" i="2"/>
  <c r="H4146" i="2"/>
  <c r="E4146" i="2"/>
  <c r="J4145" i="2"/>
  <c r="H4145" i="2"/>
  <c r="E4145" i="2"/>
  <c r="J4144" i="2"/>
  <c r="H4144" i="2"/>
  <c r="E4144" i="2"/>
  <c r="J4143" i="2"/>
  <c r="H4143" i="2"/>
  <c r="E4143" i="2"/>
  <c r="J4142" i="2"/>
  <c r="H4142" i="2"/>
  <c r="E4142" i="2"/>
  <c r="J4141" i="2"/>
  <c r="H4141" i="2"/>
  <c r="E4141" i="2"/>
  <c r="J4140" i="2"/>
  <c r="H4140" i="2"/>
  <c r="E4140" i="2"/>
  <c r="J4139" i="2"/>
  <c r="H4139" i="2"/>
  <c r="E4139" i="2"/>
  <c r="J4138" i="2"/>
  <c r="H4138" i="2"/>
  <c r="E4138" i="2"/>
  <c r="J4137" i="2"/>
  <c r="H4137" i="2"/>
  <c r="E4137" i="2"/>
  <c r="J4136" i="2"/>
  <c r="H4136" i="2"/>
  <c r="E4136" i="2"/>
  <c r="J4135" i="2"/>
  <c r="H4135" i="2"/>
  <c r="E4135" i="2"/>
  <c r="J4134" i="2"/>
  <c r="H4134" i="2"/>
  <c r="E4134" i="2"/>
  <c r="J4133" i="2"/>
  <c r="H4133" i="2"/>
  <c r="E4133" i="2"/>
  <c r="J4132" i="2"/>
  <c r="H4132" i="2"/>
  <c r="E4132" i="2"/>
  <c r="J4131" i="2"/>
  <c r="H4131" i="2"/>
  <c r="E4131" i="2"/>
  <c r="J4130" i="2"/>
  <c r="H4130" i="2"/>
  <c r="E4130" i="2"/>
  <c r="J4129" i="2"/>
  <c r="H4129" i="2"/>
  <c r="E4129" i="2"/>
  <c r="J4128" i="2"/>
  <c r="H4128" i="2"/>
  <c r="E4128" i="2"/>
  <c r="J4127" i="2"/>
  <c r="H4127" i="2"/>
  <c r="E4127" i="2"/>
  <c r="J4126" i="2"/>
  <c r="H4126" i="2"/>
  <c r="E4126" i="2"/>
  <c r="J4125" i="2"/>
  <c r="H4125" i="2"/>
  <c r="E4125" i="2"/>
  <c r="J4124" i="2"/>
  <c r="H4124" i="2"/>
  <c r="E4124" i="2"/>
  <c r="J4123" i="2"/>
  <c r="H4123" i="2"/>
  <c r="E4123" i="2"/>
  <c r="J4122" i="2"/>
  <c r="H4122" i="2"/>
  <c r="E4122" i="2"/>
  <c r="J4121" i="2"/>
  <c r="H4121" i="2"/>
  <c r="E4121" i="2"/>
  <c r="J4120" i="2"/>
  <c r="H4120" i="2"/>
  <c r="E4120" i="2"/>
  <c r="J4119" i="2"/>
  <c r="H4119" i="2"/>
  <c r="E4119" i="2"/>
  <c r="J4118" i="2"/>
  <c r="H4118" i="2"/>
  <c r="E4118" i="2"/>
  <c r="J4117" i="2"/>
  <c r="H4117" i="2"/>
  <c r="E4117" i="2"/>
  <c r="J4116" i="2"/>
  <c r="H4116" i="2"/>
  <c r="E4116" i="2"/>
  <c r="J4115" i="2"/>
  <c r="H4115" i="2"/>
  <c r="E4115" i="2"/>
  <c r="J4114" i="2"/>
  <c r="H4114" i="2"/>
  <c r="E4114" i="2"/>
  <c r="J4113" i="2"/>
  <c r="H4113" i="2"/>
  <c r="E4113" i="2"/>
  <c r="J4112" i="2"/>
  <c r="H4112" i="2"/>
  <c r="E4112" i="2"/>
  <c r="J4111" i="2"/>
  <c r="H4111" i="2"/>
  <c r="E4111" i="2"/>
  <c r="J4110" i="2"/>
  <c r="H4110" i="2"/>
  <c r="E4110" i="2"/>
  <c r="J4109" i="2"/>
  <c r="H4109" i="2"/>
  <c r="E4109" i="2"/>
  <c r="J4108" i="2"/>
  <c r="H4108" i="2"/>
  <c r="E4108" i="2"/>
  <c r="J4107" i="2"/>
  <c r="H4107" i="2"/>
  <c r="E4107" i="2"/>
  <c r="J4106" i="2"/>
  <c r="H4106" i="2"/>
  <c r="E4106" i="2"/>
  <c r="J4105" i="2"/>
  <c r="H4105" i="2"/>
  <c r="E4105" i="2"/>
  <c r="J4104" i="2"/>
  <c r="H4104" i="2"/>
  <c r="E4104" i="2"/>
  <c r="J4103" i="2"/>
  <c r="H4103" i="2"/>
  <c r="E4103" i="2"/>
  <c r="J4102" i="2"/>
  <c r="H4102" i="2"/>
  <c r="E4102" i="2"/>
  <c r="J4101" i="2"/>
  <c r="H4101" i="2"/>
  <c r="E4101" i="2"/>
  <c r="J4100" i="2"/>
  <c r="H4100" i="2"/>
  <c r="E4100" i="2"/>
  <c r="J4099" i="2"/>
  <c r="H4099" i="2"/>
  <c r="E4099" i="2"/>
  <c r="J4098" i="2"/>
  <c r="H4098" i="2"/>
  <c r="E4098" i="2"/>
  <c r="J4097" i="2"/>
  <c r="H4097" i="2"/>
  <c r="E4097" i="2"/>
  <c r="J4096" i="2"/>
  <c r="H4096" i="2"/>
  <c r="E4096" i="2"/>
  <c r="J4095" i="2"/>
  <c r="H4095" i="2"/>
  <c r="E4095" i="2"/>
  <c r="J4094" i="2"/>
  <c r="H4094" i="2"/>
  <c r="E4094" i="2"/>
  <c r="J4093" i="2"/>
  <c r="H4093" i="2"/>
  <c r="E4093" i="2"/>
  <c r="J4092" i="2"/>
  <c r="H4092" i="2"/>
  <c r="E4092" i="2"/>
  <c r="J4091" i="2"/>
  <c r="H4091" i="2"/>
  <c r="E4091" i="2"/>
  <c r="J4090" i="2"/>
  <c r="H4090" i="2"/>
  <c r="E4090" i="2"/>
  <c r="J4089" i="2"/>
  <c r="H4089" i="2"/>
  <c r="D4089" i="2"/>
  <c r="E4089" i="2" s="1"/>
  <c r="J4088" i="2"/>
  <c r="H4088" i="2"/>
  <c r="E4088" i="2"/>
  <c r="J4087" i="2"/>
  <c r="H4087" i="2"/>
  <c r="E4087" i="2"/>
  <c r="J4086" i="2"/>
  <c r="H4086" i="2"/>
  <c r="E4086" i="2"/>
  <c r="J4085" i="2"/>
  <c r="H4085" i="2"/>
  <c r="E4085" i="2"/>
  <c r="J4084" i="2"/>
  <c r="H4084" i="2"/>
  <c r="D4084" i="2"/>
  <c r="E4084" i="2" s="1"/>
  <c r="J4083" i="2"/>
  <c r="H4083" i="2"/>
  <c r="E4083" i="2"/>
  <c r="J4082" i="2"/>
  <c r="H4082" i="2"/>
  <c r="E4082" i="2"/>
  <c r="J4081" i="2"/>
  <c r="H4081" i="2"/>
  <c r="E4081" i="2"/>
  <c r="J4080" i="2"/>
  <c r="H4080" i="2"/>
  <c r="E4080" i="2"/>
  <c r="J4079" i="2"/>
  <c r="H4079" i="2"/>
  <c r="E4079" i="2"/>
  <c r="J4078" i="2"/>
  <c r="H4078" i="2"/>
  <c r="D4078" i="2"/>
  <c r="E4078" i="2" s="1"/>
  <c r="J4077" i="2"/>
  <c r="H4077" i="2"/>
  <c r="E4077" i="2"/>
  <c r="J4076" i="2"/>
  <c r="H4076" i="2"/>
  <c r="D4076" i="2"/>
  <c r="E4076" i="2" s="1"/>
  <c r="J4075" i="2"/>
  <c r="H4075" i="2"/>
  <c r="E4075" i="2"/>
  <c r="J4074" i="2"/>
  <c r="H4074" i="2"/>
  <c r="E4074" i="2"/>
  <c r="J4073" i="2"/>
  <c r="H4073" i="2"/>
  <c r="E4073" i="2"/>
  <c r="J4072" i="2"/>
  <c r="H4072" i="2"/>
  <c r="E4072" i="2"/>
  <c r="J4071" i="2"/>
  <c r="H4071" i="2"/>
  <c r="E4071" i="2"/>
  <c r="J4070" i="2"/>
  <c r="H4070" i="2"/>
  <c r="D4070" i="2"/>
  <c r="E4070" i="2" s="1"/>
  <c r="J4069" i="2"/>
  <c r="H4069" i="2"/>
  <c r="E4069" i="2"/>
  <c r="J4068" i="2"/>
  <c r="H4068" i="2"/>
  <c r="E4068" i="2"/>
  <c r="J4067" i="2"/>
  <c r="H4067" i="2"/>
  <c r="E4067" i="2"/>
  <c r="J4066" i="2"/>
  <c r="H4066" i="2"/>
  <c r="E4066" i="2"/>
  <c r="J4065" i="2"/>
  <c r="H4065" i="2"/>
  <c r="E4065" i="2"/>
  <c r="J4064" i="2"/>
  <c r="H4064" i="2"/>
  <c r="E4064" i="2"/>
  <c r="J4063" i="2"/>
  <c r="H4063" i="2"/>
  <c r="E4063" i="2"/>
  <c r="J4062" i="2"/>
  <c r="H4062" i="2"/>
  <c r="D4062" i="2"/>
  <c r="E4062" i="2" s="1"/>
  <c r="J4061" i="2"/>
  <c r="H4061" i="2"/>
  <c r="E4061" i="2"/>
  <c r="J4060" i="2"/>
  <c r="H4060" i="2"/>
  <c r="E4060" i="2"/>
  <c r="J4059" i="2"/>
  <c r="H4059" i="2"/>
  <c r="E4059" i="2"/>
  <c r="J4058" i="2"/>
  <c r="H4058" i="2"/>
  <c r="E4058" i="2"/>
  <c r="J4057" i="2"/>
  <c r="H4057" i="2"/>
  <c r="E4057" i="2"/>
  <c r="J4056" i="2"/>
  <c r="H4056" i="2"/>
  <c r="E4056" i="2"/>
  <c r="J4055" i="2"/>
  <c r="H4055" i="2"/>
  <c r="E4055" i="2"/>
  <c r="J4054" i="2"/>
  <c r="H4054" i="2"/>
  <c r="E4054" i="2"/>
  <c r="J4053" i="2"/>
  <c r="H4053" i="2"/>
  <c r="E4053" i="2"/>
  <c r="J4052" i="2"/>
  <c r="H4052" i="2"/>
  <c r="E4052" i="2"/>
  <c r="J4051" i="2"/>
  <c r="H4051" i="2"/>
  <c r="D4051" i="2"/>
  <c r="E4051" i="2" s="1"/>
  <c r="J4050" i="2"/>
  <c r="H4050" i="2"/>
  <c r="E4050" i="2"/>
  <c r="J4049" i="2"/>
  <c r="H4049" i="2"/>
  <c r="E4049" i="2"/>
  <c r="J4048" i="2"/>
  <c r="H4048" i="2"/>
  <c r="E4048" i="2"/>
  <c r="J4047" i="2"/>
  <c r="H4047" i="2"/>
  <c r="E4047" i="2"/>
  <c r="J4046" i="2"/>
  <c r="H4046" i="2"/>
  <c r="E4046" i="2"/>
  <c r="J4045" i="2"/>
  <c r="H4045" i="2"/>
  <c r="E4045" i="2"/>
  <c r="J4044" i="2"/>
  <c r="H4044" i="2"/>
  <c r="E4044" i="2"/>
  <c r="J4043" i="2"/>
  <c r="H4043" i="2"/>
  <c r="E4043" i="2"/>
  <c r="J4042" i="2"/>
  <c r="H4042" i="2"/>
  <c r="D4042" i="2"/>
  <c r="E4042" i="2" s="1"/>
  <c r="J4041" i="2"/>
  <c r="H4041" i="2"/>
  <c r="E4041" i="2"/>
  <c r="J4040" i="2"/>
  <c r="H4040" i="2"/>
  <c r="E4040" i="2"/>
  <c r="J4039" i="2"/>
  <c r="H4039" i="2"/>
  <c r="E4039" i="2"/>
  <c r="J4038" i="2"/>
  <c r="H4038" i="2"/>
  <c r="E4038" i="2"/>
  <c r="J4037" i="2"/>
  <c r="H4037" i="2"/>
  <c r="E4037" i="2"/>
  <c r="J4036" i="2"/>
  <c r="H4036" i="2"/>
  <c r="E4036" i="2"/>
  <c r="J4035" i="2"/>
  <c r="H4035" i="2"/>
  <c r="E4035" i="2"/>
  <c r="J4034" i="2"/>
  <c r="H4034" i="2"/>
  <c r="D4034" i="2"/>
  <c r="E4034" i="2" s="1"/>
  <c r="J4033" i="2"/>
  <c r="H4033" i="2"/>
  <c r="E4033" i="2"/>
  <c r="J4032" i="2"/>
  <c r="H4032" i="2"/>
  <c r="E4032" i="2"/>
  <c r="J4031" i="2"/>
  <c r="H4031" i="2"/>
  <c r="E4031" i="2"/>
  <c r="J4030" i="2"/>
  <c r="H4030" i="2"/>
  <c r="E4030" i="2"/>
  <c r="J4029" i="2"/>
  <c r="H4029" i="2"/>
  <c r="E4029" i="2"/>
  <c r="J4028" i="2"/>
  <c r="H4028" i="2"/>
  <c r="E4028" i="2"/>
  <c r="J4027" i="2"/>
  <c r="H4027" i="2"/>
  <c r="E4027" i="2"/>
  <c r="J4026" i="2"/>
  <c r="H4026" i="2"/>
  <c r="E4026" i="2"/>
  <c r="J4025" i="2"/>
  <c r="H4025" i="2"/>
  <c r="E4025" i="2"/>
  <c r="J4024" i="2"/>
  <c r="H4024" i="2"/>
  <c r="E4024" i="2"/>
  <c r="J4023" i="2"/>
  <c r="H4023" i="2"/>
  <c r="E4023" i="2"/>
  <c r="J4022" i="2"/>
  <c r="H4022" i="2"/>
  <c r="E4022" i="2"/>
  <c r="J4021" i="2"/>
  <c r="H4021" i="2"/>
  <c r="D4021" i="2"/>
  <c r="E4021" i="2" s="1"/>
  <c r="J4020" i="2"/>
  <c r="H4020" i="2"/>
  <c r="E4020" i="2"/>
  <c r="J4019" i="2"/>
  <c r="H4019" i="2"/>
  <c r="E4019" i="2"/>
  <c r="J4018" i="2"/>
  <c r="H4018" i="2"/>
  <c r="E4018" i="2"/>
  <c r="J4017" i="2"/>
  <c r="H4017" i="2"/>
  <c r="E4017" i="2"/>
  <c r="J4016" i="2"/>
  <c r="H4016" i="2"/>
  <c r="E4016" i="2"/>
  <c r="J4015" i="2"/>
  <c r="H4015" i="2"/>
  <c r="E4015" i="2"/>
  <c r="J4014" i="2"/>
  <c r="H4014" i="2"/>
  <c r="E4014" i="2"/>
  <c r="J4013" i="2"/>
  <c r="H4013" i="2"/>
  <c r="E4013" i="2"/>
  <c r="J4012" i="2"/>
  <c r="H4012" i="2"/>
  <c r="E4012" i="2"/>
  <c r="J4011" i="2"/>
  <c r="H4011" i="2"/>
  <c r="E4011" i="2"/>
  <c r="J4010" i="2"/>
  <c r="H4010" i="2"/>
  <c r="E4010" i="2"/>
  <c r="J4009" i="2"/>
  <c r="H4009" i="2"/>
  <c r="E4009" i="2"/>
  <c r="J4008" i="2"/>
  <c r="H4008" i="2"/>
  <c r="E4008" i="2"/>
  <c r="J4007" i="2"/>
  <c r="H4007" i="2"/>
  <c r="E4007" i="2"/>
  <c r="J4006" i="2"/>
  <c r="H4006" i="2"/>
  <c r="E4006" i="2"/>
  <c r="J4005" i="2"/>
  <c r="H4005" i="2"/>
  <c r="E4005" i="2"/>
  <c r="J4004" i="2"/>
  <c r="H4004" i="2"/>
  <c r="E4004" i="2"/>
  <c r="J4003" i="2"/>
  <c r="H4003" i="2"/>
  <c r="E4003" i="2"/>
  <c r="J4002" i="2"/>
  <c r="H4002" i="2"/>
  <c r="D4002" i="2"/>
  <c r="E4002" i="2" s="1"/>
  <c r="J4001" i="2"/>
  <c r="H4001" i="2"/>
  <c r="E4001" i="2"/>
  <c r="J4000" i="2"/>
  <c r="H4000" i="2"/>
  <c r="E4000" i="2"/>
  <c r="J3999" i="2"/>
  <c r="H3999" i="2"/>
  <c r="E3999" i="2"/>
  <c r="J3998" i="2"/>
  <c r="H3998" i="2"/>
  <c r="E3998" i="2"/>
  <c r="J3997" i="2"/>
  <c r="H3997" i="2"/>
  <c r="E3997" i="2"/>
  <c r="J3996" i="2"/>
  <c r="H3996" i="2"/>
  <c r="E3996" i="2"/>
  <c r="J3995" i="2"/>
  <c r="H3995" i="2"/>
  <c r="E3995" i="2"/>
  <c r="J3994" i="2"/>
  <c r="H3994" i="2"/>
  <c r="D3994" i="2"/>
  <c r="E3994" i="2" s="1"/>
  <c r="J3993" i="2"/>
  <c r="H3993" i="2"/>
  <c r="E3993" i="2"/>
  <c r="J3992" i="2"/>
  <c r="H3992" i="2"/>
  <c r="E3992" i="2"/>
  <c r="J3991" i="2"/>
  <c r="H3991" i="2"/>
  <c r="E3991" i="2"/>
  <c r="J3990" i="2"/>
  <c r="H3990" i="2"/>
  <c r="E3990" i="2"/>
  <c r="J3989" i="2"/>
  <c r="H3989" i="2"/>
  <c r="E3989" i="2"/>
  <c r="J3988" i="2"/>
  <c r="H3988" i="2"/>
  <c r="E3988" i="2"/>
  <c r="J3987" i="2"/>
  <c r="H3987" i="2"/>
  <c r="E3987" i="2"/>
  <c r="J3986" i="2"/>
  <c r="H3986" i="2"/>
  <c r="E3986" i="2"/>
  <c r="J3985" i="2"/>
  <c r="H3985" i="2"/>
  <c r="E3985" i="2"/>
  <c r="J3984" i="2"/>
  <c r="H3984" i="2"/>
  <c r="D3984" i="2"/>
  <c r="E3984" i="2" s="1"/>
  <c r="J3983" i="2"/>
  <c r="H3983" i="2"/>
  <c r="E3983" i="2"/>
  <c r="J3982" i="2"/>
  <c r="H3982" i="2"/>
  <c r="E3982" i="2"/>
  <c r="J3981" i="2"/>
  <c r="H3981" i="2"/>
  <c r="E3981" i="2"/>
  <c r="J3980" i="2"/>
  <c r="H3980" i="2"/>
  <c r="E3980" i="2"/>
  <c r="J3979" i="2"/>
  <c r="H3979" i="2"/>
  <c r="E3979" i="2"/>
  <c r="J3978" i="2"/>
  <c r="H3978" i="2"/>
  <c r="E3978" i="2"/>
  <c r="J3977" i="2"/>
  <c r="H3977" i="2"/>
  <c r="E3977" i="2"/>
  <c r="J3976" i="2"/>
  <c r="H3976" i="2"/>
  <c r="E3976" i="2"/>
  <c r="J3975" i="2"/>
  <c r="H3975" i="2"/>
  <c r="E3975" i="2"/>
  <c r="J3974" i="2"/>
  <c r="H3974" i="2"/>
  <c r="E3974" i="2"/>
  <c r="J3973" i="2"/>
  <c r="H3973" i="2"/>
  <c r="E3973" i="2"/>
  <c r="J3972" i="2"/>
  <c r="H3972" i="2"/>
  <c r="E3972" i="2"/>
  <c r="J3971" i="2"/>
  <c r="H3971" i="2"/>
  <c r="E3971" i="2"/>
  <c r="J3970" i="2"/>
  <c r="H3970" i="2"/>
  <c r="E3970" i="2"/>
  <c r="J3969" i="2"/>
  <c r="H3969" i="2"/>
  <c r="E3969" i="2"/>
  <c r="J3968" i="2"/>
  <c r="H3968" i="2"/>
  <c r="E3968" i="2"/>
  <c r="J3967" i="2"/>
  <c r="H3967" i="2"/>
  <c r="E3967" i="2"/>
  <c r="J3966" i="2"/>
  <c r="H3966" i="2"/>
  <c r="E3966" i="2"/>
  <c r="J3965" i="2"/>
  <c r="H3965" i="2"/>
  <c r="E3965" i="2"/>
  <c r="J3964" i="2"/>
  <c r="H3964" i="2"/>
  <c r="E3964" i="2"/>
  <c r="J3963" i="2"/>
  <c r="H3963" i="2"/>
  <c r="E3963" i="2"/>
  <c r="J3962" i="2"/>
  <c r="H3962" i="2"/>
  <c r="E3962" i="2"/>
  <c r="J3961" i="2"/>
  <c r="H3961" i="2"/>
  <c r="E3961" i="2"/>
  <c r="J3960" i="2"/>
  <c r="H3960" i="2"/>
  <c r="E3960" i="2"/>
  <c r="J3959" i="2"/>
  <c r="H3959" i="2"/>
  <c r="E3959" i="2"/>
  <c r="J3958" i="2"/>
  <c r="H3958" i="2"/>
  <c r="E3958" i="2"/>
  <c r="J3957" i="2"/>
  <c r="H3957" i="2"/>
  <c r="D3957" i="2"/>
  <c r="E3957" i="2" s="1"/>
  <c r="J3956" i="2"/>
  <c r="H3956" i="2"/>
  <c r="E3956" i="2"/>
  <c r="J3955" i="2"/>
  <c r="H3955" i="2"/>
  <c r="E3955" i="2"/>
  <c r="J3954" i="2"/>
  <c r="H3954" i="2"/>
  <c r="E3954" i="2"/>
  <c r="J3953" i="2"/>
  <c r="H3953" i="2"/>
  <c r="E3953" i="2"/>
  <c r="J3952" i="2"/>
  <c r="H3952" i="2"/>
  <c r="E3952" i="2"/>
  <c r="J3951" i="2"/>
  <c r="H3951" i="2"/>
  <c r="E3951" i="2"/>
  <c r="J3950" i="2"/>
  <c r="H3950" i="2"/>
  <c r="E3950" i="2"/>
  <c r="J3949" i="2"/>
  <c r="H3949" i="2"/>
  <c r="E3949" i="2"/>
  <c r="J3948" i="2"/>
  <c r="H3948" i="2"/>
  <c r="E3948" i="2"/>
  <c r="J3947" i="2"/>
  <c r="H3947" i="2"/>
  <c r="E3947" i="2"/>
  <c r="J3946" i="2"/>
  <c r="H3946" i="2"/>
  <c r="E3946" i="2"/>
  <c r="J3945" i="2"/>
  <c r="H3945" i="2"/>
  <c r="E3945" i="2"/>
  <c r="J3944" i="2"/>
  <c r="H3944" i="2"/>
  <c r="E3944" i="2"/>
  <c r="J3943" i="2"/>
  <c r="H3943" i="2"/>
  <c r="D3943" i="2"/>
  <c r="E3943" i="2" s="1"/>
  <c r="J3942" i="2"/>
  <c r="H3942" i="2"/>
  <c r="E3942" i="2"/>
  <c r="J3941" i="2"/>
  <c r="H3941" i="2"/>
  <c r="E3941" i="2"/>
  <c r="J3940" i="2"/>
  <c r="H3940" i="2"/>
  <c r="E3940" i="2"/>
  <c r="J3939" i="2"/>
  <c r="H3939" i="2"/>
  <c r="E3939" i="2"/>
  <c r="J3938" i="2"/>
  <c r="H3938" i="2"/>
  <c r="E3938" i="2"/>
  <c r="J3937" i="2"/>
  <c r="H3937" i="2"/>
  <c r="E3937" i="2"/>
  <c r="J3936" i="2"/>
  <c r="H3936" i="2"/>
  <c r="E3936" i="2"/>
  <c r="J3935" i="2"/>
  <c r="H3935" i="2"/>
  <c r="E3935" i="2"/>
  <c r="J3934" i="2"/>
  <c r="H3934" i="2"/>
  <c r="E3934" i="2"/>
  <c r="J3933" i="2"/>
  <c r="H3933" i="2"/>
  <c r="E3933" i="2"/>
  <c r="J3932" i="2"/>
  <c r="H3932" i="2"/>
  <c r="E3932" i="2"/>
  <c r="J3931" i="2"/>
  <c r="H3931" i="2"/>
  <c r="E3931" i="2"/>
  <c r="J3930" i="2"/>
  <c r="H3930" i="2"/>
  <c r="E3930" i="2"/>
  <c r="J3929" i="2"/>
  <c r="H3929" i="2"/>
  <c r="E3929" i="2"/>
  <c r="J3928" i="2"/>
  <c r="H3928" i="2"/>
  <c r="E3928" i="2"/>
  <c r="J3927" i="2"/>
  <c r="H3927" i="2"/>
  <c r="E3927" i="2"/>
  <c r="J3926" i="2"/>
  <c r="H3926" i="2"/>
  <c r="E3926" i="2"/>
  <c r="J3925" i="2"/>
  <c r="H3925" i="2"/>
  <c r="E3925" i="2"/>
  <c r="J3924" i="2"/>
  <c r="H3924" i="2"/>
  <c r="E3924" i="2"/>
  <c r="J3923" i="2"/>
  <c r="H3923" i="2"/>
  <c r="D3923" i="2"/>
  <c r="E3923" i="2" s="1"/>
  <c r="J3922" i="2"/>
  <c r="H3922" i="2"/>
  <c r="E3922" i="2"/>
  <c r="J3921" i="2"/>
  <c r="H3921" i="2"/>
  <c r="E3921" i="2"/>
  <c r="J3920" i="2"/>
  <c r="H3920" i="2"/>
  <c r="E3920" i="2"/>
  <c r="J3919" i="2"/>
  <c r="H3919" i="2"/>
  <c r="E3919" i="2"/>
  <c r="J3918" i="2"/>
  <c r="H3918" i="2"/>
  <c r="E3918" i="2"/>
  <c r="J3917" i="2"/>
  <c r="H3917" i="2"/>
  <c r="E3917" i="2"/>
  <c r="J3916" i="2"/>
  <c r="H3916" i="2"/>
  <c r="E3916" i="2"/>
  <c r="J3915" i="2"/>
  <c r="H3915" i="2"/>
  <c r="E3915" i="2"/>
  <c r="J3914" i="2"/>
  <c r="H3914" i="2"/>
  <c r="E3914" i="2"/>
  <c r="J3913" i="2"/>
  <c r="H3913" i="2"/>
  <c r="E3913" i="2"/>
  <c r="J3912" i="2"/>
  <c r="H3912" i="2"/>
  <c r="E3912" i="2"/>
  <c r="J3911" i="2"/>
  <c r="H3911" i="2"/>
  <c r="E3911" i="2"/>
  <c r="J3910" i="2"/>
  <c r="H3910" i="2"/>
  <c r="E3910" i="2"/>
  <c r="J3909" i="2"/>
  <c r="H3909" i="2"/>
  <c r="E3909" i="2"/>
  <c r="J3908" i="2"/>
  <c r="H3908" i="2"/>
  <c r="E3908" i="2"/>
  <c r="J3907" i="2"/>
  <c r="H3907" i="2"/>
  <c r="E3907" i="2"/>
  <c r="J3906" i="2"/>
  <c r="H3906" i="2"/>
  <c r="E3906" i="2"/>
  <c r="J3905" i="2"/>
  <c r="H3905" i="2"/>
  <c r="E3905" i="2"/>
  <c r="J3904" i="2"/>
  <c r="H3904" i="2"/>
  <c r="E3904" i="2"/>
  <c r="J3903" i="2"/>
  <c r="H3903" i="2"/>
  <c r="E3903" i="2"/>
  <c r="J3902" i="2"/>
  <c r="H3902" i="2"/>
  <c r="E3902" i="2"/>
  <c r="J3901" i="2"/>
  <c r="H3901" i="2"/>
  <c r="E3901" i="2"/>
  <c r="J3900" i="2"/>
  <c r="H3900" i="2"/>
  <c r="E3900" i="2"/>
  <c r="J3899" i="2"/>
  <c r="H3899" i="2"/>
  <c r="E3899" i="2"/>
  <c r="J3898" i="2"/>
  <c r="H3898" i="2"/>
  <c r="E3898" i="2"/>
  <c r="J3897" i="2"/>
  <c r="H3897" i="2"/>
  <c r="E3897" i="2"/>
  <c r="J3896" i="2"/>
  <c r="H3896" i="2"/>
  <c r="D3896" i="2"/>
  <c r="E3896" i="2" s="1"/>
  <c r="J3895" i="2"/>
  <c r="H3895" i="2"/>
  <c r="E3895" i="2"/>
  <c r="J3894" i="2"/>
  <c r="H3894" i="2"/>
  <c r="E3894" i="2"/>
  <c r="J3893" i="2"/>
  <c r="H3893" i="2"/>
  <c r="E3893" i="2"/>
  <c r="J3892" i="2"/>
  <c r="H3892" i="2"/>
  <c r="E3892" i="2"/>
  <c r="J3891" i="2"/>
  <c r="H3891" i="2"/>
  <c r="E3891" i="2"/>
  <c r="J3890" i="2"/>
  <c r="H3890" i="2"/>
  <c r="E3890" i="2"/>
  <c r="J3889" i="2"/>
  <c r="H3889" i="2"/>
  <c r="E3889" i="2"/>
  <c r="J3888" i="2"/>
  <c r="H3888" i="2"/>
  <c r="E3888" i="2"/>
  <c r="J3887" i="2"/>
  <c r="H3887" i="2"/>
  <c r="E3887" i="2"/>
  <c r="J3886" i="2"/>
  <c r="H3886" i="2"/>
  <c r="E3886" i="2"/>
  <c r="J3885" i="2"/>
  <c r="H3885" i="2"/>
  <c r="E3885" i="2"/>
  <c r="J3884" i="2"/>
  <c r="H3884" i="2"/>
  <c r="E3884" i="2"/>
  <c r="J3883" i="2"/>
  <c r="H3883" i="2"/>
  <c r="E3883" i="2"/>
  <c r="J3882" i="2"/>
  <c r="H3882" i="2"/>
  <c r="E3882" i="2"/>
  <c r="J3881" i="2"/>
  <c r="H3881" i="2"/>
  <c r="E3881" i="2"/>
  <c r="J3880" i="2"/>
  <c r="H3880" i="2"/>
  <c r="E3880" i="2"/>
  <c r="J3879" i="2"/>
  <c r="H3879" i="2"/>
  <c r="E3879" i="2"/>
  <c r="J3878" i="2"/>
  <c r="H3878" i="2"/>
  <c r="E3878" i="2"/>
  <c r="J3877" i="2"/>
  <c r="H3877" i="2"/>
  <c r="E3877" i="2"/>
  <c r="J3876" i="2"/>
  <c r="H3876" i="2"/>
  <c r="E3876" i="2"/>
  <c r="J3875" i="2"/>
  <c r="H3875" i="2"/>
  <c r="E3875" i="2"/>
  <c r="J3874" i="2"/>
  <c r="H3874" i="2"/>
  <c r="E3874" i="2"/>
  <c r="J3873" i="2"/>
  <c r="H3873" i="2"/>
  <c r="E3873" i="2"/>
  <c r="J3872" i="2"/>
  <c r="H3872" i="2"/>
  <c r="E3872" i="2"/>
  <c r="J3871" i="2"/>
  <c r="H3871" i="2"/>
  <c r="E3871" i="2"/>
  <c r="J3870" i="2"/>
  <c r="H3870" i="2"/>
  <c r="E3870" i="2"/>
  <c r="J3869" i="2"/>
  <c r="H3869" i="2"/>
  <c r="E3869" i="2"/>
  <c r="J3868" i="2"/>
  <c r="H3868" i="2"/>
  <c r="E3868" i="2"/>
  <c r="J3867" i="2"/>
  <c r="H3867" i="2"/>
  <c r="E3867" i="2"/>
  <c r="J3866" i="2"/>
  <c r="H3866" i="2"/>
  <c r="E3866" i="2"/>
  <c r="J3865" i="2"/>
  <c r="H3865" i="2"/>
  <c r="E3865" i="2"/>
  <c r="J3864" i="2"/>
  <c r="H3864" i="2"/>
  <c r="D3864" i="2"/>
  <c r="E3864" i="2" s="1"/>
  <c r="J3863" i="2"/>
  <c r="H3863" i="2"/>
  <c r="E3863" i="2"/>
  <c r="J3862" i="2"/>
  <c r="H3862" i="2"/>
  <c r="E3862" i="2"/>
  <c r="J3861" i="2"/>
  <c r="H3861" i="2"/>
  <c r="E3861" i="2"/>
  <c r="J3860" i="2"/>
  <c r="H3860" i="2"/>
  <c r="E3860" i="2"/>
  <c r="J3859" i="2"/>
  <c r="H3859" i="2"/>
  <c r="E3859" i="2"/>
  <c r="J3858" i="2"/>
  <c r="H3858" i="2"/>
  <c r="E3858" i="2"/>
  <c r="J3857" i="2"/>
  <c r="H3857" i="2"/>
  <c r="E3857" i="2"/>
  <c r="J3856" i="2"/>
  <c r="H3856" i="2"/>
  <c r="E3856" i="2"/>
  <c r="J3855" i="2"/>
  <c r="H3855" i="2"/>
  <c r="E3855" i="2"/>
  <c r="J3854" i="2"/>
  <c r="H3854" i="2"/>
  <c r="E3854" i="2"/>
  <c r="J3853" i="2"/>
  <c r="H3853" i="2"/>
  <c r="D3853" i="2"/>
  <c r="E3853" i="2" s="1"/>
  <c r="J3852" i="2"/>
  <c r="H3852" i="2"/>
  <c r="E3852" i="2"/>
  <c r="J3851" i="2"/>
  <c r="H3851" i="2"/>
  <c r="E3851" i="2"/>
  <c r="J3850" i="2"/>
  <c r="H3850" i="2"/>
  <c r="E3850" i="2"/>
  <c r="J3849" i="2"/>
  <c r="H3849" i="2"/>
  <c r="E3849" i="2"/>
  <c r="J3848" i="2"/>
  <c r="H3848" i="2"/>
  <c r="E3848" i="2"/>
  <c r="J3847" i="2"/>
  <c r="H3847" i="2"/>
  <c r="E3847" i="2"/>
  <c r="J3846" i="2"/>
  <c r="H3846" i="2"/>
  <c r="E3846" i="2"/>
  <c r="J3845" i="2"/>
  <c r="H3845" i="2"/>
  <c r="E3845" i="2"/>
  <c r="J3844" i="2"/>
  <c r="H3844" i="2"/>
  <c r="E3844" i="2"/>
  <c r="J3843" i="2"/>
  <c r="H3843" i="2"/>
  <c r="E3843" i="2"/>
  <c r="J3842" i="2"/>
  <c r="H3842" i="2"/>
  <c r="E3842" i="2"/>
  <c r="J3841" i="2"/>
  <c r="H3841" i="2"/>
  <c r="E3841" i="2"/>
  <c r="J3840" i="2"/>
  <c r="H3840" i="2"/>
  <c r="E3840" i="2"/>
  <c r="J3839" i="2"/>
  <c r="H3839" i="2"/>
  <c r="E3839" i="2"/>
  <c r="J3838" i="2"/>
  <c r="H3838" i="2"/>
  <c r="E3838" i="2"/>
  <c r="J3837" i="2"/>
  <c r="H3837" i="2"/>
  <c r="E3837" i="2"/>
  <c r="J3836" i="2"/>
  <c r="H3836" i="2"/>
  <c r="E3836" i="2"/>
  <c r="J3835" i="2"/>
  <c r="H3835" i="2"/>
  <c r="E3835" i="2"/>
  <c r="J3834" i="2"/>
  <c r="H3834" i="2"/>
  <c r="D3834" i="2"/>
  <c r="E3834" i="2" s="1"/>
  <c r="J3833" i="2"/>
  <c r="H3833" i="2"/>
  <c r="E3833" i="2"/>
  <c r="J3832" i="2"/>
  <c r="H3832" i="2"/>
  <c r="E3832" i="2"/>
  <c r="J3831" i="2"/>
  <c r="H3831" i="2"/>
  <c r="E3831" i="2"/>
  <c r="J3830" i="2"/>
  <c r="H3830" i="2"/>
  <c r="E3830" i="2"/>
  <c r="J3829" i="2"/>
  <c r="H3829" i="2"/>
  <c r="E3829" i="2"/>
  <c r="J3828" i="2"/>
  <c r="H3828" i="2"/>
  <c r="E3828" i="2"/>
  <c r="J3827" i="2"/>
  <c r="H3827" i="2"/>
  <c r="E3827" i="2"/>
  <c r="J3826" i="2"/>
  <c r="H3826" i="2"/>
  <c r="E3826" i="2"/>
  <c r="J3825" i="2"/>
  <c r="H3825" i="2"/>
  <c r="E3825" i="2"/>
  <c r="J3824" i="2"/>
  <c r="H3824" i="2"/>
  <c r="E3824" i="2"/>
  <c r="J3823" i="2"/>
  <c r="H3823" i="2"/>
  <c r="E3823" i="2"/>
  <c r="J3822" i="2"/>
  <c r="H3822" i="2"/>
  <c r="E3822" i="2"/>
  <c r="J3821" i="2"/>
  <c r="H3821" i="2"/>
  <c r="E3821" i="2"/>
  <c r="J3820" i="2"/>
  <c r="H3820" i="2"/>
  <c r="E3820" i="2"/>
  <c r="J3819" i="2"/>
  <c r="H3819" i="2"/>
  <c r="E3819" i="2"/>
  <c r="J3818" i="2"/>
  <c r="H3818" i="2"/>
  <c r="E3818" i="2"/>
  <c r="J3817" i="2"/>
  <c r="H3817" i="2"/>
  <c r="E3817" i="2"/>
  <c r="J3816" i="2"/>
  <c r="H3816" i="2"/>
  <c r="E3816" i="2"/>
  <c r="J3815" i="2"/>
  <c r="H3815" i="2"/>
  <c r="D3815" i="2"/>
  <c r="E3815" i="2" s="1"/>
  <c r="J3814" i="2"/>
  <c r="H3814" i="2"/>
  <c r="E3814" i="2"/>
  <c r="J3813" i="2"/>
  <c r="H3813" i="2"/>
  <c r="E3813" i="2"/>
  <c r="J3812" i="2"/>
  <c r="H3812" i="2"/>
  <c r="E3812" i="2"/>
  <c r="J3811" i="2"/>
  <c r="H3811" i="2"/>
  <c r="E3811" i="2"/>
  <c r="J3810" i="2"/>
  <c r="H3810" i="2"/>
  <c r="E3810" i="2"/>
  <c r="J3809" i="2"/>
  <c r="H3809" i="2"/>
  <c r="E3809" i="2"/>
  <c r="J3808" i="2"/>
  <c r="H3808" i="2"/>
  <c r="E3808" i="2"/>
  <c r="J3807" i="2"/>
  <c r="H3807" i="2"/>
  <c r="E3807" i="2"/>
  <c r="J3806" i="2"/>
  <c r="H3806" i="2"/>
  <c r="E3806" i="2"/>
  <c r="J3805" i="2"/>
  <c r="H3805" i="2"/>
  <c r="D3805" i="2"/>
  <c r="E3805" i="2" s="1"/>
  <c r="J3804" i="2"/>
  <c r="H3804" i="2"/>
  <c r="E3804" i="2"/>
  <c r="J3803" i="2"/>
  <c r="H3803" i="2"/>
  <c r="E3803" i="2"/>
  <c r="J3802" i="2"/>
  <c r="H3802" i="2"/>
  <c r="E3802" i="2"/>
  <c r="J3801" i="2"/>
  <c r="H3801" i="2"/>
  <c r="E3801" i="2"/>
  <c r="J3800" i="2"/>
  <c r="H3800" i="2"/>
  <c r="D3800" i="2"/>
  <c r="E3800" i="2" s="1"/>
  <c r="J3799" i="2"/>
  <c r="H3799" i="2"/>
  <c r="D3799" i="2"/>
  <c r="E3799" i="2" s="1"/>
  <c r="J3798" i="2"/>
  <c r="H3798" i="2"/>
  <c r="E3798" i="2"/>
  <c r="J3797" i="2"/>
  <c r="H3797" i="2"/>
  <c r="E3797" i="2"/>
  <c r="J3796" i="2"/>
  <c r="H3796" i="2"/>
  <c r="E3796" i="2"/>
  <c r="J3795" i="2"/>
  <c r="H3795" i="2"/>
  <c r="E3795" i="2"/>
  <c r="J3794" i="2"/>
  <c r="H3794" i="2"/>
  <c r="E3794" i="2"/>
  <c r="J3793" i="2"/>
  <c r="H3793" i="2"/>
  <c r="E3793" i="2"/>
  <c r="J3792" i="2"/>
  <c r="H3792" i="2"/>
  <c r="E3792" i="2"/>
  <c r="J3791" i="2"/>
  <c r="H3791" i="2"/>
  <c r="E3791" i="2"/>
  <c r="J3790" i="2"/>
  <c r="H3790" i="2"/>
  <c r="E3790" i="2"/>
  <c r="J3789" i="2"/>
  <c r="H3789" i="2"/>
  <c r="E3789" i="2"/>
  <c r="J3788" i="2"/>
  <c r="H3788" i="2"/>
  <c r="E3788" i="2"/>
  <c r="J3787" i="2"/>
  <c r="H3787" i="2"/>
  <c r="E3787" i="2"/>
  <c r="J3786" i="2"/>
  <c r="H3786" i="2"/>
  <c r="E3786" i="2"/>
  <c r="J3785" i="2"/>
  <c r="H3785" i="2"/>
  <c r="E3785" i="2"/>
  <c r="J3784" i="2"/>
  <c r="H3784" i="2"/>
  <c r="E3784" i="2"/>
  <c r="J3783" i="2"/>
  <c r="H3783" i="2"/>
  <c r="E3783" i="2"/>
  <c r="J3782" i="2"/>
  <c r="H3782" i="2"/>
  <c r="D3782" i="2"/>
  <c r="E3782" i="2" s="1"/>
  <c r="J3781" i="2"/>
  <c r="H3781" i="2"/>
  <c r="E3781" i="2"/>
  <c r="J3780" i="2"/>
  <c r="H3780" i="2"/>
  <c r="E3780" i="2"/>
  <c r="J3779" i="2"/>
  <c r="H3779" i="2"/>
  <c r="E3779" i="2"/>
  <c r="J3778" i="2"/>
  <c r="H3778" i="2"/>
  <c r="E3778" i="2"/>
  <c r="J3777" i="2"/>
  <c r="H3777" i="2"/>
  <c r="E3777" i="2"/>
  <c r="J3776" i="2"/>
  <c r="H3776" i="2"/>
  <c r="E3776" i="2"/>
  <c r="J3775" i="2"/>
  <c r="H3775" i="2"/>
  <c r="E3775" i="2"/>
  <c r="J3774" i="2"/>
  <c r="H3774" i="2"/>
  <c r="E3774" i="2"/>
  <c r="J3773" i="2"/>
  <c r="H3773" i="2"/>
  <c r="E3773" i="2"/>
  <c r="J3772" i="2"/>
  <c r="H3772" i="2"/>
  <c r="E3772" i="2"/>
  <c r="J3771" i="2"/>
  <c r="H3771" i="2"/>
  <c r="E3771" i="2"/>
  <c r="J3770" i="2"/>
  <c r="H3770" i="2"/>
  <c r="E3770" i="2"/>
  <c r="J3769" i="2"/>
  <c r="H3769" i="2"/>
  <c r="E3769" i="2"/>
  <c r="J3768" i="2"/>
  <c r="H3768" i="2"/>
  <c r="E3768" i="2"/>
  <c r="J3767" i="2"/>
  <c r="H3767" i="2"/>
  <c r="E3767" i="2"/>
  <c r="J3766" i="2"/>
  <c r="H3766" i="2"/>
  <c r="E3766" i="2"/>
  <c r="J3765" i="2"/>
  <c r="H3765" i="2"/>
  <c r="E3765" i="2"/>
  <c r="J3764" i="2"/>
  <c r="H3764" i="2"/>
  <c r="E3764" i="2"/>
  <c r="J3763" i="2"/>
  <c r="H3763" i="2"/>
  <c r="E3763" i="2"/>
  <c r="J3762" i="2"/>
  <c r="H3762" i="2"/>
  <c r="E3762" i="2"/>
  <c r="J3761" i="2"/>
  <c r="H3761" i="2"/>
  <c r="E3761" i="2"/>
  <c r="J3760" i="2"/>
  <c r="H3760" i="2"/>
  <c r="D3760" i="2"/>
  <c r="E3760" i="2" s="1"/>
  <c r="J3759" i="2"/>
  <c r="H3759" i="2"/>
  <c r="D3759" i="2"/>
  <c r="E3759" i="2" s="1"/>
  <c r="J3758" i="2"/>
  <c r="H3758" i="2"/>
  <c r="E3758" i="2"/>
  <c r="J3757" i="2"/>
  <c r="H3757" i="2"/>
  <c r="E3757" i="2"/>
  <c r="J3756" i="2"/>
  <c r="H3756" i="2"/>
  <c r="E3756" i="2"/>
  <c r="J3755" i="2"/>
  <c r="H3755" i="2"/>
  <c r="E3755" i="2"/>
  <c r="J3754" i="2"/>
  <c r="H3754" i="2"/>
  <c r="E3754" i="2"/>
  <c r="J3753" i="2"/>
  <c r="H3753" i="2"/>
  <c r="E3753" i="2"/>
  <c r="J3752" i="2"/>
  <c r="H3752" i="2"/>
  <c r="E3752" i="2"/>
  <c r="J3751" i="2"/>
  <c r="H3751" i="2"/>
  <c r="E3751" i="2"/>
  <c r="J3750" i="2"/>
  <c r="H3750" i="2"/>
  <c r="E3750" i="2"/>
  <c r="J3749" i="2"/>
  <c r="H3749" i="2"/>
  <c r="E3749" i="2"/>
  <c r="J3748" i="2"/>
  <c r="H3748" i="2"/>
  <c r="E3748" i="2"/>
  <c r="J3747" i="2"/>
  <c r="H3747" i="2"/>
  <c r="E3747" i="2"/>
  <c r="J3746" i="2"/>
  <c r="H3746" i="2"/>
  <c r="E3746" i="2"/>
  <c r="J3745" i="2"/>
  <c r="H3745" i="2"/>
  <c r="E3745" i="2"/>
  <c r="J3744" i="2"/>
  <c r="H3744" i="2"/>
  <c r="E3744" i="2"/>
  <c r="J3743" i="2"/>
  <c r="H3743" i="2"/>
  <c r="E3743" i="2"/>
  <c r="J3742" i="2"/>
  <c r="H3742" i="2"/>
  <c r="E3742" i="2"/>
  <c r="J3741" i="2"/>
  <c r="H3741" i="2"/>
  <c r="E3741" i="2"/>
  <c r="J3740" i="2"/>
  <c r="H3740" i="2"/>
  <c r="E3740" i="2"/>
  <c r="J3739" i="2"/>
  <c r="H3739" i="2"/>
  <c r="E3739" i="2"/>
  <c r="J3738" i="2"/>
  <c r="H3738" i="2"/>
  <c r="D3738" i="2"/>
  <c r="E3738" i="2" s="1"/>
  <c r="J3737" i="2"/>
  <c r="H3737" i="2"/>
  <c r="E3737" i="2"/>
  <c r="J3736" i="2"/>
  <c r="H3736" i="2"/>
  <c r="D3736" i="2"/>
  <c r="E3736" i="2" s="1"/>
  <c r="J3735" i="2"/>
  <c r="H3735" i="2"/>
  <c r="E3735" i="2"/>
  <c r="J3734" i="2"/>
  <c r="H3734" i="2"/>
  <c r="E3734" i="2"/>
  <c r="J3733" i="2"/>
  <c r="H3733" i="2"/>
  <c r="E3733" i="2"/>
  <c r="J3732" i="2"/>
  <c r="H3732" i="2"/>
  <c r="E3732" i="2"/>
  <c r="J3731" i="2"/>
  <c r="H3731" i="2"/>
  <c r="E3731" i="2"/>
  <c r="J3730" i="2"/>
  <c r="H3730" i="2"/>
  <c r="E3730" i="2"/>
  <c r="J3729" i="2"/>
  <c r="H3729" i="2"/>
  <c r="E3729" i="2"/>
  <c r="J3728" i="2"/>
  <c r="H3728" i="2"/>
  <c r="E3728" i="2"/>
  <c r="J3727" i="2"/>
  <c r="H3727" i="2"/>
  <c r="E3727" i="2"/>
  <c r="J3726" i="2"/>
  <c r="H3726" i="2"/>
  <c r="E3726" i="2"/>
  <c r="J3725" i="2"/>
  <c r="H3725" i="2"/>
  <c r="E3725" i="2"/>
  <c r="J3724" i="2"/>
  <c r="H3724" i="2"/>
  <c r="E3724" i="2"/>
  <c r="J3723" i="2"/>
  <c r="H3723" i="2"/>
  <c r="E3723" i="2"/>
  <c r="J3722" i="2"/>
  <c r="H3722" i="2"/>
  <c r="E3722" i="2"/>
  <c r="J3721" i="2"/>
  <c r="H3721" i="2"/>
  <c r="E3721" i="2"/>
  <c r="J3720" i="2"/>
  <c r="H3720" i="2"/>
  <c r="E3720" i="2"/>
  <c r="J3719" i="2"/>
  <c r="H3719" i="2"/>
  <c r="E3719" i="2"/>
  <c r="J3718" i="2"/>
  <c r="H3718" i="2"/>
  <c r="E3718" i="2"/>
  <c r="J3717" i="2"/>
  <c r="H3717" i="2"/>
  <c r="E3717" i="2"/>
  <c r="J3716" i="2"/>
  <c r="H3716" i="2"/>
  <c r="E3716" i="2"/>
  <c r="J3715" i="2"/>
  <c r="H3715" i="2"/>
  <c r="E3715" i="2"/>
  <c r="J3714" i="2"/>
  <c r="H3714" i="2"/>
  <c r="E3714" i="2"/>
  <c r="J3713" i="2"/>
  <c r="H3713" i="2"/>
  <c r="E3713" i="2"/>
  <c r="J3712" i="2"/>
  <c r="H3712" i="2"/>
  <c r="E3712" i="2"/>
  <c r="J3711" i="2"/>
  <c r="H3711" i="2"/>
  <c r="E3711" i="2"/>
  <c r="J3710" i="2"/>
  <c r="H3710" i="2"/>
  <c r="E3710" i="2"/>
  <c r="J3709" i="2"/>
  <c r="H3709" i="2"/>
  <c r="E3709" i="2"/>
  <c r="J3708" i="2"/>
  <c r="H3708" i="2"/>
  <c r="E3708" i="2"/>
  <c r="J3707" i="2"/>
  <c r="H3707" i="2"/>
  <c r="E3707" i="2"/>
  <c r="J3706" i="2"/>
  <c r="H3706" i="2"/>
  <c r="E3706" i="2"/>
  <c r="J3705" i="2"/>
  <c r="H3705" i="2"/>
  <c r="E3705" i="2"/>
  <c r="J3704" i="2"/>
  <c r="H3704" i="2"/>
  <c r="E3704" i="2"/>
  <c r="J3703" i="2"/>
  <c r="H3703" i="2"/>
  <c r="E3703" i="2"/>
  <c r="J3702" i="2"/>
  <c r="H3702" i="2"/>
  <c r="E3702" i="2"/>
  <c r="J3701" i="2"/>
  <c r="H3701" i="2"/>
  <c r="E3701" i="2"/>
  <c r="J3700" i="2"/>
  <c r="H3700" i="2"/>
  <c r="E3700" i="2"/>
  <c r="J3699" i="2"/>
  <c r="H3699" i="2"/>
  <c r="E3699" i="2"/>
  <c r="J3698" i="2"/>
  <c r="H3698" i="2"/>
  <c r="E3698" i="2"/>
  <c r="J3697" i="2"/>
  <c r="H3697" i="2"/>
  <c r="E3697" i="2"/>
  <c r="J3696" i="2"/>
  <c r="H3696" i="2"/>
  <c r="E3696" i="2"/>
  <c r="J3695" i="2"/>
  <c r="H3695" i="2"/>
  <c r="E3695" i="2"/>
  <c r="J3694" i="2"/>
  <c r="H3694" i="2"/>
  <c r="E3694" i="2"/>
  <c r="J3693" i="2"/>
  <c r="H3693" i="2"/>
  <c r="E3693" i="2"/>
  <c r="J3692" i="2"/>
  <c r="H3692" i="2"/>
  <c r="E3692" i="2"/>
  <c r="J3691" i="2"/>
  <c r="H3691" i="2"/>
  <c r="E3691" i="2"/>
  <c r="J3690" i="2"/>
  <c r="H3690" i="2"/>
  <c r="E3690" i="2"/>
  <c r="J3689" i="2"/>
  <c r="H3689" i="2"/>
  <c r="D3689" i="2"/>
  <c r="E3689" i="2" s="1"/>
  <c r="J3688" i="2"/>
  <c r="H3688" i="2"/>
  <c r="E3688" i="2"/>
  <c r="J3687" i="2"/>
  <c r="H3687" i="2"/>
  <c r="E3687" i="2"/>
  <c r="J3686" i="2"/>
  <c r="H3686" i="2"/>
  <c r="E3686" i="2"/>
  <c r="J3685" i="2"/>
  <c r="H3685" i="2"/>
  <c r="E3685" i="2"/>
  <c r="J3684" i="2"/>
  <c r="H3684" i="2"/>
  <c r="E3684" i="2"/>
  <c r="J3683" i="2"/>
  <c r="H3683" i="2"/>
  <c r="E3683" i="2"/>
  <c r="J3682" i="2"/>
  <c r="H3682" i="2"/>
  <c r="E3682" i="2"/>
  <c r="J3681" i="2"/>
  <c r="H3681" i="2"/>
  <c r="E3681" i="2"/>
  <c r="J3680" i="2"/>
  <c r="H3680" i="2"/>
  <c r="E3680" i="2"/>
  <c r="J3679" i="2"/>
  <c r="H3679" i="2"/>
  <c r="E3679" i="2"/>
  <c r="J3678" i="2"/>
  <c r="H3678" i="2"/>
  <c r="E3678" i="2"/>
  <c r="J3677" i="2"/>
  <c r="H3677" i="2"/>
  <c r="E3677" i="2"/>
  <c r="J3676" i="2"/>
  <c r="H3676" i="2"/>
  <c r="E3676" i="2"/>
  <c r="J3675" i="2"/>
  <c r="H3675" i="2"/>
  <c r="E3675" i="2"/>
  <c r="J3674" i="2"/>
  <c r="H3674" i="2"/>
  <c r="D3674" i="2"/>
  <c r="E3674" i="2" s="1"/>
  <c r="J3673" i="2"/>
  <c r="H3673" i="2"/>
  <c r="E3673" i="2"/>
  <c r="J3672" i="2"/>
  <c r="H3672" i="2"/>
  <c r="E3672" i="2"/>
  <c r="J3671" i="2"/>
  <c r="H3671" i="2"/>
  <c r="E3671" i="2"/>
  <c r="J3670" i="2"/>
  <c r="H3670" i="2"/>
  <c r="E3670" i="2"/>
  <c r="J3669" i="2"/>
  <c r="H3669" i="2"/>
  <c r="E3669" i="2"/>
  <c r="J3668" i="2"/>
  <c r="H3668" i="2"/>
  <c r="D3668" i="2"/>
  <c r="E3668" i="2" s="1"/>
  <c r="J3667" i="2"/>
  <c r="H3667" i="2"/>
  <c r="E3667" i="2"/>
  <c r="J3666" i="2"/>
  <c r="H3666" i="2"/>
  <c r="E3666" i="2"/>
  <c r="J3665" i="2"/>
  <c r="H3665" i="2"/>
  <c r="E3665" i="2"/>
  <c r="J3664" i="2"/>
  <c r="H3664" i="2"/>
  <c r="E3664" i="2"/>
  <c r="J3663" i="2"/>
  <c r="H3663" i="2"/>
  <c r="E3663" i="2"/>
  <c r="J3662" i="2"/>
  <c r="H3662" i="2"/>
  <c r="E3662" i="2"/>
  <c r="J3661" i="2"/>
  <c r="H3661" i="2"/>
  <c r="E3661" i="2"/>
  <c r="J3660" i="2"/>
  <c r="H3660" i="2"/>
  <c r="E3660" i="2"/>
  <c r="J3659" i="2"/>
  <c r="H3659" i="2"/>
  <c r="E3659" i="2"/>
  <c r="J3658" i="2"/>
  <c r="H3658" i="2"/>
  <c r="D3658" i="2"/>
  <c r="E3658" i="2" s="1"/>
  <c r="J3657" i="2"/>
  <c r="H3657" i="2"/>
  <c r="E3657" i="2"/>
  <c r="J3656" i="2"/>
  <c r="H3656" i="2"/>
  <c r="E3656" i="2"/>
  <c r="J3655" i="2"/>
  <c r="H3655" i="2"/>
  <c r="E3655" i="2"/>
  <c r="J3654" i="2"/>
  <c r="H3654" i="2"/>
  <c r="E3654" i="2"/>
  <c r="J3653" i="2"/>
  <c r="H3653" i="2"/>
  <c r="E3653" i="2"/>
  <c r="J3652" i="2"/>
  <c r="H3652" i="2"/>
  <c r="E3652" i="2"/>
  <c r="J3651" i="2"/>
  <c r="H3651" i="2"/>
  <c r="E3651" i="2"/>
  <c r="J3650" i="2"/>
  <c r="H3650" i="2"/>
  <c r="D3650" i="2"/>
  <c r="E3650" i="2" s="1"/>
  <c r="J3649" i="2"/>
  <c r="H3649" i="2"/>
  <c r="E3649" i="2"/>
  <c r="J3648" i="2"/>
  <c r="H3648" i="2"/>
  <c r="E3648" i="2"/>
  <c r="J3647" i="2"/>
  <c r="H3647" i="2"/>
  <c r="E3647" i="2"/>
  <c r="J3646" i="2"/>
  <c r="H3646" i="2"/>
  <c r="E3646" i="2"/>
  <c r="J3645" i="2"/>
  <c r="H3645" i="2"/>
  <c r="E3645" i="2"/>
  <c r="J3644" i="2"/>
  <c r="H3644" i="2"/>
  <c r="E3644" i="2"/>
  <c r="J3643" i="2"/>
  <c r="H3643" i="2"/>
  <c r="E3643" i="2"/>
  <c r="J3642" i="2"/>
  <c r="H3642" i="2"/>
  <c r="E3642" i="2"/>
  <c r="J3641" i="2"/>
  <c r="H3641" i="2"/>
  <c r="E3641" i="2"/>
  <c r="J3640" i="2"/>
  <c r="H3640" i="2"/>
  <c r="E3640" i="2"/>
  <c r="J3639" i="2"/>
  <c r="H3639" i="2"/>
  <c r="E3639" i="2"/>
  <c r="J3638" i="2"/>
  <c r="H3638" i="2"/>
  <c r="E3638" i="2"/>
  <c r="J3637" i="2"/>
  <c r="H3637" i="2"/>
  <c r="E3637" i="2"/>
  <c r="J3636" i="2"/>
  <c r="H3636" i="2"/>
  <c r="E3636" i="2"/>
  <c r="J3635" i="2"/>
  <c r="H3635" i="2"/>
  <c r="E3635" i="2"/>
  <c r="J3634" i="2"/>
  <c r="H3634" i="2"/>
  <c r="E3634" i="2"/>
  <c r="J3633" i="2"/>
  <c r="H3633" i="2"/>
  <c r="E3633" i="2"/>
  <c r="J3632" i="2"/>
  <c r="H3632" i="2"/>
  <c r="E3632" i="2"/>
  <c r="D3632" i="2"/>
  <c r="J3631" i="2"/>
  <c r="H3631" i="2"/>
  <c r="E3631" i="2"/>
  <c r="J3630" i="2"/>
  <c r="H3630" i="2"/>
  <c r="D3630" i="2"/>
  <c r="E3630" i="2" s="1"/>
  <c r="J3629" i="2"/>
  <c r="H3629" i="2"/>
  <c r="E3629" i="2"/>
  <c r="J3628" i="2"/>
  <c r="H3628" i="2"/>
  <c r="E3628" i="2"/>
  <c r="J3627" i="2"/>
  <c r="H3627" i="2"/>
  <c r="E3627" i="2"/>
  <c r="J3626" i="2"/>
  <c r="H3626" i="2"/>
  <c r="E3626" i="2"/>
  <c r="J3625" i="2"/>
  <c r="H3625" i="2"/>
  <c r="D3625" i="2"/>
  <c r="E3625" i="2" s="1"/>
  <c r="J3624" i="2"/>
  <c r="H3624" i="2"/>
  <c r="E3624" i="2"/>
  <c r="J3623" i="2"/>
  <c r="H3623" i="2"/>
  <c r="E3623" i="2"/>
  <c r="J3622" i="2"/>
  <c r="H3622" i="2"/>
  <c r="E3622" i="2"/>
  <c r="J3621" i="2"/>
  <c r="H3621" i="2"/>
  <c r="E3621" i="2"/>
  <c r="J3620" i="2"/>
  <c r="H3620" i="2"/>
  <c r="E3620" i="2"/>
  <c r="J3619" i="2"/>
  <c r="H3619" i="2"/>
  <c r="E3619" i="2"/>
  <c r="J3618" i="2"/>
  <c r="H3618" i="2"/>
  <c r="E3618" i="2"/>
  <c r="J3617" i="2"/>
  <c r="H3617" i="2"/>
  <c r="E3617" i="2"/>
  <c r="J3616" i="2"/>
  <c r="H3616" i="2"/>
  <c r="E3616" i="2"/>
  <c r="J3615" i="2"/>
  <c r="H3615" i="2"/>
  <c r="D3615" i="2"/>
  <c r="E3615" i="2" s="1"/>
  <c r="J3614" i="2"/>
  <c r="H3614" i="2"/>
  <c r="D3614" i="2"/>
  <c r="E3614" i="2" s="1"/>
  <c r="J3613" i="2"/>
  <c r="H3613" i="2"/>
  <c r="E3613" i="2"/>
  <c r="J3612" i="2"/>
  <c r="H3612" i="2"/>
  <c r="D3612" i="2"/>
  <c r="E3612" i="2" s="1"/>
  <c r="J3611" i="2"/>
  <c r="H3611" i="2"/>
  <c r="E3611" i="2"/>
  <c r="J3610" i="2"/>
  <c r="H3610" i="2"/>
  <c r="E3610" i="2"/>
  <c r="J3609" i="2"/>
  <c r="H3609" i="2"/>
  <c r="E3609" i="2"/>
  <c r="J3608" i="2"/>
  <c r="H3608" i="2"/>
  <c r="E3608" i="2"/>
  <c r="J3607" i="2"/>
  <c r="H3607" i="2"/>
  <c r="E3607" i="2"/>
  <c r="J3606" i="2"/>
  <c r="H3606" i="2"/>
  <c r="E3606" i="2"/>
  <c r="J3605" i="2"/>
  <c r="H3605" i="2"/>
  <c r="D3605" i="2"/>
  <c r="E3605" i="2" s="1"/>
  <c r="J3604" i="2"/>
  <c r="H3604" i="2"/>
  <c r="E3604" i="2"/>
  <c r="J3603" i="2"/>
  <c r="H3603" i="2"/>
  <c r="E3603" i="2"/>
  <c r="J3602" i="2"/>
  <c r="H3602" i="2"/>
  <c r="E3602" i="2"/>
  <c r="J3601" i="2"/>
  <c r="H3601" i="2"/>
  <c r="E3601" i="2"/>
  <c r="J3600" i="2"/>
  <c r="H3600" i="2"/>
  <c r="E3600" i="2"/>
  <c r="J3599" i="2"/>
  <c r="H3599" i="2"/>
  <c r="E3599" i="2"/>
  <c r="J3598" i="2"/>
  <c r="H3598" i="2"/>
  <c r="E3598" i="2"/>
  <c r="J3597" i="2"/>
  <c r="H3597" i="2"/>
  <c r="E3597" i="2"/>
  <c r="J3596" i="2"/>
  <c r="H3596" i="2"/>
  <c r="E3596" i="2"/>
  <c r="J3595" i="2"/>
  <c r="H3595" i="2"/>
  <c r="E3595" i="2"/>
  <c r="J3594" i="2"/>
  <c r="H3594" i="2"/>
  <c r="E3594" i="2"/>
  <c r="J3593" i="2"/>
  <c r="H3593" i="2"/>
  <c r="E3593" i="2"/>
  <c r="J3592" i="2"/>
  <c r="H3592" i="2"/>
  <c r="E3592" i="2"/>
  <c r="J3591" i="2"/>
  <c r="H3591" i="2"/>
  <c r="E3591" i="2"/>
  <c r="J3590" i="2"/>
  <c r="H3590" i="2"/>
  <c r="E3590" i="2"/>
  <c r="J3589" i="2"/>
  <c r="H3589" i="2"/>
  <c r="E3589" i="2"/>
  <c r="J3588" i="2"/>
  <c r="H3588" i="2"/>
  <c r="E3588" i="2"/>
  <c r="J3587" i="2"/>
  <c r="H3587" i="2"/>
  <c r="E3587" i="2"/>
  <c r="J3586" i="2"/>
  <c r="H3586" i="2"/>
  <c r="E3586" i="2"/>
  <c r="J3585" i="2"/>
  <c r="H3585" i="2"/>
  <c r="E3585" i="2"/>
  <c r="J3584" i="2"/>
  <c r="H3584" i="2"/>
  <c r="E3584" i="2"/>
  <c r="J3583" i="2"/>
  <c r="H3583" i="2"/>
  <c r="E3583" i="2"/>
  <c r="J3582" i="2"/>
  <c r="H3582" i="2"/>
  <c r="E3582" i="2"/>
  <c r="J3581" i="2"/>
  <c r="H3581" i="2"/>
  <c r="E3581" i="2"/>
  <c r="J3580" i="2"/>
  <c r="H3580" i="2"/>
  <c r="E3580" i="2"/>
  <c r="J3579" i="2"/>
  <c r="H3579" i="2"/>
  <c r="E3579" i="2"/>
  <c r="J3578" i="2"/>
  <c r="H3578" i="2"/>
  <c r="E3578" i="2"/>
  <c r="J3577" i="2"/>
  <c r="H3577" i="2"/>
  <c r="E3577" i="2"/>
  <c r="J3576" i="2"/>
  <c r="H3576" i="2"/>
  <c r="E3576" i="2"/>
  <c r="J3575" i="2"/>
  <c r="H3575" i="2"/>
  <c r="E3575" i="2"/>
  <c r="J3574" i="2"/>
  <c r="H3574" i="2"/>
  <c r="E3574" i="2"/>
  <c r="J3573" i="2"/>
  <c r="H3573" i="2"/>
  <c r="E3573" i="2"/>
  <c r="J3572" i="2"/>
  <c r="H3572" i="2"/>
  <c r="E3572" i="2"/>
  <c r="J3571" i="2"/>
  <c r="H3571" i="2"/>
  <c r="E3571" i="2"/>
  <c r="J3570" i="2"/>
  <c r="H3570" i="2"/>
  <c r="E3570" i="2"/>
  <c r="J3569" i="2"/>
  <c r="H3569" i="2"/>
  <c r="E3569" i="2"/>
  <c r="J3568" i="2"/>
  <c r="H3568" i="2"/>
  <c r="E3568" i="2"/>
  <c r="J3567" i="2"/>
  <c r="H3567" i="2"/>
  <c r="E3567" i="2"/>
  <c r="J3566" i="2"/>
  <c r="H3566" i="2"/>
  <c r="E3566" i="2"/>
  <c r="J3565" i="2"/>
  <c r="H3565" i="2"/>
  <c r="E3565" i="2"/>
  <c r="J3564" i="2"/>
  <c r="H3564" i="2"/>
  <c r="E3564" i="2"/>
  <c r="J3563" i="2"/>
  <c r="H3563" i="2"/>
  <c r="E3563" i="2"/>
  <c r="J3562" i="2"/>
  <c r="H3562" i="2"/>
  <c r="E3562" i="2"/>
  <c r="J3561" i="2"/>
  <c r="H3561" i="2"/>
  <c r="E3561" i="2"/>
  <c r="J3560" i="2"/>
  <c r="H3560" i="2"/>
  <c r="E3560" i="2"/>
  <c r="J3559" i="2"/>
  <c r="H3559" i="2"/>
  <c r="E3559" i="2"/>
  <c r="J3558" i="2"/>
  <c r="H3558" i="2"/>
  <c r="E3558" i="2"/>
  <c r="J3557" i="2"/>
  <c r="H3557" i="2"/>
  <c r="E3557" i="2"/>
  <c r="J3556" i="2"/>
  <c r="H3556" i="2"/>
  <c r="E3556" i="2"/>
  <c r="J3555" i="2"/>
  <c r="H3555" i="2"/>
  <c r="E3555" i="2"/>
  <c r="J3554" i="2"/>
  <c r="H3554" i="2"/>
  <c r="E3554" i="2"/>
  <c r="J3553" i="2"/>
  <c r="H3553" i="2"/>
  <c r="E3553" i="2"/>
  <c r="J3552" i="2"/>
  <c r="H3552" i="2"/>
  <c r="E3552" i="2"/>
  <c r="J3551" i="2"/>
  <c r="H3551" i="2"/>
  <c r="E3551" i="2"/>
  <c r="J3550" i="2"/>
  <c r="H3550" i="2"/>
  <c r="E3550" i="2"/>
  <c r="J3549" i="2"/>
  <c r="H3549" i="2"/>
  <c r="E3549" i="2"/>
  <c r="J3548" i="2"/>
  <c r="H3548" i="2"/>
  <c r="E3548" i="2"/>
  <c r="J3547" i="2"/>
  <c r="H3547" i="2"/>
  <c r="E3547" i="2"/>
  <c r="J3546" i="2"/>
  <c r="H3546" i="2"/>
  <c r="E3546" i="2"/>
  <c r="J3545" i="2"/>
  <c r="H3545" i="2"/>
  <c r="E3545" i="2"/>
  <c r="J3544" i="2"/>
  <c r="H3544" i="2"/>
  <c r="E3544" i="2"/>
  <c r="J3543" i="2"/>
  <c r="H3543" i="2"/>
  <c r="E3543" i="2"/>
  <c r="J3542" i="2"/>
  <c r="H3542" i="2"/>
  <c r="E3542" i="2"/>
  <c r="J3541" i="2"/>
  <c r="H3541" i="2"/>
  <c r="E3541" i="2"/>
  <c r="J3540" i="2"/>
  <c r="H3540" i="2"/>
  <c r="E3540" i="2"/>
  <c r="J3539" i="2"/>
  <c r="H3539" i="2"/>
  <c r="E3539" i="2"/>
  <c r="J3538" i="2"/>
  <c r="H3538" i="2"/>
  <c r="E3538" i="2"/>
  <c r="J3537" i="2"/>
  <c r="H3537" i="2"/>
  <c r="E3537" i="2"/>
  <c r="J3536" i="2"/>
  <c r="H3536" i="2"/>
  <c r="E3536" i="2"/>
  <c r="J3535" i="2"/>
  <c r="H3535" i="2"/>
  <c r="E3535" i="2"/>
  <c r="J3534" i="2"/>
  <c r="H3534" i="2"/>
  <c r="E3534" i="2"/>
  <c r="J3533" i="2"/>
  <c r="H3533" i="2"/>
  <c r="E3533" i="2"/>
  <c r="J3532" i="2"/>
  <c r="H3532" i="2"/>
  <c r="E3532" i="2"/>
  <c r="J3531" i="2"/>
  <c r="H3531" i="2"/>
  <c r="E3531" i="2"/>
  <c r="J3530" i="2"/>
  <c r="H3530" i="2"/>
  <c r="E3530" i="2"/>
  <c r="J3529" i="2"/>
  <c r="H3529" i="2"/>
  <c r="E3529" i="2"/>
  <c r="J3528" i="2"/>
  <c r="H3528" i="2"/>
  <c r="E3528" i="2"/>
  <c r="J3527" i="2"/>
  <c r="H3527" i="2"/>
  <c r="E3527" i="2"/>
  <c r="J3526" i="2"/>
  <c r="H3526" i="2"/>
  <c r="E3526" i="2"/>
  <c r="J3525" i="2"/>
  <c r="H3525" i="2"/>
  <c r="E3525" i="2"/>
  <c r="J3524" i="2"/>
  <c r="H3524" i="2"/>
  <c r="E3524" i="2"/>
  <c r="J3523" i="2"/>
  <c r="H3523" i="2"/>
  <c r="E3523" i="2"/>
  <c r="J3522" i="2"/>
  <c r="H3522" i="2"/>
  <c r="E3522" i="2"/>
  <c r="J3521" i="2"/>
  <c r="H3521" i="2"/>
  <c r="E3521" i="2"/>
  <c r="J3520" i="2"/>
  <c r="H3520" i="2"/>
  <c r="E3520" i="2"/>
  <c r="J3519" i="2"/>
  <c r="H3519" i="2"/>
  <c r="E3519" i="2"/>
  <c r="J3518" i="2"/>
  <c r="H3518" i="2"/>
  <c r="E3518" i="2"/>
  <c r="J3517" i="2"/>
  <c r="H3517" i="2"/>
  <c r="E3517" i="2"/>
  <c r="J3516" i="2"/>
  <c r="H3516" i="2"/>
  <c r="E3516" i="2"/>
  <c r="J3515" i="2"/>
  <c r="H3515" i="2"/>
  <c r="E3515" i="2"/>
  <c r="J3514" i="2"/>
  <c r="H3514" i="2"/>
  <c r="E3514" i="2"/>
  <c r="J3513" i="2"/>
  <c r="H3513" i="2"/>
  <c r="E3513" i="2"/>
  <c r="J3512" i="2"/>
  <c r="H3512" i="2"/>
  <c r="E3512" i="2"/>
  <c r="J3511" i="2"/>
  <c r="H3511" i="2"/>
  <c r="E3511" i="2"/>
  <c r="J3510" i="2"/>
  <c r="H3510" i="2"/>
  <c r="E3510" i="2"/>
  <c r="J3509" i="2"/>
  <c r="H3509" i="2"/>
  <c r="E3509" i="2"/>
  <c r="J3508" i="2"/>
  <c r="H3508" i="2"/>
  <c r="E3508" i="2"/>
  <c r="J3507" i="2"/>
  <c r="H3507" i="2"/>
  <c r="E3507" i="2"/>
  <c r="J3506" i="2"/>
  <c r="H3506" i="2"/>
  <c r="E3506" i="2"/>
  <c r="J3505" i="2"/>
  <c r="H3505" i="2"/>
  <c r="E3505" i="2"/>
  <c r="J3504" i="2"/>
  <c r="H3504" i="2"/>
  <c r="D3504" i="2"/>
  <c r="E3504" i="2" s="1"/>
  <c r="J3503" i="2"/>
  <c r="H3503" i="2"/>
  <c r="E3503" i="2"/>
  <c r="J3502" i="2"/>
  <c r="H3502" i="2"/>
  <c r="E3502" i="2"/>
  <c r="J3501" i="2"/>
  <c r="H3501" i="2"/>
  <c r="E3501" i="2"/>
  <c r="J3500" i="2"/>
  <c r="H3500" i="2"/>
  <c r="E3500" i="2"/>
  <c r="J3499" i="2"/>
  <c r="H3499" i="2"/>
  <c r="E3499" i="2"/>
  <c r="J3498" i="2"/>
  <c r="H3498" i="2"/>
  <c r="E3498" i="2"/>
  <c r="J3497" i="2"/>
  <c r="H3497" i="2"/>
  <c r="E3497" i="2"/>
  <c r="J3496" i="2"/>
  <c r="H3496" i="2"/>
  <c r="E3496" i="2"/>
  <c r="J3495" i="2"/>
  <c r="H3495" i="2"/>
  <c r="E3495" i="2"/>
  <c r="J3494" i="2"/>
  <c r="H3494" i="2"/>
  <c r="E3494" i="2"/>
  <c r="J3493" i="2"/>
  <c r="H3493" i="2"/>
  <c r="E3493" i="2"/>
  <c r="J3492" i="2"/>
  <c r="H3492" i="2"/>
  <c r="E3492" i="2"/>
  <c r="J3491" i="2"/>
  <c r="H3491" i="2"/>
  <c r="E3491" i="2"/>
  <c r="J3490" i="2"/>
  <c r="H3490" i="2"/>
  <c r="E3490" i="2"/>
  <c r="J3489" i="2"/>
  <c r="H3489" i="2"/>
  <c r="E3489" i="2"/>
  <c r="J3488" i="2"/>
  <c r="H3488" i="2"/>
  <c r="E3488" i="2"/>
  <c r="J3487" i="2"/>
  <c r="H3487" i="2"/>
  <c r="E3487" i="2"/>
  <c r="J3486" i="2"/>
  <c r="H3486" i="2"/>
  <c r="E3486" i="2"/>
  <c r="J3485" i="2"/>
  <c r="H3485" i="2"/>
  <c r="E3485" i="2"/>
  <c r="J3484" i="2"/>
  <c r="H3484" i="2"/>
  <c r="E3484" i="2"/>
  <c r="J3483" i="2"/>
  <c r="H3483" i="2"/>
  <c r="E3483" i="2"/>
  <c r="J3482" i="2"/>
  <c r="H3482" i="2"/>
  <c r="D3482" i="2"/>
  <c r="E3482" i="2" s="1"/>
  <c r="J3481" i="2"/>
  <c r="H3481" i="2"/>
  <c r="E3481" i="2"/>
  <c r="J3480" i="2"/>
  <c r="H3480" i="2"/>
  <c r="E3480" i="2"/>
  <c r="J3479" i="2"/>
  <c r="H3479" i="2"/>
  <c r="E3479" i="2"/>
  <c r="J3478" i="2"/>
  <c r="H3478" i="2"/>
  <c r="E3478" i="2"/>
  <c r="J411" i="1"/>
  <c r="E411" i="1"/>
  <c r="E1219" i="1" l="1"/>
  <c r="E3444" i="2"/>
  <c r="H3444" i="2"/>
  <c r="J3444" i="2"/>
  <c r="E3435" i="2" l="1"/>
  <c r="H3435" i="2"/>
  <c r="J3435" i="2"/>
  <c r="E3356" i="2" l="1"/>
  <c r="H3356" i="2"/>
  <c r="J3356" i="2"/>
  <c r="E3278" i="2" l="1"/>
  <c r="H3278" i="2"/>
  <c r="J3278" i="2"/>
  <c r="E3231" i="2" l="1"/>
  <c r="H3231" i="2"/>
  <c r="J3231" i="2"/>
  <c r="D1219" i="1" l="1"/>
  <c r="C1220" i="1" s="1"/>
  <c r="J2672" i="2" l="1"/>
  <c r="H2672" i="2"/>
  <c r="E2672" i="2"/>
  <c r="J2625" i="2" l="1"/>
  <c r="H2625" i="2"/>
  <c r="E2625" i="2"/>
  <c r="J2624" i="2"/>
  <c r="H2624" i="2"/>
  <c r="E2624" i="2"/>
  <c r="J2623" i="2"/>
  <c r="H2623" i="2"/>
  <c r="E2623" i="2"/>
  <c r="J2622" i="2"/>
  <c r="H2622" i="2"/>
  <c r="E2622" i="2"/>
  <c r="J2621" i="2"/>
  <c r="H2621" i="2"/>
  <c r="E2621" i="2"/>
  <c r="J2620" i="2"/>
  <c r="H2620" i="2"/>
  <c r="E2620" i="2"/>
  <c r="J2619" i="2"/>
  <c r="H2619" i="2"/>
  <c r="E2619" i="2"/>
  <c r="J2618" i="2"/>
  <c r="H2618" i="2"/>
  <c r="E2618" i="2"/>
  <c r="J2617" i="2"/>
  <c r="H2617" i="2"/>
  <c r="E2617" i="2"/>
  <c r="J2616" i="2"/>
  <c r="H2616" i="2"/>
  <c r="E2616" i="2"/>
  <c r="J2615" i="2"/>
  <c r="H2615" i="2"/>
  <c r="E2615" i="2"/>
  <c r="J2614" i="2"/>
  <c r="H2614" i="2"/>
  <c r="E2614" i="2"/>
  <c r="J2613" i="2"/>
  <c r="H2613" i="2"/>
  <c r="E2613" i="2"/>
  <c r="J2612" i="2"/>
  <c r="H2612" i="2"/>
  <c r="E2612" i="2"/>
  <c r="J2611" i="2"/>
  <c r="H2611" i="2"/>
  <c r="E2611" i="2"/>
  <c r="J2610" i="2"/>
  <c r="H2610" i="2"/>
  <c r="E2610" i="2"/>
  <c r="J2609" i="2"/>
  <c r="H2609" i="2"/>
  <c r="E2609" i="2"/>
  <c r="J2608" i="2"/>
  <c r="H2608" i="2"/>
  <c r="E2608" i="2"/>
  <c r="J2607" i="2"/>
  <c r="H2607" i="2"/>
  <c r="E2607" i="2"/>
  <c r="J2606" i="2"/>
  <c r="H2606" i="2"/>
  <c r="E2606" i="2"/>
  <c r="J2605" i="2"/>
  <c r="H2605" i="2"/>
  <c r="E2605" i="2"/>
  <c r="J2604" i="2"/>
  <c r="H2604" i="2"/>
  <c r="E2604" i="2"/>
  <c r="J2603" i="2"/>
  <c r="H2603" i="2"/>
  <c r="E2603" i="2"/>
  <c r="J2602" i="2"/>
  <c r="H2602" i="2"/>
  <c r="E2602" i="2"/>
  <c r="J2601" i="2"/>
  <c r="H2601" i="2"/>
  <c r="D2601" i="2"/>
  <c r="E2601" i="2" s="1"/>
  <c r="J2600" i="2"/>
  <c r="H2600" i="2"/>
  <c r="E2600" i="2"/>
  <c r="J2599" i="2"/>
  <c r="H2599" i="2"/>
  <c r="E2599" i="2"/>
  <c r="J2598" i="2"/>
  <c r="H2598" i="2"/>
  <c r="E2598" i="2"/>
  <c r="J2597" i="2"/>
  <c r="H2597" i="2"/>
  <c r="E2597" i="2"/>
  <c r="J2596" i="2"/>
  <c r="H2596" i="2"/>
  <c r="E2596" i="2"/>
  <c r="J2595" i="2"/>
  <c r="H2595" i="2"/>
  <c r="E2595" i="2"/>
  <c r="J2594" i="2"/>
  <c r="H2594" i="2"/>
  <c r="E2594" i="2"/>
  <c r="J2593" i="2"/>
  <c r="H2593" i="2"/>
  <c r="E2593" i="2"/>
  <c r="J2592" i="2"/>
  <c r="H2592" i="2"/>
  <c r="E2592" i="2"/>
  <c r="J2591" i="2"/>
  <c r="H2591" i="2"/>
  <c r="E2591" i="2"/>
  <c r="J2590" i="2"/>
  <c r="H2590" i="2"/>
  <c r="E2590" i="2"/>
  <c r="J2589" i="2"/>
  <c r="H2589" i="2"/>
  <c r="E2589" i="2"/>
  <c r="J2588" i="2"/>
  <c r="H2588" i="2"/>
  <c r="E2588" i="2"/>
  <c r="J2587" i="2"/>
  <c r="H2587" i="2"/>
  <c r="D2587" i="2"/>
  <c r="E2587" i="2" s="1"/>
  <c r="J2586" i="2"/>
  <c r="H2586" i="2"/>
  <c r="E2586" i="2"/>
  <c r="J2585" i="2"/>
  <c r="H2585" i="2"/>
  <c r="D2585" i="2"/>
  <c r="E2585" i="2" s="1"/>
  <c r="J2584" i="2"/>
  <c r="H2584" i="2"/>
  <c r="E2584" i="2"/>
  <c r="J2583" i="2"/>
  <c r="H2583" i="2"/>
  <c r="E2583" i="2"/>
  <c r="J2582" i="2"/>
  <c r="H2582" i="2"/>
  <c r="E2582" i="2"/>
  <c r="J2581" i="2"/>
  <c r="H2581" i="2"/>
  <c r="D2581" i="2"/>
  <c r="E2581" i="2" s="1"/>
  <c r="J2580" i="2"/>
  <c r="H2580" i="2"/>
  <c r="E2580" i="2"/>
  <c r="J2579" i="2"/>
  <c r="H2579" i="2"/>
  <c r="E2579" i="2"/>
  <c r="J2578" i="2"/>
  <c r="H2578" i="2"/>
  <c r="E2578" i="2"/>
  <c r="J2577" i="2"/>
  <c r="H2577" i="2"/>
  <c r="E2577" i="2"/>
  <c r="J2576" i="2"/>
  <c r="H2576" i="2"/>
  <c r="E2576" i="2"/>
  <c r="J2575" i="2"/>
  <c r="H2575" i="2"/>
  <c r="D2575" i="2"/>
  <c r="E2575" i="2" s="1"/>
  <c r="J2574" i="2"/>
  <c r="H2574" i="2"/>
  <c r="E2574" i="2"/>
  <c r="J2573" i="2"/>
  <c r="H2573" i="2"/>
  <c r="E2573" i="2"/>
  <c r="J2572" i="2"/>
  <c r="H2572" i="2"/>
  <c r="E2572" i="2"/>
  <c r="J2571" i="2"/>
  <c r="H2571" i="2"/>
  <c r="E2571" i="2"/>
  <c r="J2570" i="2"/>
  <c r="H2570" i="2"/>
  <c r="E2570" i="2"/>
  <c r="J2569" i="2"/>
  <c r="H2569" i="2"/>
  <c r="E2569" i="2"/>
  <c r="J2568" i="2"/>
  <c r="H2568" i="2"/>
  <c r="E2568" i="2"/>
  <c r="J2567" i="2"/>
  <c r="H2567" i="2"/>
  <c r="E2567" i="2"/>
  <c r="J2566" i="2"/>
  <c r="H2566" i="2"/>
  <c r="E2566" i="2"/>
  <c r="J2565" i="2"/>
  <c r="H2565" i="2"/>
  <c r="E2565" i="2"/>
  <c r="J2564" i="2"/>
  <c r="H2564" i="2"/>
  <c r="E2564" i="2"/>
  <c r="J2563" i="2"/>
  <c r="H2563" i="2"/>
  <c r="E2563" i="2"/>
  <c r="J2562" i="2"/>
  <c r="H2562" i="2"/>
  <c r="D2562" i="2"/>
  <c r="E2562" i="2" s="1"/>
  <c r="J2561" i="2"/>
  <c r="H2561" i="2"/>
  <c r="D2561" i="2"/>
  <c r="E2561" i="2" s="1"/>
  <c r="J2560" i="2"/>
  <c r="H2560" i="2"/>
  <c r="E2560" i="2"/>
  <c r="J2559" i="2"/>
  <c r="H2559" i="2"/>
  <c r="E2559" i="2"/>
  <c r="J2558" i="2"/>
  <c r="H2558" i="2"/>
  <c r="E2558" i="2"/>
  <c r="J2557" i="2"/>
  <c r="H2557" i="2"/>
  <c r="E2557" i="2"/>
  <c r="J2556" i="2"/>
  <c r="H2556" i="2"/>
  <c r="E2556" i="2"/>
  <c r="J2555" i="2"/>
  <c r="H2555" i="2"/>
  <c r="E2555" i="2"/>
  <c r="J2554" i="2"/>
  <c r="H2554" i="2"/>
  <c r="E2554" i="2"/>
  <c r="J2553" i="2"/>
  <c r="H2553" i="2"/>
  <c r="E2553" i="2"/>
  <c r="J2552" i="2"/>
  <c r="H2552" i="2"/>
  <c r="E2552" i="2"/>
  <c r="J2551" i="2"/>
  <c r="H2551" i="2"/>
  <c r="E2551" i="2"/>
  <c r="J2550" i="2"/>
  <c r="H2550" i="2"/>
  <c r="E2550" i="2"/>
  <c r="J2549" i="2"/>
  <c r="H2549" i="2"/>
  <c r="E2549" i="2"/>
  <c r="J2548" i="2"/>
  <c r="H2548" i="2"/>
  <c r="E2548" i="2"/>
  <c r="J2547" i="2"/>
  <c r="H2547" i="2"/>
  <c r="E2547" i="2"/>
  <c r="J2546" i="2"/>
  <c r="H2546" i="2"/>
  <c r="E2546" i="2"/>
  <c r="J2545" i="2"/>
  <c r="H2545" i="2"/>
  <c r="E2545" i="2"/>
  <c r="J2544" i="2"/>
  <c r="H2544" i="2"/>
  <c r="E2544" i="2"/>
  <c r="J2543" i="2"/>
  <c r="H2543" i="2"/>
  <c r="E2543" i="2"/>
  <c r="J2542" i="2"/>
  <c r="H2542" i="2"/>
  <c r="E2542" i="2"/>
  <c r="J2541" i="2"/>
  <c r="H2541" i="2"/>
  <c r="E2541" i="2"/>
  <c r="J2540" i="2"/>
  <c r="H2540" i="2"/>
  <c r="E2540" i="2"/>
  <c r="J2539" i="2"/>
  <c r="H2539" i="2"/>
  <c r="E2539" i="2"/>
  <c r="J2538" i="2"/>
  <c r="H2538" i="2"/>
  <c r="E2538" i="2"/>
  <c r="J2537" i="2"/>
  <c r="H2537" i="2"/>
  <c r="E2537" i="2"/>
  <c r="J2536" i="2"/>
  <c r="H2536" i="2"/>
  <c r="E2536" i="2"/>
  <c r="J2535" i="2"/>
  <c r="H2535" i="2"/>
  <c r="E2535" i="2"/>
  <c r="J2534" i="2"/>
  <c r="H2534" i="2"/>
  <c r="E2534" i="2"/>
  <c r="J2533" i="2"/>
  <c r="H2533" i="2"/>
  <c r="E2533" i="2"/>
  <c r="J2532" i="2"/>
  <c r="H2532" i="2"/>
  <c r="E2532" i="2"/>
  <c r="J2531" i="2"/>
  <c r="H2531" i="2"/>
  <c r="E2531" i="2"/>
  <c r="J2530" i="2"/>
  <c r="H2530" i="2"/>
  <c r="E2530" i="2"/>
  <c r="J2529" i="2"/>
  <c r="H2529" i="2"/>
  <c r="E2529" i="2"/>
  <c r="J2528" i="2"/>
  <c r="H2528" i="2"/>
  <c r="E2528" i="2"/>
  <c r="J2527" i="2"/>
  <c r="H2527" i="2"/>
  <c r="E2527" i="2"/>
  <c r="J2526" i="2"/>
  <c r="H2526" i="2"/>
  <c r="E2526" i="2"/>
  <c r="J2525" i="2"/>
  <c r="H2525" i="2"/>
  <c r="E2525" i="2"/>
  <c r="J2524" i="2"/>
  <c r="H2524" i="2"/>
  <c r="E2524" i="2"/>
  <c r="J2523" i="2"/>
  <c r="H2523" i="2"/>
  <c r="E2523" i="2"/>
  <c r="J2522" i="2"/>
  <c r="H2522" i="2"/>
  <c r="E2522" i="2"/>
  <c r="J2521" i="2"/>
  <c r="H2521" i="2"/>
  <c r="E2521" i="2"/>
  <c r="J2520" i="2"/>
  <c r="H2520" i="2"/>
  <c r="E2520" i="2"/>
  <c r="J2519" i="2"/>
  <c r="H2519" i="2"/>
  <c r="E2519" i="2"/>
  <c r="J2518" i="2"/>
  <c r="H2518" i="2"/>
  <c r="E2518" i="2"/>
  <c r="J2517" i="2"/>
  <c r="H2517" i="2"/>
  <c r="E2517" i="2"/>
  <c r="J2516" i="2"/>
  <c r="H2516" i="2"/>
  <c r="E2516" i="2"/>
  <c r="J2515" i="2"/>
  <c r="H2515" i="2"/>
  <c r="E2515" i="2"/>
  <c r="J2514" i="2"/>
  <c r="H2514" i="2"/>
  <c r="E2514" i="2"/>
  <c r="J2513" i="2"/>
  <c r="H2513" i="2"/>
  <c r="E2513" i="2"/>
  <c r="J2512" i="2"/>
  <c r="H2512" i="2"/>
  <c r="E2512" i="2"/>
  <c r="J2511" i="2"/>
  <c r="H2511" i="2"/>
  <c r="E2511" i="2"/>
  <c r="J2510" i="2"/>
  <c r="H2510" i="2"/>
  <c r="E2510" i="2"/>
  <c r="J2509" i="2"/>
  <c r="H2509" i="2"/>
  <c r="E2509" i="2"/>
  <c r="J2508" i="2"/>
  <c r="H2508" i="2"/>
  <c r="E2508" i="2"/>
  <c r="J2507" i="2"/>
  <c r="H2507" i="2"/>
  <c r="E2507" i="2"/>
  <c r="J2506" i="2"/>
  <c r="H2506" i="2"/>
  <c r="E2506" i="2"/>
  <c r="J2505" i="2"/>
  <c r="E2505" i="2"/>
  <c r="J2504" i="2"/>
  <c r="H2504" i="2"/>
  <c r="E2504" i="2"/>
  <c r="J2503" i="2"/>
  <c r="H2503" i="2"/>
  <c r="E2503" i="2"/>
  <c r="J2502" i="2"/>
  <c r="H2502" i="2"/>
  <c r="E2502" i="2"/>
  <c r="J2501" i="2"/>
  <c r="H2501" i="2"/>
  <c r="E2501" i="2"/>
  <c r="J2500" i="2"/>
  <c r="H2500" i="2"/>
  <c r="E2500" i="2"/>
  <c r="J2499" i="2"/>
  <c r="H2499" i="2"/>
  <c r="E2499" i="2"/>
  <c r="J2498" i="2"/>
  <c r="H2498" i="2"/>
  <c r="E2498" i="2"/>
  <c r="J2497" i="2"/>
  <c r="H2497" i="2"/>
  <c r="E2497" i="2"/>
  <c r="J2496" i="2"/>
  <c r="H2496" i="2"/>
  <c r="E2496" i="2"/>
  <c r="J2495" i="2"/>
  <c r="H2495" i="2"/>
  <c r="E2495" i="2"/>
  <c r="J2494" i="2"/>
  <c r="H2494" i="2"/>
  <c r="E2494" i="2"/>
  <c r="J2493" i="2"/>
  <c r="H2493" i="2"/>
  <c r="E2493" i="2"/>
  <c r="J2492" i="2"/>
  <c r="H2492" i="2"/>
  <c r="E2492" i="2"/>
  <c r="J2491" i="2"/>
  <c r="H2491" i="2"/>
  <c r="D2491" i="2"/>
  <c r="E2491" i="2" s="1"/>
  <c r="J2490" i="2"/>
  <c r="H2490" i="2"/>
  <c r="E2490" i="2"/>
  <c r="J2489" i="2"/>
  <c r="H2489" i="2"/>
  <c r="E2489" i="2"/>
  <c r="J2488" i="2"/>
  <c r="H2488" i="2"/>
  <c r="E2488" i="2"/>
  <c r="J2487" i="2"/>
  <c r="H2487" i="2"/>
  <c r="D2487" i="2"/>
  <c r="E2487" i="2" s="1"/>
  <c r="J2486" i="2"/>
  <c r="H2486" i="2"/>
  <c r="E2486" i="2"/>
  <c r="J2485" i="2"/>
  <c r="H2485" i="2"/>
  <c r="E2485" i="2"/>
  <c r="J2484" i="2"/>
  <c r="H2484" i="2"/>
  <c r="D2484" i="2"/>
  <c r="E2484" i="2" s="1"/>
  <c r="J2483" i="2"/>
  <c r="H2483" i="2"/>
  <c r="D2483" i="2"/>
  <c r="E2483" i="2" s="1"/>
  <c r="J2482" i="2"/>
  <c r="H2482" i="2"/>
  <c r="E2482" i="2"/>
  <c r="J2481" i="2"/>
  <c r="H2481" i="2"/>
  <c r="E2481" i="2"/>
  <c r="J2480" i="2"/>
  <c r="H2480" i="2"/>
  <c r="E2480" i="2"/>
  <c r="J2479" i="2"/>
  <c r="H2479" i="2"/>
  <c r="E2479" i="2"/>
  <c r="J2478" i="2"/>
  <c r="H2478" i="2"/>
  <c r="E2478" i="2"/>
  <c r="J2477" i="2"/>
  <c r="H2477" i="2"/>
  <c r="E2477" i="2"/>
  <c r="J2476" i="2"/>
  <c r="H2476" i="2"/>
  <c r="E2476" i="2"/>
  <c r="J2475" i="2"/>
  <c r="H2475" i="2"/>
  <c r="D2475" i="2"/>
  <c r="E2475" i="2" s="1"/>
  <c r="J2474" i="2"/>
  <c r="H2474" i="2"/>
  <c r="E2474" i="2"/>
  <c r="J2473" i="2"/>
  <c r="H2473" i="2"/>
  <c r="E2473" i="2"/>
  <c r="J2472" i="2"/>
  <c r="H2472" i="2"/>
  <c r="E2472" i="2"/>
  <c r="J2471" i="2"/>
  <c r="H2471" i="2"/>
  <c r="E2471" i="2"/>
  <c r="J2470" i="2"/>
  <c r="H2470" i="2"/>
  <c r="D2470" i="2"/>
  <c r="E2470" i="2" s="1"/>
  <c r="J2469" i="2"/>
  <c r="H2469" i="2"/>
  <c r="E2469" i="2"/>
  <c r="J2468" i="2"/>
  <c r="H2468" i="2"/>
  <c r="E2468" i="2"/>
  <c r="J2467" i="2"/>
  <c r="H2467" i="2"/>
  <c r="E2467" i="2"/>
  <c r="J2466" i="2"/>
  <c r="H2466" i="2"/>
  <c r="E2466" i="2"/>
  <c r="J2465" i="2"/>
  <c r="H2465" i="2"/>
  <c r="E2465" i="2"/>
  <c r="J2464" i="2"/>
  <c r="H2464" i="2"/>
  <c r="E2464" i="2"/>
  <c r="J2463" i="2"/>
  <c r="H2463" i="2"/>
  <c r="E2463" i="2"/>
  <c r="J2462" i="2"/>
  <c r="H2462" i="2"/>
  <c r="E2462" i="2"/>
  <c r="J2461" i="2"/>
  <c r="H2461" i="2"/>
  <c r="E2461" i="2"/>
  <c r="J2460" i="2"/>
  <c r="H2460" i="2"/>
  <c r="E2460" i="2"/>
  <c r="J2459" i="2"/>
  <c r="H2459" i="2"/>
  <c r="E2459" i="2"/>
  <c r="J2458" i="2"/>
  <c r="H2458" i="2"/>
  <c r="E2458" i="2"/>
  <c r="J2457" i="2"/>
  <c r="H2457" i="2"/>
  <c r="E2457" i="2"/>
  <c r="J2456" i="2"/>
  <c r="H2456" i="2"/>
  <c r="E2456" i="2"/>
  <c r="J2455" i="2"/>
  <c r="H2455" i="2"/>
  <c r="E2455" i="2"/>
  <c r="J2454" i="2"/>
  <c r="H2454" i="2"/>
  <c r="E2454" i="2"/>
  <c r="J2453" i="2"/>
  <c r="H2453" i="2"/>
  <c r="E2453" i="2"/>
  <c r="J2452" i="2"/>
  <c r="H2452" i="2"/>
  <c r="E2452" i="2"/>
  <c r="J2451" i="2"/>
  <c r="H2451" i="2"/>
  <c r="E2451" i="2"/>
  <c r="J2450" i="2"/>
  <c r="H2450" i="2"/>
  <c r="E2450" i="2"/>
  <c r="J2449" i="2"/>
  <c r="H2449" i="2"/>
  <c r="E2449" i="2"/>
  <c r="J2448" i="2"/>
  <c r="H2448" i="2"/>
  <c r="E2448" i="2"/>
  <c r="J2447" i="2"/>
  <c r="H2447" i="2"/>
  <c r="E2447" i="2"/>
  <c r="J2446" i="2"/>
  <c r="H2446" i="2"/>
  <c r="E2446" i="2"/>
  <c r="J2445" i="2"/>
  <c r="H2445" i="2"/>
  <c r="E2445" i="2"/>
  <c r="J2444" i="2"/>
  <c r="H2444" i="2"/>
  <c r="E2444" i="2"/>
  <c r="J2443" i="2"/>
  <c r="H2443" i="2"/>
  <c r="D2443" i="2"/>
  <c r="E2443" i="2" s="1"/>
  <c r="J2442" i="2"/>
  <c r="H2442" i="2"/>
  <c r="E2442" i="2"/>
  <c r="J2441" i="2"/>
  <c r="H2441" i="2"/>
  <c r="E2441" i="2"/>
  <c r="J2440" i="2"/>
  <c r="H2440" i="2"/>
  <c r="E2440" i="2"/>
  <c r="J2439" i="2"/>
  <c r="H2439" i="2"/>
  <c r="E2439" i="2"/>
  <c r="J2438" i="2"/>
  <c r="H2438" i="2"/>
  <c r="D2438" i="2"/>
  <c r="E2438" i="2" s="1"/>
  <c r="J2437" i="2"/>
  <c r="H2437" i="2"/>
  <c r="E2437" i="2"/>
  <c r="J2436" i="2"/>
  <c r="H2436" i="2"/>
  <c r="E2436" i="2"/>
  <c r="J2435" i="2"/>
  <c r="H2435" i="2"/>
  <c r="E2435" i="2"/>
  <c r="J2434" i="2"/>
  <c r="H2434" i="2"/>
  <c r="E2434" i="2"/>
  <c r="J2433" i="2"/>
  <c r="H2433" i="2"/>
  <c r="E2433" i="2"/>
  <c r="J2432" i="2"/>
  <c r="H2432" i="2"/>
  <c r="E2432" i="2"/>
  <c r="J2431" i="2"/>
  <c r="H2431" i="2"/>
  <c r="E2431" i="2"/>
  <c r="J2430" i="2"/>
  <c r="H2430" i="2"/>
  <c r="D2430" i="2"/>
  <c r="E2430" i="2" s="1"/>
  <c r="J2429" i="2"/>
  <c r="H2429" i="2"/>
  <c r="D2429" i="2"/>
  <c r="E2429" i="2" s="1"/>
  <c r="J2428" i="2"/>
  <c r="H2428" i="2"/>
  <c r="E2428" i="2"/>
  <c r="J2427" i="2"/>
  <c r="H2427" i="2"/>
  <c r="D2427" i="2"/>
  <c r="E2427" i="2" s="1"/>
  <c r="J2426" i="2"/>
  <c r="H2426" i="2"/>
  <c r="D2426" i="2"/>
  <c r="E2426" i="2" s="1"/>
  <c r="J2425" i="2"/>
  <c r="H2425" i="2"/>
  <c r="E2425" i="2"/>
  <c r="J2424" i="2"/>
  <c r="H2424" i="2"/>
  <c r="E2424" i="2"/>
  <c r="J2423" i="2"/>
  <c r="H2423" i="2"/>
  <c r="E2423" i="2"/>
  <c r="J2422" i="2"/>
  <c r="H2422" i="2"/>
  <c r="E2422" i="2"/>
  <c r="J2421" i="2"/>
  <c r="H2421" i="2"/>
  <c r="E2421" i="2"/>
  <c r="J2420" i="2"/>
  <c r="H2420" i="2"/>
  <c r="E2420" i="2"/>
  <c r="J2419" i="2"/>
  <c r="H2419" i="2"/>
  <c r="E2419" i="2"/>
  <c r="J2418" i="2"/>
  <c r="H2418" i="2"/>
  <c r="E2418" i="2"/>
  <c r="J2417" i="2"/>
  <c r="H2417" i="2"/>
  <c r="E2417" i="2"/>
  <c r="J2416" i="2"/>
  <c r="H2416" i="2"/>
  <c r="E2416" i="2"/>
  <c r="J2415" i="2"/>
  <c r="H2415" i="2"/>
  <c r="E2415" i="2"/>
  <c r="J2414" i="2"/>
  <c r="H2414" i="2"/>
  <c r="E2414" i="2"/>
  <c r="J2413" i="2"/>
  <c r="H2413" i="2"/>
  <c r="E2413" i="2"/>
  <c r="J2412" i="2"/>
  <c r="H2412" i="2"/>
  <c r="E2412" i="2"/>
  <c r="J2411" i="2"/>
  <c r="H2411" i="2"/>
  <c r="E2411" i="2"/>
  <c r="J2410" i="2"/>
  <c r="H2410" i="2"/>
  <c r="E2410" i="2"/>
  <c r="J2409" i="2"/>
  <c r="H2409" i="2"/>
  <c r="E2409" i="2"/>
  <c r="J2408" i="2"/>
  <c r="H2408" i="2"/>
  <c r="E2408" i="2"/>
  <c r="J2407" i="2"/>
  <c r="H2407" i="2"/>
  <c r="D2407" i="2"/>
  <c r="E2407" i="2" s="1"/>
  <c r="J2406" i="2"/>
  <c r="H2406" i="2"/>
  <c r="D2406" i="2"/>
  <c r="E2406" i="2" s="1"/>
  <c r="J2405" i="2"/>
  <c r="H2405" i="2"/>
  <c r="E2405" i="2"/>
  <c r="J2404" i="2"/>
  <c r="H2404" i="2"/>
  <c r="E2404" i="2"/>
  <c r="J2403" i="2"/>
  <c r="H2403" i="2"/>
  <c r="E2403" i="2"/>
  <c r="J2402" i="2"/>
  <c r="H2402" i="2"/>
  <c r="E2402" i="2"/>
  <c r="J2401" i="2"/>
  <c r="H2401" i="2"/>
  <c r="E2401" i="2"/>
  <c r="J2400" i="2"/>
  <c r="H2400" i="2"/>
  <c r="D2400" i="2"/>
  <c r="E2400" i="2" s="1"/>
  <c r="J2399" i="2"/>
  <c r="H2399" i="2"/>
  <c r="E2399" i="2"/>
  <c r="J2398" i="2"/>
  <c r="H2398" i="2"/>
  <c r="E2398" i="2"/>
  <c r="J2397" i="2"/>
  <c r="H2397" i="2"/>
  <c r="D2397" i="2"/>
  <c r="E2397" i="2" s="1"/>
  <c r="J2396" i="2"/>
  <c r="H2396" i="2"/>
  <c r="E2396" i="2"/>
  <c r="J2395" i="2"/>
  <c r="H2395" i="2"/>
  <c r="E2395" i="2"/>
  <c r="J2394" i="2"/>
  <c r="H2394" i="2"/>
  <c r="D2394" i="2"/>
  <c r="E2394" i="2" s="1"/>
  <c r="J2393" i="2"/>
  <c r="H2393" i="2"/>
  <c r="E2393" i="2"/>
  <c r="J2392" i="2"/>
  <c r="H2392" i="2"/>
  <c r="E2392" i="2"/>
  <c r="J2391" i="2"/>
  <c r="H2391" i="2"/>
  <c r="E2391" i="2"/>
  <c r="J2390" i="2"/>
  <c r="H2390" i="2"/>
  <c r="E2390" i="2"/>
  <c r="J2389" i="2"/>
  <c r="H2389" i="2"/>
  <c r="E2389" i="2"/>
  <c r="J2388" i="2"/>
  <c r="H2388" i="2"/>
  <c r="E2388" i="2"/>
  <c r="J2387" i="2"/>
  <c r="H2387" i="2"/>
  <c r="E2387" i="2"/>
  <c r="J2386" i="2"/>
  <c r="H2386" i="2"/>
  <c r="E2386" i="2"/>
  <c r="J2385" i="2"/>
  <c r="H2385" i="2"/>
  <c r="E2385" i="2"/>
  <c r="J2384" i="2"/>
  <c r="H2384" i="2"/>
  <c r="E2384" i="2"/>
  <c r="J2383" i="2"/>
  <c r="H2383" i="2"/>
  <c r="E2383" i="2"/>
  <c r="J2382" i="2"/>
  <c r="H2382" i="2"/>
  <c r="E2382" i="2"/>
  <c r="J2381" i="2"/>
  <c r="H2381" i="2"/>
  <c r="E2381" i="2"/>
  <c r="J2380" i="2"/>
  <c r="H2380" i="2"/>
  <c r="E2380" i="2"/>
  <c r="J2379" i="2"/>
  <c r="H2379" i="2"/>
  <c r="E2379" i="2"/>
  <c r="J2378" i="2"/>
  <c r="H2378" i="2"/>
  <c r="E2378" i="2"/>
  <c r="J2377" i="2"/>
  <c r="H2377" i="2"/>
  <c r="E2377" i="2"/>
  <c r="J2376" i="2"/>
  <c r="H2376" i="2"/>
  <c r="E2376" i="2"/>
  <c r="J2375" i="2"/>
  <c r="H2375" i="2"/>
  <c r="E2375" i="2"/>
  <c r="J2374" i="2"/>
  <c r="H2374" i="2"/>
  <c r="E2374" i="2"/>
  <c r="J2373" i="2"/>
  <c r="H2373" i="2"/>
  <c r="E2373" i="2"/>
  <c r="J2372" i="2"/>
  <c r="H2372" i="2"/>
  <c r="E2372" i="2"/>
  <c r="J2371" i="2"/>
  <c r="H2371" i="2"/>
  <c r="E2371" i="2"/>
  <c r="J2370" i="2"/>
  <c r="H2370" i="2"/>
  <c r="E2370" i="2"/>
  <c r="J2369" i="2"/>
  <c r="H2369" i="2"/>
  <c r="E2369" i="2"/>
  <c r="J2368" i="2"/>
  <c r="H2368" i="2"/>
  <c r="E2368" i="2"/>
  <c r="J2367" i="2"/>
  <c r="H2367" i="2"/>
  <c r="E2367" i="2"/>
  <c r="J2366" i="2"/>
  <c r="H2366" i="2"/>
  <c r="E2366" i="2"/>
  <c r="J2365" i="2"/>
  <c r="H2365" i="2"/>
  <c r="E2365" i="2"/>
  <c r="J2364" i="2"/>
  <c r="H2364" i="2"/>
  <c r="E2364" i="2"/>
  <c r="J2363" i="2"/>
  <c r="H2363" i="2"/>
  <c r="E2363" i="2"/>
  <c r="J2362" i="2"/>
  <c r="H2362" i="2"/>
  <c r="E2362" i="2"/>
  <c r="J2361" i="2"/>
  <c r="H2361" i="2"/>
  <c r="E2361" i="2"/>
  <c r="J2360" i="2"/>
  <c r="H2360" i="2"/>
  <c r="E2360" i="2"/>
  <c r="J2359" i="2"/>
  <c r="H2359" i="2"/>
  <c r="E2359" i="2"/>
  <c r="J2358" i="2"/>
  <c r="H2358" i="2"/>
  <c r="E2358" i="2"/>
  <c r="J2357" i="2"/>
  <c r="H2357" i="2"/>
  <c r="E2357" i="2"/>
  <c r="J2356" i="2"/>
  <c r="H2356" i="2"/>
  <c r="E2356" i="2"/>
  <c r="J2355" i="2"/>
  <c r="H2355" i="2"/>
  <c r="E2355" i="2"/>
  <c r="J2354" i="2"/>
  <c r="H2354" i="2"/>
  <c r="E2354" i="2"/>
  <c r="J2353" i="2"/>
  <c r="H2353" i="2"/>
  <c r="E2353" i="2"/>
  <c r="J2352" i="2"/>
  <c r="H2352" i="2"/>
  <c r="E2352" i="2"/>
  <c r="J2351" i="2"/>
  <c r="H2351" i="2"/>
  <c r="E2351" i="2"/>
  <c r="J2350" i="2"/>
  <c r="H2350" i="2"/>
  <c r="E2350" i="2"/>
  <c r="J2349" i="2"/>
  <c r="H2349" i="2"/>
  <c r="E2349" i="2"/>
  <c r="J2348" i="2"/>
  <c r="H2348" i="2"/>
  <c r="E2348" i="2"/>
  <c r="J2347" i="2"/>
  <c r="H2347" i="2"/>
  <c r="D2347" i="2"/>
  <c r="E2347" i="2" s="1"/>
  <c r="J2346" i="2"/>
  <c r="H2346" i="2"/>
  <c r="E2346" i="2"/>
  <c r="J2345" i="2"/>
  <c r="H2345" i="2"/>
  <c r="E2345" i="2"/>
  <c r="J2344" i="2"/>
  <c r="H2344" i="2"/>
  <c r="E2344" i="2"/>
  <c r="J2343" i="2"/>
  <c r="H2343" i="2"/>
  <c r="E2343" i="2"/>
  <c r="J2342" i="2"/>
  <c r="H2342" i="2"/>
  <c r="E2342" i="2"/>
  <c r="J2341" i="2"/>
  <c r="H2341" i="2"/>
  <c r="E2341" i="2"/>
  <c r="J2340" i="2"/>
  <c r="H2340" i="2"/>
  <c r="D2340" i="2"/>
  <c r="E2340" i="2" s="1"/>
  <c r="J2339" i="2"/>
  <c r="H2339" i="2"/>
  <c r="E2339" i="2"/>
  <c r="J2338" i="2"/>
  <c r="H2338" i="2"/>
  <c r="E2338" i="2"/>
  <c r="J2337" i="2"/>
  <c r="H2337" i="2"/>
  <c r="E2337" i="2"/>
  <c r="J2336" i="2"/>
  <c r="H2336" i="2"/>
  <c r="E2336" i="2"/>
  <c r="J2335" i="2"/>
  <c r="H2335" i="2"/>
  <c r="E2335" i="2"/>
  <c r="J2334" i="2"/>
  <c r="H2334" i="2"/>
  <c r="E2334" i="2"/>
  <c r="J2333" i="2"/>
  <c r="H2333" i="2"/>
  <c r="E2333" i="2"/>
  <c r="J2332" i="2"/>
  <c r="H2332" i="2"/>
  <c r="E2332" i="2"/>
  <c r="J2331" i="2"/>
  <c r="H2331" i="2"/>
  <c r="E2331" i="2"/>
  <c r="J2330" i="2"/>
  <c r="H2330" i="2"/>
  <c r="E2330" i="2"/>
  <c r="J2329" i="2"/>
  <c r="H2329" i="2"/>
  <c r="E2329" i="2"/>
  <c r="J2328" i="2"/>
  <c r="H2328" i="2"/>
  <c r="E2328" i="2"/>
  <c r="J2327" i="2"/>
  <c r="H2327" i="2"/>
  <c r="E2327" i="2"/>
  <c r="J2326" i="2"/>
  <c r="H2326" i="2"/>
  <c r="E2326" i="2"/>
  <c r="J2325" i="2"/>
  <c r="H2325" i="2"/>
  <c r="E2325" i="2"/>
  <c r="J2324" i="2"/>
  <c r="H2324" i="2"/>
  <c r="E2324" i="2"/>
  <c r="J2323" i="2"/>
  <c r="H2323" i="2"/>
  <c r="E2323" i="2"/>
  <c r="J2322" i="2"/>
  <c r="H2322" i="2"/>
  <c r="E2322" i="2"/>
  <c r="J2321" i="2"/>
  <c r="H2321" i="2"/>
  <c r="E2321" i="2"/>
  <c r="J2320" i="2"/>
  <c r="H2320" i="2"/>
  <c r="E2320" i="2"/>
  <c r="J2319" i="2"/>
  <c r="H2319" i="2"/>
  <c r="E2319" i="2"/>
  <c r="J2318" i="2"/>
  <c r="H2318" i="2"/>
  <c r="E2318" i="2"/>
  <c r="J2317" i="2"/>
  <c r="H2317" i="2"/>
  <c r="E2317" i="2"/>
  <c r="J2316" i="2"/>
  <c r="H2316" i="2"/>
  <c r="E2316" i="2"/>
  <c r="J2315" i="2"/>
  <c r="H2315" i="2"/>
  <c r="E2315" i="2"/>
  <c r="J2314" i="2"/>
  <c r="H2314" i="2"/>
  <c r="D2314" i="2"/>
  <c r="E2314" i="2" s="1"/>
  <c r="J2313" i="2"/>
  <c r="H2313" i="2"/>
  <c r="E2313" i="2"/>
  <c r="J2312" i="2"/>
  <c r="H2312" i="2"/>
  <c r="E2312" i="2"/>
  <c r="J2311" i="2"/>
  <c r="H2311" i="2"/>
  <c r="E2311" i="2"/>
  <c r="J2310" i="2"/>
  <c r="H2310" i="2"/>
  <c r="E2310" i="2"/>
  <c r="J2309" i="2"/>
  <c r="H2309" i="2"/>
  <c r="D2309" i="2"/>
  <c r="E2309" i="2" s="1"/>
  <c r="J2308" i="2"/>
  <c r="H2308" i="2"/>
  <c r="E2308" i="2"/>
  <c r="J2307" i="2"/>
  <c r="H2307" i="2"/>
  <c r="E2307" i="2"/>
  <c r="J2306" i="2"/>
  <c r="H2306" i="2"/>
  <c r="D2306" i="2"/>
  <c r="E2306" i="2" s="1"/>
  <c r="J2305" i="2"/>
  <c r="H2305" i="2"/>
  <c r="E2305" i="2"/>
  <c r="J2304" i="2"/>
  <c r="H2304" i="2"/>
  <c r="E2304" i="2"/>
  <c r="J2303" i="2"/>
  <c r="H2303" i="2"/>
  <c r="E2303" i="2"/>
  <c r="J2302" i="2"/>
  <c r="H2302" i="2"/>
  <c r="D2302" i="2"/>
  <c r="E2302" i="2" s="1"/>
  <c r="J2301" i="2"/>
  <c r="H2301" i="2"/>
  <c r="E2301" i="2"/>
  <c r="J2300" i="2"/>
  <c r="H2300" i="2"/>
  <c r="E2300" i="2"/>
  <c r="J2299" i="2"/>
  <c r="H2299" i="2"/>
  <c r="E2299" i="2"/>
  <c r="J2298" i="2"/>
  <c r="H2298" i="2"/>
  <c r="E2298" i="2"/>
  <c r="J2297" i="2"/>
  <c r="H2297" i="2"/>
  <c r="D2297" i="2"/>
  <c r="E2297" i="2" s="1"/>
  <c r="J2296" i="2"/>
  <c r="H2296" i="2"/>
  <c r="E2296" i="2"/>
  <c r="J2295" i="2"/>
  <c r="H2295" i="2"/>
  <c r="E2295" i="2"/>
  <c r="J2294" i="2"/>
  <c r="H2294" i="2"/>
  <c r="E2294" i="2"/>
  <c r="J2293" i="2"/>
  <c r="H2293" i="2"/>
  <c r="E2293" i="2"/>
  <c r="J2292" i="2"/>
  <c r="H2292" i="2"/>
  <c r="E2292" i="2"/>
  <c r="J2291" i="2"/>
  <c r="H2291" i="2"/>
  <c r="E2291" i="2"/>
  <c r="J2290" i="2"/>
  <c r="H2290" i="2"/>
  <c r="D2290" i="2"/>
  <c r="E2290" i="2" s="1"/>
  <c r="J2289" i="2"/>
  <c r="H2289" i="2"/>
  <c r="E2289" i="2"/>
  <c r="J2288" i="2"/>
  <c r="H2288" i="2"/>
  <c r="E2288" i="2"/>
  <c r="J2287" i="2"/>
  <c r="H2287" i="2"/>
  <c r="E2287" i="2"/>
  <c r="J2286" i="2"/>
  <c r="H2286" i="2"/>
  <c r="E2286" i="2"/>
  <c r="J2285" i="2"/>
  <c r="H2285" i="2"/>
  <c r="D2285" i="2"/>
  <c r="E2285" i="2" s="1"/>
  <c r="J2284" i="2"/>
  <c r="H2284" i="2"/>
  <c r="E2284" i="2"/>
  <c r="J2283" i="2"/>
  <c r="H2283" i="2"/>
  <c r="E2283" i="2"/>
  <c r="J2282" i="2"/>
  <c r="H2282" i="2"/>
  <c r="E2282" i="2"/>
  <c r="J2281" i="2"/>
  <c r="H2281" i="2"/>
  <c r="D2281" i="2"/>
  <c r="E2281" i="2" s="1"/>
  <c r="J2280" i="2"/>
  <c r="H2280" i="2"/>
  <c r="E2280" i="2"/>
  <c r="J2279" i="2"/>
  <c r="H2279" i="2"/>
  <c r="E2279" i="2"/>
  <c r="J2278" i="2"/>
  <c r="H2278" i="2"/>
  <c r="E2278" i="2"/>
  <c r="J2277" i="2"/>
  <c r="H2277" i="2"/>
  <c r="E2277" i="2"/>
  <c r="J2276" i="2"/>
  <c r="H2276" i="2"/>
  <c r="E2276" i="2"/>
  <c r="J2275" i="2"/>
  <c r="H2275" i="2"/>
  <c r="E2275" i="2"/>
  <c r="J2274" i="2"/>
  <c r="H2274" i="2"/>
  <c r="E2274" i="2"/>
  <c r="J2273" i="2"/>
  <c r="H2273" i="2"/>
  <c r="E2273" i="2"/>
  <c r="J2272" i="2"/>
  <c r="H2272" i="2"/>
  <c r="E2272" i="2"/>
  <c r="J2271" i="2"/>
  <c r="H2271" i="2"/>
  <c r="E2271" i="2"/>
  <c r="J2270" i="2"/>
  <c r="H2270" i="2"/>
  <c r="E2270" i="2"/>
  <c r="J2269" i="2"/>
  <c r="H2269" i="2"/>
  <c r="E2269" i="2"/>
  <c r="J2268" i="2"/>
  <c r="H2268" i="2"/>
  <c r="E2268" i="2"/>
  <c r="J2267" i="2"/>
  <c r="H2267" i="2"/>
  <c r="E2267" i="2"/>
  <c r="J2266" i="2"/>
  <c r="H2266" i="2"/>
  <c r="E2266" i="2"/>
  <c r="J2265" i="2"/>
  <c r="H2265" i="2"/>
  <c r="E2265" i="2"/>
  <c r="J2264" i="2"/>
  <c r="H2264" i="2"/>
  <c r="E2264" i="2"/>
  <c r="J2263" i="2"/>
  <c r="H2263" i="2"/>
  <c r="E2263" i="2"/>
  <c r="J2262" i="2"/>
  <c r="H2262" i="2"/>
  <c r="E2262" i="2"/>
  <c r="J2261" i="2"/>
  <c r="H2261" i="2"/>
  <c r="E2261" i="2"/>
  <c r="J2260" i="2"/>
  <c r="H2260" i="2"/>
  <c r="E2260" i="2"/>
  <c r="J2259" i="2"/>
  <c r="H2259" i="2"/>
  <c r="E2259" i="2"/>
  <c r="J2258" i="2"/>
  <c r="H2258" i="2"/>
  <c r="E2258" i="2"/>
  <c r="J2257" i="2"/>
  <c r="H2257" i="2"/>
  <c r="E2257" i="2"/>
  <c r="J2256" i="2"/>
  <c r="H2256" i="2"/>
  <c r="D2256" i="2"/>
  <c r="E2256" i="2" s="1"/>
  <c r="J2255" i="2"/>
  <c r="H2255" i="2"/>
  <c r="E2255" i="2"/>
  <c r="J2254" i="2"/>
  <c r="H2254" i="2"/>
  <c r="E2254" i="2"/>
  <c r="J2253" i="2"/>
  <c r="H2253" i="2"/>
  <c r="E2253" i="2"/>
  <c r="J2252" i="2"/>
  <c r="H2252" i="2"/>
  <c r="E2252" i="2"/>
  <c r="J2251" i="2"/>
  <c r="H2251" i="2"/>
  <c r="E2251" i="2"/>
  <c r="J2250" i="2"/>
  <c r="H2250" i="2"/>
  <c r="E2250" i="2"/>
  <c r="J2249" i="2"/>
  <c r="H2249" i="2"/>
  <c r="E2249" i="2"/>
  <c r="J2248" i="2"/>
  <c r="H2248" i="2"/>
  <c r="E2248" i="2"/>
  <c r="J2247" i="2"/>
  <c r="H2247" i="2"/>
  <c r="E2247" i="2"/>
  <c r="J2246" i="2"/>
  <c r="H2246" i="2"/>
  <c r="E2246" i="2"/>
  <c r="J2245" i="2"/>
  <c r="H2245" i="2"/>
  <c r="E2245" i="2"/>
  <c r="J2244" i="2"/>
  <c r="H2244" i="2"/>
  <c r="E2244" i="2"/>
  <c r="J2243" i="2"/>
  <c r="H2243" i="2"/>
  <c r="E2243" i="2"/>
  <c r="J2242" i="2"/>
  <c r="H2242" i="2"/>
  <c r="E2242" i="2"/>
  <c r="J2241" i="2"/>
  <c r="H2241" i="2"/>
  <c r="E2241" i="2"/>
  <c r="J2240" i="2"/>
  <c r="H2240" i="2"/>
  <c r="E2240" i="2"/>
  <c r="J2239" i="2"/>
  <c r="H2239" i="2"/>
  <c r="E2239" i="2"/>
  <c r="J2238" i="2"/>
  <c r="H2238" i="2"/>
  <c r="E2238" i="2"/>
  <c r="J2237" i="2"/>
  <c r="H2237" i="2"/>
  <c r="E2237" i="2"/>
  <c r="J2236" i="2"/>
  <c r="H2236" i="2"/>
  <c r="E2236" i="2"/>
  <c r="J2235" i="2"/>
  <c r="H2235" i="2"/>
  <c r="E2235" i="2"/>
  <c r="J2234" i="2"/>
  <c r="H2234" i="2"/>
  <c r="E2234" i="2"/>
  <c r="J2233" i="2"/>
  <c r="H2233" i="2"/>
  <c r="E2233" i="2"/>
  <c r="J2232" i="2"/>
  <c r="H2232" i="2"/>
  <c r="E2232" i="2"/>
  <c r="J2231" i="2"/>
  <c r="H2231" i="2"/>
  <c r="E2231" i="2"/>
  <c r="J2230" i="2"/>
  <c r="H2230" i="2"/>
  <c r="E2230" i="2"/>
  <c r="J2229" i="2"/>
  <c r="H2229" i="2"/>
  <c r="E2229" i="2"/>
  <c r="J2228" i="2"/>
  <c r="H2228" i="2"/>
  <c r="E2228" i="2"/>
  <c r="J2227" i="2"/>
  <c r="H2227" i="2"/>
  <c r="E2227" i="2"/>
  <c r="J2226" i="2"/>
  <c r="H2226" i="2"/>
  <c r="E2226" i="2"/>
  <c r="J2225" i="2"/>
  <c r="H2225" i="2"/>
  <c r="E2225" i="2"/>
  <c r="J2224" i="2"/>
  <c r="H2224" i="2"/>
  <c r="E2224" i="2"/>
  <c r="J2223" i="2"/>
  <c r="H2223" i="2"/>
  <c r="E2223" i="2"/>
  <c r="J2222" i="2"/>
  <c r="H2222" i="2"/>
  <c r="E2222" i="2"/>
  <c r="J2221" i="2"/>
  <c r="H2221" i="2"/>
  <c r="D2221" i="2"/>
  <c r="E2221" i="2" s="1"/>
  <c r="J2220" i="2"/>
  <c r="H2220" i="2"/>
  <c r="E2220" i="2"/>
  <c r="J2219" i="2"/>
  <c r="H2219" i="2"/>
  <c r="D2219" i="2"/>
  <c r="E2219" i="2" s="1"/>
  <c r="J2218" i="2"/>
  <c r="H2218" i="2"/>
  <c r="E2218" i="2"/>
  <c r="J2217" i="2"/>
  <c r="H2217" i="2"/>
  <c r="E2217" i="2"/>
  <c r="J2216" i="2"/>
  <c r="H2216" i="2"/>
  <c r="E2216" i="2"/>
  <c r="J2215" i="2"/>
  <c r="H2215" i="2"/>
  <c r="D2215" i="2"/>
  <c r="E2215" i="2" s="1"/>
  <c r="J2214" i="2"/>
  <c r="H2214" i="2"/>
  <c r="E2214" i="2"/>
  <c r="J2213" i="2"/>
  <c r="H2213" i="2"/>
  <c r="E2213" i="2"/>
  <c r="J2212" i="2"/>
  <c r="H2212" i="2"/>
  <c r="E2212" i="2"/>
  <c r="J2211" i="2"/>
  <c r="H2211" i="2"/>
  <c r="E2211" i="2"/>
  <c r="J2210" i="2"/>
  <c r="H2210" i="2"/>
  <c r="E2210" i="2"/>
  <c r="J2209" i="2"/>
  <c r="H2209" i="2"/>
  <c r="E2209" i="2"/>
  <c r="J2208" i="2"/>
  <c r="H2208" i="2"/>
  <c r="D2208" i="2"/>
  <c r="E2208" i="2" s="1"/>
  <c r="J2207" i="2"/>
  <c r="H2207" i="2"/>
  <c r="E2207" i="2"/>
  <c r="J2206" i="2"/>
  <c r="H2206" i="2"/>
  <c r="E2206" i="2"/>
  <c r="J2205" i="2"/>
  <c r="H2205" i="2"/>
  <c r="D2205" i="2"/>
  <c r="E2205" i="2" s="1"/>
  <c r="J2204" i="2"/>
  <c r="H2204" i="2"/>
  <c r="E2204" i="2"/>
  <c r="J2203" i="2"/>
  <c r="H2203" i="2"/>
  <c r="E2203" i="2"/>
  <c r="J2202" i="2"/>
  <c r="H2202" i="2"/>
  <c r="E2202" i="2"/>
  <c r="J2201" i="2"/>
  <c r="H2201" i="2"/>
  <c r="E2201" i="2"/>
  <c r="J2200" i="2"/>
  <c r="E2200" i="2"/>
  <c r="J2199" i="2"/>
  <c r="H2199" i="2"/>
  <c r="E2199" i="2"/>
  <c r="J2198" i="2"/>
  <c r="H2198" i="2"/>
  <c r="E2198" i="2"/>
  <c r="J2197" i="2"/>
  <c r="H2197" i="2"/>
  <c r="E2197" i="2"/>
  <c r="J2196" i="2"/>
  <c r="H2196" i="2"/>
  <c r="E2196" i="2"/>
  <c r="J2195" i="2"/>
  <c r="H2195" i="2"/>
  <c r="E2195" i="2"/>
  <c r="J2194" i="2"/>
  <c r="H2194" i="2"/>
  <c r="E2194" i="2"/>
  <c r="J2193" i="2"/>
  <c r="H2193" i="2"/>
  <c r="E2193" i="2"/>
  <c r="J2192" i="2"/>
  <c r="H2192" i="2"/>
  <c r="E2192" i="2"/>
  <c r="J2191" i="2"/>
  <c r="H2191" i="2"/>
  <c r="E2191" i="2"/>
  <c r="J2190" i="2"/>
  <c r="H2190" i="2"/>
  <c r="E2190" i="2"/>
  <c r="J2189" i="2"/>
  <c r="H2189" i="2"/>
  <c r="E2189" i="2"/>
  <c r="J2188" i="2"/>
  <c r="H2188" i="2"/>
  <c r="E2188" i="2"/>
  <c r="J2187" i="2"/>
  <c r="H2187" i="2"/>
  <c r="E2187" i="2"/>
  <c r="J2186" i="2"/>
  <c r="H2186" i="2"/>
  <c r="E2186" i="2"/>
  <c r="J2185" i="2"/>
  <c r="H2185" i="2"/>
  <c r="E2185" i="2"/>
  <c r="J2184" i="2"/>
  <c r="H2184" i="2"/>
  <c r="E2184" i="2"/>
  <c r="J2183" i="2"/>
  <c r="H2183" i="2"/>
  <c r="E2183" i="2"/>
  <c r="J2182" i="2"/>
  <c r="H2182" i="2"/>
  <c r="E2182" i="2"/>
  <c r="J2181" i="2"/>
  <c r="H2181" i="2"/>
  <c r="E2181" i="2"/>
  <c r="J2180" i="2"/>
  <c r="H2180" i="2"/>
  <c r="E2180" i="2"/>
  <c r="J2179" i="2"/>
  <c r="H2179" i="2"/>
  <c r="E2179" i="2"/>
  <c r="J2178" i="2"/>
  <c r="H2178" i="2"/>
  <c r="E2178" i="2"/>
  <c r="J2177" i="2"/>
  <c r="H2177" i="2"/>
  <c r="E2177" i="2"/>
  <c r="J2176" i="2"/>
  <c r="H2176" i="2"/>
  <c r="E2176" i="2"/>
  <c r="J2175" i="2"/>
  <c r="H2175" i="2"/>
  <c r="E2175" i="2"/>
  <c r="J2174" i="2"/>
  <c r="H2174" i="2"/>
  <c r="E2174" i="2"/>
  <c r="J2173" i="2"/>
  <c r="H2173" i="2"/>
  <c r="E2173" i="2"/>
  <c r="J2172" i="2"/>
  <c r="H2172" i="2"/>
  <c r="E2172" i="2"/>
  <c r="J2171" i="2"/>
  <c r="H2171" i="2"/>
  <c r="E2171" i="2"/>
  <c r="J2170" i="2"/>
  <c r="H2170" i="2"/>
  <c r="E2170" i="2"/>
  <c r="J2169" i="2"/>
  <c r="H2169" i="2"/>
  <c r="E2169" i="2"/>
  <c r="J2168" i="2"/>
  <c r="H2168" i="2"/>
  <c r="E2168" i="2"/>
  <c r="J2167" i="2"/>
  <c r="H2167" i="2"/>
  <c r="E2167" i="2"/>
  <c r="J2166" i="2"/>
  <c r="H2166" i="2"/>
  <c r="E2166" i="2"/>
  <c r="J2165" i="2"/>
  <c r="H2165" i="2"/>
  <c r="E2165" i="2"/>
  <c r="J2164" i="2"/>
  <c r="H2164" i="2"/>
  <c r="E2164" i="2"/>
  <c r="J2163" i="2"/>
  <c r="H2163" i="2"/>
  <c r="E2163" i="2"/>
  <c r="J2162" i="2"/>
  <c r="H2162" i="2"/>
  <c r="E2162" i="2"/>
  <c r="J2161" i="2"/>
  <c r="H2161" i="2"/>
  <c r="E2161" i="2"/>
  <c r="J2160" i="2"/>
  <c r="H2160" i="2"/>
  <c r="E2160" i="2"/>
  <c r="J2159" i="2"/>
  <c r="H2159" i="2"/>
  <c r="E2159" i="2"/>
  <c r="J2158" i="2"/>
  <c r="H2158" i="2"/>
  <c r="E2158" i="2"/>
  <c r="J2157" i="2"/>
  <c r="H2157" i="2"/>
  <c r="D2157" i="2"/>
  <c r="E2157" i="2" s="1"/>
  <c r="J2156" i="2"/>
  <c r="H2156" i="2"/>
  <c r="E2156" i="2"/>
  <c r="J2155" i="2"/>
  <c r="H2155" i="2"/>
  <c r="E2155" i="2"/>
  <c r="J2154" i="2"/>
  <c r="H2154" i="2"/>
  <c r="D2154" i="2"/>
  <c r="E2154" i="2" s="1"/>
  <c r="J2153" i="2"/>
  <c r="H2153" i="2"/>
  <c r="D2153" i="2"/>
  <c r="E2153" i="2" s="1"/>
  <c r="J2152" i="2"/>
  <c r="H2152" i="2"/>
  <c r="E2152" i="2"/>
  <c r="J2151" i="2"/>
  <c r="H2151" i="2"/>
  <c r="D2151" i="2"/>
  <c r="E2151" i="2" s="1"/>
  <c r="J2150" i="2"/>
  <c r="H2150" i="2"/>
  <c r="D2150" i="2"/>
  <c r="E2150" i="2" s="1"/>
  <c r="J2149" i="2"/>
  <c r="H2149" i="2"/>
  <c r="E2149" i="2"/>
  <c r="J2148" i="2"/>
  <c r="H2148" i="2"/>
  <c r="E2148" i="2"/>
  <c r="J2147" i="2"/>
  <c r="H2147" i="2"/>
  <c r="E2147" i="2"/>
  <c r="J2146" i="2"/>
  <c r="H2146" i="2"/>
  <c r="E2146" i="2"/>
  <c r="J2145" i="2"/>
  <c r="H2145" i="2"/>
  <c r="D2145" i="2"/>
  <c r="E2145" i="2" s="1"/>
  <c r="J2144" i="2"/>
  <c r="H2144" i="2"/>
  <c r="E2144" i="2"/>
  <c r="J2143" i="2"/>
  <c r="H2143" i="2"/>
  <c r="E2143" i="2"/>
  <c r="J2142" i="2"/>
  <c r="H2142" i="2"/>
  <c r="D2142" i="2"/>
  <c r="E2142" i="2" s="1"/>
  <c r="J2141" i="2"/>
  <c r="H2141" i="2"/>
  <c r="E2141" i="2"/>
  <c r="J2140" i="2"/>
  <c r="H2140" i="2"/>
  <c r="E2140" i="2"/>
  <c r="J2139" i="2"/>
  <c r="H2139" i="2"/>
  <c r="E2139" i="2"/>
  <c r="J2138" i="2"/>
  <c r="H2138" i="2"/>
  <c r="D2138" i="2"/>
  <c r="E2138" i="2" s="1"/>
  <c r="J2137" i="2"/>
  <c r="H2137" i="2"/>
  <c r="E2137" i="2"/>
  <c r="J2136" i="2"/>
  <c r="H2136" i="2"/>
  <c r="E2136" i="2"/>
  <c r="J2135" i="2"/>
  <c r="H2135" i="2"/>
  <c r="E2135" i="2"/>
  <c r="J2134" i="2"/>
  <c r="H2134" i="2"/>
  <c r="E2134" i="2"/>
  <c r="J2133" i="2"/>
  <c r="H2133" i="2"/>
  <c r="E2133" i="2"/>
  <c r="J2132" i="2"/>
  <c r="H2132" i="2"/>
  <c r="E2132" i="2"/>
  <c r="J2131" i="2"/>
  <c r="H2131" i="2"/>
  <c r="E2131" i="2"/>
  <c r="J2130" i="2"/>
  <c r="H2130" i="2"/>
  <c r="E2130" i="2"/>
  <c r="J2129" i="2"/>
  <c r="H2129" i="2"/>
  <c r="E2129" i="2"/>
  <c r="J2128" i="2"/>
  <c r="H2128" i="2"/>
  <c r="E2128" i="2"/>
  <c r="J2127" i="2"/>
  <c r="H2127" i="2"/>
  <c r="E2127" i="2"/>
  <c r="J2126" i="2"/>
  <c r="H2126" i="2"/>
  <c r="E2126" i="2"/>
  <c r="J2125" i="2"/>
  <c r="H2125" i="2"/>
  <c r="E2125" i="2"/>
  <c r="J2124" i="2"/>
  <c r="H2124" i="2"/>
  <c r="E2124" i="2"/>
  <c r="J2123" i="2"/>
  <c r="H2123" i="2"/>
  <c r="E2123" i="2"/>
  <c r="J2122" i="2"/>
  <c r="H2122" i="2"/>
  <c r="E2122" i="2"/>
  <c r="J2121" i="2"/>
  <c r="H2121" i="2"/>
  <c r="E2121" i="2"/>
  <c r="J2120" i="2"/>
  <c r="H2120" i="2"/>
  <c r="E2120" i="2"/>
  <c r="J2119" i="2"/>
  <c r="H2119" i="2"/>
  <c r="D2119" i="2"/>
  <c r="E2119" i="2" s="1"/>
  <c r="J2118" i="2"/>
  <c r="H2118" i="2"/>
  <c r="E2118" i="2"/>
  <c r="J2117" i="2"/>
  <c r="H2117" i="2"/>
  <c r="E2117" i="2"/>
  <c r="J2116" i="2"/>
  <c r="H2116" i="2"/>
  <c r="E2116" i="2"/>
  <c r="J2115" i="2"/>
  <c r="H2115" i="2"/>
  <c r="E2115" i="2"/>
  <c r="J2114" i="2"/>
  <c r="H2114" i="2"/>
  <c r="E2114" i="2"/>
  <c r="J2113" i="2"/>
  <c r="H2113" i="2"/>
  <c r="E2113" i="2"/>
  <c r="J2112" i="2"/>
  <c r="H2112" i="2"/>
  <c r="E2112" i="2"/>
  <c r="J2111" i="2"/>
  <c r="H2111" i="2"/>
  <c r="E2111" i="2"/>
  <c r="J2110" i="2"/>
  <c r="H2110" i="2"/>
  <c r="E2110" i="2"/>
  <c r="J2109" i="2"/>
  <c r="H2109" i="2"/>
  <c r="E2109" i="2"/>
  <c r="J2108" i="2"/>
  <c r="H2108" i="2"/>
  <c r="E2108" i="2"/>
  <c r="J2107" i="2"/>
  <c r="H2107" i="2"/>
  <c r="E2107" i="2"/>
  <c r="J2106" i="2"/>
  <c r="H2106" i="2"/>
  <c r="E2106" i="2"/>
  <c r="J2105" i="2"/>
  <c r="H2105" i="2"/>
  <c r="E2105" i="2"/>
  <c r="J2104" i="2"/>
  <c r="H2104" i="2"/>
  <c r="E2104" i="2"/>
  <c r="J2103" i="2"/>
  <c r="H2103" i="2"/>
  <c r="E2103" i="2"/>
  <c r="J2102" i="2"/>
  <c r="H2102" i="2"/>
  <c r="E2102" i="2"/>
  <c r="J2101" i="2"/>
  <c r="H2101" i="2"/>
  <c r="E2101" i="2"/>
  <c r="J2100" i="2"/>
  <c r="H2100" i="2"/>
  <c r="E2100" i="2"/>
  <c r="J2099" i="2"/>
  <c r="H2099" i="2"/>
  <c r="E2099" i="2"/>
  <c r="J2098" i="2"/>
  <c r="H2098" i="2"/>
  <c r="E2098" i="2"/>
  <c r="J2097" i="2"/>
  <c r="H2097" i="2"/>
  <c r="E2097" i="2"/>
  <c r="J2096" i="2"/>
  <c r="H2096" i="2"/>
  <c r="E2096" i="2"/>
  <c r="J2095" i="2"/>
  <c r="H2095" i="2"/>
  <c r="E2095" i="2"/>
  <c r="J2094" i="2"/>
  <c r="H2094" i="2"/>
  <c r="E2094" i="2"/>
  <c r="J2093" i="2"/>
  <c r="H2093" i="2"/>
  <c r="E2093" i="2"/>
  <c r="J2092" i="2"/>
  <c r="H2092" i="2"/>
  <c r="E2092" i="2"/>
  <c r="J2091" i="2"/>
  <c r="H2091" i="2"/>
  <c r="E2091" i="2"/>
  <c r="J2090" i="2"/>
  <c r="H2090" i="2"/>
  <c r="E2090" i="2"/>
  <c r="J2089" i="2"/>
  <c r="H2089" i="2"/>
  <c r="D2089" i="2"/>
  <c r="E2089" i="2" s="1"/>
  <c r="J2088" i="2"/>
  <c r="H2088" i="2"/>
  <c r="E2088" i="2"/>
  <c r="J2087" i="2"/>
  <c r="H2087" i="2"/>
  <c r="E2087" i="2"/>
  <c r="J2086" i="2"/>
  <c r="H2086" i="2"/>
  <c r="E2086" i="2"/>
  <c r="J2085" i="2"/>
  <c r="H2085" i="2"/>
  <c r="E2085" i="2"/>
  <c r="J2084" i="2"/>
  <c r="H2084" i="2"/>
  <c r="E2084" i="2"/>
  <c r="J2083" i="2"/>
  <c r="H2083" i="2"/>
  <c r="E2083" i="2"/>
  <c r="J2082" i="2"/>
  <c r="H2082" i="2"/>
  <c r="E2082" i="2"/>
  <c r="J2081" i="2"/>
  <c r="H2081" i="2"/>
  <c r="E2081" i="2"/>
  <c r="J2080" i="2"/>
  <c r="H2080" i="2"/>
  <c r="E2080" i="2"/>
  <c r="J2079" i="2"/>
  <c r="H2079" i="2"/>
  <c r="E2079" i="2"/>
  <c r="J2078" i="2"/>
  <c r="H2078" i="2"/>
  <c r="E2078" i="2"/>
  <c r="J2077" i="2"/>
  <c r="H2077" i="2"/>
  <c r="E2077" i="2"/>
  <c r="J2076" i="2"/>
  <c r="H2076" i="2"/>
  <c r="E2076" i="2"/>
  <c r="J2075" i="2"/>
  <c r="H2075" i="2"/>
  <c r="E2075" i="2"/>
  <c r="J2074" i="2"/>
  <c r="H2074" i="2"/>
  <c r="E2074" i="2"/>
  <c r="J2073" i="2"/>
  <c r="H2073" i="2"/>
  <c r="E2073" i="2"/>
  <c r="J2072" i="2"/>
  <c r="H2072" i="2"/>
  <c r="E2072" i="2"/>
  <c r="J2071" i="2"/>
  <c r="H2071" i="2"/>
  <c r="E2071" i="2"/>
  <c r="J2070" i="2"/>
  <c r="H2070" i="2"/>
  <c r="E2070" i="2"/>
  <c r="J2069" i="2"/>
  <c r="H2069" i="2"/>
  <c r="E2069" i="2"/>
  <c r="J2068" i="2"/>
  <c r="H2068" i="2"/>
  <c r="E2068" i="2"/>
  <c r="J2067" i="2"/>
  <c r="H2067" i="2"/>
  <c r="E2067" i="2"/>
  <c r="J2066" i="2"/>
  <c r="H2066" i="2"/>
  <c r="E2066" i="2"/>
  <c r="J2065" i="2"/>
  <c r="H2065" i="2"/>
  <c r="E2065" i="2"/>
  <c r="J2064" i="2"/>
  <c r="H2064" i="2"/>
  <c r="E2064" i="2"/>
  <c r="J2063" i="2"/>
  <c r="H2063" i="2"/>
  <c r="E2063" i="2"/>
  <c r="J2062" i="2"/>
  <c r="H2062" i="2"/>
  <c r="E2062" i="2"/>
  <c r="J2061" i="2"/>
  <c r="H2061" i="2"/>
  <c r="E2061" i="2"/>
  <c r="J2060" i="2"/>
  <c r="H2060" i="2"/>
  <c r="E2060" i="2"/>
  <c r="J2059" i="2"/>
  <c r="H2059" i="2"/>
  <c r="E2059" i="2"/>
  <c r="J2058" i="2"/>
  <c r="H2058" i="2"/>
  <c r="E2058" i="2"/>
  <c r="J2057" i="2"/>
  <c r="H2057" i="2"/>
  <c r="E2057" i="2"/>
  <c r="J2056" i="2"/>
  <c r="H2056" i="2"/>
  <c r="E2056" i="2"/>
  <c r="J2055" i="2"/>
  <c r="H2055" i="2"/>
  <c r="E2055" i="2"/>
  <c r="J2054" i="2"/>
  <c r="H2054" i="2"/>
  <c r="E2054" i="2"/>
  <c r="J2053" i="2"/>
  <c r="H2053" i="2"/>
  <c r="D2053" i="2"/>
  <c r="E2053" i="2" s="1"/>
  <c r="J2052" i="2"/>
  <c r="H2052" i="2"/>
  <c r="E2052" i="2"/>
  <c r="J2051" i="2"/>
  <c r="H2051" i="2"/>
  <c r="E2051" i="2"/>
  <c r="J2050" i="2"/>
  <c r="H2050" i="2"/>
  <c r="E2050" i="2"/>
  <c r="J2049" i="2"/>
  <c r="H2049" i="2"/>
  <c r="E2049" i="2"/>
  <c r="J2048" i="2"/>
  <c r="H2048" i="2"/>
  <c r="E2048" i="2"/>
  <c r="J2047" i="2"/>
  <c r="H2047" i="2"/>
  <c r="E2047" i="2"/>
  <c r="J2046" i="2"/>
  <c r="H2046" i="2"/>
  <c r="D2046" i="2"/>
  <c r="E2046" i="2" s="1"/>
  <c r="J2045" i="2"/>
  <c r="H2045" i="2"/>
  <c r="E2045" i="2"/>
  <c r="J2044" i="2"/>
  <c r="H2044" i="2"/>
  <c r="E2044" i="2"/>
  <c r="J2043" i="2"/>
  <c r="H2043" i="2"/>
  <c r="E2043" i="2"/>
  <c r="J2042" i="2"/>
  <c r="H2042" i="2"/>
  <c r="E2042" i="2"/>
  <c r="J2041" i="2"/>
  <c r="H2041" i="2"/>
  <c r="E2041" i="2"/>
  <c r="J2040" i="2"/>
  <c r="H2040" i="2"/>
  <c r="E2040" i="2"/>
  <c r="J2039" i="2"/>
  <c r="H2039" i="2"/>
  <c r="E2039" i="2"/>
  <c r="J2038" i="2"/>
  <c r="H2038" i="2"/>
  <c r="E2038" i="2"/>
  <c r="J2037" i="2"/>
  <c r="H2037" i="2"/>
  <c r="E2037" i="2"/>
  <c r="J2036" i="2"/>
  <c r="H2036" i="2"/>
  <c r="E2036" i="2"/>
  <c r="J2035" i="2"/>
  <c r="H2035" i="2"/>
  <c r="E2035" i="2"/>
  <c r="J2034" i="2"/>
  <c r="H2034" i="2"/>
  <c r="E2034" i="2"/>
  <c r="J2033" i="2"/>
  <c r="H2033" i="2"/>
  <c r="E2033" i="2"/>
  <c r="J2032" i="2"/>
  <c r="H2032" i="2"/>
  <c r="E2032" i="2"/>
  <c r="J2031" i="2"/>
  <c r="H2031" i="2"/>
  <c r="D2031" i="2"/>
  <c r="E2031" i="2" s="1"/>
  <c r="J2030" i="2"/>
  <c r="H2030" i="2"/>
  <c r="E2030" i="2"/>
  <c r="J2029" i="2"/>
  <c r="H2029" i="2"/>
  <c r="E2029" i="2"/>
  <c r="J2028" i="2"/>
  <c r="H2028" i="2"/>
  <c r="E2028" i="2"/>
  <c r="J2027" i="2"/>
  <c r="H2027" i="2"/>
  <c r="E2027" i="2"/>
  <c r="J2026" i="2"/>
  <c r="H2026" i="2"/>
  <c r="E2026" i="2"/>
  <c r="J2025" i="2"/>
  <c r="H2025" i="2"/>
  <c r="E2025" i="2"/>
  <c r="J2024" i="2"/>
  <c r="H2024" i="2"/>
  <c r="E2024" i="2"/>
  <c r="J2023" i="2"/>
  <c r="H2023" i="2"/>
  <c r="E2023" i="2"/>
  <c r="J2022" i="2"/>
  <c r="H2022" i="2"/>
  <c r="E2022" i="2"/>
  <c r="J2021" i="2"/>
  <c r="H2021" i="2"/>
  <c r="E2021" i="2"/>
  <c r="J2020" i="2"/>
  <c r="H2020" i="2"/>
  <c r="E2020" i="2"/>
  <c r="J2019" i="2"/>
  <c r="H2019" i="2"/>
  <c r="E2019" i="2"/>
  <c r="J2018" i="2"/>
  <c r="H2018" i="2"/>
  <c r="E2018" i="2"/>
  <c r="J2017" i="2"/>
  <c r="H2017" i="2"/>
  <c r="E2017" i="2"/>
  <c r="J2016" i="2"/>
  <c r="H2016" i="2"/>
  <c r="E2016" i="2"/>
  <c r="J2015" i="2"/>
  <c r="H2015" i="2"/>
  <c r="E2015" i="2"/>
  <c r="J2014" i="2"/>
  <c r="H2014" i="2"/>
  <c r="E2014" i="2"/>
  <c r="J2013" i="2"/>
  <c r="H2013" i="2"/>
  <c r="E2013" i="2"/>
  <c r="J2012" i="2"/>
  <c r="H2012" i="2"/>
  <c r="E2012" i="2"/>
  <c r="J2011" i="2"/>
  <c r="H2011" i="2"/>
  <c r="E2011" i="2"/>
  <c r="J2010" i="2"/>
  <c r="H2010" i="2"/>
  <c r="E2010" i="2"/>
  <c r="J2009" i="2"/>
  <c r="H2009" i="2"/>
  <c r="E2009" i="2"/>
  <c r="J2008" i="2"/>
  <c r="H2008" i="2"/>
  <c r="E2008" i="2"/>
  <c r="J2007" i="2"/>
  <c r="H2007" i="2"/>
  <c r="E2007" i="2"/>
  <c r="J2006" i="2"/>
  <c r="H2006" i="2"/>
  <c r="D2006" i="2"/>
  <c r="E2006" i="2" s="1"/>
  <c r="J2005" i="2"/>
  <c r="H2005" i="2"/>
  <c r="E2005" i="2"/>
  <c r="J2004" i="2"/>
  <c r="H2004" i="2"/>
  <c r="E2004" i="2"/>
  <c r="J2003" i="2"/>
  <c r="H2003" i="2"/>
  <c r="E2003" i="2"/>
  <c r="J2002" i="2"/>
  <c r="H2002" i="2"/>
  <c r="E2002" i="2"/>
  <c r="J2001" i="2"/>
  <c r="H2001" i="2"/>
  <c r="E2001" i="2"/>
  <c r="J2000" i="2"/>
  <c r="H2000" i="2"/>
  <c r="E2000" i="2"/>
  <c r="J1999" i="2"/>
  <c r="H1999" i="2"/>
  <c r="E1999" i="2"/>
  <c r="J1998" i="2"/>
  <c r="H1998" i="2"/>
  <c r="E1998" i="2"/>
  <c r="J1997" i="2"/>
  <c r="H1997" i="2"/>
  <c r="E1997" i="2"/>
  <c r="J1996" i="2"/>
  <c r="H1996" i="2"/>
  <c r="E1996" i="2"/>
  <c r="J1995" i="2"/>
  <c r="H1995" i="2"/>
  <c r="E1995" i="2"/>
  <c r="J1994" i="2"/>
  <c r="H1994" i="2"/>
  <c r="E1994" i="2"/>
  <c r="J1993" i="2"/>
  <c r="H1993" i="2"/>
  <c r="E1993" i="2"/>
  <c r="J1992" i="2"/>
  <c r="H1992" i="2"/>
  <c r="E1992" i="2"/>
  <c r="J1991" i="2"/>
  <c r="H1991" i="2"/>
  <c r="E1991" i="2"/>
  <c r="J1990" i="2"/>
  <c r="H1990" i="2"/>
  <c r="E1990" i="2"/>
  <c r="J1989" i="2"/>
  <c r="H1989" i="2"/>
  <c r="E1989" i="2"/>
  <c r="J1988" i="2"/>
  <c r="H1988" i="2"/>
  <c r="E1988" i="2"/>
  <c r="J1987" i="2"/>
  <c r="H1987" i="2"/>
  <c r="E1987" i="2"/>
  <c r="J1986" i="2"/>
  <c r="H1986" i="2"/>
  <c r="E1986" i="2"/>
  <c r="J1985" i="2"/>
  <c r="H1985" i="2"/>
  <c r="E1985" i="2"/>
  <c r="J1984" i="2"/>
  <c r="H1984" i="2"/>
  <c r="E1984" i="2"/>
  <c r="J1983" i="2"/>
  <c r="H1983" i="2"/>
  <c r="E1983" i="2"/>
  <c r="J1982" i="2"/>
  <c r="H1982" i="2"/>
  <c r="E1982" i="2"/>
  <c r="J1981" i="2"/>
  <c r="H1981" i="2"/>
  <c r="E1981" i="2"/>
  <c r="J1980" i="2"/>
  <c r="H1980" i="2"/>
  <c r="E1980" i="2"/>
  <c r="J1979" i="2"/>
  <c r="H1979" i="2"/>
  <c r="E1979" i="2"/>
  <c r="J1978" i="2"/>
  <c r="H1978" i="2"/>
  <c r="E1978" i="2"/>
  <c r="J1977" i="2"/>
  <c r="H1977" i="2"/>
  <c r="E1977" i="2"/>
  <c r="J1976" i="2"/>
  <c r="H1976" i="2"/>
  <c r="E1976" i="2"/>
  <c r="J1975" i="2"/>
  <c r="H1975" i="2"/>
  <c r="E1975" i="2"/>
  <c r="J1974" i="2"/>
  <c r="H1974" i="2"/>
  <c r="E1974" i="2"/>
  <c r="J1973" i="2"/>
  <c r="H1973" i="2"/>
  <c r="E1973" i="2"/>
  <c r="J1972" i="2"/>
  <c r="H1972" i="2"/>
  <c r="E1972" i="2"/>
  <c r="J1971" i="2"/>
  <c r="H1971" i="2"/>
  <c r="E1971" i="2"/>
  <c r="J1970" i="2"/>
  <c r="H1970" i="2"/>
  <c r="E1970" i="2"/>
  <c r="J1969" i="2"/>
  <c r="H1969" i="2"/>
  <c r="E1969" i="2"/>
  <c r="J1968" i="2"/>
  <c r="H1968" i="2"/>
  <c r="E1968" i="2"/>
  <c r="J1967" i="2"/>
  <c r="H1967" i="2"/>
  <c r="D1967" i="2"/>
  <c r="E1967" i="2" s="1"/>
  <c r="J1966" i="2"/>
  <c r="H1966" i="2"/>
  <c r="E1966" i="2"/>
  <c r="J1965" i="2"/>
  <c r="H1965" i="2"/>
  <c r="D1965" i="2"/>
  <c r="E1965" i="2" s="1"/>
  <c r="J1964" i="2"/>
  <c r="H1964" i="2"/>
  <c r="D1964" i="2"/>
  <c r="E1964" i="2" s="1"/>
  <c r="J1963" i="2"/>
  <c r="H1963" i="2"/>
  <c r="E1963" i="2"/>
  <c r="J1962" i="2"/>
  <c r="H1962" i="2"/>
  <c r="E1962" i="2"/>
  <c r="J1961" i="2"/>
  <c r="H1961" i="2"/>
  <c r="E1961" i="2"/>
  <c r="J1960" i="2"/>
  <c r="H1960" i="2"/>
  <c r="E1960" i="2"/>
  <c r="J1959" i="2"/>
  <c r="H1959" i="2"/>
  <c r="E1959" i="2"/>
  <c r="J1958" i="2"/>
  <c r="H1958" i="2"/>
  <c r="E1958" i="2"/>
  <c r="J1957" i="2"/>
  <c r="H1957" i="2"/>
  <c r="D1957" i="2"/>
  <c r="E1957" i="2" s="1"/>
  <c r="J1956" i="2"/>
  <c r="H1956" i="2"/>
  <c r="E1956" i="2"/>
  <c r="J1955" i="2"/>
  <c r="H1955" i="2"/>
  <c r="E1955" i="2"/>
  <c r="J1954" i="2"/>
  <c r="H1954" i="2"/>
  <c r="E1954" i="2"/>
  <c r="J1953" i="2"/>
  <c r="H1953" i="2"/>
  <c r="E1953" i="2"/>
  <c r="J1952" i="2"/>
  <c r="H1952" i="2"/>
  <c r="D1952" i="2"/>
  <c r="E1952" i="2" s="1"/>
  <c r="J1951" i="2"/>
  <c r="H1951" i="2"/>
  <c r="E1951" i="2"/>
  <c r="J1950" i="2"/>
  <c r="H1950" i="2"/>
  <c r="E1950" i="2"/>
  <c r="J1949" i="2"/>
  <c r="H1949" i="2"/>
  <c r="D1949" i="2"/>
  <c r="E1949" i="2" s="1"/>
  <c r="J1948" i="2"/>
  <c r="H1948" i="2"/>
  <c r="E1948" i="2"/>
  <c r="J1947" i="2"/>
  <c r="H1947" i="2"/>
  <c r="E1947" i="2"/>
  <c r="J1946" i="2"/>
  <c r="H1946" i="2"/>
  <c r="E1946" i="2"/>
  <c r="J1945" i="2"/>
  <c r="H1945" i="2"/>
  <c r="E1945" i="2"/>
  <c r="J1944" i="2"/>
  <c r="H1944" i="2"/>
  <c r="D1944" i="2"/>
  <c r="E1944" i="2" s="1"/>
  <c r="J1943" i="2"/>
  <c r="H1943" i="2"/>
  <c r="E1943" i="2"/>
  <c r="J1942" i="2"/>
  <c r="H1942" i="2"/>
  <c r="E1942" i="2"/>
  <c r="J1941" i="2"/>
  <c r="H1941" i="2"/>
  <c r="E1941" i="2"/>
  <c r="J1940" i="2"/>
  <c r="H1940" i="2"/>
  <c r="E1940" i="2"/>
  <c r="J1939" i="2"/>
  <c r="H1939" i="2"/>
  <c r="D1939" i="2"/>
  <c r="E1939" i="2" s="1"/>
  <c r="J1938" i="2"/>
  <c r="H1938" i="2"/>
  <c r="D1938" i="2"/>
  <c r="E1938" i="2" s="1"/>
  <c r="J1937" i="2"/>
  <c r="H1937" i="2"/>
  <c r="E1937" i="2"/>
  <c r="J1936" i="2"/>
  <c r="H1936" i="2"/>
  <c r="E1936" i="2"/>
  <c r="J1935" i="2"/>
  <c r="H1935" i="2"/>
  <c r="E1935" i="2"/>
  <c r="J1934" i="2"/>
  <c r="H1934" i="2"/>
  <c r="E1934" i="2"/>
  <c r="J1933" i="2"/>
  <c r="H1933" i="2"/>
  <c r="E1933" i="2"/>
  <c r="J1932" i="2"/>
  <c r="H1932" i="2"/>
  <c r="E1932" i="2"/>
  <c r="J1931" i="2"/>
  <c r="H1931" i="2"/>
  <c r="E1931" i="2"/>
  <c r="J1930" i="2"/>
  <c r="H1930" i="2"/>
  <c r="E1930" i="2"/>
  <c r="J1929" i="2"/>
  <c r="H1929" i="2"/>
  <c r="E1929" i="2"/>
  <c r="J1928" i="2"/>
  <c r="H1928" i="2"/>
  <c r="E1928" i="2"/>
  <c r="J1927" i="2"/>
  <c r="H1927" i="2"/>
  <c r="E1927" i="2"/>
  <c r="J1926" i="2"/>
  <c r="H1926" i="2"/>
  <c r="E1926" i="2"/>
  <c r="J1925" i="2"/>
  <c r="H1925" i="2"/>
  <c r="E1925" i="2"/>
  <c r="J1924" i="2"/>
  <c r="H1924" i="2"/>
  <c r="E1924" i="2"/>
  <c r="J1923" i="2"/>
  <c r="H1923" i="2"/>
  <c r="E1923" i="2"/>
  <c r="J1922" i="2"/>
  <c r="H1922" i="2"/>
  <c r="E1922" i="2"/>
  <c r="J1921" i="2"/>
  <c r="H1921" i="2"/>
  <c r="E1921" i="2"/>
  <c r="J1920" i="2"/>
  <c r="H1920" i="2"/>
  <c r="E1920" i="2"/>
  <c r="J1919" i="2"/>
  <c r="H1919" i="2"/>
  <c r="E1919" i="2"/>
  <c r="J1918" i="2"/>
  <c r="H1918" i="2"/>
  <c r="E1918" i="2"/>
  <c r="J1917" i="2"/>
  <c r="H1917" i="2"/>
  <c r="E1917" i="2"/>
  <c r="J1916" i="2"/>
  <c r="H1916" i="2"/>
  <c r="E1916" i="2"/>
  <c r="J1915" i="2"/>
  <c r="H1915" i="2"/>
  <c r="E1915" i="2"/>
  <c r="J1914" i="2"/>
  <c r="H1914" i="2"/>
  <c r="E1914" i="2"/>
  <c r="J1913" i="2"/>
  <c r="H1913" i="2"/>
  <c r="E1913" i="2"/>
  <c r="J1912" i="2"/>
  <c r="H1912" i="2"/>
  <c r="E1912" i="2"/>
  <c r="J1911" i="2"/>
  <c r="H1911" i="2"/>
  <c r="E1911" i="2"/>
  <c r="J1910" i="2"/>
  <c r="H1910" i="2"/>
  <c r="E1910" i="2"/>
  <c r="J1909" i="2"/>
  <c r="H1909" i="2"/>
  <c r="E1909" i="2"/>
  <c r="J1908" i="2"/>
  <c r="H1908" i="2"/>
  <c r="E1908" i="2"/>
  <c r="J1907" i="2"/>
  <c r="H1907" i="2"/>
  <c r="E1907" i="2"/>
  <c r="J1906" i="2"/>
  <c r="H1906" i="2"/>
  <c r="E1906" i="2"/>
  <c r="J1905" i="2"/>
  <c r="H1905" i="2"/>
  <c r="E1905" i="2"/>
  <c r="J1904" i="2"/>
  <c r="H1904" i="2"/>
  <c r="E1904" i="2"/>
  <c r="J1903" i="2"/>
  <c r="H1903" i="2"/>
  <c r="D1903" i="2"/>
  <c r="E1903" i="2" s="1"/>
  <c r="J1902" i="2"/>
  <c r="H1902" i="2"/>
  <c r="E1902" i="2"/>
  <c r="J1901" i="2"/>
  <c r="H1901" i="2"/>
  <c r="E1901" i="2"/>
  <c r="J1900" i="2"/>
  <c r="H1900" i="2"/>
  <c r="E1900" i="2"/>
  <c r="J1899" i="2"/>
  <c r="H1899" i="2"/>
  <c r="E1899" i="2"/>
  <c r="J1898" i="2"/>
  <c r="H1898" i="2"/>
  <c r="E1898" i="2"/>
  <c r="J1897" i="2"/>
  <c r="H1897" i="2"/>
  <c r="E1897" i="2"/>
  <c r="J1896" i="2"/>
  <c r="H1896" i="2"/>
  <c r="E1896" i="2"/>
  <c r="J1895" i="2"/>
  <c r="H1895" i="2"/>
  <c r="E1895" i="2"/>
  <c r="J1894" i="2"/>
  <c r="H1894" i="2"/>
  <c r="E1894" i="2"/>
  <c r="J1893" i="2"/>
  <c r="H1893" i="2"/>
  <c r="E1893" i="2"/>
  <c r="J1892" i="2"/>
  <c r="H1892" i="2"/>
  <c r="E1892" i="2"/>
  <c r="J1891" i="2"/>
  <c r="H1891" i="2"/>
  <c r="D1891" i="2"/>
  <c r="E1891" i="2" s="1"/>
  <c r="J1890" i="2"/>
  <c r="H1890" i="2"/>
  <c r="E1890" i="2"/>
  <c r="J1889" i="2"/>
  <c r="H1889" i="2"/>
  <c r="E1889" i="2"/>
  <c r="J1888" i="2"/>
  <c r="H1888" i="2"/>
  <c r="D1888" i="2"/>
  <c r="E1888" i="2" s="1"/>
  <c r="J1887" i="2"/>
  <c r="H1887" i="2"/>
  <c r="E1887" i="2"/>
  <c r="J1886" i="2"/>
  <c r="H1886" i="2"/>
  <c r="E1886" i="2"/>
  <c r="J1885" i="2"/>
  <c r="H1885" i="2"/>
  <c r="D1885" i="2"/>
  <c r="E1885" i="2" s="1"/>
  <c r="J1884" i="2"/>
  <c r="H1884" i="2"/>
  <c r="E1884" i="2"/>
  <c r="J1883" i="2"/>
  <c r="H1883" i="2"/>
  <c r="E1883" i="2"/>
  <c r="J1882" i="2"/>
  <c r="H1882" i="2"/>
  <c r="D1882" i="2"/>
  <c r="E1882" i="2" s="1"/>
  <c r="J1881" i="2"/>
  <c r="H1881" i="2"/>
  <c r="D1881" i="2"/>
  <c r="E1881" i="2" s="1"/>
  <c r="J1880" i="2"/>
  <c r="H1880" i="2"/>
  <c r="E1880" i="2"/>
  <c r="J1879" i="2"/>
  <c r="H1879" i="2"/>
  <c r="E1879" i="2"/>
  <c r="J1878" i="2"/>
  <c r="H1878" i="2"/>
  <c r="E1878" i="2"/>
  <c r="J1877" i="2"/>
  <c r="H1877" i="2"/>
  <c r="E1877" i="2"/>
  <c r="J1876" i="2"/>
  <c r="H1876" i="2"/>
  <c r="D1876" i="2"/>
  <c r="E1876" i="2" s="1"/>
  <c r="J1875" i="2"/>
  <c r="H1875" i="2"/>
  <c r="E1875" i="2"/>
  <c r="J1874" i="2"/>
  <c r="H1874" i="2"/>
  <c r="E1874" i="2"/>
  <c r="J1873" i="2"/>
  <c r="H1873" i="2"/>
  <c r="E1873" i="2"/>
  <c r="J1872" i="2"/>
  <c r="H1872" i="2"/>
  <c r="D1872" i="2"/>
  <c r="E1872" i="2" s="1"/>
  <c r="J1871" i="2"/>
  <c r="H1871" i="2"/>
  <c r="E1871" i="2"/>
  <c r="J1870" i="2"/>
  <c r="H1870" i="2"/>
  <c r="E1870" i="2"/>
  <c r="J1869" i="2"/>
  <c r="H1869" i="2"/>
  <c r="E1869" i="2"/>
  <c r="J1868" i="2"/>
  <c r="H1868" i="2"/>
  <c r="E1868" i="2"/>
  <c r="J1867" i="2"/>
  <c r="H1867" i="2"/>
  <c r="E1867" i="2"/>
  <c r="J1866" i="2"/>
  <c r="H1866" i="2"/>
  <c r="E1866" i="2"/>
  <c r="J1865" i="2"/>
  <c r="H1865" i="2"/>
  <c r="E1865" i="2"/>
  <c r="J1864" i="2"/>
  <c r="H1864" i="2"/>
  <c r="E1864" i="2"/>
  <c r="J1863" i="2"/>
  <c r="H1863" i="2"/>
  <c r="E1863" i="2"/>
  <c r="J1862" i="2"/>
  <c r="H1862" i="2"/>
  <c r="E1862" i="2"/>
  <c r="J1861" i="2"/>
  <c r="H1861" i="2"/>
  <c r="E1861" i="2"/>
  <c r="J1860" i="2"/>
  <c r="H1860" i="2"/>
  <c r="E1860" i="2"/>
  <c r="J1859" i="2"/>
  <c r="H1859" i="2"/>
  <c r="E1859" i="2"/>
  <c r="J1858" i="2"/>
  <c r="H1858" i="2"/>
  <c r="E1858" i="2"/>
  <c r="J1857" i="2"/>
  <c r="H1857" i="2"/>
  <c r="E1857" i="2"/>
  <c r="J1856" i="2"/>
  <c r="H1856" i="2"/>
  <c r="E1856" i="2"/>
  <c r="J1855" i="2"/>
  <c r="H1855" i="2"/>
  <c r="E1855" i="2"/>
  <c r="J1854" i="2"/>
  <c r="H1854" i="2"/>
  <c r="E1854" i="2"/>
  <c r="J1853" i="2"/>
  <c r="H1853" i="2"/>
  <c r="E1853" i="2"/>
  <c r="J1852" i="2"/>
  <c r="H1852" i="2"/>
  <c r="E1852" i="2"/>
  <c r="J1851" i="2"/>
  <c r="H1851" i="2"/>
  <c r="E1851" i="2"/>
  <c r="J1850" i="2"/>
  <c r="H1850" i="2"/>
  <c r="E1850" i="2"/>
  <c r="J1849" i="2"/>
  <c r="H1849" i="2"/>
  <c r="D1849" i="2"/>
  <c r="E1849" i="2" s="1"/>
  <c r="J1848" i="2"/>
  <c r="H1848" i="2"/>
  <c r="E1848" i="2"/>
  <c r="J1847" i="2"/>
  <c r="H1847" i="2"/>
  <c r="E1847" i="2"/>
  <c r="J1846" i="2"/>
  <c r="H1846" i="2"/>
  <c r="E1846" i="2"/>
  <c r="J1845" i="2"/>
  <c r="H1845" i="2"/>
  <c r="E1845" i="2"/>
  <c r="J1844" i="2"/>
  <c r="H1844" i="2"/>
  <c r="D1844" i="2"/>
  <c r="E1844" i="2" s="1"/>
  <c r="J1843" i="2"/>
  <c r="H1843" i="2"/>
  <c r="D1843" i="2"/>
  <c r="E1843" i="2" s="1"/>
  <c r="J1842" i="2"/>
  <c r="H1842" i="2"/>
  <c r="E1842" i="2"/>
  <c r="J1841" i="2"/>
  <c r="H1841" i="2"/>
  <c r="E1841" i="2"/>
  <c r="J1840" i="2"/>
  <c r="H1840" i="2"/>
  <c r="E1840" i="2"/>
  <c r="J1839" i="2"/>
  <c r="H1839" i="2"/>
  <c r="E1839" i="2"/>
  <c r="J1838" i="2"/>
  <c r="H1838" i="2"/>
  <c r="E1838" i="2"/>
  <c r="J1837" i="2"/>
  <c r="H1837" i="2"/>
  <c r="D1837" i="2"/>
  <c r="E1837" i="2" s="1"/>
  <c r="J1836" i="2"/>
  <c r="H1836" i="2"/>
  <c r="D1836" i="2"/>
  <c r="E1836" i="2" s="1"/>
  <c r="J1835" i="2"/>
  <c r="H1835" i="2"/>
  <c r="E1835" i="2"/>
  <c r="J1834" i="2"/>
  <c r="H1834" i="2"/>
  <c r="E1834" i="2"/>
  <c r="J1833" i="2"/>
  <c r="H1833" i="2"/>
  <c r="E1833" i="2"/>
  <c r="J1832" i="2"/>
  <c r="H1832" i="2"/>
  <c r="D1832" i="2"/>
  <c r="E1832" i="2" s="1"/>
  <c r="J1831" i="2"/>
  <c r="H1831" i="2"/>
  <c r="E1831" i="2"/>
  <c r="J1830" i="2"/>
  <c r="H1830" i="2"/>
  <c r="E1830" i="2"/>
  <c r="J1829" i="2"/>
  <c r="H1829" i="2"/>
  <c r="E1829" i="2"/>
  <c r="J1828" i="2"/>
  <c r="H1828" i="2"/>
  <c r="E1828" i="2"/>
  <c r="J1827" i="2"/>
  <c r="H1827" i="2"/>
  <c r="E1827" i="2"/>
  <c r="J1826" i="2"/>
  <c r="H1826" i="2"/>
  <c r="E1826" i="2"/>
  <c r="J1825" i="2"/>
  <c r="H1825" i="2"/>
  <c r="E1825" i="2"/>
  <c r="J1824" i="2"/>
  <c r="H1824" i="2"/>
  <c r="E1824" i="2"/>
  <c r="J1823" i="2"/>
  <c r="H1823" i="2"/>
  <c r="E1823" i="2"/>
  <c r="J1822" i="2"/>
  <c r="H1822" i="2"/>
  <c r="E1822" i="2"/>
  <c r="J1821" i="2"/>
  <c r="H1821" i="2"/>
  <c r="E1821" i="2"/>
  <c r="J1820" i="2"/>
  <c r="H1820" i="2"/>
  <c r="E1820" i="2"/>
  <c r="J1819" i="2"/>
  <c r="H1819" i="2"/>
  <c r="E1819" i="2"/>
  <c r="J1818" i="2"/>
  <c r="H1818" i="2"/>
  <c r="E1818" i="2"/>
  <c r="J1817" i="2"/>
  <c r="H1817" i="2"/>
  <c r="E1817" i="2"/>
  <c r="J1816" i="2"/>
  <c r="H1816" i="2"/>
  <c r="E1816" i="2"/>
  <c r="J1815" i="2"/>
  <c r="H1815" i="2"/>
  <c r="E1815" i="2"/>
  <c r="J1814" i="2"/>
  <c r="H1814" i="2"/>
  <c r="E1814" i="2"/>
  <c r="J1813" i="2"/>
  <c r="H1813" i="2"/>
  <c r="E1813" i="2"/>
  <c r="J1812" i="2"/>
  <c r="H1812" i="2"/>
  <c r="E1812" i="2"/>
  <c r="J1811" i="2"/>
  <c r="H1811" i="2"/>
  <c r="E1811" i="2"/>
  <c r="J1810" i="2"/>
  <c r="H1810" i="2"/>
  <c r="E1810" i="2"/>
  <c r="J1809" i="2"/>
  <c r="H1809" i="2"/>
  <c r="E1809" i="2"/>
  <c r="J1808" i="2"/>
  <c r="H1808" i="2"/>
  <c r="E1808" i="2"/>
  <c r="J1807" i="2"/>
  <c r="H1807" i="2"/>
  <c r="E1807" i="2"/>
  <c r="J1806" i="2"/>
  <c r="H1806" i="2"/>
  <c r="E1806" i="2"/>
  <c r="J1805" i="2"/>
  <c r="H1805" i="2"/>
  <c r="E1805" i="2"/>
  <c r="J1804" i="2"/>
  <c r="H1804" i="2"/>
  <c r="E1804" i="2"/>
  <c r="J1803" i="2"/>
  <c r="H1803" i="2"/>
  <c r="E1803" i="2"/>
  <c r="J1802" i="2"/>
  <c r="H1802" i="2"/>
  <c r="E1802" i="2"/>
  <c r="J1801" i="2"/>
  <c r="H1801" i="2"/>
  <c r="E1801" i="2"/>
  <c r="J1800" i="2"/>
  <c r="H1800" i="2"/>
  <c r="D1800" i="2"/>
  <c r="E1800" i="2" s="1"/>
  <c r="J1799" i="2"/>
  <c r="H1799" i="2"/>
  <c r="D1799" i="2"/>
  <c r="E1799" i="2" s="1"/>
  <c r="J1798" i="2"/>
  <c r="H1798" i="2"/>
  <c r="E1798" i="2"/>
  <c r="J1797" i="2"/>
  <c r="H1797" i="2"/>
  <c r="E1797" i="2"/>
  <c r="J1796" i="2"/>
  <c r="H1796" i="2"/>
  <c r="E1796" i="2"/>
  <c r="J1795" i="2"/>
  <c r="H1795" i="2"/>
  <c r="D1795" i="2"/>
  <c r="E1795" i="2" s="1"/>
  <c r="J1794" i="2"/>
  <c r="H1794" i="2"/>
  <c r="E1794" i="2"/>
  <c r="J1793" i="2"/>
  <c r="H1793" i="2"/>
  <c r="E1793" i="2"/>
  <c r="J1792" i="2"/>
  <c r="H1792" i="2"/>
  <c r="D1792" i="2"/>
  <c r="E1792" i="2" s="1"/>
  <c r="J1791" i="2"/>
  <c r="H1791" i="2"/>
  <c r="E1791" i="2"/>
  <c r="J1790" i="2"/>
  <c r="H1790" i="2"/>
  <c r="E1790" i="2"/>
  <c r="J1789" i="2"/>
  <c r="H1789" i="2"/>
  <c r="E1789" i="2"/>
  <c r="J1788" i="2"/>
  <c r="H1788" i="2"/>
  <c r="E1788" i="2"/>
  <c r="J1787" i="2"/>
  <c r="H1787" i="2"/>
  <c r="E1787" i="2"/>
  <c r="J1786" i="2"/>
  <c r="H1786" i="2"/>
  <c r="E1786" i="2"/>
  <c r="J1785" i="2"/>
  <c r="H1785" i="2"/>
  <c r="E1785" i="2"/>
  <c r="J1784" i="2"/>
  <c r="H1784" i="2"/>
  <c r="E1784" i="2"/>
  <c r="J1783" i="2"/>
  <c r="H1783" i="2"/>
  <c r="E1783" i="2"/>
  <c r="J1782" i="2"/>
  <c r="H1782" i="2"/>
  <c r="D1782" i="2"/>
  <c r="E1782" i="2" s="1"/>
  <c r="J1781" i="2"/>
  <c r="H1781" i="2"/>
  <c r="E1781" i="2"/>
  <c r="J1780" i="2"/>
  <c r="H1780" i="2"/>
  <c r="E1780" i="2"/>
  <c r="J1779" i="2"/>
  <c r="H1779" i="2"/>
  <c r="E1779" i="2"/>
  <c r="J1778" i="2"/>
  <c r="H1778" i="2"/>
  <c r="E1778" i="2"/>
  <c r="J1777" i="2"/>
  <c r="E1777" i="2"/>
  <c r="J1776" i="2"/>
  <c r="H1776" i="2"/>
  <c r="E1776" i="2"/>
  <c r="J1775" i="2"/>
  <c r="H1775" i="2"/>
  <c r="E1775" i="2"/>
  <c r="J1774" i="2"/>
  <c r="H1774" i="2"/>
  <c r="E1774" i="2"/>
  <c r="J1773" i="2"/>
  <c r="H1773" i="2"/>
  <c r="E1773" i="2"/>
  <c r="J1772" i="2"/>
  <c r="H1772" i="2"/>
  <c r="D1772" i="2"/>
  <c r="E1772" i="2" s="1"/>
  <c r="J1771" i="2"/>
  <c r="H1771" i="2"/>
  <c r="E1771" i="2"/>
  <c r="J1770" i="2"/>
  <c r="H1770" i="2"/>
  <c r="E1770" i="2"/>
  <c r="J1769" i="2"/>
  <c r="H1769" i="2"/>
  <c r="E1769" i="2"/>
  <c r="J1768" i="2"/>
  <c r="H1768" i="2"/>
  <c r="E1768" i="2"/>
  <c r="J1767" i="2"/>
  <c r="H1767" i="2"/>
  <c r="E1767" i="2"/>
  <c r="J1766" i="2"/>
  <c r="H1766" i="2"/>
  <c r="E1766" i="2"/>
  <c r="J1765" i="2"/>
  <c r="H1765" i="2"/>
  <c r="E1765" i="2"/>
  <c r="J1764" i="2"/>
  <c r="H1764" i="2"/>
  <c r="E1764" i="2"/>
  <c r="J1763" i="2"/>
  <c r="H1763" i="2"/>
  <c r="E1763" i="2"/>
  <c r="J1762" i="2"/>
  <c r="H1762" i="2"/>
  <c r="E1762" i="2"/>
  <c r="J1761" i="2"/>
  <c r="H1761" i="2"/>
  <c r="E1761" i="2"/>
  <c r="J1760" i="2"/>
  <c r="H1760" i="2"/>
  <c r="E1760" i="2"/>
  <c r="J1759" i="2"/>
  <c r="H1759" i="2"/>
  <c r="E1759" i="2"/>
  <c r="J1758" i="2"/>
  <c r="H1758" i="2"/>
  <c r="E1758" i="2"/>
  <c r="J1757" i="2"/>
  <c r="H1757" i="2"/>
  <c r="D1757" i="2"/>
  <c r="E1757" i="2" s="1"/>
  <c r="J1756" i="2"/>
  <c r="H1756" i="2"/>
  <c r="E1756" i="2"/>
  <c r="J1755" i="2"/>
  <c r="H1755" i="2"/>
  <c r="E1755" i="2"/>
  <c r="J1754" i="2"/>
  <c r="H1754" i="2"/>
  <c r="E1754" i="2"/>
  <c r="J1753" i="2"/>
  <c r="H1753" i="2"/>
  <c r="E1753" i="2"/>
  <c r="J1752" i="2"/>
  <c r="H1752" i="2"/>
  <c r="E1752" i="2"/>
  <c r="J1751" i="2"/>
  <c r="H1751" i="2"/>
  <c r="E1751" i="2"/>
  <c r="J1750" i="2"/>
  <c r="H1750" i="2"/>
  <c r="E1750" i="2"/>
  <c r="J1749" i="2"/>
  <c r="H1749" i="2"/>
  <c r="E1749" i="2"/>
  <c r="J1748" i="2"/>
  <c r="H1748" i="2"/>
  <c r="E1748" i="2"/>
  <c r="J1747" i="2"/>
  <c r="H1747" i="2"/>
  <c r="E1747" i="2"/>
  <c r="J1746" i="2"/>
  <c r="H1746" i="2"/>
  <c r="E1746" i="2"/>
  <c r="J1745" i="2"/>
  <c r="H1745" i="2"/>
  <c r="E1745" i="2"/>
  <c r="J1744" i="2"/>
  <c r="H1744" i="2"/>
  <c r="E1744" i="2"/>
  <c r="J1743" i="2"/>
  <c r="H1743" i="2"/>
  <c r="E1743" i="2"/>
  <c r="J1742" i="2"/>
  <c r="H1742" i="2"/>
  <c r="E1742" i="2"/>
  <c r="J1741" i="2"/>
  <c r="H1741" i="2"/>
  <c r="E1741" i="2"/>
  <c r="J1740" i="2"/>
  <c r="H1740" i="2"/>
  <c r="E1740" i="2"/>
  <c r="J1739" i="2"/>
  <c r="H1739" i="2"/>
  <c r="E1739" i="2"/>
  <c r="J1738" i="2"/>
  <c r="H1738" i="2"/>
  <c r="E1738" i="2"/>
  <c r="J1737" i="2"/>
  <c r="H1737" i="2"/>
  <c r="E1737" i="2"/>
  <c r="J1736" i="2"/>
  <c r="H1736" i="2"/>
  <c r="E1736" i="2"/>
  <c r="J1735" i="2"/>
  <c r="H1735" i="2"/>
  <c r="E1735" i="2"/>
  <c r="J1734" i="2"/>
  <c r="H1734" i="2"/>
  <c r="E1734" i="2"/>
  <c r="J1733" i="2"/>
  <c r="H1733" i="2"/>
  <c r="E1733" i="2"/>
  <c r="J1732" i="2"/>
  <c r="H1732" i="2"/>
  <c r="D1732" i="2"/>
  <c r="E1732" i="2" s="1"/>
  <c r="J1731" i="2"/>
  <c r="H1731" i="2"/>
  <c r="E1731" i="2"/>
  <c r="J1730" i="2"/>
  <c r="H1730" i="2"/>
  <c r="E1730" i="2"/>
  <c r="J1729" i="2"/>
  <c r="H1729" i="2"/>
  <c r="E1729" i="2"/>
  <c r="J1728" i="2"/>
  <c r="H1728" i="2"/>
  <c r="E1728" i="2"/>
  <c r="J1727" i="2"/>
  <c r="H1727" i="2"/>
  <c r="E1727" i="2"/>
  <c r="J1726" i="2"/>
  <c r="H1726" i="2"/>
  <c r="E1726" i="2"/>
  <c r="J1725" i="2"/>
  <c r="H1725" i="2"/>
  <c r="E1725" i="2"/>
  <c r="J1724" i="2"/>
  <c r="H1724" i="2"/>
  <c r="D1724" i="2"/>
  <c r="E1724" i="2" s="1"/>
  <c r="J1723" i="2"/>
  <c r="H1723" i="2"/>
  <c r="E1723" i="2"/>
  <c r="J1722" i="2"/>
  <c r="H1722" i="2"/>
  <c r="D1722" i="2"/>
  <c r="E1722" i="2" s="1"/>
  <c r="J1721" i="2"/>
  <c r="H1721" i="2"/>
  <c r="D1721" i="2"/>
  <c r="E1721" i="2" s="1"/>
  <c r="J1720" i="2"/>
  <c r="H1720" i="2"/>
  <c r="E1720" i="2"/>
  <c r="J1719" i="2"/>
  <c r="H1719" i="2"/>
  <c r="E1719" i="2"/>
  <c r="J1718" i="2"/>
  <c r="H1718" i="2"/>
  <c r="E1718" i="2"/>
  <c r="J1717" i="2"/>
  <c r="H1717" i="2"/>
  <c r="E1717" i="2"/>
  <c r="J1716" i="2"/>
  <c r="H1716" i="2"/>
  <c r="E1716" i="2"/>
  <c r="J1715" i="2"/>
  <c r="H1715" i="2"/>
  <c r="E1715" i="2"/>
  <c r="J1714" i="2"/>
  <c r="H1714" i="2"/>
  <c r="E1714" i="2"/>
  <c r="J1713" i="2"/>
  <c r="H1713" i="2"/>
  <c r="D1713" i="2"/>
  <c r="E1713" i="2" s="1"/>
  <c r="J1712" i="2"/>
  <c r="H1712" i="2"/>
  <c r="E1712" i="2"/>
  <c r="J1711" i="2"/>
  <c r="H1711" i="2"/>
  <c r="E1711" i="2"/>
  <c r="J1710" i="2"/>
  <c r="H1710" i="2"/>
  <c r="E1710" i="2"/>
  <c r="J1709" i="2"/>
  <c r="H1709" i="2"/>
  <c r="E1709" i="2"/>
  <c r="J1708" i="2"/>
  <c r="H1708" i="2"/>
  <c r="E1708" i="2"/>
  <c r="J1707" i="2"/>
  <c r="H1707" i="2"/>
  <c r="E1707" i="2"/>
  <c r="J1706" i="2"/>
  <c r="H1706" i="2"/>
  <c r="E1706" i="2"/>
  <c r="J1705" i="2"/>
  <c r="H1705" i="2"/>
  <c r="E1705" i="2"/>
  <c r="J1704" i="2"/>
  <c r="H1704" i="2"/>
  <c r="E1704" i="2"/>
  <c r="J1703" i="2"/>
  <c r="H1703" i="2"/>
  <c r="E1703" i="2"/>
  <c r="J1702" i="2"/>
  <c r="H1702" i="2"/>
  <c r="E1702" i="2"/>
  <c r="J1701" i="2"/>
  <c r="H1701" i="2"/>
  <c r="E1701" i="2"/>
  <c r="J1700" i="2"/>
  <c r="H1700" i="2"/>
  <c r="D1700" i="2"/>
  <c r="E1700" i="2" s="1"/>
  <c r="J1699" i="2"/>
  <c r="H1699" i="2"/>
  <c r="E1699" i="2"/>
  <c r="J1698" i="2"/>
  <c r="H1698" i="2"/>
  <c r="E1698" i="2"/>
  <c r="J1697" i="2"/>
  <c r="H1697" i="2"/>
  <c r="E1697" i="2"/>
  <c r="J1696" i="2"/>
  <c r="H1696" i="2"/>
  <c r="E1696" i="2"/>
  <c r="J1695" i="2"/>
  <c r="H1695" i="2"/>
  <c r="E1695" i="2"/>
  <c r="J1694" i="2"/>
  <c r="H1694" i="2"/>
  <c r="E1694" i="2"/>
  <c r="J1693" i="2"/>
  <c r="H1693" i="2"/>
  <c r="E1693" i="2"/>
  <c r="J1692" i="2"/>
  <c r="H1692" i="2"/>
  <c r="E1692" i="2"/>
  <c r="J1691" i="2"/>
  <c r="H1691" i="2"/>
  <c r="E1691" i="2"/>
  <c r="J1690" i="2"/>
  <c r="H1690" i="2"/>
  <c r="E1690" i="2"/>
  <c r="J1689" i="2"/>
  <c r="H1689" i="2"/>
  <c r="E1689" i="2"/>
  <c r="J1688" i="2"/>
  <c r="H1688" i="2"/>
  <c r="E1688" i="2"/>
  <c r="J1687" i="2"/>
  <c r="H1687" i="2"/>
  <c r="E1687" i="2"/>
  <c r="J1686" i="2"/>
  <c r="H1686" i="2"/>
  <c r="E1686" i="2"/>
  <c r="J1685" i="2"/>
  <c r="H1685" i="2"/>
  <c r="E1685" i="2"/>
  <c r="J1684" i="2"/>
  <c r="H1684" i="2"/>
  <c r="E1684" i="2"/>
  <c r="J1683" i="2"/>
  <c r="H1683" i="2"/>
  <c r="E1683" i="2"/>
  <c r="J1682" i="2"/>
  <c r="H1682" i="2"/>
  <c r="E1682" i="2"/>
  <c r="J1681" i="2"/>
  <c r="H1681" i="2"/>
  <c r="E1681" i="2"/>
  <c r="J1680" i="2"/>
  <c r="H1680" i="2"/>
  <c r="E1680" i="2"/>
  <c r="J1679" i="2"/>
  <c r="H1679" i="2"/>
  <c r="E1679" i="2"/>
  <c r="J1678" i="2"/>
  <c r="H1678" i="2"/>
  <c r="E1678" i="2"/>
  <c r="J1677" i="2"/>
  <c r="H1677" i="2"/>
  <c r="E1677" i="2"/>
  <c r="J1676" i="2"/>
  <c r="H1676" i="2"/>
  <c r="E1676" i="2"/>
  <c r="J1675" i="2"/>
  <c r="H1675" i="2"/>
  <c r="E1675" i="2"/>
  <c r="J1674" i="2"/>
  <c r="H1674" i="2"/>
  <c r="E1674" i="2"/>
  <c r="J1673" i="2"/>
  <c r="H1673" i="2"/>
  <c r="E1673" i="2"/>
  <c r="J1672" i="2"/>
  <c r="H1672" i="2"/>
  <c r="E1672" i="2"/>
  <c r="J1671" i="2"/>
  <c r="H1671" i="2"/>
  <c r="E1671" i="2"/>
  <c r="J1670" i="2"/>
  <c r="H1670" i="2"/>
  <c r="E1670" i="2"/>
  <c r="J1669" i="2"/>
  <c r="H1669" i="2"/>
  <c r="E1669" i="2"/>
  <c r="J1668" i="2"/>
  <c r="H1668" i="2"/>
  <c r="E1668" i="2"/>
  <c r="J1667" i="2"/>
  <c r="H1667" i="2"/>
  <c r="E1667" i="2"/>
  <c r="J1666" i="2"/>
  <c r="H1666" i="2"/>
  <c r="E1666" i="2"/>
  <c r="J1665" i="2"/>
  <c r="H1665" i="2"/>
  <c r="D1665" i="2"/>
  <c r="E1665" i="2" s="1"/>
  <c r="J1664" i="2"/>
  <c r="H1664" i="2"/>
  <c r="E1664" i="2"/>
  <c r="J1663" i="2"/>
  <c r="H1663" i="2"/>
  <c r="E1663" i="2"/>
  <c r="J1662" i="2"/>
  <c r="H1662" i="2"/>
  <c r="E1662" i="2"/>
  <c r="J1661" i="2"/>
  <c r="H1661" i="2"/>
  <c r="E1661" i="2"/>
  <c r="J1660" i="2"/>
  <c r="H1660" i="2"/>
  <c r="E1660" i="2"/>
  <c r="J1659" i="2"/>
  <c r="H1659" i="2"/>
  <c r="E1659" i="2"/>
  <c r="J1658" i="2"/>
  <c r="H1658" i="2"/>
  <c r="E1658" i="2"/>
  <c r="J1657" i="2"/>
  <c r="H1657" i="2"/>
  <c r="E1657" i="2"/>
  <c r="J1656" i="2"/>
  <c r="H1656" i="2"/>
  <c r="E1656" i="2"/>
  <c r="J1655" i="2"/>
  <c r="H1655" i="2"/>
  <c r="E1655" i="2"/>
  <c r="J1654" i="2"/>
  <c r="H1654" i="2"/>
  <c r="E1654" i="2"/>
  <c r="J1653" i="2"/>
  <c r="H1653" i="2"/>
  <c r="E1653" i="2"/>
  <c r="J1652" i="2"/>
  <c r="H1652" i="2"/>
  <c r="E1652" i="2"/>
  <c r="J1651" i="2"/>
  <c r="H1651" i="2"/>
  <c r="E1651" i="2"/>
  <c r="J1650" i="2"/>
  <c r="H1650" i="2"/>
  <c r="E1650" i="2"/>
  <c r="J1649" i="2"/>
  <c r="H1649" i="2"/>
  <c r="E1649" i="2"/>
  <c r="J1648" i="2"/>
  <c r="H1648" i="2"/>
  <c r="E1648" i="2"/>
  <c r="J1647" i="2"/>
  <c r="H1647" i="2"/>
  <c r="E1647" i="2"/>
  <c r="J1646" i="2"/>
  <c r="H1646" i="2"/>
  <c r="E1646" i="2"/>
  <c r="J1645" i="2"/>
  <c r="H1645" i="2"/>
  <c r="E1645" i="2"/>
  <c r="J1644" i="2"/>
  <c r="H1644" i="2"/>
  <c r="E1644" i="2"/>
  <c r="J1643" i="2"/>
  <c r="H1643" i="2"/>
  <c r="E1643" i="2"/>
  <c r="J1642" i="2"/>
  <c r="H1642" i="2"/>
  <c r="E1642" i="2"/>
  <c r="J1641" i="2"/>
  <c r="H1641" i="2"/>
  <c r="E1641" i="2"/>
  <c r="J1640" i="2"/>
  <c r="H1640" i="2"/>
  <c r="E1640" i="2"/>
  <c r="J1639" i="2"/>
  <c r="H1639" i="2"/>
  <c r="E1639" i="2"/>
  <c r="J1638" i="2"/>
  <c r="H1638" i="2"/>
  <c r="E1638" i="2"/>
  <c r="J1637" i="2"/>
  <c r="H1637" i="2"/>
  <c r="E1637" i="2"/>
  <c r="J1636" i="2"/>
  <c r="H1636" i="2"/>
  <c r="E1636" i="2"/>
  <c r="J1635" i="2"/>
  <c r="H1635" i="2"/>
  <c r="E1635" i="2"/>
  <c r="J1634" i="2"/>
  <c r="H1634" i="2"/>
  <c r="E1634" i="2"/>
  <c r="J1633" i="2"/>
  <c r="H1633" i="2"/>
  <c r="E1633" i="2"/>
  <c r="J1632" i="2"/>
  <c r="H1632" i="2"/>
  <c r="E1632" i="2"/>
  <c r="J1631" i="2"/>
  <c r="H1631" i="2"/>
  <c r="E1631" i="2"/>
  <c r="J1630" i="2"/>
  <c r="H1630" i="2"/>
  <c r="E1630" i="2"/>
  <c r="J1629" i="2"/>
  <c r="H1629" i="2"/>
  <c r="E1629" i="2"/>
  <c r="J1628" i="2"/>
  <c r="H1628" i="2"/>
  <c r="D1628" i="2"/>
  <c r="E1628" i="2" s="1"/>
  <c r="J1627" i="2"/>
  <c r="H1627" i="2"/>
  <c r="E1627" i="2"/>
  <c r="J1626" i="2"/>
  <c r="H1626" i="2"/>
  <c r="E1626" i="2"/>
  <c r="J1625" i="2"/>
  <c r="H1625" i="2"/>
  <c r="E1625" i="2"/>
  <c r="J1624" i="2"/>
  <c r="H1624" i="2"/>
  <c r="E1624" i="2"/>
  <c r="J1623" i="2"/>
  <c r="H1623" i="2"/>
  <c r="E1623" i="2"/>
  <c r="J1622" i="2"/>
  <c r="H1622" i="2"/>
  <c r="E1622" i="2"/>
  <c r="J1621" i="2"/>
  <c r="H1621" i="2"/>
  <c r="E1621" i="2"/>
  <c r="J1620" i="2"/>
  <c r="H1620" i="2"/>
  <c r="E1620" i="2"/>
  <c r="J1619" i="2"/>
  <c r="H1619" i="2"/>
  <c r="E1619" i="2"/>
  <c r="J1618" i="2"/>
  <c r="H1618" i="2"/>
  <c r="D1618" i="2"/>
  <c r="E1618" i="2" s="1"/>
  <c r="J1617" i="2"/>
  <c r="H1617" i="2"/>
  <c r="E1617" i="2"/>
  <c r="J1616" i="2"/>
  <c r="H1616" i="2"/>
  <c r="E1616" i="2"/>
  <c r="J1615" i="2"/>
  <c r="H1615" i="2"/>
  <c r="E1615" i="2"/>
  <c r="J1614" i="2"/>
  <c r="H1614" i="2"/>
  <c r="E1614" i="2"/>
  <c r="J1613" i="2"/>
  <c r="H1613" i="2"/>
  <c r="E1613" i="2"/>
  <c r="J1612" i="2"/>
  <c r="H1612" i="2"/>
  <c r="E1612" i="2"/>
  <c r="J1611" i="2"/>
  <c r="H1611" i="2"/>
  <c r="E1611" i="2"/>
  <c r="J1610" i="2"/>
  <c r="H1610" i="2"/>
  <c r="E1610" i="2"/>
  <c r="J1609" i="2"/>
  <c r="H1609" i="2"/>
  <c r="E1609" i="2"/>
  <c r="J1608" i="2"/>
  <c r="H1608" i="2"/>
  <c r="E1608" i="2"/>
  <c r="J1607" i="2"/>
  <c r="H1607" i="2"/>
  <c r="E1607" i="2"/>
  <c r="J1606" i="2"/>
  <c r="H1606" i="2"/>
  <c r="E1606" i="2"/>
  <c r="J1605" i="2"/>
  <c r="H1605" i="2"/>
  <c r="E1605" i="2"/>
  <c r="J1604" i="2"/>
  <c r="H1604" i="2"/>
  <c r="E1604" i="2"/>
  <c r="J1603" i="2"/>
  <c r="H1603" i="2"/>
  <c r="E1603" i="2"/>
  <c r="J1602" i="2"/>
  <c r="H1602" i="2"/>
  <c r="E1602" i="2"/>
  <c r="J1601" i="2"/>
  <c r="H1601" i="2"/>
  <c r="E1601" i="2"/>
  <c r="J1600" i="2"/>
  <c r="H1600" i="2"/>
  <c r="E1600" i="2"/>
  <c r="J1599" i="2"/>
  <c r="H1599" i="2"/>
  <c r="E1599" i="2"/>
  <c r="J1598" i="2"/>
  <c r="H1598" i="2"/>
  <c r="E1598" i="2"/>
  <c r="J1597" i="2"/>
  <c r="H1597" i="2"/>
  <c r="E1597" i="2"/>
  <c r="J1596" i="2"/>
  <c r="H1596" i="2"/>
  <c r="E1596" i="2"/>
  <c r="J1595" i="2"/>
  <c r="H1595" i="2"/>
  <c r="E1595" i="2"/>
  <c r="J1594" i="2"/>
  <c r="H1594" i="2"/>
  <c r="E1594" i="2"/>
  <c r="J1593" i="2"/>
  <c r="H1593" i="2"/>
  <c r="E1593" i="2"/>
  <c r="J1592" i="2"/>
  <c r="H1592" i="2"/>
  <c r="E1592" i="2"/>
  <c r="J1591" i="2"/>
  <c r="H1591" i="2"/>
  <c r="E1591" i="2"/>
  <c r="J1590" i="2"/>
  <c r="H1590" i="2"/>
  <c r="D1590" i="2"/>
  <c r="E1590" i="2" s="1"/>
  <c r="J1589" i="2"/>
  <c r="H1589" i="2"/>
  <c r="E1589" i="2"/>
  <c r="J1588" i="2"/>
  <c r="H1588" i="2"/>
  <c r="E1588" i="2"/>
  <c r="J1587" i="2"/>
  <c r="H1587" i="2"/>
  <c r="D1587" i="2"/>
  <c r="E1587" i="2" s="1"/>
  <c r="J1586" i="2"/>
  <c r="H1586" i="2"/>
  <c r="E1586" i="2"/>
  <c r="J1585" i="2"/>
  <c r="H1585" i="2"/>
  <c r="E1585" i="2"/>
  <c r="J1584" i="2"/>
  <c r="H1584" i="2"/>
  <c r="E1584" i="2"/>
  <c r="J1583" i="2"/>
  <c r="H1583" i="2"/>
  <c r="D1583" i="2"/>
  <c r="E1583" i="2" s="1"/>
  <c r="J1582" i="2"/>
  <c r="H1582" i="2"/>
  <c r="D1582" i="2"/>
  <c r="E1582" i="2" s="1"/>
  <c r="J1581" i="2"/>
  <c r="H1581" i="2"/>
  <c r="E1581" i="2"/>
  <c r="J1580" i="2"/>
  <c r="H1580" i="2"/>
  <c r="D1580" i="2"/>
  <c r="E1580" i="2" s="1"/>
  <c r="J1579" i="2"/>
  <c r="H1579" i="2"/>
  <c r="E1579" i="2"/>
  <c r="J1578" i="2"/>
  <c r="H1578" i="2"/>
  <c r="E1578" i="2"/>
  <c r="J1577" i="2"/>
  <c r="H1577" i="2"/>
  <c r="D1577" i="2"/>
  <c r="E1577" i="2" s="1"/>
  <c r="J1576" i="2"/>
  <c r="H1576" i="2"/>
  <c r="E1576" i="2"/>
  <c r="J1575" i="2"/>
  <c r="H1575" i="2"/>
  <c r="E1575" i="2"/>
  <c r="J1574" i="2"/>
  <c r="H1574" i="2"/>
  <c r="D1574" i="2"/>
  <c r="E1574" i="2" s="1"/>
  <c r="J1573" i="2"/>
  <c r="H1573" i="2"/>
  <c r="E1573" i="2"/>
  <c r="J1572" i="2"/>
  <c r="H1572" i="2"/>
  <c r="E1572" i="2"/>
  <c r="J1571" i="2"/>
  <c r="H1571" i="2"/>
  <c r="E1571" i="2"/>
  <c r="J1570" i="2"/>
  <c r="H1570" i="2"/>
  <c r="E1570" i="2"/>
  <c r="J1569" i="2"/>
  <c r="H1569" i="2"/>
  <c r="E1569" i="2"/>
  <c r="J1568" i="2"/>
  <c r="H1568" i="2"/>
  <c r="E1568" i="2"/>
  <c r="J1567" i="2"/>
  <c r="H1567" i="2"/>
  <c r="E1567" i="2"/>
  <c r="J1566" i="2"/>
  <c r="H1566" i="2"/>
  <c r="E1566" i="2"/>
  <c r="J1565" i="2"/>
  <c r="H1565" i="2"/>
  <c r="E1565" i="2"/>
  <c r="J1564" i="2"/>
  <c r="H1564" i="2"/>
  <c r="E1564" i="2"/>
  <c r="J1563" i="2"/>
  <c r="H1563" i="2"/>
  <c r="E1563" i="2"/>
  <c r="J1562" i="2"/>
  <c r="H1562" i="2"/>
  <c r="E1562" i="2"/>
  <c r="J1561" i="2"/>
  <c r="H1561" i="2"/>
  <c r="E1561" i="2"/>
  <c r="J1560" i="2"/>
  <c r="H1560" i="2"/>
  <c r="E1560" i="2"/>
  <c r="J1559" i="2"/>
  <c r="H1559" i="2"/>
  <c r="E1559" i="2"/>
  <c r="J1558" i="2"/>
  <c r="H1558" i="2"/>
  <c r="E1558" i="2"/>
  <c r="J1557" i="2"/>
  <c r="H1557" i="2"/>
  <c r="D1557" i="2"/>
  <c r="E1557" i="2" s="1"/>
  <c r="J1556" i="2"/>
  <c r="H1556" i="2"/>
  <c r="E1556" i="2"/>
  <c r="J1555" i="2"/>
  <c r="H1555" i="2"/>
  <c r="D1555" i="2"/>
  <c r="E1555" i="2" s="1"/>
  <c r="J1554" i="2"/>
  <c r="H1554" i="2"/>
  <c r="D1554" i="2"/>
  <c r="E1554" i="2" s="1"/>
  <c r="J1553" i="2"/>
  <c r="H1553" i="2"/>
  <c r="E1553" i="2"/>
  <c r="J1552" i="2"/>
  <c r="H1552" i="2"/>
  <c r="E1552" i="2"/>
  <c r="J1551" i="2"/>
  <c r="H1551" i="2"/>
  <c r="E1551" i="2"/>
  <c r="J1550" i="2"/>
  <c r="H1550" i="2"/>
  <c r="E1550" i="2"/>
  <c r="J1549" i="2"/>
  <c r="H1549" i="2"/>
  <c r="E1549" i="2"/>
  <c r="J1548" i="2"/>
  <c r="H1548" i="2"/>
  <c r="E1548" i="2"/>
  <c r="J1547" i="2"/>
  <c r="H1547" i="2"/>
  <c r="E1547" i="2"/>
  <c r="J1546" i="2"/>
  <c r="H1546" i="2"/>
  <c r="C1546" i="2"/>
  <c r="E1546" i="2" s="1"/>
  <c r="J1545" i="2"/>
  <c r="H1545" i="2"/>
  <c r="E1545" i="2"/>
  <c r="J1544" i="2"/>
  <c r="H1544" i="2"/>
  <c r="D1544" i="2"/>
  <c r="E1544" i="2" s="1"/>
  <c r="J1543" i="2"/>
  <c r="H1543" i="2"/>
  <c r="E1543" i="2"/>
  <c r="J1542" i="2"/>
  <c r="H1542" i="2"/>
  <c r="E1542" i="2"/>
  <c r="J1541" i="2"/>
  <c r="H1541" i="2"/>
  <c r="E1541" i="2"/>
  <c r="J1540" i="2"/>
  <c r="H1540" i="2"/>
  <c r="E1540" i="2"/>
  <c r="J1539" i="2"/>
  <c r="H1539" i="2"/>
  <c r="E1539" i="2"/>
  <c r="J1538" i="2"/>
  <c r="H1538" i="2"/>
  <c r="E1538" i="2"/>
  <c r="J1537" i="2"/>
  <c r="H1537" i="2"/>
  <c r="D1537" i="2"/>
  <c r="E1537" i="2" s="1"/>
  <c r="J1536" i="2"/>
  <c r="H1536" i="2"/>
  <c r="E1536" i="2"/>
  <c r="J1535" i="2"/>
  <c r="H1535" i="2"/>
  <c r="E1535" i="2"/>
  <c r="J1534" i="2"/>
  <c r="H1534" i="2"/>
  <c r="E1534" i="2"/>
  <c r="J1533" i="2"/>
  <c r="H1533" i="2"/>
  <c r="E1533" i="2"/>
  <c r="J1532" i="2"/>
  <c r="H1532" i="2"/>
  <c r="D1532" i="2"/>
  <c r="E1532" i="2" s="1"/>
  <c r="J1531" i="2"/>
  <c r="H1531" i="2"/>
  <c r="E1531" i="2"/>
  <c r="J1530" i="2"/>
  <c r="H1530" i="2"/>
  <c r="E1530" i="2"/>
  <c r="J1529" i="2"/>
  <c r="H1529" i="2"/>
  <c r="D1529" i="2"/>
  <c r="E1529" i="2" s="1"/>
  <c r="J1528" i="2"/>
  <c r="H1528" i="2"/>
  <c r="E1528" i="2"/>
  <c r="J1527" i="2"/>
  <c r="H1527" i="2"/>
  <c r="E1527" i="2"/>
  <c r="J1526" i="2"/>
  <c r="H1526" i="2"/>
  <c r="E1526" i="2"/>
  <c r="J1525" i="2"/>
  <c r="H1525" i="2"/>
  <c r="E1525" i="2"/>
  <c r="J1524" i="2"/>
  <c r="H1524" i="2"/>
  <c r="E1524" i="2"/>
  <c r="J1523" i="2"/>
  <c r="H1523" i="2"/>
  <c r="E1523" i="2"/>
  <c r="J1522" i="2"/>
  <c r="H1522" i="2"/>
  <c r="E1522" i="2"/>
  <c r="J1521" i="2"/>
  <c r="H1521" i="2"/>
  <c r="E1521" i="2"/>
  <c r="J1520" i="2"/>
  <c r="H1520" i="2"/>
  <c r="E1520" i="2"/>
  <c r="J1519" i="2"/>
  <c r="H1519" i="2"/>
  <c r="D1519" i="2"/>
  <c r="E1519" i="2" s="1"/>
  <c r="J1518" i="2"/>
  <c r="H1518" i="2"/>
  <c r="E1518" i="2"/>
  <c r="J1517" i="2"/>
  <c r="H1517" i="2"/>
  <c r="E1517" i="2"/>
  <c r="J1516" i="2"/>
  <c r="H1516" i="2"/>
  <c r="E1516" i="2"/>
  <c r="J1515" i="2"/>
  <c r="H1515" i="2"/>
  <c r="E1515" i="2"/>
  <c r="J1514" i="2"/>
  <c r="H1514" i="2"/>
  <c r="E1514" i="2"/>
  <c r="J1513" i="2"/>
  <c r="H1513" i="2"/>
  <c r="E1513" i="2"/>
  <c r="J1512" i="2"/>
  <c r="H1512" i="2"/>
  <c r="E1512" i="2"/>
  <c r="J1511" i="2"/>
  <c r="H1511" i="2"/>
  <c r="E1511" i="2"/>
  <c r="J1510" i="2"/>
  <c r="H1510" i="2"/>
  <c r="E1510" i="2"/>
  <c r="J1509" i="2"/>
  <c r="H1509" i="2"/>
  <c r="E1509" i="2"/>
  <c r="J1508" i="2"/>
  <c r="H1508" i="2"/>
  <c r="E1508" i="2"/>
  <c r="J1507" i="2"/>
  <c r="H1507" i="2"/>
  <c r="D1507" i="2"/>
  <c r="E1507" i="2" s="1"/>
  <c r="J1506" i="2"/>
  <c r="H1506" i="2"/>
  <c r="E1506" i="2"/>
  <c r="J1505" i="2"/>
  <c r="H1505" i="2"/>
  <c r="E1505" i="2"/>
  <c r="J1504" i="2"/>
  <c r="H1504" i="2"/>
  <c r="E1504" i="2"/>
  <c r="J1503" i="2"/>
  <c r="H1503" i="2"/>
  <c r="E1503" i="2"/>
  <c r="J1502" i="2"/>
  <c r="H1502" i="2"/>
  <c r="E1502" i="2"/>
  <c r="J1501" i="2"/>
  <c r="H1501" i="2"/>
  <c r="E1501" i="2"/>
  <c r="J1500" i="2"/>
  <c r="H1500" i="2"/>
  <c r="E1500" i="2"/>
  <c r="J1499" i="2"/>
  <c r="H1499" i="2"/>
  <c r="D1499" i="2"/>
  <c r="E1499" i="2" s="1"/>
  <c r="J1498" i="2"/>
  <c r="H1498" i="2"/>
  <c r="E1498" i="2"/>
  <c r="J1497" i="2"/>
  <c r="H1497" i="2"/>
  <c r="E1497" i="2"/>
  <c r="J1496" i="2"/>
  <c r="H1496" i="2"/>
  <c r="E1496" i="2"/>
  <c r="J1495" i="2"/>
  <c r="H1495" i="2"/>
  <c r="E1495" i="2"/>
  <c r="J1494" i="2"/>
  <c r="H1494" i="2"/>
  <c r="E1494" i="2"/>
  <c r="J1493" i="2"/>
  <c r="H1493" i="2"/>
  <c r="E1493" i="2"/>
  <c r="J1492" i="2"/>
  <c r="H1492" i="2"/>
  <c r="E1492" i="2"/>
  <c r="J1491" i="2"/>
  <c r="H1491" i="2"/>
  <c r="E1491" i="2"/>
  <c r="J1490" i="2"/>
  <c r="H1490" i="2"/>
  <c r="E1490" i="2"/>
  <c r="J1469" i="2"/>
  <c r="H1469" i="2"/>
  <c r="E1469" i="2"/>
  <c r="E1377" i="2" l="1"/>
  <c r="H1377" i="2"/>
  <c r="J1377" i="2"/>
  <c r="E916" i="2" l="1"/>
  <c r="H916" i="2"/>
  <c r="J916" i="2"/>
  <c r="J737" i="2" l="1"/>
  <c r="H737" i="2"/>
  <c r="E737" i="2"/>
  <c r="D714" i="2"/>
  <c r="D688" i="2"/>
  <c r="C1221" i="1" l="1"/>
  <c r="J664" i="2"/>
  <c r="H664" i="2"/>
  <c r="E664" i="2"/>
  <c r="J656" i="2"/>
  <c r="H656" i="2"/>
  <c r="D656" i="2"/>
  <c r="E656" i="2" s="1"/>
  <c r="J655" i="2"/>
  <c r="H655" i="2"/>
  <c r="E655" i="2"/>
  <c r="J650" i="2" l="1"/>
  <c r="H650" i="2"/>
  <c r="D650" i="2"/>
  <c r="E650" i="2" s="1"/>
  <c r="J649" i="2"/>
  <c r="H649" i="2"/>
  <c r="E649" i="2"/>
  <c r="J648" i="2"/>
  <c r="H648" i="2"/>
  <c r="E648" i="2"/>
  <c r="J647" i="2"/>
  <c r="H647" i="2"/>
  <c r="D647" i="2"/>
  <c r="E647" i="2" s="1"/>
  <c r="J646" i="2"/>
  <c r="H646" i="2"/>
  <c r="E646" i="2"/>
  <c r="J645" i="2"/>
  <c r="H645" i="2"/>
  <c r="E645" i="2"/>
  <c r="J644" i="2"/>
  <c r="H644" i="2"/>
  <c r="E644" i="2"/>
  <c r="J643" i="2"/>
  <c r="H643" i="2"/>
  <c r="E643" i="2"/>
  <c r="J642" i="2"/>
  <c r="H642" i="2"/>
  <c r="E642" i="2"/>
  <c r="J641" i="2"/>
  <c r="H641" i="2"/>
  <c r="E641" i="2"/>
  <c r="J640" i="2"/>
  <c r="H640" i="2"/>
  <c r="E640" i="2"/>
  <c r="J639" i="2"/>
  <c r="H639" i="2"/>
  <c r="E639" i="2"/>
  <c r="J636" i="2"/>
  <c r="H636" i="2"/>
  <c r="E636" i="2"/>
  <c r="J635" i="2"/>
  <c r="H635" i="2"/>
  <c r="E635" i="2"/>
  <c r="J634" i="2"/>
  <c r="H634" i="2"/>
  <c r="E634" i="2"/>
  <c r="J633" i="2"/>
  <c r="H633" i="2"/>
  <c r="E633" i="2"/>
  <c r="J632" i="2"/>
  <c r="H632" i="2"/>
  <c r="E632" i="2"/>
  <c r="J631" i="2"/>
  <c r="H631" i="2"/>
  <c r="E631" i="2"/>
  <c r="J630" i="2"/>
  <c r="H630" i="2"/>
  <c r="D630" i="2"/>
  <c r="E630" i="2" s="1"/>
  <c r="J615" i="2" l="1"/>
  <c r="H615" i="2"/>
  <c r="D615" i="2"/>
  <c r="E615" i="2" s="1"/>
  <c r="J612" i="2"/>
  <c r="H612" i="2"/>
  <c r="E612" i="2"/>
  <c r="J606" i="2"/>
  <c r="H606" i="2"/>
  <c r="E606" i="2"/>
  <c r="J605" i="2"/>
  <c r="H605" i="2"/>
  <c r="E605" i="2"/>
  <c r="J604" i="2"/>
  <c r="H604" i="2"/>
  <c r="E604" i="2"/>
  <c r="J603" i="2"/>
  <c r="H603" i="2"/>
  <c r="D603" i="2"/>
  <c r="E603" i="2" s="1"/>
  <c r="J602" i="2"/>
  <c r="H602" i="2"/>
  <c r="E602" i="2"/>
  <c r="J601" i="2"/>
  <c r="H601" i="2"/>
  <c r="E601" i="2"/>
  <c r="J600" i="2"/>
  <c r="H600" i="2"/>
  <c r="E600" i="2"/>
  <c r="J599" i="2"/>
  <c r="H599" i="2"/>
  <c r="E599" i="2"/>
  <c r="J598" i="2"/>
  <c r="H598" i="2"/>
  <c r="E598" i="2"/>
  <c r="J597" i="2"/>
  <c r="H597" i="2"/>
  <c r="E597" i="2"/>
  <c r="J596" i="2"/>
  <c r="H596" i="2"/>
  <c r="E596" i="2"/>
  <c r="J595" i="2"/>
  <c r="H595" i="2"/>
  <c r="E595" i="2"/>
  <c r="J594" i="2"/>
  <c r="H594" i="2"/>
  <c r="E594" i="2"/>
  <c r="J555" i="2" l="1"/>
  <c r="H555" i="2"/>
  <c r="E555" i="2"/>
  <c r="J554" i="2"/>
  <c r="H554" i="2"/>
  <c r="E554" i="2"/>
  <c r="J553" i="2"/>
  <c r="H553" i="2"/>
  <c r="E553" i="2"/>
  <c r="J552" i="2"/>
  <c r="H552" i="2"/>
  <c r="D552" i="2"/>
  <c r="E552" i="2" s="1"/>
  <c r="J548" i="2"/>
  <c r="H548" i="2"/>
  <c r="E548" i="2"/>
  <c r="J547" i="2"/>
  <c r="H547" i="2"/>
  <c r="E547" i="2"/>
  <c r="J546" i="2"/>
  <c r="H546" i="2"/>
  <c r="E546" i="2"/>
  <c r="J545" i="2"/>
  <c r="H545" i="2"/>
  <c r="E545" i="2"/>
  <c r="J544" i="2"/>
  <c r="H544" i="2"/>
  <c r="E544" i="2"/>
  <c r="J543" i="2"/>
  <c r="H543" i="2"/>
  <c r="E543" i="2"/>
  <c r="J542" i="2"/>
  <c r="H542" i="2"/>
  <c r="E542" i="2"/>
  <c r="J541" i="2"/>
  <c r="H541" i="2"/>
  <c r="E541" i="2"/>
  <c r="J540" i="2"/>
  <c r="H540" i="2"/>
  <c r="E540" i="2"/>
  <c r="J539" i="2"/>
  <c r="H539" i="2"/>
  <c r="E539" i="2"/>
  <c r="J538" i="2"/>
  <c r="H538" i="2"/>
  <c r="E538" i="2"/>
  <c r="J537" i="2"/>
  <c r="H537" i="2"/>
  <c r="E537" i="2"/>
  <c r="J536" i="2"/>
  <c r="H536" i="2"/>
  <c r="E536" i="2"/>
  <c r="J535" i="2"/>
  <c r="H535" i="2"/>
  <c r="E535" i="2"/>
  <c r="J534" i="2"/>
  <c r="H534" i="2"/>
  <c r="E534" i="2"/>
  <c r="J533" i="2"/>
  <c r="H533" i="2"/>
  <c r="E533" i="2"/>
  <c r="J532" i="2"/>
  <c r="H532" i="2"/>
  <c r="E532" i="2"/>
  <c r="J531" i="2"/>
  <c r="H531" i="2"/>
  <c r="D531" i="2"/>
  <c r="E531" i="2" s="1"/>
  <c r="J530" i="2"/>
  <c r="H530" i="2"/>
  <c r="E530" i="2"/>
  <c r="J529" i="2"/>
  <c r="H529" i="2"/>
  <c r="E529" i="2"/>
  <c r="J528" i="2"/>
  <c r="H528" i="2"/>
  <c r="E528" i="2"/>
  <c r="J511" i="2" l="1"/>
  <c r="H511" i="2"/>
  <c r="E511" i="2"/>
  <c r="J510" i="2"/>
  <c r="H510" i="2"/>
  <c r="E510" i="2"/>
  <c r="J509" i="2"/>
  <c r="H509" i="2"/>
  <c r="E509" i="2"/>
  <c r="J508" i="2"/>
  <c r="H508" i="2"/>
  <c r="E508" i="2"/>
  <c r="J507" i="2"/>
  <c r="H507" i="2"/>
  <c r="E507" i="2"/>
  <c r="J506" i="2"/>
  <c r="H506" i="2"/>
  <c r="E506" i="2"/>
  <c r="J505" i="2"/>
  <c r="H505" i="2"/>
  <c r="E505" i="2"/>
  <c r="J504" i="2"/>
  <c r="H504" i="2"/>
  <c r="E504" i="2"/>
  <c r="J501" i="2"/>
  <c r="H501" i="2"/>
  <c r="E501" i="2"/>
  <c r="J500" i="2"/>
  <c r="H500" i="2"/>
  <c r="E500" i="2"/>
  <c r="J494" i="2" l="1"/>
  <c r="H494" i="2"/>
  <c r="E494" i="2"/>
  <c r="J493" i="2"/>
  <c r="H493" i="2"/>
  <c r="E493" i="2"/>
  <c r="J492" i="2"/>
  <c r="H492" i="2"/>
  <c r="E492" i="2"/>
  <c r="J491" i="2"/>
  <c r="H491" i="2"/>
  <c r="E491" i="2"/>
  <c r="J490" i="2"/>
  <c r="H490" i="2"/>
  <c r="E490" i="2"/>
  <c r="J485" i="2"/>
  <c r="H485" i="2"/>
  <c r="E485" i="2"/>
  <c r="J484" i="2"/>
  <c r="H484" i="2"/>
  <c r="D484" i="2"/>
  <c r="E484" i="2" s="1"/>
  <c r="J483" i="2"/>
  <c r="H483" i="2"/>
  <c r="E483" i="2"/>
  <c r="J482" i="2"/>
  <c r="H482" i="2"/>
  <c r="E482" i="2"/>
  <c r="J481" i="2"/>
  <c r="H481" i="2"/>
  <c r="E481" i="2"/>
  <c r="J480" i="2"/>
  <c r="H480" i="2"/>
  <c r="E480" i="2"/>
  <c r="J479" i="2"/>
  <c r="H479" i="2"/>
  <c r="E479" i="2"/>
  <c r="J478" i="2"/>
  <c r="H478" i="2"/>
  <c r="E478" i="2"/>
  <c r="J477" i="2"/>
  <c r="H477" i="2"/>
  <c r="E477" i="2"/>
  <c r="J476" i="2"/>
  <c r="H476" i="2"/>
  <c r="E476" i="2"/>
  <c r="J475" i="2"/>
  <c r="H475" i="2"/>
  <c r="E475" i="2"/>
  <c r="J474" i="2"/>
  <c r="H474" i="2"/>
  <c r="E474" i="2"/>
  <c r="J473" i="2"/>
  <c r="H473" i="2"/>
  <c r="E473" i="2"/>
  <c r="J472" i="2"/>
  <c r="H472" i="2"/>
  <c r="E472" i="2"/>
  <c r="J471" i="2"/>
  <c r="H471" i="2"/>
  <c r="E471" i="2"/>
  <c r="J450" i="2" l="1"/>
  <c r="H450" i="2"/>
  <c r="E450" i="2"/>
  <c r="J446" i="2"/>
  <c r="H446" i="2"/>
  <c r="E446" i="2"/>
  <c r="J443" i="2"/>
  <c r="H443" i="2"/>
  <c r="E443" i="2"/>
  <c r="J442" i="2"/>
  <c r="H442" i="2"/>
  <c r="E442" i="2"/>
  <c r="J441" i="2"/>
  <c r="H441" i="2"/>
  <c r="E441" i="2"/>
  <c r="J440" i="2"/>
  <c r="H440" i="2"/>
  <c r="E440" i="2"/>
  <c r="J439" i="2"/>
  <c r="H439" i="2"/>
  <c r="E439" i="2"/>
  <c r="J438" i="2"/>
  <c r="H438" i="2"/>
  <c r="E438" i="2"/>
  <c r="J416" i="2" l="1"/>
  <c r="H416" i="2"/>
  <c r="E416" i="2"/>
  <c r="J415" i="2"/>
  <c r="H415" i="2"/>
  <c r="E415" i="2"/>
  <c r="J412" i="2"/>
  <c r="H412" i="2"/>
  <c r="E412" i="2"/>
  <c r="J411" i="2"/>
  <c r="H411" i="2"/>
  <c r="E411" i="2"/>
  <c r="J410" i="2"/>
  <c r="H410" i="2"/>
  <c r="D410" i="2"/>
  <c r="E410" i="2" s="1"/>
  <c r="J407" i="2"/>
  <c r="H407" i="2"/>
  <c r="D407" i="2"/>
  <c r="E407" i="2" s="1"/>
  <c r="J404" i="2"/>
  <c r="H404" i="2"/>
  <c r="E404" i="2"/>
  <c r="J399" i="2"/>
  <c r="H399" i="2"/>
  <c r="E399" i="2"/>
  <c r="J396" i="2"/>
  <c r="H396" i="2"/>
  <c r="E396" i="2"/>
  <c r="J395" i="2"/>
  <c r="H395" i="2"/>
  <c r="E395" i="2"/>
  <c r="J392" i="2"/>
  <c r="H392" i="2"/>
  <c r="E392" i="2"/>
  <c r="J388" i="2"/>
  <c r="H388" i="2"/>
  <c r="E388" i="2"/>
  <c r="J387" i="2"/>
  <c r="H387" i="2"/>
  <c r="E387" i="2"/>
  <c r="J386" i="2"/>
  <c r="H386" i="2"/>
  <c r="E386" i="2"/>
  <c r="J385" i="2"/>
  <c r="H385" i="2"/>
  <c r="E385" i="2"/>
  <c r="J381" i="2"/>
  <c r="H381" i="2"/>
  <c r="D381" i="2"/>
  <c r="E381" i="2" s="1"/>
  <c r="J356" i="2" l="1"/>
  <c r="H356" i="2"/>
  <c r="E356" i="2"/>
  <c r="J355" i="2"/>
  <c r="H355" i="2"/>
  <c r="D355" i="2"/>
  <c r="E355" i="2" s="1"/>
  <c r="J352" i="2"/>
  <c r="H352" i="2"/>
  <c r="E352" i="2"/>
  <c r="J351" i="2"/>
  <c r="H351" i="2"/>
  <c r="E351" i="2"/>
  <c r="J342" i="2"/>
  <c r="H342" i="2"/>
  <c r="E342" i="2"/>
  <c r="J341" i="2"/>
  <c r="H341" i="2"/>
  <c r="E341" i="2"/>
  <c r="J340" i="2"/>
  <c r="H340" i="2"/>
  <c r="E340" i="2"/>
  <c r="J339" i="2"/>
  <c r="H339" i="2"/>
  <c r="E339" i="2"/>
  <c r="J338" i="2"/>
  <c r="H338" i="2"/>
  <c r="E338" i="2"/>
  <c r="J337" i="2"/>
  <c r="H337" i="2"/>
  <c r="E337" i="2"/>
  <c r="J336" i="2"/>
  <c r="H336" i="2"/>
  <c r="E336" i="2"/>
  <c r="J335" i="2"/>
  <c r="H335" i="2"/>
  <c r="E335" i="2"/>
  <c r="J334" i="2"/>
  <c r="H334" i="2"/>
  <c r="E334" i="2"/>
  <c r="J319" i="2" l="1"/>
  <c r="H319" i="2"/>
  <c r="D319" i="2"/>
  <c r="E319" i="2" s="1"/>
  <c r="J316" i="2"/>
  <c r="H316" i="2"/>
  <c r="E316" i="2"/>
  <c r="J315" i="2"/>
  <c r="H315" i="2"/>
  <c r="E315" i="2"/>
  <c r="J314" i="2"/>
  <c r="H314" i="2"/>
  <c r="E314" i="2"/>
  <c r="J309" i="2"/>
  <c r="H309" i="2"/>
  <c r="E309" i="2"/>
  <c r="J308" i="2"/>
  <c r="H308" i="2"/>
  <c r="E308" i="2"/>
  <c r="J307" i="2"/>
  <c r="H307" i="2"/>
  <c r="E307" i="2"/>
  <c r="J306" i="2"/>
  <c r="H306" i="2"/>
  <c r="E306" i="2"/>
  <c r="J305" i="2"/>
  <c r="H305" i="2"/>
  <c r="E305" i="2"/>
  <c r="J304" i="2"/>
  <c r="H304" i="2"/>
  <c r="E304" i="2"/>
  <c r="J303" i="2"/>
  <c r="H303" i="2"/>
  <c r="E303" i="2"/>
  <c r="J302" i="2"/>
  <c r="H302" i="2"/>
  <c r="E302" i="2"/>
  <c r="J275" i="2" l="1"/>
  <c r="H275" i="2"/>
  <c r="E275" i="2"/>
  <c r="J274" i="2"/>
  <c r="H274" i="2"/>
  <c r="E274" i="2"/>
  <c r="J273" i="2"/>
  <c r="H273" i="2"/>
  <c r="E273" i="2"/>
  <c r="J265" i="2"/>
  <c r="H265" i="2"/>
  <c r="E265" i="2"/>
  <c r="J257" i="2"/>
  <c r="H257" i="2"/>
  <c r="D257" i="2"/>
  <c r="E257" i="2" s="1"/>
  <c r="J256" i="2"/>
  <c r="H256" i="2"/>
  <c r="D256" i="2"/>
  <c r="E256" i="2" s="1"/>
  <c r="J255" i="2"/>
  <c r="H255" i="2"/>
  <c r="D255" i="2"/>
  <c r="E255" i="2" s="1"/>
  <c r="J254" i="2"/>
  <c r="H254" i="2"/>
  <c r="E254" i="2"/>
  <c r="J253" i="2"/>
  <c r="H253" i="2"/>
  <c r="E253" i="2"/>
  <c r="J250" i="2"/>
  <c r="H250" i="2"/>
  <c r="E250" i="2"/>
  <c r="J249" i="2"/>
  <c r="H249" i="2"/>
  <c r="E249" i="2"/>
  <c r="J248" i="2"/>
  <c r="H248" i="2"/>
  <c r="E248" i="2"/>
  <c r="J247" i="2"/>
  <c r="H247" i="2"/>
  <c r="E247" i="2"/>
  <c r="J246" i="2"/>
  <c r="H246" i="2"/>
  <c r="E246" i="2"/>
  <c r="J245" i="2"/>
  <c r="H245" i="2"/>
  <c r="E245" i="2"/>
  <c r="J244" i="2"/>
  <c r="H244" i="2"/>
  <c r="E244" i="2"/>
  <c r="J243" i="2"/>
  <c r="H243" i="2"/>
  <c r="E243" i="2"/>
  <c r="J242" i="2"/>
  <c r="H242" i="2"/>
  <c r="E242" i="2"/>
  <c r="J241" i="2"/>
  <c r="H241" i="2"/>
  <c r="E241" i="2"/>
  <c r="J240" i="2"/>
  <c r="H240" i="2"/>
  <c r="E240" i="2"/>
  <c r="J239" i="2"/>
  <c r="H239" i="2"/>
  <c r="E239" i="2"/>
  <c r="J238" i="2"/>
  <c r="H238" i="2"/>
  <c r="E238" i="2"/>
  <c r="J237" i="2"/>
  <c r="H237" i="2"/>
  <c r="E237" i="2"/>
  <c r="J236" i="2"/>
  <c r="H236" i="2"/>
  <c r="E236" i="2"/>
  <c r="J235" i="2"/>
  <c r="H235" i="2"/>
  <c r="D235" i="2"/>
  <c r="E235" i="2" s="1"/>
  <c r="J211" i="2" l="1"/>
  <c r="H211" i="2"/>
  <c r="D211" i="2"/>
  <c r="E211" i="2" s="1"/>
  <c r="J210" i="2"/>
  <c r="H210" i="2"/>
  <c r="E210" i="2"/>
  <c r="J207" i="2"/>
  <c r="H207" i="2"/>
  <c r="E207" i="2"/>
  <c r="J206" i="2"/>
  <c r="H206" i="2"/>
  <c r="E206" i="2"/>
  <c r="J205" i="2"/>
  <c r="H205" i="2"/>
  <c r="E205" i="2"/>
  <c r="J202" i="2"/>
  <c r="H202" i="2"/>
  <c r="E202" i="2"/>
  <c r="J195" i="2"/>
  <c r="H195" i="2"/>
  <c r="E195" i="2"/>
  <c r="J194" i="2"/>
  <c r="H194" i="2"/>
  <c r="E194" i="2"/>
  <c r="J193" i="2"/>
  <c r="H193" i="2"/>
  <c r="D193" i="2"/>
  <c r="E193" i="2" s="1"/>
  <c r="J192" i="2"/>
  <c r="H192" i="2"/>
  <c r="E192" i="2"/>
  <c r="J191" i="2"/>
  <c r="H191" i="2"/>
  <c r="E191" i="2"/>
  <c r="J190" i="2"/>
  <c r="H190" i="2"/>
  <c r="E190" i="2"/>
  <c r="J189" i="2"/>
  <c r="H189" i="2"/>
  <c r="E189" i="2"/>
  <c r="J188" i="2"/>
  <c r="H188" i="2"/>
  <c r="E188" i="2"/>
  <c r="J187" i="2"/>
  <c r="H187" i="2"/>
  <c r="E187" i="2"/>
  <c r="J186" i="2"/>
  <c r="H186" i="2"/>
  <c r="E186" i="2"/>
  <c r="J185" i="2"/>
  <c r="H185" i="2"/>
  <c r="E185" i="2"/>
  <c r="E1221" i="1" l="1"/>
  <c r="J165" i="2"/>
  <c r="H165" i="2"/>
  <c r="E165" i="2"/>
  <c r="J164" i="2"/>
  <c r="H164" i="2"/>
  <c r="E164" i="2"/>
  <c r="J153" i="2"/>
  <c r="H153" i="2"/>
  <c r="E153" i="2"/>
  <c r="J151" i="2"/>
  <c r="H151" i="2"/>
  <c r="E151" i="2"/>
  <c r="J148" i="2"/>
  <c r="H148" i="2"/>
  <c r="E148" i="2"/>
  <c r="J147" i="2"/>
  <c r="H147" i="2"/>
  <c r="E147" i="2"/>
  <c r="J146" i="2"/>
  <c r="H146" i="2"/>
  <c r="E146" i="2"/>
  <c r="J145" i="2"/>
  <c r="H145" i="2"/>
  <c r="E145" i="2"/>
  <c r="J144" i="2"/>
  <c r="H144" i="2"/>
  <c r="E144" i="2"/>
  <c r="J141" i="2"/>
  <c r="H141" i="2"/>
  <c r="E141" i="2"/>
  <c r="J140" i="2"/>
  <c r="H140" i="2"/>
  <c r="E140" i="2"/>
  <c r="J139" i="2"/>
  <c r="H139" i="2"/>
  <c r="E139" i="2"/>
  <c r="J134" i="2"/>
  <c r="H134" i="2"/>
  <c r="E134" i="2"/>
  <c r="J122" i="2" l="1"/>
  <c r="H122" i="2"/>
  <c r="E122" i="2"/>
  <c r="J117" i="2"/>
  <c r="H117" i="2"/>
  <c r="E117" i="2"/>
  <c r="J116" i="2"/>
  <c r="H116" i="2"/>
  <c r="E116" i="2"/>
  <c r="J115" i="2"/>
  <c r="H115" i="2"/>
  <c r="E115" i="2"/>
  <c r="J114" i="2"/>
  <c r="H114" i="2"/>
  <c r="E114" i="2"/>
  <c r="J113" i="2"/>
  <c r="H113" i="2"/>
  <c r="E113" i="2"/>
  <c r="J112" i="2"/>
  <c r="H112" i="2"/>
  <c r="E112" i="2"/>
  <c r="J111" i="2"/>
  <c r="H111" i="2"/>
  <c r="E111" i="2"/>
  <c r="J110" i="2"/>
  <c r="H110" i="2"/>
  <c r="E110" i="2"/>
  <c r="J109" i="2"/>
  <c r="H109" i="2"/>
  <c r="E109" i="2"/>
  <c r="J100" i="2" l="1"/>
  <c r="H100" i="2"/>
  <c r="E100" i="2"/>
  <c r="J99" i="2"/>
  <c r="H99" i="2"/>
  <c r="E99" i="2"/>
  <c r="J98" i="2"/>
  <c r="H98" i="2"/>
  <c r="E98" i="2"/>
  <c r="J97" i="2"/>
  <c r="H97" i="2"/>
  <c r="E97" i="2"/>
  <c r="J96" i="2"/>
  <c r="H96" i="2"/>
  <c r="E96" i="2"/>
  <c r="J95" i="2"/>
  <c r="H95" i="2"/>
  <c r="E95" i="2"/>
  <c r="J94" i="2"/>
  <c r="H94" i="2"/>
  <c r="E94" i="2"/>
  <c r="J93" i="2"/>
  <c r="H93" i="2"/>
  <c r="E93" i="2"/>
  <c r="J78" i="2" l="1"/>
  <c r="H78" i="2"/>
  <c r="E78" i="2"/>
  <c r="J77" i="2"/>
  <c r="H77" i="2"/>
  <c r="E77" i="2"/>
  <c r="J65" i="2"/>
  <c r="H65" i="2"/>
  <c r="E65" i="2"/>
  <c r="J64" i="2"/>
  <c r="H64" i="2"/>
  <c r="D64" i="2"/>
  <c r="E64" i="2" s="1"/>
  <c r="J53" i="2"/>
  <c r="H53" i="2"/>
  <c r="E53" i="2"/>
  <c r="J52" i="2"/>
  <c r="H52" i="2"/>
  <c r="E52" i="2"/>
  <c r="J51" i="2"/>
  <c r="H51" i="2"/>
  <c r="E51" i="2"/>
  <c r="J40" i="2" l="1"/>
  <c r="H40" i="2"/>
  <c r="E40" i="2"/>
  <c r="J39" i="2"/>
  <c r="H39" i="2"/>
  <c r="E39" i="2"/>
  <c r="J38" i="2"/>
  <c r="H38" i="2"/>
  <c r="E38" i="2"/>
  <c r="J37" i="2"/>
  <c r="H37" i="2"/>
  <c r="E37" i="2"/>
  <c r="J36" i="2"/>
  <c r="H36" i="2"/>
  <c r="E36" i="2"/>
  <c r="J35" i="2"/>
  <c r="H35" i="2"/>
  <c r="E35" i="2"/>
  <c r="J34" i="2"/>
  <c r="H34" i="2"/>
  <c r="E34" i="2"/>
  <c r="J33" i="2"/>
  <c r="H33" i="2"/>
  <c r="E33" i="2"/>
  <c r="J32" i="2"/>
  <c r="H32" i="2"/>
  <c r="E32" i="2"/>
  <c r="J23" i="2" l="1"/>
  <c r="H23" i="2"/>
  <c r="E23" i="2"/>
  <c r="J22" i="2"/>
  <c r="H22" i="2"/>
  <c r="E22" i="2"/>
  <c r="J21" i="2"/>
  <c r="H21" i="2"/>
  <c r="E21" i="2"/>
  <c r="J20" i="2"/>
  <c r="H20" i="2"/>
  <c r="E20" i="2"/>
  <c r="J17" i="2" l="1"/>
  <c r="H17" i="2"/>
  <c r="E17" i="2"/>
  <c r="J16" i="2"/>
  <c r="H16" i="2"/>
  <c r="E16" i="2"/>
  <c r="J12" i="2"/>
  <c r="H12" i="2"/>
  <c r="E12" i="2"/>
  <c r="J11" i="2"/>
  <c r="H11" i="2"/>
  <c r="E11" i="2"/>
  <c r="J10" i="2"/>
  <c r="H10" i="2"/>
  <c r="E10" i="2"/>
  <c r="J9" i="2"/>
  <c r="H9" i="2"/>
  <c r="E9" i="2"/>
  <c r="J8" i="2"/>
  <c r="H8" i="2"/>
  <c r="E8" i="2"/>
  <c r="J7" i="2"/>
  <c r="H7" i="2"/>
  <c r="E7" i="2"/>
  <c r="J5" i="2"/>
  <c r="H5" i="2"/>
  <c r="E5" i="2"/>
  <c r="J4" i="2"/>
  <c r="H4" i="2"/>
  <c r="E4" i="2"/>
  <c r="J3" i="2"/>
  <c r="H3" i="2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Jimenez Mejia</author>
  </authors>
  <commentList>
    <comment ref="I1" authorId="0" shapeId="0" xr:uid="{C21EEA41-8D6A-452E-BC7E-A4298E39BD90}">
      <text>
        <r>
          <rPr>
            <b/>
            <sz val="9"/>
            <color indexed="81"/>
            <rFont val="Tahoma"/>
            <family val="2"/>
          </rPr>
          <t>Mauricio Jimenez Mejia:</t>
        </r>
        <r>
          <rPr>
            <sz val="9"/>
            <color indexed="81"/>
            <rFont val="Tahoma"/>
            <family val="2"/>
          </rPr>
          <t xml:space="preserve">
=AÑO(L3)&amp;TEXTO(MES(L3),"00")&amp;TEXTO(DIA(L3),"00")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Estrada Gutierrez</author>
  </authors>
  <commentList>
    <comment ref="C766" authorId="0" shapeId="0" xr:uid="{4CF7D7F3-F4E2-4DA9-BF83-4725BB0D90F0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Desde el 05 marzo hyosung</t>
        </r>
      </text>
    </comment>
    <comment ref="C771" authorId="0" shapeId="0" xr:uid="{3BF61CA2-9F97-4F0E-B81C-E195EEDB134B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Desde el 05 marzo hyosung</t>
        </r>
      </text>
    </comment>
    <comment ref="C902" authorId="0" shapeId="0" xr:uid="{2B6D73B9-6B6D-4343-9EC2-BC7CAB888D39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Desde el 16 febrero hyosung</t>
        </r>
      </text>
    </comment>
  </commentList>
</comments>
</file>

<file path=xl/sharedStrings.xml><?xml version="1.0" encoding="utf-8"?>
<sst xmlns="http://schemas.openxmlformats.org/spreadsheetml/2006/main" count="18569" uniqueCount="1042">
  <si>
    <t>SUC</t>
  </si>
  <si>
    <t>CAJERO</t>
  </si>
  <si>
    <t>VALOR SOBRANTE</t>
  </si>
  <si>
    <t>VALOR CANCELADO</t>
  </si>
  <si>
    <t>NUEVO VALOR</t>
  </si>
  <si>
    <t>FECHA GRABADO dd/mm/aaaa</t>
  </si>
  <si>
    <t>FECHA SIN FORMULA. DÍA DEL ARQUEO</t>
  </si>
  <si>
    <t>TIPO DE DIFERENCIA: CONTABLE / FISÍCA</t>
  </si>
  <si>
    <t>NOMBRE CAJERO</t>
  </si>
  <si>
    <t>Cuadre diario</t>
  </si>
  <si>
    <t>Menor cuantia</t>
  </si>
  <si>
    <t>Devolucion sobrante no real</t>
  </si>
  <si>
    <t>Dinero encontrado</t>
  </si>
  <si>
    <t xml:space="preserve">Devolucion sobrante </t>
  </si>
  <si>
    <t>Devuelto por Juan</t>
  </si>
  <si>
    <t>Devolución sobrante Juan Andrés</t>
  </si>
  <si>
    <r>
      <t xml:space="preserve">SALDO CUENTA </t>
    </r>
    <r>
      <rPr>
        <b/>
        <sz val="11"/>
        <color indexed="10"/>
        <rFont val="Calibri"/>
        <family val="2"/>
      </rPr>
      <t xml:space="preserve">279510020 </t>
    </r>
    <r>
      <rPr>
        <b/>
        <sz val="11"/>
        <color indexed="8"/>
        <rFont val="Calibri"/>
        <family val="2"/>
      </rPr>
      <t>DE SUC.</t>
    </r>
  </si>
  <si>
    <t>CONTABILIDAD NOVIEMBRE 20 DE 2025</t>
  </si>
  <si>
    <t>SALDO CONTABILIDAD</t>
  </si>
  <si>
    <t>DIFERENCIA</t>
  </si>
  <si>
    <t xml:space="preserve"> </t>
  </si>
  <si>
    <t>CODIGO</t>
  </si>
  <si>
    <t>FECHA GRABADO formato dd/mm/aaaa</t>
  </si>
  <si>
    <t>OBSERVACIONES</t>
  </si>
  <si>
    <t>Multifuncional</t>
  </si>
  <si>
    <t>MFSUCLAEST1</t>
  </si>
  <si>
    <t>MF_FMANIZAL</t>
  </si>
  <si>
    <t>MF_BANLABB1</t>
  </si>
  <si>
    <t>MF_QUEBRASE</t>
  </si>
  <si>
    <t>MF_SAHAGUN</t>
  </si>
  <si>
    <t>Dispensador</t>
  </si>
  <si>
    <t>HALLCALIPR1</t>
  </si>
  <si>
    <t>SUC_CAJICA5</t>
  </si>
  <si>
    <t>VIPASA_5_R</t>
  </si>
  <si>
    <t>SUCUNIVILL4</t>
  </si>
  <si>
    <t>SUC_FLORID4</t>
  </si>
  <si>
    <t>SUC_VILLAN3</t>
  </si>
  <si>
    <t>SUC_QUIBDO1</t>
  </si>
  <si>
    <t>SUC_MOCOA1</t>
  </si>
  <si>
    <t>SUC_MOCOA2</t>
  </si>
  <si>
    <t>HALLSUCMTE3</t>
  </si>
  <si>
    <t>MFVIVABQUI1</t>
  </si>
  <si>
    <t>MFSUCANDES1</t>
  </si>
  <si>
    <t>SUCCCPRIMA3</t>
  </si>
  <si>
    <t>SUC_CHINCH2</t>
  </si>
  <si>
    <t>VILLACASAN4</t>
  </si>
  <si>
    <t>SUCFACATA_3</t>
  </si>
  <si>
    <t>SUCSANTABO3</t>
  </si>
  <si>
    <t>SUC_COROZ3</t>
  </si>
  <si>
    <t>MF_OVALLEDU</t>
  </si>
  <si>
    <t>MF_UNICALI1</t>
  </si>
  <si>
    <t>MF_AUTOP98</t>
  </si>
  <si>
    <t>MF_DUITAMA</t>
  </si>
  <si>
    <t>MF_SPTANORT</t>
  </si>
  <si>
    <t>MF_5TAVENID</t>
  </si>
  <si>
    <t>MF_ALDELS22</t>
  </si>
  <si>
    <t>MF_BANLABB2</t>
  </si>
  <si>
    <t>MFSUCFUSAG1</t>
  </si>
  <si>
    <t>MF_VILLAVI1</t>
  </si>
  <si>
    <t>HALLCALIPR3</t>
  </si>
  <si>
    <t>SUC_MAICAO1</t>
  </si>
  <si>
    <t>EXITOIBAG_2</t>
  </si>
  <si>
    <t>SUCURIBIA_1</t>
  </si>
  <si>
    <t>SUC_CHINCH1</t>
  </si>
  <si>
    <t>SUC_TENJO3</t>
  </si>
  <si>
    <t>SUCPARFAB10</t>
  </si>
  <si>
    <t>BVENTURA_1</t>
  </si>
  <si>
    <t>MALAGA2</t>
  </si>
  <si>
    <t>SUC_LEYVA2</t>
  </si>
  <si>
    <t>SUC_FLORBL1</t>
  </si>
  <si>
    <t>AUTOBOSC_4</t>
  </si>
  <si>
    <t>SUCPASERIO3</t>
  </si>
  <si>
    <t>PQECABAL_2</t>
  </si>
  <si>
    <t>SUCGARAGOA</t>
  </si>
  <si>
    <t>SUCLAURELE4</t>
  </si>
  <si>
    <t>SUC_DORADO1</t>
  </si>
  <si>
    <t>SUC_PQCOL5</t>
  </si>
  <si>
    <t>MF_HTQENDAM</t>
  </si>
  <si>
    <t>MF_SBUVIII1</t>
  </si>
  <si>
    <t>SUC_BAGRE1</t>
  </si>
  <si>
    <t>SUC_PRADER1</t>
  </si>
  <si>
    <t>AUTOBOSCO1</t>
  </si>
  <si>
    <t>SUC_AVCANA4</t>
  </si>
  <si>
    <t>SUC_CL10_4</t>
  </si>
  <si>
    <t>PAIPA2</t>
  </si>
  <si>
    <t>SUC_CIRCUN2</t>
  </si>
  <si>
    <t>SUC_GRANAD3</t>
  </si>
  <si>
    <t>MFSUCMALPZ2</t>
  </si>
  <si>
    <t>MF_MONTERIA</t>
  </si>
  <si>
    <t>MFSUC_IDEO1</t>
  </si>
  <si>
    <t>MF_SCARVIB1</t>
  </si>
  <si>
    <t>MF_DOSQUEBR</t>
  </si>
  <si>
    <t>MF_YOPAL</t>
  </si>
  <si>
    <t>MF_AV68FLOR</t>
  </si>
  <si>
    <t>MF_CEIBAS1</t>
  </si>
  <si>
    <t>SUCTABIO2</t>
  </si>
  <si>
    <t>SUC_AMAGA2</t>
  </si>
  <si>
    <t>SUCURIBIA_4</t>
  </si>
  <si>
    <t>SUCURIBIA_5</t>
  </si>
  <si>
    <t>SUC_INDUST2</t>
  </si>
  <si>
    <t>SUC_MARIQ4</t>
  </si>
  <si>
    <t>SUC_FLORBL2</t>
  </si>
  <si>
    <t>DONMATIA2</t>
  </si>
  <si>
    <t>SUCURIBIA_3</t>
  </si>
  <si>
    <t>SUC_FONSEC1</t>
  </si>
  <si>
    <t>SUC_NECO1</t>
  </si>
  <si>
    <t>BOULEVA_54</t>
  </si>
  <si>
    <t>SUCREALMIN2</t>
  </si>
  <si>
    <t>MFSUCALTPR1</t>
  </si>
  <si>
    <t>MFSUCSNGIL1</t>
  </si>
  <si>
    <t>MF_FRONTER2</t>
  </si>
  <si>
    <t>MF_FRONTERA</t>
  </si>
  <si>
    <t>MF_BUCMANG3</t>
  </si>
  <si>
    <t>MF_CPUNBOG2</t>
  </si>
  <si>
    <t>MF_HITAGUI1</t>
  </si>
  <si>
    <t>SUC_AMAGA1</t>
  </si>
  <si>
    <t>CRPM_OCCI1</t>
  </si>
  <si>
    <t>SUC_CERETE5</t>
  </si>
  <si>
    <t>SUC_PLATO2</t>
  </si>
  <si>
    <t>SUCSTAMART3</t>
  </si>
  <si>
    <t>VENECIA2</t>
  </si>
  <si>
    <t>SUC_PGAIT3</t>
  </si>
  <si>
    <t>SUCTABIO1</t>
  </si>
  <si>
    <t>SUC_NICOL1</t>
  </si>
  <si>
    <t>SUC_CAICED2</t>
  </si>
  <si>
    <t>MF_PTOCLAVE</t>
  </si>
  <si>
    <t>MF_TTEDLSU1</t>
  </si>
  <si>
    <t>MF_PROFENAL</t>
  </si>
  <si>
    <t>MF_CACIQUE</t>
  </si>
  <si>
    <t>MF_HITAGUI3</t>
  </si>
  <si>
    <t>MF_SUCCART2</t>
  </si>
  <si>
    <t>MF_FLORID3</t>
  </si>
  <si>
    <t>SUC_OCEANM3</t>
  </si>
  <si>
    <t>SUCARAUCA_2</t>
  </si>
  <si>
    <t>LADORADA3</t>
  </si>
  <si>
    <t>SUC_ALBANI1</t>
  </si>
  <si>
    <t>SUC_ALBANI2</t>
  </si>
  <si>
    <t>SUC_IDEO_1</t>
  </si>
  <si>
    <t>CHAPARRAL_2</t>
  </si>
  <si>
    <t>SUC_GALERI5</t>
  </si>
  <si>
    <t>SAMACA_1</t>
  </si>
  <si>
    <t>SUC_MOLIN6</t>
  </si>
  <si>
    <t>HDIVERPLZ_2</t>
  </si>
  <si>
    <t>SUC_CRAOCT1</t>
  </si>
  <si>
    <t>SUC_CRAOCT2</t>
  </si>
  <si>
    <t>OFVILLETA1</t>
  </si>
  <si>
    <t>SUCUNIVILL1</t>
  </si>
  <si>
    <t>SUC_IDEO_2</t>
  </si>
  <si>
    <t>SUC_PUERBE3</t>
  </si>
  <si>
    <t>VILLACASAN2</t>
  </si>
  <si>
    <t>SUCUNIVILL2</t>
  </si>
  <si>
    <t>MF_DORADOPL</t>
  </si>
  <si>
    <t>MF_CALLE122</t>
  </si>
  <si>
    <t>MFSUCPASER2</t>
  </si>
  <si>
    <t>YARUMAL2</t>
  </si>
  <si>
    <t>EXITOIBAG_3</t>
  </si>
  <si>
    <t>EXITOIBAG_4</t>
  </si>
  <si>
    <t>SUC_CONTAD2</t>
  </si>
  <si>
    <t>SUCLLAGRPA3</t>
  </si>
  <si>
    <t>SUC_SUPIA_2</t>
  </si>
  <si>
    <t>SUC_BUENAM1</t>
  </si>
  <si>
    <t>SUC_MAICAO2</t>
  </si>
  <si>
    <t>MF_ASTROCEN</t>
  </si>
  <si>
    <t>MF_CCFONTA1</t>
  </si>
  <si>
    <t>MFSUCMODEL1</t>
  </si>
  <si>
    <t>MFTSUCURB1</t>
  </si>
  <si>
    <t>SUCSANPEDR2</t>
  </si>
  <si>
    <t>SUC_PRADER3</t>
  </si>
  <si>
    <t>SUC_CONTAD1</t>
  </si>
  <si>
    <t>SUCHALLAGO4</t>
  </si>
  <si>
    <t>SUCHALLAGO3</t>
  </si>
  <si>
    <t>SUCHALLAGO2</t>
  </si>
  <si>
    <t>ANAPOIMA_2</t>
  </si>
  <si>
    <t>ANAPOIMA</t>
  </si>
  <si>
    <t>SUC_NORTHP3</t>
  </si>
  <si>
    <t>SUC_CIUSAL1</t>
  </si>
  <si>
    <t>SUC_VILLAO1</t>
  </si>
  <si>
    <t>LAFRONTER1</t>
  </si>
  <si>
    <t>VIVABQUILA3</t>
  </si>
  <si>
    <t>SUC_CAREPA3</t>
  </si>
  <si>
    <t>OFCFLORIDA2</t>
  </si>
  <si>
    <t>URRAO_2</t>
  </si>
  <si>
    <t>SUC_INDUST1</t>
  </si>
  <si>
    <t>MF_AVENI127</t>
  </si>
  <si>
    <t>MF_BUENVSM3</t>
  </si>
  <si>
    <t>MF_GUATAPUR</t>
  </si>
  <si>
    <t>MF_SUCHAYU1</t>
  </si>
  <si>
    <t>MF_SOACHA</t>
  </si>
  <si>
    <t>MF_BTRISTE</t>
  </si>
  <si>
    <t>MF_CFINANCI</t>
  </si>
  <si>
    <t>MFSUCPITAL2</t>
  </si>
  <si>
    <t>QUIMBAYA1</t>
  </si>
  <si>
    <t>YARUMAL1</t>
  </si>
  <si>
    <t>SUC_VILCAM3</t>
  </si>
  <si>
    <t>CHAPARRAL</t>
  </si>
  <si>
    <t>SUCENTINTE1</t>
  </si>
  <si>
    <t>SUCENTINTE2</t>
  </si>
  <si>
    <t>SUC_MAICAO3</t>
  </si>
  <si>
    <t>SUCSANGIL1</t>
  </si>
  <si>
    <t>FUNZA2</t>
  </si>
  <si>
    <t>SUCUNIVILL3</t>
  </si>
  <si>
    <t>MF_CHICO94</t>
  </si>
  <si>
    <t>MF_LAQUINTA</t>
  </si>
  <si>
    <t>SUCBELLASU1</t>
  </si>
  <si>
    <t>SUC_SANTAN1</t>
  </si>
  <si>
    <t>SUCSERZUL_4</t>
  </si>
  <si>
    <t>MERCANT_5</t>
  </si>
  <si>
    <t>SUC_SANTAN2</t>
  </si>
  <si>
    <t>SUC_NORTHP1</t>
  </si>
  <si>
    <t>SUC_OCANA2</t>
  </si>
  <si>
    <t>SUC_MOCOA3</t>
  </si>
  <si>
    <t>SUCMFVIVCI1</t>
  </si>
  <si>
    <t>MF_LADORADA</t>
  </si>
  <si>
    <t>SUC_UPAST2</t>
  </si>
  <si>
    <t>AUTOBOSCO_5</t>
  </si>
  <si>
    <t>SUC_FUNZA3</t>
  </si>
  <si>
    <t>PAIPA1</t>
  </si>
  <si>
    <t>AVCERO_2</t>
  </si>
  <si>
    <t>MF_MANIZALE</t>
  </si>
  <si>
    <t>MF_CALLE11</t>
  </si>
  <si>
    <t>SUC_MONTEL1</t>
  </si>
  <si>
    <t>SUC_YOPAL1</t>
  </si>
  <si>
    <t>LIBERTADOR1</t>
  </si>
  <si>
    <t>SUCRIOSUCI1</t>
  </si>
  <si>
    <t>MF_LIBERTAD</t>
  </si>
  <si>
    <t>ENVIGADO_2</t>
  </si>
  <si>
    <t>27/08/2025 RECLASIFICACIÓN SOBRANTES JUAN ANDRÉS</t>
  </si>
  <si>
    <t>SUCPUENLAR2</t>
  </si>
  <si>
    <t>SUC_KENNED3</t>
  </si>
  <si>
    <t>SUC_MANRIQ1</t>
  </si>
  <si>
    <t>SUCSANDRES7</t>
  </si>
  <si>
    <t>SUC_MARIQ3</t>
  </si>
  <si>
    <t>SUC_LADORA4</t>
  </si>
  <si>
    <t>OFSANTOLU3</t>
  </si>
  <si>
    <t>SUC_PLATO3</t>
  </si>
  <si>
    <t>SUC_BARAN2</t>
  </si>
  <si>
    <t>SUC_SANJOS4</t>
  </si>
  <si>
    <t>SUC_SANJOS5</t>
  </si>
  <si>
    <t>SUC_SANQUI4</t>
  </si>
  <si>
    <t>SUC_ROSAL2</t>
  </si>
  <si>
    <t>HALLSUCMTE1</t>
  </si>
  <si>
    <t>MF_SOLEDAD1</t>
  </si>
  <si>
    <t>MFSUCMERCA1</t>
  </si>
  <si>
    <t>MF_CARABOBO</t>
  </si>
  <si>
    <t>MF_VICPLAZA</t>
  </si>
  <si>
    <t>MF_LPALMAS</t>
  </si>
  <si>
    <t>MF_PARQCALD</t>
  </si>
  <si>
    <t>MF_UNITUNJA</t>
  </si>
  <si>
    <t>MF_TOBERIN</t>
  </si>
  <si>
    <t>MF_PALATIN</t>
  </si>
  <si>
    <t>MF_GRANCENT</t>
  </si>
  <si>
    <t>MF_CHPICHP2</t>
  </si>
  <si>
    <t>MFSUCABAST2</t>
  </si>
  <si>
    <t>MF_SSANPED1</t>
  </si>
  <si>
    <t>MF_BUCMANGA</t>
  </si>
  <si>
    <t>MFSUCUNIME2</t>
  </si>
  <si>
    <t>MF_SUNIVIL2</t>
  </si>
  <si>
    <t>Traslado de sobrante en caja</t>
  </si>
  <si>
    <t>MF_QUIBDO</t>
  </si>
  <si>
    <t>MF_TERMTPTE</t>
  </si>
  <si>
    <t>SUCPASERIO2</t>
  </si>
  <si>
    <t>STAFEANTI_2</t>
  </si>
  <si>
    <t>EXITOIBAG_1</t>
  </si>
  <si>
    <t>MF_CIPEREIR</t>
  </si>
  <si>
    <t>MF_SUCLLE10</t>
  </si>
  <si>
    <t>MF_NEIVANVA</t>
  </si>
  <si>
    <t>SUC_BAGRE2</t>
  </si>
  <si>
    <t>SUC_GALERI2</t>
  </si>
  <si>
    <t>SUC_BECERR1</t>
  </si>
  <si>
    <t>SUC_GALERI1</t>
  </si>
  <si>
    <t>LADORADA2</t>
  </si>
  <si>
    <t>SUC_BARSAN1</t>
  </si>
  <si>
    <t>MF_CCMAYOR1</t>
  </si>
  <si>
    <t>SUC_QUIBDO3</t>
  </si>
  <si>
    <t>MF_LOSMOLI3</t>
  </si>
  <si>
    <t>SUCPITALTO1</t>
  </si>
  <si>
    <t>MFSUCANVER1</t>
  </si>
  <si>
    <t>MF_VALVANE1</t>
  </si>
  <si>
    <t>SUC_FLORID1</t>
  </si>
  <si>
    <t>SUC_USASTB1</t>
  </si>
  <si>
    <t>MF_ANTCOUNT</t>
  </si>
  <si>
    <t>MF_AVJUNIN</t>
  </si>
  <si>
    <t>HALLITAGUI2</t>
  </si>
  <si>
    <t>SUCSANTABO1</t>
  </si>
  <si>
    <t>SUC_SOLEDA4</t>
  </si>
  <si>
    <t>MF_EXITCOL2</t>
  </si>
  <si>
    <t>SUC_PAZARI1</t>
  </si>
  <si>
    <t>MF_CAUCASIA</t>
  </si>
  <si>
    <t>SMALPLANQS3</t>
  </si>
  <si>
    <t>SUCPASERIO1</t>
  </si>
  <si>
    <t>ROLDANIL_2</t>
  </si>
  <si>
    <t>MF_SUCCALP2</t>
  </si>
  <si>
    <t>MF_SUCLAUR1</t>
  </si>
  <si>
    <t>SUCSANTABO2</t>
  </si>
  <si>
    <t>MF_MULTDRIV</t>
  </si>
  <si>
    <t>MF_ARMNORTE</t>
  </si>
  <si>
    <t>MF_PRIMAVRA</t>
  </si>
  <si>
    <t>MFSUCPARAL1</t>
  </si>
  <si>
    <t>MF_CUCUTPAL</t>
  </si>
  <si>
    <t>MF_SUCEINT1</t>
  </si>
  <si>
    <t>MF_VISITACI</t>
  </si>
  <si>
    <t>SUC_GALERI4</t>
  </si>
  <si>
    <t>MF_HSUCFIC1</t>
  </si>
  <si>
    <t>MF_HCALIPR3</t>
  </si>
  <si>
    <t>MF_HERRADU1</t>
  </si>
  <si>
    <t>MFSUCANVER2</t>
  </si>
  <si>
    <t>SUCPITALTO4</t>
  </si>
  <si>
    <t>SUC_PNORTE1</t>
  </si>
  <si>
    <t>SUCLAURELE1</t>
  </si>
  <si>
    <t>MF_OCEANMAL</t>
  </si>
  <si>
    <t>MF_PARBOLED</t>
  </si>
  <si>
    <t>MF_SMPLNQS2</t>
  </si>
  <si>
    <t>AGUACHICA2</t>
  </si>
  <si>
    <t>MF_IBAGUE</t>
  </si>
  <si>
    <t>MFHDVERPLZ1</t>
  </si>
  <si>
    <t>VELEZ</t>
  </si>
  <si>
    <t>MF_CENTSUBA</t>
  </si>
  <si>
    <t>SUC_MAYALP3</t>
  </si>
  <si>
    <t>SUCMFVIVCI2</t>
  </si>
  <si>
    <t>MF_NORTHPOI</t>
  </si>
  <si>
    <t>MF_TEATAVEN</t>
  </si>
  <si>
    <t>MF_IPIALES</t>
  </si>
  <si>
    <t>HALLCALIPR5</t>
  </si>
  <si>
    <t>HALLCALIPR7</t>
  </si>
  <si>
    <t>HALLCALIPR2</t>
  </si>
  <si>
    <t>SUCRETIRO1</t>
  </si>
  <si>
    <t>MF_MONTEVID</t>
  </si>
  <si>
    <t>MFPTOASIS1</t>
  </si>
  <si>
    <t>FUNZA_1</t>
  </si>
  <si>
    <t>MF_SUCLAUR2</t>
  </si>
  <si>
    <t>MF_AVENID82</t>
  </si>
  <si>
    <t>MF_TUNJA</t>
  </si>
  <si>
    <t>MF_VILCAM1</t>
  </si>
  <si>
    <t>MF_CPBUENAV</t>
  </si>
  <si>
    <t>MF_SUCPLZF2</t>
  </si>
  <si>
    <t>MF_CHPICHP3</t>
  </si>
  <si>
    <t>MF_DOSQUEB2</t>
  </si>
  <si>
    <t>SUCURIBIA_2</t>
  </si>
  <si>
    <t>SUC_FLORBL4</t>
  </si>
  <si>
    <t>SUC_VILCAM2</t>
  </si>
  <si>
    <t>BARRANCABE4</t>
  </si>
  <si>
    <t>PURIFICACI2</t>
  </si>
  <si>
    <t>VENECIA_1_R</t>
  </si>
  <si>
    <t>SUCUNICCAL2</t>
  </si>
  <si>
    <t>SUCFUSAGAS3</t>
  </si>
  <si>
    <t>SUC_CAUCAS3</t>
  </si>
  <si>
    <t>MAGANGUE1</t>
  </si>
  <si>
    <t>LA_LOMA_CES</t>
  </si>
  <si>
    <t>SUC_PUERTC1</t>
  </si>
  <si>
    <t>SUCLAESTAC1</t>
  </si>
  <si>
    <t>SUC_PUERTC2</t>
  </si>
  <si>
    <t>MF_ZIPAQUI2</t>
  </si>
  <si>
    <t>MF_CHIA</t>
  </si>
  <si>
    <t>MF_SUCPPRA2</t>
  </si>
  <si>
    <t>MF_SUCTESO1</t>
  </si>
  <si>
    <t>MF_CAMPANA</t>
  </si>
  <si>
    <t>PUERTO_GAI4</t>
  </si>
  <si>
    <t>LIBANO2</t>
  </si>
  <si>
    <t>MFSUCPARAL2</t>
  </si>
  <si>
    <t>LIBANO</t>
  </si>
  <si>
    <t>MF_OESTE</t>
  </si>
  <si>
    <t>SUCSANGIL3</t>
  </si>
  <si>
    <t>_ESTADIO_1_</t>
  </si>
  <si>
    <t>SUC_LAPLAT2</t>
  </si>
  <si>
    <t>MF_CMAYOR</t>
  </si>
  <si>
    <t>SUC_SOLEDA5</t>
  </si>
  <si>
    <t>ABASTOBGA_2</t>
  </si>
  <si>
    <t>MF_SUCENVIG</t>
  </si>
  <si>
    <t>MF_TEQENDMA</t>
  </si>
  <si>
    <t>SUC_FONSEC3</t>
  </si>
  <si>
    <t>MF_PRPLAZA</t>
  </si>
  <si>
    <t>SUCLAURELE3</t>
  </si>
  <si>
    <t>MF_CONFECCI</t>
  </si>
  <si>
    <t>MF_LAPLAYA2</t>
  </si>
  <si>
    <t>MF_HITAGUI2</t>
  </si>
  <si>
    <t>SUCSANDRES5</t>
  </si>
  <si>
    <t>MF_SMPLNQS1</t>
  </si>
  <si>
    <t>SUC_VILLAO4</t>
  </si>
  <si>
    <t>5TAVENIDA2</t>
  </si>
  <si>
    <t>LETICIA_3</t>
  </si>
  <si>
    <t>SUC_OCANA1</t>
  </si>
  <si>
    <t>SUCGIRARDO5</t>
  </si>
  <si>
    <t>MF_SUCSERZU</t>
  </si>
  <si>
    <t>MFSUCANVER3</t>
  </si>
  <si>
    <t>MFSUCPASER1</t>
  </si>
  <si>
    <t>MFVIVABQUI2</t>
  </si>
  <si>
    <t>MF_SUCGRAN1</t>
  </si>
  <si>
    <t>MF_SUCBOSQ1</t>
  </si>
  <si>
    <t>SUCPTOASIS2</t>
  </si>
  <si>
    <t>SMALPLANQS4</t>
  </si>
  <si>
    <t>MFSUCUNIME1</t>
  </si>
  <si>
    <t>SUCTENJO1</t>
  </si>
  <si>
    <t>SUC_TURBO1</t>
  </si>
  <si>
    <t>SUC_INIRID2</t>
  </si>
  <si>
    <t>MF_PASCASTE</t>
  </si>
  <si>
    <t>MF_AVCERO</t>
  </si>
  <si>
    <t>MF_SUNIVIL1</t>
  </si>
  <si>
    <t>MFSUCTURBO1</t>
  </si>
  <si>
    <t>COPACABAN_4</t>
  </si>
  <si>
    <t>SUC_SAHAGUN</t>
  </si>
  <si>
    <t>SUC_LAPLAY2</t>
  </si>
  <si>
    <t>SUC_CHINU2</t>
  </si>
  <si>
    <t>CONSIGN_108</t>
  </si>
  <si>
    <t>SUC_BARAN1</t>
  </si>
  <si>
    <t>MF_LAMERICA</t>
  </si>
  <si>
    <t>SUC_QUIBDO8</t>
  </si>
  <si>
    <t>SUC_MALAMB3</t>
  </si>
  <si>
    <t>MF_AVSTNDER</t>
  </si>
  <si>
    <t>MELGAR_2</t>
  </si>
  <si>
    <t>SUCPARFABR9</t>
  </si>
  <si>
    <t>HDIVERPLZ_1</t>
  </si>
  <si>
    <t>HALLSUCMTE2</t>
  </si>
  <si>
    <t>SUC_SABANA1</t>
  </si>
  <si>
    <t>MF_SOGAMOSO</t>
  </si>
  <si>
    <t>MF_BELLASUI</t>
  </si>
  <si>
    <t>MF_COLINACA</t>
  </si>
  <si>
    <t>MFSUCABAST1</t>
  </si>
  <si>
    <t>ABREGO</t>
  </si>
  <si>
    <t>SUCCIALAVE2</t>
  </si>
  <si>
    <t>MF_AVKENNE</t>
  </si>
  <si>
    <t>MF_TUMACO</t>
  </si>
  <si>
    <t>MF_UNPASTO</t>
  </si>
  <si>
    <t>MF_CPUNIBOG</t>
  </si>
  <si>
    <t>MF_CDPFONTI</t>
  </si>
  <si>
    <t>MF_RODADERO</t>
  </si>
  <si>
    <t>SUC_RIONEG6</t>
  </si>
  <si>
    <t>MF_ALZACIA</t>
  </si>
  <si>
    <t>MF_SUCSTAM1</t>
  </si>
  <si>
    <t>MF_LPALMAS2</t>
  </si>
  <si>
    <t>SUC_PAMPLO1</t>
  </si>
  <si>
    <t>SUC_EMPRES2</t>
  </si>
  <si>
    <t>MF_JAMUNDI</t>
  </si>
  <si>
    <t>MF_CACIQUE2</t>
  </si>
  <si>
    <t>MF_TELEPORT</t>
  </si>
  <si>
    <t>SUCPENOL_1</t>
  </si>
  <si>
    <t>ELGUAMO1</t>
  </si>
  <si>
    <t>HDIVERPLZ_7</t>
  </si>
  <si>
    <t>MF_MAGANGUE</t>
  </si>
  <si>
    <t>MF_SANANDRE</t>
  </si>
  <si>
    <t>5TAVENIDA3</t>
  </si>
  <si>
    <t>SUCSANMART3</t>
  </si>
  <si>
    <t>MF_SCTROIND</t>
  </si>
  <si>
    <t>SUC_FONSEC2</t>
  </si>
  <si>
    <t>PASEOCAST_7</t>
  </si>
  <si>
    <t>OFVILLETA_2</t>
  </si>
  <si>
    <t>LAVEGA</t>
  </si>
  <si>
    <t>MF_FUNDMAN2</t>
  </si>
  <si>
    <t>SUCPARFABR8</t>
  </si>
  <si>
    <t>SMALPLANQS5</t>
  </si>
  <si>
    <t>LAUNIONNAR2</t>
  </si>
  <si>
    <t>25/09/2025 RECLASIFICACIÓN SOBRANTES JUAN ANDRÉS</t>
  </si>
  <si>
    <t>Dinero encontrado en el cajero</t>
  </si>
  <si>
    <t xml:space="preserve">TROQUE DE GAVETAS </t>
  </si>
  <si>
    <t>Saldo rojo</t>
  </si>
  <si>
    <t>Dinero encontrado en cajero</t>
  </si>
  <si>
    <t>SUC_LAMES2</t>
  </si>
  <si>
    <t>MFSUCPITAL1</t>
  </si>
  <si>
    <t>MF_SUCARKA1</t>
  </si>
  <si>
    <t>MF_HCALIPR1</t>
  </si>
  <si>
    <t>MF_SABANACH</t>
  </si>
  <si>
    <t>LADORADA1</t>
  </si>
  <si>
    <t>PTOBOYACA1</t>
  </si>
  <si>
    <t>MELGAR1</t>
  </si>
  <si>
    <t>SUC_FLORBL3</t>
  </si>
  <si>
    <t>SUC_PQCOL3</t>
  </si>
  <si>
    <t>MANGA_2</t>
  </si>
  <si>
    <t>SUC_MELGAR3</t>
  </si>
  <si>
    <t>SUC_JAMUND3</t>
  </si>
  <si>
    <t>HALLSUCFIC4</t>
  </si>
  <si>
    <t>SUC_PNORTE2</t>
  </si>
  <si>
    <t>VICAGUAN1</t>
  </si>
  <si>
    <t>LAVEGA_2</t>
  </si>
  <si>
    <t>VICAGUAN2</t>
  </si>
  <si>
    <t>SUC_GUASCA1</t>
  </si>
  <si>
    <t>SUC_CERET1</t>
  </si>
  <si>
    <t xml:space="preserve">SALDO EN ROJO FIN DE MES </t>
  </si>
  <si>
    <t>MFSUCLAGO2</t>
  </si>
  <si>
    <t>MF_CENTRO93</t>
  </si>
  <si>
    <t>MF_PEREIRA</t>
  </si>
  <si>
    <t>MF_SUCCART1</t>
  </si>
  <si>
    <t>MF_SUCPPRA1</t>
  </si>
  <si>
    <t>MF_GIRARDOT</t>
  </si>
  <si>
    <t>HALLCALIPR6</t>
  </si>
  <si>
    <t>SUC_QUIBDO6</t>
  </si>
  <si>
    <t>SUC_MAYALP2</t>
  </si>
  <si>
    <t>SUC_CAJIC_4</t>
  </si>
  <si>
    <t>RICAURTE_2</t>
  </si>
  <si>
    <t>SUCFUSAGAS1</t>
  </si>
  <si>
    <t>SUCFUSAGAS2</t>
  </si>
  <si>
    <t>SUCPLZAMER2</t>
  </si>
  <si>
    <t>MF_CROCTAV1</t>
  </si>
  <si>
    <t>SUCARAUCA_1</t>
  </si>
  <si>
    <t>SUCSANDRES2</t>
  </si>
  <si>
    <t>HALLCHIGOR2</t>
  </si>
  <si>
    <t>MANGA3</t>
  </si>
  <si>
    <t>SUC_SOCHA_1</t>
  </si>
  <si>
    <t>CAICEDONIA</t>
  </si>
  <si>
    <t>SUPUERLOP_1</t>
  </si>
  <si>
    <t>SUPUERLOP_2</t>
  </si>
  <si>
    <t>MONTELIBA_2</t>
  </si>
  <si>
    <t>CAUCASIA_2</t>
  </si>
  <si>
    <t>SUCLAESTAC2</t>
  </si>
  <si>
    <t>SUCLAESTAC3</t>
  </si>
  <si>
    <t>ZIPAQUIRA_4</t>
  </si>
  <si>
    <t>BARRANCAB3</t>
  </si>
  <si>
    <t>SUC_OCEANM1</t>
  </si>
  <si>
    <t>HALLCACIQ3</t>
  </si>
  <si>
    <t>SUC_SESQUI2</t>
  </si>
  <si>
    <t>QUIBDO_2</t>
  </si>
  <si>
    <t>MF_RIONEGPA</t>
  </si>
  <si>
    <t>CEDRITOS</t>
  </si>
  <si>
    <t>DON_MATIAS</t>
  </si>
  <si>
    <t>MF_LAESTACI</t>
  </si>
  <si>
    <t>HALLSUCFIC2</t>
  </si>
  <si>
    <t>PUERTO_GAI1</t>
  </si>
  <si>
    <t>PUERTO_GAI2</t>
  </si>
  <si>
    <t>SUCCARTAGO3</t>
  </si>
  <si>
    <t>SUCCARTAGO4</t>
  </si>
  <si>
    <t>SUCCALDASP1</t>
  </si>
  <si>
    <t>HOTELTEQ1</t>
  </si>
  <si>
    <t>SUC_PFLORE1</t>
  </si>
  <si>
    <t>PLANET_RIC2</t>
  </si>
  <si>
    <t>MF_MODELIA</t>
  </si>
  <si>
    <t>SANDONA1</t>
  </si>
  <si>
    <t>MF_SANTABO2</t>
  </si>
  <si>
    <t>SUC_QUIBDO5</t>
  </si>
  <si>
    <t>SUCCARTAGO2</t>
  </si>
  <si>
    <t>SUCCARVIBO3</t>
  </si>
  <si>
    <t>SUC_YOPAL2</t>
  </si>
  <si>
    <t>MF_AVENID19</t>
  </si>
  <si>
    <t>MF_VENPLAZA</t>
  </si>
  <si>
    <t>PUERTO_GAI5</t>
  </si>
  <si>
    <t>SUC_SOLEDA2</t>
  </si>
  <si>
    <t>URRAO_1</t>
  </si>
  <si>
    <t>SUC_VILLAO5</t>
  </si>
  <si>
    <t>MF_MONTERI2</t>
  </si>
  <si>
    <t>sobrante contabilizado por sucursal</t>
  </si>
  <si>
    <t>MF_CCSNTAF3</t>
  </si>
  <si>
    <t>AGUAZUL1</t>
  </si>
  <si>
    <t>SUCREALMIN1</t>
  </si>
  <si>
    <t>SUCREALMIN3</t>
  </si>
  <si>
    <t>CAUCASIA</t>
  </si>
  <si>
    <t>MF_SUCMOCOA</t>
  </si>
  <si>
    <t>MFSUCCIAV1</t>
  </si>
  <si>
    <t>MF_SANTABO3</t>
  </si>
  <si>
    <t>MF_MANGA</t>
  </si>
  <si>
    <t>SUCCOVENAS1</t>
  </si>
  <si>
    <t>SMALPLANQS1</t>
  </si>
  <si>
    <t>SUC_TEQUEN1</t>
  </si>
  <si>
    <t>GARZON_2</t>
  </si>
  <si>
    <t>MANGA1</t>
  </si>
  <si>
    <t>SUCHALLAGO1</t>
  </si>
  <si>
    <t>MF_CARRDECI</t>
  </si>
  <si>
    <t>MF_CR26PALM</t>
  </si>
  <si>
    <t>MF_BUENASM1</t>
  </si>
  <si>
    <t>SUCPLZFABR6</t>
  </si>
  <si>
    <t>SAHAGUN2</t>
  </si>
  <si>
    <t>MF_OCANA2</t>
  </si>
  <si>
    <t>MF_AVPEPESI</t>
  </si>
  <si>
    <t>MF_VALLEDUP</t>
  </si>
  <si>
    <t>MF_VILLETA</t>
  </si>
  <si>
    <t>MF_BARBOSA2</t>
  </si>
  <si>
    <t>MF_CHPICHPE</t>
  </si>
  <si>
    <t>MF_MOSQUERA</t>
  </si>
  <si>
    <t>MF_PLARIO2</t>
  </si>
  <si>
    <t>MF_ALDELSI1</t>
  </si>
  <si>
    <t>MF_SINCELE2</t>
  </si>
  <si>
    <t>SUCSTAMART1</t>
  </si>
  <si>
    <t>LAUNIONNARI</t>
  </si>
  <si>
    <t>ELGUAMO2</t>
  </si>
  <si>
    <t>BVENTURA_2</t>
  </si>
  <si>
    <t>SATAROSOS3</t>
  </si>
  <si>
    <t>SUBACHOQUE</t>
  </si>
  <si>
    <t>HALLCHIGOR1</t>
  </si>
  <si>
    <t>SUC_INIRID1</t>
  </si>
  <si>
    <t>SUC_SOGAMO1</t>
  </si>
  <si>
    <t>MF_POPAYAN1</t>
  </si>
  <si>
    <t>PTO_BERRIO1</t>
  </si>
  <si>
    <t>MF_EXITCOLO</t>
  </si>
  <si>
    <t>31/10/2025 RECLASIFICACIÓN SOBRANTES JUAN ANDRÉS</t>
  </si>
  <si>
    <t>DesconciliacionesRetiros_Sept</t>
  </si>
  <si>
    <t>DINERO CONTABILIZADO POR SUCURSAL</t>
  </si>
  <si>
    <t>MF_SANTABO1</t>
  </si>
  <si>
    <t>SUC_PQCOL4</t>
  </si>
  <si>
    <t>SUCPORPRAD7</t>
  </si>
  <si>
    <t>SUCSEBDBEL3</t>
  </si>
  <si>
    <t>SUC_AGUAC4</t>
  </si>
  <si>
    <t>5TAVENIDA1</t>
  </si>
  <si>
    <t>SUCTURBA3</t>
  </si>
  <si>
    <t>SUCBORDOCAU</t>
  </si>
  <si>
    <t>SUC_OCANA4</t>
  </si>
  <si>
    <t>MF_TRIGALAN</t>
  </si>
  <si>
    <t>MF_SBUVIII2</t>
  </si>
  <si>
    <t>MFSUCACACI1</t>
  </si>
  <si>
    <t>MF_RICAURTE</t>
  </si>
  <si>
    <t>RICAURTE1</t>
  </si>
  <si>
    <t>MF_SUCARKA2</t>
  </si>
  <si>
    <t>SUC_ACACI2</t>
  </si>
  <si>
    <t>SUC_MALAMB2</t>
  </si>
  <si>
    <t>PQECABAL_3</t>
  </si>
  <si>
    <t>SUC_QUIBDO7</t>
  </si>
  <si>
    <t>SUC_OVALLE2</t>
  </si>
  <si>
    <t>MF_SUCLAUR3</t>
  </si>
  <si>
    <t>MF_MAICAO</t>
  </si>
  <si>
    <t>PTO_BERRIO2</t>
  </si>
  <si>
    <t>MF_MADRID</t>
  </si>
  <si>
    <t>MAGANGUE2</t>
  </si>
  <si>
    <t>MF_NEIVA</t>
  </si>
  <si>
    <t>HALLCALIPR8</t>
  </si>
  <si>
    <t>SUC_USASTB4</t>
  </si>
  <si>
    <t>12/11/2025 RECLASIFICACIÓN SOBRANTES JUAN ANDRÉS</t>
  </si>
  <si>
    <t>Saldo en rojo/restante de cajero</t>
  </si>
  <si>
    <t>TROQUE DE GAVETAS 16/10/2025 Y 17/10/2025 RECLAMOS DE CLIENTES</t>
  </si>
  <si>
    <t>SUCRETIRO2</t>
  </si>
  <si>
    <t>MFSUCBUCMG2</t>
  </si>
  <si>
    <t>PQBOLIVAR_1</t>
  </si>
  <si>
    <t>SUCSTAMART2</t>
  </si>
  <si>
    <t>MF_SANDRES3</t>
  </si>
  <si>
    <t>MAGANGUE_3</t>
  </si>
  <si>
    <t>SUC_BARSAN2</t>
  </si>
  <si>
    <t>SUCANAVERA3</t>
  </si>
  <si>
    <t>MF_SUCPARF1</t>
  </si>
  <si>
    <t>SUC_AMAGA3</t>
  </si>
  <si>
    <t>SUC_SABANA2</t>
  </si>
  <si>
    <t>MFABASTOBGA</t>
  </si>
  <si>
    <t>AV_ROOSVEL3</t>
  </si>
  <si>
    <t>SUCCALDASP3</t>
  </si>
  <si>
    <t>SUC_CAREPA1</t>
  </si>
  <si>
    <t>MF_AVROOSVL</t>
  </si>
  <si>
    <t>MF_AVCGORDS</t>
  </si>
  <si>
    <t>MF_SOLEDAD2</t>
  </si>
  <si>
    <t>MF_SUCOCANA</t>
  </si>
  <si>
    <t>MF_PWASHING</t>
  </si>
  <si>
    <t>MF_QUIBDO2</t>
  </si>
  <si>
    <t xml:space="preserve">                                                                                                                                                                         </t>
  </si>
  <si>
    <t>Cajero</t>
  </si>
  <si>
    <t>Marca</t>
  </si>
  <si>
    <t>NOMBRE DEL CAJERO</t>
  </si>
  <si>
    <t>NCR</t>
  </si>
  <si>
    <t>SUC_CARABO2</t>
  </si>
  <si>
    <t>BELLTECH</t>
  </si>
  <si>
    <t>SUCLAURELE2</t>
  </si>
  <si>
    <t>MFSUCAVPBL1</t>
  </si>
  <si>
    <t>DIEBOLD</t>
  </si>
  <si>
    <t>MF_LOSMOLI1</t>
  </si>
  <si>
    <t>SUC_MOLIN2</t>
  </si>
  <si>
    <t>SUC_MOLIN3</t>
  </si>
  <si>
    <t>SUC_MOLIN4</t>
  </si>
  <si>
    <t>SUC_MOLIN5</t>
  </si>
  <si>
    <t>MF_LAPLAYA</t>
  </si>
  <si>
    <t>WINCOR</t>
  </si>
  <si>
    <t>SUC_LAPLAY1</t>
  </si>
  <si>
    <t>HALLITAGUI1</t>
  </si>
  <si>
    <t>HALLITAGUI3</t>
  </si>
  <si>
    <t>MF_AEOLAYA</t>
  </si>
  <si>
    <t>ENVIGADO_1</t>
  </si>
  <si>
    <t>SUC_RIONEG3</t>
  </si>
  <si>
    <t>SUC_RIONEG4</t>
  </si>
  <si>
    <t>SUC_RIONEG5</t>
  </si>
  <si>
    <t>SUCPOLCLUB1</t>
  </si>
  <si>
    <t>SUCPOLCLUB2</t>
  </si>
  <si>
    <t>MF_SPOLCLU1</t>
  </si>
  <si>
    <t>SUCCENT93_1</t>
  </si>
  <si>
    <t>SUCCENT93_2</t>
  </si>
  <si>
    <t>PLAZAESPANA</t>
  </si>
  <si>
    <t>MF_PLZESPAN</t>
  </si>
  <si>
    <t>SUCPUENLAR1</t>
  </si>
  <si>
    <t>SUC_VILLAO2</t>
  </si>
  <si>
    <t>SUC_VILLAO3</t>
  </si>
  <si>
    <t>SUC_VILLAO6</t>
  </si>
  <si>
    <t>SUC_VILLAO7</t>
  </si>
  <si>
    <t>SUC_VILLAO8</t>
  </si>
  <si>
    <t>AVSANTAN_1</t>
  </si>
  <si>
    <t>HALLCALIPR4</t>
  </si>
  <si>
    <t>MF_HCALIPR2</t>
  </si>
  <si>
    <t>VIPASA_6_R</t>
  </si>
  <si>
    <t>MFSUCVIPA1</t>
  </si>
  <si>
    <t>AUTO_IBAGU1</t>
  </si>
  <si>
    <t>AUTO_IBAGU2</t>
  </si>
  <si>
    <t>AUTO_IBAGU3</t>
  </si>
  <si>
    <t>AUTO_IBAGU4</t>
  </si>
  <si>
    <t>PPMANIZLES4</t>
  </si>
  <si>
    <t>OFPEREIRA5</t>
  </si>
  <si>
    <t>MF_PASTO</t>
  </si>
  <si>
    <t>PASTOPPA_4</t>
  </si>
  <si>
    <t>HALLCACIQ1</t>
  </si>
  <si>
    <t>HALLCACIQ2</t>
  </si>
  <si>
    <t>HALLCACIQ4</t>
  </si>
  <si>
    <t>SUCSERZUL_1</t>
  </si>
  <si>
    <t>SUCSERZUL_2</t>
  </si>
  <si>
    <t>SUCSERZUL_3</t>
  </si>
  <si>
    <t>MONTERIA_1</t>
  </si>
  <si>
    <t>MONTERIA_2</t>
  </si>
  <si>
    <t>SUC_MONTE4</t>
  </si>
  <si>
    <t>SUC_MONTER5</t>
  </si>
  <si>
    <t>SUC_MONTER6</t>
  </si>
  <si>
    <t>SUC_MONTER7</t>
  </si>
  <si>
    <t>SAHAGUN3</t>
  </si>
  <si>
    <t>SUC_MDRIVE3</t>
  </si>
  <si>
    <t>SUCPLZAMER1</t>
  </si>
  <si>
    <t>SUCPLZAMER3</t>
  </si>
  <si>
    <t>SUCPLZAMER4</t>
  </si>
  <si>
    <t>SUCPLZAMER5</t>
  </si>
  <si>
    <t>MFSUCPAMER2</t>
  </si>
  <si>
    <t>SUC_COROZ2</t>
  </si>
  <si>
    <t>CVLARPERE3</t>
  </si>
  <si>
    <t>CP_RIONEG1</t>
  </si>
  <si>
    <t>MF_CPRIONE2</t>
  </si>
  <si>
    <t>SUC_MOSQUE3</t>
  </si>
  <si>
    <t>SAN_PEDRO</t>
  </si>
  <si>
    <t>SAN_PEDRO2</t>
  </si>
  <si>
    <t>SUCALMSIN1</t>
  </si>
  <si>
    <t>SUCALMSIN2</t>
  </si>
  <si>
    <t>SUCALMSIN3</t>
  </si>
  <si>
    <t>SUC_CIUSAL4</t>
  </si>
  <si>
    <t>SUC_CL573</t>
  </si>
  <si>
    <t>FULLFCIERO</t>
  </si>
  <si>
    <t>SUCLLAGRPA1</t>
  </si>
  <si>
    <t>SUCLLAGRPA2</t>
  </si>
  <si>
    <t>SUC_GALERI3</t>
  </si>
  <si>
    <t>SUC_USASTB3</t>
  </si>
  <si>
    <t>SUC_AVPEPE1</t>
  </si>
  <si>
    <t>CCMILPLAZA1</t>
  </si>
  <si>
    <t>CCMILPLAZA2</t>
  </si>
  <si>
    <t>SUC_SABANA3</t>
  </si>
  <si>
    <t>SMALPLANQS2</t>
  </si>
  <si>
    <t>SUCPASERIO4</t>
  </si>
  <si>
    <t>MF_BARRIRPO</t>
  </si>
  <si>
    <t>SUC_SANTFE1</t>
  </si>
  <si>
    <t>PUERTARIO4</t>
  </si>
  <si>
    <t>SUCMODE1</t>
  </si>
  <si>
    <t>SUCMODE2</t>
  </si>
  <si>
    <t>SUCMODE3</t>
  </si>
  <si>
    <t>SUCMODE4</t>
  </si>
  <si>
    <t>PTOBOYACA2</t>
  </si>
  <si>
    <t>PTOBOYACA3</t>
  </si>
  <si>
    <t>SUCAMPA1</t>
  </si>
  <si>
    <t>SUCAMPA2</t>
  </si>
  <si>
    <t>SUCAMPA3</t>
  </si>
  <si>
    <t>SUCAMPA4</t>
  </si>
  <si>
    <t>SUCAMPA5</t>
  </si>
  <si>
    <t>SUC_DUITA3</t>
  </si>
  <si>
    <t>SUC_LA14VA3</t>
  </si>
  <si>
    <t>MF_VALLELIL</t>
  </si>
  <si>
    <t>MF_BOUENVIG</t>
  </si>
  <si>
    <t>MF_ITAGPARQ</t>
  </si>
  <si>
    <t>GARZON_1</t>
  </si>
  <si>
    <t>MF_GARZON</t>
  </si>
  <si>
    <t>GARZON3</t>
  </si>
  <si>
    <t>GARZON4</t>
  </si>
  <si>
    <t>ABASTOBGA_1</t>
  </si>
  <si>
    <t>BGA_CAB_2</t>
  </si>
  <si>
    <t>SUC_PALMAS2</t>
  </si>
  <si>
    <t>SUCPALMAS3</t>
  </si>
  <si>
    <t>ATM MF SUC CTRO DE CONFECCIO2</t>
  </si>
  <si>
    <t>CONFECCION5</t>
  </si>
  <si>
    <t>SUC_AGUAC3</t>
  </si>
  <si>
    <t>VILLACASAN1</t>
  </si>
  <si>
    <t>ATM MF SUC BARRANCABERMEJA 1</t>
  </si>
  <si>
    <t>BBERMEJA</t>
  </si>
  <si>
    <t>BBERMEJA_2</t>
  </si>
  <si>
    <t>MF_BARRANCA</t>
  </si>
  <si>
    <t>MALAGA</t>
  </si>
  <si>
    <t>SUCARAUCA_3</t>
  </si>
  <si>
    <t>SUCARAUCA_4</t>
  </si>
  <si>
    <t>MF_ARAUCA</t>
  </si>
  <si>
    <t>SUCARAUCA_5</t>
  </si>
  <si>
    <t>SUC_OCANA3</t>
  </si>
  <si>
    <t>SUCSANGIL2</t>
  </si>
  <si>
    <t>SANTUARI1</t>
  </si>
  <si>
    <t>SANTUARI2</t>
  </si>
  <si>
    <t>ATM SUC VELEZ 2</t>
  </si>
  <si>
    <t>SUC_MALAMB1</t>
  </si>
  <si>
    <t>SUCARKADIA1</t>
  </si>
  <si>
    <t>SUCARKADIA2</t>
  </si>
  <si>
    <t>SUCARKADIA3</t>
  </si>
  <si>
    <t>SUCARKADIA4</t>
  </si>
  <si>
    <t>ZIPAQUIRA_2</t>
  </si>
  <si>
    <t>ZIPAQUIRA_3</t>
  </si>
  <si>
    <t>MFSUCAVMAR2</t>
  </si>
  <si>
    <t>MF_AVESMARI</t>
  </si>
  <si>
    <t>SUCPENOL_2</t>
  </si>
  <si>
    <t>SUC_SESQUI1</t>
  </si>
  <si>
    <t>PACHO</t>
  </si>
  <si>
    <t>PACHO2</t>
  </si>
  <si>
    <t>SUCSANDRES4</t>
  </si>
  <si>
    <t>SUCSANDRES1</t>
  </si>
  <si>
    <t>SUCSANDRES6</t>
  </si>
  <si>
    <t>SUCSANDRES8</t>
  </si>
  <si>
    <t>MF_SANDRES2</t>
  </si>
  <si>
    <t>MF_PUNTORIE</t>
  </si>
  <si>
    <t>CQUINQUIRA2</t>
  </si>
  <si>
    <t>MF_CHIQUINQ</t>
  </si>
  <si>
    <t>SIMIJACA1</t>
  </si>
  <si>
    <t>SUCGUACHET1</t>
  </si>
  <si>
    <t>SUCGUACHET2</t>
  </si>
  <si>
    <t>SUC_SOGA2</t>
  </si>
  <si>
    <t>SUC_SOGA3</t>
  </si>
  <si>
    <t>SUC_COVEN1</t>
  </si>
  <si>
    <t>_ESTADIO_2_</t>
  </si>
  <si>
    <t>AGUAZUL_2_C</t>
  </si>
  <si>
    <t>SUC_AGUAZ3</t>
  </si>
  <si>
    <t>OFGRANAME_1</t>
  </si>
  <si>
    <t>OFGRANAME_2</t>
  </si>
  <si>
    <t>SUC_SUPIA</t>
  </si>
  <si>
    <t>SUC_TAURAME</t>
  </si>
  <si>
    <t>TAURAMENA</t>
  </si>
  <si>
    <t>SUC_TAURAM3</t>
  </si>
  <si>
    <t>_FREDONIA_</t>
  </si>
  <si>
    <t>FREDONIA_2</t>
  </si>
  <si>
    <t>SUCCIALAVE1</t>
  </si>
  <si>
    <t>SUCCIALAVE3</t>
  </si>
  <si>
    <t>SUCTESORO_1</t>
  </si>
  <si>
    <t>SUC_VILLET3</t>
  </si>
  <si>
    <t>MARIQUITA</t>
  </si>
  <si>
    <t>MF_MARIQUIT</t>
  </si>
  <si>
    <t>SUCVIVAVCI1</t>
  </si>
  <si>
    <t>SUCVIVAVCI6</t>
  </si>
  <si>
    <t>SUCVIVAVCI7</t>
  </si>
  <si>
    <t>SUCVIVAVCI8</t>
  </si>
  <si>
    <t>SUC_CHINU</t>
  </si>
  <si>
    <t>SUCGIRARDO1</t>
  </si>
  <si>
    <t>SUCGIRARDO2</t>
  </si>
  <si>
    <t>SUCGIRARDO3</t>
  </si>
  <si>
    <t>SUCGIRARDO4</t>
  </si>
  <si>
    <t>STA_BARBARA</t>
  </si>
  <si>
    <t>JARDIN1</t>
  </si>
  <si>
    <t>JARDIN_2</t>
  </si>
  <si>
    <t>SUC_EMPRES1</t>
  </si>
  <si>
    <t>SUCRETIRO3</t>
  </si>
  <si>
    <t>PURIFICACI1</t>
  </si>
  <si>
    <t>SALDANA</t>
  </si>
  <si>
    <t>MF_ZONAROSA</t>
  </si>
  <si>
    <t>ANDES</t>
  </si>
  <si>
    <t>SUC_CAJAMA2</t>
  </si>
  <si>
    <t>SUC_CAJAMA1</t>
  </si>
  <si>
    <t>VIVABQUILA1</t>
  </si>
  <si>
    <t>VIVABQUILA2</t>
  </si>
  <si>
    <t>VIVABQUILA4</t>
  </si>
  <si>
    <t>SUCCONCORD1</t>
  </si>
  <si>
    <t>SUC_PASIS1</t>
  </si>
  <si>
    <t>SUCPITALTO2</t>
  </si>
  <si>
    <t>SUCPITALTO3</t>
  </si>
  <si>
    <t>SUC_CEIBAS1</t>
  </si>
  <si>
    <t>SUCSANPEDR1</t>
  </si>
  <si>
    <t>CAMPOALEGRE</t>
  </si>
  <si>
    <t>SUC_FLOREN1</t>
  </si>
  <si>
    <t>SUCFLOREN_2</t>
  </si>
  <si>
    <t>HDIVERPLZ_5</t>
  </si>
  <si>
    <t>HDIVERPLZ_6</t>
  </si>
  <si>
    <t>MFHDVERPLZ2</t>
  </si>
  <si>
    <t>SUC_PAMPL2</t>
  </si>
  <si>
    <t>MF_PAMPLONA</t>
  </si>
  <si>
    <t>SUC_PAMPL3</t>
  </si>
  <si>
    <t>FULLGCENTRO</t>
  </si>
  <si>
    <t>SUC_SOLEDA1</t>
  </si>
  <si>
    <t>SUC_SOLEDA3</t>
  </si>
  <si>
    <t>SUC_CIENAG1</t>
  </si>
  <si>
    <t>MF_SANNIBA1</t>
  </si>
  <si>
    <t>SUC_SNICOL2</t>
  </si>
  <si>
    <t>SUC_SNICOL3</t>
  </si>
  <si>
    <t>BANCACRR11</t>
  </si>
  <si>
    <t>ATM MF SUC PLAZA FABRICATO 3</t>
  </si>
  <si>
    <t>SUCPLZFABR4</t>
  </si>
  <si>
    <t>SUCPLZFABR5</t>
  </si>
  <si>
    <t>SUCPLZFABR7</t>
  </si>
  <si>
    <t>SUCPARFAB11</t>
  </si>
  <si>
    <t>SUC_VILLAL1</t>
  </si>
  <si>
    <t>SUCTURBA1</t>
  </si>
  <si>
    <t>SUCTURBA2</t>
  </si>
  <si>
    <t>SUC_PLATO1</t>
  </si>
  <si>
    <t>SUC_AGUARI1</t>
  </si>
  <si>
    <t>SUC_AGUARI2</t>
  </si>
  <si>
    <t>SUC_RODADE2</t>
  </si>
  <si>
    <t>SUC_OVALLE3</t>
  </si>
  <si>
    <t>SUC_SANMA1</t>
  </si>
  <si>
    <t>SUC_SANMAR2</t>
  </si>
  <si>
    <t>ENTRERRIOS</t>
  </si>
  <si>
    <t>SUCCALDASP2</t>
  </si>
  <si>
    <t>SUCCALDASP5</t>
  </si>
  <si>
    <t>SUCCALDASP6</t>
  </si>
  <si>
    <t>SUCCALDASP8</t>
  </si>
  <si>
    <t>SUCCALDAS10</t>
  </si>
  <si>
    <t>VILLAPINZON</t>
  </si>
  <si>
    <t>SUCBUEVIII1</t>
  </si>
  <si>
    <t>SUCBUEVIII2</t>
  </si>
  <si>
    <t>SUCBUEVIII3</t>
  </si>
  <si>
    <t>SUCCARVIBO1</t>
  </si>
  <si>
    <t>SUCCARVIBO2</t>
  </si>
  <si>
    <t>SUCCARVIBO4</t>
  </si>
  <si>
    <t>SUCCARVIBO5</t>
  </si>
  <si>
    <t>LA_UNION_AN</t>
  </si>
  <si>
    <t>SUC_BUENAM2</t>
  </si>
  <si>
    <t>SUC_BUENAM3</t>
  </si>
  <si>
    <t>MF_BUENMON2</t>
  </si>
  <si>
    <t>SUCRIOSUCI2</t>
  </si>
  <si>
    <t>HALLCHIGOR3</t>
  </si>
  <si>
    <t>SUC_PQCOL1</t>
  </si>
  <si>
    <t>SUC_PQCOL2</t>
  </si>
  <si>
    <t>UNIC_TUNJA2</t>
  </si>
  <si>
    <t>SUC_YUMBO3</t>
  </si>
  <si>
    <t>SUC_YOPAL3</t>
  </si>
  <si>
    <t>CIUDABOLIVA</t>
  </si>
  <si>
    <t>SANTAROSOS1</t>
  </si>
  <si>
    <t>SANTAROSOS2</t>
  </si>
  <si>
    <t>AGUADAS</t>
  </si>
  <si>
    <t>SUC_MARINI1</t>
  </si>
  <si>
    <t>SUC_MARINI2</t>
  </si>
  <si>
    <t>BARBOSA</t>
  </si>
  <si>
    <t>MF_MAYPLAZA</t>
  </si>
  <si>
    <t>SUCBELLASU2</t>
  </si>
  <si>
    <t>MF_CORABAST</t>
  </si>
  <si>
    <t>SUCCPCORAB3</t>
  </si>
  <si>
    <t>SUCSONSON_1</t>
  </si>
  <si>
    <t>SUCPLZMERCA</t>
  </si>
  <si>
    <t>SUCPLZMERC2</t>
  </si>
  <si>
    <t>MF_PLMERMON</t>
  </si>
  <si>
    <t>PASEOCAST_5</t>
  </si>
  <si>
    <t>PASEOCAST_6</t>
  </si>
  <si>
    <t>CERETE_3</t>
  </si>
  <si>
    <t>SUC_CERETE2</t>
  </si>
  <si>
    <t>SUC_CERET4</t>
  </si>
  <si>
    <t>SUC_CCFONT1</t>
  </si>
  <si>
    <t>SUC_CCFONT2</t>
  </si>
  <si>
    <t>PLANET_RIC1</t>
  </si>
  <si>
    <t>SUC_PLANE3</t>
  </si>
  <si>
    <t>MF_CONTADOR</t>
  </si>
  <si>
    <t>METROP_BOG1</t>
  </si>
  <si>
    <t>MFSUCALTPR2</t>
  </si>
  <si>
    <t>SUCALTOPRA1</t>
  </si>
  <si>
    <t>SUCALTOPRA2</t>
  </si>
  <si>
    <t>SUCALTOPRA3</t>
  </si>
  <si>
    <t>MF_SCLLE79</t>
  </si>
  <si>
    <t>SUC_LOMCES2</t>
  </si>
  <si>
    <t>_EL_BAGRE_</t>
  </si>
  <si>
    <t>MANI_CASANA</t>
  </si>
  <si>
    <t>SUC_MANICA1</t>
  </si>
  <si>
    <t>SUC_ANSER2</t>
  </si>
  <si>
    <t>SUC_ANSER3</t>
  </si>
  <si>
    <t>SUC_PALERMO</t>
  </si>
  <si>
    <t>BELENUMBRIA</t>
  </si>
  <si>
    <t>SUCHALLAGO5</t>
  </si>
  <si>
    <t>MFSUCLAGO1</t>
  </si>
  <si>
    <t>SUCCARTAGO1</t>
  </si>
  <si>
    <t>SUC_LAMES1</t>
  </si>
  <si>
    <t>ROLDANILLO1</t>
  </si>
  <si>
    <t>LAUNIONVAL1</t>
  </si>
  <si>
    <t>UNIONVALL2</t>
  </si>
  <si>
    <t>SUC_NECO2</t>
  </si>
  <si>
    <t>SUC_NORTHP2</t>
  </si>
  <si>
    <t>SUCMALPLAZ1</t>
  </si>
  <si>
    <t>SUCMALPLAZ2</t>
  </si>
  <si>
    <t>SUCMALPLAZ3</t>
  </si>
  <si>
    <t>SUC_INTEXZ1</t>
  </si>
  <si>
    <t>SUC_MOMPOX1</t>
  </si>
  <si>
    <t>SUC_MOMPOX2</t>
  </si>
  <si>
    <t>AV_ROOSVEL1</t>
  </si>
  <si>
    <t>AV_ROOSVEL2</t>
  </si>
  <si>
    <t>ATM SUC PUERTO INIRIDA 3</t>
  </si>
  <si>
    <t>SUC_JAMUN1</t>
  </si>
  <si>
    <t>SUC_JAMUN2</t>
  </si>
  <si>
    <t>SUC_JAMUND4</t>
  </si>
  <si>
    <t>SUC_BECERR2</t>
  </si>
  <si>
    <t>SUCPORPRAD4</t>
  </si>
  <si>
    <t>SUCPORPRAD5</t>
  </si>
  <si>
    <t>SUCPORPRAD6</t>
  </si>
  <si>
    <t>MFPWASHING2</t>
  </si>
  <si>
    <t>SUCPARWASH2</t>
  </si>
  <si>
    <t>SUCPARWASH3</t>
  </si>
  <si>
    <t>MF_BUENVSM2</t>
  </si>
  <si>
    <t>SUCSEVILLA1</t>
  </si>
  <si>
    <t>SUCSEVILLA2</t>
  </si>
  <si>
    <t>PASEOCOM2</t>
  </si>
  <si>
    <t>OFPROFESI_1</t>
  </si>
  <si>
    <t>SUCANAVERA1</t>
  </si>
  <si>
    <t>SUCANAVERA2</t>
  </si>
  <si>
    <t>MF_GIRON</t>
  </si>
  <si>
    <t>SUC_PTOLOP3</t>
  </si>
  <si>
    <t>SUC_MIRANDA</t>
  </si>
  <si>
    <t>SUCMIRANDA2</t>
  </si>
  <si>
    <t>SUCVENTPLZ7</t>
  </si>
  <si>
    <t>SUCVENTPLZ6</t>
  </si>
  <si>
    <t>SUCVENTPLZ5</t>
  </si>
  <si>
    <t>SUC_SANJOS1</t>
  </si>
  <si>
    <t>SUC_SANJOS2</t>
  </si>
  <si>
    <t>SUC_SANJOS3</t>
  </si>
  <si>
    <t>SUCUNICCAL1</t>
  </si>
  <si>
    <t>SUCUNICCAL3</t>
  </si>
  <si>
    <t>SUCUNICCAL4</t>
  </si>
  <si>
    <t>SUC_CAREPA4</t>
  </si>
  <si>
    <t>SUC_SANQUI1</t>
  </si>
  <si>
    <t>SANT_QUILI2</t>
  </si>
  <si>
    <t>SANT_QUILI3</t>
  </si>
  <si>
    <t>SUC_PAZARI2</t>
  </si>
  <si>
    <t>MFSUCLAPLT1</t>
  </si>
  <si>
    <t>SUC_CUMAR1</t>
  </si>
  <si>
    <t>SUC_CUMAR2</t>
  </si>
  <si>
    <t>SUC_CUMAR3</t>
  </si>
  <si>
    <t>MF_BUGA</t>
  </si>
  <si>
    <t>_CERRITO_1_</t>
  </si>
  <si>
    <t>_CERRITO_2_</t>
  </si>
  <si>
    <t>ATM SUC LOS PATIOS 1</t>
  </si>
  <si>
    <t>ATM SUC LOS PATIOS 2</t>
  </si>
  <si>
    <t>ATM SUC LOS PATIOS 3</t>
  </si>
  <si>
    <t>ATM SUC LOS PATIOS 4</t>
  </si>
  <si>
    <t>LOSPATIOS</t>
  </si>
  <si>
    <t>SUC_PLBOAR1</t>
  </si>
  <si>
    <t>SUC_PLBOAR2</t>
  </si>
  <si>
    <t>UNIC_ARME3</t>
  </si>
  <si>
    <t>MF_UNARMENI</t>
  </si>
  <si>
    <t>UNIPASTO5</t>
  </si>
  <si>
    <t>SUCSEBDBEL2</t>
  </si>
  <si>
    <t>SUC_SALGAR2</t>
  </si>
  <si>
    <t>SUCSANMART1</t>
  </si>
  <si>
    <t>TUQUERRES</t>
  </si>
  <si>
    <t>AUTO_TUMA1</t>
  </si>
  <si>
    <t>AUTO_TUMA2</t>
  </si>
  <si>
    <t>SUCFRESNO2</t>
  </si>
  <si>
    <t>FRESNO1</t>
  </si>
  <si>
    <t>SUCBANLABB1</t>
  </si>
  <si>
    <t>SUCBANLABB2</t>
  </si>
  <si>
    <t>LETICIA_1</t>
  </si>
  <si>
    <t>LETICIA_2</t>
  </si>
  <si>
    <t>LETICIA_4</t>
  </si>
  <si>
    <t>SUCSANTABO4</t>
  </si>
  <si>
    <t>SUC_CHIA1</t>
  </si>
  <si>
    <t>AUTOBOSCO2</t>
  </si>
  <si>
    <t>AUTOBOSC_3</t>
  </si>
  <si>
    <t>TURBO2</t>
  </si>
  <si>
    <t>GUACHENE</t>
  </si>
  <si>
    <t>ATM SUC LLANOGRANDE PALMIRA 3</t>
  </si>
  <si>
    <t>ATM SUC LLANOGRANDE PALMIRA 2</t>
  </si>
  <si>
    <t>SUCPOPAYAN1</t>
  </si>
  <si>
    <t>SUCPOPAYAN2</t>
  </si>
  <si>
    <t>SUCPOPAYAN3</t>
  </si>
  <si>
    <t>SUCPOPAYAN4</t>
  </si>
  <si>
    <t>SUCPOPAYAN5</t>
  </si>
  <si>
    <t>ATM SUC LA GRAN MANZANA 3</t>
  </si>
  <si>
    <t>ATM MF SUC GRAN MANZANA 1</t>
  </si>
  <si>
    <t>PQECABAL_1</t>
  </si>
  <si>
    <t>ATM SUC MF LLANOGRAN PALMIR 1</t>
  </si>
  <si>
    <t>ATM SUC LA GRAN MANZANA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</si>
</sst>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* #,##0.00\ _$_-;\-* #,##0.00\ _$_-;_-* &quot;-&quot;??\ _$_-;_-@_-"/>
    <numFmt numFmtId="167" formatCode="_(&quot;$&quot;\ * #,##0.00_);_(&quot;$&quot;\ * \(#,##0.00\);_(&quot;$&quot;\ * &quot;-&quot;??_);_(@_)"/>
    <numFmt numFmtId="168" formatCode="_ * #,##0.00_ ;_ * \-#,##0.00_ ;_ * &quot;-&quot;??_ ;_ @_ "/>
    <numFmt numFmtId="169" formatCode="_ &quot;$&quot;\ * #,##0.00_ ;_ &quot;$&quot;\ * \-#,##0.00_ ;_ &quot;$&quot;\ * &quot;-&quot;??_ ;_ @_ "/>
    <numFmt numFmtId="170" formatCode="&quot;$&quot;#,##0"/>
    <numFmt numFmtId="171" formatCode="_ * #,##0_ ;_ * \-#,##0_ ;_ * &quot;-&quot;_ ;_ @_ "/>
    <numFmt numFmtId="172" formatCode="_-* #,##0\ _D_M_-;\-* #,##0\ _D_M_-;_-* &quot;-&quot;\ _D_M_-;_-@_-"/>
    <numFmt numFmtId="173" formatCode="_(* #,##0.0_);_(* \(#,##0.0\);_(* &quot;-&quot;??_);_(@_)"/>
    <numFmt numFmtId="174" formatCode="_ [$€-2]\ * #,##0.00_ ;_ [$€-2]\ * \-#,##0.00_ ;_ [$€-2]\ * &quot;-&quot;??_ "/>
    <numFmt numFmtId="175" formatCode="#,##0.0"/>
    <numFmt numFmtId="176" formatCode="#,##0\ &quot;DM&quot;;\-#,##0\ &quot;DM&quot;"/>
    <numFmt numFmtId="177" formatCode="_ [$€-2]\ * #,##0.00_ ;_ [$€-2]\ * \-#,##0.00_ ;_ [$€-2]\ * \-??_ "/>
    <numFmt numFmtId="178" formatCode="_-* #,##0.00\ _P_t_s_-;\-* #,##0.00\ _P_t_s_-;_-* &quot;-&quot;??\ _P_t_s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Aptos"/>
      <family val="2"/>
    </font>
    <font>
      <sz val="10"/>
      <name val="MS Sans Serif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8"/>
      <name val="Times New Roman"/>
      <family val="1"/>
    </font>
    <font>
      <sz val="12"/>
      <name val="¹ÙÅÁÃ¼"/>
      <family val="1"/>
      <charset val="129"/>
    </font>
    <font>
      <sz val="11"/>
      <color indexed="17"/>
      <name val="Calibri"/>
      <family val="2"/>
    </font>
    <font>
      <sz val="12"/>
      <name val="¹ÙÅÁÃ¼"/>
      <charset val="129"/>
    </font>
    <font>
      <sz val="10"/>
      <name val="Courier"/>
      <family val="3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MS Serif"/>
      <family val="1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0"/>
      <name val="Helv"/>
      <charset val="204"/>
    </font>
    <font>
      <u/>
      <sz val="7.5"/>
      <color indexed="36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sz val="8"/>
      <name val="Wingdings"/>
      <charset val="2"/>
    </font>
    <font>
      <sz val="8"/>
      <name val="Helv"/>
    </font>
    <font>
      <b/>
      <sz val="11"/>
      <color indexed="63"/>
      <name val="Calibri"/>
      <family val="2"/>
    </font>
    <font>
      <u/>
      <sz val="9"/>
      <color indexed="36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9"/>
      <name val="Calibri"/>
      <family val="2"/>
    </font>
  </fonts>
  <fills count="8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darkVertical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06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/>
    <xf numFmtId="0" fontId="12" fillId="0" borderId="0"/>
    <xf numFmtId="44" fontId="1" fillId="0" borderId="0" applyFont="0" applyFill="0" applyBorder="0" applyAlignment="0" applyProtection="0"/>
    <xf numFmtId="0" fontId="16" fillId="0" borderId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10" borderId="5" applyNumberFormat="0" applyAlignment="0" applyProtection="0"/>
    <xf numFmtId="0" fontId="25" fillId="11" borderId="6" applyNumberFormat="0" applyAlignment="0" applyProtection="0"/>
    <xf numFmtId="0" fontId="26" fillId="11" borderId="5" applyNumberFormat="0" applyAlignment="0" applyProtection="0"/>
    <xf numFmtId="0" fontId="27" fillId="0" borderId="7" applyNumberFormat="0" applyFill="0" applyAlignment="0" applyProtection="0"/>
    <xf numFmtId="0" fontId="28" fillId="12" borderId="8" applyNumberFormat="0" applyAlignment="0" applyProtection="0"/>
    <xf numFmtId="0" fontId="29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4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33" fillId="0" borderId="0" applyFont="0" applyFill="0" applyBorder="0" applyAlignment="0" applyProtection="0"/>
    <xf numFmtId="0" fontId="33" fillId="0" borderId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1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33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6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60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9" fontId="37" fillId="0" borderId="0"/>
    <xf numFmtId="169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38" fillId="0" borderId="0">
      <alignment horizontal="center" wrapText="1"/>
      <protection locked="0"/>
    </xf>
    <xf numFmtId="171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1" fillId="0" borderId="0"/>
    <xf numFmtId="172" fontId="42" fillId="0" borderId="0" applyFill="0" applyBorder="0" applyAlignment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8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43" fillId="67" borderId="12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70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2" fillId="69" borderId="13" applyNumberFormat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0" fontId="45" fillId="0" borderId="0" applyNumberFormat="0" applyAlignment="0">
      <alignment horizontal="left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1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4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3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8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47" fillId="0" borderId="0" applyNumberFormat="0" applyAlignment="0">
      <alignment horizontal="left"/>
    </xf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50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8" fillId="49" borderId="12" applyNumberFormat="0" applyAlignment="0" applyProtection="0"/>
    <xf numFmtId="0" fontId="49" fillId="0" borderId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0" fontId="4" fillId="0" borderId="0"/>
    <xf numFmtId="0" fontId="4" fillId="0" borderId="0"/>
    <xf numFmtId="0" fontId="50" fillId="0" borderId="0" applyNumberFormat="0" applyFill="0" applyBorder="0" applyAlignment="0" applyProtection="0">
      <alignment vertical="top"/>
      <protection locked="0"/>
    </xf>
    <xf numFmtId="175" fontId="51" fillId="0" borderId="15">
      <alignment horizontal="right"/>
    </xf>
    <xf numFmtId="38" fontId="35" fillId="38" borderId="0" applyNumberFormat="0" applyBorder="0" applyAlignment="0" applyProtection="0"/>
    <xf numFmtId="0" fontId="52" fillId="0" borderId="11" applyNumberFormat="0" applyAlignment="0" applyProtection="0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3" fillId="0" borderId="17">
      <alignment horizontal="center"/>
    </xf>
    <xf numFmtId="0" fontId="53" fillId="0" borderId="0">
      <alignment horizontal="center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10" fontId="35" fillId="79" borderId="1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1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37" fontId="58" fillId="0" borderId="0"/>
    <xf numFmtId="176" fontId="4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4" fillId="83" borderId="18" applyNumberForma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0" fontId="33" fillId="82" borderId="18" applyNumberFormat="0" applyFont="0" applyAlignment="0" applyProtection="0"/>
    <xf numFmtId="14" fontId="38" fillId="0" borderId="0">
      <alignment horizontal="center" wrapText="1"/>
      <protection locked="0"/>
    </xf>
    <xf numFmtId="10" fontId="33" fillId="0" borderId="0" applyFont="0" applyFill="0" applyBorder="0" applyAlignment="0" applyProtection="0"/>
    <xf numFmtId="0" fontId="59" fillId="0" borderId="0" applyFont="0"/>
    <xf numFmtId="0" fontId="60" fillId="84" borderId="0" applyNumberFormat="0" applyFont="0" applyBorder="0" applyAlignment="0">
      <alignment horizontal="center"/>
    </xf>
    <xf numFmtId="14" fontId="61" fillId="0" borderId="0" applyNumberFormat="0" applyFill="0" applyBorder="0" applyAlignment="0" applyProtection="0">
      <alignment horizontal="left"/>
    </xf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8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2" fillId="67" borderId="19" applyNumberFormat="0" applyAlignment="0" applyProtection="0"/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0" fillId="1" borderId="16" applyNumberFormat="0" applyFont="0" applyAlignment="0">
      <alignment horizontal="center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>
      <alignment horizontal="center"/>
    </xf>
    <xf numFmtId="0" fontId="16" fillId="0" borderId="0"/>
    <xf numFmtId="40" fontId="65" fillId="0" borderId="0" applyBorder="0">
      <alignment horizontal="right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69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0" fontId="6" fillId="0" borderId="23" applyNumberFormat="0" applyFill="0" applyAlignment="0" applyProtection="0"/>
    <xf numFmtId="168" fontId="33" fillId="0" borderId="0" applyFont="0" applyFill="0" applyBorder="0" applyAlignment="0" applyProtection="0"/>
    <xf numFmtId="0" fontId="71" fillId="9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72" fillId="0" borderId="0" applyNumberFormat="0" applyFill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42" fillId="0" borderId="0" applyFill="0" applyBorder="0" applyAlignment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173" fontId="33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4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1" fillId="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1" fillId="0" borderId="0"/>
    <xf numFmtId="10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0">
      <alignment vertical="top"/>
    </xf>
    <xf numFmtId="167" fontId="1" fillId="0" borderId="0" applyFont="0" applyFill="0" applyBorder="0" applyAlignment="0" applyProtection="0"/>
    <xf numFmtId="177" fontId="33" fillId="0" borderId="0"/>
    <xf numFmtId="174" fontId="33" fillId="0" borderId="0"/>
    <xf numFmtId="174" fontId="33" fillId="0" borderId="0"/>
    <xf numFmtId="174" fontId="33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4" fontId="4" fillId="0" borderId="0"/>
    <xf numFmtId="178" fontId="3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3" fillId="0" borderId="0"/>
    <xf numFmtId="174" fontId="33" fillId="0" borderId="0"/>
    <xf numFmtId="174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3" fillId="0" borderId="0"/>
    <xf numFmtId="174" fontId="33" fillId="0" borderId="0"/>
    <xf numFmtId="177" fontId="1" fillId="0" borderId="0"/>
    <xf numFmtId="177" fontId="1" fillId="0" borderId="0"/>
    <xf numFmtId="174" fontId="33" fillId="0" borderId="0"/>
    <xf numFmtId="174" fontId="33" fillId="0" borderId="0"/>
    <xf numFmtId="174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3" fillId="0" borderId="0"/>
    <xf numFmtId="174" fontId="33" fillId="0" borderId="0"/>
    <xf numFmtId="174" fontId="33" fillId="0" borderId="0"/>
    <xf numFmtId="0" fontId="1" fillId="0" borderId="0"/>
    <xf numFmtId="174" fontId="33" fillId="0" borderId="0"/>
    <xf numFmtId="174" fontId="33" fillId="0" borderId="0"/>
    <xf numFmtId="174" fontId="33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7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1" fillId="13" borderId="9" applyNumberFormat="0" applyFont="0" applyAlignment="0" applyProtection="0"/>
    <xf numFmtId="0" fontId="72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7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4" fillId="13" borderId="9" applyNumberFormat="0" applyFont="0" applyAlignment="0" applyProtection="0"/>
    <xf numFmtId="0" fontId="7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3" fontId="0" fillId="0" borderId="0" xfId="0" applyNumberFormat="1"/>
    <xf numFmtId="165" fontId="0" fillId="0" borderId="0" xfId="3" applyNumberFormat="1" applyFont="1"/>
    <xf numFmtId="3" fontId="5" fillId="0" borderId="24" xfId="2" applyNumberFormat="1" applyFont="1" applyFill="1" applyBorder="1"/>
    <xf numFmtId="0" fontId="5" fillId="0" borderId="24" xfId="0" applyFont="1" applyBorder="1" applyAlignment="1">
      <alignment horizontal="center"/>
    </xf>
    <xf numFmtId="14" fontId="5" fillId="0" borderId="24" xfId="0" applyNumberFormat="1" applyFont="1" applyBorder="1" applyAlignment="1">
      <alignment horizontal="center"/>
    </xf>
    <xf numFmtId="3" fontId="3" fillId="0" borderId="24" xfId="2" applyNumberFormat="1" applyFont="1" applyFill="1" applyBorder="1"/>
    <xf numFmtId="3" fontId="3" fillId="0" borderId="24" xfId="0" applyNumberFormat="1" applyFont="1" applyBorder="1" applyAlignment="1">
      <alignment horizontal="right"/>
    </xf>
    <xf numFmtId="0" fontId="15" fillId="0" borderId="24" xfId="0" applyFont="1" applyBorder="1"/>
    <xf numFmtId="0" fontId="18" fillId="0" borderId="24" xfId="0" applyFont="1" applyBorder="1"/>
    <xf numFmtId="0" fontId="5" fillId="0" borderId="24" xfId="0" applyFont="1" applyBorder="1"/>
    <xf numFmtId="0" fontId="4" fillId="0" borderId="24" xfId="6" applyFont="1" applyBorder="1" applyAlignment="1">
      <alignment horizontal="center"/>
    </xf>
    <xf numFmtId="0" fontId="4" fillId="4" borderId="24" xfId="6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74" fillId="85" borderId="24" xfId="0" applyFont="1" applyFill="1" applyBorder="1" applyAlignment="1">
      <alignment horizontal="center"/>
    </xf>
    <xf numFmtId="4" fontId="6" fillId="3" borderId="24" xfId="1" applyNumberFormat="1" applyFont="1" applyFill="1" applyBorder="1" applyAlignment="1">
      <alignment horizontal="center" vertical="center"/>
    </xf>
    <xf numFmtId="164" fontId="6" fillId="3" borderId="24" xfId="3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center" vertical="center"/>
    </xf>
    <xf numFmtId="164" fontId="8" fillId="3" borderId="24" xfId="3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6" borderId="24" xfId="5" applyFont="1" applyFill="1" applyBorder="1" applyAlignment="1">
      <alignment horizontal="center"/>
    </xf>
    <xf numFmtId="0" fontId="17" fillId="6" borderId="24" xfId="5" applyFont="1" applyFill="1" applyBorder="1" applyAlignment="1">
      <alignment horizontal="center"/>
    </xf>
    <xf numFmtId="0" fontId="6" fillId="0" borderId="24" xfId="6" applyFont="1" applyBorder="1" applyAlignment="1">
      <alignment horizontal="center"/>
    </xf>
    <xf numFmtId="0" fontId="6" fillId="4" borderId="24" xfId="6" applyFont="1" applyFill="1" applyBorder="1" applyAlignment="1">
      <alignment horizontal="center"/>
    </xf>
    <xf numFmtId="0" fontId="4" fillId="5" borderId="24" xfId="6" applyFont="1" applyFill="1" applyBorder="1" applyAlignment="1">
      <alignment horizontal="center"/>
    </xf>
    <xf numFmtId="0" fontId="13" fillId="0" borderId="24" xfId="6" applyFont="1" applyBorder="1" applyAlignment="1">
      <alignment horizontal="center"/>
    </xf>
    <xf numFmtId="0" fontId="14" fillId="0" borderId="24" xfId="6" applyFont="1" applyBorder="1" applyAlignment="1">
      <alignment horizontal="center"/>
    </xf>
    <xf numFmtId="0" fontId="13" fillId="4" borderId="24" xfId="6" applyFont="1" applyFill="1" applyBorder="1" applyAlignment="1">
      <alignment horizontal="center"/>
    </xf>
    <xf numFmtId="3" fontId="75" fillId="0" borderId="24" xfId="2" applyNumberFormat="1" applyFont="1" applyFill="1" applyBorder="1"/>
    <xf numFmtId="3" fontId="74" fillId="0" borderId="24" xfId="0" applyNumberFormat="1" applyFont="1" applyBorder="1" applyAlignment="1">
      <alignment horizontal="right"/>
    </xf>
    <xf numFmtId="3" fontId="5" fillId="0" borderId="24" xfId="0" applyNumberFormat="1" applyFont="1" applyBorder="1" applyAlignment="1">
      <alignment horizontal="right"/>
    </xf>
    <xf numFmtId="0" fontId="18" fillId="0" borderId="27" xfId="0" applyFont="1" applyBorder="1"/>
    <xf numFmtId="0" fontId="5" fillId="0" borderId="27" xfId="0" applyFont="1" applyBorder="1"/>
    <xf numFmtId="0" fontId="15" fillId="0" borderId="27" xfId="0" applyFont="1" applyBorder="1"/>
    <xf numFmtId="4" fontId="76" fillId="3" borderId="2" xfId="2" applyNumberFormat="1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center"/>
    </xf>
    <xf numFmtId="3" fontId="3" fillId="0" borderId="27" xfId="2" applyNumberFormat="1" applyFont="1" applyFill="1" applyBorder="1"/>
    <xf numFmtId="4" fontId="6" fillId="3" borderId="27" xfId="1" applyNumberFormat="1" applyFont="1" applyFill="1" applyBorder="1" applyAlignment="1">
      <alignment horizontal="center" vertical="center"/>
    </xf>
    <xf numFmtId="4" fontId="76" fillId="3" borderId="27" xfId="2" applyNumberFormat="1" applyFont="1" applyFill="1" applyBorder="1" applyAlignment="1">
      <alignment horizontal="center" vertical="center" wrapText="1"/>
    </xf>
    <xf numFmtId="3" fontId="5" fillId="0" borderId="24" xfId="2" applyNumberFormat="1" applyFont="1" applyBorder="1"/>
    <xf numFmtId="3" fontId="3" fillId="0" borderId="27" xfId="2" applyNumberFormat="1" applyFont="1" applyBorder="1"/>
  </cellXfs>
  <cellStyles count="48065">
    <cellStyle name="%" xfId="2677" xr:uid="{068D0C08-D3E2-4B8B-BEF3-E8CD38E9FEE5}"/>
    <cellStyle name="% 10" xfId="2679" xr:uid="{E99A4B07-9F41-4EDF-8234-F2EB50F60596}"/>
    <cellStyle name="% 10 10" xfId="2680" xr:uid="{F28A6D8B-6C79-4D90-8963-90874C87CC8D}"/>
    <cellStyle name="% 10 11" xfId="2681" xr:uid="{2E9B6592-661B-494E-817F-B2296D20B969}"/>
    <cellStyle name="% 10 12" xfId="2682" xr:uid="{55B0508C-A585-4444-9F61-56CFE177FC98}"/>
    <cellStyle name="% 10 13" xfId="2683" xr:uid="{E9D8C88C-EAF9-41B5-88AA-CF7E6C28CD56}"/>
    <cellStyle name="% 10 14" xfId="43567" xr:uid="{60807F56-DBAE-49C2-A964-22BB7DF8DADE}"/>
    <cellStyle name="% 10 2" xfId="2684" xr:uid="{C856F4D0-3E30-4917-89B6-E26D312C93A1}"/>
    <cellStyle name="% 10 2 2" xfId="2685" xr:uid="{9D6C65D5-6FC6-44B8-B912-4C402E65F4CB}"/>
    <cellStyle name="% 10 2 3" xfId="2686" xr:uid="{BE8C9FDC-6BC5-4F7E-B393-AF422B797729}"/>
    <cellStyle name="% 10 2 3 2" xfId="43568" xr:uid="{E43B4649-134F-4EDE-93D8-0AE662CF5343}"/>
    <cellStyle name="% 10 2 4" xfId="2687" xr:uid="{01CFB06F-D69A-49B9-BE4F-1112AA803832}"/>
    <cellStyle name="% 10 2 5" xfId="2688" xr:uid="{5D1CE0D5-DDB0-41BA-B5AF-2DCF30A8E828}"/>
    <cellStyle name="% 10 2 6" xfId="2689" xr:uid="{78E83E29-9E98-45E5-A472-C96DCDBF8B9B}"/>
    <cellStyle name="% 10 2 7" xfId="2690" xr:uid="{50D13C19-C1A7-4015-B42B-8DA80299023E}"/>
    <cellStyle name="% 10 3" xfId="2691" xr:uid="{87EA7920-DDFB-4080-911F-F08B9F6CAB83}"/>
    <cellStyle name="% 10 3 2" xfId="2692" xr:uid="{B17660A6-C3CA-4C0B-9822-13FF13FD5310}"/>
    <cellStyle name="% 10 3 3" xfId="2693" xr:uid="{6D5FB35A-29A7-440A-988B-3FC079516ECB}"/>
    <cellStyle name="% 10 3 4" xfId="2694" xr:uid="{4F354AE1-0CCC-4FBD-8D69-635DC6C68067}"/>
    <cellStyle name="% 10 3 5" xfId="2695" xr:uid="{DA985A1F-6F69-4422-865E-46EB70538E62}"/>
    <cellStyle name="% 10 3 6" xfId="2696" xr:uid="{BE9EB581-FA81-474E-B03B-D19CD062136E}"/>
    <cellStyle name="% 10 3 7" xfId="2697" xr:uid="{9E365EF2-FCA3-4E06-BD31-297F7C52B750}"/>
    <cellStyle name="% 10 4" xfId="2698" xr:uid="{BF280BDB-35B0-4505-A158-FB6DC652D125}"/>
    <cellStyle name="% 10 5" xfId="2699" xr:uid="{0042E68A-856D-4945-A3A2-09F5FC115D92}"/>
    <cellStyle name="% 10 6" xfId="2700" xr:uid="{C3BF66E0-E5B6-468C-B95D-30B2A01A346E}"/>
    <cellStyle name="% 10 7" xfId="2701" xr:uid="{36910B17-C84A-419C-8AC5-486A541E9EBE}"/>
    <cellStyle name="% 10 8" xfId="2702" xr:uid="{FF3AE504-5EC3-413F-86E8-B8FC65825032}"/>
    <cellStyle name="% 10 9" xfId="2703" xr:uid="{9CF88D8A-72DD-482B-8354-43D957BD91F7}"/>
    <cellStyle name="% 11" xfId="2704" xr:uid="{13C64F4F-1B75-4EF6-B2AD-09CE2C8F4165}"/>
    <cellStyle name="% 11 10" xfId="2705" xr:uid="{FC5DC736-E66C-44C3-A836-5211FC212BF0}"/>
    <cellStyle name="% 11 11" xfId="2706" xr:uid="{ACFB0656-E9C9-43DF-AFC9-1BBBA2E5BFEF}"/>
    <cellStyle name="% 11 12" xfId="2707" xr:uid="{DD37D409-1514-49A8-BC6C-DD6A817B4F7E}"/>
    <cellStyle name="% 11 13" xfId="2708" xr:uid="{C828865B-7D21-44CE-91C9-D84C30FB3301}"/>
    <cellStyle name="% 11 2" xfId="2709" xr:uid="{B7243015-C699-49EA-BAA6-E5AB4446E7CB}"/>
    <cellStyle name="% 11 2 2" xfId="2710" xr:uid="{2558EA8C-9ABA-4E78-9123-599654841026}"/>
    <cellStyle name="% 11 2 3" xfId="2711" xr:uid="{B2817CE2-D46F-44E5-9DF8-9FE938AAA01A}"/>
    <cellStyle name="% 11 2 4" xfId="2712" xr:uid="{B5A4D6E7-5188-4F60-B582-E8BD6487C052}"/>
    <cellStyle name="% 11 2 5" xfId="2713" xr:uid="{171D066D-FBB7-4963-AD70-CA5E384ECE2B}"/>
    <cellStyle name="% 11 2 6" xfId="2714" xr:uid="{77ECDFAD-EA70-493B-B3CD-93E99C07CD64}"/>
    <cellStyle name="% 11 2 7" xfId="2715" xr:uid="{340051B0-2C0C-4A71-B6D9-1A1CE1D3BC40}"/>
    <cellStyle name="% 11 3" xfId="2716" xr:uid="{DF2EFF84-C432-47F8-BEF9-2D64CC0299A0}"/>
    <cellStyle name="% 11 3 2" xfId="2717" xr:uid="{BF5E4D17-B0CA-41F0-BAEB-5219E203784F}"/>
    <cellStyle name="% 11 3 3" xfId="2718" xr:uid="{1196074A-BE2B-4570-9D51-D4D38A9B634A}"/>
    <cellStyle name="% 11 3 4" xfId="2719" xr:uid="{434FAD58-D523-4658-BF87-617BB8061C29}"/>
    <cellStyle name="% 11 3 5" xfId="2720" xr:uid="{0C402AB9-BA31-42BA-A81F-0613A958DBAB}"/>
    <cellStyle name="% 11 3 6" xfId="2721" xr:uid="{F89EB774-383C-4AFA-B007-135575FEF1A9}"/>
    <cellStyle name="% 11 3 7" xfId="2722" xr:uid="{369D57FE-065A-4CA0-A5E4-1288F4F93DFF}"/>
    <cellStyle name="% 11 4" xfId="2723" xr:uid="{F00CF4A3-DD14-46F7-9A07-A584A8317349}"/>
    <cellStyle name="% 11 5" xfId="2724" xr:uid="{2906A646-688A-4087-8C3B-FE6324BB518D}"/>
    <cellStyle name="% 11 6" xfId="2725" xr:uid="{B2069A9B-8677-4039-B436-56EF15D72246}"/>
    <cellStyle name="% 11 7" xfId="2726" xr:uid="{AD8587A6-8A82-4301-9D71-DAAFD6C9CEB6}"/>
    <cellStyle name="% 11 8" xfId="2727" xr:uid="{1B8F84C5-5FB0-415F-AEA3-688F5B475076}"/>
    <cellStyle name="% 11 9" xfId="2728" xr:uid="{4C5E1FA3-0E86-4924-AC90-EB62263B4B7B}"/>
    <cellStyle name="% 12" xfId="2729" xr:uid="{B8620F49-E8C0-48C9-A259-A6E16EEEE23F}"/>
    <cellStyle name="% 12 10" xfId="2730" xr:uid="{53BE5ADC-75C9-4C29-9B37-E0A75FAC53F3}"/>
    <cellStyle name="% 12 11" xfId="2731" xr:uid="{82E25882-CA94-4044-8A50-C7960F3D100D}"/>
    <cellStyle name="% 12 2" xfId="2732" xr:uid="{B67F14D6-BACE-4C9D-924D-3197EE24F985}"/>
    <cellStyle name="% 12 3" xfId="2733" xr:uid="{7C3506AC-E728-4A87-8914-CC73CA4DE69E}"/>
    <cellStyle name="% 12 4" xfId="2734" xr:uid="{5C73DBA0-2AC8-42E7-8F94-31A02F183828}"/>
    <cellStyle name="% 12 5" xfId="2735" xr:uid="{075D5B14-9E22-438B-85F5-1A4D67255B5F}"/>
    <cellStyle name="% 12 6" xfId="2736" xr:uid="{B76746CF-E39D-4D13-841F-12FB55B29D4F}"/>
    <cellStyle name="% 12 7" xfId="2737" xr:uid="{306EE077-53E3-41ED-ABB2-BE315E373C56}"/>
    <cellStyle name="% 12 8" xfId="2738" xr:uid="{7E368CA7-A094-42B0-8041-70B90D3D3C1D}"/>
    <cellStyle name="% 12 9" xfId="2739" xr:uid="{21C501B6-C2E0-4489-A0F0-5E736E8BB492}"/>
    <cellStyle name="% 13" xfId="2740" xr:uid="{C511F015-5507-48CF-B178-2ECD6E40C768}"/>
    <cellStyle name="% 13 2" xfId="2741" xr:uid="{C2058DE3-88DF-4ACE-A63E-08C3072B7EBD}"/>
    <cellStyle name="% 13 3" xfId="2742" xr:uid="{9E5E5414-CD1B-4510-A824-A23F996B25A6}"/>
    <cellStyle name="% 13 4" xfId="2743" xr:uid="{F57B10D8-236C-4BCC-9C94-30CF009E0735}"/>
    <cellStyle name="% 13 5" xfId="2744" xr:uid="{0E74913A-95DB-411C-BE28-FEF2AF323136}"/>
    <cellStyle name="% 13 6" xfId="2745" xr:uid="{7E591766-2624-4411-9701-997D83BF1057}"/>
    <cellStyle name="% 13 7" xfId="2746" xr:uid="{9C966ECE-9C92-40A4-B3D0-628B64A438EA}"/>
    <cellStyle name="% 14" xfId="2747" xr:uid="{CC56AA63-2BA7-4F4C-A505-397EFEE9E1BB}"/>
    <cellStyle name="% 15" xfId="2748" xr:uid="{0AC60A5C-FFE0-4664-AA6F-9F34F935A5EB}"/>
    <cellStyle name="% 2" xfId="2749" xr:uid="{805644DF-2EC3-4751-885E-C63A007B1A01}"/>
    <cellStyle name="% 2 10" xfId="2750" xr:uid="{0D8DB951-14BC-47B5-B5C7-FAFDEB6B1ED0}"/>
    <cellStyle name="% 2 11" xfId="2751" xr:uid="{34391DB5-91D5-4BC0-ABC5-F724D8BEBD3D}"/>
    <cellStyle name="% 2 12" xfId="2752" xr:uid="{4A16FD03-674C-4E27-81AF-7A2B97FD3EC9}"/>
    <cellStyle name="% 2 13" xfId="2753" xr:uid="{55EFBEAB-3165-4230-B987-EC65B9DE3A5F}"/>
    <cellStyle name="% 2 14" xfId="2754" xr:uid="{51A19A23-3D42-4255-99DD-8E3312B37737}"/>
    <cellStyle name="% 2 15" xfId="2755" xr:uid="{E2CF08ED-31DC-4546-83CD-83BA0C7D432D}"/>
    <cellStyle name="% 2 16" xfId="2756" xr:uid="{16A0D9E0-E46B-45AA-8176-9664D15083EA}"/>
    <cellStyle name="% 2 17" xfId="2757" xr:uid="{3ABED47C-3755-4023-A6FF-E2576E58597D}"/>
    <cellStyle name="% 2 18" xfId="2758" xr:uid="{DCD0A354-D91E-44BE-906B-E899D9432846}"/>
    <cellStyle name="% 2 2" xfId="2759" xr:uid="{B687BD07-2ED5-41D9-AADF-2CD959E8FCFF}"/>
    <cellStyle name="% 2 2 10" xfId="2760" xr:uid="{F72677BD-DAD7-43A9-B176-DAF3FE370CA7}"/>
    <cellStyle name="% 2 2 11" xfId="2761" xr:uid="{BC0A1D9C-15DF-4F75-A24C-8A320557E961}"/>
    <cellStyle name="% 2 2 2" xfId="2762" xr:uid="{94622263-CE83-4C67-B5EF-46244359CCE3}"/>
    <cellStyle name="% 2 2 3" xfId="2763" xr:uid="{C6691932-8997-413D-88C0-2B552FF80A2B}"/>
    <cellStyle name="% 2 2 4" xfId="2764" xr:uid="{D678CF11-4E1F-47B1-A20B-822925007F5E}"/>
    <cellStyle name="% 2 2 5" xfId="2765" xr:uid="{3D66406E-2389-40B9-9BCC-77F41C66BEF7}"/>
    <cellStyle name="% 2 2 6" xfId="2766" xr:uid="{8725A4D3-EFC6-4A18-96CE-63802A5BA613}"/>
    <cellStyle name="% 2 2 7" xfId="2767" xr:uid="{BA8C7D04-C1F1-4195-92E5-F9E34DA13942}"/>
    <cellStyle name="% 2 2 8" xfId="2768" xr:uid="{2C182E7F-478A-4E2E-9371-C69F281BB78E}"/>
    <cellStyle name="% 2 2 9" xfId="2769" xr:uid="{2DD8FB43-02A5-44D7-94FA-27E424A4A309}"/>
    <cellStyle name="% 2 3" xfId="2770" xr:uid="{6662B3D4-349C-47C8-A96C-A5BE55D48BDA}"/>
    <cellStyle name="% 2 3 10" xfId="2771" xr:uid="{B8A79E00-6ED1-43E8-9D5B-893158DF066E}"/>
    <cellStyle name="% 2 3 11" xfId="2772" xr:uid="{ACE5D8B0-E421-46D1-BF36-BFA83D9CE3F2}"/>
    <cellStyle name="% 2 3 12" xfId="43569" xr:uid="{4AEC3282-169E-4167-B4D6-2AD3A9C0CAB9}"/>
    <cellStyle name="% 2 3 2" xfId="2773" xr:uid="{7FB6641C-0C02-4C61-8EB3-75808011F9A1}"/>
    <cellStyle name="% 2 3 3" xfId="2774" xr:uid="{1F2E7B76-2A10-488E-94EA-2C203217E2FC}"/>
    <cellStyle name="% 2 3 4" xfId="2775" xr:uid="{0A94B683-816C-4FE0-B0F1-3A652109D53A}"/>
    <cellStyle name="% 2 3 5" xfId="2776" xr:uid="{1A3419EB-0097-4BEF-A322-A982FBEFB926}"/>
    <cellStyle name="% 2 3 6" xfId="2777" xr:uid="{E6A92A7E-D9E9-44F4-96C4-81B8B2129734}"/>
    <cellStyle name="% 2 3 7" xfId="2778" xr:uid="{4D6C7395-3293-479F-B989-C41C95C9D977}"/>
    <cellStyle name="% 2 3 8" xfId="2779" xr:uid="{0FF25515-3BA0-432E-A5B1-680ED181DAC2}"/>
    <cellStyle name="% 2 3 9" xfId="2780" xr:uid="{5208C8D5-6480-4F1C-A91E-786F1936C479}"/>
    <cellStyle name="% 2 4" xfId="2781" xr:uid="{B26D1510-516C-490E-935E-E32FA96C4D2D}"/>
    <cellStyle name="% 2 4 10" xfId="2782" xr:uid="{ADED9F15-3191-41AB-93FE-9A8720CCA879}"/>
    <cellStyle name="% 2 4 11" xfId="2783" xr:uid="{B483F37C-5C9A-4056-A8CC-F0AD0374EE48}"/>
    <cellStyle name="% 2 4 2" xfId="2784" xr:uid="{8A7386E9-A325-495F-8459-B716F7869C34}"/>
    <cellStyle name="% 2 4 3" xfId="2785" xr:uid="{3068E6B7-814F-4DB7-AA68-9FB56A322A33}"/>
    <cellStyle name="% 2 4 4" xfId="2786" xr:uid="{537660AB-9CE7-4163-AE3D-5FAC4C408FAB}"/>
    <cellStyle name="% 2 4 5" xfId="2787" xr:uid="{C196358C-0CD3-4074-8CEB-6E570A4A677F}"/>
    <cellStyle name="% 2 4 6" xfId="2788" xr:uid="{7DFB74FB-AD8D-4231-9149-5A54F1E9D06C}"/>
    <cellStyle name="% 2 4 7" xfId="2789" xr:uid="{03E658ED-D6DE-4BC5-BF2D-91FA4E69EB9F}"/>
    <cellStyle name="% 2 4 8" xfId="2790" xr:uid="{E6180D96-EAE5-45A9-882C-85DECFA59FB7}"/>
    <cellStyle name="% 2 4 9" xfId="2791" xr:uid="{31E45416-64D0-4A45-B6BF-3320C1B05DF5}"/>
    <cellStyle name="% 2 5" xfId="2792" xr:uid="{E09D4FA6-E380-4060-B152-3F769E184335}"/>
    <cellStyle name="% 2 5 10" xfId="2793" xr:uid="{DE40737B-AC9A-4585-A027-DC1AA065E013}"/>
    <cellStyle name="% 2 5 11" xfId="2794" xr:uid="{815E6DAA-3A17-4C81-85DE-43079CD70B2C}"/>
    <cellStyle name="% 2 5 2" xfId="2795" xr:uid="{DDECA278-0E3D-4AAA-B659-A7081E5D365D}"/>
    <cellStyle name="% 2 5 3" xfId="2796" xr:uid="{74FD26CB-02FD-4B06-A3CE-1FCD941BA0F0}"/>
    <cellStyle name="% 2 5 4" xfId="2797" xr:uid="{5AB2C86F-35D9-4E07-A628-B5C711CFC594}"/>
    <cellStyle name="% 2 5 5" xfId="2798" xr:uid="{C1B7A506-DFD7-4E2B-B06E-C5ED7085FC1C}"/>
    <cellStyle name="% 2 5 6" xfId="2799" xr:uid="{AA4B3522-7712-43F5-A104-3A9F1F76ECBB}"/>
    <cellStyle name="% 2 5 7" xfId="2800" xr:uid="{3F815B64-CFE3-43BA-8A63-7BE635DBB11C}"/>
    <cellStyle name="% 2 5 8" xfId="2801" xr:uid="{A2D66EA8-CA7F-4CD1-BF0D-7763C28F8D54}"/>
    <cellStyle name="% 2 5 9" xfId="2802" xr:uid="{3D0D671F-EE79-4D21-81DF-CC6356AD8D98}"/>
    <cellStyle name="% 2 6" xfId="2803" xr:uid="{4664B1CC-61D0-40A2-A9AF-BF011C3D0B80}"/>
    <cellStyle name="% 2 6 10" xfId="2804" xr:uid="{05BFAA1E-366B-485C-A343-F724032DB7CB}"/>
    <cellStyle name="% 2 6 11" xfId="2805" xr:uid="{9F66D285-8115-440D-AF29-D570E77ADDEF}"/>
    <cellStyle name="% 2 6 2" xfId="2806" xr:uid="{1121CC12-28F9-4D6F-8755-ADF3EB274555}"/>
    <cellStyle name="% 2 6 3" xfId="2807" xr:uid="{18AAE449-4AB3-4BF0-8858-14496C708107}"/>
    <cellStyle name="% 2 6 4" xfId="2808" xr:uid="{A939D6ED-ABFE-4DCC-A30D-52D6099EFADC}"/>
    <cellStyle name="% 2 6 5" xfId="2809" xr:uid="{4DBA6DEF-FE63-4666-96E8-302ED71621E4}"/>
    <cellStyle name="% 2 6 6" xfId="2810" xr:uid="{E2606C9C-A818-4065-88A8-66E4E533F2B5}"/>
    <cellStyle name="% 2 6 7" xfId="2811" xr:uid="{6BEDA515-BB42-40E5-86CB-1166CBC558D8}"/>
    <cellStyle name="% 2 6 8" xfId="2812" xr:uid="{46B8513E-39F2-4F80-8C21-EDA65A9C7B68}"/>
    <cellStyle name="% 2 6 9" xfId="2813" xr:uid="{680711BE-0C57-4E6E-9F30-2315F518F8E0}"/>
    <cellStyle name="% 2 7" xfId="2814" xr:uid="{351376AF-AB46-4D29-A431-AFF8386E1783}"/>
    <cellStyle name="% 2 7 2" xfId="2815" xr:uid="{F1AB3D9A-A2D7-4B6D-AA0B-A7E557EDB928}"/>
    <cellStyle name="% 2 7 3" xfId="2816" xr:uid="{B3E54146-71DD-4B7D-B115-56228111DE7B}"/>
    <cellStyle name="% 2 7 4" xfId="2817" xr:uid="{136D3ED9-14FC-41D7-A5A7-758763FBF245}"/>
    <cellStyle name="% 2 7 5" xfId="2818" xr:uid="{9ED925C0-FAF8-4A88-954F-0EC7005FB716}"/>
    <cellStyle name="% 2 7 6" xfId="2819" xr:uid="{CE957A37-099D-4AB5-AEF3-053B5C93B461}"/>
    <cellStyle name="% 2 7 7" xfId="2820" xr:uid="{1C14098E-4CCB-4F21-AEDE-4044AF482AEA}"/>
    <cellStyle name="% 2 8" xfId="2821" xr:uid="{D85CE8BC-738B-4B68-9C5C-8D83DE498F01}"/>
    <cellStyle name="% 2 8 2" xfId="2822" xr:uid="{C96CF225-D88C-45DE-811A-4DF7AA9924D2}"/>
    <cellStyle name="% 2 8 3" xfId="2823" xr:uid="{20AAEF80-3CF5-4292-A9A8-4153A5EE204B}"/>
    <cellStyle name="% 2 8 4" xfId="2824" xr:uid="{44A763EE-DF13-4628-A800-D2AAA143AB26}"/>
    <cellStyle name="% 2 8 5" xfId="2825" xr:uid="{3F0F298B-91C9-4BB9-9C63-884310A3534F}"/>
    <cellStyle name="% 2 8 6" xfId="2826" xr:uid="{30EB6901-8FB0-4D86-8774-AB10AC395164}"/>
    <cellStyle name="% 2 8 7" xfId="2827" xr:uid="{B9735FD9-CB03-4602-8DAE-D4EFC9D23317}"/>
    <cellStyle name="% 2 9" xfId="2828" xr:uid="{2D295B57-D749-4BB7-A2C5-12C169637826}"/>
    <cellStyle name="% 3" xfId="2829" xr:uid="{2E928FBC-3C42-4964-9F87-21D4E07E04B6}"/>
    <cellStyle name="% 3 10" xfId="2830" xr:uid="{5C873158-F56E-43C1-8906-8F49589C92AC}"/>
    <cellStyle name="% 3 11" xfId="2831" xr:uid="{035E9E6F-9CE3-4050-93DF-1C9F481E8C86}"/>
    <cellStyle name="% 3 12" xfId="2832" xr:uid="{AC1C8443-2A68-4795-B216-F329C1C7A283}"/>
    <cellStyle name="% 3 13" xfId="2833" xr:uid="{8BE4FD23-97F4-4145-A917-A12E764DDD48}"/>
    <cellStyle name="% 3 14" xfId="2834" xr:uid="{3D821493-99DB-44FD-BC13-CD4C439F6F22}"/>
    <cellStyle name="% 3 15" xfId="2835" xr:uid="{1F6D593F-7649-4EE6-99D4-4AE33763E099}"/>
    <cellStyle name="% 3 16" xfId="2836" xr:uid="{32ECB494-6BD8-44EF-9DD1-69AF2EA802B6}"/>
    <cellStyle name="% 3 17" xfId="2837" xr:uid="{3D956004-EFC4-4350-BCC2-5F90DB39A41C}"/>
    <cellStyle name="% 3 18" xfId="2838" xr:uid="{BD1AF3EB-39B0-4053-B44D-BB161A35EA53}"/>
    <cellStyle name="% 3 19" xfId="43566" xr:uid="{5FF40ABE-F865-42C4-90B3-F7A9C434032B}"/>
    <cellStyle name="% 3 2" xfId="2839" xr:uid="{0E64828E-0C63-4541-A126-68DD0ADADB4D}"/>
    <cellStyle name="% 3 2 10" xfId="2840" xr:uid="{BE00B046-F5AC-462A-AEFF-B690D61C9E4E}"/>
    <cellStyle name="% 3 2 11" xfId="2841" xr:uid="{15C18494-53FA-4EB7-B842-EFBA9447D35E}"/>
    <cellStyle name="% 3 2 2" xfId="2842" xr:uid="{C0BAAEBF-CFB7-4A5B-8DC9-CE555A544A14}"/>
    <cellStyle name="% 3 2 3" xfId="2843" xr:uid="{27F8151A-7A76-4BB1-9334-981DC42E32FC}"/>
    <cellStyle name="% 3 2 4" xfId="2844" xr:uid="{9F8A33C8-92F9-40E3-B018-B800492E8961}"/>
    <cellStyle name="% 3 2 5" xfId="2845" xr:uid="{499B7018-E52D-4ABA-BFD0-0D95A22230E5}"/>
    <cellStyle name="% 3 2 6" xfId="2846" xr:uid="{433451F3-8331-47A8-9D9D-54920D10ED59}"/>
    <cellStyle name="% 3 2 7" xfId="2847" xr:uid="{2B68B26A-219F-4663-8610-188431810F34}"/>
    <cellStyle name="% 3 2 8" xfId="2848" xr:uid="{6D891257-891D-4D87-9B86-FBFAB83D7C16}"/>
    <cellStyle name="% 3 2 9" xfId="2849" xr:uid="{8A2B1DC1-0F4A-48A7-8571-72AC84532672}"/>
    <cellStyle name="% 3 3" xfId="2850" xr:uid="{B7795291-FA99-4855-A919-A9063A79C52D}"/>
    <cellStyle name="% 3 3 10" xfId="2851" xr:uid="{5D4D2281-5470-439E-AFBC-B12A7F64623B}"/>
    <cellStyle name="% 3 3 11" xfId="2852" xr:uid="{A23FCF51-3F1A-4275-9E97-7FD851BC60CF}"/>
    <cellStyle name="% 3 3 2" xfId="2853" xr:uid="{208F53E2-A4EC-467A-9A97-D6EA52A039A2}"/>
    <cellStyle name="% 3 3 3" xfId="2854" xr:uid="{278B47D1-A1F1-4E56-A15C-B5F73DF21658}"/>
    <cellStyle name="% 3 3 4" xfId="2855" xr:uid="{AAA2EC44-351E-4D64-A2BE-80CED9E84C23}"/>
    <cellStyle name="% 3 3 5" xfId="2856" xr:uid="{897E0579-34CB-4632-9915-AE91E6ED3117}"/>
    <cellStyle name="% 3 3 6" xfId="2857" xr:uid="{B69A6874-88E5-4E53-9676-9707A8CB36C3}"/>
    <cellStyle name="% 3 3 7" xfId="2858" xr:uid="{2A9DF680-A0D1-453F-9F3A-5CF957710A5F}"/>
    <cellStyle name="% 3 3 8" xfId="2859" xr:uid="{FF4CBDA8-0728-409B-8016-219920C75DC5}"/>
    <cellStyle name="% 3 3 9" xfId="2860" xr:uid="{30A1DB1F-7BD0-4E4A-B0D4-2D5B63A41450}"/>
    <cellStyle name="% 3 4" xfId="2861" xr:uid="{5E9E9FB0-22B1-49A8-868C-2EEC43ED7AA1}"/>
    <cellStyle name="% 3 4 10" xfId="2862" xr:uid="{324F5196-BF60-4AA1-8666-DE0352507623}"/>
    <cellStyle name="% 3 4 11" xfId="2863" xr:uid="{8A2CA759-7EF9-4508-85AC-0D559FBC0953}"/>
    <cellStyle name="% 3 4 2" xfId="2864" xr:uid="{42901CDD-815D-4CFB-92AF-1A1549275FC5}"/>
    <cellStyle name="% 3 4 3" xfId="2865" xr:uid="{0AA545A4-2ED5-4FE8-807C-9B712938B31D}"/>
    <cellStyle name="% 3 4 4" xfId="2866" xr:uid="{69AFAE38-5698-472D-991A-D5F5552C6FCE}"/>
    <cellStyle name="% 3 4 5" xfId="2867" xr:uid="{1A7F2F49-F2EB-4C40-A23E-7B838C969FA7}"/>
    <cellStyle name="% 3 4 6" xfId="2868" xr:uid="{030CD822-D1B3-41F7-BB2B-301296AB5C50}"/>
    <cellStyle name="% 3 4 7" xfId="2869" xr:uid="{A5F8F3F0-E581-4DE4-9BC6-45F27EED2673}"/>
    <cellStyle name="% 3 4 8" xfId="2870" xr:uid="{372E09FD-CD6C-4686-B07E-6A946F0B0E6B}"/>
    <cellStyle name="% 3 4 9" xfId="2871" xr:uid="{CDE1DB6E-1CD9-49CC-831C-624A7E581915}"/>
    <cellStyle name="% 3 5" xfId="2872" xr:uid="{4F301A8A-806F-40F3-962F-6F545EAD49ED}"/>
    <cellStyle name="% 3 5 10" xfId="2873" xr:uid="{698A51EE-D889-4DF9-A2DF-D8A560CC297C}"/>
    <cellStyle name="% 3 5 11" xfId="2874" xr:uid="{67F9FBCD-CD4D-472F-8026-5C7DBF5957BA}"/>
    <cellStyle name="% 3 5 2" xfId="2875" xr:uid="{D0681038-740D-4471-9050-EFDE65671887}"/>
    <cellStyle name="% 3 5 3" xfId="2876" xr:uid="{FC9F0C74-F2DE-4897-B157-DF9AAF440331}"/>
    <cellStyle name="% 3 5 4" xfId="2877" xr:uid="{E6268F85-1F4F-4E66-8731-11E8D02F5AF7}"/>
    <cellStyle name="% 3 5 5" xfId="2878" xr:uid="{3D69655E-F56D-4F24-B8FC-EE8AD4D5AC53}"/>
    <cellStyle name="% 3 5 6" xfId="2879" xr:uid="{56DE230B-0365-4049-9908-E2BEFA021F0E}"/>
    <cellStyle name="% 3 5 7" xfId="2880" xr:uid="{BE8DD50E-F086-4C00-9437-D8CEC53647EC}"/>
    <cellStyle name="% 3 5 8" xfId="2881" xr:uid="{D078D97E-1181-45CE-90E4-FF15414F1C1D}"/>
    <cellStyle name="% 3 5 9" xfId="2882" xr:uid="{9C3BF64D-82E0-4A2E-AA4F-3426CFC42D01}"/>
    <cellStyle name="% 3 6" xfId="2883" xr:uid="{59C4EBF3-9510-4DF6-8894-E73AD53DB245}"/>
    <cellStyle name="% 3 6 10" xfId="2884" xr:uid="{67A9D58A-BA3D-4750-8637-A54BF8F23097}"/>
    <cellStyle name="% 3 6 11" xfId="2885" xr:uid="{81863D28-FB38-4F3F-B81F-66C6642361D5}"/>
    <cellStyle name="% 3 6 2" xfId="2886" xr:uid="{45F81AAF-A2A3-4DED-87B9-D8C4ECB826A3}"/>
    <cellStyle name="% 3 6 3" xfId="2887" xr:uid="{3A732B8A-7083-47B4-95DA-24800F8B3291}"/>
    <cellStyle name="% 3 6 4" xfId="2888" xr:uid="{2972BF62-43EB-4409-9444-C33CEE5EF2DC}"/>
    <cellStyle name="% 3 6 5" xfId="2889" xr:uid="{40D8DEBD-D425-4D01-B928-2EC38044B633}"/>
    <cellStyle name="% 3 6 6" xfId="2890" xr:uid="{287EFAE3-CED1-4F3C-8B51-751D66E8F3CF}"/>
    <cellStyle name="% 3 6 7" xfId="2891" xr:uid="{AE504A00-D023-4469-AFE3-DBCF305FCFB0}"/>
    <cellStyle name="% 3 6 8" xfId="2892" xr:uid="{32EC8C94-A96F-406E-85FB-9BF581E89C66}"/>
    <cellStyle name="% 3 6 9" xfId="2893" xr:uid="{B5E4755F-C753-4419-9E51-7E4DD758598B}"/>
    <cellStyle name="% 3 7" xfId="2894" xr:uid="{DAD94BBB-3311-4762-9457-E6CB8D1637EE}"/>
    <cellStyle name="% 3 7 2" xfId="2895" xr:uid="{3DC422B3-675A-485C-A832-08905A4DE334}"/>
    <cellStyle name="% 3 7 3" xfId="2896" xr:uid="{5C5F9B3F-0269-4C4D-9F48-80F5177CC3E0}"/>
    <cellStyle name="% 3 7 4" xfId="2897" xr:uid="{39574E6A-AE22-4461-A92A-1813D0BACC33}"/>
    <cellStyle name="% 3 7 5" xfId="2898" xr:uid="{5332DD7F-9917-429C-A495-FDDCBED4F095}"/>
    <cellStyle name="% 3 7 6" xfId="2899" xr:uid="{FF56B578-985B-457D-84B2-5E72DDC40533}"/>
    <cellStyle name="% 3 7 7" xfId="2900" xr:uid="{272665C7-166F-4BE4-9905-1989479DD8B5}"/>
    <cellStyle name="% 3 8" xfId="2901" xr:uid="{BBFE6D7A-E059-4499-A3FC-B537327327F6}"/>
    <cellStyle name="% 3 8 2" xfId="2902" xr:uid="{BAA3E776-58BB-4E87-A40E-30B115DCB34E}"/>
    <cellStyle name="% 3 8 3" xfId="2903" xr:uid="{9E466E69-D53D-44FD-BF6C-39ACEA42E3C9}"/>
    <cellStyle name="% 3 8 4" xfId="2904" xr:uid="{FE30DFC5-E2A6-477A-8861-A7360AA8C861}"/>
    <cellStyle name="% 3 8 5" xfId="2905" xr:uid="{E42536A8-720B-4035-BC80-E022F6C1CF83}"/>
    <cellStyle name="% 3 8 6" xfId="2906" xr:uid="{035F0CDB-DB46-47B6-97F2-6AB24759485F}"/>
    <cellStyle name="% 3 8 7" xfId="2907" xr:uid="{C5FAE065-5C3B-4441-8353-16F115E7F644}"/>
    <cellStyle name="% 3 9" xfId="2908" xr:uid="{11AB01DD-1D81-4C8F-B320-3D93F3797593}"/>
    <cellStyle name="% 4" xfId="2909" xr:uid="{D47F4748-29CA-4FFE-A049-83C195EE5DF4}"/>
    <cellStyle name="% 4 10" xfId="2910" xr:uid="{8731CFD9-21FD-4556-8AFC-8DF25BB186EA}"/>
    <cellStyle name="% 4 11" xfId="2911" xr:uid="{53472427-5F28-44A4-A750-9798C6C3F78C}"/>
    <cellStyle name="% 4 12" xfId="2912" xr:uid="{C751781E-914A-449B-BB0D-B5D7D75AE8CF}"/>
    <cellStyle name="% 4 13" xfId="2913" xr:uid="{9AE547E1-92EA-4AC0-9465-AE51DCCD168B}"/>
    <cellStyle name="% 4 14" xfId="2914" xr:uid="{061C830D-5432-47B1-936D-658C310832D0}"/>
    <cellStyle name="% 4 15" xfId="2915" xr:uid="{E9017632-A6AB-4EB7-A1D1-E82C01908977}"/>
    <cellStyle name="% 4 16" xfId="2916" xr:uid="{C6443470-D099-4050-8483-39AB30392F6C}"/>
    <cellStyle name="% 4 17" xfId="2917" xr:uid="{D19F117A-2FF2-452C-8FF6-3592D1164A7E}"/>
    <cellStyle name="% 4 18" xfId="2918" xr:uid="{FC56711C-ADD9-460B-9416-0F271A4542DC}"/>
    <cellStyle name="% 4 2" xfId="2919" xr:uid="{C2DF1343-DE51-4E98-BC4A-473D5C5945F1}"/>
    <cellStyle name="% 4 2 10" xfId="2920" xr:uid="{44DB9EF2-2936-4ECF-A0D0-1CA8537CCDAE}"/>
    <cellStyle name="% 4 2 11" xfId="2921" xr:uid="{7566D546-2B6C-4A0F-AD12-22377FC75ED9}"/>
    <cellStyle name="% 4 2 2" xfId="2922" xr:uid="{75FCCBDB-3B6C-4888-A3A7-B13777DB7B32}"/>
    <cellStyle name="% 4 2 3" xfId="2923" xr:uid="{0D9251AB-037C-49F9-A9BD-C09D59BD2841}"/>
    <cellStyle name="% 4 2 4" xfId="2924" xr:uid="{0FE6FE75-4BED-4816-867D-B0EB57DDC525}"/>
    <cellStyle name="% 4 2 5" xfId="2925" xr:uid="{CC1DA4E9-4F19-4B6A-994C-33ECBCA719E1}"/>
    <cellStyle name="% 4 2 6" xfId="2926" xr:uid="{DB465B29-8F30-4681-900B-595BDC3CF633}"/>
    <cellStyle name="% 4 2 7" xfId="2927" xr:uid="{3001D57F-58CF-4A41-8F8A-735D755BEDBF}"/>
    <cellStyle name="% 4 2 8" xfId="2928" xr:uid="{80DBB49F-1050-4ED5-B40B-39E79BE7FBB1}"/>
    <cellStyle name="% 4 2 9" xfId="2929" xr:uid="{CEF9A745-D717-4ABE-A46B-02F5B7A16E8D}"/>
    <cellStyle name="% 4 3" xfId="2930" xr:uid="{45E1DB98-5CE6-46F7-BF8E-02B6E7F7685E}"/>
    <cellStyle name="% 4 3 10" xfId="2931" xr:uid="{4A204070-4C7A-4903-B2F2-60C24ADE34C3}"/>
    <cellStyle name="% 4 3 11" xfId="2932" xr:uid="{3467A1AA-042C-43E9-875F-3FE928557708}"/>
    <cellStyle name="% 4 3 2" xfId="2933" xr:uid="{43B41DA7-896C-43CF-B57C-38BA0A2A2BC7}"/>
    <cellStyle name="% 4 3 3" xfId="2934" xr:uid="{353F5DF8-B5FF-4FB9-8CC1-EFEE51A79A64}"/>
    <cellStyle name="% 4 3 4" xfId="2935" xr:uid="{D856A5E5-613A-4F99-AFF3-A12CAE320D6B}"/>
    <cellStyle name="% 4 3 5" xfId="2936" xr:uid="{3F4A0616-8B00-4541-8BD7-6F6ABE341993}"/>
    <cellStyle name="% 4 3 6" xfId="2937" xr:uid="{FACDE6CA-41FB-422B-9537-4D8D20F78E69}"/>
    <cellStyle name="% 4 3 7" xfId="2938" xr:uid="{5D5B4941-DA97-49C0-A9A9-81A899B903DD}"/>
    <cellStyle name="% 4 3 8" xfId="2939" xr:uid="{6D00818D-6D33-471C-8390-7F9AA622D905}"/>
    <cellStyle name="% 4 3 9" xfId="2940" xr:uid="{2AF07025-1D8E-4115-9DBB-2818BED673C5}"/>
    <cellStyle name="% 4 4" xfId="2941" xr:uid="{6655269E-2FAE-4D0F-AA92-55A20B0150C5}"/>
    <cellStyle name="% 4 4 10" xfId="2942" xr:uid="{AC0A925C-C570-4D5E-AAA7-29FABFBCD056}"/>
    <cellStyle name="% 4 4 11" xfId="2943" xr:uid="{207923ED-2251-4913-B298-EDE08EA06D8A}"/>
    <cellStyle name="% 4 4 2" xfId="2944" xr:uid="{5344C660-D6BD-4172-B1A5-DB7E24934A15}"/>
    <cellStyle name="% 4 4 3" xfId="2945" xr:uid="{A03F0CF9-0F4E-4073-9D1E-529B33E58750}"/>
    <cellStyle name="% 4 4 4" xfId="2946" xr:uid="{0D67BC8D-41E2-45AB-8205-7AD6253A1C2B}"/>
    <cellStyle name="% 4 4 5" xfId="2947" xr:uid="{13AE9392-9E56-4F31-A3BA-AB3C52570FBB}"/>
    <cellStyle name="% 4 4 6" xfId="2948" xr:uid="{B356D73C-37A5-45C3-8F4E-49946DF6EC1D}"/>
    <cellStyle name="% 4 4 7" xfId="2949" xr:uid="{D510CF92-6E49-43F5-94FE-1F1A8A1CDD73}"/>
    <cellStyle name="% 4 4 8" xfId="2950" xr:uid="{4E9EE708-FBF4-4997-AC6C-25F36A440F74}"/>
    <cellStyle name="% 4 4 9" xfId="2951" xr:uid="{B35412E7-F0AC-45FB-A547-B3514361FE07}"/>
    <cellStyle name="% 4 5" xfId="2952" xr:uid="{0D1B346B-CAD3-49B3-8640-DF26AF609C6B}"/>
    <cellStyle name="% 4 5 10" xfId="2953" xr:uid="{563C0C10-BBA6-49BB-9D71-C47F4DB8BAAD}"/>
    <cellStyle name="% 4 5 11" xfId="2954" xr:uid="{CBCED96B-2AFA-4BA7-81FE-37515EB6C532}"/>
    <cellStyle name="% 4 5 2" xfId="2955" xr:uid="{777D43D0-C860-4F41-B3E5-324CF6B583DF}"/>
    <cellStyle name="% 4 5 3" xfId="2956" xr:uid="{4C7C33F0-281B-4495-BE82-47DF71626BE2}"/>
    <cellStyle name="% 4 5 4" xfId="2957" xr:uid="{C65969F6-7920-49FB-8C3C-B2D2849F250B}"/>
    <cellStyle name="% 4 5 5" xfId="2958" xr:uid="{803680A3-A2EB-4EAE-84DD-E46A8E07F84D}"/>
    <cellStyle name="% 4 5 6" xfId="2959" xr:uid="{19209264-BF68-444F-85D2-4C12EB579584}"/>
    <cellStyle name="% 4 5 7" xfId="2960" xr:uid="{F1DDB776-3392-4673-B548-89F008C3FE35}"/>
    <cellStyle name="% 4 5 8" xfId="2961" xr:uid="{5D22168D-4C64-499B-8FBE-A81A42E08271}"/>
    <cellStyle name="% 4 5 9" xfId="2962" xr:uid="{2C2DCEC8-340C-4CDD-990A-E4F6624D0290}"/>
    <cellStyle name="% 4 6" xfId="2963" xr:uid="{5613BFB7-90EE-4042-AB7E-A67BC338D738}"/>
    <cellStyle name="% 4 6 10" xfId="2964" xr:uid="{A65C48DA-349C-4902-9E27-0108D73FCAB1}"/>
    <cellStyle name="% 4 6 11" xfId="2965" xr:uid="{D3A4C76B-93B7-40AF-81DB-0D47CCD8C970}"/>
    <cellStyle name="% 4 6 2" xfId="2966" xr:uid="{69CAA01D-E7A6-46D1-81EF-32A2E1108CA3}"/>
    <cellStyle name="% 4 6 3" xfId="2967" xr:uid="{CD2C4961-F241-47BB-B0B3-B30F09541B56}"/>
    <cellStyle name="% 4 6 4" xfId="2968" xr:uid="{75678524-8F62-4533-A30F-CB7BFA5A8241}"/>
    <cellStyle name="% 4 6 5" xfId="2969" xr:uid="{B6EAA882-3816-4920-926E-63172B9EB993}"/>
    <cellStyle name="% 4 6 6" xfId="2970" xr:uid="{EA3F4D50-75DA-4279-AEB1-556FF2F6FC40}"/>
    <cellStyle name="% 4 6 7" xfId="2971" xr:uid="{BD17CAF2-AE4A-4F6D-BA1C-FB3F0F817340}"/>
    <cellStyle name="% 4 6 8" xfId="2972" xr:uid="{6E1C30F0-8215-4783-AD7F-B9BC545EF8F1}"/>
    <cellStyle name="% 4 6 9" xfId="2973" xr:uid="{0CB5F03F-E244-44C6-AD1F-BD2F959A2E28}"/>
    <cellStyle name="% 4 7" xfId="2974" xr:uid="{66C3D30F-4517-4A86-8DA1-4565B0FBA9CA}"/>
    <cellStyle name="% 4 7 2" xfId="2975" xr:uid="{12108E83-221A-40B2-B68E-DF07763DF34B}"/>
    <cellStyle name="% 4 7 3" xfId="2976" xr:uid="{CE1249C1-7F14-4975-977A-F32A14EF31CE}"/>
    <cellStyle name="% 4 7 4" xfId="2977" xr:uid="{C9659EF7-5559-4560-8D8F-F523C49AD962}"/>
    <cellStyle name="% 4 7 5" xfId="2978" xr:uid="{B9E02EBA-7B44-410A-9203-6B7005CEB555}"/>
    <cellStyle name="% 4 7 6" xfId="2979" xr:uid="{E198C133-F1E8-4D38-A0D5-F1496746FC9F}"/>
    <cellStyle name="% 4 7 7" xfId="2980" xr:uid="{4DCC409D-8518-4E92-9DE6-FD20A8C68788}"/>
    <cellStyle name="% 4 8" xfId="2981" xr:uid="{1DBD5999-8278-418C-AEC8-9A23626FDEA1}"/>
    <cellStyle name="% 4 8 2" xfId="2982" xr:uid="{3A87CC5F-0B13-4C54-9E78-66C741641037}"/>
    <cellStyle name="% 4 8 3" xfId="2983" xr:uid="{DADF4FDA-964F-4BDC-B6C8-5D2A45BA8677}"/>
    <cellStyle name="% 4 8 4" xfId="2984" xr:uid="{BBD7B758-33F0-4887-8321-3BA2399ECC2F}"/>
    <cellStyle name="% 4 8 5" xfId="2985" xr:uid="{40F06561-ED89-42B5-80F6-F7F9D38A3E56}"/>
    <cellStyle name="% 4 8 6" xfId="2986" xr:uid="{0FE17851-59C6-487F-BA41-39E5913DB14E}"/>
    <cellStyle name="% 4 8 7" xfId="2987" xr:uid="{D04A6C60-B5CA-4102-A6A1-3940217F28B0}"/>
    <cellStyle name="% 4 9" xfId="2988" xr:uid="{96FD3102-2541-4D21-9DE6-4500FF17D872}"/>
    <cellStyle name="% 5" xfId="2989" xr:uid="{9A1629C7-CB56-4673-964C-2CB428494168}"/>
    <cellStyle name="% 5 10" xfId="2990" xr:uid="{B95AE144-9043-4D27-9E7B-8AC8E4CBE9AB}"/>
    <cellStyle name="% 5 11" xfId="2991" xr:uid="{4DB44261-5E68-4755-BCAA-49774AE9E68D}"/>
    <cellStyle name="% 5 12" xfId="2992" xr:uid="{12D0D1C6-A3AB-4130-892C-2E3E55814201}"/>
    <cellStyle name="% 5 13" xfId="2993" xr:uid="{5C00DBCF-A5CE-425E-9F4A-9E07CF8CB48D}"/>
    <cellStyle name="% 5 14" xfId="2994" xr:uid="{7FBCF9C2-F017-4A6F-83D7-5C00170E8695}"/>
    <cellStyle name="% 5 15" xfId="2995" xr:uid="{FD6BE651-E747-4778-9F36-7F556E9928BA}"/>
    <cellStyle name="% 5 16" xfId="2996" xr:uid="{30848522-D284-4E9F-B9B7-1A6457C730BD}"/>
    <cellStyle name="% 5 17" xfId="2997" xr:uid="{F18B333D-422C-4084-B73C-6DFB94B337B1}"/>
    <cellStyle name="% 5 18" xfId="2998" xr:uid="{4FAB57C2-9FB3-4CCD-AB07-30F4674A23EC}"/>
    <cellStyle name="% 5 2" xfId="2999" xr:uid="{E1910CC5-936F-4EB7-AB79-E54AE95AFDC6}"/>
    <cellStyle name="% 5 2 10" xfId="3000" xr:uid="{F5F1341F-6F43-4722-AFB2-A10FF9127FF7}"/>
    <cellStyle name="% 5 2 11" xfId="3001" xr:uid="{F98D0838-B403-4EE8-848F-B3A9849DE42F}"/>
    <cellStyle name="% 5 2 2" xfId="3002" xr:uid="{CE6BCBFE-0B6D-4405-A458-0F51E5A60ECA}"/>
    <cellStyle name="% 5 2 3" xfId="3003" xr:uid="{124F665F-8CCB-4157-B72C-E57ADA1F56E9}"/>
    <cellStyle name="% 5 2 4" xfId="3004" xr:uid="{9F8EE4C7-DD70-47CE-AD04-62B961676DC4}"/>
    <cellStyle name="% 5 2 5" xfId="3005" xr:uid="{234C9DDD-511D-4F33-B7D4-575B7A86D893}"/>
    <cellStyle name="% 5 2 6" xfId="3006" xr:uid="{1CDD4CBA-6376-462D-A37D-C0AAD17206C7}"/>
    <cellStyle name="% 5 2 7" xfId="3007" xr:uid="{BCCD960D-3CD7-407D-AD6A-B9B9FC7463E4}"/>
    <cellStyle name="% 5 2 8" xfId="3008" xr:uid="{0BF1E18C-383D-4932-AE5B-13FE9BC284D4}"/>
    <cellStyle name="% 5 2 9" xfId="3009" xr:uid="{E8B292F1-FECA-48E4-B68C-52F3E88411F7}"/>
    <cellStyle name="% 5 3" xfId="3010" xr:uid="{DBDB5244-34F0-45D5-B8C6-A09B0F9139EC}"/>
    <cellStyle name="% 5 3 10" xfId="3011" xr:uid="{769F1ED1-3A0D-4AE7-BF29-F7AF58BF5B2B}"/>
    <cellStyle name="% 5 3 11" xfId="3012" xr:uid="{23536296-6472-4A08-B3A0-2E894C20724C}"/>
    <cellStyle name="% 5 3 2" xfId="3013" xr:uid="{59B5832B-9F93-477C-97CC-40793FA8B74B}"/>
    <cellStyle name="% 5 3 3" xfId="3014" xr:uid="{B6758770-56FC-4CAE-8D2B-D7198286AC6F}"/>
    <cellStyle name="% 5 3 4" xfId="3015" xr:uid="{09B5DCF3-9776-45B9-B35E-07884E309FF9}"/>
    <cellStyle name="% 5 3 5" xfId="3016" xr:uid="{75BF58D6-5516-454B-BA79-915B4BA9C7F9}"/>
    <cellStyle name="% 5 3 6" xfId="3017" xr:uid="{9EE28054-9B3F-4D4D-99D9-AD67891A1D4D}"/>
    <cellStyle name="% 5 3 7" xfId="3018" xr:uid="{6E19DFE4-C782-474E-AC89-C836BFDED49B}"/>
    <cellStyle name="% 5 3 8" xfId="3019" xr:uid="{AF0C86FB-0767-4FB0-9E52-00586E56EFEF}"/>
    <cellStyle name="% 5 3 9" xfId="3020" xr:uid="{E49605C1-1D92-4758-B090-2680E7B38435}"/>
    <cellStyle name="% 5 4" xfId="3021" xr:uid="{1A752054-A208-47DF-B9F3-98F361B49D44}"/>
    <cellStyle name="% 5 4 10" xfId="3022" xr:uid="{CD02BCF1-4746-4E4C-B722-2DE0DDC7AFE3}"/>
    <cellStyle name="% 5 4 11" xfId="3023" xr:uid="{55636D51-8CD8-42FB-AB17-C2AF8E473D48}"/>
    <cellStyle name="% 5 4 2" xfId="3024" xr:uid="{2CDC6903-14BE-43DC-B65A-78DC893923F3}"/>
    <cellStyle name="% 5 4 3" xfId="3025" xr:uid="{8403FB4A-AA57-485C-A0F1-00AE941929DB}"/>
    <cellStyle name="% 5 4 4" xfId="3026" xr:uid="{EA633B15-5E7B-4701-B52F-D79953A5E6A0}"/>
    <cellStyle name="% 5 4 5" xfId="3027" xr:uid="{2417A56E-5B7D-4960-89BB-88D1C0736B80}"/>
    <cellStyle name="% 5 4 6" xfId="3028" xr:uid="{3424B95E-1C02-49AF-8989-0714572ECE7A}"/>
    <cellStyle name="% 5 4 7" xfId="3029" xr:uid="{B10FFF87-82FD-4D27-90BB-5DEBAAA7743D}"/>
    <cellStyle name="% 5 4 8" xfId="3030" xr:uid="{D57C4D45-6A6A-4ED5-AFC4-D355190BAAB3}"/>
    <cellStyle name="% 5 4 9" xfId="3031" xr:uid="{13CCF1C3-6195-4BBC-B2F6-24C892E9ADCB}"/>
    <cellStyle name="% 5 5" xfId="3032" xr:uid="{50701ABD-EE6A-4BC5-8F5F-4238A5D38794}"/>
    <cellStyle name="% 5 5 10" xfId="3033" xr:uid="{94689A5B-28A2-4CAD-B914-BF7E7F3AD7F8}"/>
    <cellStyle name="% 5 5 11" xfId="3034" xr:uid="{53937248-D008-4E76-94FF-D1356A3B8D04}"/>
    <cellStyle name="% 5 5 2" xfId="3035" xr:uid="{D6DBFE5A-75AE-4755-B590-E41E1E620906}"/>
    <cellStyle name="% 5 5 3" xfId="3036" xr:uid="{B4630E23-8DC5-442C-B606-4CF1625B7BFB}"/>
    <cellStyle name="% 5 5 4" xfId="3037" xr:uid="{FDF797E9-4AB0-4BF3-84EE-97E5EF455049}"/>
    <cellStyle name="% 5 5 5" xfId="3038" xr:uid="{FF068A8C-1230-46A4-AEDF-4E3665031EC4}"/>
    <cellStyle name="% 5 5 6" xfId="3039" xr:uid="{F3873AFA-240D-42DB-9E63-21F3468257EB}"/>
    <cellStyle name="% 5 5 7" xfId="3040" xr:uid="{5D6AE5D2-78D5-4CB1-AAD4-E958D6E04CA1}"/>
    <cellStyle name="% 5 5 8" xfId="3041" xr:uid="{4507C501-B3ED-4C3E-9B42-C0A63178D9A1}"/>
    <cellStyle name="% 5 5 9" xfId="3042" xr:uid="{BB4A15F1-DBFA-45F0-B7FA-9EB79763C678}"/>
    <cellStyle name="% 5 6" xfId="3043" xr:uid="{D1B86D6A-7A6C-49CE-B905-8D1EE70E9D39}"/>
    <cellStyle name="% 5 6 10" xfId="3044" xr:uid="{1730A074-3F9E-45D1-8F7B-E9FFAB3235D5}"/>
    <cellStyle name="% 5 6 11" xfId="3045" xr:uid="{568F529F-B3D9-4EB0-BCAE-E554EB8A4673}"/>
    <cellStyle name="% 5 6 2" xfId="3046" xr:uid="{65605C11-A591-4DE2-8527-E7F86CDD031A}"/>
    <cellStyle name="% 5 6 3" xfId="3047" xr:uid="{99C54E37-C3D8-478E-9D1E-B0DF79C869F3}"/>
    <cellStyle name="% 5 6 4" xfId="3048" xr:uid="{6A86EED9-2E53-4CAD-8414-5A57C573EFE2}"/>
    <cellStyle name="% 5 6 5" xfId="3049" xr:uid="{559C93D2-578F-4133-8363-E3FCE52316F5}"/>
    <cellStyle name="% 5 6 6" xfId="3050" xr:uid="{ECAE06D8-85F9-4B1B-A756-C682A9DDF52C}"/>
    <cellStyle name="% 5 6 7" xfId="3051" xr:uid="{A40227C0-E159-477D-9213-122E944C7729}"/>
    <cellStyle name="% 5 6 8" xfId="3052" xr:uid="{560EEC73-8BAB-4D89-822E-DC6C05489D51}"/>
    <cellStyle name="% 5 6 9" xfId="3053" xr:uid="{ED4FF3A8-BF19-4B21-96CA-D88780528F8F}"/>
    <cellStyle name="% 5 7" xfId="3054" xr:uid="{9B901886-DE39-4AAF-ACB8-33E2344E5DEC}"/>
    <cellStyle name="% 5 7 2" xfId="3055" xr:uid="{25646EA3-3EE4-4834-9ADF-00824CB9DC88}"/>
    <cellStyle name="% 5 7 3" xfId="3056" xr:uid="{89D0D3DE-5ADA-4A72-A729-B768C79709D6}"/>
    <cellStyle name="% 5 7 4" xfId="3057" xr:uid="{34062FC9-A969-4F06-A31F-7B3009E0DBBC}"/>
    <cellStyle name="% 5 7 5" xfId="3058" xr:uid="{84B91190-760B-4754-99A8-E379DC4F08B0}"/>
    <cellStyle name="% 5 7 6" xfId="3059" xr:uid="{2C89984E-FD78-47F2-B4C2-D528E5675760}"/>
    <cellStyle name="% 5 7 7" xfId="3060" xr:uid="{ECE1932C-94EF-4E00-ADDD-EEE808845666}"/>
    <cellStyle name="% 5 8" xfId="3061" xr:uid="{BCB803F8-F1B6-4CD3-86C0-86E23ACDAF01}"/>
    <cellStyle name="% 5 8 2" xfId="3062" xr:uid="{DB4E04D9-996F-4339-9C2C-A06173A1DC75}"/>
    <cellStyle name="% 5 8 3" xfId="3063" xr:uid="{C68B4B87-1915-49F3-9615-2F3FEFCF86BF}"/>
    <cellStyle name="% 5 8 4" xfId="3064" xr:uid="{958934B6-D2CF-416C-9E14-444F6B474380}"/>
    <cellStyle name="% 5 8 5" xfId="3065" xr:uid="{4A1C7A2C-BEEA-4C42-B02B-ED825793540B}"/>
    <cellStyle name="% 5 8 6" xfId="3066" xr:uid="{B22FB68E-004E-4E8D-9B95-45830791062B}"/>
    <cellStyle name="% 5 8 7" xfId="3067" xr:uid="{404389FA-33E1-4248-AA1E-BA44F6A84154}"/>
    <cellStyle name="% 5 9" xfId="3068" xr:uid="{48700353-A228-4F52-9B6D-435FFBE929C4}"/>
    <cellStyle name="% 6" xfId="3069" xr:uid="{BBB17391-9A6E-40DC-B08D-8E18EE3236C9}"/>
    <cellStyle name="% 6 10" xfId="3070" xr:uid="{7733E319-5DC4-41F0-A020-E0DC6ABC1F7E}"/>
    <cellStyle name="% 6 11" xfId="3071" xr:uid="{D3E4AAFB-6068-4137-B843-CDFF0B02E591}"/>
    <cellStyle name="% 6 12" xfId="3072" xr:uid="{CD9FE94F-9712-40E2-9C60-49E15E267475}"/>
    <cellStyle name="% 6 13" xfId="3073" xr:uid="{5AD4DB69-6ECE-4119-8F73-F29264931849}"/>
    <cellStyle name="% 6 14" xfId="3074" xr:uid="{4DF707A5-450C-481E-9D36-ABDB7BE58E35}"/>
    <cellStyle name="% 6 15" xfId="3075" xr:uid="{F1924F13-F42C-4830-A67A-E33BAB574B7A}"/>
    <cellStyle name="% 6 16" xfId="3076" xr:uid="{1DDF2087-D81E-489A-B23E-79743ADF2E6C}"/>
    <cellStyle name="% 6 17" xfId="3077" xr:uid="{3CC74DC9-FF4F-4ECD-8D4D-76BAF646888C}"/>
    <cellStyle name="% 6 18" xfId="3078" xr:uid="{9AE79EEF-9DB8-4D3E-AAE8-E6B13BEF7AA0}"/>
    <cellStyle name="% 6 2" xfId="3079" xr:uid="{8CA1AAA0-9B7B-4023-8E73-6B64B6111873}"/>
    <cellStyle name="% 6 2 10" xfId="3080" xr:uid="{E261A142-FEFE-45F6-BAA8-8E1408C9F555}"/>
    <cellStyle name="% 6 2 11" xfId="3081" xr:uid="{CA66B5EA-2798-4FC7-A51B-3770AC7719EC}"/>
    <cellStyle name="% 6 2 2" xfId="3082" xr:uid="{13984E29-26E1-420A-BA50-C6ACBE21DE7A}"/>
    <cellStyle name="% 6 2 3" xfId="3083" xr:uid="{3E424234-EE03-4B60-945E-E5D51AEB6F88}"/>
    <cellStyle name="% 6 2 4" xfId="3084" xr:uid="{5E59E33F-E62C-4CF5-9282-C2A1C50E1A9B}"/>
    <cellStyle name="% 6 2 5" xfId="3085" xr:uid="{AAA7728C-A83F-4EE9-9699-EC3D71B4E0FE}"/>
    <cellStyle name="% 6 2 6" xfId="3086" xr:uid="{5FEBC3C3-8429-48D3-8A1E-93ADFDC8AA98}"/>
    <cellStyle name="% 6 2 7" xfId="3087" xr:uid="{FEA451E5-8669-41B3-82C1-22965F323E9F}"/>
    <cellStyle name="% 6 2 8" xfId="3088" xr:uid="{B4A769C4-D200-4D57-8988-17F5A9E0F478}"/>
    <cellStyle name="% 6 2 9" xfId="3089" xr:uid="{D0F87C29-A793-421C-A39B-BB4CA1DD1743}"/>
    <cellStyle name="% 6 3" xfId="3090" xr:uid="{7F7947BB-6481-493B-BDE6-0E9DEC416833}"/>
    <cellStyle name="% 6 3 10" xfId="3091" xr:uid="{9B476A66-EBC9-4F31-B993-2B939AF0A33A}"/>
    <cellStyle name="% 6 3 11" xfId="3092" xr:uid="{52BB4E5A-BA79-45ED-A55A-A0E12DAEC7DE}"/>
    <cellStyle name="% 6 3 2" xfId="3093" xr:uid="{B1EE56B8-67C1-4700-A732-4B7476920C81}"/>
    <cellStyle name="% 6 3 3" xfId="3094" xr:uid="{7BB96BBC-EA4C-4074-808D-B879DEAC3C75}"/>
    <cellStyle name="% 6 3 4" xfId="3095" xr:uid="{3A7A82D9-8808-4B39-BF77-0F9CC2BAFADE}"/>
    <cellStyle name="% 6 3 5" xfId="3096" xr:uid="{7D407609-1E34-4F88-9FCE-095FAD3B6928}"/>
    <cellStyle name="% 6 3 6" xfId="3097" xr:uid="{1AC4BCC2-EAFC-4072-961A-B0106D1CF614}"/>
    <cellStyle name="% 6 3 7" xfId="3098" xr:uid="{049881F1-ADF6-440D-A080-F4ED810C1E5A}"/>
    <cellStyle name="% 6 3 8" xfId="3099" xr:uid="{33CE27E9-E4D9-4D97-8C9E-D08891AD7EA8}"/>
    <cellStyle name="% 6 3 9" xfId="3100" xr:uid="{5B952C9B-5568-4395-8547-758C8BAA65C6}"/>
    <cellStyle name="% 6 4" xfId="3101" xr:uid="{42A708C4-24B3-414E-8AF3-8C9B5D72EDFF}"/>
    <cellStyle name="% 6 4 10" xfId="3102" xr:uid="{F7803CC5-B69A-4721-A617-2179DA418B51}"/>
    <cellStyle name="% 6 4 11" xfId="3103" xr:uid="{C2E5B337-E113-47FB-9E03-F6B294B01B77}"/>
    <cellStyle name="% 6 4 2" xfId="3104" xr:uid="{EED6B2CF-986C-4426-815F-9334442529CD}"/>
    <cellStyle name="% 6 4 3" xfId="3105" xr:uid="{F0CBEA4A-5A80-4F45-9700-60649067755A}"/>
    <cellStyle name="% 6 4 4" xfId="3106" xr:uid="{116CD916-E00C-4DEF-8DC7-6516E7DFE99A}"/>
    <cellStyle name="% 6 4 5" xfId="3107" xr:uid="{E92D41F2-B1CE-4AC6-8158-033E5EE2BE77}"/>
    <cellStyle name="% 6 4 6" xfId="3108" xr:uid="{E61C764E-FA3F-463F-BB2C-A980AB51E2A9}"/>
    <cellStyle name="% 6 4 7" xfId="3109" xr:uid="{4389CC86-CFE2-435C-9110-6183DDA8BAAB}"/>
    <cellStyle name="% 6 4 8" xfId="3110" xr:uid="{664991CC-9AF9-41A5-B875-F8A5CBE85405}"/>
    <cellStyle name="% 6 4 9" xfId="3111" xr:uid="{6F50BC22-689E-475E-837D-358B2FEEF0BA}"/>
    <cellStyle name="% 6 5" xfId="3112" xr:uid="{B070D41C-2DBB-4AC2-874C-B1B38C1E8A36}"/>
    <cellStyle name="% 6 5 10" xfId="3113" xr:uid="{6EB74692-AE35-40ED-8A78-0D8C26A2898B}"/>
    <cellStyle name="% 6 5 11" xfId="3114" xr:uid="{75F26A76-B47D-4508-9DF0-D6FFEB568750}"/>
    <cellStyle name="% 6 5 2" xfId="3115" xr:uid="{D82B5448-4510-4F9D-A05A-33A6E8B05712}"/>
    <cellStyle name="% 6 5 3" xfId="3116" xr:uid="{7FBFA2C2-BA3E-4C10-97ED-91EF70D43102}"/>
    <cellStyle name="% 6 5 4" xfId="3117" xr:uid="{B233871F-D551-4913-A75E-9215DC193119}"/>
    <cellStyle name="% 6 5 5" xfId="3118" xr:uid="{3B168CB2-23DC-4065-928D-648FE58D148D}"/>
    <cellStyle name="% 6 5 6" xfId="3119" xr:uid="{C5E82236-0EB6-4421-8D0F-675146818703}"/>
    <cellStyle name="% 6 5 7" xfId="3120" xr:uid="{30A10547-31F1-4610-856D-633040D4B5CC}"/>
    <cellStyle name="% 6 5 8" xfId="3121" xr:uid="{F10C36A7-A9DF-4747-A9A5-7FF75A012E40}"/>
    <cellStyle name="% 6 5 9" xfId="3122" xr:uid="{9B46C78A-8097-42A0-9892-908B1347DA8A}"/>
    <cellStyle name="% 6 6" xfId="3123" xr:uid="{7A5964EC-FACB-405C-A04D-BE9FFB2B4E32}"/>
    <cellStyle name="% 6 6 10" xfId="3124" xr:uid="{F599E170-F5D1-45DA-BA73-FCB5FD514498}"/>
    <cellStyle name="% 6 6 11" xfId="3125" xr:uid="{031887E8-A0D8-4D78-997C-8651218AE7A0}"/>
    <cellStyle name="% 6 6 2" xfId="3126" xr:uid="{B192843D-A263-47B7-9DB0-1993CE0BC9D8}"/>
    <cellStyle name="% 6 6 3" xfId="3127" xr:uid="{6BC8BF09-3FCD-42CA-ABD9-09EEF71395A0}"/>
    <cellStyle name="% 6 6 4" xfId="3128" xr:uid="{5B7F2FFA-40F9-458C-B913-A66C5176045D}"/>
    <cellStyle name="% 6 6 5" xfId="3129" xr:uid="{6299E3A8-84D3-4D12-B6A2-35B5ED3A423A}"/>
    <cellStyle name="% 6 6 6" xfId="3130" xr:uid="{0A3445A3-BEB9-494D-BBB0-05C7FCABEC2B}"/>
    <cellStyle name="% 6 6 7" xfId="3131" xr:uid="{1BE9AEEC-1E3B-431C-905D-6014A4DB83E3}"/>
    <cellStyle name="% 6 6 8" xfId="3132" xr:uid="{ABA00922-6E76-4DB6-B655-595D49AF2429}"/>
    <cellStyle name="% 6 6 9" xfId="3133" xr:uid="{4100C8D4-128D-4702-BA69-ECA93BDC630D}"/>
    <cellStyle name="% 6 7" xfId="3134" xr:uid="{D3F309D1-D868-4A94-9608-BEA83DE921D7}"/>
    <cellStyle name="% 6 7 2" xfId="3135" xr:uid="{0E44B032-1F7D-4B36-9B69-289FFF1C6F7B}"/>
    <cellStyle name="% 6 7 3" xfId="3136" xr:uid="{D8BC8F94-6AEA-4101-8034-741CA757BF06}"/>
    <cellStyle name="% 6 7 4" xfId="3137" xr:uid="{F3BF203D-3976-485B-ABCB-3D60CDCC77F0}"/>
    <cellStyle name="% 6 7 5" xfId="3138" xr:uid="{AEE800CB-E74E-442A-8378-A6AFD4FF86E5}"/>
    <cellStyle name="% 6 7 6" xfId="3139" xr:uid="{F8EEAAE7-09CD-4C7A-ADE0-085AF300E1C8}"/>
    <cellStyle name="% 6 7 7" xfId="3140" xr:uid="{10EE7C3D-869E-4298-8ED1-C872E5BD4633}"/>
    <cellStyle name="% 6 8" xfId="3141" xr:uid="{1D6364DC-BBE3-4F16-A623-B0D447047FEA}"/>
    <cellStyle name="% 6 8 2" xfId="3142" xr:uid="{45F6BA4C-F079-4235-99AD-B413CCAB8069}"/>
    <cellStyle name="% 6 8 3" xfId="3143" xr:uid="{3554C2D3-CD90-47A0-95D6-2DA047874EB8}"/>
    <cellStyle name="% 6 8 4" xfId="3144" xr:uid="{760BD9AA-A545-4795-B685-E82137E51A13}"/>
    <cellStyle name="% 6 8 5" xfId="3145" xr:uid="{AC32D106-9C72-401F-BA67-D61F80C5FDCC}"/>
    <cellStyle name="% 6 8 6" xfId="3146" xr:uid="{FDE17F8A-0373-4C59-AAFB-870E3832FD6F}"/>
    <cellStyle name="% 6 8 7" xfId="3147" xr:uid="{D3A2644D-2BBA-46C4-B047-DFAA7525C64A}"/>
    <cellStyle name="% 6 9" xfId="3148" xr:uid="{89A98C41-0DBA-4527-8351-ED598A8BE1F2}"/>
    <cellStyle name="% 7" xfId="3149" xr:uid="{8C07FECD-9458-404A-B512-572C84E257DB}"/>
    <cellStyle name="% 7 10" xfId="3150" xr:uid="{EF446214-B0FE-428C-89B3-3D4DEFCBD4D7}"/>
    <cellStyle name="% 7 11" xfId="3151" xr:uid="{84FA8F63-22CB-4019-800E-D162FF0B706A}"/>
    <cellStyle name="% 7 12" xfId="3152" xr:uid="{B0664013-1EDD-4F22-B77A-416C973DB67A}"/>
    <cellStyle name="% 7 13" xfId="3153" xr:uid="{418D08FC-7945-4397-A6D2-B220192F2BC1}"/>
    <cellStyle name="% 7 14" xfId="3154" xr:uid="{F6D38AC9-6952-4072-9D11-6A69986ED6DC}"/>
    <cellStyle name="% 7 15" xfId="3155" xr:uid="{4544FB88-83F4-4706-914A-E878CE61398D}"/>
    <cellStyle name="% 7 16" xfId="3156" xr:uid="{872F7FF6-18AE-4081-812B-6F77897A25FC}"/>
    <cellStyle name="% 7 2" xfId="3157" xr:uid="{B4BCF643-CA02-43DE-BD8E-5BF936288BC4}"/>
    <cellStyle name="% 7 2 10" xfId="3158" xr:uid="{29CB76BF-8B69-4ADD-9EC5-0660A73F595F}"/>
    <cellStyle name="% 7 2 11" xfId="3159" xr:uid="{E74AB56F-C693-4D4C-BF53-4AAC055D4091}"/>
    <cellStyle name="% 7 2 2" xfId="3160" xr:uid="{C456CD2A-6755-40CE-B51C-CA818EFA6A57}"/>
    <cellStyle name="% 7 2 3" xfId="3161" xr:uid="{FED98CC2-7A2D-4E6B-8A74-1333304EF2D4}"/>
    <cellStyle name="% 7 2 4" xfId="3162" xr:uid="{F17CE997-48FE-4F2D-BD05-F0AAD0BED9DA}"/>
    <cellStyle name="% 7 2 5" xfId="3163" xr:uid="{5B946A58-C7B5-405A-AE9E-98F44EAA3AF1}"/>
    <cellStyle name="% 7 2 6" xfId="3164" xr:uid="{28F67C80-C39B-4D3B-85A6-2270667F279C}"/>
    <cellStyle name="% 7 2 7" xfId="3165" xr:uid="{5FF2939D-C7EA-43C0-B79D-5F35A1E6A581}"/>
    <cellStyle name="% 7 2 8" xfId="3166" xr:uid="{0B8817D7-6FDB-4346-B90B-FBDDDEA7F361}"/>
    <cellStyle name="% 7 2 9" xfId="3167" xr:uid="{CEFF0D3C-A72E-4A8E-8986-5783BA3C7662}"/>
    <cellStyle name="% 7 3" xfId="3168" xr:uid="{19EDBE2E-E1A1-46E6-BD14-6A7F1516F9BA}"/>
    <cellStyle name="% 7 3 10" xfId="3169" xr:uid="{5ECA2B3F-A6E1-46A2-93BB-B932ABCC99B7}"/>
    <cellStyle name="% 7 3 11" xfId="3170" xr:uid="{313A035E-209A-45BD-9198-12AA11537534}"/>
    <cellStyle name="% 7 3 2" xfId="3171" xr:uid="{B0A2024B-1A10-4AF0-A019-C3783BDE5429}"/>
    <cellStyle name="% 7 3 3" xfId="3172" xr:uid="{6EB15843-18F9-422A-9CEF-5297DEC82E01}"/>
    <cellStyle name="% 7 3 4" xfId="3173" xr:uid="{2DD8E071-D16D-4DC7-88FE-777ABBA8D78F}"/>
    <cellStyle name="% 7 3 5" xfId="3174" xr:uid="{B59F132A-29CA-4A7B-A332-A81053EA5D62}"/>
    <cellStyle name="% 7 3 6" xfId="3175" xr:uid="{D08242D0-3150-4459-8CD8-0215E177D95F}"/>
    <cellStyle name="% 7 3 7" xfId="3176" xr:uid="{2A259D0E-E9AD-4448-8807-D69D05129173}"/>
    <cellStyle name="% 7 3 8" xfId="3177" xr:uid="{8E8E9F3A-C05F-4F9A-AE92-9DAC8705182C}"/>
    <cellStyle name="% 7 3 9" xfId="3178" xr:uid="{8AA354FD-4A43-4DFC-B86E-0B8A588A9275}"/>
    <cellStyle name="% 7 4" xfId="3179" xr:uid="{9945690D-3CF7-4664-A524-E28E336EE6BE}"/>
    <cellStyle name="% 7 4 10" xfId="3180" xr:uid="{C5B802EF-435F-4A00-A5F9-EDD746CF7BDA}"/>
    <cellStyle name="% 7 4 11" xfId="3181" xr:uid="{4707878D-1C41-40F4-BD7A-7D2A61687E51}"/>
    <cellStyle name="% 7 4 2" xfId="3182" xr:uid="{E0B39359-3F95-454F-BF3B-F29763A74DA2}"/>
    <cellStyle name="% 7 4 3" xfId="3183" xr:uid="{D9C8E213-FD8D-4080-841A-D70F05801383}"/>
    <cellStyle name="% 7 4 4" xfId="3184" xr:uid="{F802A9A1-E13F-4F30-A6B6-136404A66301}"/>
    <cellStyle name="% 7 4 5" xfId="3185" xr:uid="{74E9F5D8-5938-4E95-83C0-9FAE25390ED6}"/>
    <cellStyle name="% 7 4 6" xfId="3186" xr:uid="{837F34D3-71AE-4D96-B144-3184D456ABB1}"/>
    <cellStyle name="% 7 4 7" xfId="3187" xr:uid="{E8C4C2A2-D3A0-40B2-9BA6-97599A6F5D08}"/>
    <cellStyle name="% 7 4 8" xfId="3188" xr:uid="{BB4B6F43-06DD-466C-A2ED-461FF9D959A7}"/>
    <cellStyle name="% 7 4 9" xfId="3189" xr:uid="{B357459B-9CDA-4E67-A07C-2303A92533F9}"/>
    <cellStyle name="% 7 5" xfId="3190" xr:uid="{5FD7EB67-637A-4F6B-B9C8-14003A8567A2}"/>
    <cellStyle name="% 7 5 2" xfId="3191" xr:uid="{E9353ADF-A40A-43F0-AD70-48FF46F84575}"/>
    <cellStyle name="% 7 5 3" xfId="3192" xr:uid="{0EFF6E9D-5C64-4BCF-9D1A-47880CD6DB5D}"/>
    <cellStyle name="% 7 5 4" xfId="3193" xr:uid="{482E95E3-276C-4F4C-A53B-2CFCD0704E37}"/>
    <cellStyle name="% 7 5 5" xfId="3194" xr:uid="{02317406-6411-46DA-8505-FA3B2242AB0F}"/>
    <cellStyle name="% 7 5 6" xfId="3195" xr:uid="{D5B7CDC6-6454-4B5F-B03D-8AB32CC608AF}"/>
    <cellStyle name="% 7 5 7" xfId="3196" xr:uid="{28278E82-1720-4419-886B-B78533C7E96A}"/>
    <cellStyle name="% 7 6" xfId="3197" xr:uid="{1427EDA6-10A6-47E6-A210-C3A971F326B2}"/>
    <cellStyle name="% 7 6 2" xfId="3198" xr:uid="{5D94411B-2E78-4991-B4B3-8FC155E2436A}"/>
    <cellStyle name="% 7 6 3" xfId="3199" xr:uid="{2E829B80-77EF-4238-A28B-ACB489973645}"/>
    <cellStyle name="% 7 6 4" xfId="3200" xr:uid="{8A319284-3D6F-48FA-9573-8371C0BE41CC}"/>
    <cellStyle name="% 7 6 5" xfId="3201" xr:uid="{E99CEAD9-BF62-4594-A9C1-65D59D43C316}"/>
    <cellStyle name="% 7 6 6" xfId="3202" xr:uid="{32749355-1ABC-444A-B543-69BB72845686}"/>
    <cellStyle name="% 7 6 7" xfId="3203" xr:uid="{ADE87FB9-9313-4DE7-8F2E-80080A35C8DC}"/>
    <cellStyle name="% 7 7" xfId="3204" xr:uid="{28BD8D3E-6A4B-4251-A6B6-5E0C712B414E}"/>
    <cellStyle name="% 7 8" xfId="3205" xr:uid="{085974B8-63BF-45A5-9CB0-7B06B7A96C4A}"/>
    <cellStyle name="% 7 9" xfId="3206" xr:uid="{7831DC97-31B3-4BEA-A6B3-EC47B673C4FA}"/>
    <cellStyle name="% 8" xfId="3207" xr:uid="{0B2A21AD-603A-4893-8D8B-869E4D695D20}"/>
    <cellStyle name="% 8 10" xfId="3208" xr:uid="{51CCBB94-46B6-483C-ABC3-90396855DDDC}"/>
    <cellStyle name="% 8 11" xfId="3209" xr:uid="{DD3347A3-A0F3-4248-B9DB-39C4ABB15D98}"/>
    <cellStyle name="% 8 12" xfId="3210" xr:uid="{7F54E9B5-56FA-49C3-99FC-BDE573BBA04D}"/>
    <cellStyle name="% 8 13" xfId="3211" xr:uid="{08A18E9A-F010-48D0-9489-006001B3F8B2}"/>
    <cellStyle name="% 8 14" xfId="3212" xr:uid="{50296B78-FFE6-43BE-87EA-CB1BE3D2E250}"/>
    <cellStyle name="% 8 15" xfId="3213" xr:uid="{24B19479-4EFB-48B1-8F70-79B73E9C7F39}"/>
    <cellStyle name="% 8 16" xfId="3214" xr:uid="{4D5C9F62-F8ED-43B2-AD68-9FE151723F01}"/>
    <cellStyle name="% 8 2" xfId="3215" xr:uid="{BAA019F1-38EA-4B99-91BF-64E430FA996A}"/>
    <cellStyle name="% 8 2 10" xfId="3216" xr:uid="{98DF0B42-814E-4CEB-B0B3-6EB91149C3BD}"/>
    <cellStyle name="% 8 2 11" xfId="3217" xr:uid="{A7E9C487-A257-4E16-9EB3-396C5153EFBD}"/>
    <cellStyle name="% 8 2 2" xfId="3218" xr:uid="{AAFDDE84-EA5A-4DA7-81B0-62F6E712EB13}"/>
    <cellStyle name="% 8 2 3" xfId="3219" xr:uid="{E779DDC2-5E5F-4BD0-80FB-EBC19E6B6C4E}"/>
    <cellStyle name="% 8 2 4" xfId="3220" xr:uid="{6BBE3B1C-C768-4D62-A175-072E652FB405}"/>
    <cellStyle name="% 8 2 5" xfId="3221" xr:uid="{E605F163-5E4C-49D3-9DA3-CF4FBF9AF55E}"/>
    <cellStyle name="% 8 2 6" xfId="3222" xr:uid="{7E59E387-B80F-4680-9515-E367EC208678}"/>
    <cellStyle name="% 8 2 7" xfId="3223" xr:uid="{1ACA6305-B667-4F37-886B-9A45B0F1E756}"/>
    <cellStyle name="% 8 2 8" xfId="3224" xr:uid="{9674911A-D065-4795-A486-D8B6D7553DCE}"/>
    <cellStyle name="% 8 2 9" xfId="3225" xr:uid="{3A0D640A-5B63-4B30-8F79-9339FF607B43}"/>
    <cellStyle name="% 8 3" xfId="3226" xr:uid="{E78A622B-ABF2-477C-A863-D9342C483700}"/>
    <cellStyle name="% 8 3 10" xfId="3227" xr:uid="{333018E0-0BD3-4F83-84A2-DF27DA604DFB}"/>
    <cellStyle name="% 8 3 11" xfId="3228" xr:uid="{86108FC5-2ED5-4146-B26A-55AC34695D25}"/>
    <cellStyle name="% 8 3 2" xfId="3229" xr:uid="{E0669F64-7744-4773-B9C6-B8CDDA1D05A5}"/>
    <cellStyle name="% 8 3 3" xfId="3230" xr:uid="{441CFD13-B3A5-4E6A-9FA2-F909FF1EC68E}"/>
    <cellStyle name="% 8 3 4" xfId="3231" xr:uid="{7437651B-F0AD-4ACC-8F1C-9C4649067901}"/>
    <cellStyle name="% 8 3 5" xfId="3232" xr:uid="{816FF390-BF6A-4789-9255-05C13F8C199B}"/>
    <cellStyle name="% 8 3 6" xfId="3233" xr:uid="{668E46F8-F2FB-48FE-B8DB-F551E759A143}"/>
    <cellStyle name="% 8 3 7" xfId="3234" xr:uid="{F1939EF3-3743-4135-9F72-6C65A687C13A}"/>
    <cellStyle name="% 8 3 8" xfId="3235" xr:uid="{0C305774-66AE-48DD-94D4-1DF8B7512CB6}"/>
    <cellStyle name="% 8 3 9" xfId="3236" xr:uid="{6917CF26-CD07-4063-BBC2-542A904E710F}"/>
    <cellStyle name="% 8 4" xfId="3237" xr:uid="{6FB22718-EECD-47A2-ADDE-9C211B84A5AD}"/>
    <cellStyle name="% 8 4 10" xfId="3238" xr:uid="{175E4DF9-F427-4D89-9007-CE8BE92E10CE}"/>
    <cellStyle name="% 8 4 11" xfId="3239" xr:uid="{C8120C0E-58D5-4612-9A98-A81119F417F0}"/>
    <cellStyle name="% 8 4 2" xfId="3240" xr:uid="{91613B26-A0AE-44B2-988B-8F8F643E7E8E}"/>
    <cellStyle name="% 8 4 3" xfId="3241" xr:uid="{35E6FB22-DFC3-4D8D-AF48-A73CEE15041C}"/>
    <cellStyle name="% 8 4 4" xfId="3242" xr:uid="{7F776A9E-E5BB-402D-A608-543BD71F511E}"/>
    <cellStyle name="% 8 4 5" xfId="3243" xr:uid="{20EDFC39-C7DA-4C1F-A906-506491041829}"/>
    <cellStyle name="% 8 4 6" xfId="3244" xr:uid="{CBD49D2E-7544-4EDD-987C-2395AE22AB68}"/>
    <cellStyle name="% 8 4 7" xfId="3245" xr:uid="{95EAF34F-BE88-44C5-BFD8-9F4B5A2B583E}"/>
    <cellStyle name="% 8 4 8" xfId="3246" xr:uid="{781D8D28-F8FB-4BAD-B0E3-7C824E038148}"/>
    <cellStyle name="% 8 4 9" xfId="3247" xr:uid="{30A52568-2361-4C05-9D83-1F990C0C5C6A}"/>
    <cellStyle name="% 8 5" xfId="3248" xr:uid="{FACDC916-E57D-49BA-8BC7-7FA5997BC656}"/>
    <cellStyle name="% 8 5 2" xfId="3249" xr:uid="{AFD030F9-0A73-4CCA-939A-8B0A0CEA6AA4}"/>
    <cellStyle name="% 8 5 3" xfId="3250" xr:uid="{461765C2-175A-4742-8CFF-A2848CEB96B1}"/>
    <cellStyle name="% 8 5 4" xfId="3251" xr:uid="{CA7DF03E-814C-413E-B217-31418C1551E5}"/>
    <cellStyle name="% 8 5 5" xfId="3252" xr:uid="{7684F759-21AE-4315-A3BB-9BA232F9FA09}"/>
    <cellStyle name="% 8 5 6" xfId="3253" xr:uid="{639A1435-1310-4F66-BCE2-63BABA56D90B}"/>
    <cellStyle name="% 8 5 7" xfId="3254" xr:uid="{DDD43BEA-B387-4B87-9B5F-3EDB583B24D6}"/>
    <cellStyle name="% 8 6" xfId="3255" xr:uid="{D54FB93E-4B30-4E63-B7B1-612A66D8DB6C}"/>
    <cellStyle name="% 8 6 2" xfId="3256" xr:uid="{F85724DB-D2D0-4E3A-B167-035119BC6A24}"/>
    <cellStyle name="% 8 6 3" xfId="3257" xr:uid="{C969D0EE-C5A1-4C44-94EA-B6768D7E3224}"/>
    <cellStyle name="% 8 6 4" xfId="3258" xr:uid="{46305037-E428-49BE-838D-28542E45F034}"/>
    <cellStyle name="% 8 6 5" xfId="3259" xr:uid="{EC0D5356-4F1A-4E64-904A-861F1BE488C4}"/>
    <cellStyle name="% 8 6 6" xfId="3260" xr:uid="{4156C7BC-FD02-4369-8822-0925DA99CED4}"/>
    <cellStyle name="% 8 6 7" xfId="3261" xr:uid="{A54797D2-4611-494B-8D58-164FAA8B4877}"/>
    <cellStyle name="% 8 7" xfId="3262" xr:uid="{22FB7B69-239A-431C-8E0F-2D6FE954D13D}"/>
    <cellStyle name="% 8 8" xfId="3263" xr:uid="{238A81AA-47A0-41DC-AE08-C7C1CB6187D3}"/>
    <cellStyle name="% 8 9" xfId="3264" xr:uid="{4A07CA4F-5C6D-4A28-8072-964E80DED95B}"/>
    <cellStyle name="% 9" xfId="3265" xr:uid="{E28085E9-C3DA-4065-B105-6DA0F6BF2428}"/>
    <cellStyle name="% 9 10" xfId="3266" xr:uid="{D643F12D-263F-4B43-8867-88E39EDE8555}"/>
    <cellStyle name="% 9 11" xfId="3267" xr:uid="{86707845-ADBF-4F8D-8BC0-A0B593EBDA4F}"/>
    <cellStyle name="% 9 12" xfId="3268" xr:uid="{BA4FCB9B-E7DF-4224-99C0-8E5193A181C5}"/>
    <cellStyle name="% 9 13" xfId="3269" xr:uid="{C5567646-3721-4805-83A8-8D557C989D09}"/>
    <cellStyle name="% 9 2" xfId="3270" xr:uid="{4CD3FE80-51D9-4CA6-BCFD-348A558DA428}"/>
    <cellStyle name="% 9 2 2" xfId="3271" xr:uid="{A5C80B29-C9AA-4095-BA66-E03D6CD01993}"/>
    <cellStyle name="% 9 2 3" xfId="3272" xr:uid="{9124F22C-ACAA-4D89-ACCE-F2DEAB21431D}"/>
    <cellStyle name="% 9 2 4" xfId="3273" xr:uid="{9E5F342A-E924-4DC2-943B-6ED2BBC4AE8C}"/>
    <cellStyle name="% 9 2 5" xfId="3274" xr:uid="{8A4EEE16-EFCF-4D4B-9A97-4CBE70297553}"/>
    <cellStyle name="% 9 2 6" xfId="3275" xr:uid="{E7B6BCF4-B1B3-487E-869F-180A1F2FD0F3}"/>
    <cellStyle name="% 9 2 7" xfId="3276" xr:uid="{5E33E42E-E914-4BE6-BF4D-709DB9AF2336}"/>
    <cellStyle name="% 9 3" xfId="3277" xr:uid="{2C3FCB3F-0BA0-4FA8-9A4E-52C9027AC224}"/>
    <cellStyle name="% 9 3 2" xfId="3278" xr:uid="{5519C503-83ED-4D41-B2F0-8481B0EDEE2C}"/>
    <cellStyle name="% 9 3 3" xfId="3279" xr:uid="{D3DC786C-0035-41FA-B63C-F56CDC697379}"/>
    <cellStyle name="% 9 3 4" xfId="3280" xr:uid="{FFBD32FA-725E-4291-AEE8-A9F8970AAD19}"/>
    <cellStyle name="% 9 3 5" xfId="3281" xr:uid="{377A37B4-D5AD-42FA-AF60-7E936ADC19F7}"/>
    <cellStyle name="% 9 3 6" xfId="3282" xr:uid="{8DBD0F27-47A2-484A-A16D-4C62B6901C20}"/>
    <cellStyle name="% 9 3 7" xfId="3283" xr:uid="{F497F528-6109-40EC-B812-31881BABC4DA}"/>
    <cellStyle name="% 9 4" xfId="3284" xr:uid="{8150FDC1-A1A2-40BE-8DA9-F3E33DB3DA38}"/>
    <cellStyle name="% 9 5" xfId="3285" xr:uid="{DFA74B48-255B-4889-A734-E2CB2D576B03}"/>
    <cellStyle name="% 9 6" xfId="3286" xr:uid="{72442325-D1D0-43CE-A47A-6F932CB832AC}"/>
    <cellStyle name="% 9 7" xfId="3287" xr:uid="{1D8B4817-D599-4954-A216-335CFF7E4996}"/>
    <cellStyle name="% 9 8" xfId="3288" xr:uid="{936F3D75-AECC-47CE-8FC5-8743F3EA50A5}"/>
    <cellStyle name="% 9 9" xfId="3289" xr:uid="{807A21CE-7901-4C47-8513-197D0EFBDF7E}"/>
    <cellStyle name="%_Hoja1" xfId="3290" xr:uid="{BA8076B0-AC75-4013-AE8C-6F3D2F48853E}"/>
    <cellStyle name="%_Hoja1 10" xfId="3291" xr:uid="{3B098FEC-B9C1-4218-81C7-03B1BC3171FA}"/>
    <cellStyle name="%_Hoja1 2" xfId="3292" xr:uid="{6ED302BB-B3D2-4F6B-9C6C-284D5104EDD0}"/>
    <cellStyle name="%_Hoja1 2 10" xfId="3293" xr:uid="{15A8226C-BEFF-449A-ABF6-6DDA6D91FF98}"/>
    <cellStyle name="%_Hoja1 2 11" xfId="3294" xr:uid="{2D3746B4-1113-4B96-A2FF-837337254645}"/>
    <cellStyle name="%_Hoja1 2 12" xfId="3295" xr:uid="{D99FC5C0-397A-4547-8A53-F6880D5C90F1}"/>
    <cellStyle name="%_Hoja1 2 13" xfId="3296" xr:uid="{27931A26-1805-4E7B-A7A6-15964A9B6277}"/>
    <cellStyle name="%_Hoja1 2 14" xfId="3297" xr:uid="{E59E7384-3D33-4AB8-85EA-7A5F26F9084D}"/>
    <cellStyle name="%_Hoja1 2 15" xfId="3298" xr:uid="{02B449FB-1F8F-4DA1-9857-F6B0C926CE08}"/>
    <cellStyle name="%_Hoja1 2 16" xfId="3299" xr:uid="{423B442B-961F-4DB3-9DD3-7CE8B0322482}"/>
    <cellStyle name="%_Hoja1 2 2" xfId="3300" xr:uid="{4B341363-AB48-43D2-8EC9-8B402501C8E9}"/>
    <cellStyle name="%_Hoja1 2 2 10" xfId="3301" xr:uid="{6A2BF0F8-4870-412E-8CB8-C13DF9929054}"/>
    <cellStyle name="%_Hoja1 2 2 11" xfId="3302" xr:uid="{4AF63394-1AFB-424C-950D-1D1A24BD1BA3}"/>
    <cellStyle name="%_Hoja1 2 2 2" xfId="3303" xr:uid="{3ECE5D5D-9D54-408B-8B48-02843947DB71}"/>
    <cellStyle name="%_Hoja1 2 2 3" xfId="3304" xr:uid="{A5251E22-8463-4F4A-9CDE-01DB4AE60F98}"/>
    <cellStyle name="%_Hoja1 2 2 4" xfId="3305" xr:uid="{6B1C489C-5501-4F53-8803-9CA1796407D1}"/>
    <cellStyle name="%_Hoja1 2 2 5" xfId="3306" xr:uid="{CDE651E4-5049-4BB3-8561-3BC62DEF750D}"/>
    <cellStyle name="%_Hoja1 2 2 6" xfId="3307" xr:uid="{8DCFF7CF-35E6-4CE6-BA3D-67A2BC207829}"/>
    <cellStyle name="%_Hoja1 2 2 7" xfId="3308" xr:uid="{54D78CB9-3A49-4C50-A9FA-1B843E670CA8}"/>
    <cellStyle name="%_Hoja1 2 2 8" xfId="3309" xr:uid="{650B67C1-7885-4A9C-B16C-C0BEDECB504B}"/>
    <cellStyle name="%_Hoja1 2 2 9" xfId="3310" xr:uid="{BDA21A30-00B2-4B67-9531-6988BF23AB1B}"/>
    <cellStyle name="%_Hoja1 2 3" xfId="3311" xr:uid="{11FAF875-4E09-4890-997D-570A07E98E69}"/>
    <cellStyle name="%_Hoja1 2 3 10" xfId="3312" xr:uid="{C6A0048F-E993-43B5-8180-8F87D4F573D4}"/>
    <cellStyle name="%_Hoja1 2 3 11" xfId="3313" xr:uid="{38FEDDBD-AAAF-45DC-A5A7-22C3F26933F0}"/>
    <cellStyle name="%_Hoja1 2 3 2" xfId="3314" xr:uid="{68871071-3FB7-4002-87BC-0172D1F21A82}"/>
    <cellStyle name="%_Hoja1 2 3 3" xfId="3315" xr:uid="{C642D280-B12A-444C-BA57-A2813F4B9A56}"/>
    <cellStyle name="%_Hoja1 2 3 4" xfId="3316" xr:uid="{B5B81903-3339-4261-8B65-EAFD605FE6CF}"/>
    <cellStyle name="%_Hoja1 2 3 5" xfId="3317" xr:uid="{07E64C35-B301-4F58-880D-31D2D92477E6}"/>
    <cellStyle name="%_Hoja1 2 3 6" xfId="3318" xr:uid="{2B97CECA-EC7A-44A4-AAA2-563E26CA574D}"/>
    <cellStyle name="%_Hoja1 2 3 7" xfId="3319" xr:uid="{6783F5FC-706C-408F-A293-1AEC266D6C13}"/>
    <cellStyle name="%_Hoja1 2 3 8" xfId="3320" xr:uid="{E9BA79B2-7863-40C1-8A1B-021360FBF80E}"/>
    <cellStyle name="%_Hoja1 2 3 9" xfId="3321" xr:uid="{16E87345-FD02-465A-8C31-F41128B8ECF1}"/>
    <cellStyle name="%_Hoja1 2 4" xfId="3322" xr:uid="{F44C4E23-CE0B-4478-8BA7-8CD7D8E21EE0}"/>
    <cellStyle name="%_Hoja1 2 4 10" xfId="3323" xr:uid="{262A5A6A-4F26-4F2A-8B84-E6777C0D6F50}"/>
    <cellStyle name="%_Hoja1 2 4 11" xfId="3324" xr:uid="{FBA35AF1-21DE-49C6-ABB1-7DA7F794FD45}"/>
    <cellStyle name="%_Hoja1 2 4 2" xfId="3325" xr:uid="{E6CC274E-9016-45E1-99D8-2EE7B9F58F34}"/>
    <cellStyle name="%_Hoja1 2 4 3" xfId="3326" xr:uid="{27872F2B-CF18-4783-A02B-D9F52EB10F29}"/>
    <cellStyle name="%_Hoja1 2 4 4" xfId="3327" xr:uid="{0B237EA9-750B-4EB3-9115-DA1BE8778A5C}"/>
    <cellStyle name="%_Hoja1 2 4 5" xfId="3328" xr:uid="{B2FD72EE-AA31-469D-9635-B85EEAB91007}"/>
    <cellStyle name="%_Hoja1 2 4 6" xfId="3329" xr:uid="{965406E3-EEC6-4B11-A5C8-409EEA0D4068}"/>
    <cellStyle name="%_Hoja1 2 4 7" xfId="3330" xr:uid="{6EFBEA7D-8655-4E2D-AB6A-DE7371019AB3}"/>
    <cellStyle name="%_Hoja1 2 4 8" xfId="3331" xr:uid="{B33D89ED-23E2-4AD8-8DFA-D5762F350332}"/>
    <cellStyle name="%_Hoja1 2 4 9" xfId="3332" xr:uid="{FF17BAC1-6311-4714-A76D-4C3771F2601C}"/>
    <cellStyle name="%_Hoja1 2 5" xfId="3333" xr:uid="{1520336B-5727-4E4A-9947-29D4D4A73341}"/>
    <cellStyle name="%_Hoja1 2 5 2" xfId="3334" xr:uid="{E279D613-C99B-41F8-8D2F-BEF3C638AEEC}"/>
    <cellStyle name="%_Hoja1 2 5 3" xfId="3335" xr:uid="{9505D275-1A84-4CEA-B86A-BA6F8D61391E}"/>
    <cellStyle name="%_Hoja1 2 5 4" xfId="3336" xr:uid="{D74A5496-2FD8-42B9-8621-E18A01A36DA0}"/>
    <cellStyle name="%_Hoja1 2 5 5" xfId="3337" xr:uid="{3B03F1A1-A092-4EE3-A318-162D48ECE39C}"/>
    <cellStyle name="%_Hoja1 2 5 6" xfId="3338" xr:uid="{4AB4359D-8FBB-4829-BF2B-654E06028F79}"/>
    <cellStyle name="%_Hoja1 2 5 7" xfId="3339" xr:uid="{10057239-50AC-454A-8F01-BEC979177178}"/>
    <cellStyle name="%_Hoja1 2 6" xfId="3340" xr:uid="{C41AC856-CC84-4FD0-8313-15AA20FCC418}"/>
    <cellStyle name="%_Hoja1 2 6 2" xfId="3341" xr:uid="{9CBECBB3-CF7C-4930-93EE-B02D650CB010}"/>
    <cellStyle name="%_Hoja1 2 6 3" xfId="3342" xr:uid="{0152945B-FB3B-4926-901F-26267A26224A}"/>
    <cellStyle name="%_Hoja1 2 6 4" xfId="3343" xr:uid="{0F8F4143-0104-4AD8-ADED-1F79AD993776}"/>
    <cellStyle name="%_Hoja1 2 6 5" xfId="3344" xr:uid="{D5928022-CAFE-44D2-AFC4-3CF5196C0280}"/>
    <cellStyle name="%_Hoja1 2 6 6" xfId="3345" xr:uid="{1C61E427-21DB-4FDB-B025-03BD91FD551A}"/>
    <cellStyle name="%_Hoja1 2 6 7" xfId="3346" xr:uid="{E7F20226-9D13-486B-B184-1DE98E8B9717}"/>
    <cellStyle name="%_Hoja1 2 7" xfId="3347" xr:uid="{B11E57EB-C2AD-4F2B-8EB4-F6C5B9260C33}"/>
    <cellStyle name="%_Hoja1 2 8" xfId="3348" xr:uid="{C33613F1-66E7-4F8B-93C6-B1C4435A426E}"/>
    <cellStyle name="%_Hoja1 2 9" xfId="3349" xr:uid="{D573C3CF-98A3-4A57-8BA1-E4DA59EE041B}"/>
    <cellStyle name="%_Hoja1 3" xfId="3350" xr:uid="{06F18A6E-0B7B-475C-BDEC-9211E4DC055A}"/>
    <cellStyle name="%_Hoja1 3 10" xfId="3351" xr:uid="{025E2EA0-8327-4D6E-A11C-4FF6B894574D}"/>
    <cellStyle name="%_Hoja1 3 11" xfId="3352" xr:uid="{02C0855A-C3E6-47EB-8C81-CD995502F7DF}"/>
    <cellStyle name="%_Hoja1 3 12" xfId="3353" xr:uid="{28C90772-51E1-480B-94F1-856E09DB3BED}"/>
    <cellStyle name="%_Hoja1 3 13" xfId="3354" xr:uid="{3C6E310A-47BC-47A4-B078-415384C4D6CA}"/>
    <cellStyle name="%_Hoja1 3 14" xfId="3355" xr:uid="{458C3AD2-2ABF-49CF-BDB8-1D6FB2E8AA8A}"/>
    <cellStyle name="%_Hoja1 3 15" xfId="3356" xr:uid="{AE7B537B-60C0-40D2-BF41-A27623826046}"/>
    <cellStyle name="%_Hoja1 3 16" xfId="3357" xr:uid="{3C595279-D170-4D99-8EBF-89EEAC22E702}"/>
    <cellStyle name="%_Hoja1 3 2" xfId="3358" xr:uid="{680CB67D-8930-4D85-A48C-579D929E2350}"/>
    <cellStyle name="%_Hoja1 3 2 10" xfId="3359" xr:uid="{FF24CA0B-D85A-4E93-B250-6AA2370B1581}"/>
    <cellStyle name="%_Hoja1 3 2 11" xfId="3360" xr:uid="{B0C15D1B-DDC6-4738-AC13-BE05321CEDF7}"/>
    <cellStyle name="%_Hoja1 3 2 2" xfId="3361" xr:uid="{9B83E65A-5BEA-4EA2-922F-F8BF986EC24E}"/>
    <cellStyle name="%_Hoja1 3 2 3" xfId="3362" xr:uid="{4CCCC727-3B11-4EF7-A1CA-B6818ED09B2D}"/>
    <cellStyle name="%_Hoja1 3 2 4" xfId="3363" xr:uid="{E7A1A538-D2C6-4AA0-B2E6-E95F87CFD4ED}"/>
    <cellStyle name="%_Hoja1 3 2 5" xfId="3364" xr:uid="{8D8C7051-75C5-4D87-AA43-D8C56BB11A27}"/>
    <cellStyle name="%_Hoja1 3 2 6" xfId="3365" xr:uid="{E39CFE66-0424-42FE-A95D-64F293DB5345}"/>
    <cellStyle name="%_Hoja1 3 2 7" xfId="3366" xr:uid="{3CB362E2-3359-496F-A248-D18994C17406}"/>
    <cellStyle name="%_Hoja1 3 2 8" xfId="3367" xr:uid="{A5ED5D86-0DF0-4D7C-8BE4-3242541C6B8F}"/>
    <cellStyle name="%_Hoja1 3 2 9" xfId="3368" xr:uid="{C76775FC-62FC-4B75-AC15-1A58485DFD2D}"/>
    <cellStyle name="%_Hoja1 3 3" xfId="3369" xr:uid="{859E9DE4-AE4F-4E00-B483-E4F41900378E}"/>
    <cellStyle name="%_Hoja1 3 3 10" xfId="3370" xr:uid="{2057EC1B-E125-40A2-BF61-CFD618374B45}"/>
    <cellStyle name="%_Hoja1 3 3 11" xfId="3371" xr:uid="{CD8F0B6B-7091-4AAE-A627-E03B315EFCA7}"/>
    <cellStyle name="%_Hoja1 3 3 2" xfId="3372" xr:uid="{8AEBA888-B89F-4FB1-AA31-CEBE0BAA3AB4}"/>
    <cellStyle name="%_Hoja1 3 3 3" xfId="3373" xr:uid="{3F71EB4F-B088-4B4A-B8B0-803EA228C018}"/>
    <cellStyle name="%_Hoja1 3 3 4" xfId="3374" xr:uid="{18DECF2C-56A7-4570-9771-347C8A79D9C2}"/>
    <cellStyle name="%_Hoja1 3 3 5" xfId="3375" xr:uid="{D2AB7865-6905-4AA8-BE18-70709100DC25}"/>
    <cellStyle name="%_Hoja1 3 3 6" xfId="3376" xr:uid="{7B46E0BA-C7B3-4EA2-96F1-2E77B4A90756}"/>
    <cellStyle name="%_Hoja1 3 3 7" xfId="3377" xr:uid="{84B563FD-151C-4B26-9BB7-782E4EDAED55}"/>
    <cellStyle name="%_Hoja1 3 3 8" xfId="3378" xr:uid="{23C6F54D-7B94-4764-A75C-536776FCAF07}"/>
    <cellStyle name="%_Hoja1 3 3 9" xfId="3379" xr:uid="{44CA83FC-4113-4901-ACCB-58690C9CDD11}"/>
    <cellStyle name="%_Hoja1 3 4" xfId="3380" xr:uid="{C7D1368B-8254-4A2F-B277-0A254CEC521F}"/>
    <cellStyle name="%_Hoja1 3 4 10" xfId="3381" xr:uid="{BCC9E183-BA84-4ACD-B38B-4D7ABEE7BBA4}"/>
    <cellStyle name="%_Hoja1 3 4 11" xfId="3382" xr:uid="{5A6E829E-AB69-49D0-A9A4-F59D57289411}"/>
    <cellStyle name="%_Hoja1 3 4 2" xfId="3383" xr:uid="{1DBA8BF9-FD86-48EE-9097-1C7DE53E0DEC}"/>
    <cellStyle name="%_Hoja1 3 4 3" xfId="3384" xr:uid="{663723A1-49EF-4A48-88E5-FB80B9DB5967}"/>
    <cellStyle name="%_Hoja1 3 4 4" xfId="3385" xr:uid="{CB6FA277-17E1-4C08-8DFD-37698B595AF1}"/>
    <cellStyle name="%_Hoja1 3 4 5" xfId="3386" xr:uid="{4FEAA770-9196-4F6F-8BE6-6C169F73E7C0}"/>
    <cellStyle name="%_Hoja1 3 4 6" xfId="3387" xr:uid="{B31706E4-4790-431A-8262-5FDF142D9C9C}"/>
    <cellStyle name="%_Hoja1 3 4 7" xfId="3388" xr:uid="{47D3937E-A35B-46B6-A9EE-94292875BF46}"/>
    <cellStyle name="%_Hoja1 3 4 8" xfId="3389" xr:uid="{5409C057-A257-4F8B-9355-7CB453EB20DE}"/>
    <cellStyle name="%_Hoja1 3 4 9" xfId="3390" xr:uid="{DE2CD55D-835E-4FA1-94E4-0D3BBCD50D29}"/>
    <cellStyle name="%_Hoja1 3 5" xfId="3391" xr:uid="{08400867-9545-466D-862F-64C4F205504F}"/>
    <cellStyle name="%_Hoja1 3 5 2" xfId="3392" xr:uid="{6F2F70E3-51ED-4AA2-850C-5BA114E72AB9}"/>
    <cellStyle name="%_Hoja1 3 5 3" xfId="3393" xr:uid="{C76EC203-957E-45F8-B408-4588BD773F4D}"/>
    <cellStyle name="%_Hoja1 3 5 4" xfId="3394" xr:uid="{B095253A-3E50-401C-BDA4-C721C3A3CEED}"/>
    <cellStyle name="%_Hoja1 3 5 5" xfId="3395" xr:uid="{71E59E40-C9FE-472B-BDAB-BB847E42CC64}"/>
    <cellStyle name="%_Hoja1 3 5 6" xfId="3396" xr:uid="{FDBB27A4-412C-49F9-B43C-B408889F1464}"/>
    <cellStyle name="%_Hoja1 3 5 7" xfId="3397" xr:uid="{6B9387CE-FF66-4238-8C56-205F0174EBCB}"/>
    <cellStyle name="%_Hoja1 3 6" xfId="3398" xr:uid="{86C9BCEF-8904-4263-93A3-F003DD32AD82}"/>
    <cellStyle name="%_Hoja1 3 6 2" xfId="3399" xr:uid="{14C05CAB-3416-4417-9C40-3FCD9327D9D4}"/>
    <cellStyle name="%_Hoja1 3 6 3" xfId="3400" xr:uid="{BE9DEA7E-8D98-4C8A-AB7A-8C0AC1262207}"/>
    <cellStyle name="%_Hoja1 3 6 4" xfId="3401" xr:uid="{500593AE-4C12-4E48-A4F5-3C5ACB9E8F8E}"/>
    <cellStyle name="%_Hoja1 3 6 5" xfId="3402" xr:uid="{6E74EE16-9712-40B2-892E-485C8DFC996C}"/>
    <cellStyle name="%_Hoja1 3 6 6" xfId="3403" xr:uid="{653C9C0D-470C-4F54-A040-19FF79DA546B}"/>
    <cellStyle name="%_Hoja1 3 6 7" xfId="3404" xr:uid="{B5DF3D06-5D3E-47BC-8CE1-5E99F3FC00F0}"/>
    <cellStyle name="%_Hoja1 3 7" xfId="3405" xr:uid="{5F2E0920-2E53-4E68-A4B1-F249AC428381}"/>
    <cellStyle name="%_Hoja1 3 8" xfId="3406" xr:uid="{4A20C427-6FB9-4924-8C96-6F97C80CA554}"/>
    <cellStyle name="%_Hoja1 3 9" xfId="3407" xr:uid="{34A431BE-0009-4FB9-9A3F-B6F6CDFBA146}"/>
    <cellStyle name="%_Hoja1 4" xfId="3408" xr:uid="{7B4A0EC6-093A-4ED0-AD96-D099695F2355}"/>
    <cellStyle name="%_Hoja1 4 10" xfId="3409" xr:uid="{FEC097DE-10C8-40B1-9979-70D5D814AFEB}"/>
    <cellStyle name="%_Hoja1 4 11" xfId="3410" xr:uid="{25B24313-F3A3-4201-96B7-F1740FCF48E2}"/>
    <cellStyle name="%_Hoja1 4 12" xfId="3411" xr:uid="{D0C2A8E0-D30B-40AF-B715-6D52E57C3BD9}"/>
    <cellStyle name="%_Hoja1 4 13" xfId="3412" xr:uid="{2A1E0EA5-49BA-4F1E-BC79-4892B9F8B887}"/>
    <cellStyle name="%_Hoja1 4 2" xfId="3413" xr:uid="{ED25AE35-D10E-49BD-A73F-ED0AC0FD51D6}"/>
    <cellStyle name="%_Hoja1 4 2 2" xfId="3414" xr:uid="{1B5B3E19-68EE-4FCD-B838-2F875E5F3EDE}"/>
    <cellStyle name="%_Hoja1 4 2 3" xfId="3415" xr:uid="{151A2188-5D5B-4691-AD95-021B1D57F2CF}"/>
    <cellStyle name="%_Hoja1 4 2 4" xfId="3416" xr:uid="{EF7439AD-C9C8-4D49-90F8-9D78699F4E10}"/>
    <cellStyle name="%_Hoja1 4 2 5" xfId="3417" xr:uid="{02FCA654-3EE8-411F-B5DE-E25C85B07D93}"/>
    <cellStyle name="%_Hoja1 4 2 6" xfId="3418" xr:uid="{3A841487-FC2F-409E-B533-AD28A6E9AD3E}"/>
    <cellStyle name="%_Hoja1 4 2 7" xfId="3419" xr:uid="{73E71E15-4555-4774-BCEE-2968C3452DBC}"/>
    <cellStyle name="%_Hoja1 4 3" xfId="3420" xr:uid="{635FD3CC-EB57-4B2A-8FF8-6D322B0F9001}"/>
    <cellStyle name="%_Hoja1 4 3 2" xfId="3421" xr:uid="{E867585E-6B23-42CE-96F3-9A1D100F9010}"/>
    <cellStyle name="%_Hoja1 4 3 3" xfId="3422" xr:uid="{B30F0893-D708-455C-B04F-4A904DB2AA8A}"/>
    <cellStyle name="%_Hoja1 4 3 4" xfId="3423" xr:uid="{38354098-5C62-457B-80EF-31281FF7AE0C}"/>
    <cellStyle name="%_Hoja1 4 3 5" xfId="3424" xr:uid="{4920E747-D876-4582-A4C9-516212DBBF9B}"/>
    <cellStyle name="%_Hoja1 4 3 6" xfId="3425" xr:uid="{D7BE7E72-2B4A-474B-9131-3FD12803EF47}"/>
    <cellStyle name="%_Hoja1 4 3 7" xfId="3426" xr:uid="{316A2114-B45B-443D-B784-5CEF27BA220A}"/>
    <cellStyle name="%_Hoja1 4 4" xfId="3427" xr:uid="{FC2A7C39-07A8-4B72-B52E-93C501B03D11}"/>
    <cellStyle name="%_Hoja1 4 5" xfId="3428" xr:uid="{D736C182-D95D-4DEC-8C4B-423ED694384B}"/>
    <cellStyle name="%_Hoja1 4 6" xfId="3429" xr:uid="{CEA0AB58-9408-492F-AC03-86FF1EEA0FCD}"/>
    <cellStyle name="%_Hoja1 4 7" xfId="3430" xr:uid="{9AD518DD-F50C-4540-9A38-EC5BE9E6C436}"/>
    <cellStyle name="%_Hoja1 4 8" xfId="3431" xr:uid="{676CAC86-5044-4FDA-AB82-275ED817C8A7}"/>
    <cellStyle name="%_Hoja1 4 9" xfId="3432" xr:uid="{57E40284-5B77-4288-B949-31513BC78402}"/>
    <cellStyle name="%_Hoja1 5" xfId="3433" xr:uid="{F38595F6-D69F-459B-A46A-89846C5DDE98}"/>
    <cellStyle name="%_Hoja1 5 10" xfId="3434" xr:uid="{CAD19381-F13B-464E-BEE1-920D1C99078A}"/>
    <cellStyle name="%_Hoja1 5 11" xfId="3435" xr:uid="{69C79C09-75E0-4F9B-8D86-844F1EDC84BF}"/>
    <cellStyle name="%_Hoja1 5 12" xfId="3436" xr:uid="{6D06ED0B-60BB-45AE-9F78-3673EE2F1137}"/>
    <cellStyle name="%_Hoja1 5 13" xfId="3437" xr:uid="{32B34DE8-87BD-487A-B34D-DC8A12024A51}"/>
    <cellStyle name="%_Hoja1 5 2" xfId="3438" xr:uid="{153C22DC-A6B5-474C-8E80-4A19DCF37FC4}"/>
    <cellStyle name="%_Hoja1 5 2 2" xfId="3439" xr:uid="{8E552E1D-E954-4557-9E15-5631F4B8E247}"/>
    <cellStyle name="%_Hoja1 5 2 3" xfId="3440" xr:uid="{585EE5D7-03A6-42B1-8C8C-3543AC682534}"/>
    <cellStyle name="%_Hoja1 5 2 4" xfId="3441" xr:uid="{84C7B366-4913-4AC5-BE19-CF7A2D06EC64}"/>
    <cellStyle name="%_Hoja1 5 2 5" xfId="3442" xr:uid="{EED9147B-A2D3-4F55-A8C0-12536D4264BF}"/>
    <cellStyle name="%_Hoja1 5 2 6" xfId="3443" xr:uid="{9BF2A248-A8D1-4C37-BE2B-2C90D5B789A6}"/>
    <cellStyle name="%_Hoja1 5 2 7" xfId="3444" xr:uid="{B156239C-F9B9-4F48-9251-2FABC55DDADD}"/>
    <cellStyle name="%_Hoja1 5 3" xfId="3445" xr:uid="{A82FD7AD-ECD7-49DE-BF8C-FE00ADE4E5CA}"/>
    <cellStyle name="%_Hoja1 5 3 2" xfId="3446" xr:uid="{CB3E4C97-5EB8-44FC-B2D5-1D651573A39D}"/>
    <cellStyle name="%_Hoja1 5 3 3" xfId="3447" xr:uid="{25BB6B1D-B9BF-4FE6-87DA-3DDD80988460}"/>
    <cellStyle name="%_Hoja1 5 3 4" xfId="3448" xr:uid="{4EB5E08D-AAE6-4BCB-9DBE-7F0948FCBF6B}"/>
    <cellStyle name="%_Hoja1 5 3 5" xfId="3449" xr:uid="{9866C1DD-BE65-4CBD-B1A9-F6FA323D7692}"/>
    <cellStyle name="%_Hoja1 5 3 6" xfId="3450" xr:uid="{F1E2632A-4D92-4799-9866-6F376C935D75}"/>
    <cellStyle name="%_Hoja1 5 3 7" xfId="3451" xr:uid="{5A147225-5223-4E66-9C8E-2504DD26F871}"/>
    <cellStyle name="%_Hoja1 5 4" xfId="3452" xr:uid="{7C778DD0-4EFC-4741-827C-37607B47970C}"/>
    <cellStyle name="%_Hoja1 5 5" xfId="3453" xr:uid="{BF15C096-FBC8-4A7E-BB44-E93BE77938E3}"/>
    <cellStyle name="%_Hoja1 5 6" xfId="3454" xr:uid="{31F5789F-6997-4E08-BBB8-2CA018234997}"/>
    <cellStyle name="%_Hoja1 5 7" xfId="3455" xr:uid="{765A6B86-36AA-488F-84D5-08E0B3B8FD23}"/>
    <cellStyle name="%_Hoja1 5 8" xfId="3456" xr:uid="{E469B377-B573-43FA-9767-2CA14E9BBCFB}"/>
    <cellStyle name="%_Hoja1 5 9" xfId="3457" xr:uid="{8C62C1A7-728F-4114-9532-42BE6393207E}"/>
    <cellStyle name="%_Hoja1 6" xfId="3458" xr:uid="{CAC64435-59B2-41D5-8AE2-770D16EA900C}"/>
    <cellStyle name="%_Hoja1 6 10" xfId="3459" xr:uid="{2BA6AA84-24DD-4B54-8813-FA6F1DA2E724}"/>
    <cellStyle name="%_Hoja1 6 11" xfId="3460" xr:uid="{89C74A2B-A485-4126-9499-A77A9DC8AF25}"/>
    <cellStyle name="%_Hoja1 6 12" xfId="3461" xr:uid="{00D55332-74E6-4FA3-B6DC-9C507044291D}"/>
    <cellStyle name="%_Hoja1 6 13" xfId="3462" xr:uid="{112B684F-9D0B-4A8B-9C2B-0CEDA6FB760A}"/>
    <cellStyle name="%_Hoja1 6 2" xfId="3463" xr:uid="{055B1E81-5A45-4666-A53C-819997D0864C}"/>
    <cellStyle name="%_Hoja1 6 2 2" xfId="3464" xr:uid="{BA51061F-1D19-4FD4-93D4-6DCBA0611D2E}"/>
    <cellStyle name="%_Hoja1 6 2 3" xfId="3465" xr:uid="{C43A3E4B-A0D4-4B21-93B2-C5427FF696B6}"/>
    <cellStyle name="%_Hoja1 6 2 4" xfId="3466" xr:uid="{1DA17383-E48B-456D-803B-84456158DD80}"/>
    <cellStyle name="%_Hoja1 6 2 5" xfId="3467" xr:uid="{3DE16078-8166-4EF0-96C4-C733635C9278}"/>
    <cellStyle name="%_Hoja1 6 2 6" xfId="3468" xr:uid="{AF3970AB-D241-4780-82FA-09C217C08C4C}"/>
    <cellStyle name="%_Hoja1 6 2 7" xfId="3469" xr:uid="{268252B3-843D-470C-8C11-89B444F3F971}"/>
    <cellStyle name="%_Hoja1 6 3" xfId="3470" xr:uid="{F8C2EA36-9A97-4555-99C4-235874870D5C}"/>
    <cellStyle name="%_Hoja1 6 3 2" xfId="3471" xr:uid="{28BAB262-AC3C-4406-8413-E310B11A4986}"/>
    <cellStyle name="%_Hoja1 6 3 3" xfId="3472" xr:uid="{568383A4-8580-44D8-BF49-DAB779F2F2FD}"/>
    <cellStyle name="%_Hoja1 6 3 4" xfId="3473" xr:uid="{CE6EA5E5-A077-4DE2-BFAE-81D1C79821B1}"/>
    <cellStyle name="%_Hoja1 6 3 5" xfId="3474" xr:uid="{54153ED1-527D-4946-AAC3-70AADCF09A6B}"/>
    <cellStyle name="%_Hoja1 6 3 6" xfId="3475" xr:uid="{1A93395F-2EBA-4FFE-8984-92C984E5EB6E}"/>
    <cellStyle name="%_Hoja1 6 3 7" xfId="3476" xr:uid="{B5C1CA66-936A-491C-83F5-5340ACAFC3D7}"/>
    <cellStyle name="%_Hoja1 6 4" xfId="3477" xr:uid="{8690DBFA-65F8-40FC-A7AC-720356D3C456}"/>
    <cellStyle name="%_Hoja1 6 5" xfId="3478" xr:uid="{69598480-B2FC-4393-BCF2-5E4CDAB19701}"/>
    <cellStyle name="%_Hoja1 6 6" xfId="3479" xr:uid="{1810687B-A620-4BD7-8E36-F34B39895326}"/>
    <cellStyle name="%_Hoja1 6 7" xfId="3480" xr:uid="{4787350C-2E57-476B-9F55-536FC1FA747F}"/>
    <cellStyle name="%_Hoja1 6 8" xfId="3481" xr:uid="{5D29199A-5387-4F91-9C99-87BB3EF31072}"/>
    <cellStyle name="%_Hoja1 6 9" xfId="3482" xr:uid="{556B1347-C341-4E2E-A6A4-882F4C3D6045}"/>
    <cellStyle name="%_Hoja1 7" xfId="3483" xr:uid="{52E2BF7C-466F-413A-AA81-EF8F90548C74}"/>
    <cellStyle name="%_Hoja1 7 2" xfId="3484" xr:uid="{4A9447C9-DA29-440F-95E8-2322C6F5C8BC}"/>
    <cellStyle name="%_Hoja1 7 3" xfId="3485" xr:uid="{F1CAB34C-1B09-4BFE-8278-0BCA673975AB}"/>
    <cellStyle name="%_Hoja1 7 4" xfId="3486" xr:uid="{EBA804AB-60B1-436A-B321-F0AF70C9066A}"/>
    <cellStyle name="%_Hoja1 7 5" xfId="3487" xr:uid="{26F608F6-6F73-4104-B4F6-721ED2816A5A}"/>
    <cellStyle name="%_Hoja1 7 6" xfId="3488" xr:uid="{1A3B8957-FE1D-4DA3-93D2-F5CB45EA86DF}"/>
    <cellStyle name="%_Hoja1 7 7" xfId="3489" xr:uid="{0DED3D33-BD3D-41DE-9B5A-2F9FA587B448}"/>
    <cellStyle name="%_Hoja1 8" xfId="3490" xr:uid="{D22C8A57-7C9D-44A5-BE2D-C5ECFD4F596E}"/>
    <cellStyle name="%_Hoja1 8 2" xfId="3491" xr:uid="{7BA86122-B527-46DC-BBEE-E1BC799CCB8B}"/>
    <cellStyle name="%_Hoja1 8 3" xfId="3492" xr:uid="{A20B1B5B-20E4-49E5-ACD2-5581A76974F2}"/>
    <cellStyle name="%_Hoja1 8 4" xfId="3493" xr:uid="{8AA7E916-BC2F-4077-A4BE-E1B1834BEDC5}"/>
    <cellStyle name="%_Hoja1 8 5" xfId="3494" xr:uid="{A70C11A9-11F8-419D-BD7E-0CE6B67DA804}"/>
    <cellStyle name="%_Hoja1 8 6" xfId="3495" xr:uid="{07132CCE-A76A-4DDD-9F51-D09CEBCA04E0}"/>
    <cellStyle name="%_Hoja1 8 7" xfId="3496" xr:uid="{5B7B3722-D4F4-4941-9814-1DD8C09133EB}"/>
    <cellStyle name="%_Hoja1 9" xfId="3497" xr:uid="{EAAB00DF-02C7-45EA-9BF2-BC5EF930896C}"/>
    <cellStyle name="%_NUEVA PROGRAMACION" xfId="3498" xr:uid="{3551B7EC-BECB-4CC3-B404-FD14BD5906C1}"/>
    <cellStyle name="%_NUEVA PROGRAMACION 10" xfId="3499" xr:uid="{183C0BF9-F6F9-4314-A7A8-AC124AA8B9BE}"/>
    <cellStyle name="%_NUEVA PROGRAMACION 11" xfId="3500" xr:uid="{588D4A39-CACE-40B0-BBFB-541C0A152288}"/>
    <cellStyle name="%_NUEVA PROGRAMACION 2" xfId="3501" xr:uid="{5BCC58F6-F548-4449-A754-25A3B4527730}"/>
    <cellStyle name="%_NUEVA PROGRAMACION 3" xfId="3502" xr:uid="{A5168D70-8E68-46C9-8C20-0FFEBD4464E6}"/>
    <cellStyle name="%_NUEVA PROGRAMACION 4" xfId="3503" xr:uid="{3719C323-32F6-495E-B838-1F53A2DAD7A8}"/>
    <cellStyle name="%_NUEVA PROGRAMACION 5" xfId="3504" xr:uid="{D268748C-A8AD-4D68-9329-B3ADBE43750D}"/>
    <cellStyle name="%_NUEVA PROGRAMACION 6" xfId="3505" xr:uid="{D61DE3FC-9B50-4D9C-8C68-76E4B7332B9C}"/>
    <cellStyle name="%_NUEVA PROGRAMACION 7" xfId="3506" xr:uid="{4C701224-AAD1-4E72-905F-A02A94CCB781}"/>
    <cellStyle name="%_NUEVA PROGRAMACION 8" xfId="3507" xr:uid="{523DE50C-25B7-4052-9195-CF976B96FEF7}"/>
    <cellStyle name="%_NUEVA PROGRAMACION 9" xfId="3508" xr:uid="{B7DE153E-9602-4076-BA64-1290ED43E775}"/>
    <cellStyle name="_SOLICITUD PARAMETROS " xfId="3509" xr:uid="{5387FE06-6510-4382-802F-2C6ADD75DFDA}"/>
    <cellStyle name="_SOLICITUD PARAMETROS  10" xfId="3510" xr:uid="{DA3553DE-2C3A-4E7D-929E-768B2FF90E2D}"/>
    <cellStyle name="_SOLICITUD PARAMETROS  2" xfId="3511" xr:uid="{0598421E-4E33-49A8-8D0A-1733B70667B1}"/>
    <cellStyle name="_SOLICITUD PARAMETROS  2 10" xfId="3512" xr:uid="{A212B21F-BC67-4760-A3C4-2B2271FAC284}"/>
    <cellStyle name="_SOLICITUD PARAMETROS  2 11" xfId="3513" xr:uid="{EFBED209-5887-478D-A6E1-7BC554D20445}"/>
    <cellStyle name="_SOLICITUD PARAMETROS  2 12" xfId="3514" xr:uid="{4A54D791-C57C-4DAB-A740-ED28C0677F45}"/>
    <cellStyle name="_SOLICITUD PARAMETROS  2 13" xfId="3515" xr:uid="{8074393F-8467-4DB0-9024-4DDF0AFB24D2}"/>
    <cellStyle name="_SOLICITUD PARAMETROS  2 14" xfId="3516" xr:uid="{86365ED0-BDBC-4A5E-8E94-06C208502AF7}"/>
    <cellStyle name="_SOLICITUD PARAMETROS  2 15" xfId="3517" xr:uid="{08BFDA7A-1C25-4E07-B1CB-93369A86DBA8}"/>
    <cellStyle name="_SOLICITUD PARAMETROS  2 16" xfId="3518" xr:uid="{EDFFD3E6-E3BE-4049-8C0A-E4A3C8268168}"/>
    <cellStyle name="_SOLICITUD PARAMETROS  2 2" xfId="3519" xr:uid="{00A378CA-5E97-43E9-B5AA-37504150C2D5}"/>
    <cellStyle name="_SOLICITUD PARAMETROS  2 2 10" xfId="3520" xr:uid="{4B1D87DC-53D3-4B5D-B032-646D6E7C8ABA}"/>
    <cellStyle name="_SOLICITUD PARAMETROS  2 2 11" xfId="3521" xr:uid="{27ADD979-97D5-4FE5-AA8A-F61795CC6A7E}"/>
    <cellStyle name="_SOLICITUD PARAMETROS  2 2 2" xfId="3522" xr:uid="{CABFF4DC-0EE8-4737-BC45-9AEE982DDDB6}"/>
    <cellStyle name="_SOLICITUD PARAMETROS  2 2 3" xfId="3523" xr:uid="{B068B1ED-C86E-42FF-A439-ED5581C53C1E}"/>
    <cellStyle name="_SOLICITUD PARAMETROS  2 2 4" xfId="3524" xr:uid="{88093ACF-A760-4BC6-81FA-8C495D64BD8C}"/>
    <cellStyle name="_SOLICITUD PARAMETROS  2 2 5" xfId="3525" xr:uid="{CAE6AF1B-B5BF-4676-94FD-8DD0CAE08DD0}"/>
    <cellStyle name="_SOLICITUD PARAMETROS  2 2 6" xfId="3526" xr:uid="{7AB24439-7403-464D-ACAC-3144435F94C5}"/>
    <cellStyle name="_SOLICITUD PARAMETROS  2 2 7" xfId="3527" xr:uid="{6AADBDB2-A1AD-4C04-A5A3-EE98B37229CD}"/>
    <cellStyle name="_SOLICITUD PARAMETROS  2 2 8" xfId="3528" xr:uid="{C3B2945D-38FA-47EB-ABDC-F0355660C1C7}"/>
    <cellStyle name="_SOLICITUD PARAMETROS  2 2 9" xfId="3529" xr:uid="{F29BF495-7177-46D5-8471-20ACC1E1EA81}"/>
    <cellStyle name="_SOLICITUD PARAMETROS  2 3" xfId="3530" xr:uid="{EEE802B9-850F-49DE-BBEB-A0F26C574101}"/>
    <cellStyle name="_SOLICITUD PARAMETROS  2 3 10" xfId="3531" xr:uid="{D0E6ADB4-533C-4C0B-9561-D3C09D8E504B}"/>
    <cellStyle name="_SOLICITUD PARAMETROS  2 3 11" xfId="3532" xr:uid="{895AFF9F-4B62-44AA-9C14-292B98CCD46A}"/>
    <cellStyle name="_SOLICITUD PARAMETROS  2 3 2" xfId="3533" xr:uid="{324D0801-2066-4C2A-80CE-6A7457E2F238}"/>
    <cellStyle name="_SOLICITUD PARAMETROS  2 3 3" xfId="3534" xr:uid="{65751FB8-7160-469E-A142-DA84246A40AB}"/>
    <cellStyle name="_SOLICITUD PARAMETROS  2 3 4" xfId="3535" xr:uid="{7F777B43-7E82-44C3-8C36-BAF02427DEB8}"/>
    <cellStyle name="_SOLICITUD PARAMETROS  2 3 5" xfId="3536" xr:uid="{6833D0B7-2ED5-4FA6-B8B9-ED3ED06FE724}"/>
    <cellStyle name="_SOLICITUD PARAMETROS  2 3 6" xfId="3537" xr:uid="{8F64B384-889E-458A-8956-ACF7DA82B0AA}"/>
    <cellStyle name="_SOLICITUD PARAMETROS  2 3 7" xfId="3538" xr:uid="{BF9B83C2-C474-4E4B-A935-62095E9C50D2}"/>
    <cellStyle name="_SOLICITUD PARAMETROS  2 3 8" xfId="3539" xr:uid="{50227E43-BDC9-40F9-9ECB-086084B907B8}"/>
    <cellStyle name="_SOLICITUD PARAMETROS  2 3 9" xfId="3540" xr:uid="{4669C89A-28E2-419D-9FDD-E7015E8DD765}"/>
    <cellStyle name="_SOLICITUD PARAMETROS  2 4" xfId="3541" xr:uid="{26C370A6-65BE-4192-A997-28256307EC98}"/>
    <cellStyle name="_SOLICITUD PARAMETROS  2 4 10" xfId="3542" xr:uid="{A44AEB7C-A7B4-4C76-8B78-42EF83C25B5D}"/>
    <cellStyle name="_SOLICITUD PARAMETROS  2 4 11" xfId="3543" xr:uid="{C507D1D2-C535-4633-8BE2-0F980894D989}"/>
    <cellStyle name="_SOLICITUD PARAMETROS  2 4 2" xfId="3544" xr:uid="{0ECB9215-4F31-4E80-A5D7-A84D003445C6}"/>
    <cellStyle name="_SOLICITUD PARAMETROS  2 4 3" xfId="3545" xr:uid="{B9DF49D1-E91B-4485-8E9B-956942100391}"/>
    <cellStyle name="_SOLICITUD PARAMETROS  2 4 4" xfId="3546" xr:uid="{2FCBF0A6-9FBC-4220-8AB5-11ECCDF7312B}"/>
    <cellStyle name="_SOLICITUD PARAMETROS  2 4 5" xfId="3547" xr:uid="{C850B17E-6B71-4C5C-B3CA-4A5D2191FEA1}"/>
    <cellStyle name="_SOLICITUD PARAMETROS  2 4 6" xfId="3548" xr:uid="{EF29E947-2B1F-47B4-B525-DC6533C82F71}"/>
    <cellStyle name="_SOLICITUD PARAMETROS  2 4 7" xfId="3549" xr:uid="{554B266F-B019-41C4-A9F4-758F7526BD76}"/>
    <cellStyle name="_SOLICITUD PARAMETROS  2 4 8" xfId="3550" xr:uid="{98D5ABE9-A57F-4057-A87F-278D0D9F5C21}"/>
    <cellStyle name="_SOLICITUD PARAMETROS  2 4 9" xfId="3551" xr:uid="{2AE47A10-AD5C-43A8-BBA1-DD01BBF795C5}"/>
    <cellStyle name="_SOLICITUD PARAMETROS  2 5" xfId="3552" xr:uid="{B00990B2-91BB-44B2-999D-066FE4FD6F9C}"/>
    <cellStyle name="_SOLICITUD PARAMETROS  2 5 2" xfId="3553" xr:uid="{33D5516F-3795-4165-B358-8EAD2E45BBB4}"/>
    <cellStyle name="_SOLICITUD PARAMETROS  2 5 3" xfId="3554" xr:uid="{77A7131F-DD01-4EC5-AAD9-CA4033CB8CA8}"/>
    <cellStyle name="_SOLICITUD PARAMETROS  2 5 4" xfId="3555" xr:uid="{A98D1912-E695-4F4A-92C2-1622E2038C56}"/>
    <cellStyle name="_SOLICITUD PARAMETROS  2 5 5" xfId="3556" xr:uid="{43094C00-E34D-4CBD-B05C-BB344A952A62}"/>
    <cellStyle name="_SOLICITUD PARAMETROS  2 5 6" xfId="3557" xr:uid="{D4FB2AA1-AB3E-4E0B-AED3-8E1F96CE7048}"/>
    <cellStyle name="_SOLICITUD PARAMETROS  2 5 7" xfId="3558" xr:uid="{C6BEC45B-A86B-45E8-BEEF-E036E92B5907}"/>
    <cellStyle name="_SOLICITUD PARAMETROS  2 6" xfId="3559" xr:uid="{AD6BEEF0-87B3-4A99-80A1-6F738DE7E670}"/>
    <cellStyle name="_SOLICITUD PARAMETROS  2 6 2" xfId="3560" xr:uid="{C2F72E01-D3AF-4AB3-BCA9-7E322CF03537}"/>
    <cellStyle name="_SOLICITUD PARAMETROS  2 6 3" xfId="3561" xr:uid="{5325F34D-6D5D-4D2A-A970-3B99D6C1BB5E}"/>
    <cellStyle name="_SOLICITUD PARAMETROS  2 6 4" xfId="3562" xr:uid="{0897CA6C-ED0C-4702-80C2-B0A0967836AF}"/>
    <cellStyle name="_SOLICITUD PARAMETROS  2 6 5" xfId="3563" xr:uid="{26D44C28-B2B4-406A-9B2F-070F9FE2C0A7}"/>
    <cellStyle name="_SOLICITUD PARAMETROS  2 6 6" xfId="3564" xr:uid="{C32A2B57-A323-4AB1-9A5F-C736492E6E47}"/>
    <cellStyle name="_SOLICITUD PARAMETROS  2 6 7" xfId="3565" xr:uid="{AC9D78EE-00D2-41E0-8BAE-D89BD2BECFD7}"/>
    <cellStyle name="_SOLICITUD PARAMETROS  2 7" xfId="3566" xr:uid="{B762A7BA-85D3-4485-9AE1-A2CB7781235C}"/>
    <cellStyle name="_SOLICITUD PARAMETROS  2 8" xfId="3567" xr:uid="{001D544B-9AE7-4365-9DA8-F9C7583D6E3D}"/>
    <cellStyle name="_SOLICITUD PARAMETROS  2 9" xfId="3568" xr:uid="{2F23DAFF-DF42-4EBF-BC9A-1EC1677D53D8}"/>
    <cellStyle name="_SOLICITUD PARAMETROS  3" xfId="3569" xr:uid="{CD455659-F410-4C50-9E24-4967F96A973A}"/>
    <cellStyle name="_SOLICITUD PARAMETROS  3 10" xfId="3570" xr:uid="{997F96BC-D508-4DC8-A665-1948336EA928}"/>
    <cellStyle name="_SOLICITUD PARAMETROS  3 11" xfId="3571" xr:uid="{D801CF9B-E9DA-479F-8DCB-D02629965067}"/>
    <cellStyle name="_SOLICITUD PARAMETROS  3 12" xfId="3572" xr:uid="{2F961163-CAB2-49BC-9E8A-66577C69BC66}"/>
    <cellStyle name="_SOLICITUD PARAMETROS  3 13" xfId="3573" xr:uid="{A2B5DC34-DFB2-421C-959D-6519B5E67F15}"/>
    <cellStyle name="_SOLICITUD PARAMETROS  3 14" xfId="3574" xr:uid="{98CC9620-7D86-48FF-81C3-0C51F0A2E9DD}"/>
    <cellStyle name="_SOLICITUD PARAMETROS  3 15" xfId="3575" xr:uid="{2FA00B49-D5BE-422C-8930-A69EE5D220BC}"/>
    <cellStyle name="_SOLICITUD PARAMETROS  3 16" xfId="3576" xr:uid="{15835FA9-B22F-443A-9588-85966BE155B1}"/>
    <cellStyle name="_SOLICITUD PARAMETROS  3 2" xfId="3577" xr:uid="{997DF1E1-014A-4013-923B-2BCE837DC065}"/>
    <cellStyle name="_SOLICITUD PARAMETROS  3 2 10" xfId="3578" xr:uid="{2506AF9D-EEFF-4A76-8843-9CA9E3593811}"/>
    <cellStyle name="_SOLICITUD PARAMETROS  3 2 11" xfId="3579" xr:uid="{2880D2B9-9E9B-4E8C-BD8B-F4A4D3EC3AAB}"/>
    <cellStyle name="_SOLICITUD PARAMETROS  3 2 2" xfId="3580" xr:uid="{02972294-427D-4DC2-B09A-9B892F913E96}"/>
    <cellStyle name="_SOLICITUD PARAMETROS  3 2 3" xfId="3581" xr:uid="{91EC0265-3076-4921-B558-48E3F689E12A}"/>
    <cellStyle name="_SOLICITUD PARAMETROS  3 2 4" xfId="3582" xr:uid="{F4118EAD-B0D6-4BC6-B8D3-78910C8BEC6D}"/>
    <cellStyle name="_SOLICITUD PARAMETROS  3 2 5" xfId="3583" xr:uid="{78AA110F-462B-488A-AC7D-9BEFDB802D69}"/>
    <cellStyle name="_SOLICITUD PARAMETROS  3 2 6" xfId="3584" xr:uid="{0F7E7599-21BE-49DA-83BF-E92B818CEA7D}"/>
    <cellStyle name="_SOLICITUD PARAMETROS  3 2 7" xfId="3585" xr:uid="{7BCA64E2-2DC3-4980-B80E-F51C565AC008}"/>
    <cellStyle name="_SOLICITUD PARAMETROS  3 2 8" xfId="3586" xr:uid="{FFE12CBF-0373-4E3C-AE2E-0A5E450F2FE5}"/>
    <cellStyle name="_SOLICITUD PARAMETROS  3 2 9" xfId="3587" xr:uid="{49F3CF07-B00B-4363-B76D-85DB45249525}"/>
    <cellStyle name="_SOLICITUD PARAMETROS  3 3" xfId="3588" xr:uid="{DEC64207-662B-4158-9AE5-9BEC0F4D7DA2}"/>
    <cellStyle name="_SOLICITUD PARAMETROS  3 3 10" xfId="3589" xr:uid="{B5A85929-86EE-444C-89BB-A1BE532C047D}"/>
    <cellStyle name="_SOLICITUD PARAMETROS  3 3 11" xfId="3590" xr:uid="{7B191303-FD6F-4DE5-854E-3072444E5167}"/>
    <cellStyle name="_SOLICITUD PARAMETROS  3 3 2" xfId="3591" xr:uid="{BAB17F41-F7DE-48F7-87B7-CCA9BB149E66}"/>
    <cellStyle name="_SOLICITUD PARAMETROS  3 3 3" xfId="3592" xr:uid="{D68E1708-82F5-4957-A9B9-71C7851335BA}"/>
    <cellStyle name="_SOLICITUD PARAMETROS  3 3 4" xfId="3593" xr:uid="{E0DD10EA-DF3F-4061-892B-E3B7B0E08DB9}"/>
    <cellStyle name="_SOLICITUD PARAMETROS  3 3 5" xfId="3594" xr:uid="{FCC7F68B-E15A-4ED5-8774-D0ABCC5FF05B}"/>
    <cellStyle name="_SOLICITUD PARAMETROS  3 3 6" xfId="3595" xr:uid="{4A89F014-6BF9-4011-88EF-FA6748C9D796}"/>
    <cellStyle name="_SOLICITUD PARAMETROS  3 3 7" xfId="3596" xr:uid="{62FD69D4-0F5D-464B-8B91-65911AAA1619}"/>
    <cellStyle name="_SOLICITUD PARAMETROS  3 3 8" xfId="3597" xr:uid="{91126A73-DD83-4735-B156-6FB0DD650917}"/>
    <cellStyle name="_SOLICITUD PARAMETROS  3 3 9" xfId="3598" xr:uid="{A378D84F-6879-43B9-803F-C15A6C0189CD}"/>
    <cellStyle name="_SOLICITUD PARAMETROS  3 4" xfId="3599" xr:uid="{EA1EE91B-8BA1-4BE8-992B-38C859901694}"/>
    <cellStyle name="_SOLICITUD PARAMETROS  3 4 10" xfId="3600" xr:uid="{0A71E348-1ECD-45D3-A6A6-10E6E20B252B}"/>
    <cellStyle name="_SOLICITUD PARAMETROS  3 4 11" xfId="3601" xr:uid="{48C8604B-0311-49C4-8FB8-23EE7BAA491F}"/>
    <cellStyle name="_SOLICITUD PARAMETROS  3 4 2" xfId="3602" xr:uid="{89C70B7D-3AD7-4EBD-977E-545E492ECB20}"/>
    <cellStyle name="_SOLICITUD PARAMETROS  3 4 3" xfId="3603" xr:uid="{8CE5C284-8881-46D7-98FD-5C78261AD5D3}"/>
    <cellStyle name="_SOLICITUD PARAMETROS  3 4 4" xfId="3604" xr:uid="{CAE1C8CC-A5FF-423F-9ABE-8521452D7865}"/>
    <cellStyle name="_SOLICITUD PARAMETROS  3 4 5" xfId="3605" xr:uid="{735FDD3B-6E3F-45EE-9210-B9F486412979}"/>
    <cellStyle name="_SOLICITUD PARAMETROS  3 4 6" xfId="3606" xr:uid="{9CB18C87-0860-431F-9CD7-70F4C5EF5187}"/>
    <cellStyle name="_SOLICITUD PARAMETROS  3 4 7" xfId="3607" xr:uid="{E3FD944C-6FD9-4493-860C-B5499430D075}"/>
    <cellStyle name="_SOLICITUD PARAMETROS  3 4 8" xfId="3608" xr:uid="{AEF289B3-0B37-4A98-8C53-D83953F60424}"/>
    <cellStyle name="_SOLICITUD PARAMETROS  3 4 9" xfId="3609" xr:uid="{C1698508-C42E-45D0-A5F5-25AC26433E78}"/>
    <cellStyle name="_SOLICITUD PARAMETROS  3 5" xfId="3610" xr:uid="{F002E0DB-2D0C-43FD-828B-2B2C071E5D0B}"/>
    <cellStyle name="_SOLICITUD PARAMETROS  3 5 2" xfId="3611" xr:uid="{3D10C9F9-0D02-4DBC-B4B6-7FFE6AC59F65}"/>
    <cellStyle name="_SOLICITUD PARAMETROS  3 5 3" xfId="3612" xr:uid="{84971ECF-B7FC-4E8C-9D0C-95806763C3E1}"/>
    <cellStyle name="_SOLICITUD PARAMETROS  3 5 4" xfId="3613" xr:uid="{70AC638C-3436-499E-861F-29BB12526C47}"/>
    <cellStyle name="_SOLICITUD PARAMETROS  3 5 5" xfId="3614" xr:uid="{42D56A67-C24F-4598-B4CB-6FA208DEBC75}"/>
    <cellStyle name="_SOLICITUD PARAMETROS  3 5 6" xfId="3615" xr:uid="{1F254DC7-DD80-4458-B5E0-34C18D45C633}"/>
    <cellStyle name="_SOLICITUD PARAMETROS  3 5 7" xfId="3616" xr:uid="{C66B4ABE-3BE7-4963-9543-41A1D2CF1431}"/>
    <cellStyle name="_SOLICITUD PARAMETROS  3 6" xfId="3617" xr:uid="{3620F536-98AA-4C2B-89C5-D96162579E60}"/>
    <cellStyle name="_SOLICITUD PARAMETROS  3 6 2" xfId="3618" xr:uid="{63B2CBFE-F03B-4D9B-B926-FDCB764F1C8F}"/>
    <cellStyle name="_SOLICITUD PARAMETROS  3 6 3" xfId="3619" xr:uid="{D82F53CF-6056-4716-9853-674C46DCD9B5}"/>
    <cellStyle name="_SOLICITUD PARAMETROS  3 6 4" xfId="3620" xr:uid="{B758EAF7-1D7D-4E5B-A580-1807A7C2048D}"/>
    <cellStyle name="_SOLICITUD PARAMETROS  3 6 5" xfId="3621" xr:uid="{8C23AECA-C157-43CF-B284-6719320F4D24}"/>
    <cellStyle name="_SOLICITUD PARAMETROS  3 6 6" xfId="3622" xr:uid="{65DB0790-D9AF-42AA-9BB2-5FD6BC887078}"/>
    <cellStyle name="_SOLICITUD PARAMETROS  3 6 7" xfId="3623" xr:uid="{E36FA599-9D73-46D0-9828-C34E58818AB9}"/>
    <cellStyle name="_SOLICITUD PARAMETROS  3 7" xfId="3624" xr:uid="{EC5CD8C8-63EC-459E-964A-1E48B585A144}"/>
    <cellStyle name="_SOLICITUD PARAMETROS  3 8" xfId="3625" xr:uid="{7DE9E217-B48B-406C-9832-864DBA2C7726}"/>
    <cellStyle name="_SOLICITUD PARAMETROS  3 9" xfId="3626" xr:uid="{935E8D60-A800-4A1E-8402-B31EA38B2F48}"/>
    <cellStyle name="_SOLICITUD PARAMETROS  4" xfId="3627" xr:uid="{023D93CB-EF48-4688-9AA8-FDE0CC975BDE}"/>
    <cellStyle name="_SOLICITUD PARAMETROS  4 10" xfId="3628" xr:uid="{E89BBF74-3575-438E-9027-B21EBE856CC6}"/>
    <cellStyle name="_SOLICITUD PARAMETROS  4 11" xfId="3629" xr:uid="{0A11D695-037E-4976-89B3-A5D6F3891A8A}"/>
    <cellStyle name="_SOLICITUD PARAMETROS  4 12" xfId="3630" xr:uid="{723D226B-3E20-4B79-8794-EE54C47D37A0}"/>
    <cellStyle name="_SOLICITUD PARAMETROS  4 13" xfId="3631" xr:uid="{31CA7DEE-9F8B-44AA-A298-24935CC8F83D}"/>
    <cellStyle name="_SOLICITUD PARAMETROS  4 2" xfId="3632" xr:uid="{960A8196-D907-4A6C-ACBE-D3812EF407A3}"/>
    <cellStyle name="_SOLICITUD PARAMETROS  4 2 2" xfId="3633" xr:uid="{4721A459-C6B3-4AE5-B09D-DE28A88CBF67}"/>
    <cellStyle name="_SOLICITUD PARAMETROS  4 2 3" xfId="3634" xr:uid="{1335EAA4-D862-46A0-8A19-9F6AED56EAFA}"/>
    <cellStyle name="_SOLICITUD PARAMETROS  4 2 4" xfId="3635" xr:uid="{8084748C-4A3A-4F46-A61C-F7FC703B48C1}"/>
    <cellStyle name="_SOLICITUD PARAMETROS  4 2 5" xfId="3636" xr:uid="{8D97E17E-58F8-4406-8A0E-C705C4A1468B}"/>
    <cellStyle name="_SOLICITUD PARAMETROS  4 2 6" xfId="3637" xr:uid="{FADB52A7-3850-46A6-A675-585D5250A2F0}"/>
    <cellStyle name="_SOLICITUD PARAMETROS  4 2 7" xfId="3638" xr:uid="{27D6838E-9270-47EB-8B85-C21A0CAFC7F7}"/>
    <cellStyle name="_SOLICITUD PARAMETROS  4 3" xfId="3639" xr:uid="{0D7DB4E0-4285-4083-9DCA-94D00579F5A3}"/>
    <cellStyle name="_SOLICITUD PARAMETROS  4 3 2" xfId="3640" xr:uid="{C53C5F0C-A67B-4DC6-9A20-42F98E84C5A9}"/>
    <cellStyle name="_SOLICITUD PARAMETROS  4 3 3" xfId="3641" xr:uid="{482D4EDC-5D01-4B31-8CC9-EE662B89CCC1}"/>
    <cellStyle name="_SOLICITUD PARAMETROS  4 3 4" xfId="3642" xr:uid="{EEF269C2-DD39-465A-99B7-AB27C91BB0F3}"/>
    <cellStyle name="_SOLICITUD PARAMETROS  4 3 5" xfId="3643" xr:uid="{2044A5DF-A83D-43F9-B35C-748BF9FEFE8F}"/>
    <cellStyle name="_SOLICITUD PARAMETROS  4 3 6" xfId="3644" xr:uid="{3F9AEB74-A250-44D5-B8C4-F94A9E16C1AD}"/>
    <cellStyle name="_SOLICITUD PARAMETROS  4 3 7" xfId="3645" xr:uid="{0E4E6B7D-DF1C-4A1A-99FA-A7F5DBB31412}"/>
    <cellStyle name="_SOLICITUD PARAMETROS  4 4" xfId="3646" xr:uid="{8F1AB33B-5C61-48E1-9FCB-C33AD89CE08E}"/>
    <cellStyle name="_SOLICITUD PARAMETROS  4 5" xfId="3647" xr:uid="{DDAC3485-E9B3-4339-A5F6-45BCBB566F94}"/>
    <cellStyle name="_SOLICITUD PARAMETROS  4 6" xfId="3648" xr:uid="{B95736F5-3EF7-4A8B-97BE-F2DD0AB0BD7D}"/>
    <cellStyle name="_SOLICITUD PARAMETROS  4 7" xfId="3649" xr:uid="{16E5F0CE-A2C0-4E45-AB71-760C5A2B2684}"/>
    <cellStyle name="_SOLICITUD PARAMETROS  4 8" xfId="3650" xr:uid="{03CFBC06-53CD-47AE-9100-45F6455CA81D}"/>
    <cellStyle name="_SOLICITUD PARAMETROS  4 9" xfId="3651" xr:uid="{F8BCD653-E69D-4D3B-88C6-4C4A2488A0FE}"/>
    <cellStyle name="_SOLICITUD PARAMETROS  5" xfId="3652" xr:uid="{7E40E138-6B35-494A-8F79-395AC2E81E2D}"/>
    <cellStyle name="_SOLICITUD PARAMETROS  5 10" xfId="3653" xr:uid="{CFADB631-6D23-4FF8-9200-5860D0ACB733}"/>
    <cellStyle name="_SOLICITUD PARAMETROS  5 11" xfId="3654" xr:uid="{546960FB-9733-4FE8-B627-47B3D5251B09}"/>
    <cellStyle name="_SOLICITUD PARAMETROS  5 12" xfId="3655" xr:uid="{EEABFE9C-395B-436B-9F7F-761903376C7D}"/>
    <cellStyle name="_SOLICITUD PARAMETROS  5 13" xfId="3656" xr:uid="{050875B5-C244-4BD0-A40B-2BE821E84C90}"/>
    <cellStyle name="_SOLICITUD PARAMETROS  5 2" xfId="3657" xr:uid="{209DC9D3-C654-4500-90B5-87CBC7588638}"/>
    <cellStyle name="_SOLICITUD PARAMETROS  5 2 2" xfId="3658" xr:uid="{59AAD5A8-70F2-4070-9355-1F97C0D6E4C9}"/>
    <cellStyle name="_SOLICITUD PARAMETROS  5 2 3" xfId="3659" xr:uid="{899C8F04-5B92-47BC-9904-34840BD6C6A1}"/>
    <cellStyle name="_SOLICITUD PARAMETROS  5 2 4" xfId="3660" xr:uid="{B52D9215-AD01-40E3-8461-74C30E585B03}"/>
    <cellStyle name="_SOLICITUD PARAMETROS  5 2 5" xfId="3661" xr:uid="{6FDA8B43-2501-4C0A-B0D8-FA0D80CFFA5C}"/>
    <cellStyle name="_SOLICITUD PARAMETROS  5 2 6" xfId="3662" xr:uid="{CA37803C-6220-4305-8007-3E70032F7BA6}"/>
    <cellStyle name="_SOLICITUD PARAMETROS  5 2 7" xfId="3663" xr:uid="{07F1A3AA-19B9-422E-818C-B54A85C33D8C}"/>
    <cellStyle name="_SOLICITUD PARAMETROS  5 3" xfId="3664" xr:uid="{58309D99-F125-41D8-BFC2-CB21F73A6092}"/>
    <cellStyle name="_SOLICITUD PARAMETROS  5 3 2" xfId="3665" xr:uid="{C73447A2-BD1E-4BD8-8658-FAFCFA31B7F8}"/>
    <cellStyle name="_SOLICITUD PARAMETROS  5 3 3" xfId="3666" xr:uid="{E99EA1B2-F49F-4FB9-819E-30EBCCC31C44}"/>
    <cellStyle name="_SOLICITUD PARAMETROS  5 3 4" xfId="3667" xr:uid="{0E90FB53-37F7-43F2-BBA6-5A0C92F6D819}"/>
    <cellStyle name="_SOLICITUD PARAMETROS  5 3 5" xfId="3668" xr:uid="{4F955967-853F-4C34-8D25-72EE458DFD63}"/>
    <cellStyle name="_SOLICITUD PARAMETROS  5 3 6" xfId="3669" xr:uid="{A9525768-F3D2-42E1-82D6-5A9CCF6CC901}"/>
    <cellStyle name="_SOLICITUD PARAMETROS  5 3 7" xfId="3670" xr:uid="{1192C287-ADAB-470D-9602-542EFB47C945}"/>
    <cellStyle name="_SOLICITUD PARAMETROS  5 4" xfId="3671" xr:uid="{F48F238C-F443-4A11-9CAB-C84058871DD8}"/>
    <cellStyle name="_SOLICITUD PARAMETROS  5 5" xfId="3672" xr:uid="{FE907849-F9F1-4C12-ADDE-587A78CFBBD7}"/>
    <cellStyle name="_SOLICITUD PARAMETROS  5 6" xfId="3673" xr:uid="{4D6C52FE-5AC0-4B95-827D-FEE7D9E6947A}"/>
    <cellStyle name="_SOLICITUD PARAMETROS  5 7" xfId="3674" xr:uid="{22B94C60-253C-49D3-A46B-C266D9E5B726}"/>
    <cellStyle name="_SOLICITUD PARAMETROS  5 8" xfId="3675" xr:uid="{8CC08AAB-D715-4A23-8E94-6E31BD231C5A}"/>
    <cellStyle name="_SOLICITUD PARAMETROS  5 9" xfId="3676" xr:uid="{A6EE5AC7-F21D-4AC0-B615-2F4EFF014F7E}"/>
    <cellStyle name="_SOLICITUD PARAMETROS  6" xfId="3677" xr:uid="{B07F560F-F8A9-4659-A83B-47F94DBCF2E2}"/>
    <cellStyle name="_SOLICITUD PARAMETROS  6 10" xfId="3678" xr:uid="{95F5B452-FC6A-49A1-BB8C-CF3E7D55AD2A}"/>
    <cellStyle name="_SOLICITUD PARAMETROS  6 11" xfId="3679" xr:uid="{B7D68B63-8114-493D-B000-0ACDDFDC8158}"/>
    <cellStyle name="_SOLICITUD PARAMETROS  6 12" xfId="3680" xr:uid="{4ECEB585-4B61-41D3-A5AD-94F64CFA038D}"/>
    <cellStyle name="_SOLICITUD PARAMETROS  6 13" xfId="3681" xr:uid="{A6D4D39B-16F1-4547-9A1D-4E4EACDF1E5D}"/>
    <cellStyle name="_SOLICITUD PARAMETROS  6 2" xfId="3682" xr:uid="{D73C6C03-6048-4585-8D10-C16DCCAA6978}"/>
    <cellStyle name="_SOLICITUD PARAMETROS  6 2 2" xfId="3683" xr:uid="{37D534E7-0E4D-42DD-8476-DDE78D4BD699}"/>
    <cellStyle name="_SOLICITUD PARAMETROS  6 2 3" xfId="3684" xr:uid="{6FBDDA13-D4D5-4B76-B207-099044AFE733}"/>
    <cellStyle name="_SOLICITUD PARAMETROS  6 2 4" xfId="3685" xr:uid="{375E0946-7B5D-4896-9B0A-5F95A1D1223B}"/>
    <cellStyle name="_SOLICITUD PARAMETROS  6 2 5" xfId="3686" xr:uid="{3FD7C95E-FF62-43D0-846D-F7D99879BD74}"/>
    <cellStyle name="_SOLICITUD PARAMETROS  6 2 6" xfId="3687" xr:uid="{671F1388-07D4-4753-B504-94E4A47BE134}"/>
    <cellStyle name="_SOLICITUD PARAMETROS  6 2 7" xfId="3688" xr:uid="{F52358B8-3C63-4112-8F43-DC06FEA367EC}"/>
    <cellStyle name="_SOLICITUD PARAMETROS  6 3" xfId="3689" xr:uid="{5616E95E-46DB-4D11-B92C-BCDAB3B3A0BF}"/>
    <cellStyle name="_SOLICITUD PARAMETROS  6 3 2" xfId="3690" xr:uid="{F1065F0B-8268-43EE-B16D-40576FDD5E36}"/>
    <cellStyle name="_SOLICITUD PARAMETROS  6 3 3" xfId="3691" xr:uid="{43D9EB06-FD15-428E-A20D-456A4C628756}"/>
    <cellStyle name="_SOLICITUD PARAMETROS  6 3 4" xfId="3692" xr:uid="{CE7EEE75-9DA7-4C02-9848-D0E5B2C53912}"/>
    <cellStyle name="_SOLICITUD PARAMETROS  6 3 5" xfId="3693" xr:uid="{F6AAC732-9331-4E0F-BC5F-FEC2BAAD8631}"/>
    <cellStyle name="_SOLICITUD PARAMETROS  6 3 6" xfId="3694" xr:uid="{61271DEC-BD24-4F0D-B88F-3B8C004505AD}"/>
    <cellStyle name="_SOLICITUD PARAMETROS  6 3 7" xfId="3695" xr:uid="{DC0DB3F3-EC07-4C10-980F-252DBC34617F}"/>
    <cellStyle name="_SOLICITUD PARAMETROS  6 4" xfId="3696" xr:uid="{D877D581-E952-4C2A-BF3B-A1AB2D333EE2}"/>
    <cellStyle name="_SOLICITUD PARAMETROS  6 5" xfId="3697" xr:uid="{1D98A2DF-4953-4744-A760-58F8BF59D9E1}"/>
    <cellStyle name="_SOLICITUD PARAMETROS  6 6" xfId="3698" xr:uid="{285E072B-5D24-4159-ABFB-F0F0AE4D16D8}"/>
    <cellStyle name="_SOLICITUD PARAMETROS  6 7" xfId="3699" xr:uid="{390A3FF3-6BCF-4EC5-B781-92E0845E46D8}"/>
    <cellStyle name="_SOLICITUD PARAMETROS  6 8" xfId="3700" xr:uid="{15D9999B-AEA3-49CF-8F12-E30753E7464A}"/>
    <cellStyle name="_SOLICITUD PARAMETROS  6 9" xfId="3701" xr:uid="{F6CF1F63-97EE-4A5A-B432-15F4FEAB2408}"/>
    <cellStyle name="_SOLICITUD PARAMETROS  7" xfId="3702" xr:uid="{82F23769-1ADC-48D4-B5C9-A77663F0EB18}"/>
    <cellStyle name="_SOLICITUD PARAMETROS  7 2" xfId="3703" xr:uid="{C7B41DA7-E5B0-4897-8780-8F5157AF5342}"/>
    <cellStyle name="_SOLICITUD PARAMETROS  7 3" xfId="3704" xr:uid="{8C9088E3-BD17-496C-9A93-B24843E632CD}"/>
    <cellStyle name="_SOLICITUD PARAMETROS  7 4" xfId="3705" xr:uid="{35E3BCD8-2C6D-40DD-85C0-4112365B77AF}"/>
    <cellStyle name="_SOLICITUD PARAMETROS  7 5" xfId="3706" xr:uid="{371D9511-16AB-4B96-A7C7-9FE0609D2DD0}"/>
    <cellStyle name="_SOLICITUD PARAMETROS  7 6" xfId="3707" xr:uid="{8C72C82C-1E66-4302-91E7-A81FE8E33DE7}"/>
    <cellStyle name="_SOLICITUD PARAMETROS  7 7" xfId="3708" xr:uid="{03ADD0C8-5931-47A4-A1F2-EFA5BE478519}"/>
    <cellStyle name="_SOLICITUD PARAMETROS  8" xfId="3709" xr:uid="{F5DD3FC5-A6A8-4066-B6D0-CEE8AECAC1BD}"/>
    <cellStyle name="_SOLICITUD PARAMETROS  8 2" xfId="3710" xr:uid="{250FE79F-BEB4-418C-A295-D00E2C3274DE}"/>
    <cellStyle name="_SOLICITUD PARAMETROS  8 3" xfId="3711" xr:uid="{F93292A3-E21D-4E81-840C-5650D7EF46B2}"/>
    <cellStyle name="_SOLICITUD PARAMETROS  8 4" xfId="3712" xr:uid="{F0BA8532-A3AA-491B-A758-44B78CFFEA2E}"/>
    <cellStyle name="_SOLICITUD PARAMETROS  8 5" xfId="3713" xr:uid="{451B5551-C78C-4CD7-A17B-596EFDEEFE70}"/>
    <cellStyle name="_SOLICITUD PARAMETROS  8 6" xfId="3714" xr:uid="{E3DF310C-EB03-45A3-BDC4-095DA63E1CFB}"/>
    <cellStyle name="_SOLICITUD PARAMETROS  8 7" xfId="3715" xr:uid="{3CBEAF9D-4535-4B22-957E-984DE7DFD461}"/>
    <cellStyle name="_SOLICITUD PARAMETROS  9" xfId="3716" xr:uid="{88FC1A9F-E131-47E7-ACCE-17961D15811E}"/>
    <cellStyle name="20% - Énfasis1" xfId="24" builtinId="30" customBuiltin="1"/>
    <cellStyle name="20% - Énfasis1 2" xfId="3717" xr:uid="{3EE2A433-5C67-4C75-93E2-54BE6C393740}"/>
    <cellStyle name="20% - Énfasis1 2 10" xfId="3718" xr:uid="{075E99DE-E864-4506-8B39-2EE656F48DF6}"/>
    <cellStyle name="20% - Énfasis1 2 10 10" xfId="3719" xr:uid="{29375CF2-E9CB-4EE5-9A7F-11AC5ABCEBCF}"/>
    <cellStyle name="20% - Énfasis1 2 10 11" xfId="3720" xr:uid="{8C3E3535-9ADC-43D7-9A4F-B3EC6F47903E}"/>
    <cellStyle name="20% - Énfasis1 2 10 2" xfId="3721" xr:uid="{1A84D874-E019-4A86-858D-150F2D928A9B}"/>
    <cellStyle name="20% - Énfasis1 2 10 2 10" xfId="3722" xr:uid="{2CEF9329-F8F9-45B9-94DC-4D119E741E16}"/>
    <cellStyle name="20% - Énfasis1 2 10 2 11" xfId="3723" xr:uid="{4DEA443C-DFA6-478D-B48F-6129DD0C3871}"/>
    <cellStyle name="20% - Énfasis1 2 10 2 2" xfId="3724" xr:uid="{F8177A25-B74B-4EFF-931E-814E1386C657}"/>
    <cellStyle name="20% - Énfasis1 2 10 2 2 2" xfId="3725" xr:uid="{A766EA10-7F5E-441E-ABB8-F470B400E6DF}"/>
    <cellStyle name="20% - Énfasis1 2 10 2 2 2 2" xfId="3726" xr:uid="{9DB29215-5EE2-4140-8BC9-D18D9D10F536}"/>
    <cellStyle name="20% - Énfasis1 2 10 2 2 2 3" xfId="3727" xr:uid="{BA41940C-0D06-48A3-8EFC-1619FD225C0D}"/>
    <cellStyle name="20% - Énfasis1 2 10 2 2 2 4" xfId="3728" xr:uid="{ABBD097D-A1CA-4728-A3E9-9AB2B36DABD8}"/>
    <cellStyle name="20% - Énfasis1 2 10 2 2 2 5" xfId="3729" xr:uid="{AF72F996-C967-4A39-8595-0D527CE9B4B3}"/>
    <cellStyle name="20% - Énfasis1 2 10 2 2 3" xfId="3730" xr:uid="{07803253-5B85-46F9-8F24-FE048FF3BA7A}"/>
    <cellStyle name="20% - Énfasis1 2 10 2 2 4" xfId="3731" xr:uid="{93454EA8-5673-4809-8AC6-E7C39059CA7A}"/>
    <cellStyle name="20% - Énfasis1 2 10 2 2 5" xfId="3732" xr:uid="{57DA0414-AFA3-4EB6-AAF4-6FDB050658FB}"/>
    <cellStyle name="20% - Énfasis1 2 10 2 3" xfId="3733" xr:uid="{8DA41870-2755-4C49-BBCF-02F3D383A5B7}"/>
    <cellStyle name="20% - Énfasis1 2 10 2 4" xfId="3734" xr:uid="{F43380E1-C253-4B1D-93BC-0C5CEB58FFE4}"/>
    <cellStyle name="20% - Énfasis1 2 10 2 5" xfId="3735" xr:uid="{2E247092-2578-4A8E-A77C-0FDF30E71E3E}"/>
    <cellStyle name="20% - Énfasis1 2 10 2 6" xfId="3736" xr:uid="{A0A742DF-9D5E-4CF6-A759-074FC6B4AAB0}"/>
    <cellStyle name="20% - Énfasis1 2 10 2 7" xfId="3737" xr:uid="{B49B31DB-80F8-4973-AAE7-D661044D3A58}"/>
    <cellStyle name="20% - Énfasis1 2 10 2 8" xfId="3738" xr:uid="{3DFBF9B4-5A31-49BC-9962-933340FD8397}"/>
    <cellStyle name="20% - Énfasis1 2 10 2 9" xfId="3739" xr:uid="{09098F15-9606-43A9-906B-A492B35370DF}"/>
    <cellStyle name="20% - Énfasis1 2 10 3" xfId="3740" xr:uid="{F2355F02-02DC-4023-9915-72E9709080DF}"/>
    <cellStyle name="20% - Énfasis1 2 10 3 2" xfId="3741" xr:uid="{AF027690-3D75-4DFC-A004-F0637C688DC3}"/>
    <cellStyle name="20% - Énfasis1 2 10 3 2 2" xfId="3742" xr:uid="{2BF9B513-D47E-47B3-9C12-6551AE15127B}"/>
    <cellStyle name="20% - Énfasis1 2 10 3 2 3" xfId="3743" xr:uid="{D129E130-67FE-4B9F-94DF-B5AE1F6C7E44}"/>
    <cellStyle name="20% - Énfasis1 2 10 3 2 4" xfId="3744" xr:uid="{C4714686-5974-46FB-9707-3BD5D8E57F02}"/>
    <cellStyle name="20% - Énfasis1 2 10 3 2 5" xfId="3745" xr:uid="{5A619B58-4AD7-4EFD-9F4F-D7EE82E6E759}"/>
    <cellStyle name="20% - Énfasis1 2 10 3 3" xfId="3746" xr:uid="{1564A347-8498-4284-881A-5F8A2BA387EB}"/>
    <cellStyle name="20% - Énfasis1 2 10 3 4" xfId="3747" xr:uid="{C5A202E4-F9F0-44B2-BE5D-240FF2E20028}"/>
    <cellStyle name="20% - Énfasis1 2 10 3 5" xfId="3748" xr:uid="{5F32CE59-692B-4A62-BA70-0AA17568AAA8}"/>
    <cellStyle name="20% - Énfasis1 2 10 4" xfId="3749" xr:uid="{F06EB769-7573-42EE-94CF-2E6C3E4E8015}"/>
    <cellStyle name="20% - Énfasis1 2 10 5" xfId="3750" xr:uid="{D33EBAC2-1DD8-4B45-8B75-83AD8EADF50E}"/>
    <cellStyle name="20% - Énfasis1 2 10 6" xfId="3751" xr:uid="{0BE718D3-C1ED-4A44-B04C-B6A94F917B7B}"/>
    <cellStyle name="20% - Énfasis1 2 10 7" xfId="3752" xr:uid="{E26751DC-8BD3-4A30-8042-B2A1F2B31FFA}"/>
    <cellStyle name="20% - Énfasis1 2 10 8" xfId="3753" xr:uid="{AF88B67C-5D23-4C93-A2CB-665893233FEA}"/>
    <cellStyle name="20% - Énfasis1 2 10 9" xfId="3754" xr:uid="{72258BA3-A3FD-4A7F-B4B7-4062AF9FC6AE}"/>
    <cellStyle name="20% - Énfasis1 2 11" xfId="3755" xr:uid="{6D8FA3BD-380A-4C71-B2B3-CF92B590BB4B}"/>
    <cellStyle name="20% - Énfasis1 2 12" xfId="3756" xr:uid="{3313A0C1-B5B4-46D0-91DB-92D911478B44}"/>
    <cellStyle name="20% - Énfasis1 2 13" xfId="3757" xr:uid="{2B5516CE-EABE-48A0-A2A7-381958686126}"/>
    <cellStyle name="20% - Énfasis1 2 14" xfId="43570" xr:uid="{EDAF3F2D-7844-4CE5-A2EA-F229CDD2D144}"/>
    <cellStyle name="20% - Énfasis1 2 2" xfId="3758" xr:uid="{AB8F7432-D513-4884-B768-0E2E60DC55C8}"/>
    <cellStyle name="20% - Énfasis1 2 2 10" xfId="3759" xr:uid="{888049F9-4426-4E7E-A565-BFBD2972F333}"/>
    <cellStyle name="20% - Énfasis1 2 2 10 10" xfId="3760" xr:uid="{AC239166-BF93-42FF-AC1D-52D216C22644}"/>
    <cellStyle name="20% - Énfasis1 2 2 10 11" xfId="3761" xr:uid="{8AD8A007-7BCB-4EAC-ABAE-37F67D5EACE9}"/>
    <cellStyle name="20% - Énfasis1 2 2 10 2" xfId="3762" xr:uid="{AE21A386-F2B9-4AD3-85E4-998957F50A46}"/>
    <cellStyle name="20% - Énfasis1 2 2 10 2 10" xfId="3763" xr:uid="{29E7B8B1-9709-4BAB-8E1A-372C6A4A272D}"/>
    <cellStyle name="20% - Énfasis1 2 2 10 2 11" xfId="3764" xr:uid="{C88DF998-20EF-4B60-B878-658B08EF2A77}"/>
    <cellStyle name="20% - Énfasis1 2 2 10 2 2" xfId="3765" xr:uid="{9AD25B0F-AAC4-4DA6-A2A4-676931C57B2A}"/>
    <cellStyle name="20% - Énfasis1 2 2 10 2 2 2" xfId="3766" xr:uid="{592DBB82-B835-41F7-9D61-7BA0F4E55A96}"/>
    <cellStyle name="20% - Énfasis1 2 2 10 2 2 2 2" xfId="3767" xr:uid="{10A6A2FA-4E02-456D-979D-76AB32C6CC40}"/>
    <cellStyle name="20% - Énfasis1 2 2 10 2 2 2 3" xfId="3768" xr:uid="{6A5D9A1B-0204-440B-BB83-F4356780F563}"/>
    <cellStyle name="20% - Énfasis1 2 2 10 2 2 2 4" xfId="3769" xr:uid="{8A144EE4-B15C-415E-82FF-B71EACD7AA1F}"/>
    <cellStyle name="20% - Énfasis1 2 2 10 2 2 2 5" xfId="3770" xr:uid="{9E01FCD6-9E55-48FC-BEE7-BFBA8F3DE11B}"/>
    <cellStyle name="20% - Énfasis1 2 2 10 2 2 3" xfId="3771" xr:uid="{014DBA9D-9405-4C61-9D5D-726A440BE311}"/>
    <cellStyle name="20% - Énfasis1 2 2 10 2 2 4" xfId="3772" xr:uid="{8841FB06-8EDD-45BB-9B5B-BCB1C089573E}"/>
    <cellStyle name="20% - Énfasis1 2 2 10 2 2 5" xfId="3773" xr:uid="{9F983599-8F50-4876-A333-868184D907B4}"/>
    <cellStyle name="20% - Énfasis1 2 2 10 2 3" xfId="3774" xr:uid="{7422C3F3-D865-4CEA-8DB1-15DD1732EE42}"/>
    <cellStyle name="20% - Énfasis1 2 2 10 2 4" xfId="3775" xr:uid="{8706D9FA-FDA9-4330-BAD5-3FAF2B9FC902}"/>
    <cellStyle name="20% - Énfasis1 2 2 10 2 5" xfId="3776" xr:uid="{4D84AB8F-F982-468F-9496-C73BC5E35974}"/>
    <cellStyle name="20% - Énfasis1 2 2 10 2 6" xfId="3777" xr:uid="{CA64D999-3E1A-4056-A2C0-734A01C7BAE2}"/>
    <cellStyle name="20% - Énfasis1 2 2 10 2 7" xfId="3778" xr:uid="{10533F77-C202-46B3-896B-CFD7B2013068}"/>
    <cellStyle name="20% - Énfasis1 2 2 10 2 8" xfId="3779" xr:uid="{AB24202B-8149-4E90-B344-EE2BE95A6D23}"/>
    <cellStyle name="20% - Énfasis1 2 2 10 2 9" xfId="3780" xr:uid="{447808E3-3FAA-424F-90E9-895E8155A4A9}"/>
    <cellStyle name="20% - Énfasis1 2 2 10 3" xfId="3781" xr:uid="{598C6822-52B7-41CF-A709-A57DBBEC85AB}"/>
    <cellStyle name="20% - Énfasis1 2 2 10 3 2" xfId="3782" xr:uid="{5FD5064A-F0B4-4352-B7F2-0DBB611D6DCD}"/>
    <cellStyle name="20% - Énfasis1 2 2 10 3 2 2" xfId="3783" xr:uid="{14C14028-3D5D-475C-9512-A89AC4BD976C}"/>
    <cellStyle name="20% - Énfasis1 2 2 10 3 2 3" xfId="3784" xr:uid="{DB4A3DEB-819F-4CC7-BFFD-C312054EAB58}"/>
    <cellStyle name="20% - Énfasis1 2 2 10 3 2 4" xfId="3785" xr:uid="{E189C152-2EE1-4E68-8455-DAA8658EBFD6}"/>
    <cellStyle name="20% - Énfasis1 2 2 10 3 2 5" xfId="3786" xr:uid="{FEAED887-7333-497E-AEF2-989D0E3D1014}"/>
    <cellStyle name="20% - Énfasis1 2 2 10 3 3" xfId="3787" xr:uid="{957B3402-7169-41BF-8700-E2CAD080E89F}"/>
    <cellStyle name="20% - Énfasis1 2 2 10 3 4" xfId="3788" xr:uid="{11469016-A6B7-4C60-8FEA-EE4F66AC5532}"/>
    <cellStyle name="20% - Énfasis1 2 2 10 3 5" xfId="3789" xr:uid="{9324D0A6-570C-4911-8D11-3F026F738A4F}"/>
    <cellStyle name="20% - Énfasis1 2 2 10 4" xfId="3790" xr:uid="{A690DCCB-5934-4897-A21F-5B332C7E86FA}"/>
    <cellStyle name="20% - Énfasis1 2 2 10 5" xfId="3791" xr:uid="{796DDC3E-2B44-46E5-8254-394EB13B3BC9}"/>
    <cellStyle name="20% - Énfasis1 2 2 10 6" xfId="3792" xr:uid="{FD211EE0-0B88-4E2D-8FAA-E069591D0BD7}"/>
    <cellStyle name="20% - Énfasis1 2 2 10 7" xfId="3793" xr:uid="{E591E8F2-813D-437F-AFEF-4F134E96DDD5}"/>
    <cellStyle name="20% - Énfasis1 2 2 10 8" xfId="3794" xr:uid="{D37334AA-47CC-4833-AF16-087E05A05242}"/>
    <cellStyle name="20% - Énfasis1 2 2 10 9" xfId="3795" xr:uid="{62C4EAAD-723D-42C5-8F1C-082226FECC92}"/>
    <cellStyle name="20% - Énfasis1 2 2 11" xfId="3796" xr:uid="{440AB55D-82B1-4A41-8957-77D565B8272E}"/>
    <cellStyle name="20% - Énfasis1 2 2 12" xfId="3797" xr:uid="{8F79549B-D120-40C6-9931-512348BE8B8E}"/>
    <cellStyle name="20% - Énfasis1 2 2 13" xfId="3798" xr:uid="{3126571E-A38A-40E8-87BC-05EF94AAE0B8}"/>
    <cellStyle name="20% - Énfasis1 2 2 14" xfId="43571" xr:uid="{019586AD-E2B1-4BAA-9EB3-748AE3B155A6}"/>
    <cellStyle name="20% - Énfasis1 2 2 2" xfId="3799" xr:uid="{690A0DD6-8194-48BB-996E-0C1D9B032F77}"/>
    <cellStyle name="20% - Énfasis1 2 2 2 2" xfId="3800" xr:uid="{93821CEF-E1E9-4E4D-A72C-5BA5D3190477}"/>
    <cellStyle name="20% - Énfasis1 2 2 2 2 2" xfId="3801" xr:uid="{D2A14F1D-503F-4809-808D-FD0A07ACD163}"/>
    <cellStyle name="20% - Énfasis1 2 2 2 2 2 2" xfId="3802" xr:uid="{1322AD90-0C8E-4FD8-B2EC-29B239DA76F2}"/>
    <cellStyle name="20% - Énfasis1 2 2 2 2 2 2 2" xfId="3803" xr:uid="{2A38CB8F-1D3A-4463-81F6-3A7980C07F08}"/>
    <cellStyle name="20% - Énfasis1 2 2 2 2 2 2 2 2" xfId="3804" xr:uid="{E214AA0F-4966-4641-8E81-A0691F5E1AC2}"/>
    <cellStyle name="20% - Énfasis1 2 2 2 2 2 2 2 2 2" xfId="3805" xr:uid="{5C63AF1A-D607-4888-9F3F-B970401DDA9F}"/>
    <cellStyle name="20% - Énfasis1 2 2 2 2 2 2 2 2 2 2" xfId="3806" xr:uid="{E55A68CB-EF5B-403B-907A-965396634A34}"/>
    <cellStyle name="20% - Énfasis1 2 2 2 2 2 2 2 2 2 2 2" xfId="3807" xr:uid="{2A5EF8DD-F980-42FA-AB82-6A93DD99FF8C}"/>
    <cellStyle name="20% - Énfasis1 2 2 2 2 2 2 2 2 2 2 2 2" xfId="3808" xr:uid="{8EA29E0C-9B6E-4248-B398-2EF60AA5D220}"/>
    <cellStyle name="20% - Énfasis1 2 2 2 2 2 2 2 2 2 2 2 2 2" xfId="3809" xr:uid="{5FC0B3EA-4DAD-4DBA-987E-2FA65532D25D}"/>
    <cellStyle name="20% - Énfasis1 2 2 2 2 2 2 2 2 2 2 2 2 2 2" xfId="3810" xr:uid="{D52F218A-D1D7-48EA-9BA8-51F7F2AF2C31}"/>
    <cellStyle name="20% - Énfasis1 2 2 2 2 2 2 2 2 2 2 2 2 2 3" xfId="3811" xr:uid="{CF67B0D3-C25A-43EB-8BAA-9153503EE55A}"/>
    <cellStyle name="20% - Énfasis1 2 2 2 2 2 2 2 2 2 2 2 2 2 4" xfId="3812" xr:uid="{4E52E86A-6B30-462F-A432-66593DCEA439}"/>
    <cellStyle name="20% - Énfasis1 2 2 2 2 2 2 2 2 2 2 2 2 2 5" xfId="3813" xr:uid="{433FE36D-D4B9-40EC-ADD6-AB100F48E9C8}"/>
    <cellStyle name="20% - Énfasis1 2 2 2 2 2 2 2 2 2 2 2 2 3" xfId="3814" xr:uid="{6AA199EA-85B1-47EE-B02D-D3A8BEAEA8D7}"/>
    <cellStyle name="20% - Énfasis1 2 2 2 2 2 2 2 2 2 2 2 2 4" xfId="3815" xr:uid="{D92D46B0-A350-42C1-BD9D-2071100ED1D6}"/>
    <cellStyle name="20% - Énfasis1 2 2 2 2 2 2 2 2 2 2 2 2 5" xfId="3816" xr:uid="{283C76D8-1BD9-406A-B589-777704D677F4}"/>
    <cellStyle name="20% - Énfasis1 2 2 2 2 2 2 2 2 2 2 2 3" xfId="3817" xr:uid="{4BA092D7-5C9C-4170-84AF-2808204CAC95}"/>
    <cellStyle name="20% - Énfasis1 2 2 2 2 2 2 2 2 2 2 2 4" xfId="3818" xr:uid="{088B7D19-610B-4873-97E5-D323270F1202}"/>
    <cellStyle name="20% - Énfasis1 2 2 2 2 2 2 2 2 2 2 2 5" xfId="3819" xr:uid="{F59D0C6C-7B94-41AD-9BB9-414813DB15AE}"/>
    <cellStyle name="20% - Énfasis1 2 2 2 2 2 2 2 2 2 2 2 6" xfId="3820" xr:uid="{D0A9F90C-4587-44F3-8462-451490872614}"/>
    <cellStyle name="20% - Énfasis1 2 2 2 2 2 2 2 2 2 2 3" xfId="3821" xr:uid="{16A7245D-66FC-4618-BEC3-793FA2BE18D7}"/>
    <cellStyle name="20% - Énfasis1 2 2 2 2 2 2 2 2 2 2 4" xfId="3822" xr:uid="{C4F3A3E1-1372-45BF-9D85-7BC748D64E95}"/>
    <cellStyle name="20% - Énfasis1 2 2 2 2 2 2 2 2 2 3" xfId="3823" xr:uid="{3C74302F-146A-438F-927E-492B01E63E7A}"/>
    <cellStyle name="20% - Énfasis1 2 2 2 2 2 2 2 2 2 4" xfId="3824" xr:uid="{8122E231-2C72-481B-BAA0-67D22E61E8F9}"/>
    <cellStyle name="20% - Énfasis1 2 2 2 2 2 2 2 2 3" xfId="3825" xr:uid="{D6C92237-9585-4460-BC6C-8603118A5650}"/>
    <cellStyle name="20% - Énfasis1 2 2 2 2 2 2 2 2 4" xfId="3826" xr:uid="{F11766CC-8B2C-4680-96BD-26D569FAE2FD}"/>
    <cellStyle name="20% - Énfasis1 2 2 2 2 2 2 2 2 5" xfId="3827" xr:uid="{FCE78BF0-47D4-42E1-A686-389B8BA9D323}"/>
    <cellStyle name="20% - Énfasis1 2 2 2 2 2 2 2 3" xfId="3828" xr:uid="{1350FA54-EC33-46B7-AC1C-FE8F17D99103}"/>
    <cellStyle name="20% - Énfasis1 2 2 2 2 2 2 2 3 10" xfId="3829" xr:uid="{C1C605CC-3931-4B08-9BF4-44FBE4011F1B}"/>
    <cellStyle name="20% - Énfasis1 2 2 2 2 2 2 2 3 11" xfId="3830" xr:uid="{32AD9413-CEB2-4D30-A75C-EEBE3FB3E236}"/>
    <cellStyle name="20% - Énfasis1 2 2 2 2 2 2 2 3 2" xfId="3831" xr:uid="{95FEB745-D759-4E8E-91A9-662DB6A1E861}"/>
    <cellStyle name="20% - Énfasis1 2 2 2 2 2 2 2 3 2 2" xfId="3832" xr:uid="{972D1989-11F6-4DE9-A623-0D8126595BD8}"/>
    <cellStyle name="20% - Énfasis1 2 2 2 2 2 2 2 3 2 2 2" xfId="3833" xr:uid="{3E2C0202-F62D-4442-B535-6DC9A5DC377A}"/>
    <cellStyle name="20% - Énfasis1 2 2 2 2 2 2 2 3 2 2 3" xfId="3834" xr:uid="{49A4FA90-EB74-416D-91F0-A75D323661FB}"/>
    <cellStyle name="20% - Énfasis1 2 2 2 2 2 2 2 3 2 2 4" xfId="3835" xr:uid="{A8BF90DA-437F-4310-AA66-E7C5085BFD1F}"/>
    <cellStyle name="20% - Énfasis1 2 2 2 2 2 2 2 3 2 2 5" xfId="3836" xr:uid="{9426F230-3365-4CAF-A2DB-53C4648FAF2D}"/>
    <cellStyle name="20% - Énfasis1 2 2 2 2 2 2 2 3 2 3" xfId="3837" xr:uid="{61CCA1D9-9D33-461C-A8F9-7FA207A35C22}"/>
    <cellStyle name="20% - Énfasis1 2 2 2 2 2 2 2 3 2 4" xfId="3838" xr:uid="{E5199960-72FA-418E-89DA-88155646618A}"/>
    <cellStyle name="20% - Énfasis1 2 2 2 2 2 2 2 3 2 5" xfId="3839" xr:uid="{AB0972C5-F1E8-4613-A979-721F9A1A6035}"/>
    <cellStyle name="20% - Énfasis1 2 2 2 2 2 2 2 3 3" xfId="3840" xr:uid="{FE6D22AD-840E-4219-AA9D-1FA870A154B2}"/>
    <cellStyle name="20% - Énfasis1 2 2 2 2 2 2 2 3 4" xfId="3841" xr:uid="{88855592-76C7-4BC8-8A2B-0BA684435489}"/>
    <cellStyle name="20% - Énfasis1 2 2 2 2 2 2 2 3 5" xfId="3842" xr:uid="{A02BB64B-A772-4093-B0FD-B753F5B4F035}"/>
    <cellStyle name="20% - Énfasis1 2 2 2 2 2 2 2 3 6" xfId="3843" xr:uid="{2CAE3A04-CB2D-47C1-9B05-2D13C4308D64}"/>
    <cellStyle name="20% - Énfasis1 2 2 2 2 2 2 2 3 7" xfId="3844" xr:uid="{A6AF8A79-0AA7-4230-9826-62D791FE2E1D}"/>
    <cellStyle name="20% - Énfasis1 2 2 2 2 2 2 2 3 8" xfId="3845" xr:uid="{3FAB583E-D2B0-4EE6-A5DE-43C98EC28459}"/>
    <cellStyle name="20% - Énfasis1 2 2 2 2 2 2 2 3 9" xfId="3846" xr:uid="{950F938D-0007-4C2A-98CA-30B2FD2ABD28}"/>
    <cellStyle name="20% - Énfasis1 2 2 2 2 2 2 2 4" xfId="3847" xr:uid="{8176BB65-FF49-4398-B5FF-07A843A89A17}"/>
    <cellStyle name="20% - Énfasis1 2 2 2 2 2 2 2 5" xfId="3848" xr:uid="{EAF0A558-0965-484C-BCE5-4CC966ACEBA0}"/>
    <cellStyle name="20% - Énfasis1 2 2 2 2 2 2 3" xfId="3849" xr:uid="{CBD5F4ED-7967-4701-858D-B8FFE3790ED0}"/>
    <cellStyle name="20% - Énfasis1 2 2 2 2 2 2 3 10" xfId="3850" xr:uid="{526CA89E-DBF5-4EE2-87C3-184F9B5BF246}"/>
    <cellStyle name="20% - Énfasis1 2 2 2 2 2 2 3 11" xfId="3851" xr:uid="{5C8D4F9E-B65C-4BDB-BDE1-4BFF56DC02E7}"/>
    <cellStyle name="20% - Énfasis1 2 2 2 2 2 2 3 2" xfId="3852" xr:uid="{2AA59D54-B19E-482F-9A0F-21B9F1C013F0}"/>
    <cellStyle name="20% - Énfasis1 2 2 2 2 2 2 3 2 10" xfId="3853" xr:uid="{1DB5C2E5-B89D-40C3-916F-C61D9E8F6ED5}"/>
    <cellStyle name="20% - Énfasis1 2 2 2 2 2 2 3 2 11" xfId="3854" xr:uid="{C731CB7A-1DAE-4AD1-868C-C219DF2E13AB}"/>
    <cellStyle name="20% - Énfasis1 2 2 2 2 2 2 3 2 2" xfId="3855" xr:uid="{A179ACAB-E83A-48A5-AB90-8E73BEE76367}"/>
    <cellStyle name="20% - Énfasis1 2 2 2 2 2 2 3 2 2 2" xfId="3856" xr:uid="{6AE4F8B4-76C0-487D-8215-F04D531DC4F3}"/>
    <cellStyle name="20% - Énfasis1 2 2 2 2 2 2 3 2 2 2 2" xfId="3857" xr:uid="{68E2D16B-699D-48E3-9F25-03374F5857E8}"/>
    <cellStyle name="20% - Énfasis1 2 2 2 2 2 2 3 2 2 2 3" xfId="3858" xr:uid="{E652230B-1FCE-455C-B10E-B9D7638FB631}"/>
    <cellStyle name="20% - Énfasis1 2 2 2 2 2 2 3 2 2 2 4" xfId="3859" xr:uid="{ABD05556-8ACE-4605-B0DE-9EFD0F1E3F20}"/>
    <cellStyle name="20% - Énfasis1 2 2 2 2 2 2 3 2 2 2 5" xfId="3860" xr:uid="{27E4357A-1C2C-4607-A191-7E3EAC51E1B9}"/>
    <cellStyle name="20% - Énfasis1 2 2 2 2 2 2 3 2 2 3" xfId="3861" xr:uid="{B9FE5024-048F-4DEC-A3C3-5B425B78C30B}"/>
    <cellStyle name="20% - Énfasis1 2 2 2 2 2 2 3 2 2 4" xfId="3862" xr:uid="{143A1BB2-57AA-427D-92D3-2E3BBDDC3F85}"/>
    <cellStyle name="20% - Énfasis1 2 2 2 2 2 2 3 2 2 5" xfId="3863" xr:uid="{5E173F20-818F-4A1D-B45C-ECB3EFA226C5}"/>
    <cellStyle name="20% - Énfasis1 2 2 2 2 2 2 3 2 3" xfId="3864" xr:uid="{318BD46C-5524-42D5-95E3-691C97FF290D}"/>
    <cellStyle name="20% - Énfasis1 2 2 2 2 2 2 3 2 4" xfId="3865" xr:uid="{D6D15EC9-A47A-4EB3-9BDE-6DC7ABD2D3F5}"/>
    <cellStyle name="20% - Énfasis1 2 2 2 2 2 2 3 2 5" xfId="3866" xr:uid="{EC532133-800D-4A95-A372-C38CEEB717F1}"/>
    <cellStyle name="20% - Énfasis1 2 2 2 2 2 2 3 2 6" xfId="3867" xr:uid="{96996E32-B537-4E38-8BD2-DB1E5D1DCC36}"/>
    <cellStyle name="20% - Énfasis1 2 2 2 2 2 2 3 2 7" xfId="3868" xr:uid="{2A209EF7-A458-4B10-87C2-2F51C7A66BCF}"/>
    <cellStyle name="20% - Énfasis1 2 2 2 2 2 2 3 2 8" xfId="3869" xr:uid="{271D772A-A944-4CAD-BD03-662B181BED67}"/>
    <cellStyle name="20% - Énfasis1 2 2 2 2 2 2 3 2 9" xfId="3870" xr:uid="{61733685-9DD0-49C5-8A43-6383ACA25FD7}"/>
    <cellStyle name="20% - Énfasis1 2 2 2 2 2 2 3 3" xfId="3871" xr:uid="{F8F3430A-63E4-4B89-A52A-90ACA1A9A523}"/>
    <cellStyle name="20% - Énfasis1 2 2 2 2 2 2 3 3 2" xfId="3872" xr:uid="{69A468F0-A9BF-4119-9BCD-3051BD557F93}"/>
    <cellStyle name="20% - Énfasis1 2 2 2 2 2 2 3 3 2 2" xfId="3873" xr:uid="{F66489F6-757D-4A66-B847-DCEF62174D65}"/>
    <cellStyle name="20% - Énfasis1 2 2 2 2 2 2 3 3 2 3" xfId="3874" xr:uid="{3F542106-E40B-4A1C-A6E0-7CB10E0ACCAC}"/>
    <cellStyle name="20% - Énfasis1 2 2 2 2 2 2 3 3 2 4" xfId="3875" xr:uid="{5F4A584A-8B6D-4AF1-82A6-6D6501553FB0}"/>
    <cellStyle name="20% - Énfasis1 2 2 2 2 2 2 3 3 2 5" xfId="3876" xr:uid="{61CB2F00-FDD8-4204-AB03-E1F300E488EC}"/>
    <cellStyle name="20% - Énfasis1 2 2 2 2 2 2 3 3 3" xfId="3877" xr:uid="{8415EB8C-4A9D-442C-BBDE-1692DA946F0C}"/>
    <cellStyle name="20% - Énfasis1 2 2 2 2 2 2 3 3 4" xfId="3878" xr:uid="{A7D66246-77C0-4118-86D1-7DA6DB2AD02B}"/>
    <cellStyle name="20% - Énfasis1 2 2 2 2 2 2 3 3 5" xfId="3879" xr:uid="{BABA6ACD-BC31-4186-8647-AA73E8C17EB4}"/>
    <cellStyle name="20% - Énfasis1 2 2 2 2 2 2 3 4" xfId="3880" xr:uid="{C9AAC248-131D-42A1-A00C-2D865565CECF}"/>
    <cellStyle name="20% - Énfasis1 2 2 2 2 2 2 3 5" xfId="3881" xr:uid="{2AA73B23-2DFC-4D99-A49C-433732F6731F}"/>
    <cellStyle name="20% - Énfasis1 2 2 2 2 2 2 3 6" xfId="3882" xr:uid="{16DA36FD-5464-4D61-9AA4-7127D1388942}"/>
    <cellStyle name="20% - Énfasis1 2 2 2 2 2 2 3 7" xfId="3883" xr:uid="{EE18C2B0-89C1-4863-B22B-C0CB1207AD92}"/>
    <cellStyle name="20% - Énfasis1 2 2 2 2 2 2 3 8" xfId="3884" xr:uid="{5C1FEF9E-8064-4BF7-9231-01CD4301F96D}"/>
    <cellStyle name="20% - Énfasis1 2 2 2 2 2 2 3 9" xfId="3885" xr:uid="{8D53F349-C520-4537-978D-C9DA27740CFC}"/>
    <cellStyle name="20% - Énfasis1 2 2 2 2 2 2 4" xfId="3886" xr:uid="{46BBF0E7-B311-4A6D-B27F-3C130E46AE61}"/>
    <cellStyle name="20% - Énfasis1 2 2 2 2 2 2 5" xfId="3887" xr:uid="{DA3D221C-5F78-4F4D-8DE6-154546641411}"/>
    <cellStyle name="20% - Énfasis1 2 2 2 2 2 2 6" xfId="3888" xr:uid="{93763876-FD43-4071-BD35-7F6C065396AD}"/>
    <cellStyle name="20% - Énfasis1 2 2 2 2 2 2 7" xfId="43575" xr:uid="{BF62DC8A-AA27-41DE-975C-80920DF14F25}"/>
    <cellStyle name="20% - Énfasis1 2 2 2 2 2 3" xfId="3889" xr:uid="{51E73333-34B9-4524-9052-A5E9D06DF1A1}"/>
    <cellStyle name="20% - Énfasis1 2 2 2 2 2 3 10" xfId="3890" xr:uid="{694449F4-E4A6-4093-9DD1-08634E953158}"/>
    <cellStyle name="20% - Énfasis1 2 2 2 2 2 3 11" xfId="3891" xr:uid="{AE9F7ED3-8B1E-4652-8209-C9749CDD72D0}"/>
    <cellStyle name="20% - Énfasis1 2 2 2 2 2 3 2" xfId="3892" xr:uid="{227139DE-03C8-4E62-94C1-F9FB213B97A0}"/>
    <cellStyle name="20% - Énfasis1 2 2 2 2 2 3 2 10" xfId="3893" xr:uid="{E084917A-8D1D-4015-ADCB-37AA42C20CC0}"/>
    <cellStyle name="20% - Énfasis1 2 2 2 2 2 3 2 11" xfId="3894" xr:uid="{5355D730-7FFB-43C5-97CB-48C010F2AC87}"/>
    <cellStyle name="20% - Énfasis1 2 2 2 2 2 3 2 2" xfId="3895" xr:uid="{5DE9DA5A-64D1-476B-9678-73F18D793676}"/>
    <cellStyle name="20% - Énfasis1 2 2 2 2 2 3 2 2 2" xfId="3896" xr:uid="{E531E0E2-1237-4F55-855C-693733A0C6BA}"/>
    <cellStyle name="20% - Énfasis1 2 2 2 2 2 3 2 2 2 2" xfId="3897" xr:uid="{711BAA5F-28A4-4055-B7AB-6DC862010F76}"/>
    <cellStyle name="20% - Énfasis1 2 2 2 2 2 3 2 2 2 3" xfId="3898" xr:uid="{BDD339E1-5D4B-48CB-89E2-9343151F434A}"/>
    <cellStyle name="20% - Énfasis1 2 2 2 2 2 3 2 2 2 4" xfId="3899" xr:uid="{D928D96F-1453-4758-9854-BAD7271815C7}"/>
    <cellStyle name="20% - Énfasis1 2 2 2 2 2 3 2 2 2 5" xfId="3900" xr:uid="{FD90FF7B-DE55-4209-AF82-EBFE08A5D1DA}"/>
    <cellStyle name="20% - Énfasis1 2 2 2 2 2 3 2 2 3" xfId="3901" xr:uid="{6AC76AC4-D7E6-4C3E-82D3-42BFAA201840}"/>
    <cellStyle name="20% - Énfasis1 2 2 2 2 2 3 2 2 4" xfId="3902" xr:uid="{A0EAC908-EC70-4C91-9EBB-141BA45C1D0A}"/>
    <cellStyle name="20% - Énfasis1 2 2 2 2 2 3 2 2 5" xfId="3903" xr:uid="{61B79507-BEA7-4C3E-88C5-1E6B0FEBDC65}"/>
    <cellStyle name="20% - Énfasis1 2 2 2 2 2 3 2 3" xfId="3904" xr:uid="{7D5AAF6F-52D3-4005-BFBF-8A6C1F7ABB5C}"/>
    <cellStyle name="20% - Énfasis1 2 2 2 2 2 3 2 4" xfId="3905" xr:uid="{35C0D829-274A-46DF-BE3B-28927E9CF122}"/>
    <cellStyle name="20% - Énfasis1 2 2 2 2 2 3 2 5" xfId="3906" xr:uid="{3D66539A-7747-4B2E-AA0F-B55CBFF4CBD0}"/>
    <cellStyle name="20% - Énfasis1 2 2 2 2 2 3 2 6" xfId="3907" xr:uid="{4E2443FE-493E-4CD9-B2C8-2AAF28C07C84}"/>
    <cellStyle name="20% - Énfasis1 2 2 2 2 2 3 2 7" xfId="3908" xr:uid="{43A6515B-26F3-4E84-97CB-C131EDD61CB5}"/>
    <cellStyle name="20% - Énfasis1 2 2 2 2 2 3 2 8" xfId="3909" xr:uid="{34F9940F-290B-424E-8374-5966D6DE87E2}"/>
    <cellStyle name="20% - Énfasis1 2 2 2 2 2 3 2 9" xfId="3910" xr:uid="{1BF2F782-5D33-44B7-B673-1EAC1009391F}"/>
    <cellStyle name="20% - Énfasis1 2 2 2 2 2 3 3" xfId="3911" xr:uid="{FF4075E4-F2A3-4CEA-8419-A1F97CE101D7}"/>
    <cellStyle name="20% - Énfasis1 2 2 2 2 2 3 3 2" xfId="3912" xr:uid="{8277668B-71F5-4664-9670-80C1B789948B}"/>
    <cellStyle name="20% - Énfasis1 2 2 2 2 2 3 3 2 2" xfId="3913" xr:uid="{CF5124E1-A7AD-4226-A8CD-5A38B9DC18D3}"/>
    <cellStyle name="20% - Énfasis1 2 2 2 2 2 3 3 2 3" xfId="3914" xr:uid="{98ED0FFF-0E22-4E4F-BC6B-281422CBFB5C}"/>
    <cellStyle name="20% - Énfasis1 2 2 2 2 2 3 3 2 4" xfId="3915" xr:uid="{C9C30A5C-2C83-4860-995A-DA8F7B3FB816}"/>
    <cellStyle name="20% - Énfasis1 2 2 2 2 2 3 3 2 5" xfId="3916" xr:uid="{8CB023D3-BEE7-48CA-AB4F-1674865BB357}"/>
    <cellStyle name="20% - Énfasis1 2 2 2 2 2 3 3 3" xfId="3917" xr:uid="{E5B1BCCB-4B24-482C-B128-3AF5A85BF1CE}"/>
    <cellStyle name="20% - Énfasis1 2 2 2 2 2 3 3 4" xfId="3918" xr:uid="{08D23AE7-E3FA-41B0-9D3D-3A4C379A3EF4}"/>
    <cellStyle name="20% - Énfasis1 2 2 2 2 2 3 3 5" xfId="3919" xr:uid="{D47AC05E-C3B3-4612-A3E6-545B27A5462C}"/>
    <cellStyle name="20% - Énfasis1 2 2 2 2 2 3 4" xfId="3920" xr:uid="{A2CD1358-49A2-4DEE-B586-ABB4E539E3FA}"/>
    <cellStyle name="20% - Énfasis1 2 2 2 2 2 3 5" xfId="3921" xr:uid="{CAE239EB-BC77-46D7-B81B-77D2D1D964CB}"/>
    <cellStyle name="20% - Énfasis1 2 2 2 2 2 3 6" xfId="3922" xr:uid="{3491080A-E877-445B-BF09-AB0B43728238}"/>
    <cellStyle name="20% - Énfasis1 2 2 2 2 2 3 7" xfId="3923" xr:uid="{0B5DA7AD-8984-4908-B2F3-FB2CB052F89C}"/>
    <cellStyle name="20% - Énfasis1 2 2 2 2 2 3 8" xfId="3924" xr:uid="{696F9650-EB61-4B4B-BF6A-B27F8DC2C579}"/>
    <cellStyle name="20% - Énfasis1 2 2 2 2 2 3 9" xfId="3925" xr:uid="{AA47179B-370C-4663-B379-8A9942C66935}"/>
    <cellStyle name="20% - Énfasis1 2 2 2 2 2 4" xfId="3926" xr:uid="{9DE605CF-2F18-49D3-92BA-8714C37EC6B6}"/>
    <cellStyle name="20% - Énfasis1 2 2 2 2 2 5" xfId="3927" xr:uid="{A604D092-20B1-4DF1-83FA-A4D187E03B13}"/>
    <cellStyle name="20% - Énfasis1 2 2 2 2 2 6" xfId="3928" xr:uid="{2CD3E9E2-900A-47C7-BC10-C573D29A7445}"/>
    <cellStyle name="20% - Énfasis1 2 2 2 2 2 7" xfId="43574" xr:uid="{EE875E77-4005-42C9-9CC2-17A1EA4C87F0}"/>
    <cellStyle name="20% - Énfasis1 2 2 2 2 3" xfId="3929" xr:uid="{D29F17C2-3475-46F6-B18B-2DA319B427E3}"/>
    <cellStyle name="20% - Énfasis1 2 2 2 2 3 2" xfId="3930" xr:uid="{B5C4BA87-30F8-4F62-BA6A-1788981E6BC9}"/>
    <cellStyle name="20% - Énfasis1 2 2 2 2 3 3" xfId="43576" xr:uid="{189FEF56-A872-41C0-B2FE-7326F2B4B7ED}"/>
    <cellStyle name="20% - Énfasis1 2 2 2 2 4" xfId="3931" xr:uid="{D3CECA62-9F87-42A4-BFDB-E992A7BC68EE}"/>
    <cellStyle name="20% - Énfasis1 2 2 2 2 4 10" xfId="3932" xr:uid="{DFF2CE0C-98BF-4FE5-BA6F-9DBDEC30E3FC}"/>
    <cellStyle name="20% - Énfasis1 2 2 2 2 4 11" xfId="3933" xr:uid="{CC966C7E-DDCB-4CD0-B373-480720C7BA17}"/>
    <cellStyle name="20% - Énfasis1 2 2 2 2 4 2" xfId="3934" xr:uid="{F90DEE1F-658C-49A3-9E1B-1BE3AB42A7ED}"/>
    <cellStyle name="20% - Énfasis1 2 2 2 2 4 2 10" xfId="3935" xr:uid="{7CDD4D0B-9024-4B26-A23A-634E35ABE87A}"/>
    <cellStyle name="20% - Énfasis1 2 2 2 2 4 2 11" xfId="3936" xr:uid="{79EB7737-580C-45E8-86FA-16D567D1363D}"/>
    <cellStyle name="20% - Énfasis1 2 2 2 2 4 2 2" xfId="3937" xr:uid="{623AB17F-EAB2-4BDC-8724-B34565F23FBB}"/>
    <cellStyle name="20% - Énfasis1 2 2 2 2 4 2 2 2" xfId="3938" xr:uid="{6E1ED1BF-8547-4906-AC30-3E83337CFFA8}"/>
    <cellStyle name="20% - Énfasis1 2 2 2 2 4 2 2 2 2" xfId="3939" xr:uid="{40FE6958-189D-4889-81FF-595643D681B3}"/>
    <cellStyle name="20% - Énfasis1 2 2 2 2 4 2 2 2 3" xfId="3940" xr:uid="{1955AA8E-8EBE-4D88-ACEF-A4BBEFF66E92}"/>
    <cellStyle name="20% - Énfasis1 2 2 2 2 4 2 2 2 4" xfId="3941" xr:uid="{C3E9AA22-F520-4BDC-8AD4-0994413DE1D6}"/>
    <cellStyle name="20% - Énfasis1 2 2 2 2 4 2 2 2 5" xfId="3942" xr:uid="{64B25EF0-7354-4B3C-B034-E3AA3F8A5B7F}"/>
    <cellStyle name="20% - Énfasis1 2 2 2 2 4 2 2 3" xfId="3943" xr:uid="{46DAD2DE-547A-414B-94E9-BA14F8085491}"/>
    <cellStyle name="20% - Énfasis1 2 2 2 2 4 2 2 4" xfId="3944" xr:uid="{66B503D8-2836-4AB5-B1F8-D52788AA99E9}"/>
    <cellStyle name="20% - Énfasis1 2 2 2 2 4 2 2 5" xfId="3945" xr:uid="{554ED8FE-31C3-4D09-91CE-3490CC9DCE4E}"/>
    <cellStyle name="20% - Énfasis1 2 2 2 2 4 2 3" xfId="3946" xr:uid="{FE843385-0D15-41DD-A774-6CFA24A38CE5}"/>
    <cellStyle name="20% - Énfasis1 2 2 2 2 4 2 4" xfId="3947" xr:uid="{5A011D1D-16D3-4E9A-8E27-606F4DFD81AF}"/>
    <cellStyle name="20% - Énfasis1 2 2 2 2 4 2 5" xfId="3948" xr:uid="{9F367209-3C26-4ECF-9D6E-813A08A43E2A}"/>
    <cellStyle name="20% - Énfasis1 2 2 2 2 4 2 6" xfId="3949" xr:uid="{A9C989A6-550F-48C5-A230-55B780DE66E9}"/>
    <cellStyle name="20% - Énfasis1 2 2 2 2 4 2 7" xfId="3950" xr:uid="{6729A26A-47A5-4E1A-A78C-A726DC6AAB9D}"/>
    <cellStyle name="20% - Énfasis1 2 2 2 2 4 2 8" xfId="3951" xr:uid="{9360207E-7C14-41D3-BAB9-9363C07287A7}"/>
    <cellStyle name="20% - Énfasis1 2 2 2 2 4 2 9" xfId="3952" xr:uid="{F2862BDB-8DFE-4526-AE94-B0D09E285D68}"/>
    <cellStyle name="20% - Énfasis1 2 2 2 2 4 3" xfId="3953" xr:uid="{A701DD2F-0AFB-4D21-8C61-E4054777888F}"/>
    <cellStyle name="20% - Énfasis1 2 2 2 2 4 3 2" xfId="3954" xr:uid="{80518CB9-F5EA-4723-802C-D5D7CD6C7978}"/>
    <cellStyle name="20% - Énfasis1 2 2 2 2 4 3 2 2" xfId="3955" xr:uid="{6B0972D5-691C-4D6C-8734-8C64F8C878B0}"/>
    <cellStyle name="20% - Énfasis1 2 2 2 2 4 3 2 3" xfId="3956" xr:uid="{B1E229F1-3652-401E-BDC3-DE787FA6AA75}"/>
    <cellStyle name="20% - Énfasis1 2 2 2 2 4 3 2 4" xfId="3957" xr:uid="{184CFF27-3D4B-4413-BF40-048C5021B9F4}"/>
    <cellStyle name="20% - Énfasis1 2 2 2 2 4 3 2 5" xfId="3958" xr:uid="{230A3081-969D-4FE2-A58B-294F62FEDDE9}"/>
    <cellStyle name="20% - Énfasis1 2 2 2 2 4 3 3" xfId="3959" xr:uid="{C383FA9C-5C40-46CE-AB26-E1A7F796543F}"/>
    <cellStyle name="20% - Énfasis1 2 2 2 2 4 3 4" xfId="3960" xr:uid="{C9BF33DB-56C1-48BF-B1B9-B61F7D51FB67}"/>
    <cellStyle name="20% - Énfasis1 2 2 2 2 4 3 5" xfId="3961" xr:uid="{C2769BD2-F6CC-4496-A4A4-E5750AA0EC6B}"/>
    <cellStyle name="20% - Énfasis1 2 2 2 2 4 4" xfId="3962" xr:uid="{8742B758-8CF7-4F09-8E8E-C8E4F8AAD803}"/>
    <cellStyle name="20% - Énfasis1 2 2 2 2 4 5" xfId="3963" xr:uid="{B5DCB23F-7357-4DF9-A987-C4CA535A2A7F}"/>
    <cellStyle name="20% - Énfasis1 2 2 2 2 4 6" xfId="3964" xr:uid="{E173FB40-3278-4C7A-BD88-1F0AA629013F}"/>
    <cellStyle name="20% - Énfasis1 2 2 2 2 4 7" xfId="3965" xr:uid="{AD4525DF-66BE-4202-A9C6-5D61621B54D5}"/>
    <cellStyle name="20% - Énfasis1 2 2 2 2 4 8" xfId="3966" xr:uid="{1AFBE42A-CF5E-471F-A4AC-F85F68DCB815}"/>
    <cellStyle name="20% - Énfasis1 2 2 2 2 4 9" xfId="3967" xr:uid="{C5A93BA7-5E06-42C0-A876-F9A8F2A6EF9C}"/>
    <cellStyle name="20% - Énfasis1 2 2 2 2 5" xfId="3968" xr:uid="{38548788-975D-4862-8BCA-4D35AF3882D7}"/>
    <cellStyle name="20% - Énfasis1 2 2 2 2 6" xfId="3969" xr:uid="{53368BE3-B244-4404-8A7E-6537B2FC21DB}"/>
    <cellStyle name="20% - Énfasis1 2 2 2 2 7" xfId="3970" xr:uid="{6D86703B-F1CC-463B-AF18-27D27AA73C7B}"/>
    <cellStyle name="20% - Énfasis1 2 2 2 2 8" xfId="43573" xr:uid="{6CD8629E-B529-4606-8434-881FC26B3623}"/>
    <cellStyle name="20% - Énfasis1 2 2 2 3" xfId="3971" xr:uid="{188F6EF2-D3DC-41D7-A93F-6EB0AA665A4E}"/>
    <cellStyle name="20% - Énfasis1 2 2 2 3 2" xfId="3972" xr:uid="{3CF4B522-3E3D-465E-AE85-256043C3815C}"/>
    <cellStyle name="20% - Énfasis1 2 2 2 3 2 2" xfId="43578" xr:uid="{40788255-86F8-47D0-B8E3-39FB409BB9EE}"/>
    <cellStyle name="20% - Énfasis1 2 2 2 3 3" xfId="43577" xr:uid="{A2023D2B-2AF1-4C0D-B5F4-983D82DD1BC7}"/>
    <cellStyle name="20% - Énfasis1 2 2 2 4" xfId="3973" xr:uid="{932B2F95-6A64-4B28-A03D-A1E0A0A62D79}"/>
    <cellStyle name="20% - Énfasis1 2 2 2 4 2" xfId="3974" xr:uid="{47BA99CD-6A88-478A-979D-D583045037F5}"/>
    <cellStyle name="20% - Énfasis1 2 2 2 4 3" xfId="43579" xr:uid="{1027B6D0-3C54-460A-BDC4-80B6302274AE}"/>
    <cellStyle name="20% - Énfasis1 2 2 2 5" xfId="3975" xr:uid="{16BD8271-7FC4-4A45-AEAA-FF76D52DD023}"/>
    <cellStyle name="20% - Énfasis1 2 2 2 5 10" xfId="3976" xr:uid="{0BDA62A7-2E5A-4179-9F56-2604624445EC}"/>
    <cellStyle name="20% - Énfasis1 2 2 2 5 11" xfId="3977" xr:uid="{15D7DF81-556E-4D44-8045-7FB8DADC7F36}"/>
    <cellStyle name="20% - Énfasis1 2 2 2 5 2" xfId="3978" xr:uid="{5B1FA763-A701-459B-AF9D-59D70415D595}"/>
    <cellStyle name="20% - Énfasis1 2 2 2 5 2 10" xfId="3979" xr:uid="{9FAF7E92-B00F-4A1D-9E74-344915826DB2}"/>
    <cellStyle name="20% - Énfasis1 2 2 2 5 2 11" xfId="3980" xr:uid="{5B350AB5-319E-4761-8E4A-6BD0DCB8FE55}"/>
    <cellStyle name="20% - Énfasis1 2 2 2 5 2 2" xfId="3981" xr:uid="{0DC918BF-E03A-4EF9-A140-4D11E7619B10}"/>
    <cellStyle name="20% - Énfasis1 2 2 2 5 2 2 2" xfId="3982" xr:uid="{E72FB12E-D0FE-439D-9A96-3D700EAFBC71}"/>
    <cellStyle name="20% - Énfasis1 2 2 2 5 2 2 2 2" xfId="3983" xr:uid="{AFF3D885-44EE-414E-9B7E-64C71001DB12}"/>
    <cellStyle name="20% - Énfasis1 2 2 2 5 2 2 2 3" xfId="3984" xr:uid="{022697A2-3CF3-4FF7-AD76-EBAAA10E075F}"/>
    <cellStyle name="20% - Énfasis1 2 2 2 5 2 2 2 4" xfId="3985" xr:uid="{2C03A374-1574-4BDE-B67E-83262552BA27}"/>
    <cellStyle name="20% - Énfasis1 2 2 2 5 2 2 2 5" xfId="3986" xr:uid="{0F4ABF05-E67E-4AE8-AC3D-69868D99ECF8}"/>
    <cellStyle name="20% - Énfasis1 2 2 2 5 2 2 3" xfId="3987" xr:uid="{16662C07-2BA2-4EAA-9B80-1000523CC285}"/>
    <cellStyle name="20% - Énfasis1 2 2 2 5 2 2 4" xfId="3988" xr:uid="{78D7589C-5BFC-48B8-AC72-656A0DBE3747}"/>
    <cellStyle name="20% - Énfasis1 2 2 2 5 2 2 5" xfId="3989" xr:uid="{978F68F9-653A-45ED-8D53-24F5EF8A5EF5}"/>
    <cellStyle name="20% - Énfasis1 2 2 2 5 2 3" xfId="3990" xr:uid="{FFC6C27C-903D-4DB3-B1B8-51FEF8318356}"/>
    <cellStyle name="20% - Énfasis1 2 2 2 5 2 4" xfId="3991" xr:uid="{431F3AC3-5D3C-4DBC-BAD4-A0672A18D6D5}"/>
    <cellStyle name="20% - Énfasis1 2 2 2 5 2 5" xfId="3992" xr:uid="{08314ADA-F186-4C8A-92CD-9219288DE5AE}"/>
    <cellStyle name="20% - Énfasis1 2 2 2 5 2 6" xfId="3993" xr:uid="{B1607E05-497D-41F0-B51E-831648975EB9}"/>
    <cellStyle name="20% - Énfasis1 2 2 2 5 2 7" xfId="3994" xr:uid="{67EDFD7E-D55F-4622-BB1B-34A736D39474}"/>
    <cellStyle name="20% - Énfasis1 2 2 2 5 2 8" xfId="3995" xr:uid="{A0B6A5C1-C42F-476C-96C9-C81B53F02103}"/>
    <cellStyle name="20% - Énfasis1 2 2 2 5 2 9" xfId="3996" xr:uid="{7C71B33C-90F3-469A-A276-15678683BCCD}"/>
    <cellStyle name="20% - Énfasis1 2 2 2 5 3" xfId="3997" xr:uid="{6D6186B6-F1FD-496A-806A-046F22C9A3C6}"/>
    <cellStyle name="20% - Énfasis1 2 2 2 5 3 2" xfId="3998" xr:uid="{EF46922E-CEBB-4878-9BF6-F8EAE172BD7D}"/>
    <cellStyle name="20% - Énfasis1 2 2 2 5 3 2 2" xfId="3999" xr:uid="{EC7A209D-8AB8-4CF2-9C88-927F47DE705B}"/>
    <cellStyle name="20% - Énfasis1 2 2 2 5 3 2 3" xfId="4000" xr:uid="{E0672174-8C56-459B-A5C3-63DD466DC9E7}"/>
    <cellStyle name="20% - Énfasis1 2 2 2 5 3 2 4" xfId="4001" xr:uid="{B76EF7D6-6383-4341-B99D-230FBE96E5C7}"/>
    <cellStyle name="20% - Énfasis1 2 2 2 5 3 2 5" xfId="4002" xr:uid="{D8C81927-5EAC-4B93-B0EC-076A076C0A02}"/>
    <cellStyle name="20% - Énfasis1 2 2 2 5 3 3" xfId="4003" xr:uid="{026F012C-0DB6-4202-9976-0A92B17E5CAA}"/>
    <cellStyle name="20% - Énfasis1 2 2 2 5 3 4" xfId="4004" xr:uid="{1CA2AC9C-7AE4-4A30-95CE-42F93538ED8A}"/>
    <cellStyle name="20% - Énfasis1 2 2 2 5 3 5" xfId="4005" xr:uid="{63FD8B77-A3AF-4C23-BB36-21BADEA501F8}"/>
    <cellStyle name="20% - Énfasis1 2 2 2 5 4" xfId="4006" xr:uid="{8524E4E9-767F-4EBD-9104-2331FF51A748}"/>
    <cellStyle name="20% - Énfasis1 2 2 2 5 5" xfId="4007" xr:uid="{77CE1D63-50DF-4CFF-8597-C081649F928F}"/>
    <cellStyle name="20% - Énfasis1 2 2 2 5 6" xfId="4008" xr:uid="{1AF29FA4-067B-4241-9A06-F300A881A6C0}"/>
    <cellStyle name="20% - Énfasis1 2 2 2 5 7" xfId="4009" xr:uid="{8D99DBEB-E2CA-4EE5-9A32-3965B03B8EEE}"/>
    <cellStyle name="20% - Énfasis1 2 2 2 5 8" xfId="4010" xr:uid="{EEC523DE-7B9C-4D45-B96E-8560090B6A13}"/>
    <cellStyle name="20% - Énfasis1 2 2 2 5 9" xfId="4011" xr:uid="{1958EE58-7F66-4494-A352-9BB2F8991BF0}"/>
    <cellStyle name="20% - Énfasis1 2 2 2 6" xfId="4012" xr:uid="{BA281406-F785-4594-B27B-03CB36C3B0EC}"/>
    <cellStyle name="20% - Énfasis1 2 2 2 7" xfId="4013" xr:uid="{5044B3DA-1F0D-4E4B-BBD2-DEE906B68DE0}"/>
    <cellStyle name="20% - Énfasis1 2 2 2 8" xfId="4014" xr:uid="{BF205A80-156F-4F6B-879E-16D4B42EE59D}"/>
    <cellStyle name="20% - Énfasis1 2 2 2 9" xfId="43572" xr:uid="{DB00BD6E-1A3D-49CA-BBBE-E874FBCF3E70}"/>
    <cellStyle name="20% - Énfasis1 2 2 3" xfId="4015" xr:uid="{4FA89570-A4FC-4F29-AC04-569B0B343B70}"/>
    <cellStyle name="20% - Énfasis1 2 2 3 2" xfId="4016" xr:uid="{DEB2315B-27B2-420D-9B26-FBDF49F6B853}"/>
    <cellStyle name="20% - Énfasis1 2 2 3 2 2" xfId="43582" xr:uid="{F999A874-E7B7-4CC2-BBC8-32CF98479B86}"/>
    <cellStyle name="20% - Énfasis1 2 2 3 2 3" xfId="43581" xr:uid="{57256927-22C6-49EE-8EBD-2306FA17B9E1}"/>
    <cellStyle name="20% - Énfasis1 2 2 3 3" xfId="43583" xr:uid="{17DB8277-857C-4650-AD23-1748E3C3FA3B}"/>
    <cellStyle name="20% - Énfasis1 2 2 3 4" xfId="43580" xr:uid="{C0152C1C-3700-4188-964A-15EF74D5CCC5}"/>
    <cellStyle name="20% - Énfasis1 2 2 4" xfId="4017" xr:uid="{12B92AA2-5EF6-4ED2-9E07-45BE868C16B1}"/>
    <cellStyle name="20% - Énfasis1 2 2 4 2" xfId="4018" xr:uid="{734BD43B-80C8-4A8F-A41C-F5C2222E6009}"/>
    <cellStyle name="20% - Énfasis1 2 2 4 2 2" xfId="43585" xr:uid="{671A3361-660E-4684-8449-412E9C1506A4}"/>
    <cellStyle name="20% - Énfasis1 2 2 4 3" xfId="43584" xr:uid="{42F58BA1-0220-40AA-980E-2EEFAFE65CAA}"/>
    <cellStyle name="20% - Énfasis1 2 2 5" xfId="4019" xr:uid="{37E7CB48-831A-466A-81D8-567B3498C18E}"/>
    <cellStyle name="20% - Énfasis1 2 2 5 2" xfId="4020" xr:uid="{9BB1E708-C978-4D77-BC99-332F48BCA196}"/>
    <cellStyle name="20% - Énfasis1 2 2 5 3" xfId="43586" xr:uid="{394AB885-95AB-412F-BEEE-4A36B933A3A9}"/>
    <cellStyle name="20% - Énfasis1 2 2 6" xfId="4021" xr:uid="{EEBD275F-78B5-4A12-B162-0E5AB5B2EDCA}"/>
    <cellStyle name="20% - Énfasis1 2 2 6 2" xfId="4022" xr:uid="{11C90B73-B3CD-437B-BCF1-3D6529F6BDB9}"/>
    <cellStyle name="20% - Énfasis1 2 2 7" xfId="4023" xr:uid="{94AFEA1C-B786-422E-AFEC-ED6C80E7DD49}"/>
    <cellStyle name="20% - Énfasis1 2 2 7 2" xfId="4024" xr:uid="{AD4BBE8A-2EFF-4C50-979A-2E6A93DCD02C}"/>
    <cellStyle name="20% - Énfasis1 2 2 8" xfId="4025" xr:uid="{5FDCDF17-3063-4FA4-8F9C-9E87BD0C916F}"/>
    <cellStyle name="20% - Énfasis1 2 2 8 2" xfId="4026" xr:uid="{AA804A80-8207-4785-AD8B-44B7C1176CEB}"/>
    <cellStyle name="20% - Énfasis1 2 2 8 2 2" xfId="4027" xr:uid="{F2E70016-99E8-4373-A919-321F8EB55375}"/>
    <cellStyle name="20% - Énfasis1 2 2 8 3" xfId="4028" xr:uid="{F5C4ADB8-1A34-4B62-8546-18BAB6AA2379}"/>
    <cellStyle name="20% - Énfasis1 2 2 9" xfId="4029" xr:uid="{B583C6BA-1F1D-4EF6-AFBC-EF7D16A2781E}"/>
    <cellStyle name="20% - Énfasis1 2 2 9 2" xfId="4030" xr:uid="{3AB45EAC-E82C-4AA6-AA0F-A273DF272707}"/>
    <cellStyle name="20% - Énfasis1 2 3" xfId="4031" xr:uid="{C250139B-05A7-4B20-914B-245E91D868B6}"/>
    <cellStyle name="20% - Énfasis1 2 3 2" xfId="4032" xr:uid="{DFB0D687-8478-43DD-8C7B-855F7F223DFD}"/>
    <cellStyle name="20% - Énfasis1 2 3 2 2" xfId="43589" xr:uid="{9BAC769F-3F78-4C2F-B451-937B07020503}"/>
    <cellStyle name="20% - Énfasis1 2 3 2 2 2" xfId="43590" xr:uid="{7E59754D-44EC-4DDF-BB76-C6BA2C9AEFA4}"/>
    <cellStyle name="20% - Énfasis1 2 3 2 3" xfId="43591" xr:uid="{04D11316-488E-475E-8D23-067343387B9C}"/>
    <cellStyle name="20% - Énfasis1 2 3 2 4" xfId="43588" xr:uid="{F5120A70-9F97-496A-825F-78285BA42E29}"/>
    <cellStyle name="20% - Énfasis1 2 3 3" xfId="43592" xr:uid="{CF6B37A5-6AF7-44D6-9DB1-CC3FF4001C0A}"/>
    <cellStyle name="20% - Énfasis1 2 3 3 2" xfId="43593" xr:uid="{C1E8B808-4321-4B70-AEFE-EAA443495126}"/>
    <cellStyle name="20% - Énfasis1 2 3 4" xfId="43594" xr:uid="{F803FEC0-7649-41C3-98C1-E466F73FB0F0}"/>
    <cellStyle name="20% - Énfasis1 2 3 5" xfId="43587" xr:uid="{71255A89-0D5E-4151-8232-A6B2E3D32CA7}"/>
    <cellStyle name="20% - Énfasis1 2 4" xfId="4033" xr:uid="{8844EB09-FD11-4A73-84E0-5AB068060040}"/>
    <cellStyle name="20% - Énfasis1 2 4 10" xfId="4034" xr:uid="{4A817F4D-E0D9-4A8D-87FB-4497818700F6}"/>
    <cellStyle name="20% - Énfasis1 2 4 11" xfId="4035" xr:uid="{CD87B459-3219-4113-AE4D-9A82BDC947ED}"/>
    <cellStyle name="20% - Énfasis1 2 4 12" xfId="4036" xr:uid="{D3B90B90-39E0-4FD4-B8EF-5CA7E87D5C11}"/>
    <cellStyle name="20% - Énfasis1 2 4 13" xfId="43595" xr:uid="{73507EC2-2787-41A5-B021-4AA11526B7FD}"/>
    <cellStyle name="20% - Énfasis1 2 4 2" xfId="4037" xr:uid="{EF14AD13-55FA-49B9-B706-12319719FB54}"/>
    <cellStyle name="20% - Énfasis1 2 4 2 10" xfId="4038" xr:uid="{9526FA7E-2D9E-4AD4-B970-2CD6C8846D0A}"/>
    <cellStyle name="20% - Énfasis1 2 4 2 11" xfId="4039" xr:uid="{788F5093-B694-4DA7-8114-19766E97E4B3}"/>
    <cellStyle name="20% - Énfasis1 2 4 2 12" xfId="4040" xr:uid="{A9CC0905-114A-4F36-B2DB-2BFB7FB9D32A}"/>
    <cellStyle name="20% - Énfasis1 2 4 2 13" xfId="43596" xr:uid="{A7DC4F61-46F0-4BF6-8BF0-0A3D8C7A5BD1}"/>
    <cellStyle name="20% - Énfasis1 2 4 2 2" xfId="4041" xr:uid="{81268B34-FCF9-4CF4-B64D-E87DD41A2CE6}"/>
    <cellStyle name="20% - Énfasis1 2 4 2 2 10" xfId="4042" xr:uid="{F25D3F60-1088-4138-AA38-CB8C7B9AFDBF}"/>
    <cellStyle name="20% - Énfasis1 2 4 2 2 11" xfId="4043" xr:uid="{BB0623C2-13CC-4B3E-ADF0-492944DD5BB9}"/>
    <cellStyle name="20% - Énfasis1 2 4 2 2 12" xfId="43597" xr:uid="{85141361-8C56-4004-AAF4-E04C2E7CFE37}"/>
    <cellStyle name="20% - Énfasis1 2 4 2 2 2" xfId="4044" xr:uid="{F62BA08C-3114-4AA9-8F7E-0686B97E759F}"/>
    <cellStyle name="20% - Énfasis1 2 4 2 2 2 10" xfId="4045" xr:uid="{FF2A00AE-1B77-4D43-A927-9E49B8CDAD68}"/>
    <cellStyle name="20% - Énfasis1 2 4 2 2 2 11" xfId="4046" xr:uid="{385870D7-933B-4606-93D3-549D955D9B52}"/>
    <cellStyle name="20% - Énfasis1 2 4 2 2 2 2" xfId="4047" xr:uid="{64145E8C-D6A6-47DD-ADFF-33C356FF2A20}"/>
    <cellStyle name="20% - Énfasis1 2 4 2 2 2 2 2" xfId="4048" xr:uid="{077F99E5-2C77-4BC0-B803-4AAAA78175AE}"/>
    <cellStyle name="20% - Énfasis1 2 4 2 2 2 2 2 2" xfId="4049" xr:uid="{A7D00C7E-CE34-43F9-BB0C-BCBD60EC56C5}"/>
    <cellStyle name="20% - Énfasis1 2 4 2 2 2 2 2 3" xfId="4050" xr:uid="{4A955FDA-DFFA-45A0-B601-1EE3758ACB83}"/>
    <cellStyle name="20% - Énfasis1 2 4 2 2 2 2 2 4" xfId="4051" xr:uid="{128FEDB3-AAE4-4111-9BF2-B6C8EEFB7468}"/>
    <cellStyle name="20% - Énfasis1 2 4 2 2 2 2 2 5" xfId="4052" xr:uid="{5C3FF523-1185-4686-80E4-10B72AF5C93A}"/>
    <cellStyle name="20% - Énfasis1 2 4 2 2 2 2 3" xfId="4053" xr:uid="{E0B69D64-A53F-4408-9D4C-C709CD0756A3}"/>
    <cellStyle name="20% - Énfasis1 2 4 2 2 2 2 4" xfId="4054" xr:uid="{F4F4092F-4DFA-4410-9685-14CE701ABEAC}"/>
    <cellStyle name="20% - Énfasis1 2 4 2 2 2 2 5" xfId="4055" xr:uid="{3D31EB09-06B4-434F-B4A8-135F532C12BC}"/>
    <cellStyle name="20% - Énfasis1 2 4 2 2 2 3" xfId="4056" xr:uid="{1D38AA2F-3E2F-44A6-8FBE-AAAAE7FC2EB1}"/>
    <cellStyle name="20% - Énfasis1 2 4 2 2 2 4" xfId="4057" xr:uid="{3517BF89-B348-4D00-941C-FF4EFD67F922}"/>
    <cellStyle name="20% - Énfasis1 2 4 2 2 2 5" xfId="4058" xr:uid="{ABA0A5CD-DBFE-4079-9A99-B4C1E3FA6C12}"/>
    <cellStyle name="20% - Énfasis1 2 4 2 2 2 6" xfId="4059" xr:uid="{8809AA1C-B273-4D8A-B49F-B74A57F10896}"/>
    <cellStyle name="20% - Énfasis1 2 4 2 2 2 7" xfId="4060" xr:uid="{A4CF6634-A460-4487-B22B-943058105098}"/>
    <cellStyle name="20% - Énfasis1 2 4 2 2 2 8" xfId="4061" xr:uid="{CE805A81-3915-4065-95B3-FB9982CD7BAE}"/>
    <cellStyle name="20% - Énfasis1 2 4 2 2 2 9" xfId="4062" xr:uid="{2B516AD1-9958-4C68-A738-FB144E710DE3}"/>
    <cellStyle name="20% - Énfasis1 2 4 2 2 3" xfId="4063" xr:uid="{FDDB39FA-5B9A-40F0-A82A-3DE3BDBD48BA}"/>
    <cellStyle name="20% - Énfasis1 2 4 2 2 3 2" xfId="4064" xr:uid="{20019B3A-995E-4D50-8268-528AD1AF7C1E}"/>
    <cellStyle name="20% - Énfasis1 2 4 2 2 3 2 2" xfId="4065" xr:uid="{9027A346-48EE-40FB-BA09-36B313C4081B}"/>
    <cellStyle name="20% - Énfasis1 2 4 2 2 3 2 3" xfId="4066" xr:uid="{7E5D691C-A30B-47F7-8A1D-A603585D187B}"/>
    <cellStyle name="20% - Énfasis1 2 4 2 2 3 2 4" xfId="4067" xr:uid="{C29E8256-8933-4113-841F-1D01CBC18B36}"/>
    <cellStyle name="20% - Énfasis1 2 4 2 2 3 2 5" xfId="4068" xr:uid="{0A273C3D-77E5-4562-A489-9C574460EF6C}"/>
    <cellStyle name="20% - Énfasis1 2 4 2 2 3 3" xfId="4069" xr:uid="{BD430379-0400-402C-BA80-649BB011982F}"/>
    <cellStyle name="20% - Énfasis1 2 4 2 2 3 4" xfId="4070" xr:uid="{2E09647E-2D79-4F34-8966-922E48DA2F38}"/>
    <cellStyle name="20% - Énfasis1 2 4 2 2 3 5" xfId="4071" xr:uid="{9AED730B-8C4B-4232-B7B0-3E4A08051C96}"/>
    <cellStyle name="20% - Énfasis1 2 4 2 2 4" xfId="4072" xr:uid="{9449455A-7A0A-455E-B5F4-06E837BE6FFB}"/>
    <cellStyle name="20% - Énfasis1 2 4 2 2 5" xfId="4073" xr:uid="{4DE0AF4F-E58C-4D6F-9185-8F58672A670F}"/>
    <cellStyle name="20% - Énfasis1 2 4 2 2 6" xfId="4074" xr:uid="{B7F8D99A-141C-4E76-92F4-777E868FC488}"/>
    <cellStyle name="20% - Énfasis1 2 4 2 2 7" xfId="4075" xr:uid="{6F0BE0D3-134F-4270-AA4C-48CEDC67168D}"/>
    <cellStyle name="20% - Énfasis1 2 4 2 2 8" xfId="4076" xr:uid="{76D26C7C-51A3-4CC0-84C5-CE5F5E500EB2}"/>
    <cellStyle name="20% - Énfasis1 2 4 2 2 9" xfId="4077" xr:uid="{5B774CE6-546F-4759-97E0-6B43D4330B3D}"/>
    <cellStyle name="20% - Énfasis1 2 4 2 3" xfId="4078" xr:uid="{3DFF4994-599B-4AF0-BEAD-5D0967550000}"/>
    <cellStyle name="20% - Énfasis1 2 4 2 3 2" xfId="4079" xr:uid="{1D526056-5FFF-4A50-8870-A452F4D3A044}"/>
    <cellStyle name="20% - Énfasis1 2 4 2 3 2 2" xfId="4080" xr:uid="{EC42387D-BB70-4485-996C-BE055F642B59}"/>
    <cellStyle name="20% - Énfasis1 2 4 2 3 2 3" xfId="4081" xr:uid="{C1769093-72BA-4A33-A611-7F15D53A4C1D}"/>
    <cellStyle name="20% - Énfasis1 2 4 2 3 2 4" xfId="4082" xr:uid="{4D079672-1735-4C66-979A-2EB822FC5C07}"/>
    <cellStyle name="20% - Énfasis1 2 4 2 3 2 5" xfId="4083" xr:uid="{57B9FEDE-8A54-415A-A5C8-9106D62EE4EB}"/>
    <cellStyle name="20% - Énfasis1 2 4 2 3 3" xfId="4084" xr:uid="{05EDA858-6CC1-4F7B-86CF-F0A8F3651AE5}"/>
    <cellStyle name="20% - Énfasis1 2 4 2 3 4" xfId="4085" xr:uid="{D07DFE8E-A695-4620-867F-DD6A636D5DB5}"/>
    <cellStyle name="20% - Énfasis1 2 4 2 3 5" xfId="4086" xr:uid="{CAEDB123-2FD9-44D9-9CD8-77098A5FF1C1}"/>
    <cellStyle name="20% - Énfasis1 2 4 2 4" xfId="4087" xr:uid="{44552A52-531C-4750-BEE4-1407645BCFF0}"/>
    <cellStyle name="20% - Énfasis1 2 4 2 5" xfId="4088" xr:uid="{2BD27064-F8CF-46AA-94A2-8127BFCDF73B}"/>
    <cellStyle name="20% - Énfasis1 2 4 2 6" xfId="4089" xr:uid="{A4AAEED0-F227-4D3A-A9E1-B60F294C6CC1}"/>
    <cellStyle name="20% - Énfasis1 2 4 2 7" xfId="4090" xr:uid="{73811D39-97C1-453A-A15A-E980C2AC87D2}"/>
    <cellStyle name="20% - Énfasis1 2 4 2 8" xfId="4091" xr:uid="{3D9A28AA-CBD3-430D-BFCD-5774E0CE2B82}"/>
    <cellStyle name="20% - Énfasis1 2 4 2 9" xfId="4092" xr:uid="{29B88E36-FD26-4BDE-ADC2-E646E69A44C1}"/>
    <cellStyle name="20% - Énfasis1 2 4 3" xfId="4093" xr:uid="{06E405BD-6499-4FEC-B8FD-E9D55AFD0DF3}"/>
    <cellStyle name="20% - Énfasis1 2 4 3 10" xfId="4094" xr:uid="{5B23ED64-2B00-4EE4-9E40-8B56AF3E7E4D}"/>
    <cellStyle name="20% - Énfasis1 2 4 3 11" xfId="4095" xr:uid="{3EF1FD57-D4AA-49C1-BA29-42A1703F66F9}"/>
    <cellStyle name="20% - Énfasis1 2 4 3 12" xfId="43598" xr:uid="{49CCD9D8-BF13-49B9-83D8-A91319DA260E}"/>
    <cellStyle name="20% - Énfasis1 2 4 3 2" xfId="4096" xr:uid="{08B8C195-460E-4AB7-A736-1EA91D49029F}"/>
    <cellStyle name="20% - Énfasis1 2 4 3 2 2" xfId="4097" xr:uid="{DC15C031-30A1-4361-963D-F9353B08B737}"/>
    <cellStyle name="20% - Énfasis1 2 4 3 2 2 2" xfId="4098" xr:uid="{D5CA3BB8-E742-4E30-AFFC-56CCD6B180AC}"/>
    <cellStyle name="20% - Énfasis1 2 4 3 2 2 3" xfId="4099" xr:uid="{003245D3-2B94-40FA-BA20-E7541EE5AA03}"/>
    <cellStyle name="20% - Énfasis1 2 4 3 2 2 4" xfId="4100" xr:uid="{A6379C0F-C1A7-441E-8973-6422056AA33B}"/>
    <cellStyle name="20% - Énfasis1 2 4 3 2 2 5" xfId="4101" xr:uid="{099B1DDE-4373-40C8-9421-1B601EC97141}"/>
    <cellStyle name="20% - Énfasis1 2 4 3 2 3" xfId="4102" xr:uid="{12A2D79A-9E00-4D2A-8121-66A5460F94B3}"/>
    <cellStyle name="20% - Énfasis1 2 4 3 2 4" xfId="4103" xr:uid="{8A069B5C-A5E0-46FD-BD9C-6E1FECA98AAF}"/>
    <cellStyle name="20% - Énfasis1 2 4 3 2 5" xfId="4104" xr:uid="{179B4618-0F7E-4B4C-9D06-5AFF2426E8C0}"/>
    <cellStyle name="20% - Énfasis1 2 4 3 3" xfId="4105" xr:uid="{05A9EF9A-EEE2-45ED-962A-23A584E7B9FA}"/>
    <cellStyle name="20% - Énfasis1 2 4 3 4" xfId="4106" xr:uid="{C2EC0C12-6D6C-405C-A813-9DE4DD0810E5}"/>
    <cellStyle name="20% - Énfasis1 2 4 3 5" xfId="4107" xr:uid="{E6779A01-9D89-481D-9290-4B2F385318F6}"/>
    <cellStyle name="20% - Énfasis1 2 4 3 6" xfId="4108" xr:uid="{E42859A1-A90C-4A1A-8B41-56037C96D289}"/>
    <cellStyle name="20% - Énfasis1 2 4 3 7" xfId="4109" xr:uid="{1FECB2BE-5FDE-4197-BD49-80B50A47A071}"/>
    <cellStyle name="20% - Énfasis1 2 4 3 8" xfId="4110" xr:uid="{B643998B-C574-4958-A33A-F2266F3AF7EE}"/>
    <cellStyle name="20% - Énfasis1 2 4 3 9" xfId="4111" xr:uid="{CC82A02E-B0CD-433E-A03A-996333813416}"/>
    <cellStyle name="20% - Énfasis1 2 4 4" xfId="4112" xr:uid="{FADD2F73-1501-41F9-8D40-85173BB011CE}"/>
    <cellStyle name="20% - Énfasis1 2 4 4 2" xfId="4113" xr:uid="{03CBC283-A7C8-40BB-9A35-E5FFC995EF87}"/>
    <cellStyle name="20% - Énfasis1 2 4 4 2 2" xfId="4114" xr:uid="{42538CF3-D8E6-40C9-8F78-B47CD4B48B80}"/>
    <cellStyle name="20% - Énfasis1 2 4 4 2 3" xfId="4115" xr:uid="{52487804-92C2-46E0-B68B-3DA62405EA85}"/>
    <cellStyle name="20% - Énfasis1 2 4 4 2 4" xfId="4116" xr:uid="{3B460F0D-265F-498F-9CEE-CEBC4C61C0B3}"/>
    <cellStyle name="20% - Énfasis1 2 4 4 2 5" xfId="4117" xr:uid="{A6DB1983-9006-451C-B534-F779ABDA515E}"/>
    <cellStyle name="20% - Énfasis1 2 4 4 3" xfId="4118" xr:uid="{07ED5C73-FF47-49B7-968F-FDA0AEDEE93F}"/>
    <cellStyle name="20% - Énfasis1 2 4 4 4" xfId="4119" xr:uid="{543532E9-17D0-465A-BE64-B76827A2B619}"/>
    <cellStyle name="20% - Énfasis1 2 4 4 5" xfId="4120" xr:uid="{C9FC1231-48BF-4D27-A5C3-B62AFA00368C}"/>
    <cellStyle name="20% - Énfasis1 2 4 5" xfId="4121" xr:uid="{D0DFA6AD-BCE9-4232-99DD-77E78211AFCD}"/>
    <cellStyle name="20% - Énfasis1 2 4 6" xfId="4122" xr:uid="{A18F2BF7-FDBD-4343-B168-4D0B5DF3C8A6}"/>
    <cellStyle name="20% - Énfasis1 2 4 7" xfId="4123" xr:uid="{D8CAF03C-7FE6-4F80-8FDB-DE3728F16D5B}"/>
    <cellStyle name="20% - Énfasis1 2 4 8" xfId="4124" xr:uid="{6786CEEC-8EDD-4578-8E08-875C62631810}"/>
    <cellStyle name="20% - Énfasis1 2 4 9" xfId="4125" xr:uid="{FA050F94-8CE1-4D35-BFE6-477B2262035D}"/>
    <cellStyle name="20% - Énfasis1 2 5" xfId="4126" xr:uid="{5DAF6D78-9DCF-4AA3-A4D3-6B7A587A91C9}"/>
    <cellStyle name="20% - Énfasis1 2 5 2" xfId="4127" xr:uid="{5BB193CB-2A90-473F-994D-F705A249FB94}"/>
    <cellStyle name="20% - Énfasis1 2 5 2 2" xfId="43600" xr:uid="{04539B50-CB6D-4726-910D-38EB6B5959BA}"/>
    <cellStyle name="20% - Énfasis1 2 5 3" xfId="43599" xr:uid="{3E9C2C4D-2642-4D3B-B3F5-19B89E069F59}"/>
    <cellStyle name="20% - Énfasis1 2 6" xfId="4128" xr:uid="{DBB4025F-0EEB-48A5-844D-B613E02D36C2}"/>
    <cellStyle name="20% - Énfasis1 2 6 2" xfId="4129" xr:uid="{37A24299-05AE-477E-9962-8B6196D41512}"/>
    <cellStyle name="20% - Énfasis1 2 6 3" xfId="43601" xr:uid="{61BA9447-30C0-4B39-888A-9A7291A7F9AA}"/>
    <cellStyle name="20% - Énfasis1 2 7" xfId="4130" xr:uid="{00A68559-47FF-4F72-B62C-3E7107CBD2CC}"/>
    <cellStyle name="20% - Énfasis1 2 7 2" xfId="4131" xr:uid="{D99D6E9B-B030-41BB-B943-B69DE7292710}"/>
    <cellStyle name="20% - Énfasis1 2 8" xfId="4132" xr:uid="{B326A898-60B8-4052-8DB0-69996D6ACEAF}"/>
    <cellStyle name="20% - Énfasis1 2 8 2" xfId="4133" xr:uid="{529D30EB-E01F-47A6-8A97-FD2FF5698088}"/>
    <cellStyle name="20% - Énfasis1 2 8 2 2" xfId="4134" xr:uid="{B9CB200A-42B0-44FE-A724-650883B5FE20}"/>
    <cellStyle name="20% - Énfasis1 2 8 3" xfId="4135" xr:uid="{E593B374-3BC5-4CA1-B5E1-4DA778C274B1}"/>
    <cellStyle name="20% - Énfasis1 2 9" xfId="4136" xr:uid="{A3129BA2-9EAE-406F-9E60-62B3A150998E}"/>
    <cellStyle name="20% - Énfasis1 2 9 2" xfId="4137" xr:uid="{EE27AFC2-2BDA-4E06-A633-63A811ABF1C4}"/>
    <cellStyle name="20% - Énfasis1 3" xfId="4138" xr:uid="{8050AD02-A4C9-42B6-AAEF-D7891A3E4F8F}"/>
    <cellStyle name="20% - Énfasis1 3 2" xfId="4139" xr:uid="{DA0FB3E9-4359-4FDE-A795-31DC00FB5362}"/>
    <cellStyle name="20% - Énfasis1 3 2 2" xfId="4140" xr:uid="{6F5DE846-61ED-4BCB-8FD2-3EFFF41DA486}"/>
    <cellStyle name="20% - Énfasis1 3 2 2 2" xfId="43605" xr:uid="{5A0B0B5C-78CE-4FD7-A5CD-0B81AD617D54}"/>
    <cellStyle name="20% - Énfasis1 3 2 2 2 2" xfId="43606" xr:uid="{66ED6458-69AF-41DF-90C3-4798117DA1BA}"/>
    <cellStyle name="20% - Énfasis1 3 2 2 3" xfId="43607" xr:uid="{AE8834B4-178C-4517-B66C-B796041AC01C}"/>
    <cellStyle name="20% - Énfasis1 3 2 2 4" xfId="43604" xr:uid="{0C65FE95-B087-4B17-BCC2-015A105E838C}"/>
    <cellStyle name="20% - Énfasis1 3 2 3" xfId="43608" xr:uid="{F6BFFACF-35D4-4B3A-B45D-FDAA3C40A79F}"/>
    <cellStyle name="20% - Énfasis1 3 2 3 2" xfId="43609" xr:uid="{4E4E2C09-2D47-44DF-87BB-9163D4773787}"/>
    <cellStyle name="20% - Énfasis1 3 2 4" xfId="43610" xr:uid="{D3782499-1245-4C9C-BD7E-6663CBA4475C}"/>
    <cellStyle name="20% - Énfasis1 3 2 5" xfId="43603" xr:uid="{296F2A5E-182C-4CDF-AE90-5F5F079AE947}"/>
    <cellStyle name="20% - Énfasis1 3 3" xfId="4141" xr:uid="{76A38054-915C-4DE0-A8AA-005F109C20E4}"/>
    <cellStyle name="20% - Énfasis1 3 3 2" xfId="4142" xr:uid="{9B100B15-1E7D-40B8-9073-B56545670020}"/>
    <cellStyle name="20% - Énfasis1 3 3 2 2" xfId="43613" xr:uid="{F56C61B3-D944-4A5E-AA48-707FC3668FD7}"/>
    <cellStyle name="20% - Énfasis1 3 3 2 3" xfId="43612" xr:uid="{F89E107D-EB11-4D67-8F0C-AB50915FE21E}"/>
    <cellStyle name="20% - Énfasis1 3 3 3" xfId="43614" xr:uid="{5B80E4C0-5F05-42C8-BA3E-E4917ACC9CE8}"/>
    <cellStyle name="20% - Énfasis1 3 3 4" xfId="43611" xr:uid="{FA196267-E564-423E-86A3-13A801763E06}"/>
    <cellStyle name="20% - Énfasis1 3 4" xfId="4143" xr:uid="{6D6FFD00-B6A4-4522-BB28-19A80B522473}"/>
    <cellStyle name="20% - Énfasis1 3 4 2" xfId="43616" xr:uid="{B236A8DD-10BA-4D4A-B26C-64C5BB33B513}"/>
    <cellStyle name="20% - Énfasis1 3 4 3" xfId="43615" xr:uid="{28DCEDA6-C906-47C4-8174-28FD2A9B665B}"/>
    <cellStyle name="20% - Énfasis1 3 5" xfId="43617" xr:uid="{9980A7A8-5641-4966-ADC7-A765BD59F274}"/>
    <cellStyle name="20% - Énfasis1 3 6" xfId="43602" xr:uid="{DE3F5EAF-6682-4F6B-A972-BD2BE5DA9B82}"/>
    <cellStyle name="20% - Énfasis1 4" xfId="4144" xr:uid="{905F079B-B5B7-4FB8-9320-9842FFB002B6}"/>
    <cellStyle name="20% - Énfasis1 4 2" xfId="4145" xr:uid="{3C9D30FC-A6BB-44C7-9E56-ED42F1940AB7}"/>
    <cellStyle name="20% - Énfasis1 4 2 2" xfId="43620" xr:uid="{6F40D1FA-7486-4919-AC2E-CF10AAEAA789}"/>
    <cellStyle name="20% - Énfasis1 4 2 2 2" xfId="43621" xr:uid="{6F98B4A9-BFDA-4E4B-A684-325080F665E6}"/>
    <cellStyle name="20% - Énfasis1 4 2 3" xfId="43622" xr:uid="{8C75F900-0703-473E-B193-7B4FD21654EB}"/>
    <cellStyle name="20% - Énfasis1 4 2 4" xfId="43619" xr:uid="{42EDA363-2485-4CD1-8DF7-DC07760BD966}"/>
    <cellStyle name="20% - Énfasis1 4 3" xfId="43623" xr:uid="{191E62FD-91C4-4421-A000-EEAF1B3CBF6D}"/>
    <cellStyle name="20% - Énfasis1 4 3 2" xfId="43624" xr:uid="{E7BE909E-A8BF-4231-A557-4267E50CBE92}"/>
    <cellStyle name="20% - Énfasis1 4 4" xfId="43625" xr:uid="{661AED80-6FD9-4F19-91FC-2B9CFDDCF237}"/>
    <cellStyle name="20% - Énfasis1 4 5" xfId="43618" xr:uid="{6481240D-AF30-4098-9E3C-200752922342}"/>
    <cellStyle name="20% - Énfasis1 5" xfId="43626" xr:uid="{F9CA049A-DC5E-46BA-8A92-E3356A567484}"/>
    <cellStyle name="20% - Énfasis1 5 2" xfId="43627" xr:uid="{3091F726-AF8E-42F4-A410-CC8E8DBCF7FB}"/>
    <cellStyle name="20% - Énfasis1 5 2 2" xfId="43628" xr:uid="{6C4ED9EF-C095-4481-B78C-59F2860A913F}"/>
    <cellStyle name="20% - Énfasis1 5 2 2 2" xfId="43629" xr:uid="{9C587ECF-BCFC-4E53-A728-73B35DBC3F4E}"/>
    <cellStyle name="20% - Énfasis1 5 2 3" xfId="43630" xr:uid="{AE4E0D4A-3528-4450-889E-2F3DC51004CA}"/>
    <cellStyle name="20% - Énfasis1 5 3" xfId="43631" xr:uid="{90535389-A522-4C93-B911-2015A0905FC6}"/>
    <cellStyle name="20% - Énfasis1 5 3 2" xfId="43632" xr:uid="{70EFEE7D-3C48-473E-96BC-37CC9E4BC9B0}"/>
    <cellStyle name="20% - Énfasis1 5 4" xfId="43633" xr:uid="{1332E6F4-031A-4FFB-B0C8-5E21A19594EE}"/>
    <cellStyle name="20% - Énfasis1 6" xfId="43634" xr:uid="{A2B79376-6CEE-49E4-9EEF-C0B5EC6A5D56}"/>
    <cellStyle name="20% - Énfasis1 6 2" xfId="43635" xr:uid="{C23A939A-3923-48D3-B741-11BAAD2CC7DC}"/>
    <cellStyle name="20% - Énfasis1 6 2 2" xfId="43636" xr:uid="{B79D26F6-B68A-431D-8BFB-D3B211269C36}"/>
    <cellStyle name="20% - Énfasis1 6 3" xfId="43637" xr:uid="{7EF0EBD3-2741-4A0D-AE17-17BE016E5672}"/>
    <cellStyle name="20% - Énfasis1 7" xfId="43638" xr:uid="{36FECDCF-8226-482B-A99C-4144C486CA53}"/>
    <cellStyle name="20% - Énfasis1 7 2" xfId="43639" xr:uid="{46D8ED00-F864-4DC7-BBF8-CB670B45B0C7}"/>
    <cellStyle name="20% - Énfasis1 8" xfId="43640" xr:uid="{050460D0-22E6-4BC9-99DA-AEB9A42FDD18}"/>
    <cellStyle name="20% - Énfasis2" xfId="27" builtinId="34" customBuiltin="1"/>
    <cellStyle name="20% - Énfasis2 2" xfId="4146" xr:uid="{6D7D71B8-A1C6-4906-884C-09AD77E23B90}"/>
    <cellStyle name="20% - Énfasis2 2 10" xfId="4147" xr:uid="{0252F930-785F-4F32-A488-EC9C0E175A6B}"/>
    <cellStyle name="20% - Énfasis2 2 10 10" xfId="4148" xr:uid="{9BF03019-CA70-4F49-90D3-755C314FE9CD}"/>
    <cellStyle name="20% - Énfasis2 2 10 11" xfId="4149" xr:uid="{2A69D47D-D5ED-4CCE-89E9-F38592B5B410}"/>
    <cellStyle name="20% - Énfasis2 2 10 2" xfId="4150" xr:uid="{E4745293-1083-41AF-8DD4-95D79F2CCA22}"/>
    <cellStyle name="20% - Énfasis2 2 10 2 10" xfId="4151" xr:uid="{61D98A7B-7170-4A54-A27F-489D5F5A1F44}"/>
    <cellStyle name="20% - Énfasis2 2 10 2 11" xfId="4152" xr:uid="{909F4E1C-848E-458E-A8A1-97DB5C5960F9}"/>
    <cellStyle name="20% - Énfasis2 2 10 2 2" xfId="4153" xr:uid="{CF55E512-D98B-47D7-8737-8A5510EF9337}"/>
    <cellStyle name="20% - Énfasis2 2 10 2 2 2" xfId="4154" xr:uid="{DF1C4889-418E-4626-8628-37DB4A968B61}"/>
    <cellStyle name="20% - Énfasis2 2 10 2 2 2 2" xfId="4155" xr:uid="{61708138-08EC-4037-86F6-C7ECF59902A6}"/>
    <cellStyle name="20% - Énfasis2 2 10 2 2 2 3" xfId="4156" xr:uid="{EA74DE6A-DB94-47D2-A370-D4789DB03EAD}"/>
    <cellStyle name="20% - Énfasis2 2 10 2 2 2 4" xfId="4157" xr:uid="{44FAA287-B25F-4452-BD42-3F83B73398E3}"/>
    <cellStyle name="20% - Énfasis2 2 10 2 2 2 5" xfId="4158" xr:uid="{4D73F165-D15C-4789-854A-ABD684C72ECD}"/>
    <cellStyle name="20% - Énfasis2 2 10 2 2 3" xfId="4159" xr:uid="{513D6B90-937D-4DF2-811C-88E716A07E38}"/>
    <cellStyle name="20% - Énfasis2 2 10 2 2 4" xfId="4160" xr:uid="{7DCB44C7-8735-40BD-97D7-7C63F41E12D4}"/>
    <cellStyle name="20% - Énfasis2 2 10 2 2 5" xfId="4161" xr:uid="{E14327F1-483F-4617-BF6E-077C04512C94}"/>
    <cellStyle name="20% - Énfasis2 2 10 2 3" xfId="4162" xr:uid="{A9A35330-BA20-4691-AE03-83E3AA657502}"/>
    <cellStyle name="20% - Énfasis2 2 10 2 4" xfId="4163" xr:uid="{02F74119-98AD-45E5-99F3-5727CEE1CE93}"/>
    <cellStyle name="20% - Énfasis2 2 10 2 5" xfId="4164" xr:uid="{30CFFAAE-1C5E-4725-ADA6-A77455A5389A}"/>
    <cellStyle name="20% - Énfasis2 2 10 2 6" xfId="4165" xr:uid="{4EC7FC14-EEAD-4D4C-B264-34D540C34E4A}"/>
    <cellStyle name="20% - Énfasis2 2 10 2 7" xfId="4166" xr:uid="{758C7527-3D16-4708-B961-CD52D332EC11}"/>
    <cellStyle name="20% - Énfasis2 2 10 2 8" xfId="4167" xr:uid="{9B25DAD3-625A-4B77-B121-CFDA35A95EEB}"/>
    <cellStyle name="20% - Énfasis2 2 10 2 9" xfId="4168" xr:uid="{C121B7CD-9613-4730-A3C8-6B96C90A904C}"/>
    <cellStyle name="20% - Énfasis2 2 10 3" xfId="4169" xr:uid="{07FAA7DC-98D1-4805-8CAF-3F2E3EA9AB97}"/>
    <cellStyle name="20% - Énfasis2 2 10 3 2" xfId="4170" xr:uid="{AE450FA1-A2C9-429E-8DBA-9876BD528B18}"/>
    <cellStyle name="20% - Énfasis2 2 10 3 2 2" xfId="4171" xr:uid="{947E979C-3D54-44FA-A0A0-03A58DA50174}"/>
    <cellStyle name="20% - Énfasis2 2 10 3 2 3" xfId="4172" xr:uid="{E699E1F3-4DF1-4095-82D8-77A427F1349F}"/>
    <cellStyle name="20% - Énfasis2 2 10 3 2 4" xfId="4173" xr:uid="{1FCACE09-F402-422A-9A2E-64DD6BCEDB09}"/>
    <cellStyle name="20% - Énfasis2 2 10 3 2 5" xfId="4174" xr:uid="{67BFAE6F-A72A-4341-95C7-77499A51E1B6}"/>
    <cellStyle name="20% - Énfasis2 2 10 3 3" xfId="4175" xr:uid="{890C68DC-88B8-434B-AD78-FFFE5657134C}"/>
    <cellStyle name="20% - Énfasis2 2 10 3 4" xfId="4176" xr:uid="{403FE32E-3EE2-4CC7-AA52-73C977147262}"/>
    <cellStyle name="20% - Énfasis2 2 10 3 5" xfId="4177" xr:uid="{07DC900A-B501-4E8E-83AB-B5F08A9B851A}"/>
    <cellStyle name="20% - Énfasis2 2 10 4" xfId="4178" xr:uid="{350D011C-BC65-4152-BB52-8CC0B2FC6A32}"/>
    <cellStyle name="20% - Énfasis2 2 10 5" xfId="4179" xr:uid="{3296F095-393B-4B8D-B607-25CAC9CECB96}"/>
    <cellStyle name="20% - Énfasis2 2 10 6" xfId="4180" xr:uid="{ADDC343C-1AF2-46F6-9BEC-334CDB85ED55}"/>
    <cellStyle name="20% - Énfasis2 2 10 7" xfId="4181" xr:uid="{7249DD44-2F4F-4E91-B274-1EF629DDDB79}"/>
    <cellStyle name="20% - Énfasis2 2 10 8" xfId="4182" xr:uid="{ED4027DA-5491-47A8-92CC-78EBAFC1827D}"/>
    <cellStyle name="20% - Énfasis2 2 10 9" xfId="4183" xr:uid="{F5E2F716-B37E-490D-A352-A9EA0F6824FB}"/>
    <cellStyle name="20% - Énfasis2 2 11" xfId="4184" xr:uid="{25134ADA-1CB4-4A3A-BC80-B623ABD54BE4}"/>
    <cellStyle name="20% - Énfasis2 2 12" xfId="4185" xr:uid="{AFDB4DB5-4F05-458A-AB9F-8DFE094C5972}"/>
    <cellStyle name="20% - Énfasis2 2 13" xfId="4186" xr:uid="{DB4D3C8D-EAC9-4551-98C8-1866DFD9365B}"/>
    <cellStyle name="20% - Énfasis2 2 14" xfId="43641" xr:uid="{B639F9D3-B2D8-49F5-B757-AED6ECF60F9D}"/>
    <cellStyle name="20% - Énfasis2 2 2" xfId="4187" xr:uid="{5E5E59BF-D376-4E3B-8740-577631C31B2F}"/>
    <cellStyle name="20% - Énfasis2 2 2 10" xfId="4188" xr:uid="{B5984E24-7166-4C52-AC06-FF15BC12693C}"/>
    <cellStyle name="20% - Énfasis2 2 2 10 10" xfId="4189" xr:uid="{35C27C44-DCF0-43A3-809C-59529419632C}"/>
    <cellStyle name="20% - Énfasis2 2 2 10 11" xfId="4190" xr:uid="{94C88315-2320-4D11-BC35-85F773794FF8}"/>
    <cellStyle name="20% - Énfasis2 2 2 10 2" xfId="4191" xr:uid="{5F2B2382-DFD0-48A2-BBEE-3621C14AA9C3}"/>
    <cellStyle name="20% - Énfasis2 2 2 10 2 10" xfId="4192" xr:uid="{C8F54DD5-A62A-43C9-9396-E6EC22E482A9}"/>
    <cellStyle name="20% - Énfasis2 2 2 10 2 11" xfId="4193" xr:uid="{3277607A-0593-4E62-A201-0AA3D94EEBBF}"/>
    <cellStyle name="20% - Énfasis2 2 2 10 2 2" xfId="4194" xr:uid="{7239461D-1C1A-452D-866E-2B7CAFD48B93}"/>
    <cellStyle name="20% - Énfasis2 2 2 10 2 2 2" xfId="4195" xr:uid="{2CB011DD-E63E-49A8-8551-59006B57B6C5}"/>
    <cellStyle name="20% - Énfasis2 2 2 10 2 2 2 2" xfId="4196" xr:uid="{D1A94133-1BF2-40ED-91C4-E0FAE66C688E}"/>
    <cellStyle name="20% - Énfasis2 2 2 10 2 2 2 3" xfId="4197" xr:uid="{54E887D6-5B9D-49BB-A3E5-0CBD798B69DC}"/>
    <cellStyle name="20% - Énfasis2 2 2 10 2 2 2 4" xfId="4198" xr:uid="{C21B8E12-4C59-43CD-B20E-EF2B2CF0B248}"/>
    <cellStyle name="20% - Énfasis2 2 2 10 2 2 2 5" xfId="4199" xr:uid="{BD04059D-93D7-4EA8-AFE6-8F7C416C55E9}"/>
    <cellStyle name="20% - Énfasis2 2 2 10 2 2 3" xfId="4200" xr:uid="{B85AF730-037F-4E74-B8BE-501BE3C870BF}"/>
    <cellStyle name="20% - Énfasis2 2 2 10 2 2 4" xfId="4201" xr:uid="{47AB10F9-D31E-4A38-B257-87D1BED3F775}"/>
    <cellStyle name="20% - Énfasis2 2 2 10 2 2 5" xfId="4202" xr:uid="{D0925919-CFC2-4644-9000-95491BAD4B2E}"/>
    <cellStyle name="20% - Énfasis2 2 2 10 2 3" xfId="4203" xr:uid="{CA1FDFBC-9326-4488-A46D-4FEE9FF101B1}"/>
    <cellStyle name="20% - Énfasis2 2 2 10 2 4" xfId="4204" xr:uid="{60838C88-5859-4829-9B1A-FEA119DE80B8}"/>
    <cellStyle name="20% - Énfasis2 2 2 10 2 5" xfId="4205" xr:uid="{0D08DF5C-95C6-4419-9E4D-A945AAAC4E7B}"/>
    <cellStyle name="20% - Énfasis2 2 2 10 2 6" xfId="4206" xr:uid="{28D9B7EF-C1D8-49B6-846E-20E269F622BE}"/>
    <cellStyle name="20% - Énfasis2 2 2 10 2 7" xfId="4207" xr:uid="{EB411893-3116-466B-9F9F-C085842C5CCC}"/>
    <cellStyle name="20% - Énfasis2 2 2 10 2 8" xfId="4208" xr:uid="{0AD086B5-97DD-4BB7-9495-02053CFD8F0C}"/>
    <cellStyle name="20% - Énfasis2 2 2 10 2 9" xfId="4209" xr:uid="{F71DE36B-290A-4EC1-A09A-B86C7727C202}"/>
    <cellStyle name="20% - Énfasis2 2 2 10 3" xfId="4210" xr:uid="{5ADA0E6F-A500-49FE-96B4-F05A392EF372}"/>
    <cellStyle name="20% - Énfasis2 2 2 10 3 2" xfId="4211" xr:uid="{9BD2A706-BB94-4DE0-A152-457F0391D139}"/>
    <cellStyle name="20% - Énfasis2 2 2 10 3 2 2" xfId="4212" xr:uid="{C591391F-55B1-4944-991D-ABB7E454FC16}"/>
    <cellStyle name="20% - Énfasis2 2 2 10 3 2 3" xfId="4213" xr:uid="{D372D0EB-025A-4AA5-A1C3-98A5061FAAC8}"/>
    <cellStyle name="20% - Énfasis2 2 2 10 3 2 4" xfId="4214" xr:uid="{4094BDB4-6FCC-4327-AAE1-3369C7B32561}"/>
    <cellStyle name="20% - Énfasis2 2 2 10 3 2 5" xfId="4215" xr:uid="{FD7B2899-37F4-404D-8A67-F7F7B1328DEB}"/>
    <cellStyle name="20% - Énfasis2 2 2 10 3 3" xfId="4216" xr:uid="{A7C88A79-175D-443C-9ACE-A3AD45240134}"/>
    <cellStyle name="20% - Énfasis2 2 2 10 3 4" xfId="4217" xr:uid="{7F9147C7-54DE-45A3-8533-E9E3E380EBA4}"/>
    <cellStyle name="20% - Énfasis2 2 2 10 3 5" xfId="4218" xr:uid="{BC059814-26F2-4126-9C9F-5DB24CE1CBDD}"/>
    <cellStyle name="20% - Énfasis2 2 2 10 4" xfId="4219" xr:uid="{E92417D4-6373-4E47-A7AC-D6CF80938D90}"/>
    <cellStyle name="20% - Énfasis2 2 2 10 5" xfId="4220" xr:uid="{F49075CF-A7AB-4D14-825D-111F226EA09F}"/>
    <cellStyle name="20% - Énfasis2 2 2 10 6" xfId="4221" xr:uid="{BDECEEF0-43F9-4815-898A-B4C33E2243FE}"/>
    <cellStyle name="20% - Énfasis2 2 2 10 7" xfId="4222" xr:uid="{F074DBFD-205A-46C3-8F81-D06CA839D488}"/>
    <cellStyle name="20% - Énfasis2 2 2 10 8" xfId="4223" xr:uid="{512A04FF-2877-4739-9E52-1F078790B20F}"/>
    <cellStyle name="20% - Énfasis2 2 2 10 9" xfId="4224" xr:uid="{BE95A161-B027-436F-958E-E85052E5CD3F}"/>
    <cellStyle name="20% - Énfasis2 2 2 11" xfId="4225" xr:uid="{0EC8E089-C578-4801-98BA-745B1628DE27}"/>
    <cellStyle name="20% - Énfasis2 2 2 12" xfId="4226" xr:uid="{B84F17A9-B3AD-468A-8945-5A68FF95CED2}"/>
    <cellStyle name="20% - Énfasis2 2 2 13" xfId="4227" xr:uid="{9D8DE26B-910D-4487-A902-5E8DACF4BCBB}"/>
    <cellStyle name="20% - Énfasis2 2 2 14" xfId="43642" xr:uid="{F86B79B0-1854-4DE0-BFE5-84A31DF780A5}"/>
    <cellStyle name="20% - Énfasis2 2 2 2" xfId="4228" xr:uid="{B49EDE64-BBDD-44AD-AFA4-C4B8D8DB7712}"/>
    <cellStyle name="20% - Énfasis2 2 2 2 2" xfId="4229" xr:uid="{E9699BEF-3862-4D01-9293-F4605FEBBCCD}"/>
    <cellStyle name="20% - Énfasis2 2 2 2 2 2" xfId="4230" xr:uid="{F0A310FA-19AB-476E-BA6A-6B7DFEE24D98}"/>
    <cellStyle name="20% - Énfasis2 2 2 2 2 2 2" xfId="4231" xr:uid="{63145CFF-7ECC-4FCC-8CDB-E89DF11DAC75}"/>
    <cellStyle name="20% - Énfasis2 2 2 2 2 2 2 2" xfId="4232" xr:uid="{FD994C3D-E035-4652-B2EE-499B6D1FC6C2}"/>
    <cellStyle name="20% - Énfasis2 2 2 2 2 2 2 2 2" xfId="4233" xr:uid="{5147AF0E-E1EA-4AAB-B772-486FEF09111D}"/>
    <cellStyle name="20% - Énfasis2 2 2 2 2 2 2 2 2 2" xfId="4234" xr:uid="{7FC149A9-0DFF-4A78-B389-48CEECD537E7}"/>
    <cellStyle name="20% - Énfasis2 2 2 2 2 2 2 2 2 2 2" xfId="4235" xr:uid="{A8DCB96A-ABC6-4554-9B5F-DD66EB8D245A}"/>
    <cellStyle name="20% - Énfasis2 2 2 2 2 2 2 2 2 2 2 2" xfId="4236" xr:uid="{DD8AE3A4-AD7A-46E3-A627-E70884CF0B67}"/>
    <cellStyle name="20% - Énfasis2 2 2 2 2 2 2 2 2 2 2 2 2" xfId="4237" xr:uid="{BC414A58-4C7E-45C4-90E0-75CB91C25CD2}"/>
    <cellStyle name="20% - Énfasis2 2 2 2 2 2 2 2 2 2 2 2 2 2" xfId="4238" xr:uid="{D2D2EA65-99E0-4690-B57A-85F1762A9B86}"/>
    <cellStyle name="20% - Énfasis2 2 2 2 2 2 2 2 2 2 2 2 2 2 2" xfId="4239" xr:uid="{CDA03A5E-1A5D-4676-91EB-D5F93E8F948C}"/>
    <cellStyle name="20% - Énfasis2 2 2 2 2 2 2 2 2 2 2 2 2 2 3" xfId="4240" xr:uid="{076B6798-D7F6-45C1-8587-975380950AA2}"/>
    <cellStyle name="20% - Énfasis2 2 2 2 2 2 2 2 2 2 2 2 2 2 4" xfId="4241" xr:uid="{C6151EC8-5F54-46FA-B1B3-240F7F702852}"/>
    <cellStyle name="20% - Énfasis2 2 2 2 2 2 2 2 2 2 2 2 2 2 5" xfId="4242" xr:uid="{2BDCDEEB-26A0-4296-9A19-0B284717C0CC}"/>
    <cellStyle name="20% - Énfasis2 2 2 2 2 2 2 2 2 2 2 2 2 3" xfId="4243" xr:uid="{EE3C2DDC-7C88-4105-AC53-228AC851ED88}"/>
    <cellStyle name="20% - Énfasis2 2 2 2 2 2 2 2 2 2 2 2 2 4" xfId="4244" xr:uid="{C09602EB-D0F9-4CA6-B199-DBAC62A24F85}"/>
    <cellStyle name="20% - Énfasis2 2 2 2 2 2 2 2 2 2 2 2 2 5" xfId="4245" xr:uid="{AEB1B268-1C60-467F-8450-167CFF03B0E0}"/>
    <cellStyle name="20% - Énfasis2 2 2 2 2 2 2 2 2 2 2 2 3" xfId="4246" xr:uid="{A6D50004-2E2F-4ED1-A05E-456F666DF11B}"/>
    <cellStyle name="20% - Énfasis2 2 2 2 2 2 2 2 2 2 2 2 4" xfId="4247" xr:uid="{32D7139B-C886-4A60-8820-ECA516651A60}"/>
    <cellStyle name="20% - Énfasis2 2 2 2 2 2 2 2 2 2 2 2 5" xfId="4248" xr:uid="{B1C4269E-95D5-41F3-8906-26D5C54C223A}"/>
    <cellStyle name="20% - Énfasis2 2 2 2 2 2 2 2 2 2 2 2 6" xfId="4249" xr:uid="{B85643E9-E9EE-4EA8-BE0F-5E009D836A99}"/>
    <cellStyle name="20% - Énfasis2 2 2 2 2 2 2 2 2 2 2 3" xfId="4250" xr:uid="{50617E8C-2797-4679-9E37-36C0F79F16D1}"/>
    <cellStyle name="20% - Énfasis2 2 2 2 2 2 2 2 2 2 2 4" xfId="4251" xr:uid="{EDC2DCF6-FF46-435A-9B6F-585C24BA6206}"/>
    <cellStyle name="20% - Énfasis2 2 2 2 2 2 2 2 2 2 3" xfId="4252" xr:uid="{C75CD78B-5ECF-4D35-B1ED-8289053ADE8E}"/>
    <cellStyle name="20% - Énfasis2 2 2 2 2 2 2 2 2 2 4" xfId="4253" xr:uid="{82019D33-E769-4B32-9649-3A85E24F8D19}"/>
    <cellStyle name="20% - Énfasis2 2 2 2 2 2 2 2 2 3" xfId="4254" xr:uid="{A2D3BE82-AFF9-4EA5-B118-0E733A8EB2D2}"/>
    <cellStyle name="20% - Énfasis2 2 2 2 2 2 2 2 2 4" xfId="4255" xr:uid="{D9935A00-B5CD-4F36-8D2D-2B5D9C6A7498}"/>
    <cellStyle name="20% - Énfasis2 2 2 2 2 2 2 2 2 5" xfId="4256" xr:uid="{BB2CF468-5BD8-4346-804D-BEE13288B68F}"/>
    <cellStyle name="20% - Énfasis2 2 2 2 2 2 2 2 3" xfId="4257" xr:uid="{174FC315-93A3-4309-8584-FF49061C6418}"/>
    <cellStyle name="20% - Énfasis2 2 2 2 2 2 2 2 3 10" xfId="4258" xr:uid="{D671FCF6-6895-4115-987C-CB4A1FA76C6F}"/>
    <cellStyle name="20% - Énfasis2 2 2 2 2 2 2 2 3 11" xfId="4259" xr:uid="{2F76B086-A0FC-4484-A563-6D20FA096A15}"/>
    <cellStyle name="20% - Énfasis2 2 2 2 2 2 2 2 3 2" xfId="4260" xr:uid="{38EEBACF-427F-4585-BCB3-9A3419F925E7}"/>
    <cellStyle name="20% - Énfasis2 2 2 2 2 2 2 2 3 2 2" xfId="4261" xr:uid="{09020A17-48D0-473C-967B-2D8DC620E569}"/>
    <cellStyle name="20% - Énfasis2 2 2 2 2 2 2 2 3 2 2 2" xfId="4262" xr:uid="{5B14B36F-4C00-4064-8085-97987BDBE682}"/>
    <cellStyle name="20% - Énfasis2 2 2 2 2 2 2 2 3 2 2 3" xfId="4263" xr:uid="{9DFB2A4B-2D68-494E-930B-82FA7ED7AD6E}"/>
    <cellStyle name="20% - Énfasis2 2 2 2 2 2 2 2 3 2 2 4" xfId="4264" xr:uid="{E2A83EF7-4926-48CD-8A31-D12C0A226CB3}"/>
    <cellStyle name="20% - Énfasis2 2 2 2 2 2 2 2 3 2 2 5" xfId="4265" xr:uid="{C4B87F26-44FF-4DCE-B2F9-06D2F88323E3}"/>
    <cellStyle name="20% - Énfasis2 2 2 2 2 2 2 2 3 2 3" xfId="4266" xr:uid="{24B386A3-F8E3-4A94-9C7D-F0907B2E918F}"/>
    <cellStyle name="20% - Énfasis2 2 2 2 2 2 2 2 3 2 4" xfId="4267" xr:uid="{80197986-5279-44F9-BCBC-08F0415E96F6}"/>
    <cellStyle name="20% - Énfasis2 2 2 2 2 2 2 2 3 2 5" xfId="4268" xr:uid="{57B88145-4AE1-4D9C-950E-3110C1208B95}"/>
    <cellStyle name="20% - Énfasis2 2 2 2 2 2 2 2 3 3" xfId="4269" xr:uid="{32E5CC9D-12B1-4CFB-B920-4E3E14262A2C}"/>
    <cellStyle name="20% - Énfasis2 2 2 2 2 2 2 2 3 4" xfId="4270" xr:uid="{46CD4C76-15A8-49B5-BA6E-E0FFCB14B669}"/>
    <cellStyle name="20% - Énfasis2 2 2 2 2 2 2 2 3 5" xfId="4271" xr:uid="{A5D3D4A4-0A5D-498C-9DF4-DDF1E3D24565}"/>
    <cellStyle name="20% - Énfasis2 2 2 2 2 2 2 2 3 6" xfId="4272" xr:uid="{C581FE8B-DE72-451D-8F41-82ABE1AB5896}"/>
    <cellStyle name="20% - Énfasis2 2 2 2 2 2 2 2 3 7" xfId="4273" xr:uid="{6B2930FD-C211-4208-A68B-8357A1839F6C}"/>
    <cellStyle name="20% - Énfasis2 2 2 2 2 2 2 2 3 8" xfId="4274" xr:uid="{274EE3C7-A062-4953-8F95-3F3A3ED357E5}"/>
    <cellStyle name="20% - Énfasis2 2 2 2 2 2 2 2 3 9" xfId="4275" xr:uid="{9418BF8B-9B1D-489D-B898-6EA4D6525836}"/>
    <cellStyle name="20% - Énfasis2 2 2 2 2 2 2 2 4" xfId="4276" xr:uid="{B8FD0049-3FC3-4D96-AEDB-C3DC6BB5B74B}"/>
    <cellStyle name="20% - Énfasis2 2 2 2 2 2 2 2 5" xfId="4277" xr:uid="{CE09D969-D688-4BB1-9BFA-736C33B88786}"/>
    <cellStyle name="20% - Énfasis2 2 2 2 2 2 2 3" xfId="4278" xr:uid="{B7A17880-B570-4D4D-8B96-A2FFFB855294}"/>
    <cellStyle name="20% - Énfasis2 2 2 2 2 2 2 3 10" xfId="4279" xr:uid="{A1675E61-F258-4383-A900-8E7BB8217968}"/>
    <cellStyle name="20% - Énfasis2 2 2 2 2 2 2 3 11" xfId="4280" xr:uid="{3DDE832C-C0BD-4949-8042-85F4BB0AC51D}"/>
    <cellStyle name="20% - Énfasis2 2 2 2 2 2 2 3 2" xfId="4281" xr:uid="{623FEB6B-B3DC-419B-92B5-B389E208F718}"/>
    <cellStyle name="20% - Énfasis2 2 2 2 2 2 2 3 2 10" xfId="4282" xr:uid="{B4B93F65-0E06-4467-81E0-147098A512DA}"/>
    <cellStyle name="20% - Énfasis2 2 2 2 2 2 2 3 2 11" xfId="4283" xr:uid="{BFCFA0FF-6840-4C00-893A-FB69486B58E0}"/>
    <cellStyle name="20% - Énfasis2 2 2 2 2 2 2 3 2 2" xfId="4284" xr:uid="{4189F7BC-9D68-44E9-BCB5-40EAF406E777}"/>
    <cellStyle name="20% - Énfasis2 2 2 2 2 2 2 3 2 2 2" xfId="4285" xr:uid="{D9173641-87E7-4BBB-9DB2-9F89CB1F749C}"/>
    <cellStyle name="20% - Énfasis2 2 2 2 2 2 2 3 2 2 2 2" xfId="4286" xr:uid="{BF956D63-1B07-461A-B234-4E8930DEB322}"/>
    <cellStyle name="20% - Énfasis2 2 2 2 2 2 2 3 2 2 2 3" xfId="4287" xr:uid="{CDCA79EC-0F91-4052-8072-54D2F0A7CD60}"/>
    <cellStyle name="20% - Énfasis2 2 2 2 2 2 2 3 2 2 2 4" xfId="4288" xr:uid="{D377503C-8838-4105-833D-C46DBA02E3F9}"/>
    <cellStyle name="20% - Énfasis2 2 2 2 2 2 2 3 2 2 2 5" xfId="4289" xr:uid="{175903EC-E294-4170-A658-84FF62167A08}"/>
    <cellStyle name="20% - Énfasis2 2 2 2 2 2 2 3 2 2 3" xfId="4290" xr:uid="{E64FE9DA-CF55-434B-8E27-209E0E91E862}"/>
    <cellStyle name="20% - Énfasis2 2 2 2 2 2 2 3 2 2 4" xfId="4291" xr:uid="{AE9480B1-6B44-4823-A7B6-32657450CAA8}"/>
    <cellStyle name="20% - Énfasis2 2 2 2 2 2 2 3 2 2 5" xfId="4292" xr:uid="{C4B3A7E0-C5DB-459B-9B70-B3A21D8652C3}"/>
    <cellStyle name="20% - Énfasis2 2 2 2 2 2 2 3 2 3" xfId="4293" xr:uid="{2CF34D72-37B4-41B7-9F19-73CA9BC4D6BB}"/>
    <cellStyle name="20% - Énfasis2 2 2 2 2 2 2 3 2 4" xfId="4294" xr:uid="{6A83F505-4D3F-4594-B801-33D6B45BF491}"/>
    <cellStyle name="20% - Énfasis2 2 2 2 2 2 2 3 2 5" xfId="4295" xr:uid="{8D9836DC-FD20-435A-902A-1B737883CFE3}"/>
    <cellStyle name="20% - Énfasis2 2 2 2 2 2 2 3 2 6" xfId="4296" xr:uid="{AE34E9A7-ED7B-4D3D-8201-315738449C78}"/>
    <cellStyle name="20% - Énfasis2 2 2 2 2 2 2 3 2 7" xfId="4297" xr:uid="{BADE5A67-1D8F-4374-AFA4-58E709CDC86C}"/>
    <cellStyle name="20% - Énfasis2 2 2 2 2 2 2 3 2 8" xfId="4298" xr:uid="{44488EF1-986B-49B6-920D-0570D569C59B}"/>
    <cellStyle name="20% - Énfasis2 2 2 2 2 2 2 3 2 9" xfId="4299" xr:uid="{BE584C3F-38E9-478E-852F-8F5152CA2725}"/>
    <cellStyle name="20% - Énfasis2 2 2 2 2 2 2 3 3" xfId="4300" xr:uid="{7DDF543F-6D68-49E8-B3F4-6B117AE6CD92}"/>
    <cellStyle name="20% - Énfasis2 2 2 2 2 2 2 3 3 2" xfId="4301" xr:uid="{5E36CA24-13CF-494C-822B-BFAF4AA4DF45}"/>
    <cellStyle name="20% - Énfasis2 2 2 2 2 2 2 3 3 2 2" xfId="4302" xr:uid="{0D954145-4F22-4313-8D5F-6DF0C778F922}"/>
    <cellStyle name="20% - Énfasis2 2 2 2 2 2 2 3 3 2 3" xfId="4303" xr:uid="{234CD576-C23F-4B4B-B1F0-B5008427BE27}"/>
    <cellStyle name="20% - Énfasis2 2 2 2 2 2 2 3 3 2 4" xfId="4304" xr:uid="{DFAD1AC9-4276-4367-89B1-C1D0F17F0145}"/>
    <cellStyle name="20% - Énfasis2 2 2 2 2 2 2 3 3 2 5" xfId="4305" xr:uid="{2BD9738B-ED8F-442A-A282-0B029C1C9FD6}"/>
    <cellStyle name="20% - Énfasis2 2 2 2 2 2 2 3 3 3" xfId="4306" xr:uid="{21379603-DB3A-41A7-853D-61B170E62651}"/>
    <cellStyle name="20% - Énfasis2 2 2 2 2 2 2 3 3 4" xfId="4307" xr:uid="{DA06A179-BC49-405A-9825-536027249EF6}"/>
    <cellStyle name="20% - Énfasis2 2 2 2 2 2 2 3 3 5" xfId="4308" xr:uid="{D9F270C5-FECD-41CF-9E21-EF94E8D5668A}"/>
    <cellStyle name="20% - Énfasis2 2 2 2 2 2 2 3 4" xfId="4309" xr:uid="{AD86FC35-2F25-4C0A-A2EC-A0737B61761E}"/>
    <cellStyle name="20% - Énfasis2 2 2 2 2 2 2 3 5" xfId="4310" xr:uid="{24E7D6F4-331B-4B32-B75B-DBD327231B5F}"/>
    <cellStyle name="20% - Énfasis2 2 2 2 2 2 2 3 6" xfId="4311" xr:uid="{2A7326E7-A6A0-47F5-8D3C-6F48321E0F82}"/>
    <cellStyle name="20% - Énfasis2 2 2 2 2 2 2 3 7" xfId="4312" xr:uid="{44A7BFB7-DCC3-465F-81FD-93DFA9B47193}"/>
    <cellStyle name="20% - Énfasis2 2 2 2 2 2 2 3 8" xfId="4313" xr:uid="{18F6AF34-04D5-4250-847B-F25F9C62A29F}"/>
    <cellStyle name="20% - Énfasis2 2 2 2 2 2 2 3 9" xfId="4314" xr:uid="{C8BADF1E-09E6-4A67-AEA5-FB5DA605DD8E}"/>
    <cellStyle name="20% - Énfasis2 2 2 2 2 2 2 4" xfId="4315" xr:uid="{0F7B774E-8989-4006-A627-9ACF1FFCE972}"/>
    <cellStyle name="20% - Énfasis2 2 2 2 2 2 2 5" xfId="4316" xr:uid="{B910379D-A3BA-4F76-A6B1-40C7E8F4F508}"/>
    <cellStyle name="20% - Énfasis2 2 2 2 2 2 2 6" xfId="4317" xr:uid="{B923C765-FB38-45CA-B3B9-D54F314CC159}"/>
    <cellStyle name="20% - Énfasis2 2 2 2 2 2 2 7" xfId="43646" xr:uid="{05DAA13A-1AF3-46B6-9F00-F5A88154D30D}"/>
    <cellStyle name="20% - Énfasis2 2 2 2 2 2 3" xfId="4318" xr:uid="{089B5E67-95B0-4775-BC99-A663B3FDE0BD}"/>
    <cellStyle name="20% - Énfasis2 2 2 2 2 2 3 10" xfId="4319" xr:uid="{CCD023D0-2D7B-48B8-B517-3C73068C7340}"/>
    <cellStyle name="20% - Énfasis2 2 2 2 2 2 3 11" xfId="4320" xr:uid="{993C2348-6609-408D-89DF-E6180796B896}"/>
    <cellStyle name="20% - Énfasis2 2 2 2 2 2 3 2" xfId="4321" xr:uid="{282B647E-5E5B-4994-BC1B-657F6B892E5D}"/>
    <cellStyle name="20% - Énfasis2 2 2 2 2 2 3 2 10" xfId="4322" xr:uid="{77AE8101-5CD6-480C-AA13-A6B41A883CFB}"/>
    <cellStyle name="20% - Énfasis2 2 2 2 2 2 3 2 11" xfId="4323" xr:uid="{76888A2A-9046-4EE0-AD11-460152570591}"/>
    <cellStyle name="20% - Énfasis2 2 2 2 2 2 3 2 2" xfId="4324" xr:uid="{AA29E2AC-7DE4-4A85-A14E-E730BA494846}"/>
    <cellStyle name="20% - Énfasis2 2 2 2 2 2 3 2 2 2" xfId="4325" xr:uid="{124B83A3-5B95-4CE7-8165-EEBC265C4737}"/>
    <cellStyle name="20% - Énfasis2 2 2 2 2 2 3 2 2 2 2" xfId="4326" xr:uid="{ED6D17E9-0896-49B9-ABEF-55A5AECEAF13}"/>
    <cellStyle name="20% - Énfasis2 2 2 2 2 2 3 2 2 2 3" xfId="4327" xr:uid="{54753FC9-7D00-4518-9B15-7B4647C10058}"/>
    <cellStyle name="20% - Énfasis2 2 2 2 2 2 3 2 2 2 4" xfId="4328" xr:uid="{C90C4310-B6F2-411A-A8BA-523F33D332F3}"/>
    <cellStyle name="20% - Énfasis2 2 2 2 2 2 3 2 2 2 5" xfId="4329" xr:uid="{55F345E2-0F78-443A-B3C6-1640F7D71A4B}"/>
    <cellStyle name="20% - Énfasis2 2 2 2 2 2 3 2 2 3" xfId="4330" xr:uid="{FE1E05E3-6B29-45B3-A7C3-B6ECC47609DB}"/>
    <cellStyle name="20% - Énfasis2 2 2 2 2 2 3 2 2 4" xfId="4331" xr:uid="{B94E6CB6-618E-4DF9-B22D-0725696D55AD}"/>
    <cellStyle name="20% - Énfasis2 2 2 2 2 2 3 2 2 5" xfId="4332" xr:uid="{3A04AAFC-16F1-441F-9E7B-4E1455211E77}"/>
    <cellStyle name="20% - Énfasis2 2 2 2 2 2 3 2 3" xfId="4333" xr:uid="{2EC38EAB-7B97-40F9-B0C8-0365ABE28659}"/>
    <cellStyle name="20% - Énfasis2 2 2 2 2 2 3 2 4" xfId="4334" xr:uid="{D66E441C-56F7-4620-B896-250B6547B271}"/>
    <cellStyle name="20% - Énfasis2 2 2 2 2 2 3 2 5" xfId="4335" xr:uid="{765322E6-4553-4C6E-BAAE-71A47FE1B2F8}"/>
    <cellStyle name="20% - Énfasis2 2 2 2 2 2 3 2 6" xfId="4336" xr:uid="{8B481E5A-598E-4E80-85A0-A111EBF55B57}"/>
    <cellStyle name="20% - Énfasis2 2 2 2 2 2 3 2 7" xfId="4337" xr:uid="{77D63A87-4E88-4FFF-8064-9BBFDEA941E5}"/>
    <cellStyle name="20% - Énfasis2 2 2 2 2 2 3 2 8" xfId="4338" xr:uid="{CE20268B-4D51-4F47-9885-3AB6C41A48D1}"/>
    <cellStyle name="20% - Énfasis2 2 2 2 2 2 3 2 9" xfId="4339" xr:uid="{B2B92CDC-0D57-42C2-BB95-B9BA8CFD0277}"/>
    <cellStyle name="20% - Énfasis2 2 2 2 2 2 3 3" xfId="4340" xr:uid="{36A5116B-2AA8-4ECD-A8C5-8A1A3701E3F9}"/>
    <cellStyle name="20% - Énfasis2 2 2 2 2 2 3 3 2" xfId="4341" xr:uid="{F6926592-3E43-4564-ACF9-50D8AECB85B0}"/>
    <cellStyle name="20% - Énfasis2 2 2 2 2 2 3 3 2 2" xfId="4342" xr:uid="{688B7C6F-463A-4C47-85CA-B8D03B5CB80A}"/>
    <cellStyle name="20% - Énfasis2 2 2 2 2 2 3 3 2 3" xfId="4343" xr:uid="{E1951A09-88C4-4D85-A5C3-86C02AAA3A19}"/>
    <cellStyle name="20% - Énfasis2 2 2 2 2 2 3 3 2 4" xfId="4344" xr:uid="{F1AFF8A9-A57C-4874-85FF-FD449A8B93FC}"/>
    <cellStyle name="20% - Énfasis2 2 2 2 2 2 3 3 2 5" xfId="4345" xr:uid="{6BEAD6BC-964E-4680-9596-2BCB6922A5F0}"/>
    <cellStyle name="20% - Énfasis2 2 2 2 2 2 3 3 3" xfId="4346" xr:uid="{7702CD9B-1766-4FEE-8555-4F87287EFABD}"/>
    <cellStyle name="20% - Énfasis2 2 2 2 2 2 3 3 4" xfId="4347" xr:uid="{E900AE03-D3D8-4DFB-BFA9-B14DB85E5F1D}"/>
    <cellStyle name="20% - Énfasis2 2 2 2 2 2 3 3 5" xfId="4348" xr:uid="{6A2D5542-8B6F-4553-A1F5-F96FD605D76E}"/>
    <cellStyle name="20% - Énfasis2 2 2 2 2 2 3 4" xfId="4349" xr:uid="{6E2D418F-7753-4336-8C0D-B196B624E48E}"/>
    <cellStyle name="20% - Énfasis2 2 2 2 2 2 3 5" xfId="4350" xr:uid="{B06E3B6F-E705-4898-8E9B-88CA1CF9E3C9}"/>
    <cellStyle name="20% - Énfasis2 2 2 2 2 2 3 6" xfId="4351" xr:uid="{80B263A7-0395-443D-9581-D6877F29C4D5}"/>
    <cellStyle name="20% - Énfasis2 2 2 2 2 2 3 7" xfId="4352" xr:uid="{B1E1CD3D-0E6C-43FE-9B61-FDDB31DC66B5}"/>
    <cellStyle name="20% - Énfasis2 2 2 2 2 2 3 8" xfId="4353" xr:uid="{38133C63-DA64-4D9B-8347-E942FD064F3A}"/>
    <cellStyle name="20% - Énfasis2 2 2 2 2 2 3 9" xfId="4354" xr:uid="{CB020562-53D4-407F-AD8C-E2733C40A589}"/>
    <cellStyle name="20% - Énfasis2 2 2 2 2 2 4" xfId="4355" xr:uid="{2791C23B-B417-44EC-8725-7EEB1E51A0D4}"/>
    <cellStyle name="20% - Énfasis2 2 2 2 2 2 5" xfId="4356" xr:uid="{694E381A-3B9C-4029-AAD2-15E042603B98}"/>
    <cellStyle name="20% - Énfasis2 2 2 2 2 2 6" xfId="4357" xr:uid="{6AE207CD-8AEF-489C-94D3-223FD3930649}"/>
    <cellStyle name="20% - Énfasis2 2 2 2 2 2 7" xfId="43645" xr:uid="{904B5335-EB68-4E92-8891-7D16822AE0C9}"/>
    <cellStyle name="20% - Énfasis2 2 2 2 2 3" xfId="4358" xr:uid="{1D5FEA87-F811-40CC-A751-65A979CBA06C}"/>
    <cellStyle name="20% - Énfasis2 2 2 2 2 3 2" xfId="4359" xr:uid="{66424717-5D96-4AF3-8665-C138A54A051A}"/>
    <cellStyle name="20% - Énfasis2 2 2 2 2 3 3" xfId="43647" xr:uid="{18EDE5A1-1450-4DB5-AFEB-F299A41578E3}"/>
    <cellStyle name="20% - Énfasis2 2 2 2 2 4" xfId="4360" xr:uid="{D618046C-E6BA-4028-97D6-0A8A56020747}"/>
    <cellStyle name="20% - Énfasis2 2 2 2 2 4 10" xfId="4361" xr:uid="{4DE5C206-43FD-4156-BE46-2B027925ED0A}"/>
    <cellStyle name="20% - Énfasis2 2 2 2 2 4 11" xfId="4362" xr:uid="{7FA5C237-45CB-4A63-AA60-BC798E8013DD}"/>
    <cellStyle name="20% - Énfasis2 2 2 2 2 4 2" xfId="4363" xr:uid="{BF63F66E-00C9-4942-A1D5-CE80B3D56E26}"/>
    <cellStyle name="20% - Énfasis2 2 2 2 2 4 2 10" xfId="4364" xr:uid="{5039DB3C-40D1-48B2-80B5-3441672ACF89}"/>
    <cellStyle name="20% - Énfasis2 2 2 2 2 4 2 11" xfId="4365" xr:uid="{CBE9B6CB-6357-4698-8D07-800D1375B3E2}"/>
    <cellStyle name="20% - Énfasis2 2 2 2 2 4 2 2" xfId="4366" xr:uid="{A51F29E0-160C-4669-AA99-C9C81579601E}"/>
    <cellStyle name="20% - Énfasis2 2 2 2 2 4 2 2 2" xfId="4367" xr:uid="{00BA1A5E-8CFB-4AE4-96C7-413BA44DE6A1}"/>
    <cellStyle name="20% - Énfasis2 2 2 2 2 4 2 2 2 2" xfId="4368" xr:uid="{E6EC5EDE-1B70-488A-A026-AB04ED1B555E}"/>
    <cellStyle name="20% - Énfasis2 2 2 2 2 4 2 2 2 3" xfId="4369" xr:uid="{5E9F8C84-0A23-4AE1-B207-D809979E58ED}"/>
    <cellStyle name="20% - Énfasis2 2 2 2 2 4 2 2 2 4" xfId="4370" xr:uid="{20D4DEF5-CAC0-4554-9493-1C87F45662DC}"/>
    <cellStyle name="20% - Énfasis2 2 2 2 2 4 2 2 2 5" xfId="4371" xr:uid="{1A26A894-D34E-40C9-B995-DE44129E7B78}"/>
    <cellStyle name="20% - Énfasis2 2 2 2 2 4 2 2 3" xfId="4372" xr:uid="{4F776B31-36F0-4CE0-ABF8-EA5C23665EF3}"/>
    <cellStyle name="20% - Énfasis2 2 2 2 2 4 2 2 4" xfId="4373" xr:uid="{19CE03F7-B992-404F-B3F7-39E40A68BDEC}"/>
    <cellStyle name="20% - Énfasis2 2 2 2 2 4 2 2 5" xfId="4374" xr:uid="{4AB57797-EBB4-4F4E-9B1B-661D1B1F867D}"/>
    <cellStyle name="20% - Énfasis2 2 2 2 2 4 2 3" xfId="4375" xr:uid="{AA83C07D-B7E7-4EF5-9C2C-2561BCD8352F}"/>
    <cellStyle name="20% - Énfasis2 2 2 2 2 4 2 4" xfId="4376" xr:uid="{E0DD7300-B489-4A06-98C3-41BFB958BFF0}"/>
    <cellStyle name="20% - Énfasis2 2 2 2 2 4 2 5" xfId="4377" xr:uid="{EF7F2837-ADCF-48E7-8DAA-0403CE09F1E9}"/>
    <cellStyle name="20% - Énfasis2 2 2 2 2 4 2 6" xfId="4378" xr:uid="{8770064A-0EA7-45E9-95D5-61736DDB74F3}"/>
    <cellStyle name="20% - Énfasis2 2 2 2 2 4 2 7" xfId="4379" xr:uid="{963F3107-809B-4E5E-B08D-552D6A147683}"/>
    <cellStyle name="20% - Énfasis2 2 2 2 2 4 2 8" xfId="4380" xr:uid="{8D1173A4-D216-4A01-AE32-F7710C6D76C1}"/>
    <cellStyle name="20% - Énfasis2 2 2 2 2 4 2 9" xfId="4381" xr:uid="{E9E94382-87C1-42D2-A46C-B9ECE982110D}"/>
    <cellStyle name="20% - Énfasis2 2 2 2 2 4 3" xfId="4382" xr:uid="{5632AD99-8A6D-4CA6-AB0B-4788EB1A8C8A}"/>
    <cellStyle name="20% - Énfasis2 2 2 2 2 4 3 2" xfId="4383" xr:uid="{3ACBC96F-6D54-4C5C-9631-DA0AC3DD5969}"/>
    <cellStyle name="20% - Énfasis2 2 2 2 2 4 3 2 2" xfId="4384" xr:uid="{C2F378B2-C823-4EB9-A0BA-CD95D1250283}"/>
    <cellStyle name="20% - Énfasis2 2 2 2 2 4 3 2 3" xfId="4385" xr:uid="{C26E4436-D022-4A02-8E11-4F9AEAC10550}"/>
    <cellStyle name="20% - Énfasis2 2 2 2 2 4 3 2 4" xfId="4386" xr:uid="{E0347B3F-6DD0-4862-BA44-B685820189D0}"/>
    <cellStyle name="20% - Énfasis2 2 2 2 2 4 3 2 5" xfId="4387" xr:uid="{B3F5FE55-1DE8-49C7-A1F1-5C66CDDFAB43}"/>
    <cellStyle name="20% - Énfasis2 2 2 2 2 4 3 3" xfId="4388" xr:uid="{BEB2BECD-1DCD-4BC4-95F9-53F2FBCAA454}"/>
    <cellStyle name="20% - Énfasis2 2 2 2 2 4 3 4" xfId="4389" xr:uid="{BA8D1BF3-4B51-4A27-A88E-73378E30B551}"/>
    <cellStyle name="20% - Énfasis2 2 2 2 2 4 3 5" xfId="4390" xr:uid="{97B449A5-2982-45BC-8B68-0D24C769D5A4}"/>
    <cellStyle name="20% - Énfasis2 2 2 2 2 4 4" xfId="4391" xr:uid="{37886AEB-A320-45CD-9B2A-A0D68BE7D167}"/>
    <cellStyle name="20% - Énfasis2 2 2 2 2 4 5" xfId="4392" xr:uid="{9A56AA65-0194-4622-AA96-2D0596919094}"/>
    <cellStyle name="20% - Énfasis2 2 2 2 2 4 6" xfId="4393" xr:uid="{AE68733A-29F7-482E-BC41-20E5B917FC9C}"/>
    <cellStyle name="20% - Énfasis2 2 2 2 2 4 7" xfId="4394" xr:uid="{BFEB83F8-3834-43D7-B4F0-4D1A3ED653FC}"/>
    <cellStyle name="20% - Énfasis2 2 2 2 2 4 8" xfId="4395" xr:uid="{54C422D9-23BA-4227-9072-1EA2B837986D}"/>
    <cellStyle name="20% - Énfasis2 2 2 2 2 4 9" xfId="4396" xr:uid="{2412D204-D59E-4594-9B47-0FEC7887437E}"/>
    <cellStyle name="20% - Énfasis2 2 2 2 2 5" xfId="4397" xr:uid="{15C82E47-0D8B-453C-8122-1DFE7FABA6B4}"/>
    <cellStyle name="20% - Énfasis2 2 2 2 2 6" xfId="4398" xr:uid="{42B22D5F-6AE0-4113-A534-6086B29AEFB9}"/>
    <cellStyle name="20% - Énfasis2 2 2 2 2 7" xfId="4399" xr:uid="{B1CC5BAF-F894-442F-842F-24D62B10D76C}"/>
    <cellStyle name="20% - Énfasis2 2 2 2 2 8" xfId="43644" xr:uid="{681D465F-F2BF-4D4F-972C-4178F28293D0}"/>
    <cellStyle name="20% - Énfasis2 2 2 2 3" xfId="4400" xr:uid="{FDDF7E11-9CA8-45E3-9DFD-3AFE7383E752}"/>
    <cellStyle name="20% - Énfasis2 2 2 2 3 2" xfId="4401" xr:uid="{3F758A75-6CDE-43B1-882D-4F58CB4793E4}"/>
    <cellStyle name="20% - Énfasis2 2 2 2 3 2 2" xfId="43649" xr:uid="{920E9B49-190B-4A8A-8F5A-011827AD0094}"/>
    <cellStyle name="20% - Énfasis2 2 2 2 3 3" xfId="43648" xr:uid="{599D87F3-6F37-4298-B36D-C90CD887E86D}"/>
    <cellStyle name="20% - Énfasis2 2 2 2 4" xfId="4402" xr:uid="{866598CA-AB0D-45B3-91AD-5FEF00B2B607}"/>
    <cellStyle name="20% - Énfasis2 2 2 2 4 2" xfId="4403" xr:uid="{6DC5E5D5-D44F-48DA-875D-6C162DB4BFA1}"/>
    <cellStyle name="20% - Énfasis2 2 2 2 4 3" xfId="43650" xr:uid="{FEB0D67F-1762-4820-9824-620E38EDA2D9}"/>
    <cellStyle name="20% - Énfasis2 2 2 2 5" xfId="4404" xr:uid="{A846D188-345E-49F6-8020-59346C3EA3CB}"/>
    <cellStyle name="20% - Énfasis2 2 2 2 5 10" xfId="4405" xr:uid="{62377898-EB42-4E7E-8B28-342B66EA36C2}"/>
    <cellStyle name="20% - Énfasis2 2 2 2 5 11" xfId="4406" xr:uid="{FBE7576F-F52C-4FC9-96A9-2A8DED96F6FD}"/>
    <cellStyle name="20% - Énfasis2 2 2 2 5 2" xfId="4407" xr:uid="{6468ACFD-0CDF-4D8A-9073-CDB9EB6FADDA}"/>
    <cellStyle name="20% - Énfasis2 2 2 2 5 2 10" xfId="4408" xr:uid="{F56E3942-3F83-4444-85FB-7BCCB6EA644F}"/>
    <cellStyle name="20% - Énfasis2 2 2 2 5 2 11" xfId="4409" xr:uid="{CD45967E-25AE-4D18-8234-DB2412E828C0}"/>
    <cellStyle name="20% - Énfasis2 2 2 2 5 2 2" xfId="4410" xr:uid="{F573472C-45F5-4FD3-9883-554D5B94D400}"/>
    <cellStyle name="20% - Énfasis2 2 2 2 5 2 2 2" xfId="4411" xr:uid="{85FD7C0F-7402-47D3-A2AA-66C600A6BF33}"/>
    <cellStyle name="20% - Énfasis2 2 2 2 5 2 2 2 2" xfId="4412" xr:uid="{803E7A8C-8E57-4A59-8424-9DCEDB08E4B9}"/>
    <cellStyle name="20% - Énfasis2 2 2 2 5 2 2 2 3" xfId="4413" xr:uid="{D42D22AE-0D64-4BD9-B183-725D54249328}"/>
    <cellStyle name="20% - Énfasis2 2 2 2 5 2 2 2 4" xfId="4414" xr:uid="{D73CBF44-05AB-4A8E-B415-F9547ED5DBEF}"/>
    <cellStyle name="20% - Énfasis2 2 2 2 5 2 2 2 5" xfId="4415" xr:uid="{8B438651-E409-46E7-9902-DBA5844DAA92}"/>
    <cellStyle name="20% - Énfasis2 2 2 2 5 2 2 3" xfId="4416" xr:uid="{467C641D-490A-42C1-9368-133EA1234D82}"/>
    <cellStyle name="20% - Énfasis2 2 2 2 5 2 2 4" xfId="4417" xr:uid="{DF6B80BF-957C-4F44-AE45-1E72E466E580}"/>
    <cellStyle name="20% - Énfasis2 2 2 2 5 2 2 5" xfId="4418" xr:uid="{C595C90B-F622-4927-AD4D-98ADB89AD03E}"/>
    <cellStyle name="20% - Énfasis2 2 2 2 5 2 3" xfId="4419" xr:uid="{150DC574-8D08-4D73-B67F-2C1C515BDD7E}"/>
    <cellStyle name="20% - Énfasis2 2 2 2 5 2 4" xfId="4420" xr:uid="{5AFE79A7-9B4A-4C8A-BCCE-81A3B0763F0D}"/>
    <cellStyle name="20% - Énfasis2 2 2 2 5 2 5" xfId="4421" xr:uid="{24648D4E-9B62-420E-8447-B51E54E8061A}"/>
    <cellStyle name="20% - Énfasis2 2 2 2 5 2 6" xfId="4422" xr:uid="{F485A2EF-43B0-42F5-AD27-191689894197}"/>
    <cellStyle name="20% - Énfasis2 2 2 2 5 2 7" xfId="4423" xr:uid="{A42CFD16-B7DE-4975-9251-23B39CC2D1A6}"/>
    <cellStyle name="20% - Énfasis2 2 2 2 5 2 8" xfId="4424" xr:uid="{0D388C51-6328-4ACC-A7BD-B0991996A283}"/>
    <cellStyle name="20% - Énfasis2 2 2 2 5 2 9" xfId="4425" xr:uid="{DCD844A5-F966-419A-8CA5-3B73110BAC8E}"/>
    <cellStyle name="20% - Énfasis2 2 2 2 5 3" xfId="4426" xr:uid="{95EA1D76-37DF-4D1D-9405-1422186C09C7}"/>
    <cellStyle name="20% - Énfasis2 2 2 2 5 3 2" xfId="4427" xr:uid="{7968A65E-86AC-458F-8A1A-8136FADBB810}"/>
    <cellStyle name="20% - Énfasis2 2 2 2 5 3 2 2" xfId="4428" xr:uid="{881656E1-AB54-4DAE-830E-AC1DA63C7EA9}"/>
    <cellStyle name="20% - Énfasis2 2 2 2 5 3 2 3" xfId="4429" xr:uid="{5C32213C-0D41-4F41-B1AF-D3A6887D8B30}"/>
    <cellStyle name="20% - Énfasis2 2 2 2 5 3 2 4" xfId="4430" xr:uid="{AEB6347A-D2A5-45AF-866B-F444DF1683CE}"/>
    <cellStyle name="20% - Énfasis2 2 2 2 5 3 2 5" xfId="4431" xr:uid="{C08AAC58-724A-4110-B510-D7AD382E4FA1}"/>
    <cellStyle name="20% - Énfasis2 2 2 2 5 3 3" xfId="4432" xr:uid="{DCCEBA4A-14F1-4216-866C-8E14485053F3}"/>
    <cellStyle name="20% - Énfasis2 2 2 2 5 3 4" xfId="4433" xr:uid="{F8A21FEB-8ED3-48B3-A096-A9453E7721C5}"/>
    <cellStyle name="20% - Énfasis2 2 2 2 5 3 5" xfId="4434" xr:uid="{6E941859-9E8C-400D-8BD7-03E1658AF6F3}"/>
    <cellStyle name="20% - Énfasis2 2 2 2 5 4" xfId="4435" xr:uid="{98BA7689-B3C0-4F2F-81A5-965BE96281FD}"/>
    <cellStyle name="20% - Énfasis2 2 2 2 5 5" xfId="4436" xr:uid="{4E725AA7-24DC-4F35-B19A-624E5F0FFC05}"/>
    <cellStyle name="20% - Énfasis2 2 2 2 5 6" xfId="4437" xr:uid="{190AA1A3-A790-4B89-8B1E-9BD819243ECD}"/>
    <cellStyle name="20% - Énfasis2 2 2 2 5 7" xfId="4438" xr:uid="{23ED637F-C3F1-4F17-B954-03FC710345F5}"/>
    <cellStyle name="20% - Énfasis2 2 2 2 5 8" xfId="4439" xr:uid="{9A5F83B0-D54A-47AC-8FE3-1F34FE43830D}"/>
    <cellStyle name="20% - Énfasis2 2 2 2 5 9" xfId="4440" xr:uid="{D604682D-4706-4150-9709-16A56DCF4E0B}"/>
    <cellStyle name="20% - Énfasis2 2 2 2 6" xfId="4441" xr:uid="{81B39461-096B-4661-9D41-A2FA8C8D908A}"/>
    <cellStyle name="20% - Énfasis2 2 2 2 7" xfId="4442" xr:uid="{E1A58E38-B6F0-41FA-8D10-87BA26315C88}"/>
    <cellStyle name="20% - Énfasis2 2 2 2 8" xfId="4443" xr:uid="{5AA391DD-E609-4A18-9FA7-A48286B01FC4}"/>
    <cellStyle name="20% - Énfasis2 2 2 2 9" xfId="43643" xr:uid="{C4BBFF2F-4245-4F7A-8470-41D243A528DF}"/>
    <cellStyle name="20% - Énfasis2 2 2 3" xfId="4444" xr:uid="{5762728E-B002-4C7F-8A79-60E1F1C73441}"/>
    <cellStyle name="20% - Énfasis2 2 2 3 2" xfId="4445" xr:uid="{20C24E51-6C28-4790-A63B-6E7A5A9A497D}"/>
    <cellStyle name="20% - Énfasis2 2 2 3 2 2" xfId="43653" xr:uid="{23C7A5A4-F9B4-4D02-96E8-641341BE348A}"/>
    <cellStyle name="20% - Énfasis2 2 2 3 2 3" xfId="43652" xr:uid="{DB8D9626-A139-441E-BD79-1AFFFF93E4B0}"/>
    <cellStyle name="20% - Énfasis2 2 2 3 3" xfId="43654" xr:uid="{C2777ED3-D736-4854-8DC8-979314FF1099}"/>
    <cellStyle name="20% - Énfasis2 2 2 3 4" xfId="43651" xr:uid="{7FE6AB3A-720C-49D6-B2FC-380FB25143DD}"/>
    <cellStyle name="20% - Énfasis2 2 2 4" xfId="4446" xr:uid="{8CFF1F91-426F-41A6-91FB-19DBCB1D89EB}"/>
    <cellStyle name="20% - Énfasis2 2 2 4 2" xfId="4447" xr:uid="{5C1E6F73-AB95-4CA0-B9C9-4040B91BE690}"/>
    <cellStyle name="20% - Énfasis2 2 2 4 2 2" xfId="43656" xr:uid="{6FD33166-9F2E-460E-BEBC-B5785CD43070}"/>
    <cellStyle name="20% - Énfasis2 2 2 4 3" xfId="43655" xr:uid="{C92BA71C-9BF6-4421-8EF1-9BE5183D6564}"/>
    <cellStyle name="20% - Énfasis2 2 2 5" xfId="4448" xr:uid="{4981DB2C-E202-4DFE-8375-A4D4FAA2F74E}"/>
    <cellStyle name="20% - Énfasis2 2 2 5 2" xfId="4449" xr:uid="{0E9DBCAA-8BAD-4BD5-ABA9-28C07A3F5581}"/>
    <cellStyle name="20% - Énfasis2 2 2 5 3" xfId="43657" xr:uid="{C50DEF76-C0FE-4182-BADE-CF287C264A21}"/>
    <cellStyle name="20% - Énfasis2 2 2 6" xfId="4450" xr:uid="{5ED8C94B-3167-452B-BBB8-DA82DCBBFEE0}"/>
    <cellStyle name="20% - Énfasis2 2 2 6 2" xfId="4451" xr:uid="{C79A471F-F1D6-48B7-B95A-789FE15A3F0C}"/>
    <cellStyle name="20% - Énfasis2 2 2 7" xfId="4452" xr:uid="{FD9626A2-CD64-4C70-821C-ADE48C45AF3C}"/>
    <cellStyle name="20% - Énfasis2 2 2 7 2" xfId="4453" xr:uid="{9B2C30F6-FCF1-4AD7-9321-8CEC8AF17B9A}"/>
    <cellStyle name="20% - Énfasis2 2 2 8" xfId="4454" xr:uid="{C178B51F-D18F-45BD-84F0-6C0FDBA7DDFC}"/>
    <cellStyle name="20% - Énfasis2 2 2 8 2" xfId="4455" xr:uid="{8AC8588C-1CD9-43F8-BE2F-FC2A2EF6826C}"/>
    <cellStyle name="20% - Énfasis2 2 2 8 2 2" xfId="4456" xr:uid="{47FEDA15-220F-487E-9C89-A9EB1EE9839F}"/>
    <cellStyle name="20% - Énfasis2 2 2 8 3" xfId="4457" xr:uid="{37F461BF-EA2A-4008-827D-9EC953392601}"/>
    <cellStyle name="20% - Énfasis2 2 2 9" xfId="4458" xr:uid="{B26C0D56-0486-4D74-BACF-5DFB116F2965}"/>
    <cellStyle name="20% - Énfasis2 2 2 9 2" xfId="4459" xr:uid="{40B2E1AF-D5AA-4473-BAF0-835F627D962E}"/>
    <cellStyle name="20% - Énfasis2 2 3" xfId="4460" xr:uid="{C2EA43F8-97D7-495E-AACB-2330FA27846B}"/>
    <cellStyle name="20% - Énfasis2 2 3 2" xfId="4461" xr:uid="{C33F4070-24F0-4362-8C2D-976C939CF929}"/>
    <cellStyle name="20% - Énfasis2 2 3 2 2" xfId="43660" xr:uid="{C3A51156-328B-46A0-BFEF-3C1D000BE846}"/>
    <cellStyle name="20% - Énfasis2 2 3 2 2 2" xfId="43661" xr:uid="{8EE79F07-E0EA-4D32-A00F-140914A07F0A}"/>
    <cellStyle name="20% - Énfasis2 2 3 2 3" xfId="43662" xr:uid="{A25A3800-9380-4AEE-975C-13E666248768}"/>
    <cellStyle name="20% - Énfasis2 2 3 2 4" xfId="43659" xr:uid="{A3452731-97ED-48EA-868B-0E7ABC257882}"/>
    <cellStyle name="20% - Énfasis2 2 3 3" xfId="43663" xr:uid="{698046F5-C9F2-4B41-B40E-3864656F393D}"/>
    <cellStyle name="20% - Énfasis2 2 3 3 2" xfId="43664" xr:uid="{BFF87396-11E3-4B6F-958C-2D2029E38687}"/>
    <cellStyle name="20% - Énfasis2 2 3 4" xfId="43665" xr:uid="{AC9A8685-2BED-41DB-9A2B-4098F2C47DC6}"/>
    <cellStyle name="20% - Énfasis2 2 3 5" xfId="43658" xr:uid="{4EDFB086-CCB1-471B-9813-91279F9666E9}"/>
    <cellStyle name="20% - Énfasis2 2 4" xfId="4462" xr:uid="{7E587AFC-FAFF-4070-BD13-042D524B3FE5}"/>
    <cellStyle name="20% - Énfasis2 2 4 10" xfId="4463" xr:uid="{DC26D8D9-A259-4ECF-9B22-2CB4FAF939CB}"/>
    <cellStyle name="20% - Énfasis2 2 4 11" xfId="4464" xr:uid="{898CF3A3-1816-4A9C-9515-A637C2AEB4E6}"/>
    <cellStyle name="20% - Énfasis2 2 4 12" xfId="4465" xr:uid="{DC15408F-83AB-4CDC-B73C-5624700FBD0C}"/>
    <cellStyle name="20% - Énfasis2 2 4 13" xfId="43666" xr:uid="{973C3B88-8ED2-4AB5-9A0C-1B6A98EAEC80}"/>
    <cellStyle name="20% - Énfasis2 2 4 2" xfId="4466" xr:uid="{79C71F73-B04F-40F1-BEA1-6F8598EEB8BF}"/>
    <cellStyle name="20% - Énfasis2 2 4 2 10" xfId="4467" xr:uid="{BA2B73FC-12E4-42E9-B84C-A70A08C5CD50}"/>
    <cellStyle name="20% - Énfasis2 2 4 2 11" xfId="4468" xr:uid="{EBDD8399-46A4-4C58-982B-8A8B91CF17A5}"/>
    <cellStyle name="20% - Énfasis2 2 4 2 12" xfId="4469" xr:uid="{8289C02D-A4BE-4E50-9ABE-17DEA2F245C1}"/>
    <cellStyle name="20% - Énfasis2 2 4 2 13" xfId="43667" xr:uid="{756F64BB-6557-4C95-A526-803396B90D89}"/>
    <cellStyle name="20% - Énfasis2 2 4 2 2" xfId="4470" xr:uid="{31F3C202-B5D1-485F-A960-9B06A1AF0C6E}"/>
    <cellStyle name="20% - Énfasis2 2 4 2 2 10" xfId="4471" xr:uid="{09D49E9A-8BFB-42D5-AA8A-A18845995EBA}"/>
    <cellStyle name="20% - Énfasis2 2 4 2 2 11" xfId="4472" xr:uid="{52304762-5963-4CB3-9BF3-7A28E352075E}"/>
    <cellStyle name="20% - Énfasis2 2 4 2 2 12" xfId="43668" xr:uid="{06D2A5CC-A67C-4FB2-A79F-722C4B6F4D65}"/>
    <cellStyle name="20% - Énfasis2 2 4 2 2 2" xfId="4473" xr:uid="{158E469E-22EA-48FC-9743-259169179917}"/>
    <cellStyle name="20% - Énfasis2 2 4 2 2 2 10" xfId="4474" xr:uid="{38C23568-7D70-43A1-8CC6-893EC7D0BEEF}"/>
    <cellStyle name="20% - Énfasis2 2 4 2 2 2 11" xfId="4475" xr:uid="{8271BEBD-98EE-4F3D-96D2-07530A829805}"/>
    <cellStyle name="20% - Énfasis2 2 4 2 2 2 2" xfId="4476" xr:uid="{43C8489B-4D36-400B-80A7-F1ACD9E084AC}"/>
    <cellStyle name="20% - Énfasis2 2 4 2 2 2 2 2" xfId="4477" xr:uid="{5B81C7ED-8DAA-463A-9821-846E47E88544}"/>
    <cellStyle name="20% - Énfasis2 2 4 2 2 2 2 2 2" xfId="4478" xr:uid="{704451E5-294F-4C9E-BE8E-881D9B8637C0}"/>
    <cellStyle name="20% - Énfasis2 2 4 2 2 2 2 2 3" xfId="4479" xr:uid="{B643D7F3-46B9-479C-965B-9CAFCC01F0F1}"/>
    <cellStyle name="20% - Énfasis2 2 4 2 2 2 2 2 4" xfId="4480" xr:uid="{84C8CB83-2528-4914-8B55-59364EDDFF04}"/>
    <cellStyle name="20% - Énfasis2 2 4 2 2 2 2 2 5" xfId="4481" xr:uid="{0263F509-CC57-450F-B55E-91F07A62CF90}"/>
    <cellStyle name="20% - Énfasis2 2 4 2 2 2 2 3" xfId="4482" xr:uid="{B96F741D-D679-411B-8245-75A85063072A}"/>
    <cellStyle name="20% - Énfasis2 2 4 2 2 2 2 4" xfId="4483" xr:uid="{E884FE0F-EA7A-448D-B090-2236ED118845}"/>
    <cellStyle name="20% - Énfasis2 2 4 2 2 2 2 5" xfId="4484" xr:uid="{42B726D7-7865-40FA-AEDA-83A49E44A765}"/>
    <cellStyle name="20% - Énfasis2 2 4 2 2 2 3" xfId="4485" xr:uid="{F5864A4B-69D7-4BFD-B957-4A0916DFD33A}"/>
    <cellStyle name="20% - Énfasis2 2 4 2 2 2 4" xfId="4486" xr:uid="{97605637-0A2C-4B75-9FB6-1F0842CE1AFC}"/>
    <cellStyle name="20% - Énfasis2 2 4 2 2 2 5" xfId="4487" xr:uid="{0349B138-073F-4793-BC76-B77B0A1EFAE4}"/>
    <cellStyle name="20% - Énfasis2 2 4 2 2 2 6" xfId="4488" xr:uid="{BBF89EB9-9AE7-48B5-989E-F8DD3BE01908}"/>
    <cellStyle name="20% - Énfasis2 2 4 2 2 2 7" xfId="4489" xr:uid="{9A9371C4-28F5-404F-AC4E-44DCA1027816}"/>
    <cellStyle name="20% - Énfasis2 2 4 2 2 2 8" xfId="4490" xr:uid="{BF3E6681-523A-4307-B326-92A9DE20FC1C}"/>
    <cellStyle name="20% - Énfasis2 2 4 2 2 2 9" xfId="4491" xr:uid="{0786F592-0B27-4CB1-9CA4-CAF4CEC869DA}"/>
    <cellStyle name="20% - Énfasis2 2 4 2 2 3" xfId="4492" xr:uid="{AF048069-AC17-44FD-A8DE-7DC772A053DD}"/>
    <cellStyle name="20% - Énfasis2 2 4 2 2 3 2" xfId="4493" xr:uid="{844264FD-AC9E-4028-A8D8-5337E493AEB7}"/>
    <cellStyle name="20% - Énfasis2 2 4 2 2 3 2 2" xfId="4494" xr:uid="{CB8D12D2-B050-40F6-A8D9-609E659136EF}"/>
    <cellStyle name="20% - Énfasis2 2 4 2 2 3 2 3" xfId="4495" xr:uid="{787617FD-335C-43AD-B58C-0A312524809F}"/>
    <cellStyle name="20% - Énfasis2 2 4 2 2 3 2 4" xfId="4496" xr:uid="{E290E3E7-D373-43FA-859F-DC18D8DD35A1}"/>
    <cellStyle name="20% - Énfasis2 2 4 2 2 3 2 5" xfId="4497" xr:uid="{A708DE22-F53B-4F96-8069-DD7ED4753CBC}"/>
    <cellStyle name="20% - Énfasis2 2 4 2 2 3 3" xfId="4498" xr:uid="{215E7E90-2E51-4BAC-BD9D-FD893D75CEFC}"/>
    <cellStyle name="20% - Énfasis2 2 4 2 2 3 4" xfId="4499" xr:uid="{4BFB2240-26D8-40FE-ADA8-2BB2212E0B4D}"/>
    <cellStyle name="20% - Énfasis2 2 4 2 2 3 5" xfId="4500" xr:uid="{F04C1357-0535-40A6-A2C7-E280C28C1F7D}"/>
    <cellStyle name="20% - Énfasis2 2 4 2 2 4" xfId="4501" xr:uid="{1821E5AF-A244-469A-B1AB-D4723F3958A8}"/>
    <cellStyle name="20% - Énfasis2 2 4 2 2 5" xfId="4502" xr:uid="{C2974EBD-4EF7-4F87-B9AE-A6F2995785C4}"/>
    <cellStyle name="20% - Énfasis2 2 4 2 2 6" xfId="4503" xr:uid="{2DB41251-16C7-4CE4-BF38-6AD719974889}"/>
    <cellStyle name="20% - Énfasis2 2 4 2 2 7" xfId="4504" xr:uid="{C7F0A7E3-C92C-4D03-BDFA-145588D8C092}"/>
    <cellStyle name="20% - Énfasis2 2 4 2 2 8" xfId="4505" xr:uid="{96EB3E16-DEF4-4040-9ED3-9C9A6B62AACF}"/>
    <cellStyle name="20% - Énfasis2 2 4 2 2 9" xfId="4506" xr:uid="{9083D1C6-F4F7-4591-A289-54D393CCAF5E}"/>
    <cellStyle name="20% - Énfasis2 2 4 2 3" xfId="4507" xr:uid="{4A99BCA8-4B56-4A87-A0C6-B375B2995B6F}"/>
    <cellStyle name="20% - Énfasis2 2 4 2 3 2" xfId="4508" xr:uid="{7ABF0446-7416-4D29-8CFE-1B5EB8C6CCEC}"/>
    <cellStyle name="20% - Énfasis2 2 4 2 3 2 2" xfId="4509" xr:uid="{77129A53-54D7-499A-9403-D1E89BECDEF3}"/>
    <cellStyle name="20% - Énfasis2 2 4 2 3 2 3" xfId="4510" xr:uid="{F2D91A5B-A9BC-4F60-997B-113234F8CB46}"/>
    <cellStyle name="20% - Énfasis2 2 4 2 3 2 4" xfId="4511" xr:uid="{0B5E7755-A555-4F49-993E-1B6396B9FD62}"/>
    <cellStyle name="20% - Énfasis2 2 4 2 3 2 5" xfId="4512" xr:uid="{249B4D77-705F-46E2-B2F6-8DD8FC6B7AAA}"/>
    <cellStyle name="20% - Énfasis2 2 4 2 3 3" xfId="4513" xr:uid="{BAC11503-CFB5-4420-82AB-D642306170AA}"/>
    <cellStyle name="20% - Énfasis2 2 4 2 3 4" xfId="4514" xr:uid="{8C65BCE3-D982-491A-83EB-4D4A7A06CCF8}"/>
    <cellStyle name="20% - Énfasis2 2 4 2 3 5" xfId="4515" xr:uid="{B97CFEB8-E0C9-4F61-9A27-63F9C2E88A24}"/>
    <cellStyle name="20% - Énfasis2 2 4 2 4" xfId="4516" xr:uid="{0306750A-8F72-4786-AFC0-1DB998FF787D}"/>
    <cellStyle name="20% - Énfasis2 2 4 2 5" xfId="4517" xr:uid="{B2C77A2A-8542-4B77-BEF6-E15C2F23F6A9}"/>
    <cellStyle name="20% - Énfasis2 2 4 2 6" xfId="4518" xr:uid="{69B2E437-C93A-4CF2-9F4B-BC462A5DEF76}"/>
    <cellStyle name="20% - Énfasis2 2 4 2 7" xfId="4519" xr:uid="{F3F95499-399B-4D05-AFF9-3986098402F1}"/>
    <cellStyle name="20% - Énfasis2 2 4 2 8" xfId="4520" xr:uid="{D1C4DB92-27F9-4B52-A896-B938D1457224}"/>
    <cellStyle name="20% - Énfasis2 2 4 2 9" xfId="4521" xr:uid="{870C1DE8-73EA-4BAD-B91E-329BC065C628}"/>
    <cellStyle name="20% - Énfasis2 2 4 3" xfId="4522" xr:uid="{6F393404-A64D-4C68-B54F-8F2E3EE81038}"/>
    <cellStyle name="20% - Énfasis2 2 4 3 10" xfId="4523" xr:uid="{19149058-A1BB-4D57-BD5E-8F684720FD4D}"/>
    <cellStyle name="20% - Énfasis2 2 4 3 11" xfId="4524" xr:uid="{F6EE8B96-B6D8-40CE-A1F4-55662B178A03}"/>
    <cellStyle name="20% - Énfasis2 2 4 3 12" xfId="43669" xr:uid="{71E598EA-94CB-40F1-A0C1-990F0C780C99}"/>
    <cellStyle name="20% - Énfasis2 2 4 3 2" xfId="4525" xr:uid="{7752E582-8146-4D1C-8433-3A25030E91F8}"/>
    <cellStyle name="20% - Énfasis2 2 4 3 2 2" xfId="4526" xr:uid="{09BF532B-4F90-4CF9-95BC-6D682CA54F16}"/>
    <cellStyle name="20% - Énfasis2 2 4 3 2 2 2" xfId="4527" xr:uid="{2E32DF72-E4AF-410F-9552-4984317A9E5E}"/>
    <cellStyle name="20% - Énfasis2 2 4 3 2 2 3" xfId="4528" xr:uid="{1246C790-0227-4B54-B4AD-7F176D240647}"/>
    <cellStyle name="20% - Énfasis2 2 4 3 2 2 4" xfId="4529" xr:uid="{EDFD7826-6DC0-493A-8354-5CEFAC3B12F1}"/>
    <cellStyle name="20% - Énfasis2 2 4 3 2 2 5" xfId="4530" xr:uid="{B6ED8140-CA00-4410-B7A9-BDED5F7637C3}"/>
    <cellStyle name="20% - Énfasis2 2 4 3 2 3" xfId="4531" xr:uid="{04D4FDC1-83BB-4513-8598-853B47742FAB}"/>
    <cellStyle name="20% - Énfasis2 2 4 3 2 4" xfId="4532" xr:uid="{B838B511-D757-4C86-8AC3-16456E0901BB}"/>
    <cellStyle name="20% - Énfasis2 2 4 3 2 5" xfId="4533" xr:uid="{2E1C6B36-4906-47EF-B8CF-725097532BF6}"/>
    <cellStyle name="20% - Énfasis2 2 4 3 3" xfId="4534" xr:uid="{C9A00316-CEB8-4C64-9EEB-AE6BD191707C}"/>
    <cellStyle name="20% - Énfasis2 2 4 3 4" xfId="4535" xr:uid="{D621A980-30EC-422A-964A-2A9554CFF02E}"/>
    <cellStyle name="20% - Énfasis2 2 4 3 5" xfId="4536" xr:uid="{C5BAB13C-64FC-4E45-95B7-AC6008F94939}"/>
    <cellStyle name="20% - Énfasis2 2 4 3 6" xfId="4537" xr:uid="{567F7245-014C-4B13-B6D4-E2003156CBAE}"/>
    <cellStyle name="20% - Énfasis2 2 4 3 7" xfId="4538" xr:uid="{4DF2456A-80FD-41B6-B5A5-CC0302F4224D}"/>
    <cellStyle name="20% - Énfasis2 2 4 3 8" xfId="4539" xr:uid="{DE5947E1-F458-4115-8D84-40AFF915EC96}"/>
    <cellStyle name="20% - Énfasis2 2 4 3 9" xfId="4540" xr:uid="{ACF13440-713B-4A04-AE67-D936276FA0BE}"/>
    <cellStyle name="20% - Énfasis2 2 4 4" xfId="4541" xr:uid="{C7B73436-B471-4E38-9DB6-A0D8884C2F63}"/>
    <cellStyle name="20% - Énfasis2 2 4 4 2" xfId="4542" xr:uid="{52ADBE87-BD07-4907-8417-B04CDE481D98}"/>
    <cellStyle name="20% - Énfasis2 2 4 4 2 2" xfId="4543" xr:uid="{2524F5CD-F621-4E99-BA07-A0C2C69E461D}"/>
    <cellStyle name="20% - Énfasis2 2 4 4 2 3" xfId="4544" xr:uid="{29EF243B-EC96-4961-A08F-3C915AAA4711}"/>
    <cellStyle name="20% - Énfasis2 2 4 4 2 4" xfId="4545" xr:uid="{5BCF974A-CF1D-4ED2-8E84-82F13DD3C507}"/>
    <cellStyle name="20% - Énfasis2 2 4 4 2 5" xfId="4546" xr:uid="{A136F7CC-2DA1-498F-A511-EBD82D65DBBC}"/>
    <cellStyle name="20% - Énfasis2 2 4 4 3" xfId="4547" xr:uid="{AB3B8C29-25B1-4352-817A-DAE51329758F}"/>
    <cellStyle name="20% - Énfasis2 2 4 4 4" xfId="4548" xr:uid="{E199B0E6-6923-471D-B8DE-500C2B13C9EC}"/>
    <cellStyle name="20% - Énfasis2 2 4 4 5" xfId="4549" xr:uid="{B2DDB9F3-5182-400E-9BE2-260191FC4815}"/>
    <cellStyle name="20% - Énfasis2 2 4 5" xfId="4550" xr:uid="{5A778B5A-B7BA-4482-8639-8C7D01A435CB}"/>
    <cellStyle name="20% - Énfasis2 2 4 6" xfId="4551" xr:uid="{CE88458D-FA23-4251-AEE4-5962ADA99A56}"/>
    <cellStyle name="20% - Énfasis2 2 4 7" xfId="4552" xr:uid="{F4808C25-11F4-4A5A-A9A1-7C6D69207323}"/>
    <cellStyle name="20% - Énfasis2 2 4 8" xfId="4553" xr:uid="{0AA8552E-0963-413B-94BC-0C04C6BF21D0}"/>
    <cellStyle name="20% - Énfasis2 2 4 9" xfId="4554" xr:uid="{29BB5D7B-0DBE-4A92-8D1F-2CE795CFD272}"/>
    <cellStyle name="20% - Énfasis2 2 5" xfId="4555" xr:uid="{42365F8C-A220-4CAF-9F45-A054CC9F9E16}"/>
    <cellStyle name="20% - Énfasis2 2 5 2" xfId="4556" xr:uid="{D030EF29-3994-4684-BBF6-074C78FE8974}"/>
    <cellStyle name="20% - Énfasis2 2 5 2 2" xfId="43671" xr:uid="{5F6EFB65-8D10-4523-B495-7FE3CE022E33}"/>
    <cellStyle name="20% - Énfasis2 2 5 3" xfId="43670" xr:uid="{6640ECFC-68B1-441E-B941-68B37791845F}"/>
    <cellStyle name="20% - Énfasis2 2 6" xfId="4557" xr:uid="{B9D21F44-4871-45DF-87F6-9089F266F079}"/>
    <cellStyle name="20% - Énfasis2 2 6 2" xfId="4558" xr:uid="{8D35B3CA-62EC-4770-B597-90F1F2DFB289}"/>
    <cellStyle name="20% - Énfasis2 2 6 3" xfId="43672" xr:uid="{75841D81-B428-421A-ABF9-A502DD225A1E}"/>
    <cellStyle name="20% - Énfasis2 2 7" xfId="4559" xr:uid="{B7170BDC-02D7-4CD1-8F74-B28551A110C9}"/>
    <cellStyle name="20% - Énfasis2 2 7 2" xfId="4560" xr:uid="{252BB12E-2F56-48B3-B0E2-922D7C2C09E9}"/>
    <cellStyle name="20% - Énfasis2 2 8" xfId="4561" xr:uid="{A16FEC27-6BC9-4531-8291-CA74FD7B5671}"/>
    <cellStyle name="20% - Énfasis2 2 8 2" xfId="4562" xr:uid="{BDA47C08-CCEA-4C9F-A2CC-14808529846A}"/>
    <cellStyle name="20% - Énfasis2 2 8 2 2" xfId="4563" xr:uid="{2440462F-5EBA-40E1-8898-6093AF54A1F7}"/>
    <cellStyle name="20% - Énfasis2 2 8 3" xfId="4564" xr:uid="{B4B9EFC7-40DC-4087-B556-25503DA4773B}"/>
    <cellStyle name="20% - Énfasis2 2 9" xfId="4565" xr:uid="{DF65160F-AF5F-494B-8DF6-F46BFE8E3B1D}"/>
    <cellStyle name="20% - Énfasis2 2 9 2" xfId="4566" xr:uid="{69E7A639-0F1B-466B-BA13-6AAA7CCB2FB6}"/>
    <cellStyle name="20% - Énfasis2 3" xfId="4567" xr:uid="{A38EE079-0032-4496-9131-479307FF464E}"/>
    <cellStyle name="20% - Énfasis2 3 2" xfId="4568" xr:uid="{2DD3BC42-1218-4660-A72E-57E3B17F0488}"/>
    <cellStyle name="20% - Énfasis2 3 2 2" xfId="4569" xr:uid="{DD770439-DB1C-4B00-AAEA-2B05B2265F06}"/>
    <cellStyle name="20% - Énfasis2 3 2 2 2" xfId="43676" xr:uid="{B38BBDF2-3E31-45D6-B332-682E17CF1A4F}"/>
    <cellStyle name="20% - Énfasis2 3 2 2 2 2" xfId="43677" xr:uid="{5D711484-9657-4608-BF58-5A40D0A5BC55}"/>
    <cellStyle name="20% - Énfasis2 3 2 2 3" xfId="43678" xr:uid="{CCCBA3F4-E4B9-434C-B244-7139706745C7}"/>
    <cellStyle name="20% - Énfasis2 3 2 2 4" xfId="43675" xr:uid="{77380E2C-43A8-49FC-9C6A-A28BAFFB93B0}"/>
    <cellStyle name="20% - Énfasis2 3 2 3" xfId="43679" xr:uid="{94DCCDD6-3A22-4DBD-ADA7-6511702B3958}"/>
    <cellStyle name="20% - Énfasis2 3 2 3 2" xfId="43680" xr:uid="{D23343AD-9688-4D35-B33F-934FDCA2D412}"/>
    <cellStyle name="20% - Énfasis2 3 2 4" xfId="43681" xr:uid="{6DFD7A8C-80BB-4AB1-8967-7C41C844ABDB}"/>
    <cellStyle name="20% - Énfasis2 3 2 5" xfId="43674" xr:uid="{B821C2AC-6D6F-4B0F-A2CE-DEE4AE9F0DF9}"/>
    <cellStyle name="20% - Énfasis2 3 3" xfId="4570" xr:uid="{8BA5069C-380E-4AA8-AC5C-020BCFC09007}"/>
    <cellStyle name="20% - Énfasis2 3 3 2" xfId="4571" xr:uid="{C7FA90B3-0810-4F28-B6A4-FC53674FA65D}"/>
    <cellStyle name="20% - Énfasis2 3 3 2 2" xfId="43684" xr:uid="{5BB7D117-DFA4-4A25-A3DA-2A09669B73FB}"/>
    <cellStyle name="20% - Énfasis2 3 3 2 3" xfId="43683" xr:uid="{31B28834-096E-406C-AD61-B7C414E8EF26}"/>
    <cellStyle name="20% - Énfasis2 3 3 3" xfId="43685" xr:uid="{4FDEE963-B225-4652-935B-D493AF95F780}"/>
    <cellStyle name="20% - Énfasis2 3 3 4" xfId="43682" xr:uid="{F8D280F1-0C71-401A-9747-C2D4691B77F6}"/>
    <cellStyle name="20% - Énfasis2 3 4" xfId="4572" xr:uid="{B2EDB484-60F6-4E03-8697-2F96F95845A9}"/>
    <cellStyle name="20% - Énfasis2 3 4 2" xfId="43687" xr:uid="{6014939A-11A5-456E-99B0-4F2E77CBC34C}"/>
    <cellStyle name="20% - Énfasis2 3 4 3" xfId="43686" xr:uid="{5EF9255E-DFC1-4249-8068-937C5AE5A33B}"/>
    <cellStyle name="20% - Énfasis2 3 5" xfId="43688" xr:uid="{5D29B517-0637-4515-B1C6-C8EDEFA495A9}"/>
    <cellStyle name="20% - Énfasis2 3 6" xfId="43673" xr:uid="{931009D7-CD54-40E5-885C-43EB5CF980B5}"/>
    <cellStyle name="20% - Énfasis2 4" xfId="4573" xr:uid="{ED33CD7A-574D-4CCB-86B5-C567EDEE60E3}"/>
    <cellStyle name="20% - Énfasis2 4 2" xfId="4574" xr:uid="{47894A27-6049-4D86-B6C3-49246D662727}"/>
    <cellStyle name="20% - Énfasis2 4 2 2" xfId="43691" xr:uid="{8D6C766A-EE7D-4F37-A15C-5756D5EE64D9}"/>
    <cellStyle name="20% - Énfasis2 4 2 2 2" xfId="43692" xr:uid="{A06B7AE2-6C7D-40B6-A224-7CF84FBDF715}"/>
    <cellStyle name="20% - Énfasis2 4 2 3" xfId="43693" xr:uid="{23E8F16C-A1A1-4A9C-A9CE-4EB74CF11E8C}"/>
    <cellStyle name="20% - Énfasis2 4 2 4" xfId="43690" xr:uid="{5644EBB9-9D5E-4A59-A7ED-17FC270CB045}"/>
    <cellStyle name="20% - Énfasis2 4 3" xfId="43694" xr:uid="{73637FAE-394C-4E3A-AA1E-6752F6F2E48F}"/>
    <cellStyle name="20% - Énfasis2 4 3 2" xfId="43695" xr:uid="{AF85BACF-95C4-411D-828F-0DC7D32ABD62}"/>
    <cellStyle name="20% - Énfasis2 4 4" xfId="43696" xr:uid="{1ADA5080-7A67-4DB1-B3B5-1CBAE16870EA}"/>
    <cellStyle name="20% - Énfasis2 4 5" xfId="43689" xr:uid="{C7D51507-2225-43B1-BF8D-AAD63C93354D}"/>
    <cellStyle name="20% - Énfasis2 5" xfId="43697" xr:uid="{18893421-FB93-4ABE-8517-F043FAF5DDE0}"/>
    <cellStyle name="20% - Énfasis2 5 2" xfId="43698" xr:uid="{370CFB23-E4B8-4FB4-9EB4-C287FDA89FD0}"/>
    <cellStyle name="20% - Énfasis2 5 2 2" xfId="43699" xr:uid="{FD201FC3-911C-41B8-A240-0D8C795E7AE4}"/>
    <cellStyle name="20% - Énfasis2 5 2 2 2" xfId="43700" xr:uid="{C4FDDC79-5C49-4296-901A-8BE750744A0D}"/>
    <cellStyle name="20% - Énfasis2 5 2 3" xfId="43701" xr:uid="{4F06819C-A68D-4263-A526-3D5FA785D7B1}"/>
    <cellStyle name="20% - Énfasis2 5 3" xfId="43702" xr:uid="{798995E2-7253-41B8-8ABC-F20F7BB71F37}"/>
    <cellStyle name="20% - Énfasis2 5 3 2" xfId="43703" xr:uid="{A861B7A7-F25B-4F0C-A909-1423ECB2E381}"/>
    <cellStyle name="20% - Énfasis2 5 4" xfId="43704" xr:uid="{FB947F9C-8784-4362-AFEB-4C2258259335}"/>
    <cellStyle name="20% - Énfasis2 6" xfId="43705" xr:uid="{A2F2AC1A-519F-4E38-A66E-BD66FE3FD120}"/>
    <cellStyle name="20% - Énfasis2 6 2" xfId="43706" xr:uid="{863390A7-A19F-4255-BC21-E0631972BC96}"/>
    <cellStyle name="20% - Énfasis2 6 2 2" xfId="43707" xr:uid="{5D0687B2-8152-4766-9472-C8D459A31213}"/>
    <cellStyle name="20% - Énfasis2 6 3" xfId="43708" xr:uid="{CE93308E-1CE6-4E08-AA7B-2562266D8907}"/>
    <cellStyle name="20% - Énfasis2 7" xfId="43709" xr:uid="{5782EB71-9BA8-4E51-96C1-3966E06BFFDE}"/>
    <cellStyle name="20% - Énfasis2 7 2" xfId="43710" xr:uid="{D03D8D84-65E5-4433-9242-BC0E0A7C98DE}"/>
    <cellStyle name="20% - Énfasis2 8" xfId="43711" xr:uid="{C34E6D49-2EAE-4070-9311-B8F34F539347}"/>
    <cellStyle name="20% - Énfasis3" xfId="30" builtinId="38" customBuiltin="1"/>
    <cellStyle name="20% - Énfasis3 2" xfId="4575" xr:uid="{E24982EC-BDFB-4D27-B006-B1F46D4FD84B}"/>
    <cellStyle name="20% - Énfasis3 2 10" xfId="4576" xr:uid="{4AC9C054-BC6F-4E17-AA86-33C178EB545A}"/>
    <cellStyle name="20% - Énfasis3 2 10 10" xfId="4577" xr:uid="{B75E7213-9F65-4720-829A-69BAB80CED1A}"/>
    <cellStyle name="20% - Énfasis3 2 10 11" xfId="4578" xr:uid="{D2680FD2-675C-4720-8250-9637BDEA7952}"/>
    <cellStyle name="20% - Énfasis3 2 10 2" xfId="4579" xr:uid="{DB1A9C02-93E8-4733-AE5A-A9A1B7F1A8CB}"/>
    <cellStyle name="20% - Énfasis3 2 10 2 10" xfId="4580" xr:uid="{9518C151-9E94-4987-8EC2-363808C4E437}"/>
    <cellStyle name="20% - Énfasis3 2 10 2 11" xfId="4581" xr:uid="{7785AC54-1A01-4B12-AF43-890F3BBECD9D}"/>
    <cellStyle name="20% - Énfasis3 2 10 2 2" xfId="4582" xr:uid="{ECA18570-428C-4391-B3D3-902B0748468A}"/>
    <cellStyle name="20% - Énfasis3 2 10 2 2 2" xfId="4583" xr:uid="{06284AC0-0274-46F8-9DF8-C31205E714A0}"/>
    <cellStyle name="20% - Énfasis3 2 10 2 2 2 2" xfId="4584" xr:uid="{4800BFBD-61E4-4469-BDDF-64416AC7CF3F}"/>
    <cellStyle name="20% - Énfasis3 2 10 2 2 2 3" xfId="4585" xr:uid="{B0A6FB4C-6116-4C12-995A-204A64731D1D}"/>
    <cellStyle name="20% - Énfasis3 2 10 2 2 2 4" xfId="4586" xr:uid="{26C9E826-DBA4-43F1-804A-79DC624B82B0}"/>
    <cellStyle name="20% - Énfasis3 2 10 2 2 2 5" xfId="4587" xr:uid="{CF5BBE2E-D05A-490B-B76F-A5530003D4A7}"/>
    <cellStyle name="20% - Énfasis3 2 10 2 2 3" xfId="4588" xr:uid="{6B60F9AF-B079-483C-98D8-12BB1A8547B2}"/>
    <cellStyle name="20% - Énfasis3 2 10 2 2 4" xfId="4589" xr:uid="{DA77979D-02BB-4711-9AB0-897C68E2AE65}"/>
    <cellStyle name="20% - Énfasis3 2 10 2 2 5" xfId="4590" xr:uid="{12F56650-50C9-4A1B-92F1-4068516B57B1}"/>
    <cellStyle name="20% - Énfasis3 2 10 2 3" xfId="4591" xr:uid="{B9A4F4BD-3DE4-4391-86E7-3B0F30A7A819}"/>
    <cellStyle name="20% - Énfasis3 2 10 2 4" xfId="4592" xr:uid="{D9529EF7-9CB7-4B0E-AAD4-9205C869122B}"/>
    <cellStyle name="20% - Énfasis3 2 10 2 5" xfId="4593" xr:uid="{7756324B-3FBF-4FC9-929D-4904E0B2B3EF}"/>
    <cellStyle name="20% - Énfasis3 2 10 2 6" xfId="4594" xr:uid="{5274C9D4-434D-4057-9CD3-1B498D9BB640}"/>
    <cellStyle name="20% - Énfasis3 2 10 2 7" xfId="4595" xr:uid="{7EC6F1B8-89E4-45B7-9E31-C9235B91BDE3}"/>
    <cellStyle name="20% - Énfasis3 2 10 2 8" xfId="4596" xr:uid="{452C4635-8693-4D06-863E-6E4BB28751C4}"/>
    <cellStyle name="20% - Énfasis3 2 10 2 9" xfId="4597" xr:uid="{6520353F-3AD3-40F5-B8C2-3618012B4F7C}"/>
    <cellStyle name="20% - Énfasis3 2 10 3" xfId="4598" xr:uid="{5F5BD23E-82EA-4AB7-8BAA-5CC77AB6F6BD}"/>
    <cellStyle name="20% - Énfasis3 2 10 3 2" xfId="4599" xr:uid="{DE8E4A61-801D-44BD-8421-5EBC5B81CB77}"/>
    <cellStyle name="20% - Énfasis3 2 10 3 2 2" xfId="4600" xr:uid="{D44A9A00-3593-40DA-9458-518DEA106C4F}"/>
    <cellStyle name="20% - Énfasis3 2 10 3 2 3" xfId="4601" xr:uid="{6036E5A0-6AC7-4CED-ABFC-7200D72DD0E3}"/>
    <cellStyle name="20% - Énfasis3 2 10 3 2 4" xfId="4602" xr:uid="{C1316325-9D88-4292-98EE-B3BB3F10CA7E}"/>
    <cellStyle name="20% - Énfasis3 2 10 3 2 5" xfId="4603" xr:uid="{0CBA4AE8-0789-48E1-839C-34750958B20C}"/>
    <cellStyle name="20% - Énfasis3 2 10 3 3" xfId="4604" xr:uid="{0E13F674-EA1D-4DF2-8308-6F31D3481B3C}"/>
    <cellStyle name="20% - Énfasis3 2 10 3 4" xfId="4605" xr:uid="{7CD11A69-FC74-4071-8912-04B047DF4F58}"/>
    <cellStyle name="20% - Énfasis3 2 10 3 5" xfId="4606" xr:uid="{83728AA7-A66D-4F34-BE9D-D28454360947}"/>
    <cellStyle name="20% - Énfasis3 2 10 4" xfId="4607" xr:uid="{56EF669F-C300-42DB-A867-B967FC06AC44}"/>
    <cellStyle name="20% - Énfasis3 2 10 5" xfId="4608" xr:uid="{F1F65AFF-7C0C-4898-8275-A9DCB1E98A2F}"/>
    <cellStyle name="20% - Énfasis3 2 10 6" xfId="4609" xr:uid="{A4D706D8-C155-40A5-8CF5-F4A958C9D99C}"/>
    <cellStyle name="20% - Énfasis3 2 10 7" xfId="4610" xr:uid="{6A682715-56E3-4F43-BBFD-289FF213607A}"/>
    <cellStyle name="20% - Énfasis3 2 10 8" xfId="4611" xr:uid="{C1B4CEF6-82D5-4EA5-A92F-CB4BAA9A54D8}"/>
    <cellStyle name="20% - Énfasis3 2 10 9" xfId="4612" xr:uid="{8FF3F9FE-7248-40BF-ADC2-737B7F1610C2}"/>
    <cellStyle name="20% - Énfasis3 2 11" xfId="4613" xr:uid="{18CF5903-3858-4E04-B2F8-6DD67F545BFB}"/>
    <cellStyle name="20% - Énfasis3 2 12" xfId="4614" xr:uid="{4BA4069A-644F-49E4-847C-DF1B00E6B1EF}"/>
    <cellStyle name="20% - Énfasis3 2 13" xfId="4615" xr:uid="{436C4475-E31F-4F2C-AE8F-B5BE9864ACE2}"/>
    <cellStyle name="20% - Énfasis3 2 14" xfId="43712" xr:uid="{96824974-E89B-4DA6-9ADF-92BC49F876C6}"/>
    <cellStyle name="20% - Énfasis3 2 2" xfId="4616" xr:uid="{FF58988C-F812-493B-B13E-5C916786BB03}"/>
    <cellStyle name="20% - Énfasis3 2 2 10" xfId="4617" xr:uid="{FB6AA99F-2253-4B3F-A9CC-72296BD2A263}"/>
    <cellStyle name="20% - Énfasis3 2 2 10 10" xfId="4618" xr:uid="{448E1488-E4AA-4AC4-A7FE-7D7968CD5331}"/>
    <cellStyle name="20% - Énfasis3 2 2 10 11" xfId="4619" xr:uid="{C11931BC-7A0A-4F39-99DE-42FC128D06F7}"/>
    <cellStyle name="20% - Énfasis3 2 2 10 2" xfId="4620" xr:uid="{390AEC71-B9C7-4DFD-AA10-555DD24EB033}"/>
    <cellStyle name="20% - Énfasis3 2 2 10 2 10" xfId="4621" xr:uid="{296F3B95-9BCC-421A-9402-FBFB7A466ED5}"/>
    <cellStyle name="20% - Énfasis3 2 2 10 2 11" xfId="4622" xr:uid="{2FB7D3DB-FE00-49D0-819D-A27DB1BC7E7F}"/>
    <cellStyle name="20% - Énfasis3 2 2 10 2 2" xfId="4623" xr:uid="{24B03503-1915-448C-87DB-75DAFB735912}"/>
    <cellStyle name="20% - Énfasis3 2 2 10 2 2 2" xfId="4624" xr:uid="{2891EF14-B93B-414F-A298-10BBF2C5113A}"/>
    <cellStyle name="20% - Énfasis3 2 2 10 2 2 2 2" xfId="4625" xr:uid="{90DFD436-1C73-4539-A895-9E92573EB9EA}"/>
    <cellStyle name="20% - Énfasis3 2 2 10 2 2 2 3" xfId="4626" xr:uid="{2B398298-CA27-4A58-83AE-9AA31E229F42}"/>
    <cellStyle name="20% - Énfasis3 2 2 10 2 2 2 4" xfId="4627" xr:uid="{64F84E11-2BB3-41B1-A70C-6D901E90AF35}"/>
    <cellStyle name="20% - Énfasis3 2 2 10 2 2 2 5" xfId="4628" xr:uid="{7A37C950-DDB9-4689-8332-E1C792B27DFE}"/>
    <cellStyle name="20% - Énfasis3 2 2 10 2 2 3" xfId="4629" xr:uid="{586783BB-06FA-4BD0-8657-5371B80CCD92}"/>
    <cellStyle name="20% - Énfasis3 2 2 10 2 2 4" xfId="4630" xr:uid="{A955649B-F69F-46AE-8DAA-518EDC5B217A}"/>
    <cellStyle name="20% - Énfasis3 2 2 10 2 2 5" xfId="4631" xr:uid="{69D0E509-AA05-4DC8-84DC-0E525411D996}"/>
    <cellStyle name="20% - Énfasis3 2 2 10 2 3" xfId="4632" xr:uid="{3E15FDED-2616-4F47-9265-C1C5B74B024F}"/>
    <cellStyle name="20% - Énfasis3 2 2 10 2 4" xfId="4633" xr:uid="{940F9C96-A948-4C1B-9327-1E60D216C249}"/>
    <cellStyle name="20% - Énfasis3 2 2 10 2 5" xfId="4634" xr:uid="{06633C89-6C68-4943-9F07-F067BE5CD2A1}"/>
    <cellStyle name="20% - Énfasis3 2 2 10 2 6" xfId="4635" xr:uid="{1F0873BA-B11E-4D0C-BE0F-0CC6748FE1ED}"/>
    <cellStyle name="20% - Énfasis3 2 2 10 2 7" xfId="4636" xr:uid="{82BA92D8-A968-45D5-824C-4F914840AADA}"/>
    <cellStyle name="20% - Énfasis3 2 2 10 2 8" xfId="4637" xr:uid="{2892E64D-5BF4-483A-A8B0-B4D010081677}"/>
    <cellStyle name="20% - Énfasis3 2 2 10 2 9" xfId="4638" xr:uid="{97DE0859-D0A1-4C07-932E-66B19C95129C}"/>
    <cellStyle name="20% - Énfasis3 2 2 10 3" xfId="4639" xr:uid="{62BBC0D1-D890-44C2-BC59-018E1195E472}"/>
    <cellStyle name="20% - Énfasis3 2 2 10 3 2" xfId="4640" xr:uid="{42C10904-4D71-4179-A341-19BAB601447D}"/>
    <cellStyle name="20% - Énfasis3 2 2 10 3 2 2" xfId="4641" xr:uid="{5FEFAF3B-AC03-4761-8585-A0CC3E1FBADE}"/>
    <cellStyle name="20% - Énfasis3 2 2 10 3 2 3" xfId="4642" xr:uid="{A2FD9FFB-8834-4E8E-A6DB-560C2D4E3F4A}"/>
    <cellStyle name="20% - Énfasis3 2 2 10 3 2 4" xfId="4643" xr:uid="{FE0757DF-5C1A-43E7-A1A0-4F8F8237B09D}"/>
    <cellStyle name="20% - Énfasis3 2 2 10 3 2 5" xfId="4644" xr:uid="{E36E3015-0BB2-4B14-9DA4-CB9F5F332E7E}"/>
    <cellStyle name="20% - Énfasis3 2 2 10 3 3" xfId="4645" xr:uid="{8AF22B5D-7F25-43B0-A133-861368E95757}"/>
    <cellStyle name="20% - Énfasis3 2 2 10 3 4" xfId="4646" xr:uid="{8B66A00A-BF34-4E1A-94BF-B22A032BD882}"/>
    <cellStyle name="20% - Énfasis3 2 2 10 3 5" xfId="4647" xr:uid="{01B2F32D-C82C-4BD1-8DF0-77DC0E498CCA}"/>
    <cellStyle name="20% - Énfasis3 2 2 10 4" xfId="4648" xr:uid="{95AC72C1-60DE-4E9C-8CB9-A77B76BC71F1}"/>
    <cellStyle name="20% - Énfasis3 2 2 10 5" xfId="4649" xr:uid="{1318CE28-4CCA-4C39-8547-74C58E43107A}"/>
    <cellStyle name="20% - Énfasis3 2 2 10 6" xfId="4650" xr:uid="{A982F58B-5AE9-4978-824B-263B312B6775}"/>
    <cellStyle name="20% - Énfasis3 2 2 10 7" xfId="4651" xr:uid="{E42FF15E-F0CF-4068-B327-2D2419FB8256}"/>
    <cellStyle name="20% - Énfasis3 2 2 10 8" xfId="4652" xr:uid="{2F5C6E50-14E6-4B6E-81DD-802B15A452E6}"/>
    <cellStyle name="20% - Énfasis3 2 2 10 9" xfId="4653" xr:uid="{A82091A7-ED79-425A-A3FE-5DCB83DE392E}"/>
    <cellStyle name="20% - Énfasis3 2 2 11" xfId="4654" xr:uid="{901C4394-2664-4E1A-A030-3555A790607E}"/>
    <cellStyle name="20% - Énfasis3 2 2 12" xfId="4655" xr:uid="{FCE8D7C3-5A8D-4010-888B-DB291728046D}"/>
    <cellStyle name="20% - Énfasis3 2 2 13" xfId="4656" xr:uid="{F02D74DE-20C3-4685-B5A4-5C4A5ADE20B5}"/>
    <cellStyle name="20% - Énfasis3 2 2 14" xfId="43713" xr:uid="{5F145831-8201-4682-9632-769317E5949D}"/>
    <cellStyle name="20% - Énfasis3 2 2 2" xfId="4657" xr:uid="{ED7DB723-7E15-41C8-B8F0-0E77AB510C5A}"/>
    <cellStyle name="20% - Énfasis3 2 2 2 2" xfId="4658" xr:uid="{211F297B-9301-4CD2-BFB5-DD27C2FF44C2}"/>
    <cellStyle name="20% - Énfasis3 2 2 2 2 2" xfId="4659" xr:uid="{9DEB954D-CD8B-49DB-A07E-8260E049D02B}"/>
    <cellStyle name="20% - Énfasis3 2 2 2 2 2 2" xfId="4660" xr:uid="{C4156F67-3EB6-46EE-B887-ED1E5E0DD1CE}"/>
    <cellStyle name="20% - Énfasis3 2 2 2 2 2 2 2" xfId="4661" xr:uid="{604FB048-2D9F-45D6-B7F6-B305B9D3DD73}"/>
    <cellStyle name="20% - Énfasis3 2 2 2 2 2 2 2 2" xfId="4662" xr:uid="{27B57D63-0034-44E4-A45B-516F1797BF3A}"/>
    <cellStyle name="20% - Énfasis3 2 2 2 2 2 2 2 2 2" xfId="4663" xr:uid="{45EF4EF2-CC61-4C12-85FE-1ECE7ECC7BAE}"/>
    <cellStyle name="20% - Énfasis3 2 2 2 2 2 2 2 2 2 2" xfId="4664" xr:uid="{2985FF7B-3DAF-467D-AFA2-A563BD986594}"/>
    <cellStyle name="20% - Énfasis3 2 2 2 2 2 2 2 2 2 2 2" xfId="4665" xr:uid="{37629DA8-9445-4A88-BC74-57FCE25073DF}"/>
    <cellStyle name="20% - Énfasis3 2 2 2 2 2 2 2 2 2 2 2 2" xfId="4666" xr:uid="{E09BD370-EDA5-4FE5-A03A-702F75036805}"/>
    <cellStyle name="20% - Énfasis3 2 2 2 2 2 2 2 2 2 2 2 2 2" xfId="4667" xr:uid="{D945A669-B688-4E32-8DA5-9A480778BE5D}"/>
    <cellStyle name="20% - Énfasis3 2 2 2 2 2 2 2 2 2 2 2 2 2 2" xfId="4668" xr:uid="{C56FEED0-1F88-44E2-8BB0-74BF3F835E83}"/>
    <cellStyle name="20% - Énfasis3 2 2 2 2 2 2 2 2 2 2 2 2 2 3" xfId="4669" xr:uid="{2155FB39-52F0-451E-A1F6-9E6B5A2712F7}"/>
    <cellStyle name="20% - Énfasis3 2 2 2 2 2 2 2 2 2 2 2 2 2 4" xfId="4670" xr:uid="{0D2AC507-CF18-49E3-B5AB-7FE014E55BBC}"/>
    <cellStyle name="20% - Énfasis3 2 2 2 2 2 2 2 2 2 2 2 2 2 5" xfId="4671" xr:uid="{04104047-BFBC-4979-80E7-4757EA850B9A}"/>
    <cellStyle name="20% - Énfasis3 2 2 2 2 2 2 2 2 2 2 2 2 3" xfId="4672" xr:uid="{A30B8EF2-BAEA-48D9-98C3-18F954EFD985}"/>
    <cellStyle name="20% - Énfasis3 2 2 2 2 2 2 2 2 2 2 2 2 4" xfId="4673" xr:uid="{3064AB93-9E71-4A6B-B50B-ACF340D031F3}"/>
    <cellStyle name="20% - Énfasis3 2 2 2 2 2 2 2 2 2 2 2 2 5" xfId="4674" xr:uid="{3B86FDFE-AB1C-445A-8BF7-300E91D32F94}"/>
    <cellStyle name="20% - Énfasis3 2 2 2 2 2 2 2 2 2 2 2 3" xfId="4675" xr:uid="{8F0DB291-0543-4140-9058-986FFFBFB71A}"/>
    <cellStyle name="20% - Énfasis3 2 2 2 2 2 2 2 2 2 2 2 4" xfId="4676" xr:uid="{A5F6D131-AC64-4B1B-A805-018AE8820F50}"/>
    <cellStyle name="20% - Énfasis3 2 2 2 2 2 2 2 2 2 2 2 5" xfId="4677" xr:uid="{3FB0A889-C92D-4541-B817-81522B6D85A0}"/>
    <cellStyle name="20% - Énfasis3 2 2 2 2 2 2 2 2 2 2 2 6" xfId="4678" xr:uid="{35C252F6-FB26-4B30-8C67-3A1334C81F9C}"/>
    <cellStyle name="20% - Énfasis3 2 2 2 2 2 2 2 2 2 2 3" xfId="4679" xr:uid="{1CD8F353-23F8-4B3B-A175-D4FE23FFBE9E}"/>
    <cellStyle name="20% - Énfasis3 2 2 2 2 2 2 2 2 2 2 4" xfId="4680" xr:uid="{5E317B84-22ED-49AA-80F0-E9A4E3FC9136}"/>
    <cellStyle name="20% - Énfasis3 2 2 2 2 2 2 2 2 2 3" xfId="4681" xr:uid="{C730EE54-3E8E-48FE-B45D-9A69AB31AB35}"/>
    <cellStyle name="20% - Énfasis3 2 2 2 2 2 2 2 2 2 4" xfId="4682" xr:uid="{30FBAF14-15EB-4E61-856B-F662F69C7C2A}"/>
    <cellStyle name="20% - Énfasis3 2 2 2 2 2 2 2 2 3" xfId="4683" xr:uid="{4CC30B21-1DB8-4EAD-AA39-CF27E829DCD4}"/>
    <cellStyle name="20% - Énfasis3 2 2 2 2 2 2 2 2 4" xfId="4684" xr:uid="{CC0BBFBF-0DEA-44CE-9CAE-BA61886775D0}"/>
    <cellStyle name="20% - Énfasis3 2 2 2 2 2 2 2 2 5" xfId="4685" xr:uid="{3CBE71BA-56F5-4609-AE11-6A98DD63918C}"/>
    <cellStyle name="20% - Énfasis3 2 2 2 2 2 2 2 3" xfId="4686" xr:uid="{EF133E32-DC74-4ECC-8F86-B21D92BB9B2B}"/>
    <cellStyle name="20% - Énfasis3 2 2 2 2 2 2 2 3 10" xfId="4687" xr:uid="{772F59D1-B083-45DE-AFA3-04470D043BC0}"/>
    <cellStyle name="20% - Énfasis3 2 2 2 2 2 2 2 3 11" xfId="4688" xr:uid="{1433E654-C3E9-407E-AA1A-03B319CBF0DE}"/>
    <cellStyle name="20% - Énfasis3 2 2 2 2 2 2 2 3 2" xfId="4689" xr:uid="{518404D7-6527-4D8D-9275-9FA95946E14F}"/>
    <cellStyle name="20% - Énfasis3 2 2 2 2 2 2 2 3 2 2" xfId="4690" xr:uid="{C4907BB5-9A64-433E-ABF3-6F2CE86128F1}"/>
    <cellStyle name="20% - Énfasis3 2 2 2 2 2 2 2 3 2 2 2" xfId="4691" xr:uid="{0E8AAD1F-CECC-4C56-AAD0-78C02CAE061E}"/>
    <cellStyle name="20% - Énfasis3 2 2 2 2 2 2 2 3 2 2 3" xfId="4692" xr:uid="{58696A98-23BB-43F5-8BBB-0920448A57EB}"/>
    <cellStyle name="20% - Énfasis3 2 2 2 2 2 2 2 3 2 2 4" xfId="4693" xr:uid="{D050BBEC-E458-4E0C-AC68-EB7E63AEE6E4}"/>
    <cellStyle name="20% - Énfasis3 2 2 2 2 2 2 2 3 2 2 5" xfId="4694" xr:uid="{5D34E913-3FC3-4767-A671-1407005595E5}"/>
    <cellStyle name="20% - Énfasis3 2 2 2 2 2 2 2 3 2 3" xfId="4695" xr:uid="{26E191E2-42B9-4B78-806C-263F785292EF}"/>
    <cellStyle name="20% - Énfasis3 2 2 2 2 2 2 2 3 2 4" xfId="4696" xr:uid="{F4A6CC8E-6B93-4094-B892-AE3FDD3E331F}"/>
    <cellStyle name="20% - Énfasis3 2 2 2 2 2 2 2 3 2 5" xfId="4697" xr:uid="{F390FDEE-ADD4-4B36-A1BA-26F5CBF598B2}"/>
    <cellStyle name="20% - Énfasis3 2 2 2 2 2 2 2 3 3" xfId="4698" xr:uid="{88C1FEEE-DE66-41E2-9832-5F490ACEAA38}"/>
    <cellStyle name="20% - Énfasis3 2 2 2 2 2 2 2 3 4" xfId="4699" xr:uid="{EDAB66CB-3DF6-4838-88E7-36452F215610}"/>
    <cellStyle name="20% - Énfasis3 2 2 2 2 2 2 2 3 5" xfId="4700" xr:uid="{533A9C6F-805C-4C09-AAC7-80D21057D2C0}"/>
    <cellStyle name="20% - Énfasis3 2 2 2 2 2 2 2 3 6" xfId="4701" xr:uid="{4FB465E2-6892-443A-9525-13629455C537}"/>
    <cellStyle name="20% - Énfasis3 2 2 2 2 2 2 2 3 7" xfId="4702" xr:uid="{C749ECF4-3DBF-4812-B6B8-9625EF1F88BE}"/>
    <cellStyle name="20% - Énfasis3 2 2 2 2 2 2 2 3 8" xfId="4703" xr:uid="{45301A5B-B63C-4659-BC7E-6A3D0B35B5D1}"/>
    <cellStyle name="20% - Énfasis3 2 2 2 2 2 2 2 3 9" xfId="4704" xr:uid="{7251C332-7EED-448F-B110-B1E56A60099F}"/>
    <cellStyle name="20% - Énfasis3 2 2 2 2 2 2 2 4" xfId="4705" xr:uid="{E2AE6CB1-B841-488B-A296-858955B5FC62}"/>
    <cellStyle name="20% - Énfasis3 2 2 2 2 2 2 2 5" xfId="4706" xr:uid="{DA992E3C-EF60-4938-B3B4-BA383E4A0836}"/>
    <cellStyle name="20% - Énfasis3 2 2 2 2 2 2 3" xfId="4707" xr:uid="{BE0F99EC-16F3-4AA9-A317-2808DCB473EC}"/>
    <cellStyle name="20% - Énfasis3 2 2 2 2 2 2 3 10" xfId="4708" xr:uid="{FEF328BE-7E3C-4E74-B9CA-BFEFE2136654}"/>
    <cellStyle name="20% - Énfasis3 2 2 2 2 2 2 3 11" xfId="4709" xr:uid="{2B6F48A8-B088-4C67-948D-68DC9707AB7C}"/>
    <cellStyle name="20% - Énfasis3 2 2 2 2 2 2 3 2" xfId="4710" xr:uid="{DE13EE78-F5C8-4BDC-B0D9-ADE401C543BF}"/>
    <cellStyle name="20% - Énfasis3 2 2 2 2 2 2 3 2 10" xfId="4711" xr:uid="{9DB13CB4-161B-4B0B-A89B-47B869C14F7B}"/>
    <cellStyle name="20% - Énfasis3 2 2 2 2 2 2 3 2 11" xfId="4712" xr:uid="{C8871133-8BA3-4057-99A5-D6F977E570B8}"/>
    <cellStyle name="20% - Énfasis3 2 2 2 2 2 2 3 2 2" xfId="4713" xr:uid="{69D16594-97C2-4B2D-9DDB-5F8FAE00F783}"/>
    <cellStyle name="20% - Énfasis3 2 2 2 2 2 2 3 2 2 2" xfId="4714" xr:uid="{5B5DCA38-2CCF-40B6-81DD-455D6E6ECD61}"/>
    <cellStyle name="20% - Énfasis3 2 2 2 2 2 2 3 2 2 2 2" xfId="4715" xr:uid="{8B0F5BE9-54A8-4393-A7CB-023725766FD3}"/>
    <cellStyle name="20% - Énfasis3 2 2 2 2 2 2 3 2 2 2 3" xfId="4716" xr:uid="{274C00C4-BA31-4535-B170-FD6754CC3486}"/>
    <cellStyle name="20% - Énfasis3 2 2 2 2 2 2 3 2 2 2 4" xfId="4717" xr:uid="{763AF2A8-8BA5-4282-B271-2C33328F12A9}"/>
    <cellStyle name="20% - Énfasis3 2 2 2 2 2 2 3 2 2 2 5" xfId="4718" xr:uid="{C56E152F-1692-40DB-B301-B27E3A141090}"/>
    <cellStyle name="20% - Énfasis3 2 2 2 2 2 2 3 2 2 3" xfId="4719" xr:uid="{374FDB72-68B5-45C5-8BD4-ABC1DBEF74F3}"/>
    <cellStyle name="20% - Énfasis3 2 2 2 2 2 2 3 2 2 4" xfId="4720" xr:uid="{DCD9E670-89B3-4F51-ACE4-E799108C6648}"/>
    <cellStyle name="20% - Énfasis3 2 2 2 2 2 2 3 2 2 5" xfId="4721" xr:uid="{E4ECF61D-188D-41C4-9FC8-348F140793D3}"/>
    <cellStyle name="20% - Énfasis3 2 2 2 2 2 2 3 2 3" xfId="4722" xr:uid="{F191D46F-6DB2-47FA-BA66-47DE772B4D63}"/>
    <cellStyle name="20% - Énfasis3 2 2 2 2 2 2 3 2 4" xfId="4723" xr:uid="{747E9E4E-E4CC-45A1-B5E1-AA6E3DF3F321}"/>
    <cellStyle name="20% - Énfasis3 2 2 2 2 2 2 3 2 5" xfId="4724" xr:uid="{2B6EB32F-F110-4303-9086-D95D2715ACAC}"/>
    <cellStyle name="20% - Énfasis3 2 2 2 2 2 2 3 2 6" xfId="4725" xr:uid="{4C9E5B2B-B30A-4429-80D5-06C3CEFBB645}"/>
    <cellStyle name="20% - Énfasis3 2 2 2 2 2 2 3 2 7" xfId="4726" xr:uid="{A0522AE1-9704-43AA-A9FD-964514E19286}"/>
    <cellStyle name="20% - Énfasis3 2 2 2 2 2 2 3 2 8" xfId="4727" xr:uid="{7C47686B-BE83-47E2-9172-86008EA5E271}"/>
    <cellStyle name="20% - Énfasis3 2 2 2 2 2 2 3 2 9" xfId="4728" xr:uid="{601D2990-48F8-4812-BA11-ED152D3A09DB}"/>
    <cellStyle name="20% - Énfasis3 2 2 2 2 2 2 3 3" xfId="4729" xr:uid="{960412B4-F14B-4C0B-87BE-277E657670D7}"/>
    <cellStyle name="20% - Énfasis3 2 2 2 2 2 2 3 3 2" xfId="4730" xr:uid="{DCD7DA62-9404-41EF-845F-4AC51C1A981D}"/>
    <cellStyle name="20% - Énfasis3 2 2 2 2 2 2 3 3 2 2" xfId="4731" xr:uid="{621B96F2-C7DC-423B-8A0B-4B9CA3C9BD6A}"/>
    <cellStyle name="20% - Énfasis3 2 2 2 2 2 2 3 3 2 3" xfId="4732" xr:uid="{AFB6AC1C-9AB8-4FF1-94C3-2C4D08F77629}"/>
    <cellStyle name="20% - Énfasis3 2 2 2 2 2 2 3 3 2 4" xfId="4733" xr:uid="{23A6E4EC-840C-446F-98C2-52D6ED1DA256}"/>
    <cellStyle name="20% - Énfasis3 2 2 2 2 2 2 3 3 2 5" xfId="4734" xr:uid="{8D31E7CC-8FEE-4B06-ADBB-0B58CDE32168}"/>
    <cellStyle name="20% - Énfasis3 2 2 2 2 2 2 3 3 3" xfId="4735" xr:uid="{2115078D-6676-4D23-819B-A0BD65A477F7}"/>
    <cellStyle name="20% - Énfasis3 2 2 2 2 2 2 3 3 4" xfId="4736" xr:uid="{E332EA3C-8ACE-4D66-8F5E-6AA5ABB0D297}"/>
    <cellStyle name="20% - Énfasis3 2 2 2 2 2 2 3 3 5" xfId="4737" xr:uid="{C64048E7-5C3F-4B22-864C-843154C56B05}"/>
    <cellStyle name="20% - Énfasis3 2 2 2 2 2 2 3 4" xfId="4738" xr:uid="{C8511D73-B4C9-46C7-A085-10C6534C8864}"/>
    <cellStyle name="20% - Énfasis3 2 2 2 2 2 2 3 5" xfId="4739" xr:uid="{E7E16FF2-7BC4-4F12-A2FB-3B7F24AC8833}"/>
    <cellStyle name="20% - Énfasis3 2 2 2 2 2 2 3 6" xfId="4740" xr:uid="{5703DBE7-0E0C-4829-BE95-1FCC178A3D20}"/>
    <cellStyle name="20% - Énfasis3 2 2 2 2 2 2 3 7" xfId="4741" xr:uid="{C7FF897B-BE04-43B8-A0ED-FF76289CD578}"/>
    <cellStyle name="20% - Énfasis3 2 2 2 2 2 2 3 8" xfId="4742" xr:uid="{F4E66FFE-D13F-4A6D-BC9F-0AB0FFC70407}"/>
    <cellStyle name="20% - Énfasis3 2 2 2 2 2 2 3 9" xfId="4743" xr:uid="{ACB97D07-88BA-4F28-AC32-625DAA0CF891}"/>
    <cellStyle name="20% - Énfasis3 2 2 2 2 2 2 4" xfId="4744" xr:uid="{C42E816A-1D39-434D-8792-BF4A887B3942}"/>
    <cellStyle name="20% - Énfasis3 2 2 2 2 2 2 5" xfId="4745" xr:uid="{0E8C8ECB-E84A-4A2D-918C-DDA81FC3AC09}"/>
    <cellStyle name="20% - Énfasis3 2 2 2 2 2 2 6" xfId="4746" xr:uid="{C4B4D2AA-43E3-4F70-9AE6-F69C1DEDF8E5}"/>
    <cellStyle name="20% - Énfasis3 2 2 2 2 2 2 7" xfId="43717" xr:uid="{A6A91434-BB19-4631-80F5-8F0C12CC2109}"/>
    <cellStyle name="20% - Énfasis3 2 2 2 2 2 3" xfId="4747" xr:uid="{97CC2650-50ED-402F-A54D-B30262CED57D}"/>
    <cellStyle name="20% - Énfasis3 2 2 2 2 2 3 10" xfId="4748" xr:uid="{6AC03DCF-2E3B-40DC-959C-C832B437B0F3}"/>
    <cellStyle name="20% - Énfasis3 2 2 2 2 2 3 11" xfId="4749" xr:uid="{A1E8682B-46E5-4806-B0E4-25AC63F71FEB}"/>
    <cellStyle name="20% - Énfasis3 2 2 2 2 2 3 2" xfId="4750" xr:uid="{DA28E845-1FB1-4ECB-939D-B060DAFCB590}"/>
    <cellStyle name="20% - Énfasis3 2 2 2 2 2 3 2 10" xfId="4751" xr:uid="{8E09C3DF-255B-4120-9975-D7CCB2B58FA1}"/>
    <cellStyle name="20% - Énfasis3 2 2 2 2 2 3 2 11" xfId="4752" xr:uid="{DB65D7B4-17DC-472F-8847-36E50D52A16B}"/>
    <cellStyle name="20% - Énfasis3 2 2 2 2 2 3 2 2" xfId="4753" xr:uid="{0DE8709F-D000-4037-B5AF-2904FA6DD60F}"/>
    <cellStyle name="20% - Énfasis3 2 2 2 2 2 3 2 2 2" xfId="4754" xr:uid="{38C960E6-4604-4344-AF0C-8FAAE2C23CE5}"/>
    <cellStyle name="20% - Énfasis3 2 2 2 2 2 3 2 2 2 2" xfId="4755" xr:uid="{B53CF9B2-39B3-44B9-9D24-3CCDC1E55EE9}"/>
    <cellStyle name="20% - Énfasis3 2 2 2 2 2 3 2 2 2 3" xfId="4756" xr:uid="{C94E5EC9-F19D-4FFD-94C6-42444450D532}"/>
    <cellStyle name="20% - Énfasis3 2 2 2 2 2 3 2 2 2 4" xfId="4757" xr:uid="{5A984A96-ED2B-48B9-9E92-EE91FB2896B3}"/>
    <cellStyle name="20% - Énfasis3 2 2 2 2 2 3 2 2 2 5" xfId="4758" xr:uid="{A881D612-1341-4C54-9594-13301DDE2AB5}"/>
    <cellStyle name="20% - Énfasis3 2 2 2 2 2 3 2 2 3" xfId="4759" xr:uid="{E97C861C-9DCD-4C4E-88C5-4D6BDB8A7AF5}"/>
    <cellStyle name="20% - Énfasis3 2 2 2 2 2 3 2 2 4" xfId="4760" xr:uid="{C7472F9A-1FE7-4C38-9A5B-D6EDF9A14158}"/>
    <cellStyle name="20% - Énfasis3 2 2 2 2 2 3 2 2 5" xfId="4761" xr:uid="{EBEF24A5-5757-4C4C-9760-356BFBD1958F}"/>
    <cellStyle name="20% - Énfasis3 2 2 2 2 2 3 2 3" xfId="4762" xr:uid="{152A72D9-BCA9-4BEE-ACBB-2E4673338AD7}"/>
    <cellStyle name="20% - Énfasis3 2 2 2 2 2 3 2 4" xfId="4763" xr:uid="{1AD814F5-5A63-4A9E-8AC1-6F815BC50113}"/>
    <cellStyle name="20% - Énfasis3 2 2 2 2 2 3 2 5" xfId="4764" xr:uid="{CFDFA1FE-B0A7-4AC8-8D9F-D86BAFCE900F}"/>
    <cellStyle name="20% - Énfasis3 2 2 2 2 2 3 2 6" xfId="4765" xr:uid="{7B47B282-4F10-45E5-9486-C0A2ACF3904B}"/>
    <cellStyle name="20% - Énfasis3 2 2 2 2 2 3 2 7" xfId="4766" xr:uid="{02FCABFF-5EC5-4570-A286-D89CAA3D209F}"/>
    <cellStyle name="20% - Énfasis3 2 2 2 2 2 3 2 8" xfId="4767" xr:uid="{F2FE766A-FB97-40D0-9319-3A042BE83BD6}"/>
    <cellStyle name="20% - Énfasis3 2 2 2 2 2 3 2 9" xfId="4768" xr:uid="{F2F0D7C9-C909-4EF4-B867-ADABB3ED9E42}"/>
    <cellStyle name="20% - Énfasis3 2 2 2 2 2 3 3" xfId="4769" xr:uid="{5EDE6B24-A70C-4B69-992D-D69D2250EAD5}"/>
    <cellStyle name="20% - Énfasis3 2 2 2 2 2 3 3 2" xfId="4770" xr:uid="{633CAE0B-E8B5-4403-A470-D62336168BE8}"/>
    <cellStyle name="20% - Énfasis3 2 2 2 2 2 3 3 2 2" xfId="4771" xr:uid="{D71595B0-6DCD-4683-A334-5653E1A7E01E}"/>
    <cellStyle name="20% - Énfasis3 2 2 2 2 2 3 3 2 3" xfId="4772" xr:uid="{D16927F1-A2B6-49FA-97EA-BE7D2ABF6472}"/>
    <cellStyle name="20% - Énfasis3 2 2 2 2 2 3 3 2 4" xfId="4773" xr:uid="{CA412B5A-F7C3-4FA7-A6CE-21664AAFB038}"/>
    <cellStyle name="20% - Énfasis3 2 2 2 2 2 3 3 2 5" xfId="4774" xr:uid="{73AB9A9A-9BB4-4C9B-BAEC-8096715D0CB5}"/>
    <cellStyle name="20% - Énfasis3 2 2 2 2 2 3 3 3" xfId="4775" xr:uid="{037FF619-0857-415D-AB36-69596023334F}"/>
    <cellStyle name="20% - Énfasis3 2 2 2 2 2 3 3 4" xfId="4776" xr:uid="{BE05DFF2-0F57-4204-996E-5D3DFC58997C}"/>
    <cellStyle name="20% - Énfasis3 2 2 2 2 2 3 3 5" xfId="4777" xr:uid="{A7C0D222-2DF5-4BD8-ADA7-580EB2220722}"/>
    <cellStyle name="20% - Énfasis3 2 2 2 2 2 3 4" xfId="4778" xr:uid="{79D89B79-B3F9-4189-B8F8-15CAB0436FAC}"/>
    <cellStyle name="20% - Énfasis3 2 2 2 2 2 3 5" xfId="4779" xr:uid="{31BC9AE0-79E6-40DB-84A0-129111E00C2D}"/>
    <cellStyle name="20% - Énfasis3 2 2 2 2 2 3 6" xfId="4780" xr:uid="{FBF44812-EACF-4ED1-81F5-38E1D1356E90}"/>
    <cellStyle name="20% - Énfasis3 2 2 2 2 2 3 7" xfId="4781" xr:uid="{DF94FB3D-31E6-4A06-A379-E9D20A436041}"/>
    <cellStyle name="20% - Énfasis3 2 2 2 2 2 3 8" xfId="4782" xr:uid="{D2C4F218-AE11-4885-8239-20B730F26262}"/>
    <cellStyle name="20% - Énfasis3 2 2 2 2 2 3 9" xfId="4783" xr:uid="{AA593D22-58A2-4008-A428-BC0281832BF1}"/>
    <cellStyle name="20% - Énfasis3 2 2 2 2 2 4" xfId="4784" xr:uid="{37BAED50-BBDA-4BEB-A4E0-685267883DCD}"/>
    <cellStyle name="20% - Énfasis3 2 2 2 2 2 5" xfId="4785" xr:uid="{A28B8323-B8BD-40A9-884D-BCADF80F3508}"/>
    <cellStyle name="20% - Énfasis3 2 2 2 2 2 6" xfId="4786" xr:uid="{A91E0C04-BB17-4FD6-B94A-86F8C71D85F6}"/>
    <cellStyle name="20% - Énfasis3 2 2 2 2 2 7" xfId="43716" xr:uid="{10446218-D1B0-496F-9EDF-D0C8DE020BE8}"/>
    <cellStyle name="20% - Énfasis3 2 2 2 2 3" xfId="4787" xr:uid="{063C3631-9B5D-42BB-9FCA-E049BA5EB250}"/>
    <cellStyle name="20% - Énfasis3 2 2 2 2 3 2" xfId="4788" xr:uid="{D0FF615B-A86F-42F5-948B-CD4907A6DF1A}"/>
    <cellStyle name="20% - Énfasis3 2 2 2 2 3 3" xfId="43718" xr:uid="{0C07A0FC-93A1-4C28-8CFC-A43DC6B637F5}"/>
    <cellStyle name="20% - Énfasis3 2 2 2 2 4" xfId="4789" xr:uid="{063D448D-575B-452C-912E-5660975DB91A}"/>
    <cellStyle name="20% - Énfasis3 2 2 2 2 4 10" xfId="4790" xr:uid="{2A3E4B0C-14E0-4749-B61D-AD51AC7AD99A}"/>
    <cellStyle name="20% - Énfasis3 2 2 2 2 4 11" xfId="4791" xr:uid="{3DBEAA9F-4AB3-4F14-8708-029FCDF6598C}"/>
    <cellStyle name="20% - Énfasis3 2 2 2 2 4 2" xfId="4792" xr:uid="{BE5D5C1C-117A-4D88-8B8A-44D8B4CE7EC6}"/>
    <cellStyle name="20% - Énfasis3 2 2 2 2 4 2 10" xfId="4793" xr:uid="{3A1F68DD-8750-4DF9-8217-D1E3D454F1AD}"/>
    <cellStyle name="20% - Énfasis3 2 2 2 2 4 2 11" xfId="4794" xr:uid="{FFF22A6F-8B8D-4F30-AAA9-89BE5299A4C6}"/>
    <cellStyle name="20% - Énfasis3 2 2 2 2 4 2 2" xfId="4795" xr:uid="{4F74062E-508A-4033-ACF3-0ED12DD112F6}"/>
    <cellStyle name="20% - Énfasis3 2 2 2 2 4 2 2 2" xfId="4796" xr:uid="{FCE3D5BD-E8F5-4BA9-9B53-8A6307A4CBA2}"/>
    <cellStyle name="20% - Énfasis3 2 2 2 2 4 2 2 2 2" xfId="4797" xr:uid="{32E4732C-F56B-42A6-B7DB-25B152B3394A}"/>
    <cellStyle name="20% - Énfasis3 2 2 2 2 4 2 2 2 3" xfId="4798" xr:uid="{F50CC0ED-6369-48B6-853C-DB1C8AD65AA0}"/>
    <cellStyle name="20% - Énfasis3 2 2 2 2 4 2 2 2 4" xfId="4799" xr:uid="{E1EDE8AD-61C4-47AD-991B-949A8F6218B5}"/>
    <cellStyle name="20% - Énfasis3 2 2 2 2 4 2 2 2 5" xfId="4800" xr:uid="{D48D7BBF-D68B-49E1-8944-D45F4BB71AC5}"/>
    <cellStyle name="20% - Énfasis3 2 2 2 2 4 2 2 3" xfId="4801" xr:uid="{CCACFFE6-92B6-4C70-BCF9-153D31473BE9}"/>
    <cellStyle name="20% - Énfasis3 2 2 2 2 4 2 2 4" xfId="4802" xr:uid="{90FAD431-8DC7-447F-912B-996095C73573}"/>
    <cellStyle name="20% - Énfasis3 2 2 2 2 4 2 2 5" xfId="4803" xr:uid="{AA16FAB8-0447-421B-8A32-70A4FB7C1ABE}"/>
    <cellStyle name="20% - Énfasis3 2 2 2 2 4 2 3" xfId="4804" xr:uid="{97F65EC6-47B8-4BD4-888E-3FB6CF80A892}"/>
    <cellStyle name="20% - Énfasis3 2 2 2 2 4 2 4" xfId="4805" xr:uid="{3DBA1CAC-D755-461C-93D0-A07FF3FBA5EF}"/>
    <cellStyle name="20% - Énfasis3 2 2 2 2 4 2 5" xfId="4806" xr:uid="{88E15508-5357-4285-95EF-3E17E68144AD}"/>
    <cellStyle name="20% - Énfasis3 2 2 2 2 4 2 6" xfId="4807" xr:uid="{158ADB85-35E9-4D83-A7AF-33F5DF0FC658}"/>
    <cellStyle name="20% - Énfasis3 2 2 2 2 4 2 7" xfId="4808" xr:uid="{3CBB417D-A39B-430E-ACFF-34865A41485A}"/>
    <cellStyle name="20% - Énfasis3 2 2 2 2 4 2 8" xfId="4809" xr:uid="{632BF8AB-CE93-4753-8704-3DDEBFDD82AC}"/>
    <cellStyle name="20% - Énfasis3 2 2 2 2 4 2 9" xfId="4810" xr:uid="{5BC30298-581F-48BA-B7EE-890A36FC3B03}"/>
    <cellStyle name="20% - Énfasis3 2 2 2 2 4 3" xfId="4811" xr:uid="{56EAC565-C649-494B-ABF4-63E867467B1D}"/>
    <cellStyle name="20% - Énfasis3 2 2 2 2 4 3 2" xfId="4812" xr:uid="{D4F265B9-034F-4727-BF7C-FD620DEBF747}"/>
    <cellStyle name="20% - Énfasis3 2 2 2 2 4 3 2 2" xfId="4813" xr:uid="{A6DC4CF1-6CEC-4D16-A2A0-2AA0157F688A}"/>
    <cellStyle name="20% - Énfasis3 2 2 2 2 4 3 2 3" xfId="4814" xr:uid="{BE7DCC90-805B-46C7-A65B-271C1741C620}"/>
    <cellStyle name="20% - Énfasis3 2 2 2 2 4 3 2 4" xfId="4815" xr:uid="{3606CF43-EB2A-4614-84CE-900695D30BC1}"/>
    <cellStyle name="20% - Énfasis3 2 2 2 2 4 3 2 5" xfId="4816" xr:uid="{DB8BC9EF-62FB-4A44-91E7-F4B2AB4D2307}"/>
    <cellStyle name="20% - Énfasis3 2 2 2 2 4 3 3" xfId="4817" xr:uid="{9B9ED150-BB59-403E-897B-51C3AC62892F}"/>
    <cellStyle name="20% - Énfasis3 2 2 2 2 4 3 4" xfId="4818" xr:uid="{AD82295B-0E21-4302-A31E-DEC50E3E0D2C}"/>
    <cellStyle name="20% - Énfasis3 2 2 2 2 4 3 5" xfId="4819" xr:uid="{AFAC5E60-949D-4713-8F20-35A478D8D2EF}"/>
    <cellStyle name="20% - Énfasis3 2 2 2 2 4 4" xfId="4820" xr:uid="{E3ED159E-CA54-4709-991B-7791C3463C4A}"/>
    <cellStyle name="20% - Énfasis3 2 2 2 2 4 5" xfId="4821" xr:uid="{470475CE-75CF-4F2A-B729-6FE804DC630F}"/>
    <cellStyle name="20% - Énfasis3 2 2 2 2 4 6" xfId="4822" xr:uid="{B36AC87D-22D3-4805-8F49-97E74CB201F8}"/>
    <cellStyle name="20% - Énfasis3 2 2 2 2 4 7" xfId="4823" xr:uid="{215816F1-43A6-49E6-BD04-798651507B7F}"/>
    <cellStyle name="20% - Énfasis3 2 2 2 2 4 8" xfId="4824" xr:uid="{37A4848F-4DD5-40E6-BE77-529A07244FB1}"/>
    <cellStyle name="20% - Énfasis3 2 2 2 2 4 9" xfId="4825" xr:uid="{3E2DDAE7-CFBA-43FA-A6B4-EB80D343E795}"/>
    <cellStyle name="20% - Énfasis3 2 2 2 2 5" xfId="4826" xr:uid="{132A4B6D-7E10-4B27-AA95-E37DF2B26387}"/>
    <cellStyle name="20% - Énfasis3 2 2 2 2 6" xfId="4827" xr:uid="{70877C67-AFD5-4284-9032-EB37E41AF97F}"/>
    <cellStyle name="20% - Énfasis3 2 2 2 2 7" xfId="4828" xr:uid="{245299C0-DC4C-4852-A57E-35C1984C015A}"/>
    <cellStyle name="20% - Énfasis3 2 2 2 2 8" xfId="43715" xr:uid="{427E1172-F75A-40EC-B467-A2180B7666E3}"/>
    <cellStyle name="20% - Énfasis3 2 2 2 3" xfId="4829" xr:uid="{1F198402-9647-45DC-A0E4-358C5977C7D8}"/>
    <cellStyle name="20% - Énfasis3 2 2 2 3 2" xfId="4830" xr:uid="{FB58767C-2B12-4E9A-B45E-D7CDFEA18A47}"/>
    <cellStyle name="20% - Énfasis3 2 2 2 3 2 2" xfId="43720" xr:uid="{89F0626A-8F92-4E93-86CE-68C87F5F51F8}"/>
    <cellStyle name="20% - Énfasis3 2 2 2 3 3" xfId="43719" xr:uid="{069ED0AA-1F0E-4476-83A5-4E5E555C6619}"/>
    <cellStyle name="20% - Énfasis3 2 2 2 4" xfId="4831" xr:uid="{1C38F8C8-DCBA-4DC6-B721-301A29D8E5FB}"/>
    <cellStyle name="20% - Énfasis3 2 2 2 4 2" xfId="4832" xr:uid="{FDACA4C3-7D87-4143-A0AD-219D2FDAA825}"/>
    <cellStyle name="20% - Énfasis3 2 2 2 4 3" xfId="43721" xr:uid="{FB06AEDC-7F43-4493-AF60-C389887D9DEF}"/>
    <cellStyle name="20% - Énfasis3 2 2 2 5" xfId="4833" xr:uid="{ECDDBB33-5C9D-4065-87AE-7A3359BFADB1}"/>
    <cellStyle name="20% - Énfasis3 2 2 2 5 10" xfId="4834" xr:uid="{D4634365-3EB6-4F2A-A161-E85008E65DE3}"/>
    <cellStyle name="20% - Énfasis3 2 2 2 5 11" xfId="4835" xr:uid="{C575A2A0-8BF3-4D85-91A2-451A5863731C}"/>
    <cellStyle name="20% - Énfasis3 2 2 2 5 2" xfId="4836" xr:uid="{60A29D0A-E7A2-4531-84AF-358FDC1EC013}"/>
    <cellStyle name="20% - Énfasis3 2 2 2 5 2 10" xfId="4837" xr:uid="{AC068400-8460-4FAD-9DBC-957D1095182A}"/>
    <cellStyle name="20% - Énfasis3 2 2 2 5 2 11" xfId="4838" xr:uid="{03BDDBA1-688A-41B0-92F0-78A1A5EF0E57}"/>
    <cellStyle name="20% - Énfasis3 2 2 2 5 2 2" xfId="4839" xr:uid="{C0768DBF-85A6-4B40-9E40-AA80089E6EBC}"/>
    <cellStyle name="20% - Énfasis3 2 2 2 5 2 2 2" xfId="4840" xr:uid="{70F81C4D-F32B-46A6-ACE0-0E8B0C515EAD}"/>
    <cellStyle name="20% - Énfasis3 2 2 2 5 2 2 2 2" xfId="4841" xr:uid="{F6BD876D-A1FC-4F18-91FD-CA08FE7838A5}"/>
    <cellStyle name="20% - Énfasis3 2 2 2 5 2 2 2 3" xfId="4842" xr:uid="{13C61E83-4266-48C4-853F-F368FB54EB2E}"/>
    <cellStyle name="20% - Énfasis3 2 2 2 5 2 2 2 4" xfId="4843" xr:uid="{0AA43A7B-3735-454C-A427-9A04A3AD5BC8}"/>
    <cellStyle name="20% - Énfasis3 2 2 2 5 2 2 2 5" xfId="4844" xr:uid="{46A82D46-94D6-48FC-A4E7-2DA27D609A53}"/>
    <cellStyle name="20% - Énfasis3 2 2 2 5 2 2 3" xfId="4845" xr:uid="{D7314209-87EE-4A6E-BD25-822E46D4260D}"/>
    <cellStyle name="20% - Énfasis3 2 2 2 5 2 2 4" xfId="4846" xr:uid="{2479F4B3-AF0C-4B4C-9694-36C5B1F86D11}"/>
    <cellStyle name="20% - Énfasis3 2 2 2 5 2 2 5" xfId="4847" xr:uid="{C6CD92A8-64CE-487C-829F-9D3A1BE56397}"/>
    <cellStyle name="20% - Énfasis3 2 2 2 5 2 3" xfId="4848" xr:uid="{4C7CC4F0-6B5C-4DC5-A9AB-28A198A665E5}"/>
    <cellStyle name="20% - Énfasis3 2 2 2 5 2 4" xfId="4849" xr:uid="{EABE2623-D63B-49B0-8DE4-9BAC674A3B0A}"/>
    <cellStyle name="20% - Énfasis3 2 2 2 5 2 5" xfId="4850" xr:uid="{43F1F4C9-BB3C-4335-A88C-12DDF0FE7479}"/>
    <cellStyle name="20% - Énfasis3 2 2 2 5 2 6" xfId="4851" xr:uid="{F2E33FC0-BA2E-4F49-AA7B-5EAA88A9E8AA}"/>
    <cellStyle name="20% - Énfasis3 2 2 2 5 2 7" xfId="4852" xr:uid="{2B85742D-2948-4D12-8B2F-DF97156BB567}"/>
    <cellStyle name="20% - Énfasis3 2 2 2 5 2 8" xfId="4853" xr:uid="{87AAD189-5F36-46ED-B1C6-B9C9E708F619}"/>
    <cellStyle name="20% - Énfasis3 2 2 2 5 2 9" xfId="4854" xr:uid="{55F1F896-2528-4E2C-A904-EA969D77D78E}"/>
    <cellStyle name="20% - Énfasis3 2 2 2 5 3" xfId="4855" xr:uid="{4D494ABC-3620-44C0-B671-802990A3ECD5}"/>
    <cellStyle name="20% - Énfasis3 2 2 2 5 3 2" xfId="4856" xr:uid="{6D68F074-3C07-43E2-9692-265DCA5EC7AF}"/>
    <cellStyle name="20% - Énfasis3 2 2 2 5 3 2 2" xfId="4857" xr:uid="{5B98776A-1BA1-4656-8E07-8AC711D37D63}"/>
    <cellStyle name="20% - Énfasis3 2 2 2 5 3 2 3" xfId="4858" xr:uid="{B413CA1D-2984-4073-9B10-4A9E42BF329B}"/>
    <cellStyle name="20% - Énfasis3 2 2 2 5 3 2 4" xfId="4859" xr:uid="{82BFB765-6189-44CC-959E-7CFD16C99E07}"/>
    <cellStyle name="20% - Énfasis3 2 2 2 5 3 2 5" xfId="4860" xr:uid="{9413AA7E-AE35-4410-814C-7F705D20779E}"/>
    <cellStyle name="20% - Énfasis3 2 2 2 5 3 3" xfId="4861" xr:uid="{6AEEB378-C87B-4EBE-8146-042B53E3CEA5}"/>
    <cellStyle name="20% - Énfasis3 2 2 2 5 3 4" xfId="4862" xr:uid="{DE7BCA7C-97EE-4C20-90D4-F2F733817EA6}"/>
    <cellStyle name="20% - Énfasis3 2 2 2 5 3 5" xfId="4863" xr:uid="{5BC8EFBE-6D97-42E3-A670-2DAD7F5B909D}"/>
    <cellStyle name="20% - Énfasis3 2 2 2 5 4" xfId="4864" xr:uid="{8996474C-C4BE-4F9A-B133-9BE7A778E318}"/>
    <cellStyle name="20% - Énfasis3 2 2 2 5 5" xfId="4865" xr:uid="{1B6DEC2B-D188-4E4B-A7DC-B4ED0BA81799}"/>
    <cellStyle name="20% - Énfasis3 2 2 2 5 6" xfId="4866" xr:uid="{2AD6012C-CC60-40E2-BBD8-1A9CA66B6BB0}"/>
    <cellStyle name="20% - Énfasis3 2 2 2 5 7" xfId="4867" xr:uid="{A8D012F7-A6EE-4C08-8FB7-74F66A621C65}"/>
    <cellStyle name="20% - Énfasis3 2 2 2 5 8" xfId="4868" xr:uid="{B3D9B38C-CEB5-43A2-BE44-8A4D809213C2}"/>
    <cellStyle name="20% - Énfasis3 2 2 2 5 9" xfId="4869" xr:uid="{F3A7D1FD-5F25-4E11-B7D2-5E21C8657A93}"/>
    <cellStyle name="20% - Énfasis3 2 2 2 6" xfId="4870" xr:uid="{0412C76C-605F-4DE3-B794-36AA9E764233}"/>
    <cellStyle name="20% - Énfasis3 2 2 2 7" xfId="4871" xr:uid="{E4F9765A-EC01-486A-8C09-084C6752A26B}"/>
    <cellStyle name="20% - Énfasis3 2 2 2 8" xfId="4872" xr:uid="{82A1D7EA-8608-441B-9F4E-D6C0273BA12B}"/>
    <cellStyle name="20% - Énfasis3 2 2 2 9" xfId="43714" xr:uid="{F9167BEC-D092-46ED-B341-8AD2D3E987BF}"/>
    <cellStyle name="20% - Énfasis3 2 2 3" xfId="4873" xr:uid="{8D92BC86-0DD2-438C-9DC3-0DC4EF0B9960}"/>
    <cellStyle name="20% - Énfasis3 2 2 3 2" xfId="4874" xr:uid="{AB4AA3F4-DA6A-406C-AFF3-D8BC1FD471EB}"/>
    <cellStyle name="20% - Énfasis3 2 2 3 2 2" xfId="43724" xr:uid="{08013688-1C26-409D-8572-CB76D9BBED02}"/>
    <cellStyle name="20% - Énfasis3 2 2 3 2 3" xfId="43723" xr:uid="{099FA87D-B9F8-48FC-ACBD-0799F275FC30}"/>
    <cellStyle name="20% - Énfasis3 2 2 3 3" xfId="43725" xr:uid="{387D1197-F07C-4EAE-9378-D3D9CA93FBF4}"/>
    <cellStyle name="20% - Énfasis3 2 2 3 4" xfId="43722" xr:uid="{F3DC2415-C498-465F-BCC2-72B78C46B5F2}"/>
    <cellStyle name="20% - Énfasis3 2 2 4" xfId="4875" xr:uid="{2F2F1A5C-4D83-492E-B7F4-4CEDFB7EC59C}"/>
    <cellStyle name="20% - Énfasis3 2 2 4 2" xfId="4876" xr:uid="{383DBB14-E79F-4E84-ACBF-6220EE29DFE0}"/>
    <cellStyle name="20% - Énfasis3 2 2 4 2 2" xfId="43727" xr:uid="{8DBA4628-E923-475A-8621-6283F78E27B9}"/>
    <cellStyle name="20% - Énfasis3 2 2 4 3" xfId="43726" xr:uid="{C026E33B-C1E4-4C6A-A419-BFC37CBF7921}"/>
    <cellStyle name="20% - Énfasis3 2 2 5" xfId="4877" xr:uid="{2FB19057-FCEE-4D3F-95E6-8DB8F8D953D9}"/>
    <cellStyle name="20% - Énfasis3 2 2 5 2" xfId="4878" xr:uid="{6AEAB943-9243-4374-8FA7-902DEA5BB5DA}"/>
    <cellStyle name="20% - Énfasis3 2 2 5 3" xfId="43728" xr:uid="{0102735C-D3DB-4143-BF0F-98F6616A0B40}"/>
    <cellStyle name="20% - Énfasis3 2 2 6" xfId="4879" xr:uid="{A00E8E1A-09B2-4AD8-9E06-11368A15CCAB}"/>
    <cellStyle name="20% - Énfasis3 2 2 6 2" xfId="4880" xr:uid="{A3221C75-DB6E-49E0-9195-3BE3DB239CA9}"/>
    <cellStyle name="20% - Énfasis3 2 2 7" xfId="4881" xr:uid="{5F096711-F1C3-4774-8CE5-721ED580A4E3}"/>
    <cellStyle name="20% - Énfasis3 2 2 7 2" xfId="4882" xr:uid="{B538380D-CF7A-4B7D-9933-29022BC4E256}"/>
    <cellStyle name="20% - Énfasis3 2 2 8" xfId="4883" xr:uid="{0E24DECC-CAFA-4FC4-A8C0-7B7732F2421C}"/>
    <cellStyle name="20% - Énfasis3 2 2 8 2" xfId="4884" xr:uid="{66A36215-7EBF-4429-80F5-31FC3300029A}"/>
    <cellStyle name="20% - Énfasis3 2 2 8 2 2" xfId="4885" xr:uid="{7E91A2B8-7058-4BDD-B279-7E77B3FB40F0}"/>
    <cellStyle name="20% - Énfasis3 2 2 8 3" xfId="4886" xr:uid="{BCE7019A-1CE0-474E-8400-7BAA3DBF31C1}"/>
    <cellStyle name="20% - Énfasis3 2 2 9" xfId="4887" xr:uid="{15AC4123-3015-4D93-8DAE-F8747B223A00}"/>
    <cellStyle name="20% - Énfasis3 2 2 9 2" xfId="4888" xr:uid="{A360DBAF-126D-4854-B352-52E629269BAE}"/>
    <cellStyle name="20% - Énfasis3 2 3" xfId="4889" xr:uid="{82C049DF-FEB8-4FFC-A549-EF9F90B55DA2}"/>
    <cellStyle name="20% - Énfasis3 2 3 2" xfId="4890" xr:uid="{1C130E82-B3CE-4846-AE1E-35EB333D5D16}"/>
    <cellStyle name="20% - Énfasis3 2 3 2 2" xfId="43731" xr:uid="{FF15E46D-39A0-4750-8052-2FB60A38E7B2}"/>
    <cellStyle name="20% - Énfasis3 2 3 2 2 2" xfId="43732" xr:uid="{852C3E56-152C-4F6F-A697-EC293F818DCE}"/>
    <cellStyle name="20% - Énfasis3 2 3 2 3" xfId="43733" xr:uid="{2538DEC6-A45F-4D25-8262-2A4E1FB15BDC}"/>
    <cellStyle name="20% - Énfasis3 2 3 2 4" xfId="43730" xr:uid="{DA31A492-1363-4E10-BD49-FF8C657D5F36}"/>
    <cellStyle name="20% - Énfasis3 2 3 3" xfId="43734" xr:uid="{63DFFEDC-78B7-4E2D-B221-8DA3EDCB4B38}"/>
    <cellStyle name="20% - Énfasis3 2 3 3 2" xfId="43735" xr:uid="{BBF72F06-5CB8-4225-86CF-A4420B3F2391}"/>
    <cellStyle name="20% - Énfasis3 2 3 4" xfId="43736" xr:uid="{1EDF57CF-3FAA-4A47-ACC5-1B60779AA351}"/>
    <cellStyle name="20% - Énfasis3 2 3 5" xfId="43729" xr:uid="{68BE8EE1-12B1-4A77-8617-EA82C649603B}"/>
    <cellStyle name="20% - Énfasis3 2 4" xfId="4891" xr:uid="{A8534277-CEC2-4723-BE95-7C79B910832D}"/>
    <cellStyle name="20% - Énfasis3 2 4 10" xfId="4892" xr:uid="{656B9575-1593-454F-ABC1-0BE60E538A4C}"/>
    <cellStyle name="20% - Énfasis3 2 4 11" xfId="4893" xr:uid="{873F6513-E6EB-426D-86CC-AD08E157DF83}"/>
    <cellStyle name="20% - Énfasis3 2 4 12" xfId="4894" xr:uid="{76809A38-67BB-43CC-858A-AFA8DDB39EA8}"/>
    <cellStyle name="20% - Énfasis3 2 4 13" xfId="43737" xr:uid="{F5477D54-7119-4FD3-90AB-CBAFC88431E2}"/>
    <cellStyle name="20% - Énfasis3 2 4 2" xfId="4895" xr:uid="{E6811BC2-0231-4D4E-B4C1-F0D468FDDAE2}"/>
    <cellStyle name="20% - Énfasis3 2 4 2 10" xfId="4896" xr:uid="{EFFC3F0A-0E44-4E59-B53E-9AE56E77A134}"/>
    <cellStyle name="20% - Énfasis3 2 4 2 11" xfId="4897" xr:uid="{5178AB9B-F7EB-4C82-996A-4A8834F4E551}"/>
    <cellStyle name="20% - Énfasis3 2 4 2 12" xfId="4898" xr:uid="{27096C97-FDD7-4143-A952-B3819229A5FE}"/>
    <cellStyle name="20% - Énfasis3 2 4 2 13" xfId="43738" xr:uid="{3CB01EDA-73A9-4FD9-9D34-A68A6C3ACCE6}"/>
    <cellStyle name="20% - Énfasis3 2 4 2 2" xfId="4899" xr:uid="{8179C463-34B0-4E7C-84E0-21CD084D38B6}"/>
    <cellStyle name="20% - Énfasis3 2 4 2 2 10" xfId="4900" xr:uid="{0FB0BE27-A828-4FE2-87E3-1A363AF73251}"/>
    <cellStyle name="20% - Énfasis3 2 4 2 2 11" xfId="4901" xr:uid="{7FDF49A6-E547-4F15-83D5-9988E6F5DBF7}"/>
    <cellStyle name="20% - Énfasis3 2 4 2 2 12" xfId="43739" xr:uid="{EBEF3842-D48F-4AFA-8607-BAD46DBBDA28}"/>
    <cellStyle name="20% - Énfasis3 2 4 2 2 2" xfId="4902" xr:uid="{DD90C958-1D3A-4EE0-9D28-1DF792E01256}"/>
    <cellStyle name="20% - Énfasis3 2 4 2 2 2 10" xfId="4903" xr:uid="{F37A56B5-19E5-46FE-8F00-B826B214FF46}"/>
    <cellStyle name="20% - Énfasis3 2 4 2 2 2 11" xfId="4904" xr:uid="{5DBA15BB-9EC8-4D3A-98B1-ED403D056382}"/>
    <cellStyle name="20% - Énfasis3 2 4 2 2 2 2" xfId="4905" xr:uid="{757DACF2-31E3-428B-B576-93DD825C6653}"/>
    <cellStyle name="20% - Énfasis3 2 4 2 2 2 2 2" xfId="4906" xr:uid="{ECE8935B-545B-4EAD-858A-98267E26FF6F}"/>
    <cellStyle name="20% - Énfasis3 2 4 2 2 2 2 2 2" xfId="4907" xr:uid="{4C18163E-1580-43AC-A6E8-326083999D3D}"/>
    <cellStyle name="20% - Énfasis3 2 4 2 2 2 2 2 3" xfId="4908" xr:uid="{2AC72D6B-869D-4F15-B9B4-A9F31E87E465}"/>
    <cellStyle name="20% - Énfasis3 2 4 2 2 2 2 2 4" xfId="4909" xr:uid="{64A7D956-F917-40FB-9085-4EF78253DA9E}"/>
    <cellStyle name="20% - Énfasis3 2 4 2 2 2 2 2 5" xfId="4910" xr:uid="{DCC62E75-64AF-48E6-B1FE-3CE72D0A711D}"/>
    <cellStyle name="20% - Énfasis3 2 4 2 2 2 2 3" xfId="4911" xr:uid="{D0D8547D-52C0-49CB-8FE4-4539D5B86D4D}"/>
    <cellStyle name="20% - Énfasis3 2 4 2 2 2 2 4" xfId="4912" xr:uid="{AD9C1D02-06AE-4BE6-8F2D-A4F1AAB311B9}"/>
    <cellStyle name="20% - Énfasis3 2 4 2 2 2 2 5" xfId="4913" xr:uid="{230F98A5-6DC2-4038-9E2C-F5D79FBF4A32}"/>
    <cellStyle name="20% - Énfasis3 2 4 2 2 2 3" xfId="4914" xr:uid="{0AE0C8CB-9672-4F70-B415-95B9AEDC4926}"/>
    <cellStyle name="20% - Énfasis3 2 4 2 2 2 4" xfId="4915" xr:uid="{B832BE6B-60C8-4470-833D-8E1260E50716}"/>
    <cellStyle name="20% - Énfasis3 2 4 2 2 2 5" xfId="4916" xr:uid="{5725981C-ED2E-4A3E-9ABC-8FB6ACB20319}"/>
    <cellStyle name="20% - Énfasis3 2 4 2 2 2 6" xfId="4917" xr:uid="{249802F4-A9C7-403E-BA94-800944CF1D08}"/>
    <cellStyle name="20% - Énfasis3 2 4 2 2 2 7" xfId="4918" xr:uid="{C2E4B0F5-E2B3-4AFA-B639-1CA6F6AF2904}"/>
    <cellStyle name="20% - Énfasis3 2 4 2 2 2 8" xfId="4919" xr:uid="{8DFF0B83-18D3-4A9A-AC56-6011C7B05310}"/>
    <cellStyle name="20% - Énfasis3 2 4 2 2 2 9" xfId="4920" xr:uid="{A31C9AF1-6BAA-430B-813D-7F1247AAB1C0}"/>
    <cellStyle name="20% - Énfasis3 2 4 2 2 3" xfId="4921" xr:uid="{22A2679E-024B-4C05-9A39-DC386B52C347}"/>
    <cellStyle name="20% - Énfasis3 2 4 2 2 3 2" xfId="4922" xr:uid="{0B78885D-2514-41BD-A54D-75050C027EDC}"/>
    <cellStyle name="20% - Énfasis3 2 4 2 2 3 2 2" xfId="4923" xr:uid="{26171260-5A5C-4244-95C3-3055A938E065}"/>
    <cellStyle name="20% - Énfasis3 2 4 2 2 3 2 3" xfId="4924" xr:uid="{A2645378-4089-4505-9C9D-F9A5302CFDBF}"/>
    <cellStyle name="20% - Énfasis3 2 4 2 2 3 2 4" xfId="4925" xr:uid="{691A305D-322B-443A-9516-A803EB3286C0}"/>
    <cellStyle name="20% - Énfasis3 2 4 2 2 3 2 5" xfId="4926" xr:uid="{8845CCBF-89D3-4826-B355-90B2660DFAB7}"/>
    <cellStyle name="20% - Énfasis3 2 4 2 2 3 3" xfId="4927" xr:uid="{04CEC2A3-63F1-42B0-A075-BF5ECAA71F61}"/>
    <cellStyle name="20% - Énfasis3 2 4 2 2 3 4" xfId="4928" xr:uid="{CD8E7CB0-CA23-42A0-B008-647136CD1B69}"/>
    <cellStyle name="20% - Énfasis3 2 4 2 2 3 5" xfId="4929" xr:uid="{307414A3-B129-4E78-B4A2-F174AB455065}"/>
    <cellStyle name="20% - Énfasis3 2 4 2 2 4" xfId="4930" xr:uid="{815EDBBD-F3FB-4282-862E-7521E346A9E4}"/>
    <cellStyle name="20% - Énfasis3 2 4 2 2 5" xfId="4931" xr:uid="{40294EE7-7439-42E0-BB4B-67324EC46221}"/>
    <cellStyle name="20% - Énfasis3 2 4 2 2 6" xfId="4932" xr:uid="{B9DAC00A-3303-44D4-87BA-560780393746}"/>
    <cellStyle name="20% - Énfasis3 2 4 2 2 7" xfId="4933" xr:uid="{D728D212-8700-452E-AB21-52B20AA2FFB1}"/>
    <cellStyle name="20% - Énfasis3 2 4 2 2 8" xfId="4934" xr:uid="{F4634868-DD04-4FB9-BBC9-94E5F189CBE6}"/>
    <cellStyle name="20% - Énfasis3 2 4 2 2 9" xfId="4935" xr:uid="{CF9853A4-2838-48C7-AC1E-1187FE3BFF66}"/>
    <cellStyle name="20% - Énfasis3 2 4 2 3" xfId="4936" xr:uid="{61F9C54A-14A5-4152-AD42-02C09BB9226C}"/>
    <cellStyle name="20% - Énfasis3 2 4 2 3 2" xfId="4937" xr:uid="{0BEE0B1E-B6FA-4B8C-A89C-618EBB155AF4}"/>
    <cellStyle name="20% - Énfasis3 2 4 2 3 2 2" xfId="4938" xr:uid="{23CAFF3E-910F-4360-B900-8A77E9AB0F31}"/>
    <cellStyle name="20% - Énfasis3 2 4 2 3 2 3" xfId="4939" xr:uid="{416D9F4F-F564-4B5A-97A1-18947237C297}"/>
    <cellStyle name="20% - Énfasis3 2 4 2 3 2 4" xfId="4940" xr:uid="{3C23C0D7-B7E7-4E6C-9511-ACD8032FE6CA}"/>
    <cellStyle name="20% - Énfasis3 2 4 2 3 2 5" xfId="4941" xr:uid="{6EBB284D-AC87-4B57-94DB-817797928EF5}"/>
    <cellStyle name="20% - Énfasis3 2 4 2 3 3" xfId="4942" xr:uid="{C55FA29B-CE68-41C4-B2E2-2B3ADF6FCDE0}"/>
    <cellStyle name="20% - Énfasis3 2 4 2 3 4" xfId="4943" xr:uid="{7832C9EF-E93C-47E7-B9C3-0EF621776C12}"/>
    <cellStyle name="20% - Énfasis3 2 4 2 3 5" xfId="4944" xr:uid="{EE986A23-F697-4D90-8F1C-C9615B70A69D}"/>
    <cellStyle name="20% - Énfasis3 2 4 2 4" xfId="4945" xr:uid="{7729FD90-F417-4BDD-A5C4-8DA4D4D3CE44}"/>
    <cellStyle name="20% - Énfasis3 2 4 2 5" xfId="4946" xr:uid="{FE438C73-AB2E-45F9-87B6-E7C8F556931D}"/>
    <cellStyle name="20% - Énfasis3 2 4 2 6" xfId="4947" xr:uid="{3F632EFB-9242-4929-967E-F035F1870E3E}"/>
    <cellStyle name="20% - Énfasis3 2 4 2 7" xfId="4948" xr:uid="{7A1FFB23-7A39-453C-8605-16270BF5AB4F}"/>
    <cellStyle name="20% - Énfasis3 2 4 2 8" xfId="4949" xr:uid="{38B6083C-3F9B-4085-ABF1-FB83B426A01C}"/>
    <cellStyle name="20% - Énfasis3 2 4 2 9" xfId="4950" xr:uid="{FBA691F4-4B51-472B-A5AE-3EEC24403D4A}"/>
    <cellStyle name="20% - Énfasis3 2 4 3" xfId="4951" xr:uid="{F144D176-ABF9-4A1F-8F3A-18F64D6D9BE4}"/>
    <cellStyle name="20% - Énfasis3 2 4 3 10" xfId="4952" xr:uid="{23CDF690-5DD4-42B0-ABDC-1D8ADE291789}"/>
    <cellStyle name="20% - Énfasis3 2 4 3 11" xfId="4953" xr:uid="{1E221280-C717-4542-ABBD-DB7B7FB1A857}"/>
    <cellStyle name="20% - Énfasis3 2 4 3 12" xfId="43740" xr:uid="{BA627108-3B8F-445C-A06E-77A91DDD20FF}"/>
    <cellStyle name="20% - Énfasis3 2 4 3 2" xfId="4954" xr:uid="{06A7C6C6-B1D3-4F32-8042-3561B7E3D787}"/>
    <cellStyle name="20% - Énfasis3 2 4 3 2 2" xfId="4955" xr:uid="{041B5CB9-B739-406A-843B-D9A700914023}"/>
    <cellStyle name="20% - Énfasis3 2 4 3 2 2 2" xfId="4956" xr:uid="{14B7C7B6-9627-48F0-81EC-B7515922AB6F}"/>
    <cellStyle name="20% - Énfasis3 2 4 3 2 2 3" xfId="4957" xr:uid="{4B0379A2-0952-4BA5-AACF-13DE96E097D7}"/>
    <cellStyle name="20% - Énfasis3 2 4 3 2 2 4" xfId="4958" xr:uid="{678C0581-EEE2-477B-87CE-6364F1E7F5D4}"/>
    <cellStyle name="20% - Énfasis3 2 4 3 2 2 5" xfId="4959" xr:uid="{2ECF5096-04DC-4587-8412-8F6B1DF6DD15}"/>
    <cellStyle name="20% - Énfasis3 2 4 3 2 3" xfId="4960" xr:uid="{166389F3-565D-459B-AF2E-741D0C3A4326}"/>
    <cellStyle name="20% - Énfasis3 2 4 3 2 4" xfId="4961" xr:uid="{6C0E979F-99BD-4AF3-B357-E7501079C1B2}"/>
    <cellStyle name="20% - Énfasis3 2 4 3 2 5" xfId="4962" xr:uid="{3017F675-1CF8-4A12-89C0-A8CB840D535A}"/>
    <cellStyle name="20% - Énfasis3 2 4 3 3" xfId="4963" xr:uid="{DA9FF67B-4C60-4FC5-A207-AC51BE0886A2}"/>
    <cellStyle name="20% - Énfasis3 2 4 3 4" xfId="4964" xr:uid="{08510475-AAD6-44C3-A149-E14E9000FEB8}"/>
    <cellStyle name="20% - Énfasis3 2 4 3 5" xfId="4965" xr:uid="{20ACD486-B9ED-4C28-AD38-43EC13EAEA54}"/>
    <cellStyle name="20% - Énfasis3 2 4 3 6" xfId="4966" xr:uid="{2039CE6C-3E9C-40C9-9375-18249F2D6105}"/>
    <cellStyle name="20% - Énfasis3 2 4 3 7" xfId="4967" xr:uid="{E6806666-4CFC-4CBD-B54F-1BDAC4F9CD3E}"/>
    <cellStyle name="20% - Énfasis3 2 4 3 8" xfId="4968" xr:uid="{EAB9FD31-D711-4F30-9BF9-668FDF17FB2E}"/>
    <cellStyle name="20% - Énfasis3 2 4 3 9" xfId="4969" xr:uid="{724EB9BA-C42B-476C-BF8F-B20BDE44A4BC}"/>
    <cellStyle name="20% - Énfasis3 2 4 4" xfId="4970" xr:uid="{FF20B250-2F1A-4C59-AF56-13689A0A268D}"/>
    <cellStyle name="20% - Énfasis3 2 4 4 2" xfId="4971" xr:uid="{B55290CE-021D-4137-8470-59E70E8A9037}"/>
    <cellStyle name="20% - Énfasis3 2 4 4 2 2" xfId="4972" xr:uid="{E6E37FA1-A90D-4C20-BE46-73E5248ED39B}"/>
    <cellStyle name="20% - Énfasis3 2 4 4 2 3" xfId="4973" xr:uid="{47F3F9E6-9E3D-4DA4-8150-9FFF9E475771}"/>
    <cellStyle name="20% - Énfasis3 2 4 4 2 4" xfId="4974" xr:uid="{5C20700C-3EA3-46FF-A32D-C8A27867AAE5}"/>
    <cellStyle name="20% - Énfasis3 2 4 4 2 5" xfId="4975" xr:uid="{EC31B09C-7DA8-4473-BC2B-4862B82577F7}"/>
    <cellStyle name="20% - Énfasis3 2 4 4 3" xfId="4976" xr:uid="{D756483B-72B8-49E6-BEF3-3A2649278D2E}"/>
    <cellStyle name="20% - Énfasis3 2 4 4 4" xfId="4977" xr:uid="{AFC6650B-87D4-4DB9-A935-4B94A080C6DE}"/>
    <cellStyle name="20% - Énfasis3 2 4 4 5" xfId="4978" xr:uid="{13078446-66E4-4240-958E-363866B84993}"/>
    <cellStyle name="20% - Énfasis3 2 4 5" xfId="4979" xr:uid="{BD5EB324-A573-4C75-A146-98C0DE3BF899}"/>
    <cellStyle name="20% - Énfasis3 2 4 6" xfId="4980" xr:uid="{0F5D793E-51C7-41BF-846C-28A377C759B9}"/>
    <cellStyle name="20% - Énfasis3 2 4 7" xfId="4981" xr:uid="{58D47B90-C0E7-4FAA-985B-ABF2093A7A55}"/>
    <cellStyle name="20% - Énfasis3 2 4 8" xfId="4982" xr:uid="{E700C5D1-6D86-46E4-BAB0-7A1A04E5CE1A}"/>
    <cellStyle name="20% - Énfasis3 2 4 9" xfId="4983" xr:uid="{6F0E4D47-3EB7-490C-9D16-249981640FA6}"/>
    <cellStyle name="20% - Énfasis3 2 5" xfId="4984" xr:uid="{B3FE0B9F-7A5F-4614-84E0-A16B5AA443AE}"/>
    <cellStyle name="20% - Énfasis3 2 5 2" xfId="4985" xr:uid="{E5C3B57D-B53F-44FE-B417-0595CBE91A25}"/>
    <cellStyle name="20% - Énfasis3 2 5 2 2" xfId="43742" xr:uid="{4FAD9C66-D1C3-42DB-B026-D84A098CBF79}"/>
    <cellStyle name="20% - Énfasis3 2 5 3" xfId="43741" xr:uid="{30603D10-FC9F-46A0-9C83-7C5B8209B3F8}"/>
    <cellStyle name="20% - Énfasis3 2 6" xfId="4986" xr:uid="{068699BE-E109-405B-8AEF-BCCB7CC6437C}"/>
    <cellStyle name="20% - Énfasis3 2 6 2" xfId="4987" xr:uid="{3A5BE4F3-71DB-45D3-B0B6-D67E815F56AF}"/>
    <cellStyle name="20% - Énfasis3 2 6 3" xfId="43743" xr:uid="{BD47224B-BF36-4F45-9E63-9B76F553A416}"/>
    <cellStyle name="20% - Énfasis3 2 7" xfId="4988" xr:uid="{FB07E6D2-9F6E-465E-98B2-02B305A5E19C}"/>
    <cellStyle name="20% - Énfasis3 2 7 2" xfId="4989" xr:uid="{FB0EA259-1495-449B-A394-842D569E1B77}"/>
    <cellStyle name="20% - Énfasis3 2 8" xfId="4990" xr:uid="{C8557215-79E1-487D-9577-677F45E80AC2}"/>
    <cellStyle name="20% - Énfasis3 2 8 2" xfId="4991" xr:uid="{55C5AF45-74E3-42C6-8069-FB78852B8C2D}"/>
    <cellStyle name="20% - Énfasis3 2 8 2 2" xfId="4992" xr:uid="{2AC037FB-793D-45C4-96E2-18188489C1BF}"/>
    <cellStyle name="20% - Énfasis3 2 8 3" xfId="4993" xr:uid="{D2C2E103-E2B3-4C4C-B6C1-808A96BF1D91}"/>
    <cellStyle name="20% - Énfasis3 2 9" xfId="4994" xr:uid="{153789B0-2913-4733-BEFC-AC643A74910E}"/>
    <cellStyle name="20% - Énfasis3 2 9 2" xfId="4995" xr:uid="{B0BF8A54-D596-403F-A78B-4450BBD4501A}"/>
    <cellStyle name="20% - Énfasis3 3" xfId="4996" xr:uid="{33B09E60-64F6-43AB-BB0D-8F46ED2FB939}"/>
    <cellStyle name="20% - Énfasis3 3 2" xfId="4997" xr:uid="{05D6B6C9-46FC-4A75-A40C-A26B6040F798}"/>
    <cellStyle name="20% - Énfasis3 3 2 2" xfId="4998" xr:uid="{88D6D7BF-CD81-49DC-AE4B-BEC85A9662A7}"/>
    <cellStyle name="20% - Énfasis3 3 2 2 2" xfId="43747" xr:uid="{31BA0E6C-E64E-4DB8-B0C4-AFC510D73EAA}"/>
    <cellStyle name="20% - Énfasis3 3 2 2 2 2" xfId="43748" xr:uid="{62C83412-2392-43EF-AA77-5C1CB33B31CC}"/>
    <cellStyle name="20% - Énfasis3 3 2 2 3" xfId="43749" xr:uid="{4A9B6FEE-FD0D-4287-94DC-BC4EC70C9396}"/>
    <cellStyle name="20% - Énfasis3 3 2 2 4" xfId="43746" xr:uid="{015D90E4-8857-4279-B63C-34E2E657DFA0}"/>
    <cellStyle name="20% - Énfasis3 3 2 3" xfId="43750" xr:uid="{46A268F0-44CC-43D8-844F-06EDBCFCA1AE}"/>
    <cellStyle name="20% - Énfasis3 3 2 3 2" xfId="43751" xr:uid="{93156F9F-0AC0-4CAD-8519-93A2042F5FED}"/>
    <cellStyle name="20% - Énfasis3 3 2 4" xfId="43752" xr:uid="{D8B86208-7246-416F-8D75-E428752751FB}"/>
    <cellStyle name="20% - Énfasis3 3 2 5" xfId="43745" xr:uid="{AAF45173-0BB4-4905-B520-0A95C26A182C}"/>
    <cellStyle name="20% - Énfasis3 3 3" xfId="4999" xr:uid="{46F2923B-2CA4-4B73-94B6-9B6C429EF56E}"/>
    <cellStyle name="20% - Énfasis3 3 3 2" xfId="5000" xr:uid="{96D29F66-138A-43C9-9E9F-1778932BCD4E}"/>
    <cellStyle name="20% - Énfasis3 3 3 2 2" xfId="43755" xr:uid="{B0919D88-9088-473D-AD28-0E8F298622BD}"/>
    <cellStyle name="20% - Énfasis3 3 3 2 3" xfId="43754" xr:uid="{FC2B11A6-B000-493D-BB26-144324100432}"/>
    <cellStyle name="20% - Énfasis3 3 3 3" xfId="43756" xr:uid="{A5391001-E411-4559-953D-2468A3BF26BA}"/>
    <cellStyle name="20% - Énfasis3 3 3 4" xfId="43753" xr:uid="{D8D2AC1C-ED3C-4D0A-8124-5BC2D90B8010}"/>
    <cellStyle name="20% - Énfasis3 3 4" xfId="5001" xr:uid="{5E5FBD15-734A-4879-A8D3-C909A31FC5F5}"/>
    <cellStyle name="20% - Énfasis3 3 4 2" xfId="43758" xr:uid="{2B36A3AA-1EA3-4C1E-8F0F-F190B3D054CC}"/>
    <cellStyle name="20% - Énfasis3 3 4 3" xfId="43757" xr:uid="{4DDD9596-53A7-45D4-AAA5-432225854850}"/>
    <cellStyle name="20% - Énfasis3 3 5" xfId="43759" xr:uid="{309C2E0F-2801-4AD8-B70A-EC5F80C8901F}"/>
    <cellStyle name="20% - Énfasis3 3 6" xfId="43744" xr:uid="{D39B994D-516F-479A-BAB4-9DAD12CB4D54}"/>
    <cellStyle name="20% - Énfasis3 4" xfId="5002" xr:uid="{3CDB5264-2BA9-4454-A17A-3858862706D8}"/>
    <cellStyle name="20% - Énfasis3 4 2" xfId="5003" xr:uid="{EAC8DEB4-5C81-4BCE-85BD-C04CD41C13B1}"/>
    <cellStyle name="20% - Énfasis3 4 2 2" xfId="43762" xr:uid="{4FC8C3A1-6D92-463E-9EC8-C64998742F67}"/>
    <cellStyle name="20% - Énfasis3 4 2 2 2" xfId="43763" xr:uid="{4E5F081F-A3FE-4256-9716-AD9190D55366}"/>
    <cellStyle name="20% - Énfasis3 4 2 3" xfId="43764" xr:uid="{525563B0-3E32-43D2-89B4-910815BCB7F4}"/>
    <cellStyle name="20% - Énfasis3 4 2 4" xfId="43761" xr:uid="{7DFEA1F5-D4B1-4ADC-9FEE-4202AA2AFCF8}"/>
    <cellStyle name="20% - Énfasis3 4 3" xfId="43765" xr:uid="{112FFDB7-E212-4651-A7E2-4E70F1171D46}"/>
    <cellStyle name="20% - Énfasis3 4 3 2" xfId="43766" xr:uid="{3F065E3C-9FF8-4446-9221-079DB8A4E8FE}"/>
    <cellStyle name="20% - Énfasis3 4 4" xfId="43767" xr:uid="{91AC834A-E87E-4D10-BEAA-33242F868612}"/>
    <cellStyle name="20% - Énfasis3 4 5" xfId="43760" xr:uid="{7E93AF19-C210-4142-B007-94CF02C273D3}"/>
    <cellStyle name="20% - Énfasis3 5" xfId="43768" xr:uid="{45D2F15E-705C-482F-8E50-627A1DC3930A}"/>
    <cellStyle name="20% - Énfasis3 5 2" xfId="43769" xr:uid="{B5C901EC-16AB-45F5-9B06-4CC1F2BA2643}"/>
    <cellStyle name="20% - Énfasis3 5 2 2" xfId="43770" xr:uid="{1645EA20-E1D2-4E9C-B3DA-7A8EE50C06C0}"/>
    <cellStyle name="20% - Énfasis3 5 2 2 2" xfId="43771" xr:uid="{59135B34-34BA-4E97-AC9E-E0AB7F961684}"/>
    <cellStyle name="20% - Énfasis3 5 2 3" xfId="43772" xr:uid="{B3D1E03C-723A-4C85-AC1A-DBBF932479F0}"/>
    <cellStyle name="20% - Énfasis3 5 3" xfId="43773" xr:uid="{ACD31A22-FD13-42A2-8380-A3484E09D8D0}"/>
    <cellStyle name="20% - Énfasis3 5 3 2" xfId="43774" xr:uid="{27C96AC4-0A74-4DDB-AFFB-9CC7665FB894}"/>
    <cellStyle name="20% - Énfasis3 5 4" xfId="43775" xr:uid="{2B5E1FCA-201A-46CA-A7A0-ED75FC1723A5}"/>
    <cellStyle name="20% - Énfasis3 6" xfId="43776" xr:uid="{F9F6F92D-646D-441A-877D-FB4A88C75B30}"/>
    <cellStyle name="20% - Énfasis3 6 2" xfId="43777" xr:uid="{3870DA14-BFA0-4C53-89C1-07AB15AFC8F2}"/>
    <cellStyle name="20% - Énfasis3 6 2 2" xfId="43778" xr:uid="{AD967172-A383-4D6A-AF28-41A7882EEDF9}"/>
    <cellStyle name="20% - Énfasis3 6 3" xfId="43779" xr:uid="{13C4DD83-7C51-43F4-ABA9-428B449CB433}"/>
    <cellStyle name="20% - Énfasis3 7" xfId="43780" xr:uid="{89B76137-FFE1-4CC4-B770-CB4738AFC413}"/>
    <cellStyle name="20% - Énfasis3 7 2" xfId="43781" xr:uid="{5830DB70-9324-4C81-BF16-BBE7F6E507F5}"/>
    <cellStyle name="20% - Énfasis3 8" xfId="43782" xr:uid="{D730051A-0BBA-41FD-8FEA-EE0578FBA3EE}"/>
    <cellStyle name="20% - Énfasis4" xfId="33" builtinId="42" customBuiltin="1"/>
    <cellStyle name="20% - Énfasis4 2" xfId="5004" xr:uid="{76DD286F-0BD4-4C38-93CC-4E3FBF3CF1BB}"/>
    <cellStyle name="20% - Énfasis4 2 10" xfId="5005" xr:uid="{96BC6822-F7BF-4E68-BE34-7D5B69200FD7}"/>
    <cellStyle name="20% - Énfasis4 2 10 10" xfId="5006" xr:uid="{2F23AEE0-88DA-4885-9BC9-67832F897185}"/>
    <cellStyle name="20% - Énfasis4 2 10 11" xfId="5007" xr:uid="{51FE7DAE-9EC2-462F-81DB-7A19D2AA063E}"/>
    <cellStyle name="20% - Énfasis4 2 10 2" xfId="5008" xr:uid="{8A317D4B-2595-4609-90A3-D35E3C73C0A2}"/>
    <cellStyle name="20% - Énfasis4 2 10 2 10" xfId="5009" xr:uid="{9BCE842E-DFFB-4DC2-ABA9-833BD3F8B72F}"/>
    <cellStyle name="20% - Énfasis4 2 10 2 11" xfId="5010" xr:uid="{BD13B2E1-2732-4169-A0F0-A839A0B1ED7F}"/>
    <cellStyle name="20% - Énfasis4 2 10 2 2" xfId="5011" xr:uid="{A9009BDC-D0B5-4C47-8EAB-89C2F4BD58AD}"/>
    <cellStyle name="20% - Énfasis4 2 10 2 2 2" xfId="5012" xr:uid="{38CC6555-BB96-4FC6-9902-6F962CCF7F8E}"/>
    <cellStyle name="20% - Énfasis4 2 10 2 2 2 2" xfId="5013" xr:uid="{2896AB19-7839-4B3A-8F23-35C6F203D943}"/>
    <cellStyle name="20% - Énfasis4 2 10 2 2 2 3" xfId="5014" xr:uid="{CAA5DFE2-5410-4455-82AE-006F5F7CEE19}"/>
    <cellStyle name="20% - Énfasis4 2 10 2 2 2 4" xfId="5015" xr:uid="{B12A182E-06BA-4058-A9C5-8A4FA0B5049A}"/>
    <cellStyle name="20% - Énfasis4 2 10 2 2 2 5" xfId="5016" xr:uid="{6996A29E-D3F6-43C3-A890-7D6E7AF41C4F}"/>
    <cellStyle name="20% - Énfasis4 2 10 2 2 3" xfId="5017" xr:uid="{639EE89A-951B-4F48-A87A-E3FFC907ABD6}"/>
    <cellStyle name="20% - Énfasis4 2 10 2 2 4" xfId="5018" xr:uid="{FD9A5D59-9C23-4A68-A515-7CF3AA1324F5}"/>
    <cellStyle name="20% - Énfasis4 2 10 2 2 5" xfId="5019" xr:uid="{4939C478-3AE1-4C35-BEE9-AB7562AC4D4F}"/>
    <cellStyle name="20% - Énfasis4 2 10 2 3" xfId="5020" xr:uid="{F9995176-9EBF-4131-9DAF-3C457AEE9219}"/>
    <cellStyle name="20% - Énfasis4 2 10 2 4" xfId="5021" xr:uid="{704459DD-20CB-4210-B040-48795BB47074}"/>
    <cellStyle name="20% - Énfasis4 2 10 2 5" xfId="5022" xr:uid="{3C94CAA3-8CE9-444C-A924-188F510FB969}"/>
    <cellStyle name="20% - Énfasis4 2 10 2 6" xfId="5023" xr:uid="{937938A2-ED13-4A24-AAA6-58766F02881A}"/>
    <cellStyle name="20% - Énfasis4 2 10 2 7" xfId="5024" xr:uid="{1B0ACE14-3196-4EF2-BF59-8EBF38AAB972}"/>
    <cellStyle name="20% - Énfasis4 2 10 2 8" xfId="5025" xr:uid="{2ECDA724-2C72-4F66-8D96-484A38FCD348}"/>
    <cellStyle name="20% - Énfasis4 2 10 2 9" xfId="5026" xr:uid="{46F1FFEB-CC27-4C7D-A379-7840EFD50DD8}"/>
    <cellStyle name="20% - Énfasis4 2 10 3" xfId="5027" xr:uid="{334C7F93-4F1D-40C2-AFFC-7608EE3313E5}"/>
    <cellStyle name="20% - Énfasis4 2 10 3 2" xfId="5028" xr:uid="{18358463-1E04-4773-9BCB-C20BA6C41245}"/>
    <cellStyle name="20% - Énfasis4 2 10 3 2 2" xfId="5029" xr:uid="{C4B1D732-1199-4891-AF8D-4E271FA20872}"/>
    <cellStyle name="20% - Énfasis4 2 10 3 2 3" xfId="5030" xr:uid="{AF777A28-D8F5-432A-8D25-EB5C8958156D}"/>
    <cellStyle name="20% - Énfasis4 2 10 3 2 4" xfId="5031" xr:uid="{FC573C07-5B90-4CF9-8B50-599F1ABB9E23}"/>
    <cellStyle name="20% - Énfasis4 2 10 3 2 5" xfId="5032" xr:uid="{65AD1DAC-C4C3-47DB-B8F2-74288893DA9F}"/>
    <cellStyle name="20% - Énfasis4 2 10 3 3" xfId="5033" xr:uid="{5458F84E-438B-4D94-9F95-B32AC421A473}"/>
    <cellStyle name="20% - Énfasis4 2 10 3 4" xfId="5034" xr:uid="{5495011B-1ECA-4A41-9192-7C269D1A9748}"/>
    <cellStyle name="20% - Énfasis4 2 10 3 5" xfId="5035" xr:uid="{5D629002-6096-44EA-B9F3-3F9666B90094}"/>
    <cellStyle name="20% - Énfasis4 2 10 4" xfId="5036" xr:uid="{D0E3B1AC-8B4B-4D8F-BC1B-ED1DD4B40835}"/>
    <cellStyle name="20% - Énfasis4 2 10 5" xfId="5037" xr:uid="{3386C283-A919-4EF6-B88B-D96211E6F81C}"/>
    <cellStyle name="20% - Énfasis4 2 10 6" xfId="5038" xr:uid="{451C87A5-D4CA-4E59-8160-8FAB64E171B4}"/>
    <cellStyle name="20% - Énfasis4 2 10 7" xfId="5039" xr:uid="{0C921FC0-B671-4F00-BB52-E2664377A6C6}"/>
    <cellStyle name="20% - Énfasis4 2 10 8" xfId="5040" xr:uid="{7768CEBC-239F-4347-BC77-E5AC07019A3E}"/>
    <cellStyle name="20% - Énfasis4 2 10 9" xfId="5041" xr:uid="{48FDEA77-6694-46F9-8FD2-0BF8784C2A84}"/>
    <cellStyle name="20% - Énfasis4 2 11" xfId="5042" xr:uid="{6D10FDC6-B242-4F2B-8CD4-E5A19E91B70F}"/>
    <cellStyle name="20% - Énfasis4 2 12" xfId="5043" xr:uid="{D9D42719-9174-4EF2-B3B2-D2BBF632253E}"/>
    <cellStyle name="20% - Énfasis4 2 13" xfId="5044" xr:uid="{1A18C193-866F-4C2A-ACE6-2D72531D90D7}"/>
    <cellStyle name="20% - Énfasis4 2 14" xfId="43783" xr:uid="{1477792C-9C80-4EEE-8007-76E49B3F84BB}"/>
    <cellStyle name="20% - Énfasis4 2 2" xfId="5045" xr:uid="{30869378-56C5-42FE-9F20-8AD8AF9B93E2}"/>
    <cellStyle name="20% - Énfasis4 2 2 10" xfId="5046" xr:uid="{EAEEAF34-7B5C-490C-96FC-F05CB1CD1591}"/>
    <cellStyle name="20% - Énfasis4 2 2 10 10" xfId="5047" xr:uid="{903BAA96-655D-4503-8702-40C725191606}"/>
    <cellStyle name="20% - Énfasis4 2 2 10 11" xfId="5048" xr:uid="{C4889F56-BDAA-4C45-8BFF-598F45F2C6D1}"/>
    <cellStyle name="20% - Énfasis4 2 2 10 2" xfId="5049" xr:uid="{DE8B22E4-EC90-4EEF-90F2-622D0D76D540}"/>
    <cellStyle name="20% - Énfasis4 2 2 10 2 10" xfId="5050" xr:uid="{8D7D8CD5-3BE5-482D-8874-012D4511F12E}"/>
    <cellStyle name="20% - Énfasis4 2 2 10 2 11" xfId="5051" xr:uid="{2B1EF367-15BA-4F5A-BFC8-6A3EB8B21554}"/>
    <cellStyle name="20% - Énfasis4 2 2 10 2 2" xfId="5052" xr:uid="{E378DC52-533E-47A1-B253-145FE5FB23D7}"/>
    <cellStyle name="20% - Énfasis4 2 2 10 2 2 2" xfId="5053" xr:uid="{ABB113E5-B3B3-4CEB-A293-441DA5B6B4D6}"/>
    <cellStyle name="20% - Énfasis4 2 2 10 2 2 2 2" xfId="5054" xr:uid="{3247417F-8E28-4F83-AE0E-A49804D96B3A}"/>
    <cellStyle name="20% - Énfasis4 2 2 10 2 2 2 3" xfId="5055" xr:uid="{262069F6-B106-4958-A146-BABFFF068D65}"/>
    <cellStyle name="20% - Énfasis4 2 2 10 2 2 2 4" xfId="5056" xr:uid="{DE1FFFD9-1357-4FA9-A49C-E2830859B279}"/>
    <cellStyle name="20% - Énfasis4 2 2 10 2 2 2 5" xfId="5057" xr:uid="{64AD9D72-2C9C-4E98-90FE-137545C2E841}"/>
    <cellStyle name="20% - Énfasis4 2 2 10 2 2 3" xfId="5058" xr:uid="{8B3037AC-E66C-4B04-B867-7C6D8BCEF95C}"/>
    <cellStyle name="20% - Énfasis4 2 2 10 2 2 4" xfId="5059" xr:uid="{751B60FF-1119-407E-BC07-82BFD29916F2}"/>
    <cellStyle name="20% - Énfasis4 2 2 10 2 2 5" xfId="5060" xr:uid="{5B426735-6E3F-4FEB-B40C-3B281B4B7C6E}"/>
    <cellStyle name="20% - Énfasis4 2 2 10 2 3" xfId="5061" xr:uid="{78F9047C-D478-4DC5-A891-23E736B41A83}"/>
    <cellStyle name="20% - Énfasis4 2 2 10 2 4" xfId="5062" xr:uid="{3C3C7C35-EFAC-437D-BD1A-94543D5A8600}"/>
    <cellStyle name="20% - Énfasis4 2 2 10 2 5" xfId="5063" xr:uid="{23D3D3B3-101E-49A3-A422-6F690A17CB8E}"/>
    <cellStyle name="20% - Énfasis4 2 2 10 2 6" xfId="5064" xr:uid="{245ED7EC-FEF3-42AA-B46B-03493D9558C5}"/>
    <cellStyle name="20% - Énfasis4 2 2 10 2 7" xfId="5065" xr:uid="{2CC5611C-E650-4F3E-BBBC-F0B639EFC4AB}"/>
    <cellStyle name="20% - Énfasis4 2 2 10 2 8" xfId="5066" xr:uid="{78D0C164-9A28-4C9F-BF8D-8FCA8DEB53C6}"/>
    <cellStyle name="20% - Énfasis4 2 2 10 2 9" xfId="5067" xr:uid="{396B9D4C-F39E-49AA-ACBE-A3F4ED2738FE}"/>
    <cellStyle name="20% - Énfasis4 2 2 10 3" xfId="5068" xr:uid="{67BA9B82-237B-4F61-B381-5C2151675721}"/>
    <cellStyle name="20% - Énfasis4 2 2 10 3 2" xfId="5069" xr:uid="{F4BD8FBC-AF96-4668-B1C2-9689B22981EF}"/>
    <cellStyle name="20% - Énfasis4 2 2 10 3 2 2" xfId="5070" xr:uid="{4281364E-9147-4C5C-BC38-5BA99DBD9241}"/>
    <cellStyle name="20% - Énfasis4 2 2 10 3 2 3" xfId="5071" xr:uid="{102050D3-3BFB-45B9-A74E-2E64935A8484}"/>
    <cellStyle name="20% - Énfasis4 2 2 10 3 2 4" xfId="5072" xr:uid="{7A7E01F0-1B09-4480-BD77-97067DE59D08}"/>
    <cellStyle name="20% - Énfasis4 2 2 10 3 2 5" xfId="5073" xr:uid="{DD33BEC9-C002-42FB-BE25-24939C35A257}"/>
    <cellStyle name="20% - Énfasis4 2 2 10 3 3" xfId="5074" xr:uid="{42881B93-D569-4CB7-904F-8F396AF1A817}"/>
    <cellStyle name="20% - Énfasis4 2 2 10 3 4" xfId="5075" xr:uid="{C211E1C9-B61B-4DC4-A508-06AD398FCED0}"/>
    <cellStyle name="20% - Énfasis4 2 2 10 3 5" xfId="5076" xr:uid="{C3F718EB-0099-4EAE-9DCB-0D848BD6FA56}"/>
    <cellStyle name="20% - Énfasis4 2 2 10 4" xfId="5077" xr:uid="{380AB0BA-0824-47D1-95F0-CC35E6470536}"/>
    <cellStyle name="20% - Énfasis4 2 2 10 5" xfId="5078" xr:uid="{0C741B3E-E08A-403D-A9A4-682EAF136071}"/>
    <cellStyle name="20% - Énfasis4 2 2 10 6" xfId="5079" xr:uid="{EF2D9DDD-3E68-4023-A5A2-4D760C59889D}"/>
    <cellStyle name="20% - Énfasis4 2 2 10 7" xfId="5080" xr:uid="{071B96A2-C8B0-49DC-A876-5BFAE7D2285A}"/>
    <cellStyle name="20% - Énfasis4 2 2 10 8" xfId="5081" xr:uid="{98932690-150E-443A-9421-556DC53C39A8}"/>
    <cellStyle name="20% - Énfasis4 2 2 10 9" xfId="5082" xr:uid="{7AE2B8C3-4923-4B47-9C3D-AF9630E8607F}"/>
    <cellStyle name="20% - Énfasis4 2 2 11" xfId="5083" xr:uid="{A9550E81-D8E0-4F99-8325-4AD2A8E41CC6}"/>
    <cellStyle name="20% - Énfasis4 2 2 12" xfId="5084" xr:uid="{0C71E1F5-0162-4905-BAEC-A822940AB3F1}"/>
    <cellStyle name="20% - Énfasis4 2 2 13" xfId="5085" xr:uid="{86B07FC1-70E1-4CD7-9663-51A1A859DD58}"/>
    <cellStyle name="20% - Énfasis4 2 2 14" xfId="43784" xr:uid="{86828B32-E4C2-4B6B-A0F5-35F7C6038BB5}"/>
    <cellStyle name="20% - Énfasis4 2 2 2" xfId="5086" xr:uid="{7C46E622-3657-4D61-9290-EAFAA86BE350}"/>
    <cellStyle name="20% - Énfasis4 2 2 2 2" xfId="5087" xr:uid="{737CA0B1-CD76-41C0-ACF2-41D6CE8E5A72}"/>
    <cellStyle name="20% - Énfasis4 2 2 2 2 2" xfId="5088" xr:uid="{92899CC0-80D3-46F2-9787-ACC829DB3150}"/>
    <cellStyle name="20% - Énfasis4 2 2 2 2 2 2" xfId="5089" xr:uid="{FD1FAFDE-A3A6-446A-9607-E888B7FBE3FF}"/>
    <cellStyle name="20% - Énfasis4 2 2 2 2 2 2 2" xfId="5090" xr:uid="{4CFFCB6F-32D9-4249-9853-8116E9F31FFA}"/>
    <cellStyle name="20% - Énfasis4 2 2 2 2 2 2 2 2" xfId="5091" xr:uid="{481032EE-713D-4A15-9876-ED27A01E5F5C}"/>
    <cellStyle name="20% - Énfasis4 2 2 2 2 2 2 2 2 2" xfId="5092" xr:uid="{5A1F09DD-03ED-4A11-8636-D4AB7B509B6C}"/>
    <cellStyle name="20% - Énfasis4 2 2 2 2 2 2 2 2 2 2" xfId="5093" xr:uid="{48D5CDA9-CCF2-4B4D-B94B-AC3E527A46BD}"/>
    <cellStyle name="20% - Énfasis4 2 2 2 2 2 2 2 2 2 2 2" xfId="5094" xr:uid="{8A838176-156A-429F-95BD-83FA927F7458}"/>
    <cellStyle name="20% - Énfasis4 2 2 2 2 2 2 2 2 2 2 2 2" xfId="5095" xr:uid="{551BF4FD-381A-466F-B879-0CE29357FD14}"/>
    <cellStyle name="20% - Énfasis4 2 2 2 2 2 2 2 2 2 2 2 2 2" xfId="5096" xr:uid="{DD3F7E52-A4EF-412E-820C-0AACD86F8D73}"/>
    <cellStyle name="20% - Énfasis4 2 2 2 2 2 2 2 2 2 2 2 2 2 2" xfId="5097" xr:uid="{727647FC-F6F1-4E6B-9DC6-D78EB35F3381}"/>
    <cellStyle name="20% - Énfasis4 2 2 2 2 2 2 2 2 2 2 2 2 2 3" xfId="5098" xr:uid="{0077FED1-A2A9-4386-B309-43FCEBC9DAE6}"/>
    <cellStyle name="20% - Énfasis4 2 2 2 2 2 2 2 2 2 2 2 2 2 4" xfId="5099" xr:uid="{E98D2A22-ECE4-44F2-A0D2-5139C70F4CA7}"/>
    <cellStyle name="20% - Énfasis4 2 2 2 2 2 2 2 2 2 2 2 2 2 5" xfId="5100" xr:uid="{2B277C7B-8F65-44C6-9D2A-68D0613C1AAF}"/>
    <cellStyle name="20% - Énfasis4 2 2 2 2 2 2 2 2 2 2 2 2 3" xfId="5101" xr:uid="{C7B514FF-968B-4D93-A0E4-7EFA74763748}"/>
    <cellStyle name="20% - Énfasis4 2 2 2 2 2 2 2 2 2 2 2 2 4" xfId="5102" xr:uid="{B89D7795-C935-4EB2-805D-09F4AD5BA5A0}"/>
    <cellStyle name="20% - Énfasis4 2 2 2 2 2 2 2 2 2 2 2 2 5" xfId="5103" xr:uid="{1BD52F06-A8DB-4AB5-A9CE-C6DE0CA675CF}"/>
    <cellStyle name="20% - Énfasis4 2 2 2 2 2 2 2 2 2 2 2 3" xfId="5104" xr:uid="{3F310C60-5F1F-4137-B436-DEF6988B9922}"/>
    <cellStyle name="20% - Énfasis4 2 2 2 2 2 2 2 2 2 2 2 4" xfId="5105" xr:uid="{AB0016E2-79D0-49A5-9B97-6B6123F3EA7D}"/>
    <cellStyle name="20% - Énfasis4 2 2 2 2 2 2 2 2 2 2 2 5" xfId="5106" xr:uid="{62491EB7-FEE2-4A36-A584-7C75856CEB78}"/>
    <cellStyle name="20% - Énfasis4 2 2 2 2 2 2 2 2 2 2 2 6" xfId="5107" xr:uid="{E3962E5C-DA95-4331-9A9A-9E0AAF7FAB34}"/>
    <cellStyle name="20% - Énfasis4 2 2 2 2 2 2 2 2 2 2 3" xfId="5108" xr:uid="{807FA9B1-6D55-4A10-ABEE-90041E1205A7}"/>
    <cellStyle name="20% - Énfasis4 2 2 2 2 2 2 2 2 2 2 4" xfId="5109" xr:uid="{F4FA13EC-82B5-4868-B29A-30C3AF7DDD4A}"/>
    <cellStyle name="20% - Énfasis4 2 2 2 2 2 2 2 2 2 3" xfId="5110" xr:uid="{9CB276CB-7740-4010-82D0-B4339E7FDF30}"/>
    <cellStyle name="20% - Énfasis4 2 2 2 2 2 2 2 2 2 4" xfId="5111" xr:uid="{63DCF6B7-5660-4EDA-980C-AC2366A06C9D}"/>
    <cellStyle name="20% - Énfasis4 2 2 2 2 2 2 2 2 3" xfId="5112" xr:uid="{81EB832A-86A6-416A-B3BB-764FF79AA660}"/>
    <cellStyle name="20% - Énfasis4 2 2 2 2 2 2 2 2 4" xfId="5113" xr:uid="{ABF89E34-003F-4BDC-BAD1-797CAC7D0D17}"/>
    <cellStyle name="20% - Énfasis4 2 2 2 2 2 2 2 2 5" xfId="5114" xr:uid="{82E3065C-6425-4D4D-BEA9-18534E20963E}"/>
    <cellStyle name="20% - Énfasis4 2 2 2 2 2 2 2 3" xfId="5115" xr:uid="{9E4CEE8D-26E2-486E-8627-42F884FFC9A9}"/>
    <cellStyle name="20% - Énfasis4 2 2 2 2 2 2 2 3 10" xfId="5116" xr:uid="{0CD4E8BC-D5F2-46F2-A2F8-81B437320F50}"/>
    <cellStyle name="20% - Énfasis4 2 2 2 2 2 2 2 3 11" xfId="5117" xr:uid="{F35EAA3A-F809-4609-A7F4-AF9B304450B1}"/>
    <cellStyle name="20% - Énfasis4 2 2 2 2 2 2 2 3 2" xfId="5118" xr:uid="{61CE38DE-71AC-4F8C-A85A-119D04679662}"/>
    <cellStyle name="20% - Énfasis4 2 2 2 2 2 2 2 3 2 2" xfId="5119" xr:uid="{347250C1-E857-4A9E-A7D4-778561F89378}"/>
    <cellStyle name="20% - Énfasis4 2 2 2 2 2 2 2 3 2 2 2" xfId="5120" xr:uid="{EDEF20A2-EDA2-4C1E-9AB6-5A6B403D3260}"/>
    <cellStyle name="20% - Énfasis4 2 2 2 2 2 2 2 3 2 2 3" xfId="5121" xr:uid="{AC7F8425-C12E-49C7-9BB2-A3F2A514777F}"/>
    <cellStyle name="20% - Énfasis4 2 2 2 2 2 2 2 3 2 2 4" xfId="5122" xr:uid="{6BB0E61E-B79B-412D-8892-DAE5054CCBAE}"/>
    <cellStyle name="20% - Énfasis4 2 2 2 2 2 2 2 3 2 2 5" xfId="5123" xr:uid="{AE18420D-6439-48FD-BA21-D58066AB4EB8}"/>
    <cellStyle name="20% - Énfasis4 2 2 2 2 2 2 2 3 2 3" xfId="5124" xr:uid="{DFF38608-11BC-4EAA-AA06-4164F41CB7EF}"/>
    <cellStyle name="20% - Énfasis4 2 2 2 2 2 2 2 3 2 4" xfId="5125" xr:uid="{C4344D8C-4C47-43E2-BF76-7A1ECBBC1C34}"/>
    <cellStyle name="20% - Énfasis4 2 2 2 2 2 2 2 3 2 5" xfId="5126" xr:uid="{106F658E-71E9-479A-AD58-F4DEBC6BA0B9}"/>
    <cellStyle name="20% - Énfasis4 2 2 2 2 2 2 2 3 3" xfId="5127" xr:uid="{06F4930F-DADD-4C8C-B796-4C584C2B68A4}"/>
    <cellStyle name="20% - Énfasis4 2 2 2 2 2 2 2 3 4" xfId="5128" xr:uid="{E67A6DDD-9937-43CE-A751-D976A6D984B9}"/>
    <cellStyle name="20% - Énfasis4 2 2 2 2 2 2 2 3 5" xfId="5129" xr:uid="{D6CD970C-169D-4832-9F54-E61B97FB85DB}"/>
    <cellStyle name="20% - Énfasis4 2 2 2 2 2 2 2 3 6" xfId="5130" xr:uid="{A50A66FD-8B0A-4D94-BEC0-0740AC81D8DF}"/>
    <cellStyle name="20% - Énfasis4 2 2 2 2 2 2 2 3 7" xfId="5131" xr:uid="{9DC991E4-8677-42B5-98E8-0BDEC4729BD4}"/>
    <cellStyle name="20% - Énfasis4 2 2 2 2 2 2 2 3 8" xfId="5132" xr:uid="{96574492-BB9C-4DD1-91F7-096968F7A634}"/>
    <cellStyle name="20% - Énfasis4 2 2 2 2 2 2 2 3 9" xfId="5133" xr:uid="{8BB7D041-D5DF-44E7-A813-F5DA44FF5C2F}"/>
    <cellStyle name="20% - Énfasis4 2 2 2 2 2 2 2 4" xfId="5134" xr:uid="{CEEEF92D-079F-42EE-831C-6226BF1B4D69}"/>
    <cellStyle name="20% - Énfasis4 2 2 2 2 2 2 2 5" xfId="5135" xr:uid="{88083AD1-2F25-45CD-8408-A62A6705CA01}"/>
    <cellStyle name="20% - Énfasis4 2 2 2 2 2 2 3" xfId="5136" xr:uid="{AE5B3582-B98B-426E-A7F8-153445DF609C}"/>
    <cellStyle name="20% - Énfasis4 2 2 2 2 2 2 3 10" xfId="5137" xr:uid="{0CC15AA2-7B9E-4951-90E5-700E2D4D31E6}"/>
    <cellStyle name="20% - Énfasis4 2 2 2 2 2 2 3 11" xfId="5138" xr:uid="{20484CC3-313C-4F3C-8D49-C4D2E701EAAC}"/>
    <cellStyle name="20% - Énfasis4 2 2 2 2 2 2 3 2" xfId="5139" xr:uid="{37A59598-F0F4-4672-9C46-8C756855E7E2}"/>
    <cellStyle name="20% - Énfasis4 2 2 2 2 2 2 3 2 10" xfId="5140" xr:uid="{BDEEB809-AECF-4AEA-A7FE-141EC6A6F282}"/>
    <cellStyle name="20% - Énfasis4 2 2 2 2 2 2 3 2 11" xfId="5141" xr:uid="{E896F159-EDB0-4178-91DA-E6FF77BD9799}"/>
    <cellStyle name="20% - Énfasis4 2 2 2 2 2 2 3 2 2" xfId="5142" xr:uid="{11C2043E-D89E-4953-B946-B073D950C8A3}"/>
    <cellStyle name="20% - Énfasis4 2 2 2 2 2 2 3 2 2 2" xfId="5143" xr:uid="{7A055761-B85F-4246-8F4C-56E17096ACFA}"/>
    <cellStyle name="20% - Énfasis4 2 2 2 2 2 2 3 2 2 2 2" xfId="5144" xr:uid="{5D4D0978-1512-42A5-8B51-5FEF32BAF932}"/>
    <cellStyle name="20% - Énfasis4 2 2 2 2 2 2 3 2 2 2 3" xfId="5145" xr:uid="{0DEBA538-E6E0-4E34-A266-8C1C2C43DE10}"/>
    <cellStyle name="20% - Énfasis4 2 2 2 2 2 2 3 2 2 2 4" xfId="5146" xr:uid="{7A78D50D-AE17-4BE5-8F87-F3193D46E351}"/>
    <cellStyle name="20% - Énfasis4 2 2 2 2 2 2 3 2 2 2 5" xfId="5147" xr:uid="{62747B01-F498-4D03-ADBC-E51C6C0A98CF}"/>
    <cellStyle name="20% - Énfasis4 2 2 2 2 2 2 3 2 2 3" xfId="5148" xr:uid="{3D8536ED-F93E-4CD5-9A33-2F2FC3CCF187}"/>
    <cellStyle name="20% - Énfasis4 2 2 2 2 2 2 3 2 2 4" xfId="5149" xr:uid="{F51EFD80-1517-4C00-94D6-9B8828221808}"/>
    <cellStyle name="20% - Énfasis4 2 2 2 2 2 2 3 2 2 5" xfId="5150" xr:uid="{A4F17F4D-0D01-4631-B81D-DF2AECC03829}"/>
    <cellStyle name="20% - Énfasis4 2 2 2 2 2 2 3 2 3" xfId="5151" xr:uid="{9B404F69-BFF2-4E54-9AFA-2EEF129B3D73}"/>
    <cellStyle name="20% - Énfasis4 2 2 2 2 2 2 3 2 4" xfId="5152" xr:uid="{0AF47856-47EB-4F61-A816-8754CB344FAF}"/>
    <cellStyle name="20% - Énfasis4 2 2 2 2 2 2 3 2 5" xfId="5153" xr:uid="{E81AEAC8-AC3D-461D-AC1D-91FB9C356AEB}"/>
    <cellStyle name="20% - Énfasis4 2 2 2 2 2 2 3 2 6" xfId="5154" xr:uid="{B167386D-B227-4248-B981-5A24CA724876}"/>
    <cellStyle name="20% - Énfasis4 2 2 2 2 2 2 3 2 7" xfId="5155" xr:uid="{E0CC12ED-E3C6-4E4D-996D-949E429305E1}"/>
    <cellStyle name="20% - Énfasis4 2 2 2 2 2 2 3 2 8" xfId="5156" xr:uid="{68CCA3E9-A157-4A37-BD48-00D3CD650033}"/>
    <cellStyle name="20% - Énfasis4 2 2 2 2 2 2 3 2 9" xfId="5157" xr:uid="{2DA94CB8-1DB3-4588-B25B-3925C5917EA0}"/>
    <cellStyle name="20% - Énfasis4 2 2 2 2 2 2 3 3" xfId="5158" xr:uid="{62367D44-BA73-466E-A2C2-BF31BD2C7311}"/>
    <cellStyle name="20% - Énfasis4 2 2 2 2 2 2 3 3 2" xfId="5159" xr:uid="{9B372C96-473B-4CED-8490-884C9C3CD071}"/>
    <cellStyle name="20% - Énfasis4 2 2 2 2 2 2 3 3 2 2" xfId="5160" xr:uid="{D04909D4-CC4F-4451-BD2F-501A7C5B625D}"/>
    <cellStyle name="20% - Énfasis4 2 2 2 2 2 2 3 3 2 3" xfId="5161" xr:uid="{CE14C303-4C37-4A4B-8570-C189A2660AD3}"/>
    <cellStyle name="20% - Énfasis4 2 2 2 2 2 2 3 3 2 4" xfId="5162" xr:uid="{E0DBF444-927C-4BD1-B986-F538D390F81D}"/>
    <cellStyle name="20% - Énfasis4 2 2 2 2 2 2 3 3 2 5" xfId="5163" xr:uid="{E015D7BE-73B4-4786-BC2C-537B26309CB1}"/>
    <cellStyle name="20% - Énfasis4 2 2 2 2 2 2 3 3 3" xfId="5164" xr:uid="{6ED86C18-D309-430C-924C-CD9B1B52314E}"/>
    <cellStyle name="20% - Énfasis4 2 2 2 2 2 2 3 3 4" xfId="5165" xr:uid="{7C552CDA-78A7-4EED-9615-95E810BC4564}"/>
    <cellStyle name="20% - Énfasis4 2 2 2 2 2 2 3 3 5" xfId="5166" xr:uid="{1A76C921-51B5-4549-B568-D0D0E22047DF}"/>
    <cellStyle name="20% - Énfasis4 2 2 2 2 2 2 3 4" xfId="5167" xr:uid="{BF183F3D-7560-4945-91DA-F7BF7B347C98}"/>
    <cellStyle name="20% - Énfasis4 2 2 2 2 2 2 3 5" xfId="5168" xr:uid="{111D92B4-0EB3-42C7-8FA5-DDEEFDD4C3BA}"/>
    <cellStyle name="20% - Énfasis4 2 2 2 2 2 2 3 6" xfId="5169" xr:uid="{B60433B4-AAF5-42A8-923B-52F5906619B5}"/>
    <cellStyle name="20% - Énfasis4 2 2 2 2 2 2 3 7" xfId="5170" xr:uid="{CB55F100-DA6A-4482-8398-8FCE516A72A8}"/>
    <cellStyle name="20% - Énfasis4 2 2 2 2 2 2 3 8" xfId="5171" xr:uid="{084D8219-9AC8-4300-A785-08EF7582D940}"/>
    <cellStyle name="20% - Énfasis4 2 2 2 2 2 2 3 9" xfId="5172" xr:uid="{F1DCAFF8-991A-4943-BA5B-8CF0D3CBEA68}"/>
    <cellStyle name="20% - Énfasis4 2 2 2 2 2 2 4" xfId="5173" xr:uid="{D53D615D-84A7-4D9E-8378-B4EC9E098273}"/>
    <cellStyle name="20% - Énfasis4 2 2 2 2 2 2 5" xfId="5174" xr:uid="{B640150F-B187-492A-AA88-26F012C9D488}"/>
    <cellStyle name="20% - Énfasis4 2 2 2 2 2 2 6" xfId="5175" xr:uid="{51B7B766-32A6-4456-AD32-4AECC61A143B}"/>
    <cellStyle name="20% - Énfasis4 2 2 2 2 2 2 7" xfId="43788" xr:uid="{7602855B-A1B8-4B7E-B885-8FE3AB3E41D8}"/>
    <cellStyle name="20% - Énfasis4 2 2 2 2 2 3" xfId="5176" xr:uid="{CC669638-7CEB-4FA0-AFC5-598CECEA689D}"/>
    <cellStyle name="20% - Énfasis4 2 2 2 2 2 3 10" xfId="5177" xr:uid="{F8A78FBD-3E29-49BE-A028-366E135580C8}"/>
    <cellStyle name="20% - Énfasis4 2 2 2 2 2 3 11" xfId="5178" xr:uid="{FD473C33-BE5C-49E9-86F8-38B26D95FCFC}"/>
    <cellStyle name="20% - Énfasis4 2 2 2 2 2 3 2" xfId="5179" xr:uid="{DEC86423-070C-4957-AFD4-5F5CFD24EFE5}"/>
    <cellStyle name="20% - Énfasis4 2 2 2 2 2 3 2 10" xfId="5180" xr:uid="{291839A4-4D2D-4438-ADC0-5F7000D113AD}"/>
    <cellStyle name="20% - Énfasis4 2 2 2 2 2 3 2 11" xfId="5181" xr:uid="{84BEF429-AB3F-470A-B4BD-117C45584F46}"/>
    <cellStyle name="20% - Énfasis4 2 2 2 2 2 3 2 2" xfId="5182" xr:uid="{4E3A1264-977E-4A20-946B-050F0BBE3831}"/>
    <cellStyle name="20% - Énfasis4 2 2 2 2 2 3 2 2 2" xfId="5183" xr:uid="{CB339842-3CE1-4095-8F9F-F29926C78E0A}"/>
    <cellStyle name="20% - Énfasis4 2 2 2 2 2 3 2 2 2 2" xfId="5184" xr:uid="{6005C873-F5F6-4221-9736-42B7E1126A7E}"/>
    <cellStyle name="20% - Énfasis4 2 2 2 2 2 3 2 2 2 3" xfId="5185" xr:uid="{B95D0C99-1092-434A-AFAB-6A4C8B45104E}"/>
    <cellStyle name="20% - Énfasis4 2 2 2 2 2 3 2 2 2 4" xfId="5186" xr:uid="{46F1C351-22FD-4D7C-8DE1-9354E0ABD498}"/>
    <cellStyle name="20% - Énfasis4 2 2 2 2 2 3 2 2 2 5" xfId="5187" xr:uid="{C7CAA35B-36A1-402F-95E7-92E1178E9D4B}"/>
    <cellStyle name="20% - Énfasis4 2 2 2 2 2 3 2 2 3" xfId="5188" xr:uid="{2E758DE5-2E2D-4B9C-B8B7-352FED42C587}"/>
    <cellStyle name="20% - Énfasis4 2 2 2 2 2 3 2 2 4" xfId="5189" xr:uid="{BFB4F673-6E96-4C23-B580-E78F271717EA}"/>
    <cellStyle name="20% - Énfasis4 2 2 2 2 2 3 2 2 5" xfId="5190" xr:uid="{A8E4F2E6-1515-41F8-8989-062AB95C5C72}"/>
    <cellStyle name="20% - Énfasis4 2 2 2 2 2 3 2 3" xfId="5191" xr:uid="{2515E47C-A54B-47E4-BF34-EEC5173C7AFC}"/>
    <cellStyle name="20% - Énfasis4 2 2 2 2 2 3 2 4" xfId="5192" xr:uid="{AD0DB871-292A-47E0-950D-17944064D4F3}"/>
    <cellStyle name="20% - Énfasis4 2 2 2 2 2 3 2 5" xfId="5193" xr:uid="{8D7040A3-6EB3-4FFE-9379-A8A05AB8A89F}"/>
    <cellStyle name="20% - Énfasis4 2 2 2 2 2 3 2 6" xfId="5194" xr:uid="{7069744C-59F8-4A34-8559-B26DF33D3885}"/>
    <cellStyle name="20% - Énfasis4 2 2 2 2 2 3 2 7" xfId="5195" xr:uid="{6921F133-8CCF-47EE-99A8-3B5BBFAF0A96}"/>
    <cellStyle name="20% - Énfasis4 2 2 2 2 2 3 2 8" xfId="5196" xr:uid="{9659B890-B856-4B9A-99BA-4288A91B0A8D}"/>
    <cellStyle name="20% - Énfasis4 2 2 2 2 2 3 2 9" xfId="5197" xr:uid="{CABB3029-4C6D-42B0-8131-C5FDE243E247}"/>
    <cellStyle name="20% - Énfasis4 2 2 2 2 2 3 3" xfId="5198" xr:uid="{49702627-B5E1-4985-B661-9B05CDC9999A}"/>
    <cellStyle name="20% - Énfasis4 2 2 2 2 2 3 3 2" xfId="5199" xr:uid="{BB722293-6C6E-455D-98FF-76F35F8AFA2D}"/>
    <cellStyle name="20% - Énfasis4 2 2 2 2 2 3 3 2 2" xfId="5200" xr:uid="{64DC2E96-D970-45EB-AC5B-AD80B0A19550}"/>
    <cellStyle name="20% - Énfasis4 2 2 2 2 2 3 3 2 3" xfId="5201" xr:uid="{03ED3CAB-84D0-4BA6-A104-F39A54262D95}"/>
    <cellStyle name="20% - Énfasis4 2 2 2 2 2 3 3 2 4" xfId="5202" xr:uid="{FC88856F-0AFA-4770-8C7E-DFBA7E0F52ED}"/>
    <cellStyle name="20% - Énfasis4 2 2 2 2 2 3 3 2 5" xfId="5203" xr:uid="{FADFD106-FCE7-4C07-9547-ED639E5A02AC}"/>
    <cellStyle name="20% - Énfasis4 2 2 2 2 2 3 3 3" xfId="5204" xr:uid="{2708A9A1-0CA0-4B62-A06E-1B1CEC12ABB2}"/>
    <cellStyle name="20% - Énfasis4 2 2 2 2 2 3 3 4" xfId="5205" xr:uid="{0F36B30C-BAF6-42B7-A68D-64FA7897F94D}"/>
    <cellStyle name="20% - Énfasis4 2 2 2 2 2 3 3 5" xfId="5206" xr:uid="{2E96910C-77B1-45A9-91CF-51478CD946AA}"/>
    <cellStyle name="20% - Énfasis4 2 2 2 2 2 3 4" xfId="5207" xr:uid="{5F7BE1D9-5EE2-4B5B-A1E7-FE5688F15BB8}"/>
    <cellStyle name="20% - Énfasis4 2 2 2 2 2 3 5" xfId="5208" xr:uid="{FD9C7759-85DD-41DE-8EEA-29860A8AD9B9}"/>
    <cellStyle name="20% - Énfasis4 2 2 2 2 2 3 6" xfId="5209" xr:uid="{2ED92236-2C55-4F8B-B742-057E9D232AA2}"/>
    <cellStyle name="20% - Énfasis4 2 2 2 2 2 3 7" xfId="5210" xr:uid="{27DE4D8C-44F5-4AFC-BA55-FA8FF2E46734}"/>
    <cellStyle name="20% - Énfasis4 2 2 2 2 2 3 8" xfId="5211" xr:uid="{DE3BB199-EB61-4EF1-8CDC-6843899B22A7}"/>
    <cellStyle name="20% - Énfasis4 2 2 2 2 2 3 9" xfId="5212" xr:uid="{68712119-BFBD-4DC0-9E0C-F9FC55AC3D07}"/>
    <cellStyle name="20% - Énfasis4 2 2 2 2 2 4" xfId="5213" xr:uid="{E9247B58-D048-4A7B-8B8C-7A739970B0AF}"/>
    <cellStyle name="20% - Énfasis4 2 2 2 2 2 5" xfId="5214" xr:uid="{CED30E08-0A8F-4788-8E29-F5A8620AB820}"/>
    <cellStyle name="20% - Énfasis4 2 2 2 2 2 6" xfId="5215" xr:uid="{20B74C58-AAA6-4E47-8F55-B5D1A1C9D7F6}"/>
    <cellStyle name="20% - Énfasis4 2 2 2 2 2 7" xfId="43787" xr:uid="{B34DDD84-F325-4892-BC5A-68A468C82D76}"/>
    <cellStyle name="20% - Énfasis4 2 2 2 2 3" xfId="5216" xr:uid="{E34626E7-993C-4ADB-AB2D-D1B18E9F8830}"/>
    <cellStyle name="20% - Énfasis4 2 2 2 2 3 2" xfId="5217" xr:uid="{A0408E5D-1A50-4A6F-AEFB-FDCB8992A4A9}"/>
    <cellStyle name="20% - Énfasis4 2 2 2 2 3 3" xfId="43789" xr:uid="{9C35A015-E317-4719-B44F-E2F8F879BE19}"/>
    <cellStyle name="20% - Énfasis4 2 2 2 2 4" xfId="5218" xr:uid="{874D913E-BC42-4953-AF97-7713203E1733}"/>
    <cellStyle name="20% - Énfasis4 2 2 2 2 4 10" xfId="5219" xr:uid="{C14818D0-6F57-4983-8CBE-2BED9FE26AB6}"/>
    <cellStyle name="20% - Énfasis4 2 2 2 2 4 11" xfId="5220" xr:uid="{64890700-7272-4B06-BA66-3B728D25AF7F}"/>
    <cellStyle name="20% - Énfasis4 2 2 2 2 4 2" xfId="5221" xr:uid="{0512702B-F61C-469A-8074-8D866519CE1E}"/>
    <cellStyle name="20% - Énfasis4 2 2 2 2 4 2 10" xfId="5222" xr:uid="{A6478079-BB17-4237-BB7E-94E08FBD36D5}"/>
    <cellStyle name="20% - Énfasis4 2 2 2 2 4 2 11" xfId="5223" xr:uid="{8C7B448E-72DC-4085-B586-E4F34373B28C}"/>
    <cellStyle name="20% - Énfasis4 2 2 2 2 4 2 2" xfId="5224" xr:uid="{CBF54D23-BE69-47A8-8681-383E4CCE5AE2}"/>
    <cellStyle name="20% - Énfasis4 2 2 2 2 4 2 2 2" xfId="5225" xr:uid="{5D55A951-92C5-4664-B30D-743168B3A7F5}"/>
    <cellStyle name="20% - Énfasis4 2 2 2 2 4 2 2 2 2" xfId="5226" xr:uid="{5C9209AB-536C-4E83-B16C-12F4D4D2E276}"/>
    <cellStyle name="20% - Énfasis4 2 2 2 2 4 2 2 2 3" xfId="5227" xr:uid="{15A7B5C1-E877-4C83-8907-2E455B1F7F33}"/>
    <cellStyle name="20% - Énfasis4 2 2 2 2 4 2 2 2 4" xfId="5228" xr:uid="{352D47B2-C2D7-4C6A-9178-D2FED93CEA47}"/>
    <cellStyle name="20% - Énfasis4 2 2 2 2 4 2 2 2 5" xfId="5229" xr:uid="{5D499048-4B2C-4FDC-965C-11250FFE9FE4}"/>
    <cellStyle name="20% - Énfasis4 2 2 2 2 4 2 2 3" xfId="5230" xr:uid="{36E8C050-673A-40EC-9E49-BAE6A149F4D8}"/>
    <cellStyle name="20% - Énfasis4 2 2 2 2 4 2 2 4" xfId="5231" xr:uid="{67AB7A86-B7A8-43FD-A802-8C295A54AD20}"/>
    <cellStyle name="20% - Énfasis4 2 2 2 2 4 2 2 5" xfId="5232" xr:uid="{149F2A32-4260-4B1B-A885-A0850FC063AC}"/>
    <cellStyle name="20% - Énfasis4 2 2 2 2 4 2 3" xfId="5233" xr:uid="{1B19CDDC-0A13-4C4F-B4CA-2E634475A1F8}"/>
    <cellStyle name="20% - Énfasis4 2 2 2 2 4 2 4" xfId="5234" xr:uid="{B6F0438F-3322-498E-BBC7-696D57BC83A3}"/>
    <cellStyle name="20% - Énfasis4 2 2 2 2 4 2 5" xfId="5235" xr:uid="{72FCE6F6-97A2-4966-802F-FD23710EDE97}"/>
    <cellStyle name="20% - Énfasis4 2 2 2 2 4 2 6" xfId="5236" xr:uid="{1A477361-408D-4E87-BAED-625419A29D28}"/>
    <cellStyle name="20% - Énfasis4 2 2 2 2 4 2 7" xfId="5237" xr:uid="{B2C60482-F038-4EC9-8C05-CB0C525D5D8D}"/>
    <cellStyle name="20% - Énfasis4 2 2 2 2 4 2 8" xfId="5238" xr:uid="{51601CFC-7234-4B96-8739-961DB57F3496}"/>
    <cellStyle name="20% - Énfasis4 2 2 2 2 4 2 9" xfId="5239" xr:uid="{E857C533-3396-4592-97BC-E5FFB065BDD3}"/>
    <cellStyle name="20% - Énfasis4 2 2 2 2 4 3" xfId="5240" xr:uid="{30DA81A5-9054-4522-8F1E-03014A143494}"/>
    <cellStyle name="20% - Énfasis4 2 2 2 2 4 3 2" xfId="5241" xr:uid="{307EC3EA-4551-4971-9F09-A8FD345333DC}"/>
    <cellStyle name="20% - Énfasis4 2 2 2 2 4 3 2 2" xfId="5242" xr:uid="{0CABA584-1F5E-4145-97DE-6121385E1868}"/>
    <cellStyle name="20% - Énfasis4 2 2 2 2 4 3 2 3" xfId="5243" xr:uid="{75B63EB9-6A99-478C-B2BB-A8B1C6941569}"/>
    <cellStyle name="20% - Énfasis4 2 2 2 2 4 3 2 4" xfId="5244" xr:uid="{C7B26252-16D5-48AD-A611-5094D8E930C1}"/>
    <cellStyle name="20% - Énfasis4 2 2 2 2 4 3 2 5" xfId="5245" xr:uid="{1B741ECC-6DF5-4F52-8FA0-FC80F3ADBA20}"/>
    <cellStyle name="20% - Énfasis4 2 2 2 2 4 3 3" xfId="5246" xr:uid="{3B0FFD1A-ABB4-4E2E-81DD-84BF85BB2B5C}"/>
    <cellStyle name="20% - Énfasis4 2 2 2 2 4 3 4" xfId="5247" xr:uid="{3A63DAC5-020B-46B1-A1D7-FF15512250AC}"/>
    <cellStyle name="20% - Énfasis4 2 2 2 2 4 3 5" xfId="5248" xr:uid="{99095B92-433C-4146-BC8C-F8A425FB52A0}"/>
    <cellStyle name="20% - Énfasis4 2 2 2 2 4 4" xfId="5249" xr:uid="{D1468D21-6E92-476D-BB02-BE6CEB48F853}"/>
    <cellStyle name="20% - Énfasis4 2 2 2 2 4 5" xfId="5250" xr:uid="{508A76D3-81A3-42AF-B7E2-4D001072445D}"/>
    <cellStyle name="20% - Énfasis4 2 2 2 2 4 6" xfId="5251" xr:uid="{E4273AFB-5CA8-433F-B2FF-C06834B255AC}"/>
    <cellStyle name="20% - Énfasis4 2 2 2 2 4 7" xfId="5252" xr:uid="{A57AE292-5779-4D97-8CB7-C333ADB4A7A0}"/>
    <cellStyle name="20% - Énfasis4 2 2 2 2 4 8" xfId="5253" xr:uid="{F8DBC46E-35DF-487A-92F4-FEE1AAD403EB}"/>
    <cellStyle name="20% - Énfasis4 2 2 2 2 4 9" xfId="5254" xr:uid="{70357ABC-5235-41A3-A471-8854BB9A4E4A}"/>
    <cellStyle name="20% - Énfasis4 2 2 2 2 5" xfId="5255" xr:uid="{650710C3-0878-4654-BF61-28F8BD2EEFD4}"/>
    <cellStyle name="20% - Énfasis4 2 2 2 2 6" xfId="5256" xr:uid="{23826268-59A1-42F7-AE6B-522AFACF3F8F}"/>
    <cellStyle name="20% - Énfasis4 2 2 2 2 7" xfId="5257" xr:uid="{C230F0C1-14C3-4AC5-A02A-7A08719220BA}"/>
    <cellStyle name="20% - Énfasis4 2 2 2 2 8" xfId="43786" xr:uid="{C855DD42-401E-46C7-BD3B-B6C4174D373A}"/>
    <cellStyle name="20% - Énfasis4 2 2 2 3" xfId="5258" xr:uid="{A78FADBA-8593-4360-A10D-1BE2A3C65AEC}"/>
    <cellStyle name="20% - Énfasis4 2 2 2 3 2" xfId="5259" xr:uid="{08C3D121-757C-4894-A411-40438E356904}"/>
    <cellStyle name="20% - Énfasis4 2 2 2 3 2 2" xfId="43791" xr:uid="{670107D2-798C-4EDB-BF64-9D74AD1E5AEF}"/>
    <cellStyle name="20% - Énfasis4 2 2 2 3 3" xfId="43790" xr:uid="{B3A162C4-51EC-4875-943A-8A7396C0661D}"/>
    <cellStyle name="20% - Énfasis4 2 2 2 4" xfId="5260" xr:uid="{A3A96F1F-791F-4AEA-8F89-E89F3D953933}"/>
    <cellStyle name="20% - Énfasis4 2 2 2 4 2" xfId="5261" xr:uid="{55713C71-B236-4465-8FD5-5105576C1ED8}"/>
    <cellStyle name="20% - Énfasis4 2 2 2 4 3" xfId="43792" xr:uid="{AB36370C-B5E8-46DC-BDF8-473E1EBA07AA}"/>
    <cellStyle name="20% - Énfasis4 2 2 2 5" xfId="5262" xr:uid="{27B93E00-B983-4286-9DC4-70C345062906}"/>
    <cellStyle name="20% - Énfasis4 2 2 2 5 10" xfId="5263" xr:uid="{B951CD82-5778-4222-A6B0-B0794F16F129}"/>
    <cellStyle name="20% - Énfasis4 2 2 2 5 11" xfId="5264" xr:uid="{409D4498-EEEC-4CC2-A9F1-1B78E0DB1D1E}"/>
    <cellStyle name="20% - Énfasis4 2 2 2 5 2" xfId="5265" xr:uid="{11441EF0-6682-4449-8257-C37D6267FFE4}"/>
    <cellStyle name="20% - Énfasis4 2 2 2 5 2 10" xfId="5266" xr:uid="{5FEDD7F0-BD9C-46A0-A6EE-84B200A8E249}"/>
    <cellStyle name="20% - Énfasis4 2 2 2 5 2 11" xfId="5267" xr:uid="{E1CA2973-A233-419B-8C7A-2463878D44E8}"/>
    <cellStyle name="20% - Énfasis4 2 2 2 5 2 2" xfId="5268" xr:uid="{9A47269F-F4B0-4F23-A119-6DE2B2D468D3}"/>
    <cellStyle name="20% - Énfasis4 2 2 2 5 2 2 2" xfId="5269" xr:uid="{794BC551-C995-4B7A-8719-055052E78643}"/>
    <cellStyle name="20% - Énfasis4 2 2 2 5 2 2 2 2" xfId="5270" xr:uid="{7C2122F9-AEB9-4036-A6E9-4A99F0815037}"/>
    <cellStyle name="20% - Énfasis4 2 2 2 5 2 2 2 3" xfId="5271" xr:uid="{FAEA28DA-D671-4FC6-8A71-98805A5C9CCF}"/>
    <cellStyle name="20% - Énfasis4 2 2 2 5 2 2 2 4" xfId="5272" xr:uid="{D11EBFCC-4E44-4E73-8E15-EF184CE46EA0}"/>
    <cellStyle name="20% - Énfasis4 2 2 2 5 2 2 2 5" xfId="5273" xr:uid="{86A83719-5763-4ED9-B625-7A026A2F829B}"/>
    <cellStyle name="20% - Énfasis4 2 2 2 5 2 2 3" xfId="5274" xr:uid="{2AE0231C-8378-4004-8A54-10127CE5FE13}"/>
    <cellStyle name="20% - Énfasis4 2 2 2 5 2 2 4" xfId="5275" xr:uid="{42C7E074-557D-4862-ABF6-747C7CC714D8}"/>
    <cellStyle name="20% - Énfasis4 2 2 2 5 2 2 5" xfId="5276" xr:uid="{7646B6B6-8570-4F65-87F7-D0F41BC907C4}"/>
    <cellStyle name="20% - Énfasis4 2 2 2 5 2 3" xfId="5277" xr:uid="{2B6493CD-8D91-467B-8D51-72F3581F5667}"/>
    <cellStyle name="20% - Énfasis4 2 2 2 5 2 4" xfId="5278" xr:uid="{EE721671-9286-442E-A82E-8E86589E55D9}"/>
    <cellStyle name="20% - Énfasis4 2 2 2 5 2 5" xfId="5279" xr:uid="{2C59EF20-C0FA-4DCC-A222-94EC885FF730}"/>
    <cellStyle name="20% - Énfasis4 2 2 2 5 2 6" xfId="5280" xr:uid="{4060BCBC-3EC7-4DFD-9AA3-2B355AB1AF9B}"/>
    <cellStyle name="20% - Énfasis4 2 2 2 5 2 7" xfId="5281" xr:uid="{2DDB39B2-F418-4A20-89E6-890C9B3CC8F9}"/>
    <cellStyle name="20% - Énfasis4 2 2 2 5 2 8" xfId="5282" xr:uid="{39132A2E-E130-4A74-A31C-54492F97867C}"/>
    <cellStyle name="20% - Énfasis4 2 2 2 5 2 9" xfId="5283" xr:uid="{0615DCE7-7B09-4774-9704-BC79A8EDFADE}"/>
    <cellStyle name="20% - Énfasis4 2 2 2 5 3" xfId="5284" xr:uid="{4A4E43ED-60AC-459D-BF44-FFA84D6CA171}"/>
    <cellStyle name="20% - Énfasis4 2 2 2 5 3 2" xfId="5285" xr:uid="{0188B052-CB0B-4EDE-A5BC-879C8ECEC4E6}"/>
    <cellStyle name="20% - Énfasis4 2 2 2 5 3 2 2" xfId="5286" xr:uid="{6A9DB920-5AD6-4749-B472-6DC49D28D60F}"/>
    <cellStyle name="20% - Énfasis4 2 2 2 5 3 2 3" xfId="5287" xr:uid="{0AE28710-5FF3-46AC-9B63-723EBC2499CA}"/>
    <cellStyle name="20% - Énfasis4 2 2 2 5 3 2 4" xfId="5288" xr:uid="{BE92E1A3-0E8D-44F6-A1CE-626DE4B17996}"/>
    <cellStyle name="20% - Énfasis4 2 2 2 5 3 2 5" xfId="5289" xr:uid="{94276D4A-6F1B-49EC-A874-0E7880BB581B}"/>
    <cellStyle name="20% - Énfasis4 2 2 2 5 3 3" xfId="5290" xr:uid="{539AD3E5-84CE-4979-B462-B93722C2D5A2}"/>
    <cellStyle name="20% - Énfasis4 2 2 2 5 3 4" xfId="5291" xr:uid="{3A633E66-1ACB-4C16-B240-C4B8C1BAA048}"/>
    <cellStyle name="20% - Énfasis4 2 2 2 5 3 5" xfId="5292" xr:uid="{6DA2FE4B-E85F-4234-9939-EFD8C29E6F74}"/>
    <cellStyle name="20% - Énfasis4 2 2 2 5 4" xfId="5293" xr:uid="{ED1DBB32-C28F-4E32-8918-6020691C7EC6}"/>
    <cellStyle name="20% - Énfasis4 2 2 2 5 5" xfId="5294" xr:uid="{3786EBCE-85F0-4B1F-85F2-1D02545E5FA6}"/>
    <cellStyle name="20% - Énfasis4 2 2 2 5 6" xfId="5295" xr:uid="{9D39F9AB-5CAD-42CA-B2A8-A6C0FD9EA8D9}"/>
    <cellStyle name="20% - Énfasis4 2 2 2 5 7" xfId="5296" xr:uid="{068A7D39-ADBE-4A00-A227-80A3DF4AAAF7}"/>
    <cellStyle name="20% - Énfasis4 2 2 2 5 8" xfId="5297" xr:uid="{12BB488A-EE1F-424C-A9B4-51CC5DAF6F9A}"/>
    <cellStyle name="20% - Énfasis4 2 2 2 5 9" xfId="5298" xr:uid="{EAB738B7-6820-45BD-92F8-FE748AD98FFB}"/>
    <cellStyle name="20% - Énfasis4 2 2 2 6" xfId="5299" xr:uid="{DF13EB09-4E8C-47FE-852D-948C4DD03E18}"/>
    <cellStyle name="20% - Énfasis4 2 2 2 7" xfId="5300" xr:uid="{9FB6656E-6B57-4B4E-9883-BD96F864C575}"/>
    <cellStyle name="20% - Énfasis4 2 2 2 8" xfId="5301" xr:uid="{16422429-66D9-429C-81E0-F28FF749ABF6}"/>
    <cellStyle name="20% - Énfasis4 2 2 2 9" xfId="43785" xr:uid="{F8AD26E4-334B-461C-8820-B559D24C3153}"/>
    <cellStyle name="20% - Énfasis4 2 2 3" xfId="5302" xr:uid="{C68359F8-724A-47CB-A008-C20293E0C381}"/>
    <cellStyle name="20% - Énfasis4 2 2 3 2" xfId="5303" xr:uid="{E26452D4-9F20-4851-A3BD-7E97B82C52F9}"/>
    <cellStyle name="20% - Énfasis4 2 2 3 2 2" xfId="43795" xr:uid="{A4D98685-2F0E-4403-A073-4230DF37EA35}"/>
    <cellStyle name="20% - Énfasis4 2 2 3 2 3" xfId="43794" xr:uid="{E0F6159F-8AF6-4BED-B9D6-6AC701F1AA40}"/>
    <cellStyle name="20% - Énfasis4 2 2 3 3" xfId="43796" xr:uid="{690EA849-7547-4FA4-A93B-7A09FFD8309E}"/>
    <cellStyle name="20% - Énfasis4 2 2 3 4" xfId="43793" xr:uid="{A649E840-2197-4029-878B-F1105EBD7859}"/>
    <cellStyle name="20% - Énfasis4 2 2 4" xfId="5304" xr:uid="{6E294711-2B7D-49E2-85EF-020B7FB83E58}"/>
    <cellStyle name="20% - Énfasis4 2 2 4 2" xfId="5305" xr:uid="{FEF191E2-DEB2-4B3D-8355-A33AA7E85A8E}"/>
    <cellStyle name="20% - Énfasis4 2 2 4 2 2" xfId="43798" xr:uid="{2892705D-F37A-48FA-BA11-D8072EB9D39E}"/>
    <cellStyle name="20% - Énfasis4 2 2 4 3" xfId="43797" xr:uid="{FF5992A4-3203-4E34-A535-5CC194EDA503}"/>
    <cellStyle name="20% - Énfasis4 2 2 5" xfId="5306" xr:uid="{B4989008-364C-47ED-AAAC-B67991965160}"/>
    <cellStyle name="20% - Énfasis4 2 2 5 2" xfId="5307" xr:uid="{5720DA2D-ED99-42ED-BBF2-AED2DB235F94}"/>
    <cellStyle name="20% - Énfasis4 2 2 5 3" xfId="43799" xr:uid="{32DE5DDA-9914-484E-A9F2-250D8A4C1481}"/>
    <cellStyle name="20% - Énfasis4 2 2 6" xfId="5308" xr:uid="{C262F782-AEB1-4F3A-8AB3-00CC4333E3D6}"/>
    <cellStyle name="20% - Énfasis4 2 2 6 2" xfId="5309" xr:uid="{DF958572-AE88-4755-AA89-A33412C87C5D}"/>
    <cellStyle name="20% - Énfasis4 2 2 7" xfId="5310" xr:uid="{B8D86BA5-B196-4B7F-8E8F-43786F3F8BAE}"/>
    <cellStyle name="20% - Énfasis4 2 2 7 2" xfId="5311" xr:uid="{92872EA2-0BD9-42DA-891D-1DE82F09555D}"/>
    <cellStyle name="20% - Énfasis4 2 2 8" xfId="5312" xr:uid="{774180B4-1018-4D59-BE23-64D77B47CF09}"/>
    <cellStyle name="20% - Énfasis4 2 2 8 2" xfId="5313" xr:uid="{6FCD9BB1-03E5-4B65-9393-259B7F58EC83}"/>
    <cellStyle name="20% - Énfasis4 2 2 8 2 2" xfId="5314" xr:uid="{A1B461AD-1C3C-46D2-86A3-DF1F4C83C770}"/>
    <cellStyle name="20% - Énfasis4 2 2 8 3" xfId="5315" xr:uid="{FFAF81CA-4667-4692-87C2-7243B6096ABC}"/>
    <cellStyle name="20% - Énfasis4 2 2 9" xfId="5316" xr:uid="{3E350053-F193-40FF-943E-3A1CA497D0A6}"/>
    <cellStyle name="20% - Énfasis4 2 2 9 2" xfId="5317" xr:uid="{24F1E413-16CD-431C-BEEC-CF357DF3266A}"/>
    <cellStyle name="20% - Énfasis4 2 3" xfId="5318" xr:uid="{1A15A916-28AB-43BD-BF13-5CFF32B0371F}"/>
    <cellStyle name="20% - Énfasis4 2 3 2" xfId="5319" xr:uid="{A46FF5D6-3E9F-4CEB-893D-48808778BB52}"/>
    <cellStyle name="20% - Énfasis4 2 3 2 2" xfId="43802" xr:uid="{81210324-C532-4F98-9DEA-0B2328A35A68}"/>
    <cellStyle name="20% - Énfasis4 2 3 2 2 2" xfId="43803" xr:uid="{BE85BC94-5CF8-4F22-B9BA-AFFCE1CAD8B3}"/>
    <cellStyle name="20% - Énfasis4 2 3 2 3" xfId="43804" xr:uid="{97F8F882-6A19-4988-9939-8C32D710A06F}"/>
    <cellStyle name="20% - Énfasis4 2 3 2 4" xfId="43801" xr:uid="{4AC09090-5F4F-41AB-8908-FF841937F067}"/>
    <cellStyle name="20% - Énfasis4 2 3 3" xfId="43805" xr:uid="{735EA175-933E-4B39-A6BA-44EAB3165751}"/>
    <cellStyle name="20% - Énfasis4 2 3 3 2" xfId="43806" xr:uid="{B867F0CE-C4A4-47A6-9D97-2E97B35A43BB}"/>
    <cellStyle name="20% - Énfasis4 2 3 4" xfId="43807" xr:uid="{EBD2A28D-8B0E-467C-B658-9402A5576BDC}"/>
    <cellStyle name="20% - Énfasis4 2 3 5" xfId="43800" xr:uid="{94154CBD-1E31-4EEF-9F17-ABD2FE6EA207}"/>
    <cellStyle name="20% - Énfasis4 2 4" xfId="5320" xr:uid="{D3CFC192-1190-49B5-BDE0-C9D171A8C170}"/>
    <cellStyle name="20% - Énfasis4 2 4 10" xfId="5321" xr:uid="{F991E8D5-A2B0-4F63-B165-49C071353752}"/>
    <cellStyle name="20% - Énfasis4 2 4 11" xfId="5322" xr:uid="{17E11197-4C49-4299-8C84-7C21E21DF417}"/>
    <cellStyle name="20% - Énfasis4 2 4 12" xfId="5323" xr:uid="{E5C05535-06DB-456F-A8DE-87F109077302}"/>
    <cellStyle name="20% - Énfasis4 2 4 13" xfId="43808" xr:uid="{2A3D6C71-7190-4CEA-ACC7-A0F42FE3C26B}"/>
    <cellStyle name="20% - Énfasis4 2 4 2" xfId="5324" xr:uid="{EE55B436-06DB-4250-8384-6F403D8755DC}"/>
    <cellStyle name="20% - Énfasis4 2 4 2 10" xfId="5325" xr:uid="{43859C49-D39C-4EA2-BF15-CD4CC4ADD8CD}"/>
    <cellStyle name="20% - Énfasis4 2 4 2 11" xfId="5326" xr:uid="{8454309D-415C-4899-926B-046596C6971A}"/>
    <cellStyle name="20% - Énfasis4 2 4 2 12" xfId="5327" xr:uid="{20CB6686-8BAD-4673-91D3-DBD87C71A642}"/>
    <cellStyle name="20% - Énfasis4 2 4 2 13" xfId="43809" xr:uid="{4F253EC7-1C33-4F13-AE94-CD5A0AB5555B}"/>
    <cellStyle name="20% - Énfasis4 2 4 2 2" xfId="5328" xr:uid="{8E2D4BEB-C836-46B3-9D8B-F872AA8D6A36}"/>
    <cellStyle name="20% - Énfasis4 2 4 2 2 10" xfId="5329" xr:uid="{234BF2D1-B361-446D-8468-4960A8106293}"/>
    <cellStyle name="20% - Énfasis4 2 4 2 2 11" xfId="5330" xr:uid="{0D1C3B48-8367-41F5-8710-C722379827DF}"/>
    <cellStyle name="20% - Énfasis4 2 4 2 2 12" xfId="43810" xr:uid="{B6F32A92-822C-4FBA-955A-7072CFE43E5B}"/>
    <cellStyle name="20% - Énfasis4 2 4 2 2 2" xfId="5331" xr:uid="{6F65F603-388C-4200-AA85-2BB50ECB2F7D}"/>
    <cellStyle name="20% - Énfasis4 2 4 2 2 2 10" xfId="5332" xr:uid="{B0B95FE5-9498-4998-B848-A8DB07C6BEE4}"/>
    <cellStyle name="20% - Énfasis4 2 4 2 2 2 11" xfId="5333" xr:uid="{BF374BF7-C2B4-4710-A49D-23017B889F4F}"/>
    <cellStyle name="20% - Énfasis4 2 4 2 2 2 2" xfId="5334" xr:uid="{D729A28A-A5A9-45C1-B137-E3F9FB05F838}"/>
    <cellStyle name="20% - Énfasis4 2 4 2 2 2 2 2" xfId="5335" xr:uid="{09FC95AF-6D76-44DD-A2C0-FDF7AA05DDC8}"/>
    <cellStyle name="20% - Énfasis4 2 4 2 2 2 2 2 2" xfId="5336" xr:uid="{FBAEF949-6E97-4B11-A4D2-811346CAF5E9}"/>
    <cellStyle name="20% - Énfasis4 2 4 2 2 2 2 2 3" xfId="5337" xr:uid="{E98F8618-8E8A-475A-9BF8-BFC5F61E4774}"/>
    <cellStyle name="20% - Énfasis4 2 4 2 2 2 2 2 4" xfId="5338" xr:uid="{21D9FCD6-E2BD-4B51-9BB3-694E624EB8B2}"/>
    <cellStyle name="20% - Énfasis4 2 4 2 2 2 2 2 5" xfId="5339" xr:uid="{0FBC42BC-C879-4583-9FAD-B3A0EB955558}"/>
    <cellStyle name="20% - Énfasis4 2 4 2 2 2 2 3" xfId="5340" xr:uid="{D0BAFB65-3486-450D-AC28-F62E816A68E8}"/>
    <cellStyle name="20% - Énfasis4 2 4 2 2 2 2 4" xfId="5341" xr:uid="{080C7CBF-0F5A-4F22-97AC-E8DFFB6B894F}"/>
    <cellStyle name="20% - Énfasis4 2 4 2 2 2 2 5" xfId="5342" xr:uid="{29759CF1-F12E-431E-B4EE-370F3622660D}"/>
    <cellStyle name="20% - Énfasis4 2 4 2 2 2 3" xfId="5343" xr:uid="{312B57C5-71D4-461E-930D-A9770A0FFF8D}"/>
    <cellStyle name="20% - Énfasis4 2 4 2 2 2 4" xfId="5344" xr:uid="{EE30030D-3A9F-4D82-9EAA-10B6085F99DA}"/>
    <cellStyle name="20% - Énfasis4 2 4 2 2 2 5" xfId="5345" xr:uid="{E47803E8-5470-4904-91FD-7C31FE91D4C2}"/>
    <cellStyle name="20% - Énfasis4 2 4 2 2 2 6" xfId="5346" xr:uid="{EAA3A663-5C5D-4D60-A637-1618E6DD8B60}"/>
    <cellStyle name="20% - Énfasis4 2 4 2 2 2 7" xfId="5347" xr:uid="{F0801FFE-42F2-47EB-9E69-A78403F661C6}"/>
    <cellStyle name="20% - Énfasis4 2 4 2 2 2 8" xfId="5348" xr:uid="{CED9C5B5-4DDF-4D9D-9693-793D0947564C}"/>
    <cellStyle name="20% - Énfasis4 2 4 2 2 2 9" xfId="5349" xr:uid="{E6EAD2EC-A812-428E-A66B-154641541105}"/>
    <cellStyle name="20% - Énfasis4 2 4 2 2 3" xfId="5350" xr:uid="{F16AFE99-3188-45A0-9ED0-59617A6E4F93}"/>
    <cellStyle name="20% - Énfasis4 2 4 2 2 3 2" xfId="5351" xr:uid="{245172A2-9F0F-47E9-8B50-6FE6B90FABD0}"/>
    <cellStyle name="20% - Énfasis4 2 4 2 2 3 2 2" xfId="5352" xr:uid="{9FA2BAC0-314E-4570-8517-9E469A77FF08}"/>
    <cellStyle name="20% - Énfasis4 2 4 2 2 3 2 3" xfId="5353" xr:uid="{ED858BC8-1D63-49A1-9407-7082B72F2F8A}"/>
    <cellStyle name="20% - Énfasis4 2 4 2 2 3 2 4" xfId="5354" xr:uid="{4A6F3FBD-94B5-40F3-A394-784BEEF4F5B5}"/>
    <cellStyle name="20% - Énfasis4 2 4 2 2 3 2 5" xfId="5355" xr:uid="{538A9264-B3B0-4197-A304-8CFB497E6B73}"/>
    <cellStyle name="20% - Énfasis4 2 4 2 2 3 3" xfId="5356" xr:uid="{C12E3E26-D1C8-4FA9-8C31-C4DC4426F938}"/>
    <cellStyle name="20% - Énfasis4 2 4 2 2 3 4" xfId="5357" xr:uid="{00E053C1-C5C8-4A4C-BBC5-4BF632872062}"/>
    <cellStyle name="20% - Énfasis4 2 4 2 2 3 5" xfId="5358" xr:uid="{60B18898-8BC5-46B2-80BA-B6EEF34C1EE6}"/>
    <cellStyle name="20% - Énfasis4 2 4 2 2 4" xfId="5359" xr:uid="{6E987990-6A74-4C31-B47C-181B3BECEB51}"/>
    <cellStyle name="20% - Énfasis4 2 4 2 2 5" xfId="5360" xr:uid="{591E4029-35C8-4FA9-893D-04C83F30AAFC}"/>
    <cellStyle name="20% - Énfasis4 2 4 2 2 6" xfId="5361" xr:uid="{7ADACB93-57E8-4587-BC7E-8ECFC46EAC5D}"/>
    <cellStyle name="20% - Énfasis4 2 4 2 2 7" xfId="5362" xr:uid="{54A609C1-F4CB-4AF9-A236-8C81A1DC69BB}"/>
    <cellStyle name="20% - Énfasis4 2 4 2 2 8" xfId="5363" xr:uid="{C10F5578-60B2-4FC3-82B6-AB3B6BAA30F0}"/>
    <cellStyle name="20% - Énfasis4 2 4 2 2 9" xfId="5364" xr:uid="{4E43722E-2894-42E7-B749-136BF7F797DE}"/>
    <cellStyle name="20% - Énfasis4 2 4 2 3" xfId="5365" xr:uid="{1B6017AA-BEF3-4E62-88A2-F90E5BC3F6A4}"/>
    <cellStyle name="20% - Énfasis4 2 4 2 3 2" xfId="5366" xr:uid="{F47986C5-319B-4B43-BCA3-1FC80543C98F}"/>
    <cellStyle name="20% - Énfasis4 2 4 2 3 2 2" xfId="5367" xr:uid="{85316040-E35F-415B-9F16-301979E3A57B}"/>
    <cellStyle name="20% - Énfasis4 2 4 2 3 2 3" xfId="5368" xr:uid="{B3FDC162-5E35-48D9-A57A-C418DF9EE504}"/>
    <cellStyle name="20% - Énfasis4 2 4 2 3 2 4" xfId="5369" xr:uid="{801AB77B-9EE7-43F0-944E-CEC06B246CA2}"/>
    <cellStyle name="20% - Énfasis4 2 4 2 3 2 5" xfId="5370" xr:uid="{755DEB96-5F06-4F0A-AA18-A2D01ACCEF50}"/>
    <cellStyle name="20% - Énfasis4 2 4 2 3 3" xfId="5371" xr:uid="{09BE7679-CC39-4408-9736-5BDA38DE9193}"/>
    <cellStyle name="20% - Énfasis4 2 4 2 3 4" xfId="5372" xr:uid="{4C4B8C2C-FEB7-4BAE-A834-731BAFD19258}"/>
    <cellStyle name="20% - Énfasis4 2 4 2 3 5" xfId="5373" xr:uid="{9C332F47-DD9C-45F2-8E46-86F492706E2C}"/>
    <cellStyle name="20% - Énfasis4 2 4 2 4" xfId="5374" xr:uid="{361BF275-EDB4-4F4C-A330-08446738DDB1}"/>
    <cellStyle name="20% - Énfasis4 2 4 2 5" xfId="5375" xr:uid="{774C2A51-C056-4DE0-AA79-526F70F1C205}"/>
    <cellStyle name="20% - Énfasis4 2 4 2 6" xfId="5376" xr:uid="{1EB473B8-E888-4337-A431-FE9E19F61C76}"/>
    <cellStyle name="20% - Énfasis4 2 4 2 7" xfId="5377" xr:uid="{C7DEA6E2-7E5D-4781-A583-45AB16D2E01F}"/>
    <cellStyle name="20% - Énfasis4 2 4 2 8" xfId="5378" xr:uid="{1B4B6F9B-DE48-4566-B7E7-F556978AAEB3}"/>
    <cellStyle name="20% - Énfasis4 2 4 2 9" xfId="5379" xr:uid="{19B9DAD7-BE85-49A6-9500-C1E95255309B}"/>
    <cellStyle name="20% - Énfasis4 2 4 3" xfId="5380" xr:uid="{F69E4D87-E45B-4C5D-AD29-208D7861309D}"/>
    <cellStyle name="20% - Énfasis4 2 4 3 10" xfId="5381" xr:uid="{48C5CA21-41D2-4E2A-A430-C709CCC09E95}"/>
    <cellStyle name="20% - Énfasis4 2 4 3 11" xfId="5382" xr:uid="{6D61A0B5-93B5-44B2-B447-E0AEDD141623}"/>
    <cellStyle name="20% - Énfasis4 2 4 3 12" xfId="43811" xr:uid="{5FC97167-5075-4EA2-B6D6-8281D0A1B3B3}"/>
    <cellStyle name="20% - Énfasis4 2 4 3 2" xfId="5383" xr:uid="{5E902250-EE68-45F9-92AB-89E1494A65C2}"/>
    <cellStyle name="20% - Énfasis4 2 4 3 2 2" xfId="5384" xr:uid="{5C13AD45-860C-44EB-8814-7AE2735ED8CC}"/>
    <cellStyle name="20% - Énfasis4 2 4 3 2 2 2" xfId="5385" xr:uid="{E81307AB-26A5-4FD4-9611-1512ADBB7368}"/>
    <cellStyle name="20% - Énfasis4 2 4 3 2 2 3" xfId="5386" xr:uid="{3965494B-E293-4221-8550-4BB72B0A55B1}"/>
    <cellStyle name="20% - Énfasis4 2 4 3 2 2 4" xfId="5387" xr:uid="{402D0018-118F-4FAE-BB09-14B80B191312}"/>
    <cellStyle name="20% - Énfasis4 2 4 3 2 2 5" xfId="5388" xr:uid="{AC8AF503-C815-40CF-81D4-9B490E91ACF3}"/>
    <cellStyle name="20% - Énfasis4 2 4 3 2 3" xfId="5389" xr:uid="{95B8E243-17E9-4A74-BDB0-287D0CC5D483}"/>
    <cellStyle name="20% - Énfasis4 2 4 3 2 4" xfId="5390" xr:uid="{8836DF1C-158E-4327-B357-706ABBD3CBED}"/>
    <cellStyle name="20% - Énfasis4 2 4 3 2 5" xfId="5391" xr:uid="{123B181D-5C8B-4875-BE1C-D98CE10FE900}"/>
    <cellStyle name="20% - Énfasis4 2 4 3 3" xfId="5392" xr:uid="{1F06A4BF-7517-4D2F-96D8-2441FE1E42CF}"/>
    <cellStyle name="20% - Énfasis4 2 4 3 4" xfId="5393" xr:uid="{30397259-A3DA-4AA0-B05A-5B9CFBF1ADC6}"/>
    <cellStyle name="20% - Énfasis4 2 4 3 5" xfId="5394" xr:uid="{84C38436-53EB-4E76-B2DF-E74B459A02A3}"/>
    <cellStyle name="20% - Énfasis4 2 4 3 6" xfId="5395" xr:uid="{50B10EEC-DD7B-46BE-9225-7746BC4C9528}"/>
    <cellStyle name="20% - Énfasis4 2 4 3 7" xfId="5396" xr:uid="{800F0BD3-17E6-4838-AF9D-FD3DF3645332}"/>
    <cellStyle name="20% - Énfasis4 2 4 3 8" xfId="5397" xr:uid="{4B2EE72A-CC6C-4FFD-BB80-1220C55E47F2}"/>
    <cellStyle name="20% - Énfasis4 2 4 3 9" xfId="5398" xr:uid="{96DF0232-DA88-4D95-BA7B-93874D4DF0D2}"/>
    <cellStyle name="20% - Énfasis4 2 4 4" xfId="5399" xr:uid="{718D7CC8-9846-4E8F-8A6C-ECDC35346EEA}"/>
    <cellStyle name="20% - Énfasis4 2 4 4 2" xfId="5400" xr:uid="{B53C4F41-A975-4043-88F2-B9E1A5742199}"/>
    <cellStyle name="20% - Énfasis4 2 4 4 2 2" xfId="5401" xr:uid="{9DA57BC0-D61C-4DF7-9C3F-8319321DF7CC}"/>
    <cellStyle name="20% - Énfasis4 2 4 4 2 3" xfId="5402" xr:uid="{E8F32CE0-56CF-4FB5-88E6-36BE78FF4E47}"/>
    <cellStyle name="20% - Énfasis4 2 4 4 2 4" xfId="5403" xr:uid="{D4B4E729-046A-4763-8CF6-6ED94E3683FB}"/>
    <cellStyle name="20% - Énfasis4 2 4 4 2 5" xfId="5404" xr:uid="{48BBC0AD-D40E-4EDF-B877-3ED332A1F2EE}"/>
    <cellStyle name="20% - Énfasis4 2 4 4 3" xfId="5405" xr:uid="{24DE3B9A-D777-4EF2-BA4F-69763DA96830}"/>
    <cellStyle name="20% - Énfasis4 2 4 4 4" xfId="5406" xr:uid="{F700BF82-71B1-4883-BE50-B7FBFADBAAE9}"/>
    <cellStyle name="20% - Énfasis4 2 4 4 5" xfId="5407" xr:uid="{BC74AAD0-7E31-4402-AB62-365AAA2B82B6}"/>
    <cellStyle name="20% - Énfasis4 2 4 5" xfId="5408" xr:uid="{5067F7B9-C116-45CE-A3F2-468052B9CD72}"/>
    <cellStyle name="20% - Énfasis4 2 4 6" xfId="5409" xr:uid="{2EFC61E0-D8A9-43C2-A831-0154F5A57B0B}"/>
    <cellStyle name="20% - Énfasis4 2 4 7" xfId="5410" xr:uid="{EFDC7016-B67D-445D-8911-0E535960594D}"/>
    <cellStyle name="20% - Énfasis4 2 4 8" xfId="5411" xr:uid="{16487AF3-4FAF-4665-BC4B-A66FB8B8E545}"/>
    <cellStyle name="20% - Énfasis4 2 4 9" xfId="5412" xr:uid="{8B745B5C-7BF3-46CC-8375-33EFC3BBB169}"/>
    <cellStyle name="20% - Énfasis4 2 5" xfId="5413" xr:uid="{6832BB81-111A-4F2C-A6B9-9243E9EE689C}"/>
    <cellStyle name="20% - Énfasis4 2 5 2" xfId="5414" xr:uid="{D29115BA-84D2-4295-B508-4A570E8D2D58}"/>
    <cellStyle name="20% - Énfasis4 2 5 2 2" xfId="43813" xr:uid="{069BF09C-9BF6-4BA2-AEF6-EB55C8F2AD79}"/>
    <cellStyle name="20% - Énfasis4 2 5 3" xfId="43812" xr:uid="{31F6803C-DFED-42ED-8177-6D6E620E7A30}"/>
    <cellStyle name="20% - Énfasis4 2 6" xfId="5415" xr:uid="{55E7AEE7-A01A-411A-92EE-4DF71BDDA3CB}"/>
    <cellStyle name="20% - Énfasis4 2 6 2" xfId="5416" xr:uid="{6C5DB8C4-2C77-4616-AF9D-0B841159FEB4}"/>
    <cellStyle name="20% - Énfasis4 2 6 3" xfId="43814" xr:uid="{8E9A4626-5BE7-427B-A2E5-6270CD351C72}"/>
    <cellStyle name="20% - Énfasis4 2 7" xfId="5417" xr:uid="{34717126-7DCE-4D00-8B8C-90D2EDCD0BAA}"/>
    <cellStyle name="20% - Énfasis4 2 7 2" xfId="5418" xr:uid="{46F25DC4-7194-409C-A3CD-AEE7533CDA1C}"/>
    <cellStyle name="20% - Énfasis4 2 8" xfId="5419" xr:uid="{4A122073-5329-4FA8-A7C2-4F4E882A177F}"/>
    <cellStyle name="20% - Énfasis4 2 8 2" xfId="5420" xr:uid="{B2F5A75B-9C40-44CB-9056-F57313D5980C}"/>
    <cellStyle name="20% - Énfasis4 2 8 2 2" xfId="5421" xr:uid="{EE6B93A2-28D1-427E-BE8D-7DB9BB9FE191}"/>
    <cellStyle name="20% - Énfasis4 2 8 3" xfId="5422" xr:uid="{1CFB1263-3B3C-4DF6-B417-6FD726F6EE8D}"/>
    <cellStyle name="20% - Énfasis4 2 9" xfId="5423" xr:uid="{070642EF-3B77-45CC-A893-A672746685ED}"/>
    <cellStyle name="20% - Énfasis4 2 9 2" xfId="5424" xr:uid="{91CB0394-8565-4859-AE01-69E17B846054}"/>
    <cellStyle name="20% - Énfasis4 3" xfId="5425" xr:uid="{EF9EAFC5-5E70-48CF-BF5B-5FC86FC8E87C}"/>
    <cellStyle name="20% - Énfasis4 3 2" xfId="5426" xr:uid="{524AC8C9-D0A8-4E20-8106-B761E20D8517}"/>
    <cellStyle name="20% - Énfasis4 3 2 2" xfId="5427" xr:uid="{56783288-1D4B-403D-9FFE-EE0ADD110658}"/>
    <cellStyle name="20% - Énfasis4 3 2 2 2" xfId="43818" xr:uid="{ECB005F8-F170-4993-AA8A-6670F843F577}"/>
    <cellStyle name="20% - Énfasis4 3 2 2 2 2" xfId="43819" xr:uid="{13289A12-4606-4262-8314-DD084D528B2F}"/>
    <cellStyle name="20% - Énfasis4 3 2 2 3" xfId="43820" xr:uid="{7F08D018-9E53-4084-88FF-9E0DE9C577E6}"/>
    <cellStyle name="20% - Énfasis4 3 2 2 4" xfId="43817" xr:uid="{6BBE2C23-3001-4070-B321-04B53944B5A9}"/>
    <cellStyle name="20% - Énfasis4 3 2 3" xfId="43821" xr:uid="{D9B1DA48-242D-4402-AFD9-0162207735F0}"/>
    <cellStyle name="20% - Énfasis4 3 2 3 2" xfId="43822" xr:uid="{589B1552-2107-4DEA-B593-8665780E296A}"/>
    <cellStyle name="20% - Énfasis4 3 2 4" xfId="43823" xr:uid="{EC30207C-A246-4F46-A4EF-BE5C7BF7163E}"/>
    <cellStyle name="20% - Énfasis4 3 2 5" xfId="43816" xr:uid="{74BDDDD8-26D0-4013-896A-6AE8863B1A3E}"/>
    <cellStyle name="20% - Énfasis4 3 3" xfId="5428" xr:uid="{067C1D9D-6E27-41DE-B5A6-303DD468D7C0}"/>
    <cellStyle name="20% - Énfasis4 3 3 2" xfId="5429" xr:uid="{CD443319-5CBD-474C-A5EA-C416CD3C9493}"/>
    <cellStyle name="20% - Énfasis4 3 3 2 2" xfId="43826" xr:uid="{AE1F6EF3-128C-4728-B91C-ACF8B159EB50}"/>
    <cellStyle name="20% - Énfasis4 3 3 2 3" xfId="43825" xr:uid="{6B9FB40A-76BA-44A0-A549-B5A3B42150C2}"/>
    <cellStyle name="20% - Énfasis4 3 3 3" xfId="43827" xr:uid="{53496847-2DF6-48EB-8E3A-8EFABF3526F5}"/>
    <cellStyle name="20% - Énfasis4 3 3 4" xfId="43824" xr:uid="{B0A2F3E0-48C5-4577-BF71-78CE2EC74D23}"/>
    <cellStyle name="20% - Énfasis4 3 4" xfId="5430" xr:uid="{65ABB7F5-DC60-494B-8E11-31FEE13D4933}"/>
    <cellStyle name="20% - Énfasis4 3 4 2" xfId="43829" xr:uid="{56A6022D-52A1-45A8-89F4-D3949CFE3ECE}"/>
    <cellStyle name="20% - Énfasis4 3 4 3" xfId="43828" xr:uid="{DCFA606D-6E79-40C6-844F-7DC9957C130C}"/>
    <cellStyle name="20% - Énfasis4 3 5" xfId="43830" xr:uid="{5A044B4B-3977-43A4-86B7-9791604AC51E}"/>
    <cellStyle name="20% - Énfasis4 3 6" xfId="43815" xr:uid="{6E1D5B48-FCDD-4C0A-B9C2-D6C5852CC75F}"/>
    <cellStyle name="20% - Énfasis4 4" xfId="5431" xr:uid="{65F79057-D4C0-4980-BE27-44047FD5DE31}"/>
    <cellStyle name="20% - Énfasis4 4 2" xfId="5432" xr:uid="{28B855B3-99C4-4E8F-934F-B61D5201FB78}"/>
    <cellStyle name="20% - Énfasis4 4 2 2" xfId="43833" xr:uid="{A7FC9436-CD3B-4892-8672-D0C922355D9D}"/>
    <cellStyle name="20% - Énfasis4 4 2 2 2" xfId="43834" xr:uid="{E136F836-E198-4802-AE3A-EDD1574558B3}"/>
    <cellStyle name="20% - Énfasis4 4 2 3" xfId="43835" xr:uid="{C824B050-8152-423C-991D-544DF2D7DF99}"/>
    <cellStyle name="20% - Énfasis4 4 2 4" xfId="43832" xr:uid="{3F4ABF47-6BA2-4121-852B-FAA73EAEBB5F}"/>
    <cellStyle name="20% - Énfasis4 4 3" xfId="43836" xr:uid="{BC1230C3-4FF3-49A0-9917-86CB69B476A6}"/>
    <cellStyle name="20% - Énfasis4 4 3 2" xfId="43837" xr:uid="{399EC9FD-9764-46CE-A4B5-90083F3B1ED2}"/>
    <cellStyle name="20% - Énfasis4 4 4" xfId="43838" xr:uid="{86A216D7-BD2C-424C-9095-A10DD3AB2BA5}"/>
    <cellStyle name="20% - Énfasis4 4 5" xfId="43831" xr:uid="{601DE0FD-1EBA-44DD-B891-EF0A03DEC3C6}"/>
    <cellStyle name="20% - Énfasis4 5" xfId="43839" xr:uid="{0C9282E2-520A-4768-B09B-7105C9A104E5}"/>
    <cellStyle name="20% - Énfasis4 5 2" xfId="43840" xr:uid="{7E08E473-82D1-4BCB-B070-064F06E2F33C}"/>
    <cellStyle name="20% - Énfasis4 5 2 2" xfId="43841" xr:uid="{0982252E-9708-4396-B103-A4F6DDECE2E9}"/>
    <cellStyle name="20% - Énfasis4 5 2 2 2" xfId="43842" xr:uid="{92632348-382A-43BB-9ACB-159CB2802AB3}"/>
    <cellStyle name="20% - Énfasis4 5 2 3" xfId="43843" xr:uid="{E0CDB4DB-C6D8-4992-BFF0-6AAF54807F1A}"/>
    <cellStyle name="20% - Énfasis4 5 3" xfId="43844" xr:uid="{FD46640D-5070-4E26-B5A8-1CAD72DA387F}"/>
    <cellStyle name="20% - Énfasis4 5 3 2" xfId="43845" xr:uid="{D447EECE-4D6E-40EB-976C-82F42FEF1A88}"/>
    <cellStyle name="20% - Énfasis4 5 4" xfId="43846" xr:uid="{969AD887-2EC6-464D-9EC6-D2F6A1DB297E}"/>
    <cellStyle name="20% - Énfasis4 6" xfId="43847" xr:uid="{29A3BCC7-4FA4-4037-91B0-3C5734C03FE4}"/>
    <cellStyle name="20% - Énfasis4 6 2" xfId="43848" xr:uid="{7DA6EB59-FABA-4218-B1E7-B3D6EEC54455}"/>
    <cellStyle name="20% - Énfasis4 6 2 2" xfId="43849" xr:uid="{06ABC9A5-29C5-4DBE-BADC-6C33ED27E2FE}"/>
    <cellStyle name="20% - Énfasis4 6 3" xfId="43850" xr:uid="{53CF4780-A673-4C83-8EFA-47E997D3F2F0}"/>
    <cellStyle name="20% - Énfasis4 7" xfId="43851" xr:uid="{9F006587-0B90-4F9A-8CA2-9E5C4837946B}"/>
    <cellStyle name="20% - Énfasis4 7 2" xfId="43852" xr:uid="{2FF1CB15-6AB2-475F-A822-608B4EFA34CB}"/>
    <cellStyle name="20% - Énfasis4 8" xfId="43853" xr:uid="{32D44D79-687C-440D-A30C-F43FA19D334D}"/>
    <cellStyle name="20% - Énfasis5" xfId="36" builtinId="46" customBuiltin="1"/>
    <cellStyle name="20% - Énfasis5 2" xfId="5433" xr:uid="{85D48265-51BF-4859-B3C8-1BD4674C88A2}"/>
    <cellStyle name="20% - Énfasis5 2 10" xfId="5434" xr:uid="{D83B1511-6D6B-4293-8196-8B2747B81D38}"/>
    <cellStyle name="20% - Énfasis5 2 10 10" xfId="5435" xr:uid="{6166FD20-1B48-4ECD-A602-B3D40F2E8890}"/>
    <cellStyle name="20% - Énfasis5 2 10 11" xfId="5436" xr:uid="{9C97F24D-5C10-4014-BE3D-2EE8988CE0A9}"/>
    <cellStyle name="20% - Énfasis5 2 10 2" xfId="5437" xr:uid="{F6A640A4-B79A-41EC-ADBD-6A9DDE45CBDE}"/>
    <cellStyle name="20% - Énfasis5 2 10 2 10" xfId="5438" xr:uid="{2DCA10EA-96C2-477B-A77A-EC359EF89BE2}"/>
    <cellStyle name="20% - Énfasis5 2 10 2 11" xfId="5439" xr:uid="{0DEF581C-E9C0-4211-8A7F-21AF6A81851C}"/>
    <cellStyle name="20% - Énfasis5 2 10 2 2" xfId="5440" xr:uid="{E6596716-6E7B-4FF7-9F94-FA96604C7417}"/>
    <cellStyle name="20% - Énfasis5 2 10 2 2 2" xfId="5441" xr:uid="{43F28CC4-2CA1-4ABB-A960-A65330FF7574}"/>
    <cellStyle name="20% - Énfasis5 2 10 2 2 2 2" xfId="5442" xr:uid="{571C1F86-7C77-4868-96C2-BE26CEB0BB27}"/>
    <cellStyle name="20% - Énfasis5 2 10 2 2 2 3" xfId="5443" xr:uid="{DAC5A366-AF42-4882-AC0D-A9108092447B}"/>
    <cellStyle name="20% - Énfasis5 2 10 2 2 2 4" xfId="5444" xr:uid="{9666C019-4284-4EE8-B855-939BAB1BD67D}"/>
    <cellStyle name="20% - Énfasis5 2 10 2 2 2 5" xfId="5445" xr:uid="{E2D7EF58-58A2-46C3-A19E-587699D260A8}"/>
    <cellStyle name="20% - Énfasis5 2 10 2 2 3" xfId="5446" xr:uid="{3881C0ED-618D-4E88-9AF4-E37E9582CD12}"/>
    <cellStyle name="20% - Énfasis5 2 10 2 2 4" xfId="5447" xr:uid="{3B6F3FF1-5E68-476D-84DA-2007FE9E9D50}"/>
    <cellStyle name="20% - Énfasis5 2 10 2 2 5" xfId="5448" xr:uid="{D2ACE341-D248-4F52-AC8C-5EDA9606040D}"/>
    <cellStyle name="20% - Énfasis5 2 10 2 3" xfId="5449" xr:uid="{568817D4-34C6-4F8B-9962-B955F85B9702}"/>
    <cellStyle name="20% - Énfasis5 2 10 2 4" xfId="5450" xr:uid="{EF73053E-01B1-454B-BC1B-246BA84C80AD}"/>
    <cellStyle name="20% - Énfasis5 2 10 2 5" xfId="5451" xr:uid="{97E4A6BE-5A8F-4855-B9AA-28A6ADF81F83}"/>
    <cellStyle name="20% - Énfasis5 2 10 2 6" xfId="5452" xr:uid="{F61E534D-07AA-4B8F-8AD9-E5BDDB19DC11}"/>
    <cellStyle name="20% - Énfasis5 2 10 2 7" xfId="5453" xr:uid="{F8BF80C3-B1EA-4348-905A-C4AEC37DCAFE}"/>
    <cellStyle name="20% - Énfasis5 2 10 2 8" xfId="5454" xr:uid="{358068DF-F72B-4F82-A146-56A5FD9558AF}"/>
    <cellStyle name="20% - Énfasis5 2 10 2 9" xfId="5455" xr:uid="{9B319736-C926-4F08-AEFE-9784C936E6EE}"/>
    <cellStyle name="20% - Énfasis5 2 10 3" xfId="5456" xr:uid="{6BE79769-11B1-4B25-9E27-7542A1B5D2A3}"/>
    <cellStyle name="20% - Énfasis5 2 10 3 2" xfId="5457" xr:uid="{91AD4598-2611-4405-AD5B-15F0F8A75038}"/>
    <cellStyle name="20% - Énfasis5 2 10 3 2 2" xfId="5458" xr:uid="{06C93BF6-D647-49CA-918F-51B7F307909E}"/>
    <cellStyle name="20% - Énfasis5 2 10 3 2 3" xfId="5459" xr:uid="{F364201E-D638-4EA7-AA6E-BBEADC5BB952}"/>
    <cellStyle name="20% - Énfasis5 2 10 3 2 4" xfId="5460" xr:uid="{8C02A0CE-F8E2-4A60-B8FB-1FFAB7DFADD3}"/>
    <cellStyle name="20% - Énfasis5 2 10 3 2 5" xfId="5461" xr:uid="{5A751942-950E-40C5-9A59-66FB77CD4FD3}"/>
    <cellStyle name="20% - Énfasis5 2 10 3 3" xfId="5462" xr:uid="{83488300-5604-4198-B1D9-DED6DA4007EB}"/>
    <cellStyle name="20% - Énfasis5 2 10 3 4" xfId="5463" xr:uid="{1222598E-0A4A-4B56-91A6-FB31E675AC68}"/>
    <cellStyle name="20% - Énfasis5 2 10 3 5" xfId="5464" xr:uid="{A36D32F7-0117-4C65-BD15-E3211910FAF9}"/>
    <cellStyle name="20% - Énfasis5 2 10 4" xfId="5465" xr:uid="{88D83C4D-664F-4170-B86D-255D7F420E06}"/>
    <cellStyle name="20% - Énfasis5 2 10 5" xfId="5466" xr:uid="{2101694C-F8AB-454C-A0AE-F837AB925CD2}"/>
    <cellStyle name="20% - Énfasis5 2 10 6" xfId="5467" xr:uid="{6422C4DD-B108-4CE5-8B43-A99EBE6D3507}"/>
    <cellStyle name="20% - Énfasis5 2 10 7" xfId="5468" xr:uid="{A90E3E65-1E97-4EE2-AC44-B657F4A29415}"/>
    <cellStyle name="20% - Énfasis5 2 10 8" xfId="5469" xr:uid="{15FAF340-531B-40A5-88D8-B3A4E57F60AF}"/>
    <cellStyle name="20% - Énfasis5 2 10 9" xfId="5470" xr:uid="{56C621D0-1243-4B35-98ED-74BB682750F8}"/>
    <cellStyle name="20% - Énfasis5 2 11" xfId="5471" xr:uid="{09BF9248-8C1E-473B-B934-3DEC9B6361A9}"/>
    <cellStyle name="20% - Énfasis5 2 12" xfId="5472" xr:uid="{9710D33D-FF12-4DF7-92C9-A680AE658FE4}"/>
    <cellStyle name="20% - Énfasis5 2 13" xfId="5473" xr:uid="{17F064E3-9D17-40DD-9BF4-DF7DEEF8EDEA}"/>
    <cellStyle name="20% - Énfasis5 2 14" xfId="43854" xr:uid="{ABAE29CF-B044-4385-8415-803A62F4C7D0}"/>
    <cellStyle name="20% - Énfasis5 2 2" xfId="5474" xr:uid="{08D7ABF1-FF9D-4530-8930-7731E547B090}"/>
    <cellStyle name="20% - Énfasis5 2 2 10" xfId="5475" xr:uid="{B9CC0441-5CDF-49C2-AA27-F3345D55FEB5}"/>
    <cellStyle name="20% - Énfasis5 2 2 10 10" xfId="5476" xr:uid="{CB1F48E5-964C-4A9F-92A7-A30D2AD00714}"/>
    <cellStyle name="20% - Énfasis5 2 2 10 11" xfId="5477" xr:uid="{EADEF4EA-27A0-4507-8C26-A9A129678578}"/>
    <cellStyle name="20% - Énfasis5 2 2 10 2" xfId="5478" xr:uid="{DEB76ED0-C318-4AC8-9FE7-1B2DE6A18128}"/>
    <cellStyle name="20% - Énfasis5 2 2 10 2 10" xfId="5479" xr:uid="{774D205F-BB89-47D9-89D8-B91E09859B1F}"/>
    <cellStyle name="20% - Énfasis5 2 2 10 2 11" xfId="5480" xr:uid="{8F35019E-9EE9-46ED-8884-EBF5B846B410}"/>
    <cellStyle name="20% - Énfasis5 2 2 10 2 2" xfId="5481" xr:uid="{EE6B6C75-6E8D-4F78-AFFC-B77D92C2267B}"/>
    <cellStyle name="20% - Énfasis5 2 2 10 2 2 2" xfId="5482" xr:uid="{E95F40F0-D70D-47DA-835D-4DCC308C21A6}"/>
    <cellStyle name="20% - Énfasis5 2 2 10 2 2 2 2" xfId="5483" xr:uid="{1FE5FB6C-587B-4C73-AA51-1A1A4FEE4C65}"/>
    <cellStyle name="20% - Énfasis5 2 2 10 2 2 2 3" xfId="5484" xr:uid="{45776248-ADF3-4E7B-8B2C-6DE796014199}"/>
    <cellStyle name="20% - Énfasis5 2 2 10 2 2 2 4" xfId="5485" xr:uid="{30961605-D8E3-45F8-87D0-A36051890E73}"/>
    <cellStyle name="20% - Énfasis5 2 2 10 2 2 2 5" xfId="5486" xr:uid="{03F6B6CE-98F0-41A9-BFE4-56B15732D2A2}"/>
    <cellStyle name="20% - Énfasis5 2 2 10 2 2 3" xfId="5487" xr:uid="{6DC7F4DB-6C9F-41B9-85BA-4D58288C78EB}"/>
    <cellStyle name="20% - Énfasis5 2 2 10 2 2 4" xfId="5488" xr:uid="{50E3B25B-521A-4C07-8226-8C3A01DCA0FA}"/>
    <cellStyle name="20% - Énfasis5 2 2 10 2 2 5" xfId="5489" xr:uid="{ED34D207-C83F-4E79-A4BD-30D1F04A4B4F}"/>
    <cellStyle name="20% - Énfasis5 2 2 10 2 3" xfId="5490" xr:uid="{9919B814-5BF5-43A1-AA46-C74693EFC8C0}"/>
    <cellStyle name="20% - Énfasis5 2 2 10 2 4" xfId="5491" xr:uid="{21719D91-946E-4D9F-8AE1-5D50063D709D}"/>
    <cellStyle name="20% - Énfasis5 2 2 10 2 5" xfId="5492" xr:uid="{EA7A3396-C8D5-480C-AF87-506C67A768A2}"/>
    <cellStyle name="20% - Énfasis5 2 2 10 2 6" xfId="5493" xr:uid="{FD03E708-5F86-46D5-8DFA-E2109300EA21}"/>
    <cellStyle name="20% - Énfasis5 2 2 10 2 7" xfId="5494" xr:uid="{B4B94240-0A89-4435-B5FA-C504F9167C28}"/>
    <cellStyle name="20% - Énfasis5 2 2 10 2 8" xfId="5495" xr:uid="{436E77A4-1547-4811-8559-C73733C91B43}"/>
    <cellStyle name="20% - Énfasis5 2 2 10 2 9" xfId="5496" xr:uid="{AC19CB5B-3B0E-4BC3-943E-C4D02498CCF5}"/>
    <cellStyle name="20% - Énfasis5 2 2 10 3" xfId="5497" xr:uid="{C9D4F6D1-CBF6-4205-99E3-D47349618888}"/>
    <cellStyle name="20% - Énfasis5 2 2 10 3 2" xfId="5498" xr:uid="{A54D4392-BB72-41AB-B976-478EC7408515}"/>
    <cellStyle name="20% - Énfasis5 2 2 10 3 2 2" xfId="5499" xr:uid="{EF498580-46D1-4C9F-B7C6-7907392324F7}"/>
    <cellStyle name="20% - Énfasis5 2 2 10 3 2 3" xfId="5500" xr:uid="{0BCC8D62-FBBD-44B3-B854-2276BED5FBCE}"/>
    <cellStyle name="20% - Énfasis5 2 2 10 3 2 4" xfId="5501" xr:uid="{1685AF31-715B-4FD0-8032-72A7860099BA}"/>
    <cellStyle name="20% - Énfasis5 2 2 10 3 2 5" xfId="5502" xr:uid="{5C70662F-F221-4992-81C8-0F4D8CD2B5D9}"/>
    <cellStyle name="20% - Énfasis5 2 2 10 3 3" xfId="5503" xr:uid="{397CF0B2-DA1D-4221-B786-C1DC0CFDFD77}"/>
    <cellStyle name="20% - Énfasis5 2 2 10 3 4" xfId="5504" xr:uid="{09091DE4-5D12-4F7C-A629-C6D449280D3A}"/>
    <cellStyle name="20% - Énfasis5 2 2 10 3 5" xfId="5505" xr:uid="{3F0006EE-7A68-4F20-805F-ED751BE05971}"/>
    <cellStyle name="20% - Énfasis5 2 2 10 4" xfId="5506" xr:uid="{98A3C398-DBE8-4A87-8936-981CB31711A2}"/>
    <cellStyle name="20% - Énfasis5 2 2 10 5" xfId="5507" xr:uid="{D912B6AA-BA09-4B65-A57D-C0A2DFFD5857}"/>
    <cellStyle name="20% - Énfasis5 2 2 10 6" xfId="5508" xr:uid="{C907A741-D4C9-4135-A54E-EBA535082E82}"/>
    <cellStyle name="20% - Énfasis5 2 2 10 7" xfId="5509" xr:uid="{19C2EB80-1E21-4A50-9DAF-A3B163620309}"/>
    <cellStyle name="20% - Énfasis5 2 2 10 8" xfId="5510" xr:uid="{7800522C-4B84-4F09-868D-8FEDC9EF6AA9}"/>
    <cellStyle name="20% - Énfasis5 2 2 10 9" xfId="5511" xr:uid="{50C9345D-8302-4E87-A245-E2B78B5734A0}"/>
    <cellStyle name="20% - Énfasis5 2 2 11" xfId="5512" xr:uid="{F89C604B-B8D0-4587-97DD-6E451AEF1319}"/>
    <cellStyle name="20% - Énfasis5 2 2 12" xfId="5513" xr:uid="{1849B7F3-851F-41DE-9EC8-7607BCB83C35}"/>
    <cellStyle name="20% - Énfasis5 2 2 13" xfId="5514" xr:uid="{7EFF18F0-6AA9-4D64-81B2-3FEE7FCD0156}"/>
    <cellStyle name="20% - Énfasis5 2 2 14" xfId="43855" xr:uid="{652BF7B2-AE7A-4035-A1D0-2FE075DC80C0}"/>
    <cellStyle name="20% - Énfasis5 2 2 2" xfId="5515" xr:uid="{08F2AF1B-92D9-4A21-92CE-6E2E90B1EEC4}"/>
    <cellStyle name="20% - Énfasis5 2 2 2 2" xfId="5516" xr:uid="{61A0EC82-A12E-4383-92BE-8E0B234538A4}"/>
    <cellStyle name="20% - Énfasis5 2 2 2 2 2" xfId="5517" xr:uid="{2D285C03-6F9E-459A-8352-EC1560E0B065}"/>
    <cellStyle name="20% - Énfasis5 2 2 2 2 2 2" xfId="5518" xr:uid="{7B87861A-5E7B-4AC3-81B2-D632428580A4}"/>
    <cellStyle name="20% - Énfasis5 2 2 2 2 2 2 2" xfId="5519" xr:uid="{CD49BBE6-FBAA-4818-88A2-2B36A3D9B2C2}"/>
    <cellStyle name="20% - Énfasis5 2 2 2 2 2 2 2 2" xfId="5520" xr:uid="{027FABD5-F1B9-4A7C-8F94-30A6569E1A06}"/>
    <cellStyle name="20% - Énfasis5 2 2 2 2 2 2 2 2 2" xfId="5521" xr:uid="{335507FC-5555-4C82-BCEA-E5A02F2AA719}"/>
    <cellStyle name="20% - Énfasis5 2 2 2 2 2 2 2 2 2 2" xfId="5522" xr:uid="{22ED10AD-C83B-4D3D-9D0B-5356738988D8}"/>
    <cellStyle name="20% - Énfasis5 2 2 2 2 2 2 2 2 2 2 2" xfId="5523" xr:uid="{63B28D40-3946-41B5-AA9C-DBA036D37B2B}"/>
    <cellStyle name="20% - Énfasis5 2 2 2 2 2 2 2 2 2 2 2 2" xfId="5524" xr:uid="{D345DA55-2C8B-478E-8E4B-3E67E1DF35AB}"/>
    <cellStyle name="20% - Énfasis5 2 2 2 2 2 2 2 2 2 2 2 2 2" xfId="5525" xr:uid="{BD90F082-76F7-4636-ABA5-1571DF92A1C5}"/>
    <cellStyle name="20% - Énfasis5 2 2 2 2 2 2 2 2 2 2 2 2 2 2" xfId="5526" xr:uid="{1CED560A-DD82-4FEF-8195-1ED25370D404}"/>
    <cellStyle name="20% - Énfasis5 2 2 2 2 2 2 2 2 2 2 2 2 2 3" xfId="5527" xr:uid="{1C535EC7-1D42-452B-B97A-C2FD38A65BA2}"/>
    <cellStyle name="20% - Énfasis5 2 2 2 2 2 2 2 2 2 2 2 2 2 4" xfId="5528" xr:uid="{A1E14040-852A-4084-B596-80C679AE192D}"/>
    <cellStyle name="20% - Énfasis5 2 2 2 2 2 2 2 2 2 2 2 2 2 5" xfId="5529" xr:uid="{61194DF0-99A6-47D6-824B-C92DA5A65A4B}"/>
    <cellStyle name="20% - Énfasis5 2 2 2 2 2 2 2 2 2 2 2 2 3" xfId="5530" xr:uid="{F075F4B7-E948-4E75-9B2E-42CC32D284FC}"/>
    <cellStyle name="20% - Énfasis5 2 2 2 2 2 2 2 2 2 2 2 2 4" xfId="5531" xr:uid="{E8651B10-2292-49D0-8CB9-AF52E0A0EFDB}"/>
    <cellStyle name="20% - Énfasis5 2 2 2 2 2 2 2 2 2 2 2 2 5" xfId="5532" xr:uid="{78D04BB7-E8DE-49EF-80A6-4A911A3C7F54}"/>
    <cellStyle name="20% - Énfasis5 2 2 2 2 2 2 2 2 2 2 2 3" xfId="5533" xr:uid="{B0511E20-656B-44EC-A07A-C0C7D003CEDE}"/>
    <cellStyle name="20% - Énfasis5 2 2 2 2 2 2 2 2 2 2 2 4" xfId="5534" xr:uid="{D64245D0-E7EC-45A4-AAE6-CBC4A9572A78}"/>
    <cellStyle name="20% - Énfasis5 2 2 2 2 2 2 2 2 2 2 2 5" xfId="5535" xr:uid="{A31A1971-409F-4A31-A49B-50F2F196DE28}"/>
    <cellStyle name="20% - Énfasis5 2 2 2 2 2 2 2 2 2 2 2 6" xfId="5536" xr:uid="{95A5BDDE-C348-4AA6-85EE-3E459839F47D}"/>
    <cellStyle name="20% - Énfasis5 2 2 2 2 2 2 2 2 2 2 3" xfId="5537" xr:uid="{6812AFBB-C538-4480-AD5C-C5F317B4AB3B}"/>
    <cellStyle name="20% - Énfasis5 2 2 2 2 2 2 2 2 2 2 4" xfId="5538" xr:uid="{B587438E-8BDA-4E54-A0FE-F480786BB459}"/>
    <cellStyle name="20% - Énfasis5 2 2 2 2 2 2 2 2 2 3" xfId="5539" xr:uid="{CB751019-5AED-4534-A514-42120DA9016B}"/>
    <cellStyle name="20% - Énfasis5 2 2 2 2 2 2 2 2 2 4" xfId="5540" xr:uid="{FF224C97-5355-4A1E-89AD-2448048D1C4E}"/>
    <cellStyle name="20% - Énfasis5 2 2 2 2 2 2 2 2 3" xfId="5541" xr:uid="{B1D2B240-CCDD-402E-9E20-A36DCC7917B4}"/>
    <cellStyle name="20% - Énfasis5 2 2 2 2 2 2 2 2 4" xfId="5542" xr:uid="{A36CE334-16F1-44BA-A4A4-2515D5F5CB33}"/>
    <cellStyle name="20% - Énfasis5 2 2 2 2 2 2 2 2 5" xfId="5543" xr:uid="{3CA14B72-4202-4FE1-82F2-E07CDC50ABE0}"/>
    <cellStyle name="20% - Énfasis5 2 2 2 2 2 2 2 3" xfId="5544" xr:uid="{03D87BD0-F0EC-46E9-894C-3D2FB1D6885D}"/>
    <cellStyle name="20% - Énfasis5 2 2 2 2 2 2 2 3 10" xfId="5545" xr:uid="{CAAF6EAB-67AB-43FE-88B8-4C0656B47016}"/>
    <cellStyle name="20% - Énfasis5 2 2 2 2 2 2 2 3 11" xfId="5546" xr:uid="{0E08D7CA-E6C1-419C-A205-FDDA31564956}"/>
    <cellStyle name="20% - Énfasis5 2 2 2 2 2 2 2 3 2" xfId="5547" xr:uid="{9E343702-1810-40C1-B244-1BDA646E0C47}"/>
    <cellStyle name="20% - Énfasis5 2 2 2 2 2 2 2 3 2 2" xfId="5548" xr:uid="{7DB6005F-66A7-495E-8796-5742C73E627C}"/>
    <cellStyle name="20% - Énfasis5 2 2 2 2 2 2 2 3 2 2 2" xfId="5549" xr:uid="{229E78DA-C71C-4A51-AE31-544D3D7C58D2}"/>
    <cellStyle name="20% - Énfasis5 2 2 2 2 2 2 2 3 2 2 3" xfId="5550" xr:uid="{F2FEBA33-2BC9-442E-A039-0963CD4FBE6E}"/>
    <cellStyle name="20% - Énfasis5 2 2 2 2 2 2 2 3 2 2 4" xfId="5551" xr:uid="{E510F37E-6ADD-43E5-A819-60DCCB7237A4}"/>
    <cellStyle name="20% - Énfasis5 2 2 2 2 2 2 2 3 2 2 5" xfId="5552" xr:uid="{B307C6EF-4769-493E-8D92-A097A1B5C31F}"/>
    <cellStyle name="20% - Énfasis5 2 2 2 2 2 2 2 3 2 3" xfId="5553" xr:uid="{10D4C22C-1A4B-4DC5-8885-0113B78365C0}"/>
    <cellStyle name="20% - Énfasis5 2 2 2 2 2 2 2 3 2 4" xfId="5554" xr:uid="{8549664A-E25C-4144-A41A-351DD9264415}"/>
    <cellStyle name="20% - Énfasis5 2 2 2 2 2 2 2 3 2 5" xfId="5555" xr:uid="{9B780D23-A432-4583-81AD-3CBC48EBED65}"/>
    <cellStyle name="20% - Énfasis5 2 2 2 2 2 2 2 3 3" xfId="5556" xr:uid="{7762FC80-F214-4329-912F-127D1D83145E}"/>
    <cellStyle name="20% - Énfasis5 2 2 2 2 2 2 2 3 4" xfId="5557" xr:uid="{BFB84454-C2DD-4728-9F6B-3E0D6A5B00A5}"/>
    <cellStyle name="20% - Énfasis5 2 2 2 2 2 2 2 3 5" xfId="5558" xr:uid="{A314DA7A-CDD7-4548-A073-269613DE4A14}"/>
    <cellStyle name="20% - Énfasis5 2 2 2 2 2 2 2 3 6" xfId="5559" xr:uid="{4BE4964E-D569-4470-BBA3-26EA662BC63A}"/>
    <cellStyle name="20% - Énfasis5 2 2 2 2 2 2 2 3 7" xfId="5560" xr:uid="{1B05B722-1DEC-4F59-AE10-5B1309DF1E86}"/>
    <cellStyle name="20% - Énfasis5 2 2 2 2 2 2 2 3 8" xfId="5561" xr:uid="{EB1389AC-83FE-43F0-85F3-9F2B000D7CF5}"/>
    <cellStyle name="20% - Énfasis5 2 2 2 2 2 2 2 3 9" xfId="5562" xr:uid="{EEACA7B3-C81E-44B5-87BF-71F149F871E2}"/>
    <cellStyle name="20% - Énfasis5 2 2 2 2 2 2 2 4" xfId="5563" xr:uid="{7416E520-E196-408F-A6C5-A1AA4B14E9EE}"/>
    <cellStyle name="20% - Énfasis5 2 2 2 2 2 2 2 5" xfId="5564" xr:uid="{ABE76F98-33B3-490C-A691-CAD51BF75436}"/>
    <cellStyle name="20% - Énfasis5 2 2 2 2 2 2 3" xfId="5565" xr:uid="{E718DC2A-3EAF-4221-96D9-FC2129025AA4}"/>
    <cellStyle name="20% - Énfasis5 2 2 2 2 2 2 3 10" xfId="5566" xr:uid="{77A794CB-1B6C-4972-8AB8-8557270B762A}"/>
    <cellStyle name="20% - Énfasis5 2 2 2 2 2 2 3 11" xfId="5567" xr:uid="{A696BFDC-1975-491C-8829-D393C56F1FEF}"/>
    <cellStyle name="20% - Énfasis5 2 2 2 2 2 2 3 2" xfId="5568" xr:uid="{7DD629B6-A82C-4AAB-8B5E-B0F6119C4729}"/>
    <cellStyle name="20% - Énfasis5 2 2 2 2 2 2 3 2 10" xfId="5569" xr:uid="{ED7DC523-53BD-4257-B4A3-527F5F2CEEEF}"/>
    <cellStyle name="20% - Énfasis5 2 2 2 2 2 2 3 2 11" xfId="5570" xr:uid="{6D63484E-42B9-42EB-ADAF-DB116179CBD8}"/>
    <cellStyle name="20% - Énfasis5 2 2 2 2 2 2 3 2 2" xfId="5571" xr:uid="{D3FABD7F-AE10-4BE3-A689-4FEB9CB13294}"/>
    <cellStyle name="20% - Énfasis5 2 2 2 2 2 2 3 2 2 2" xfId="5572" xr:uid="{38B52EB7-ABE8-4F55-BF22-65A441E7EB31}"/>
    <cellStyle name="20% - Énfasis5 2 2 2 2 2 2 3 2 2 2 2" xfId="5573" xr:uid="{F46463F3-3719-4FE2-92F8-D61F103DA3EE}"/>
    <cellStyle name="20% - Énfasis5 2 2 2 2 2 2 3 2 2 2 3" xfId="5574" xr:uid="{AB422256-82E0-4AA8-BD27-8EE5D55B272B}"/>
    <cellStyle name="20% - Énfasis5 2 2 2 2 2 2 3 2 2 2 4" xfId="5575" xr:uid="{3A2AF5F9-F2A2-493D-96A6-9C22D579B7F1}"/>
    <cellStyle name="20% - Énfasis5 2 2 2 2 2 2 3 2 2 2 5" xfId="5576" xr:uid="{27816081-CA59-469E-A1B1-5160D19A7F26}"/>
    <cellStyle name="20% - Énfasis5 2 2 2 2 2 2 3 2 2 3" xfId="5577" xr:uid="{652C3D1A-219E-4603-8807-7588D73103D9}"/>
    <cellStyle name="20% - Énfasis5 2 2 2 2 2 2 3 2 2 4" xfId="5578" xr:uid="{EF16A43B-F7D7-48E9-A57F-E452E40A787F}"/>
    <cellStyle name="20% - Énfasis5 2 2 2 2 2 2 3 2 2 5" xfId="5579" xr:uid="{DF9A945C-68E1-4378-8A49-93CB5DD98246}"/>
    <cellStyle name="20% - Énfasis5 2 2 2 2 2 2 3 2 3" xfId="5580" xr:uid="{673A746B-DB11-4996-803B-4E3B9CEE12A0}"/>
    <cellStyle name="20% - Énfasis5 2 2 2 2 2 2 3 2 4" xfId="5581" xr:uid="{6C8D9FA1-C0BD-46C1-A6D4-1748F1FB42B3}"/>
    <cellStyle name="20% - Énfasis5 2 2 2 2 2 2 3 2 5" xfId="5582" xr:uid="{AFF07ACC-5F39-46D9-9C00-3D0A86CEC4DD}"/>
    <cellStyle name="20% - Énfasis5 2 2 2 2 2 2 3 2 6" xfId="5583" xr:uid="{EBBDB19A-E588-40DD-9F8E-3027F70FC219}"/>
    <cellStyle name="20% - Énfasis5 2 2 2 2 2 2 3 2 7" xfId="5584" xr:uid="{78ABE4C4-B9B8-4C7D-B8B5-79CF72E34967}"/>
    <cellStyle name="20% - Énfasis5 2 2 2 2 2 2 3 2 8" xfId="5585" xr:uid="{AE56EFE4-B136-4199-87D7-98BE21BB2322}"/>
    <cellStyle name="20% - Énfasis5 2 2 2 2 2 2 3 2 9" xfId="5586" xr:uid="{BF955819-EE97-4252-80BA-3D5BA5A67FD7}"/>
    <cellStyle name="20% - Énfasis5 2 2 2 2 2 2 3 3" xfId="5587" xr:uid="{B98ACB28-C6F3-4AD0-9C9D-5E89D3E3AFD3}"/>
    <cellStyle name="20% - Énfasis5 2 2 2 2 2 2 3 3 2" xfId="5588" xr:uid="{D6EADA8A-0298-4848-88AA-CD83CE9FBED6}"/>
    <cellStyle name="20% - Énfasis5 2 2 2 2 2 2 3 3 2 2" xfId="5589" xr:uid="{1868FD0C-FB8E-47D8-B7A0-147318B158F8}"/>
    <cellStyle name="20% - Énfasis5 2 2 2 2 2 2 3 3 2 3" xfId="5590" xr:uid="{524983EF-798C-41FD-B846-84372721350A}"/>
    <cellStyle name="20% - Énfasis5 2 2 2 2 2 2 3 3 2 4" xfId="5591" xr:uid="{B45C3801-AE24-4978-9040-54245F866FBD}"/>
    <cellStyle name="20% - Énfasis5 2 2 2 2 2 2 3 3 2 5" xfId="5592" xr:uid="{6474DC3A-9C0A-41AD-B9D0-BF9182DA0C99}"/>
    <cellStyle name="20% - Énfasis5 2 2 2 2 2 2 3 3 3" xfId="5593" xr:uid="{546181F2-30E4-44FA-A528-3372B0C81F04}"/>
    <cellStyle name="20% - Énfasis5 2 2 2 2 2 2 3 3 4" xfId="5594" xr:uid="{7A85F8CE-E001-43B2-A807-8050CA1B7F29}"/>
    <cellStyle name="20% - Énfasis5 2 2 2 2 2 2 3 3 5" xfId="5595" xr:uid="{3E088E27-AE8D-4647-B1CD-9318674C42D0}"/>
    <cellStyle name="20% - Énfasis5 2 2 2 2 2 2 3 4" xfId="5596" xr:uid="{878970A2-91F0-4DE4-9402-61E73DDDFB12}"/>
    <cellStyle name="20% - Énfasis5 2 2 2 2 2 2 3 5" xfId="5597" xr:uid="{24177550-3FF1-40D8-A274-62D8C3773D55}"/>
    <cellStyle name="20% - Énfasis5 2 2 2 2 2 2 3 6" xfId="5598" xr:uid="{7B9B2177-1BA1-4160-A71E-F9DC75ED77CB}"/>
    <cellStyle name="20% - Énfasis5 2 2 2 2 2 2 3 7" xfId="5599" xr:uid="{3B3E6B08-64D0-449F-90BC-74D8AC80349E}"/>
    <cellStyle name="20% - Énfasis5 2 2 2 2 2 2 3 8" xfId="5600" xr:uid="{6F28F46C-566D-4FE6-B80B-06110638127E}"/>
    <cellStyle name="20% - Énfasis5 2 2 2 2 2 2 3 9" xfId="5601" xr:uid="{EC7FE721-969B-4AEA-9469-B08072A48511}"/>
    <cellStyle name="20% - Énfasis5 2 2 2 2 2 2 4" xfId="5602" xr:uid="{6F3D5C33-2F8E-4BD3-B205-40AAE47C6E1C}"/>
    <cellStyle name="20% - Énfasis5 2 2 2 2 2 2 5" xfId="5603" xr:uid="{D9919CF1-2AEE-4D16-9766-82A997B0ED9A}"/>
    <cellStyle name="20% - Énfasis5 2 2 2 2 2 2 6" xfId="5604" xr:uid="{717EC383-7F54-4FBE-98DD-0C30E4B8F0F0}"/>
    <cellStyle name="20% - Énfasis5 2 2 2 2 2 2 7" xfId="43859" xr:uid="{4FAC9B3D-5DB9-428A-8B6F-F58DE96E7B0D}"/>
    <cellStyle name="20% - Énfasis5 2 2 2 2 2 3" xfId="5605" xr:uid="{7F4B19AD-35D1-49A5-BE78-A72B6F77C554}"/>
    <cellStyle name="20% - Énfasis5 2 2 2 2 2 3 10" xfId="5606" xr:uid="{02ECF44B-82E6-4034-87D2-DD247EDC2D05}"/>
    <cellStyle name="20% - Énfasis5 2 2 2 2 2 3 11" xfId="5607" xr:uid="{BA4CE4DE-B8A2-40D5-8184-B7736B3BAD6B}"/>
    <cellStyle name="20% - Énfasis5 2 2 2 2 2 3 2" xfId="5608" xr:uid="{2B3263AC-8440-4E99-9A23-0DE6894C8E08}"/>
    <cellStyle name="20% - Énfasis5 2 2 2 2 2 3 2 10" xfId="5609" xr:uid="{8FF28308-95A0-437D-8E41-49119FA958F6}"/>
    <cellStyle name="20% - Énfasis5 2 2 2 2 2 3 2 11" xfId="5610" xr:uid="{A9890741-FF74-4267-A10A-F120CB401BFA}"/>
    <cellStyle name="20% - Énfasis5 2 2 2 2 2 3 2 2" xfId="5611" xr:uid="{295F32B1-E687-45D3-91EF-0C9A45259206}"/>
    <cellStyle name="20% - Énfasis5 2 2 2 2 2 3 2 2 2" xfId="5612" xr:uid="{364C2207-EFFC-4DF8-A289-E4A91A2C6785}"/>
    <cellStyle name="20% - Énfasis5 2 2 2 2 2 3 2 2 2 2" xfId="5613" xr:uid="{D00B6A82-C176-46E7-A575-3D9D896C032E}"/>
    <cellStyle name="20% - Énfasis5 2 2 2 2 2 3 2 2 2 3" xfId="5614" xr:uid="{A939B852-4D78-4370-BAD5-EE66977D4AD6}"/>
    <cellStyle name="20% - Énfasis5 2 2 2 2 2 3 2 2 2 4" xfId="5615" xr:uid="{2F499683-B82E-4742-9FCB-CDBE2E4A79EB}"/>
    <cellStyle name="20% - Énfasis5 2 2 2 2 2 3 2 2 2 5" xfId="5616" xr:uid="{013CDE75-9329-45FE-9350-7E28AFE4764B}"/>
    <cellStyle name="20% - Énfasis5 2 2 2 2 2 3 2 2 3" xfId="5617" xr:uid="{D4E7743A-54D3-47FB-BFE2-8121BDF377AE}"/>
    <cellStyle name="20% - Énfasis5 2 2 2 2 2 3 2 2 4" xfId="5618" xr:uid="{1BC0083D-C39D-4153-9F02-C407E21857DF}"/>
    <cellStyle name="20% - Énfasis5 2 2 2 2 2 3 2 2 5" xfId="5619" xr:uid="{22FC767B-B1E8-4827-AEFA-36C25060B6CE}"/>
    <cellStyle name="20% - Énfasis5 2 2 2 2 2 3 2 3" xfId="5620" xr:uid="{B6A2A251-BAEB-434D-9EA1-1370CB6EA3BB}"/>
    <cellStyle name="20% - Énfasis5 2 2 2 2 2 3 2 4" xfId="5621" xr:uid="{D2509F57-E9B9-4D5E-8CE9-22965311B4B8}"/>
    <cellStyle name="20% - Énfasis5 2 2 2 2 2 3 2 5" xfId="5622" xr:uid="{974E4460-721D-4937-AF4C-416E7FB5F5D0}"/>
    <cellStyle name="20% - Énfasis5 2 2 2 2 2 3 2 6" xfId="5623" xr:uid="{981B69D8-AC74-4CB6-A93F-B784BDC2E3B7}"/>
    <cellStyle name="20% - Énfasis5 2 2 2 2 2 3 2 7" xfId="5624" xr:uid="{D3E84F96-9A6D-45A9-B3DF-AB1951A3D2F1}"/>
    <cellStyle name="20% - Énfasis5 2 2 2 2 2 3 2 8" xfId="5625" xr:uid="{DDFD3341-AEF3-40F5-A7FA-9CA9633DD9E9}"/>
    <cellStyle name="20% - Énfasis5 2 2 2 2 2 3 2 9" xfId="5626" xr:uid="{F39D615A-D330-4BF1-893F-96818D137940}"/>
    <cellStyle name="20% - Énfasis5 2 2 2 2 2 3 3" xfId="5627" xr:uid="{71F808E1-3668-4ABB-B027-40C4339F7A91}"/>
    <cellStyle name="20% - Énfasis5 2 2 2 2 2 3 3 2" xfId="5628" xr:uid="{35DC9193-5A6C-45A8-87FD-2CFAB2C44443}"/>
    <cellStyle name="20% - Énfasis5 2 2 2 2 2 3 3 2 2" xfId="5629" xr:uid="{568EA0DE-3620-4739-9300-E3E72C387D81}"/>
    <cellStyle name="20% - Énfasis5 2 2 2 2 2 3 3 2 3" xfId="5630" xr:uid="{BA92AC6D-9DBB-4838-A21A-E94C5EDC9036}"/>
    <cellStyle name="20% - Énfasis5 2 2 2 2 2 3 3 2 4" xfId="5631" xr:uid="{550D0F35-D65B-466C-9301-56C2CE437FD9}"/>
    <cellStyle name="20% - Énfasis5 2 2 2 2 2 3 3 2 5" xfId="5632" xr:uid="{4BEAABA6-F151-4F60-837C-C9A952762652}"/>
    <cellStyle name="20% - Énfasis5 2 2 2 2 2 3 3 3" xfId="5633" xr:uid="{63A5F636-B030-4714-B425-0D189540368C}"/>
    <cellStyle name="20% - Énfasis5 2 2 2 2 2 3 3 4" xfId="5634" xr:uid="{1D57627F-AC74-42BD-99D6-BDBE7C5D1553}"/>
    <cellStyle name="20% - Énfasis5 2 2 2 2 2 3 3 5" xfId="5635" xr:uid="{80A04C84-0ADF-4042-87FD-BD41E34F12D3}"/>
    <cellStyle name="20% - Énfasis5 2 2 2 2 2 3 4" xfId="5636" xr:uid="{32A71FF7-9D34-492A-933B-A38700176FFA}"/>
    <cellStyle name="20% - Énfasis5 2 2 2 2 2 3 5" xfId="5637" xr:uid="{E4EE85E0-5E94-4420-8ACD-DEF11BA040E4}"/>
    <cellStyle name="20% - Énfasis5 2 2 2 2 2 3 6" xfId="5638" xr:uid="{6A0F8751-D59A-49DA-8BF6-C7F3DCEFDEE0}"/>
    <cellStyle name="20% - Énfasis5 2 2 2 2 2 3 7" xfId="5639" xr:uid="{240BC4A3-077F-48FA-9A69-F4039A772FEB}"/>
    <cellStyle name="20% - Énfasis5 2 2 2 2 2 3 8" xfId="5640" xr:uid="{FB88D480-5F2B-40AC-A15D-1746AD923475}"/>
    <cellStyle name="20% - Énfasis5 2 2 2 2 2 3 9" xfId="5641" xr:uid="{C5E2704B-27C9-407D-9193-F99F9263026A}"/>
    <cellStyle name="20% - Énfasis5 2 2 2 2 2 4" xfId="5642" xr:uid="{244A3894-1C60-4342-AA0F-FAE2017393B8}"/>
    <cellStyle name="20% - Énfasis5 2 2 2 2 2 5" xfId="5643" xr:uid="{18F17CB7-C709-49BF-B625-B0D1EF6CE8DD}"/>
    <cellStyle name="20% - Énfasis5 2 2 2 2 2 6" xfId="5644" xr:uid="{D060CC02-4EE9-4EEF-A6D4-3AF399936974}"/>
    <cellStyle name="20% - Énfasis5 2 2 2 2 2 7" xfId="43858" xr:uid="{54848F4D-A434-43CA-A042-74E874ECBDA7}"/>
    <cellStyle name="20% - Énfasis5 2 2 2 2 3" xfId="5645" xr:uid="{927CD787-7DC7-4F09-87C9-867571EEFE96}"/>
    <cellStyle name="20% - Énfasis5 2 2 2 2 3 2" xfId="5646" xr:uid="{A5633AC4-859A-43EE-8914-58447AE77907}"/>
    <cellStyle name="20% - Énfasis5 2 2 2 2 3 3" xfId="43860" xr:uid="{E7597FF0-C893-41E7-9632-742F83E14268}"/>
    <cellStyle name="20% - Énfasis5 2 2 2 2 4" xfId="5647" xr:uid="{9FF182F0-93CD-43B4-A9B8-A6A1D38360C0}"/>
    <cellStyle name="20% - Énfasis5 2 2 2 2 4 10" xfId="5648" xr:uid="{A7081A73-DB8D-4937-A8A9-16E1080FCDF3}"/>
    <cellStyle name="20% - Énfasis5 2 2 2 2 4 11" xfId="5649" xr:uid="{CE885A91-44F8-4922-8BF2-D9ADAC8F5B65}"/>
    <cellStyle name="20% - Énfasis5 2 2 2 2 4 2" xfId="5650" xr:uid="{F6475BA0-88D8-40A2-B431-7578B6629F70}"/>
    <cellStyle name="20% - Énfasis5 2 2 2 2 4 2 10" xfId="5651" xr:uid="{136177E5-D2D8-4056-9AE9-8F3CE8948F0D}"/>
    <cellStyle name="20% - Énfasis5 2 2 2 2 4 2 11" xfId="5652" xr:uid="{3C2BB9BC-DC0B-4BD6-AC47-30A73E61E906}"/>
    <cellStyle name="20% - Énfasis5 2 2 2 2 4 2 2" xfId="5653" xr:uid="{EF51C4DB-FEAD-44A5-A12D-C470B04FE0BF}"/>
    <cellStyle name="20% - Énfasis5 2 2 2 2 4 2 2 2" xfId="5654" xr:uid="{7ACE5624-8BA0-419D-9BBA-BAE54DDAAD89}"/>
    <cellStyle name="20% - Énfasis5 2 2 2 2 4 2 2 2 2" xfId="5655" xr:uid="{6F912B5B-762F-47EA-8604-6F9A22A0B6C7}"/>
    <cellStyle name="20% - Énfasis5 2 2 2 2 4 2 2 2 3" xfId="5656" xr:uid="{F6DEB64E-C1B1-410A-99D3-E54FDFC8A552}"/>
    <cellStyle name="20% - Énfasis5 2 2 2 2 4 2 2 2 4" xfId="5657" xr:uid="{3D19EE1B-D33F-4EC0-A710-7D8592276A2F}"/>
    <cellStyle name="20% - Énfasis5 2 2 2 2 4 2 2 2 5" xfId="5658" xr:uid="{9D7DB537-1189-4FC0-B733-DCBB81441F22}"/>
    <cellStyle name="20% - Énfasis5 2 2 2 2 4 2 2 3" xfId="5659" xr:uid="{680FA0F7-BE61-4990-9857-2B760EBC4D64}"/>
    <cellStyle name="20% - Énfasis5 2 2 2 2 4 2 2 4" xfId="5660" xr:uid="{AF182946-4454-44CB-AD95-8D7F7A8FED8F}"/>
    <cellStyle name="20% - Énfasis5 2 2 2 2 4 2 2 5" xfId="5661" xr:uid="{8E5082C2-F366-4BAF-9596-A7891B191701}"/>
    <cellStyle name="20% - Énfasis5 2 2 2 2 4 2 3" xfId="5662" xr:uid="{2B923E5F-3000-4B51-BE3F-4BFB8511ED2C}"/>
    <cellStyle name="20% - Énfasis5 2 2 2 2 4 2 4" xfId="5663" xr:uid="{41E46EE6-DA36-4074-B09C-36E1C335C399}"/>
    <cellStyle name="20% - Énfasis5 2 2 2 2 4 2 5" xfId="5664" xr:uid="{F4B5C095-4C96-420F-ACA1-5FB8D7AF9947}"/>
    <cellStyle name="20% - Énfasis5 2 2 2 2 4 2 6" xfId="5665" xr:uid="{B118454B-2E4E-437E-AD7B-6E099C30A13C}"/>
    <cellStyle name="20% - Énfasis5 2 2 2 2 4 2 7" xfId="5666" xr:uid="{C5AE2472-4B4B-4125-A3E1-A8A563D00E55}"/>
    <cellStyle name="20% - Énfasis5 2 2 2 2 4 2 8" xfId="5667" xr:uid="{B40DE0B9-CF2E-4573-8285-374B13F7EE18}"/>
    <cellStyle name="20% - Énfasis5 2 2 2 2 4 2 9" xfId="5668" xr:uid="{8D6B321D-E7AC-459B-B32E-777D4C301879}"/>
    <cellStyle name="20% - Énfasis5 2 2 2 2 4 3" xfId="5669" xr:uid="{D1558E94-1364-41CA-A093-374F5B42B938}"/>
    <cellStyle name="20% - Énfasis5 2 2 2 2 4 3 2" xfId="5670" xr:uid="{1B569C7D-E044-4945-99D4-3FCB12DD22F7}"/>
    <cellStyle name="20% - Énfasis5 2 2 2 2 4 3 2 2" xfId="5671" xr:uid="{0F15EC01-426E-4D18-B307-7AB3C1E2292C}"/>
    <cellStyle name="20% - Énfasis5 2 2 2 2 4 3 2 3" xfId="5672" xr:uid="{DC77DAEE-AB43-4083-B386-02DF7761C14C}"/>
    <cellStyle name="20% - Énfasis5 2 2 2 2 4 3 2 4" xfId="5673" xr:uid="{BF094D7E-03A4-4D4F-B62B-36C536F5BB0B}"/>
    <cellStyle name="20% - Énfasis5 2 2 2 2 4 3 2 5" xfId="5674" xr:uid="{8AA0B97B-257F-4838-BA11-5271D76B8586}"/>
    <cellStyle name="20% - Énfasis5 2 2 2 2 4 3 3" xfId="5675" xr:uid="{F75E9C9C-53B1-4DCA-A671-2784D7C9C50C}"/>
    <cellStyle name="20% - Énfasis5 2 2 2 2 4 3 4" xfId="5676" xr:uid="{6AC64C9A-82A3-446E-8CFB-00FB3BA76BDB}"/>
    <cellStyle name="20% - Énfasis5 2 2 2 2 4 3 5" xfId="5677" xr:uid="{A5D35149-025B-439B-BB9D-5833111FF999}"/>
    <cellStyle name="20% - Énfasis5 2 2 2 2 4 4" xfId="5678" xr:uid="{BC60577B-F01A-4F28-845C-42D24C075CB2}"/>
    <cellStyle name="20% - Énfasis5 2 2 2 2 4 5" xfId="5679" xr:uid="{BFED4F82-EDB4-43CE-9682-5B8AB7696243}"/>
    <cellStyle name="20% - Énfasis5 2 2 2 2 4 6" xfId="5680" xr:uid="{5EA9C3D1-D541-43B3-B077-2A9260BF684B}"/>
    <cellStyle name="20% - Énfasis5 2 2 2 2 4 7" xfId="5681" xr:uid="{59FD632C-95FC-4BB8-8DCF-76B93A75ED38}"/>
    <cellStyle name="20% - Énfasis5 2 2 2 2 4 8" xfId="5682" xr:uid="{E0CDE31D-04CA-4A3F-AC06-EC749CD911B6}"/>
    <cellStyle name="20% - Énfasis5 2 2 2 2 4 9" xfId="5683" xr:uid="{7C812D21-2155-4CF3-AE0C-958A5BE04AD2}"/>
    <cellStyle name="20% - Énfasis5 2 2 2 2 5" xfId="5684" xr:uid="{372AAEC7-B8ED-4BF2-A717-43F93D129F05}"/>
    <cellStyle name="20% - Énfasis5 2 2 2 2 6" xfId="5685" xr:uid="{8AF0E8EF-70DB-4B23-AAF3-D217FCD59DF0}"/>
    <cellStyle name="20% - Énfasis5 2 2 2 2 7" xfId="5686" xr:uid="{4A557AB3-5AB7-4F2A-8A2D-A5AD652095E6}"/>
    <cellStyle name="20% - Énfasis5 2 2 2 2 8" xfId="43857" xr:uid="{FCFE210A-2630-4C61-8AC5-3D4FC42786DB}"/>
    <cellStyle name="20% - Énfasis5 2 2 2 3" xfId="5687" xr:uid="{1BBB4FB6-F019-44D7-B2B2-B3255D919E39}"/>
    <cellStyle name="20% - Énfasis5 2 2 2 3 2" xfId="5688" xr:uid="{C3E78F5D-5A00-4155-A107-485780FF9265}"/>
    <cellStyle name="20% - Énfasis5 2 2 2 3 2 2" xfId="43862" xr:uid="{3F1EA627-6A5C-47BE-8225-C585E06EDD1D}"/>
    <cellStyle name="20% - Énfasis5 2 2 2 3 3" xfId="43861" xr:uid="{130DF8D8-0D6A-477F-81F7-00572902E13F}"/>
    <cellStyle name="20% - Énfasis5 2 2 2 4" xfId="5689" xr:uid="{715ED620-066C-4D84-9454-2285985669D9}"/>
    <cellStyle name="20% - Énfasis5 2 2 2 4 2" xfId="5690" xr:uid="{B1D254F2-D929-4E50-8C0A-89111769DCFD}"/>
    <cellStyle name="20% - Énfasis5 2 2 2 4 3" xfId="43863" xr:uid="{1BD3B8CF-685E-42AD-9E51-E0509156ADF6}"/>
    <cellStyle name="20% - Énfasis5 2 2 2 5" xfId="5691" xr:uid="{1F3853B7-3682-4BA9-84B7-A0A742DB7F6F}"/>
    <cellStyle name="20% - Énfasis5 2 2 2 5 10" xfId="5692" xr:uid="{DD4A3927-9EAC-4065-AD2D-597EEDC5D8A4}"/>
    <cellStyle name="20% - Énfasis5 2 2 2 5 11" xfId="5693" xr:uid="{749E8332-8B34-4A81-8806-F35CBFC3ABB6}"/>
    <cellStyle name="20% - Énfasis5 2 2 2 5 2" xfId="5694" xr:uid="{C0869599-9D0C-46BB-89D8-74B7F359AF9D}"/>
    <cellStyle name="20% - Énfasis5 2 2 2 5 2 10" xfId="5695" xr:uid="{3960611E-F31A-4254-A6CC-11290C397599}"/>
    <cellStyle name="20% - Énfasis5 2 2 2 5 2 11" xfId="5696" xr:uid="{A55D9B56-782F-4883-9B31-3F27D7BB5C7F}"/>
    <cellStyle name="20% - Énfasis5 2 2 2 5 2 2" xfId="5697" xr:uid="{84E6F620-F015-4D5C-8FFF-09B21BB38682}"/>
    <cellStyle name="20% - Énfasis5 2 2 2 5 2 2 2" xfId="5698" xr:uid="{10A29983-725E-4B8E-B360-BA18517C263E}"/>
    <cellStyle name="20% - Énfasis5 2 2 2 5 2 2 2 2" xfId="5699" xr:uid="{27F4D298-882B-40E5-B720-F1A14BA30376}"/>
    <cellStyle name="20% - Énfasis5 2 2 2 5 2 2 2 3" xfId="5700" xr:uid="{21D3693E-F638-4D14-8B17-456921157C72}"/>
    <cellStyle name="20% - Énfasis5 2 2 2 5 2 2 2 4" xfId="5701" xr:uid="{268052DF-20D6-4A64-9C3C-D258AEE2B801}"/>
    <cellStyle name="20% - Énfasis5 2 2 2 5 2 2 2 5" xfId="5702" xr:uid="{1FBF7030-FDFB-4B61-B2AE-7E221A00D671}"/>
    <cellStyle name="20% - Énfasis5 2 2 2 5 2 2 3" xfId="5703" xr:uid="{8D8AE860-8FC4-48FE-816C-7245BF0EC0FB}"/>
    <cellStyle name="20% - Énfasis5 2 2 2 5 2 2 4" xfId="5704" xr:uid="{D64B998C-DCC5-4783-8890-E496B43D1DAA}"/>
    <cellStyle name="20% - Énfasis5 2 2 2 5 2 2 5" xfId="5705" xr:uid="{0C3E1B06-7CDC-484D-9E2F-B2143055B8FF}"/>
    <cellStyle name="20% - Énfasis5 2 2 2 5 2 3" xfId="5706" xr:uid="{F9F7E90D-DEFA-42B3-90DE-15FBAFB9D9DF}"/>
    <cellStyle name="20% - Énfasis5 2 2 2 5 2 4" xfId="5707" xr:uid="{AEBA1788-1870-4EAE-99C2-786EDA24E5F8}"/>
    <cellStyle name="20% - Énfasis5 2 2 2 5 2 5" xfId="5708" xr:uid="{744BB28A-836F-41F7-9936-737D739D97B4}"/>
    <cellStyle name="20% - Énfasis5 2 2 2 5 2 6" xfId="5709" xr:uid="{7D347C6D-BF8F-4B14-B554-F6C03D7312F1}"/>
    <cellStyle name="20% - Énfasis5 2 2 2 5 2 7" xfId="5710" xr:uid="{2FD3B2CF-6067-4EFE-939C-74B6CFDB215B}"/>
    <cellStyle name="20% - Énfasis5 2 2 2 5 2 8" xfId="5711" xr:uid="{EF52C9F2-2572-4A54-9F9A-1C3721178A90}"/>
    <cellStyle name="20% - Énfasis5 2 2 2 5 2 9" xfId="5712" xr:uid="{787B1BB2-A609-4173-96C2-EFEBBC332EF7}"/>
    <cellStyle name="20% - Énfasis5 2 2 2 5 3" xfId="5713" xr:uid="{C6256233-CA03-47C4-AF12-FC9BB2EE0C94}"/>
    <cellStyle name="20% - Énfasis5 2 2 2 5 3 2" xfId="5714" xr:uid="{A8489EBD-8B8E-409D-BAA3-54981A0305E6}"/>
    <cellStyle name="20% - Énfasis5 2 2 2 5 3 2 2" xfId="5715" xr:uid="{F9B11445-A071-48D1-99C2-786CF550A999}"/>
    <cellStyle name="20% - Énfasis5 2 2 2 5 3 2 3" xfId="5716" xr:uid="{BAEC9287-DDDD-42CB-8135-70AC6532ED98}"/>
    <cellStyle name="20% - Énfasis5 2 2 2 5 3 2 4" xfId="5717" xr:uid="{C3B87983-B49B-4D57-86D5-44E82AB905AA}"/>
    <cellStyle name="20% - Énfasis5 2 2 2 5 3 2 5" xfId="5718" xr:uid="{FA919087-10A6-4A1C-839A-B73625FA5506}"/>
    <cellStyle name="20% - Énfasis5 2 2 2 5 3 3" xfId="5719" xr:uid="{F569BD0A-C4D0-4BD6-85F1-522BBFAC20EC}"/>
    <cellStyle name="20% - Énfasis5 2 2 2 5 3 4" xfId="5720" xr:uid="{3C51374F-ED42-4F65-861C-E5E442EA9EEF}"/>
    <cellStyle name="20% - Énfasis5 2 2 2 5 3 5" xfId="5721" xr:uid="{46EFACDF-D9C9-41E8-AE73-ECC3F3234BB5}"/>
    <cellStyle name="20% - Énfasis5 2 2 2 5 4" xfId="5722" xr:uid="{1305E2A9-A927-4CFE-AA29-C325B05660B8}"/>
    <cellStyle name="20% - Énfasis5 2 2 2 5 5" xfId="5723" xr:uid="{AB290FC8-1FED-464D-B180-730066B3E3AF}"/>
    <cellStyle name="20% - Énfasis5 2 2 2 5 6" xfId="5724" xr:uid="{35B5452D-1DC5-464F-B487-3AAE5E75B40D}"/>
    <cellStyle name="20% - Énfasis5 2 2 2 5 7" xfId="5725" xr:uid="{9D730D13-30DE-4FC2-8AB0-47D3EBC25053}"/>
    <cellStyle name="20% - Énfasis5 2 2 2 5 8" xfId="5726" xr:uid="{4330F71E-53E0-44C6-821F-096A0F7CD90E}"/>
    <cellStyle name="20% - Énfasis5 2 2 2 5 9" xfId="5727" xr:uid="{C5C61AAE-59BD-4D01-8443-1B26AAA70B75}"/>
    <cellStyle name="20% - Énfasis5 2 2 2 6" xfId="5728" xr:uid="{1F9041CA-EA7A-46B1-BC1D-1033D9F7D8FF}"/>
    <cellStyle name="20% - Énfasis5 2 2 2 7" xfId="5729" xr:uid="{8CFC4BB0-EB49-4550-B5D0-B260B2172516}"/>
    <cellStyle name="20% - Énfasis5 2 2 2 8" xfId="5730" xr:uid="{9755D833-C4C8-4249-AF6B-4A314B845129}"/>
    <cellStyle name="20% - Énfasis5 2 2 2 9" xfId="43856" xr:uid="{67752DCB-9CBD-40F7-92AE-43F17262D8D0}"/>
    <cellStyle name="20% - Énfasis5 2 2 3" xfId="5731" xr:uid="{35A4B05F-0C10-40ED-9899-74C23E77D5F7}"/>
    <cellStyle name="20% - Énfasis5 2 2 3 2" xfId="5732" xr:uid="{59A2FCB7-A432-4942-AC3A-52FFEBE71C8E}"/>
    <cellStyle name="20% - Énfasis5 2 2 3 2 2" xfId="43866" xr:uid="{54F54482-6884-4F45-8AD1-D12AD7FD10FF}"/>
    <cellStyle name="20% - Énfasis5 2 2 3 2 3" xfId="43865" xr:uid="{70A6D8A9-0B47-4A38-AB9E-F9A075FAAD4B}"/>
    <cellStyle name="20% - Énfasis5 2 2 3 3" xfId="43867" xr:uid="{C5FF601F-F87C-4828-9A3A-0E35549EC567}"/>
    <cellStyle name="20% - Énfasis5 2 2 3 4" xfId="43864" xr:uid="{E1768A94-EAF7-4D96-8454-FA3883A802AA}"/>
    <cellStyle name="20% - Énfasis5 2 2 4" xfId="5733" xr:uid="{C3F20D46-2666-49E6-BA33-FDACA8E40B5E}"/>
    <cellStyle name="20% - Énfasis5 2 2 4 2" xfId="5734" xr:uid="{42A518FE-0CE0-4648-BB78-37B0F971E9BC}"/>
    <cellStyle name="20% - Énfasis5 2 2 4 2 2" xfId="43869" xr:uid="{62DBDBA8-23F0-4101-B6A5-3BE18B044143}"/>
    <cellStyle name="20% - Énfasis5 2 2 4 3" xfId="43868" xr:uid="{F80E9A4E-9813-4EC0-9CE2-889C41CCEFB5}"/>
    <cellStyle name="20% - Énfasis5 2 2 5" xfId="5735" xr:uid="{D887335A-CF46-47D3-A710-98842CCA3100}"/>
    <cellStyle name="20% - Énfasis5 2 2 5 2" xfId="5736" xr:uid="{EAC6D0A1-03F4-464F-A697-F90580D43EB8}"/>
    <cellStyle name="20% - Énfasis5 2 2 5 3" xfId="43870" xr:uid="{26F297E9-0413-4E6A-B3E3-A55580F6610E}"/>
    <cellStyle name="20% - Énfasis5 2 2 6" xfId="5737" xr:uid="{55A57AB0-C9F6-46D3-A5F2-912BBFA59274}"/>
    <cellStyle name="20% - Énfasis5 2 2 6 2" xfId="5738" xr:uid="{52E83160-0D34-49A6-9D1A-8F3D66ADE130}"/>
    <cellStyle name="20% - Énfasis5 2 2 7" xfId="5739" xr:uid="{5D13DE43-EBB8-48B5-BA0F-B7D9601D3988}"/>
    <cellStyle name="20% - Énfasis5 2 2 7 2" xfId="5740" xr:uid="{8C149D74-5573-40A1-805E-CA41CF4FC245}"/>
    <cellStyle name="20% - Énfasis5 2 2 8" xfId="5741" xr:uid="{99A28D04-DFF0-449C-82BD-9D451C7C83B0}"/>
    <cellStyle name="20% - Énfasis5 2 2 8 2" xfId="5742" xr:uid="{8C496F7B-36A3-4883-9499-D537269ED142}"/>
    <cellStyle name="20% - Énfasis5 2 2 8 2 2" xfId="5743" xr:uid="{EF076F29-322C-4FD4-BE40-142E1BB8C1D5}"/>
    <cellStyle name="20% - Énfasis5 2 2 8 3" xfId="5744" xr:uid="{BC3C6404-9E57-4A09-8A4C-0457737B1FE3}"/>
    <cellStyle name="20% - Énfasis5 2 2 9" xfId="5745" xr:uid="{D521BF82-DA3F-4939-AD99-9FAB9B01F177}"/>
    <cellStyle name="20% - Énfasis5 2 2 9 2" xfId="5746" xr:uid="{FDAE85D6-63E1-4476-B37B-C87920E74650}"/>
    <cellStyle name="20% - Énfasis5 2 3" xfId="5747" xr:uid="{B0438B6C-4EA7-4006-957C-10AA8C034D49}"/>
    <cellStyle name="20% - Énfasis5 2 3 2" xfId="5748" xr:uid="{BAB1F6B8-4C28-4241-B050-FBD9A438376E}"/>
    <cellStyle name="20% - Énfasis5 2 3 2 2" xfId="43873" xr:uid="{3B545944-2D52-43AF-BDCB-90FDA81DEC8E}"/>
    <cellStyle name="20% - Énfasis5 2 3 2 2 2" xfId="43874" xr:uid="{9A7F12CA-EA25-4AE6-B3C1-D8025CEF9FE6}"/>
    <cellStyle name="20% - Énfasis5 2 3 2 3" xfId="43875" xr:uid="{BA612BA6-8593-4609-AD26-000FD3CA8087}"/>
    <cellStyle name="20% - Énfasis5 2 3 2 4" xfId="43872" xr:uid="{53331C9B-CA70-4F21-8410-61513E3D397C}"/>
    <cellStyle name="20% - Énfasis5 2 3 3" xfId="43876" xr:uid="{7B99CA9C-F113-4187-B877-9300AA89A3BD}"/>
    <cellStyle name="20% - Énfasis5 2 3 3 2" xfId="43877" xr:uid="{CA0F3BCF-EA45-4D0E-B6E3-7970EA7B4A70}"/>
    <cellStyle name="20% - Énfasis5 2 3 4" xfId="43878" xr:uid="{DAC4957A-19AA-47AE-A2C0-8AC7CF170EE2}"/>
    <cellStyle name="20% - Énfasis5 2 3 5" xfId="43871" xr:uid="{F66746D4-8FC4-469E-A483-CCCC9D22D038}"/>
    <cellStyle name="20% - Énfasis5 2 4" xfId="5749" xr:uid="{105776FB-7C06-4B91-BE29-306B4336DB72}"/>
    <cellStyle name="20% - Énfasis5 2 4 10" xfId="5750" xr:uid="{0A4CD2AE-0423-4325-8969-355B1A1C6C6A}"/>
    <cellStyle name="20% - Énfasis5 2 4 11" xfId="5751" xr:uid="{24735BE5-31B7-4151-AF14-B130443ACE65}"/>
    <cellStyle name="20% - Énfasis5 2 4 12" xfId="5752" xr:uid="{B92F7488-0273-4D8E-9397-C2998B84925A}"/>
    <cellStyle name="20% - Énfasis5 2 4 13" xfId="43879" xr:uid="{B02F0CC0-7082-4C22-B20F-FCA47C1C70D9}"/>
    <cellStyle name="20% - Énfasis5 2 4 2" xfId="5753" xr:uid="{7C2F44CB-903B-40C0-B6C2-079D8CBE9694}"/>
    <cellStyle name="20% - Énfasis5 2 4 2 10" xfId="5754" xr:uid="{342073D6-7B8A-445C-9060-CBC5D37EADBA}"/>
    <cellStyle name="20% - Énfasis5 2 4 2 11" xfId="5755" xr:uid="{A40BFAE9-879F-4EAB-BB4E-662794810176}"/>
    <cellStyle name="20% - Énfasis5 2 4 2 12" xfId="5756" xr:uid="{C7E8063F-C23A-4359-804B-58EF2E59E4CB}"/>
    <cellStyle name="20% - Énfasis5 2 4 2 13" xfId="43880" xr:uid="{2B90A514-71DD-4AC9-BA16-CCF10A71C097}"/>
    <cellStyle name="20% - Énfasis5 2 4 2 2" xfId="5757" xr:uid="{92A06A2B-75D5-44EA-AC96-ABAE7E1895C2}"/>
    <cellStyle name="20% - Énfasis5 2 4 2 2 10" xfId="5758" xr:uid="{271D1193-8B26-41B5-81C1-69C9573D81E1}"/>
    <cellStyle name="20% - Énfasis5 2 4 2 2 11" xfId="5759" xr:uid="{342F0691-9F1E-4646-9267-D7BD55F97FC6}"/>
    <cellStyle name="20% - Énfasis5 2 4 2 2 12" xfId="43881" xr:uid="{F66D09B6-EA8E-432D-912C-2F9522FD6604}"/>
    <cellStyle name="20% - Énfasis5 2 4 2 2 2" xfId="5760" xr:uid="{CB732157-8B5F-4264-A5A3-4EA380C7B9FC}"/>
    <cellStyle name="20% - Énfasis5 2 4 2 2 2 10" xfId="5761" xr:uid="{FAD794AA-AC5A-435D-877D-2275B0E8EE1C}"/>
    <cellStyle name="20% - Énfasis5 2 4 2 2 2 11" xfId="5762" xr:uid="{EB390E05-8D59-4ED5-99E7-B131D4CB3ABE}"/>
    <cellStyle name="20% - Énfasis5 2 4 2 2 2 2" xfId="5763" xr:uid="{917C8039-CCA3-47EF-B6B1-F2D6EDF2128D}"/>
    <cellStyle name="20% - Énfasis5 2 4 2 2 2 2 2" xfId="5764" xr:uid="{73822C47-7E82-496F-950D-A6F6D93F7DE6}"/>
    <cellStyle name="20% - Énfasis5 2 4 2 2 2 2 2 2" xfId="5765" xr:uid="{595B6643-312A-4D21-8582-6A4DEF457732}"/>
    <cellStyle name="20% - Énfasis5 2 4 2 2 2 2 2 3" xfId="5766" xr:uid="{8298EFE1-20B6-4697-BF35-0D52F72D8E65}"/>
    <cellStyle name="20% - Énfasis5 2 4 2 2 2 2 2 4" xfId="5767" xr:uid="{791ADAF3-0729-4D9A-A05A-B85F929F6422}"/>
    <cellStyle name="20% - Énfasis5 2 4 2 2 2 2 2 5" xfId="5768" xr:uid="{B5FC5B86-B925-46D2-A961-163C0A6F924C}"/>
    <cellStyle name="20% - Énfasis5 2 4 2 2 2 2 3" xfId="5769" xr:uid="{9971AC42-073F-4B92-A4D0-A292B0ABDC18}"/>
    <cellStyle name="20% - Énfasis5 2 4 2 2 2 2 4" xfId="5770" xr:uid="{0B56B1F0-B3BF-49F2-909A-EB915D771963}"/>
    <cellStyle name="20% - Énfasis5 2 4 2 2 2 2 5" xfId="5771" xr:uid="{664EE80F-081C-4774-9E04-9AE1A665D454}"/>
    <cellStyle name="20% - Énfasis5 2 4 2 2 2 3" xfId="5772" xr:uid="{E92CECDD-B05E-498C-8C00-417E09C2D720}"/>
    <cellStyle name="20% - Énfasis5 2 4 2 2 2 4" xfId="5773" xr:uid="{B0055078-318E-450A-BD53-01FB305ABC86}"/>
    <cellStyle name="20% - Énfasis5 2 4 2 2 2 5" xfId="5774" xr:uid="{5F6ED2C5-DC76-4EF0-80E7-8EF9DAD0378C}"/>
    <cellStyle name="20% - Énfasis5 2 4 2 2 2 6" xfId="5775" xr:uid="{C9D38267-F1DB-4874-9F79-1D48C1367BFB}"/>
    <cellStyle name="20% - Énfasis5 2 4 2 2 2 7" xfId="5776" xr:uid="{7695DC09-1F9C-4BA5-BB3E-9C4F1139C090}"/>
    <cellStyle name="20% - Énfasis5 2 4 2 2 2 8" xfId="5777" xr:uid="{E3C27C81-D0F2-42AB-88ED-27E71D7679CA}"/>
    <cellStyle name="20% - Énfasis5 2 4 2 2 2 9" xfId="5778" xr:uid="{8E6172B8-0F46-44CB-92A6-E6D4C8D16C6B}"/>
    <cellStyle name="20% - Énfasis5 2 4 2 2 3" xfId="5779" xr:uid="{8212E95A-E8F6-4516-A007-D33AB047C50B}"/>
    <cellStyle name="20% - Énfasis5 2 4 2 2 3 2" xfId="5780" xr:uid="{3270903B-A158-4643-BEA6-4CE6692279AC}"/>
    <cellStyle name="20% - Énfasis5 2 4 2 2 3 2 2" xfId="5781" xr:uid="{2FC35ED8-8874-4B8C-968E-00217CFAD801}"/>
    <cellStyle name="20% - Énfasis5 2 4 2 2 3 2 3" xfId="5782" xr:uid="{72CB0897-1D68-4976-A698-D00E41D2B516}"/>
    <cellStyle name="20% - Énfasis5 2 4 2 2 3 2 4" xfId="5783" xr:uid="{87D32ED8-E243-4ACA-AD1A-40DCDFDD694F}"/>
    <cellStyle name="20% - Énfasis5 2 4 2 2 3 2 5" xfId="5784" xr:uid="{8D1B4B33-41D8-4852-A3CC-F85D83B181FC}"/>
    <cellStyle name="20% - Énfasis5 2 4 2 2 3 3" xfId="5785" xr:uid="{39F7BAA3-7A57-44C1-9941-837E84036C85}"/>
    <cellStyle name="20% - Énfasis5 2 4 2 2 3 4" xfId="5786" xr:uid="{0089FA21-762C-4843-BC39-BFB3681309D3}"/>
    <cellStyle name="20% - Énfasis5 2 4 2 2 3 5" xfId="5787" xr:uid="{B1F7F945-5DB1-4E6C-A528-E94440A32A4F}"/>
    <cellStyle name="20% - Énfasis5 2 4 2 2 4" xfId="5788" xr:uid="{0E799094-ADB9-4A41-AB67-BA6EC9341E8C}"/>
    <cellStyle name="20% - Énfasis5 2 4 2 2 5" xfId="5789" xr:uid="{E21126F1-A293-4815-B364-EE38DE2D6F47}"/>
    <cellStyle name="20% - Énfasis5 2 4 2 2 6" xfId="5790" xr:uid="{C67EF5FA-017C-4A34-AE74-0C8689C0FDE6}"/>
    <cellStyle name="20% - Énfasis5 2 4 2 2 7" xfId="5791" xr:uid="{382DEEF0-F7B0-42B3-B43A-226588DF3386}"/>
    <cellStyle name="20% - Énfasis5 2 4 2 2 8" xfId="5792" xr:uid="{B60CEC3C-46F5-458D-B889-9BDA8A48E237}"/>
    <cellStyle name="20% - Énfasis5 2 4 2 2 9" xfId="5793" xr:uid="{B96F9AF4-95A6-41E8-A77D-87396C3BED23}"/>
    <cellStyle name="20% - Énfasis5 2 4 2 3" xfId="5794" xr:uid="{F063C394-D23B-4279-B469-DEB0ACD1A726}"/>
    <cellStyle name="20% - Énfasis5 2 4 2 3 2" xfId="5795" xr:uid="{06879E75-B480-43DE-93B4-F3A06E5D94D0}"/>
    <cellStyle name="20% - Énfasis5 2 4 2 3 2 2" xfId="5796" xr:uid="{9BD8D10A-CBEE-4C4E-ABC9-E3387D897481}"/>
    <cellStyle name="20% - Énfasis5 2 4 2 3 2 3" xfId="5797" xr:uid="{77BD0D59-3E4A-4EF6-B8FD-7533468BF885}"/>
    <cellStyle name="20% - Énfasis5 2 4 2 3 2 4" xfId="5798" xr:uid="{1A17DDB2-9F14-4EBB-A99E-59DDCBC18188}"/>
    <cellStyle name="20% - Énfasis5 2 4 2 3 2 5" xfId="5799" xr:uid="{B7ADC0C1-D82F-4BF4-B797-4BB719A21191}"/>
    <cellStyle name="20% - Énfasis5 2 4 2 3 3" xfId="5800" xr:uid="{F7C3232A-F066-4649-A704-79396CE3F173}"/>
    <cellStyle name="20% - Énfasis5 2 4 2 3 4" xfId="5801" xr:uid="{29E804CF-DD53-4315-BBF2-3BE6D8BD0F33}"/>
    <cellStyle name="20% - Énfasis5 2 4 2 3 5" xfId="5802" xr:uid="{976B2977-8EA4-4F39-90F3-9E7010724AD3}"/>
    <cellStyle name="20% - Énfasis5 2 4 2 4" xfId="5803" xr:uid="{899034D1-7712-4BEC-8871-864487A4A944}"/>
    <cellStyle name="20% - Énfasis5 2 4 2 5" xfId="5804" xr:uid="{796003E7-CF98-4D95-B2C1-B83A98085705}"/>
    <cellStyle name="20% - Énfasis5 2 4 2 6" xfId="5805" xr:uid="{861A8DFB-2FFF-4096-B6F5-1CDE7ECAD62A}"/>
    <cellStyle name="20% - Énfasis5 2 4 2 7" xfId="5806" xr:uid="{58DA7C4D-1D03-42A1-8661-007CEAFFD561}"/>
    <cellStyle name="20% - Énfasis5 2 4 2 8" xfId="5807" xr:uid="{405EB381-0C63-4E1C-8BA4-A014E386D114}"/>
    <cellStyle name="20% - Énfasis5 2 4 2 9" xfId="5808" xr:uid="{0E7BCCAE-AA68-4870-8BC0-308E9135B119}"/>
    <cellStyle name="20% - Énfasis5 2 4 3" xfId="5809" xr:uid="{04CA11C8-E975-4335-8AEE-99C2BD324C76}"/>
    <cellStyle name="20% - Énfasis5 2 4 3 10" xfId="5810" xr:uid="{67C70C3C-957A-4486-B0C5-3DE749D3A840}"/>
    <cellStyle name="20% - Énfasis5 2 4 3 11" xfId="5811" xr:uid="{8C9521A0-1444-450C-BDCB-3A71C9B76704}"/>
    <cellStyle name="20% - Énfasis5 2 4 3 12" xfId="43882" xr:uid="{7ABEEEEA-4F66-40D6-8AC1-7CB67085311D}"/>
    <cellStyle name="20% - Énfasis5 2 4 3 2" xfId="5812" xr:uid="{769C595B-6A9E-42C4-BE19-6ED7DD8466F4}"/>
    <cellStyle name="20% - Énfasis5 2 4 3 2 2" xfId="5813" xr:uid="{8F9DC5C6-8D32-4476-9966-337E7E0EF0FE}"/>
    <cellStyle name="20% - Énfasis5 2 4 3 2 2 2" xfId="5814" xr:uid="{BA722913-9773-417F-B41C-689A931DDAC3}"/>
    <cellStyle name="20% - Énfasis5 2 4 3 2 2 3" xfId="5815" xr:uid="{19C7DD66-99DC-47F4-BF14-946D04442FBB}"/>
    <cellStyle name="20% - Énfasis5 2 4 3 2 2 4" xfId="5816" xr:uid="{E179D63F-4217-4390-A47C-42A38C144537}"/>
    <cellStyle name="20% - Énfasis5 2 4 3 2 2 5" xfId="5817" xr:uid="{2CBF78DA-9A6E-47FB-84D5-503DE13C14C9}"/>
    <cellStyle name="20% - Énfasis5 2 4 3 2 3" xfId="5818" xr:uid="{C163F737-B9C9-4AD9-9BD7-546997EC1B0B}"/>
    <cellStyle name="20% - Énfasis5 2 4 3 2 4" xfId="5819" xr:uid="{FE576671-E9BD-470D-95CC-66087FEC70FB}"/>
    <cellStyle name="20% - Énfasis5 2 4 3 2 5" xfId="5820" xr:uid="{68A7107D-67DE-4B2E-A063-8EF82B77907E}"/>
    <cellStyle name="20% - Énfasis5 2 4 3 3" xfId="5821" xr:uid="{10718DF4-01AA-47F0-B5E2-9D70C94C87E7}"/>
    <cellStyle name="20% - Énfasis5 2 4 3 4" xfId="5822" xr:uid="{2C884606-FFED-4C28-A0EB-3C87EFA4B3B7}"/>
    <cellStyle name="20% - Énfasis5 2 4 3 5" xfId="5823" xr:uid="{A56692FF-3E81-45E4-8D44-04D115848BB4}"/>
    <cellStyle name="20% - Énfasis5 2 4 3 6" xfId="5824" xr:uid="{0D7504C1-33D4-4ADF-B6C4-DA1C87FEE7A1}"/>
    <cellStyle name="20% - Énfasis5 2 4 3 7" xfId="5825" xr:uid="{76AAAFEA-03B1-4A61-AD07-6B3BBF33E494}"/>
    <cellStyle name="20% - Énfasis5 2 4 3 8" xfId="5826" xr:uid="{7411CCD4-ED06-42B1-A3B6-B204A518C6ED}"/>
    <cellStyle name="20% - Énfasis5 2 4 3 9" xfId="5827" xr:uid="{AFDD0640-4077-46CF-8416-153ACEBBE344}"/>
    <cellStyle name="20% - Énfasis5 2 4 4" xfId="5828" xr:uid="{AA5417E3-11EC-44E9-B0B2-A7AC3DA631ED}"/>
    <cellStyle name="20% - Énfasis5 2 4 4 2" xfId="5829" xr:uid="{E49D1147-FE45-4146-9344-98CE1E80802F}"/>
    <cellStyle name="20% - Énfasis5 2 4 4 2 2" xfId="5830" xr:uid="{E2F111F8-DB99-4332-B587-994ED19A7010}"/>
    <cellStyle name="20% - Énfasis5 2 4 4 2 3" xfId="5831" xr:uid="{6518646D-F09E-403C-8CB8-0F37A3F2357B}"/>
    <cellStyle name="20% - Énfasis5 2 4 4 2 4" xfId="5832" xr:uid="{E410C17A-03E4-4429-9FA3-4DBDA9A2755E}"/>
    <cellStyle name="20% - Énfasis5 2 4 4 2 5" xfId="5833" xr:uid="{067A3746-B299-4405-BE23-3026387D95DA}"/>
    <cellStyle name="20% - Énfasis5 2 4 4 3" xfId="5834" xr:uid="{9A7CCE57-2140-49AB-A27B-3D22AB13192E}"/>
    <cellStyle name="20% - Énfasis5 2 4 4 4" xfId="5835" xr:uid="{5A2E5B9A-6193-410C-922D-BF49592E1F4D}"/>
    <cellStyle name="20% - Énfasis5 2 4 4 5" xfId="5836" xr:uid="{3A4CF425-6001-4AFC-9228-06A5D5A4C981}"/>
    <cellStyle name="20% - Énfasis5 2 4 5" xfId="5837" xr:uid="{92054062-D9C2-4F77-8BBB-3F1C1A8DFD1F}"/>
    <cellStyle name="20% - Énfasis5 2 4 6" xfId="5838" xr:uid="{F95AC725-0B2B-4172-91EB-9120D1D1FFE7}"/>
    <cellStyle name="20% - Énfasis5 2 4 7" xfId="5839" xr:uid="{936E4B48-9BE4-4DAD-BFB2-9836CE5D2C17}"/>
    <cellStyle name="20% - Énfasis5 2 4 8" xfId="5840" xr:uid="{3FDCCA44-B232-4539-8B99-E4EFC4FB1C18}"/>
    <cellStyle name="20% - Énfasis5 2 4 9" xfId="5841" xr:uid="{A4138B11-2962-49D0-9781-836A4E8B7386}"/>
    <cellStyle name="20% - Énfasis5 2 5" xfId="5842" xr:uid="{6CADA56D-3FD3-4DE7-B8EA-5A781AA80763}"/>
    <cellStyle name="20% - Énfasis5 2 5 2" xfId="5843" xr:uid="{EF71CA47-0ACD-4FC9-BA6E-2A3D3D6D72FF}"/>
    <cellStyle name="20% - Énfasis5 2 5 2 2" xfId="43884" xr:uid="{03C6781E-2A84-43D0-82BE-38A822F06240}"/>
    <cellStyle name="20% - Énfasis5 2 5 3" xfId="43883" xr:uid="{40128324-467C-4C0F-8DAD-8C3546F647C9}"/>
    <cellStyle name="20% - Énfasis5 2 6" xfId="5844" xr:uid="{A668B5EE-CD98-4506-AD98-8EDEA9FA7498}"/>
    <cellStyle name="20% - Énfasis5 2 6 2" xfId="5845" xr:uid="{4CD9A2CB-F4EF-435D-9924-0DA8651AEB16}"/>
    <cellStyle name="20% - Énfasis5 2 6 3" xfId="43885" xr:uid="{7DF2181C-8936-491E-80A1-FFE1A9B60820}"/>
    <cellStyle name="20% - Énfasis5 2 7" xfId="5846" xr:uid="{02CFE3FE-C5DA-4551-826F-8D2B2F286F42}"/>
    <cellStyle name="20% - Énfasis5 2 7 2" xfId="5847" xr:uid="{C9949A66-B8FC-45A3-9272-C6EA42A4A256}"/>
    <cellStyle name="20% - Énfasis5 2 8" xfId="5848" xr:uid="{95A72B62-CDD7-41EE-B577-0A9731F200BA}"/>
    <cellStyle name="20% - Énfasis5 2 8 2" xfId="5849" xr:uid="{E7F15DD5-77B5-423F-8A59-003F70779710}"/>
    <cellStyle name="20% - Énfasis5 2 8 2 2" xfId="5850" xr:uid="{B07D3EA6-A071-4CF4-8349-1587C6A8F92A}"/>
    <cellStyle name="20% - Énfasis5 2 8 3" xfId="5851" xr:uid="{25018184-D795-4351-9BCB-794E0EE3F56B}"/>
    <cellStyle name="20% - Énfasis5 2 9" xfId="5852" xr:uid="{276373D8-030A-4FB9-A765-FD1BCBFFC01F}"/>
    <cellStyle name="20% - Énfasis5 2 9 2" xfId="5853" xr:uid="{8112DF09-3165-43EE-9AB9-C556C9FDFF11}"/>
    <cellStyle name="20% - Énfasis5 3" xfId="5854" xr:uid="{65A2EF71-FF74-4260-B779-637B2689E01E}"/>
    <cellStyle name="20% - Énfasis5 3 2" xfId="5855" xr:uid="{5543CC5E-71AF-4816-9541-3618668CF034}"/>
    <cellStyle name="20% - Énfasis5 3 2 2" xfId="5856" xr:uid="{5DE065D0-C774-4FBD-B892-4ADEEB150BE6}"/>
    <cellStyle name="20% - Énfasis5 3 2 2 2" xfId="43889" xr:uid="{09A6ADDF-20BD-448B-8F43-433010218BD1}"/>
    <cellStyle name="20% - Énfasis5 3 2 2 2 2" xfId="43890" xr:uid="{0F24E376-7A0E-4204-985E-14F6BEDF1309}"/>
    <cellStyle name="20% - Énfasis5 3 2 2 3" xfId="43891" xr:uid="{AE44FF8E-14E3-4A0C-82C4-C27EAFB39032}"/>
    <cellStyle name="20% - Énfasis5 3 2 2 4" xfId="43888" xr:uid="{96BEDEDB-4A63-4B3F-A448-16F6D8583908}"/>
    <cellStyle name="20% - Énfasis5 3 2 3" xfId="43892" xr:uid="{C4D1E134-71C6-49A2-A627-2300F364D2CF}"/>
    <cellStyle name="20% - Énfasis5 3 2 3 2" xfId="43893" xr:uid="{202A834E-4B7F-496D-AE52-90F55CB862E0}"/>
    <cellStyle name="20% - Énfasis5 3 2 4" xfId="43894" xr:uid="{6878E874-B307-4903-9B42-449252197AB6}"/>
    <cellStyle name="20% - Énfasis5 3 2 5" xfId="43887" xr:uid="{BEEE649A-263F-4626-8450-9BEEE161C37B}"/>
    <cellStyle name="20% - Énfasis5 3 3" xfId="5857" xr:uid="{0279E950-AC9B-4393-ABB1-8055F0C1199B}"/>
    <cellStyle name="20% - Énfasis5 3 3 2" xfId="5858" xr:uid="{607FF16E-13FD-4E6B-928D-B26B7E5D3899}"/>
    <cellStyle name="20% - Énfasis5 3 3 2 2" xfId="43897" xr:uid="{6E8D55B1-4C83-4340-941A-5B6633520EA2}"/>
    <cellStyle name="20% - Énfasis5 3 3 2 3" xfId="43896" xr:uid="{AF4B7356-90FE-4426-8692-0E50E91AF65A}"/>
    <cellStyle name="20% - Énfasis5 3 3 3" xfId="43898" xr:uid="{81F0FA03-2F8D-4D97-9AE8-0C6C51AB7CDD}"/>
    <cellStyle name="20% - Énfasis5 3 3 4" xfId="43895" xr:uid="{D6F08360-0DBD-49EB-B2ED-D4ED162A9B6C}"/>
    <cellStyle name="20% - Énfasis5 3 4" xfId="5859" xr:uid="{80642E5C-AB90-49DE-B345-902E42DFB29F}"/>
    <cellStyle name="20% - Énfasis5 3 4 2" xfId="43900" xr:uid="{5B0F9DEA-E860-45F1-88F7-E11A45AF1643}"/>
    <cellStyle name="20% - Énfasis5 3 4 3" xfId="43899" xr:uid="{FD8352DE-8430-4A24-8817-B83D69CAC405}"/>
    <cellStyle name="20% - Énfasis5 3 5" xfId="43901" xr:uid="{C8BFEF60-AC32-4E56-81D4-54A3592B762F}"/>
    <cellStyle name="20% - Énfasis5 3 6" xfId="43886" xr:uid="{A7CF146F-64DD-4C23-AB92-EC6624AA0321}"/>
    <cellStyle name="20% - Énfasis5 4" xfId="5860" xr:uid="{645C4C99-AA2E-4358-81E9-42585AA91DDE}"/>
    <cellStyle name="20% - Énfasis5 4 2" xfId="5861" xr:uid="{C63106A8-B6E3-4822-8BA6-4696CDC6C4A3}"/>
    <cellStyle name="20% - Énfasis5 4 2 2" xfId="43904" xr:uid="{535A94C8-2924-466D-8EE2-B662E55DD973}"/>
    <cellStyle name="20% - Énfasis5 4 2 2 2" xfId="43905" xr:uid="{42ED7DE2-85AD-4B17-861E-F042C61F7A7E}"/>
    <cellStyle name="20% - Énfasis5 4 2 3" xfId="43906" xr:uid="{C293B33F-5DB2-4CF1-988A-29FD12EB5AC7}"/>
    <cellStyle name="20% - Énfasis5 4 2 4" xfId="43903" xr:uid="{A9DD4389-6261-45F8-9B7E-70D3430D54FF}"/>
    <cellStyle name="20% - Énfasis5 4 3" xfId="43907" xr:uid="{0257817F-8DB7-455B-B313-2A73144BAD08}"/>
    <cellStyle name="20% - Énfasis5 4 3 2" xfId="43908" xr:uid="{881B3AD2-7219-4281-8370-D48D03A85A61}"/>
    <cellStyle name="20% - Énfasis5 4 4" xfId="43909" xr:uid="{A8E7278B-B94D-413A-ACD0-221A9F168533}"/>
    <cellStyle name="20% - Énfasis5 4 5" xfId="43902" xr:uid="{F96A0C2F-AD53-4B7D-800F-03F9F20F47E7}"/>
    <cellStyle name="20% - Énfasis5 5" xfId="43910" xr:uid="{517B4160-F20A-456D-9D83-721C84408A3B}"/>
    <cellStyle name="20% - Énfasis5 5 2" xfId="43911" xr:uid="{A49E7690-FA57-43BC-88FF-FD68BB22DAFD}"/>
    <cellStyle name="20% - Énfasis5 5 2 2" xfId="43912" xr:uid="{862ABA27-7D02-402F-8095-DDBEC3BAD714}"/>
    <cellStyle name="20% - Énfasis5 5 2 2 2" xfId="43913" xr:uid="{0A153DAA-0D28-4BFD-B365-51415D3A13B5}"/>
    <cellStyle name="20% - Énfasis5 5 2 3" xfId="43914" xr:uid="{90DB86AB-DDD8-47AA-8036-F6F35A33E623}"/>
    <cellStyle name="20% - Énfasis5 5 3" xfId="43915" xr:uid="{082C7C25-3FA8-4DCB-9AB0-D4EC16DAB98C}"/>
    <cellStyle name="20% - Énfasis5 5 3 2" xfId="43916" xr:uid="{B139E15F-6FDB-4D0B-AFD7-C5FDAD682D34}"/>
    <cellStyle name="20% - Énfasis5 5 4" xfId="43917" xr:uid="{CC408D23-58C0-409E-9A1C-AE70AE322142}"/>
    <cellStyle name="20% - Énfasis5 6" xfId="43918" xr:uid="{E2E6CF12-09B9-4BFE-9096-86FB85FAA5D9}"/>
    <cellStyle name="20% - Énfasis5 6 2" xfId="43919" xr:uid="{5E1344C7-8727-457A-BFF3-1A5CEAD65E04}"/>
    <cellStyle name="20% - Énfasis5 6 2 2" xfId="43920" xr:uid="{6494E5BF-7BF1-4322-8904-96F91251BF50}"/>
    <cellStyle name="20% - Énfasis5 6 3" xfId="43921" xr:uid="{046BF1EF-BC50-424E-921B-142A7C9140B1}"/>
    <cellStyle name="20% - Énfasis5 7" xfId="43922" xr:uid="{1B6BBD65-8F5D-41FC-ACD5-E6F48CCF809C}"/>
    <cellStyle name="20% - Énfasis5 7 2" xfId="43923" xr:uid="{1C016D8B-3C12-4CA4-810D-6A028BF502A5}"/>
    <cellStyle name="20% - Énfasis5 8" xfId="43924" xr:uid="{4B493C8B-291D-44EB-960B-5C68D8A639ED}"/>
    <cellStyle name="20% - Énfasis6" xfId="39" builtinId="50" customBuiltin="1"/>
    <cellStyle name="20% - Énfasis6 2" xfId="5862" xr:uid="{CE930650-6A6B-48A8-BADB-84A161862FFD}"/>
    <cellStyle name="20% - Énfasis6 2 10" xfId="5863" xr:uid="{F2DF6917-1953-4FBC-932A-FFF8D235ACFA}"/>
    <cellStyle name="20% - Énfasis6 2 10 10" xfId="5864" xr:uid="{523EB15C-D3A9-4D7F-AE22-D4EA278A9914}"/>
    <cellStyle name="20% - Énfasis6 2 10 11" xfId="5865" xr:uid="{57F17CC7-10A7-4F3F-AE40-91BE1BAC0CDB}"/>
    <cellStyle name="20% - Énfasis6 2 10 2" xfId="5866" xr:uid="{E7235133-6C87-4D59-A873-B156C84DAC13}"/>
    <cellStyle name="20% - Énfasis6 2 10 2 10" xfId="5867" xr:uid="{093A124D-DA92-48D3-8CC5-3DA84D872763}"/>
    <cellStyle name="20% - Énfasis6 2 10 2 11" xfId="5868" xr:uid="{368DD42C-C308-4F84-8C31-51319CA2ED0F}"/>
    <cellStyle name="20% - Énfasis6 2 10 2 2" xfId="5869" xr:uid="{301AF028-7B80-4DEF-9A4A-1F636B532878}"/>
    <cellStyle name="20% - Énfasis6 2 10 2 2 2" xfId="5870" xr:uid="{B620CBE6-D142-4D18-BF8C-BB3B088FF552}"/>
    <cellStyle name="20% - Énfasis6 2 10 2 2 2 2" xfId="5871" xr:uid="{55304976-A211-4733-8BE5-4AAF238E0EC8}"/>
    <cellStyle name="20% - Énfasis6 2 10 2 2 2 3" xfId="5872" xr:uid="{D0ED8700-15C7-46B8-B4CE-C1CE4349E873}"/>
    <cellStyle name="20% - Énfasis6 2 10 2 2 2 4" xfId="5873" xr:uid="{AF983CAB-F957-4117-AAC9-15B0F7B8713F}"/>
    <cellStyle name="20% - Énfasis6 2 10 2 2 2 5" xfId="5874" xr:uid="{76C9F0FA-AB48-498A-97CC-7330536E8174}"/>
    <cellStyle name="20% - Énfasis6 2 10 2 2 3" xfId="5875" xr:uid="{65E9EE98-5306-45A7-9271-636FE9195A3B}"/>
    <cellStyle name="20% - Énfasis6 2 10 2 2 4" xfId="5876" xr:uid="{81A93674-47D4-4A18-8EFB-FDF36CC70D98}"/>
    <cellStyle name="20% - Énfasis6 2 10 2 2 5" xfId="5877" xr:uid="{F6E80142-A01A-4C50-BBCB-1370A9B27F14}"/>
    <cellStyle name="20% - Énfasis6 2 10 2 3" xfId="5878" xr:uid="{7D65DC44-23BD-4F31-8579-7845AA4CAE6C}"/>
    <cellStyle name="20% - Énfasis6 2 10 2 4" xfId="5879" xr:uid="{282E8832-B2F4-4054-AA68-64EFD37B7670}"/>
    <cellStyle name="20% - Énfasis6 2 10 2 5" xfId="5880" xr:uid="{66B1DC49-D2DA-4AFA-BA65-A017A0398706}"/>
    <cellStyle name="20% - Énfasis6 2 10 2 6" xfId="5881" xr:uid="{19380FA3-59DE-485B-9D34-4DF950C17B60}"/>
    <cellStyle name="20% - Énfasis6 2 10 2 7" xfId="5882" xr:uid="{7C8D8886-BB2E-43D7-B588-96F0323A8799}"/>
    <cellStyle name="20% - Énfasis6 2 10 2 8" xfId="5883" xr:uid="{79C991EA-0C8C-4E60-A04B-F001EB3891EB}"/>
    <cellStyle name="20% - Énfasis6 2 10 2 9" xfId="5884" xr:uid="{7CD6461B-1D26-49CC-97D0-48EF67EDC32F}"/>
    <cellStyle name="20% - Énfasis6 2 10 3" xfId="5885" xr:uid="{32967C78-92BA-4C62-B119-B587B0B04F1A}"/>
    <cellStyle name="20% - Énfasis6 2 10 3 2" xfId="5886" xr:uid="{B61DBD79-C4B5-4301-99A9-0D3BBA9ADE70}"/>
    <cellStyle name="20% - Énfasis6 2 10 3 2 2" xfId="5887" xr:uid="{227FBA07-4537-42A2-9EE9-73D30303F293}"/>
    <cellStyle name="20% - Énfasis6 2 10 3 2 3" xfId="5888" xr:uid="{71510114-7635-40ED-A734-7CD20522F6E0}"/>
    <cellStyle name="20% - Énfasis6 2 10 3 2 4" xfId="5889" xr:uid="{FD485557-AA10-4425-83A6-3EF9B6C26504}"/>
    <cellStyle name="20% - Énfasis6 2 10 3 2 5" xfId="5890" xr:uid="{FF171120-EACF-4A2F-BDC0-325A9F4FC571}"/>
    <cellStyle name="20% - Énfasis6 2 10 3 3" xfId="5891" xr:uid="{3E4ACA67-BDCF-4FFA-9AB3-3DCC9A5558FA}"/>
    <cellStyle name="20% - Énfasis6 2 10 3 4" xfId="5892" xr:uid="{6A28165C-1AF5-4BD3-AF76-AB985D9093BF}"/>
    <cellStyle name="20% - Énfasis6 2 10 3 5" xfId="5893" xr:uid="{05786D79-549C-4974-A1F6-C494E2B98B8C}"/>
    <cellStyle name="20% - Énfasis6 2 10 4" xfId="5894" xr:uid="{437699CD-BAF4-487C-9768-9D828DAA3D92}"/>
    <cellStyle name="20% - Énfasis6 2 10 5" xfId="5895" xr:uid="{9D4935C7-7B39-4425-AE80-DB162CD7C03F}"/>
    <cellStyle name="20% - Énfasis6 2 10 6" xfId="5896" xr:uid="{F0D42832-657F-4E96-BF20-883F082FE5C9}"/>
    <cellStyle name="20% - Énfasis6 2 10 7" xfId="5897" xr:uid="{7B2E4473-B7EB-4675-9917-67D85C0F6CEB}"/>
    <cellStyle name="20% - Énfasis6 2 10 8" xfId="5898" xr:uid="{59385739-CD75-4337-9FB9-9F82178AEA3A}"/>
    <cellStyle name="20% - Énfasis6 2 10 9" xfId="5899" xr:uid="{CC727B3D-D17F-42AE-B489-276A28C62385}"/>
    <cellStyle name="20% - Énfasis6 2 11" xfId="5900" xr:uid="{8781FAF5-658D-4647-8F82-B3B5DC164C04}"/>
    <cellStyle name="20% - Énfasis6 2 12" xfId="5901" xr:uid="{FC11D9E0-1521-449D-A68B-646D89FDA6A4}"/>
    <cellStyle name="20% - Énfasis6 2 13" xfId="5902" xr:uid="{B4AD5F7E-8914-4FCF-B358-E5EC74C1503C}"/>
    <cellStyle name="20% - Énfasis6 2 14" xfId="43925" xr:uid="{6CB16453-5C5B-450F-80D8-F145F86F1764}"/>
    <cellStyle name="20% - Énfasis6 2 2" xfId="5903" xr:uid="{C9392F43-F964-4985-89CD-9452C8790841}"/>
    <cellStyle name="20% - Énfasis6 2 2 10" xfId="5904" xr:uid="{83AC332D-6E41-4D12-BEA1-B74B86385D0C}"/>
    <cellStyle name="20% - Énfasis6 2 2 10 10" xfId="5905" xr:uid="{939681F1-7761-4F6E-8EAB-89719711E411}"/>
    <cellStyle name="20% - Énfasis6 2 2 10 11" xfId="5906" xr:uid="{1691A35A-A07E-474F-BE64-78D23E021458}"/>
    <cellStyle name="20% - Énfasis6 2 2 10 2" xfId="5907" xr:uid="{4CECC445-349D-484C-8101-BEA9D5493AE1}"/>
    <cellStyle name="20% - Énfasis6 2 2 10 2 10" xfId="5908" xr:uid="{09157D24-284A-41B7-8276-E3F1674AF7E3}"/>
    <cellStyle name="20% - Énfasis6 2 2 10 2 11" xfId="5909" xr:uid="{7A76045C-33D3-4328-9161-716DAB2D1E1E}"/>
    <cellStyle name="20% - Énfasis6 2 2 10 2 2" xfId="5910" xr:uid="{DCD4EECB-F7EE-41D7-B809-110BC7C3A2BD}"/>
    <cellStyle name="20% - Énfasis6 2 2 10 2 2 2" xfId="5911" xr:uid="{D24A8631-3487-42F5-B63C-1B69B16C9E25}"/>
    <cellStyle name="20% - Énfasis6 2 2 10 2 2 2 2" xfId="5912" xr:uid="{2CBA5632-39C2-495B-9166-449077A39A7E}"/>
    <cellStyle name="20% - Énfasis6 2 2 10 2 2 2 3" xfId="5913" xr:uid="{EA6DFB16-907D-439F-B836-21928676436E}"/>
    <cellStyle name="20% - Énfasis6 2 2 10 2 2 2 4" xfId="5914" xr:uid="{8588E7A8-94AA-4E1F-9AF3-B19FD66B6AE9}"/>
    <cellStyle name="20% - Énfasis6 2 2 10 2 2 2 5" xfId="5915" xr:uid="{D59014AB-1BA6-4CDC-9FC4-FF0957492C87}"/>
    <cellStyle name="20% - Énfasis6 2 2 10 2 2 3" xfId="5916" xr:uid="{10FC2B11-B397-47D0-9DAD-071D47DE20BF}"/>
    <cellStyle name="20% - Énfasis6 2 2 10 2 2 4" xfId="5917" xr:uid="{A3AA9316-EBAE-4DCB-8F4E-89895246C7D8}"/>
    <cellStyle name="20% - Énfasis6 2 2 10 2 2 5" xfId="5918" xr:uid="{FAD8EF72-8574-4587-97C8-E448448D60D1}"/>
    <cellStyle name="20% - Énfasis6 2 2 10 2 3" xfId="5919" xr:uid="{1A3ADB5A-8F5B-4C0B-810F-324DBC239F98}"/>
    <cellStyle name="20% - Énfasis6 2 2 10 2 4" xfId="5920" xr:uid="{0A0D7432-0CFD-4726-9B3E-88A1DAF15A2F}"/>
    <cellStyle name="20% - Énfasis6 2 2 10 2 5" xfId="5921" xr:uid="{0BA4BCEC-F747-40A6-8314-0ACE27FDA5BE}"/>
    <cellStyle name="20% - Énfasis6 2 2 10 2 6" xfId="5922" xr:uid="{809D4349-EBBE-4C91-8B5E-949EC8139BEA}"/>
    <cellStyle name="20% - Énfasis6 2 2 10 2 7" xfId="5923" xr:uid="{4AD26D85-418B-42A9-9E9D-D0126D1C58D2}"/>
    <cellStyle name="20% - Énfasis6 2 2 10 2 8" xfId="5924" xr:uid="{292B646D-DFA4-4C1D-B3E1-BD82501DAB3E}"/>
    <cellStyle name="20% - Énfasis6 2 2 10 2 9" xfId="5925" xr:uid="{E2FDBB3F-D505-48BA-8BFE-2FAFA73F03A9}"/>
    <cellStyle name="20% - Énfasis6 2 2 10 3" xfId="5926" xr:uid="{B6DAC4FF-27C1-4631-8D4D-AF600048C205}"/>
    <cellStyle name="20% - Énfasis6 2 2 10 3 2" xfId="5927" xr:uid="{E052218C-6DAB-41B5-A85A-BCDDB70DDD7A}"/>
    <cellStyle name="20% - Énfasis6 2 2 10 3 2 2" xfId="5928" xr:uid="{9B076B39-3384-4E52-8DDF-BAC775BB8D89}"/>
    <cellStyle name="20% - Énfasis6 2 2 10 3 2 3" xfId="5929" xr:uid="{D8A26227-56F5-4780-A7D2-179CAA788B26}"/>
    <cellStyle name="20% - Énfasis6 2 2 10 3 2 4" xfId="5930" xr:uid="{B1C37B12-79C4-4598-AEA3-0079978D6D1D}"/>
    <cellStyle name="20% - Énfasis6 2 2 10 3 2 5" xfId="5931" xr:uid="{0EB3FE31-2C8F-4039-BF99-F132019D58F2}"/>
    <cellStyle name="20% - Énfasis6 2 2 10 3 3" xfId="5932" xr:uid="{7A36C473-0C3B-4854-B05C-3B6F30614722}"/>
    <cellStyle name="20% - Énfasis6 2 2 10 3 4" xfId="5933" xr:uid="{42B1091C-5189-49FE-A51C-9D284D3905EB}"/>
    <cellStyle name="20% - Énfasis6 2 2 10 3 5" xfId="5934" xr:uid="{E742A96A-A46D-41AC-9B07-26C9B66EC716}"/>
    <cellStyle name="20% - Énfasis6 2 2 10 4" xfId="5935" xr:uid="{EE21F0A8-A45A-411B-A500-23890FD6C59C}"/>
    <cellStyle name="20% - Énfasis6 2 2 10 5" xfId="5936" xr:uid="{EAFF40E0-0C4B-4E0F-9034-94A6FAF17148}"/>
    <cellStyle name="20% - Énfasis6 2 2 10 6" xfId="5937" xr:uid="{463EB9C2-02AE-4502-B4CE-25276EBDE7F0}"/>
    <cellStyle name="20% - Énfasis6 2 2 10 7" xfId="5938" xr:uid="{C3AD1E54-7DDE-489C-9004-DFE138AB9C96}"/>
    <cellStyle name="20% - Énfasis6 2 2 10 8" xfId="5939" xr:uid="{38BAC113-98C3-4462-AFB0-2C3540E62304}"/>
    <cellStyle name="20% - Énfasis6 2 2 10 9" xfId="5940" xr:uid="{F9A5A488-387D-42E2-94A1-2B8C1561B0A4}"/>
    <cellStyle name="20% - Énfasis6 2 2 11" xfId="5941" xr:uid="{979DE7A2-BC8A-44EC-90E5-1DB723E9AF2C}"/>
    <cellStyle name="20% - Énfasis6 2 2 12" xfId="5942" xr:uid="{1F41B7DF-F01E-443B-AB2C-5A131C196F9A}"/>
    <cellStyle name="20% - Énfasis6 2 2 13" xfId="5943" xr:uid="{5E6258C1-6FD3-4BF4-8447-487F0319E5AF}"/>
    <cellStyle name="20% - Énfasis6 2 2 14" xfId="43926" xr:uid="{0BD024AC-ECAA-4C4E-8C4C-D84A044BABF0}"/>
    <cellStyle name="20% - Énfasis6 2 2 2" xfId="5944" xr:uid="{E968032E-E6A1-4D93-B16F-DBF1BF89407E}"/>
    <cellStyle name="20% - Énfasis6 2 2 2 2" xfId="5945" xr:uid="{58EE9BFC-2D95-4BF3-8871-926A30A01546}"/>
    <cellStyle name="20% - Énfasis6 2 2 2 2 2" xfId="5946" xr:uid="{4EEBEE75-93DF-400A-B954-7D581E035D5D}"/>
    <cellStyle name="20% - Énfasis6 2 2 2 2 2 2" xfId="5947" xr:uid="{39064E62-050E-496B-998F-AA1C35AFE29F}"/>
    <cellStyle name="20% - Énfasis6 2 2 2 2 2 2 2" xfId="5948" xr:uid="{D245587C-242F-406E-8D1A-E3F884FDE7C6}"/>
    <cellStyle name="20% - Énfasis6 2 2 2 2 2 2 2 2" xfId="5949" xr:uid="{A661D6F4-F2AC-47EB-8A9B-3B6AB9BEDAC6}"/>
    <cellStyle name="20% - Énfasis6 2 2 2 2 2 2 2 2 2" xfId="5950" xr:uid="{B98B154E-90A4-4740-BB45-8A0516594A7D}"/>
    <cellStyle name="20% - Énfasis6 2 2 2 2 2 2 2 2 2 2" xfId="5951" xr:uid="{08A3877D-1B4D-4C2C-BA58-71809016FCCE}"/>
    <cellStyle name="20% - Énfasis6 2 2 2 2 2 2 2 2 2 2 2" xfId="5952" xr:uid="{B28CA2F7-3408-433D-9F61-FFBF52956EBE}"/>
    <cellStyle name="20% - Énfasis6 2 2 2 2 2 2 2 2 2 2 2 2" xfId="5953" xr:uid="{83B97C97-3A5A-470B-8CB4-65105982C09C}"/>
    <cellStyle name="20% - Énfasis6 2 2 2 2 2 2 2 2 2 2 2 2 2" xfId="5954" xr:uid="{535A755A-0050-4BBF-B305-ECACC5EFEAA8}"/>
    <cellStyle name="20% - Énfasis6 2 2 2 2 2 2 2 2 2 2 2 2 2 2" xfId="5955" xr:uid="{2C444F71-1E47-4567-ABD6-E2EDC8D04A50}"/>
    <cellStyle name="20% - Énfasis6 2 2 2 2 2 2 2 2 2 2 2 2 2 3" xfId="5956" xr:uid="{3A2608DD-57D9-4FDA-8E57-587A39691936}"/>
    <cellStyle name="20% - Énfasis6 2 2 2 2 2 2 2 2 2 2 2 2 2 4" xfId="5957" xr:uid="{757CDC0A-9FFA-4FD6-A3E5-60F1208F2C78}"/>
    <cellStyle name="20% - Énfasis6 2 2 2 2 2 2 2 2 2 2 2 2 2 5" xfId="5958" xr:uid="{80C8F484-941F-4AFC-945B-5181A16FDDD6}"/>
    <cellStyle name="20% - Énfasis6 2 2 2 2 2 2 2 2 2 2 2 2 3" xfId="5959" xr:uid="{9B5DECE2-C85C-4A41-8811-F19CCCCB66C5}"/>
    <cellStyle name="20% - Énfasis6 2 2 2 2 2 2 2 2 2 2 2 2 4" xfId="5960" xr:uid="{A618FFE3-80DD-4B6A-B0DD-18F80F8D143C}"/>
    <cellStyle name="20% - Énfasis6 2 2 2 2 2 2 2 2 2 2 2 2 5" xfId="5961" xr:uid="{64C99952-2C3A-4887-9E0D-76BF0A69858D}"/>
    <cellStyle name="20% - Énfasis6 2 2 2 2 2 2 2 2 2 2 2 3" xfId="5962" xr:uid="{BE6E53A6-B485-4D47-BB9A-4F8CEB896DAE}"/>
    <cellStyle name="20% - Énfasis6 2 2 2 2 2 2 2 2 2 2 2 4" xfId="5963" xr:uid="{8BC3FFC7-C019-41F0-84A2-B3F7C14AF1DD}"/>
    <cellStyle name="20% - Énfasis6 2 2 2 2 2 2 2 2 2 2 2 5" xfId="5964" xr:uid="{91D8F9C5-75CC-4BB8-9EBC-33F18CCC9BEE}"/>
    <cellStyle name="20% - Énfasis6 2 2 2 2 2 2 2 2 2 2 2 6" xfId="5965" xr:uid="{36BEE3ED-6559-4C27-B842-51E616570CF6}"/>
    <cellStyle name="20% - Énfasis6 2 2 2 2 2 2 2 2 2 2 3" xfId="5966" xr:uid="{056AF210-0936-4B9A-A6DF-CD78EC5721F2}"/>
    <cellStyle name="20% - Énfasis6 2 2 2 2 2 2 2 2 2 2 4" xfId="5967" xr:uid="{DBA553D4-4975-4FD2-9A8C-9E8368A0454E}"/>
    <cellStyle name="20% - Énfasis6 2 2 2 2 2 2 2 2 2 3" xfId="5968" xr:uid="{96DCC386-D3CA-4641-AA65-1CE9A9E7402E}"/>
    <cellStyle name="20% - Énfasis6 2 2 2 2 2 2 2 2 2 4" xfId="5969" xr:uid="{4F0C13B1-4357-4570-AF48-98510B258006}"/>
    <cellStyle name="20% - Énfasis6 2 2 2 2 2 2 2 2 3" xfId="5970" xr:uid="{CADE5A64-AA7D-43B2-A38C-69012463B0A7}"/>
    <cellStyle name="20% - Énfasis6 2 2 2 2 2 2 2 2 4" xfId="5971" xr:uid="{5BA12251-A417-407C-8880-E978D0C38A32}"/>
    <cellStyle name="20% - Énfasis6 2 2 2 2 2 2 2 2 5" xfId="5972" xr:uid="{804B01AC-ACC0-4987-BAC7-BF3B3B0553C3}"/>
    <cellStyle name="20% - Énfasis6 2 2 2 2 2 2 2 3" xfId="5973" xr:uid="{611E4775-02AD-4CD4-BBA2-145354C94C6C}"/>
    <cellStyle name="20% - Énfasis6 2 2 2 2 2 2 2 3 10" xfId="5974" xr:uid="{C16F2B07-F163-4F96-A891-D334C00B8FA2}"/>
    <cellStyle name="20% - Énfasis6 2 2 2 2 2 2 2 3 11" xfId="5975" xr:uid="{4872E72D-3EE2-4821-BA21-6C76689E6251}"/>
    <cellStyle name="20% - Énfasis6 2 2 2 2 2 2 2 3 2" xfId="5976" xr:uid="{48703118-2BEB-4F6C-A1F8-7F693A41CB16}"/>
    <cellStyle name="20% - Énfasis6 2 2 2 2 2 2 2 3 2 2" xfId="5977" xr:uid="{FB057DA6-967F-4085-AC36-166BC6A95044}"/>
    <cellStyle name="20% - Énfasis6 2 2 2 2 2 2 2 3 2 2 2" xfId="5978" xr:uid="{3FCC9DC6-7319-4499-A05C-CA331AB18335}"/>
    <cellStyle name="20% - Énfasis6 2 2 2 2 2 2 2 3 2 2 3" xfId="5979" xr:uid="{53E2BBF9-7C70-443B-9079-C5288D204389}"/>
    <cellStyle name="20% - Énfasis6 2 2 2 2 2 2 2 3 2 2 4" xfId="5980" xr:uid="{5652CBC7-22F1-422F-A85F-39EC1B30E763}"/>
    <cellStyle name="20% - Énfasis6 2 2 2 2 2 2 2 3 2 2 5" xfId="5981" xr:uid="{B634022D-C965-4A28-8F14-8A3553F4122E}"/>
    <cellStyle name="20% - Énfasis6 2 2 2 2 2 2 2 3 2 3" xfId="5982" xr:uid="{33C11090-7FAE-4CC3-8E86-BAE5DF764BD7}"/>
    <cellStyle name="20% - Énfasis6 2 2 2 2 2 2 2 3 2 4" xfId="5983" xr:uid="{73BAE689-DBB5-4546-B7D2-952DD40C3F14}"/>
    <cellStyle name="20% - Énfasis6 2 2 2 2 2 2 2 3 2 5" xfId="5984" xr:uid="{7235E33F-2DC6-494D-9FE3-D85EE686A629}"/>
    <cellStyle name="20% - Énfasis6 2 2 2 2 2 2 2 3 3" xfId="5985" xr:uid="{15C69A44-11C5-4FEB-8F54-FC704F10ABEE}"/>
    <cellStyle name="20% - Énfasis6 2 2 2 2 2 2 2 3 4" xfId="5986" xr:uid="{62909EDB-99E8-41B9-8A03-9EAB8D0FC0B7}"/>
    <cellStyle name="20% - Énfasis6 2 2 2 2 2 2 2 3 5" xfId="5987" xr:uid="{6277D456-57D9-4CA2-AF68-D70586DABD8E}"/>
    <cellStyle name="20% - Énfasis6 2 2 2 2 2 2 2 3 6" xfId="5988" xr:uid="{562E6E53-52C8-407C-8FF3-9A11F3167E8E}"/>
    <cellStyle name="20% - Énfasis6 2 2 2 2 2 2 2 3 7" xfId="5989" xr:uid="{7EEB164A-55EE-44A1-89FA-4DCF38A06FFE}"/>
    <cellStyle name="20% - Énfasis6 2 2 2 2 2 2 2 3 8" xfId="5990" xr:uid="{D1A1A45D-BB3B-429A-9027-D156D5DD8DAA}"/>
    <cellStyle name="20% - Énfasis6 2 2 2 2 2 2 2 3 9" xfId="5991" xr:uid="{6F58C4FF-EABA-4E89-A29D-DE1FC6BFAB33}"/>
    <cellStyle name="20% - Énfasis6 2 2 2 2 2 2 2 4" xfId="5992" xr:uid="{CDE7CF72-176D-4661-A095-D69AE66D8879}"/>
    <cellStyle name="20% - Énfasis6 2 2 2 2 2 2 2 5" xfId="5993" xr:uid="{53989281-2261-445E-9277-DA232F8EC696}"/>
    <cellStyle name="20% - Énfasis6 2 2 2 2 2 2 3" xfId="5994" xr:uid="{775B2403-2A54-4649-B8B6-B8573E3AC588}"/>
    <cellStyle name="20% - Énfasis6 2 2 2 2 2 2 3 10" xfId="5995" xr:uid="{FAD33954-5EA5-4C03-A6C2-C3EAB487A54B}"/>
    <cellStyle name="20% - Énfasis6 2 2 2 2 2 2 3 11" xfId="5996" xr:uid="{800739C7-4BAB-427A-9875-49E07A8021ED}"/>
    <cellStyle name="20% - Énfasis6 2 2 2 2 2 2 3 2" xfId="5997" xr:uid="{29C4BFAE-B175-4E17-8A77-FAAD8970C2E7}"/>
    <cellStyle name="20% - Énfasis6 2 2 2 2 2 2 3 2 10" xfId="5998" xr:uid="{12E8A2CB-5226-41DD-A96F-0EEDFF1645AC}"/>
    <cellStyle name="20% - Énfasis6 2 2 2 2 2 2 3 2 11" xfId="5999" xr:uid="{92F93383-92F2-4C1A-B8A4-396938CF214C}"/>
    <cellStyle name="20% - Énfasis6 2 2 2 2 2 2 3 2 2" xfId="6000" xr:uid="{D7353706-D5C1-44F6-AD86-CC7432311424}"/>
    <cellStyle name="20% - Énfasis6 2 2 2 2 2 2 3 2 2 2" xfId="6001" xr:uid="{28D356FB-6DD2-43B6-95AC-7DB75B2ADA26}"/>
    <cellStyle name="20% - Énfasis6 2 2 2 2 2 2 3 2 2 2 2" xfId="6002" xr:uid="{F44FC045-3F16-4CAD-90D9-80086B74B135}"/>
    <cellStyle name="20% - Énfasis6 2 2 2 2 2 2 3 2 2 2 3" xfId="6003" xr:uid="{DF4AC2B7-C3BD-4EEC-AE13-C6BD64AC85BC}"/>
    <cellStyle name="20% - Énfasis6 2 2 2 2 2 2 3 2 2 2 4" xfId="6004" xr:uid="{63A11E71-C6D2-4C2C-A83D-FD71BA62E1EF}"/>
    <cellStyle name="20% - Énfasis6 2 2 2 2 2 2 3 2 2 2 5" xfId="6005" xr:uid="{304183E3-9CEB-4F2A-91C1-788566AC9983}"/>
    <cellStyle name="20% - Énfasis6 2 2 2 2 2 2 3 2 2 3" xfId="6006" xr:uid="{5DB494F0-065C-4D4C-B320-8A52B3A1C382}"/>
    <cellStyle name="20% - Énfasis6 2 2 2 2 2 2 3 2 2 4" xfId="6007" xr:uid="{885A3CEB-8242-46E1-AF1A-80E88E3FFF8F}"/>
    <cellStyle name="20% - Énfasis6 2 2 2 2 2 2 3 2 2 5" xfId="6008" xr:uid="{49864973-7406-4481-88ED-5BA0FADFE6D1}"/>
    <cellStyle name="20% - Énfasis6 2 2 2 2 2 2 3 2 3" xfId="6009" xr:uid="{1B7115C1-D8B4-4ABC-91EE-72E8FC7BEF02}"/>
    <cellStyle name="20% - Énfasis6 2 2 2 2 2 2 3 2 4" xfId="6010" xr:uid="{9F31C3C3-1FCB-45B8-A839-B6F5E7BD502F}"/>
    <cellStyle name="20% - Énfasis6 2 2 2 2 2 2 3 2 5" xfId="6011" xr:uid="{02AC38EA-21AE-463B-BA52-B7C983E8FF61}"/>
    <cellStyle name="20% - Énfasis6 2 2 2 2 2 2 3 2 6" xfId="6012" xr:uid="{E4C10A87-7851-40C2-85DD-3E7170A7B64E}"/>
    <cellStyle name="20% - Énfasis6 2 2 2 2 2 2 3 2 7" xfId="6013" xr:uid="{56295392-7544-4A8B-9357-FB8492C8C68D}"/>
    <cellStyle name="20% - Énfasis6 2 2 2 2 2 2 3 2 8" xfId="6014" xr:uid="{950C5F93-7F13-4E35-92C6-9387E7418DCC}"/>
    <cellStyle name="20% - Énfasis6 2 2 2 2 2 2 3 2 9" xfId="6015" xr:uid="{B6C9E159-2725-485B-A1BE-58BA4184CBC9}"/>
    <cellStyle name="20% - Énfasis6 2 2 2 2 2 2 3 3" xfId="6016" xr:uid="{E5131B23-D844-42F5-9F85-40BE06C6A6E9}"/>
    <cellStyle name="20% - Énfasis6 2 2 2 2 2 2 3 3 2" xfId="6017" xr:uid="{8C2A32B7-7D4A-457F-A4D4-A8CE7CF31611}"/>
    <cellStyle name="20% - Énfasis6 2 2 2 2 2 2 3 3 2 2" xfId="6018" xr:uid="{03897395-1A63-4903-82E0-4F5E35C30A1B}"/>
    <cellStyle name="20% - Énfasis6 2 2 2 2 2 2 3 3 2 3" xfId="6019" xr:uid="{B53BFC8F-0B60-4606-954E-2190BC0FA49B}"/>
    <cellStyle name="20% - Énfasis6 2 2 2 2 2 2 3 3 2 4" xfId="6020" xr:uid="{39897F6D-5BB0-4B5C-9C7C-7A2381FCD97E}"/>
    <cellStyle name="20% - Énfasis6 2 2 2 2 2 2 3 3 2 5" xfId="6021" xr:uid="{3A79A2F0-EA49-48AA-B74D-9D91EB09BE64}"/>
    <cellStyle name="20% - Énfasis6 2 2 2 2 2 2 3 3 3" xfId="6022" xr:uid="{1942437D-DEB6-429C-91E1-6F874AD55314}"/>
    <cellStyle name="20% - Énfasis6 2 2 2 2 2 2 3 3 4" xfId="6023" xr:uid="{2EE3C07E-55AA-4065-BA2D-BC6A063E872C}"/>
    <cellStyle name="20% - Énfasis6 2 2 2 2 2 2 3 3 5" xfId="6024" xr:uid="{22E8C750-480B-42F4-9D71-AC213F541878}"/>
    <cellStyle name="20% - Énfasis6 2 2 2 2 2 2 3 4" xfId="6025" xr:uid="{934AB108-845E-4157-A694-C0DE9E9BAD84}"/>
    <cellStyle name="20% - Énfasis6 2 2 2 2 2 2 3 5" xfId="6026" xr:uid="{3B29D864-50E4-4CDB-B0EB-13E94FB501CB}"/>
    <cellStyle name="20% - Énfasis6 2 2 2 2 2 2 3 6" xfId="6027" xr:uid="{443652D2-3E9D-4741-B9BF-4CB049AF5C4F}"/>
    <cellStyle name="20% - Énfasis6 2 2 2 2 2 2 3 7" xfId="6028" xr:uid="{6CC92C71-37CD-46A6-870B-AF7C9DC90F37}"/>
    <cellStyle name="20% - Énfasis6 2 2 2 2 2 2 3 8" xfId="6029" xr:uid="{3D4D9D05-9612-4C9A-A5F9-099DCF6BBCC6}"/>
    <cellStyle name="20% - Énfasis6 2 2 2 2 2 2 3 9" xfId="6030" xr:uid="{2FE8F771-0C93-4D27-A8C9-F95572EA6FFC}"/>
    <cellStyle name="20% - Énfasis6 2 2 2 2 2 2 4" xfId="6031" xr:uid="{3C262E6E-31A4-49C8-B17F-2ED54FEC251D}"/>
    <cellStyle name="20% - Énfasis6 2 2 2 2 2 2 5" xfId="6032" xr:uid="{7E26CAA2-4795-4F63-B5C2-610238D37C17}"/>
    <cellStyle name="20% - Énfasis6 2 2 2 2 2 2 6" xfId="6033" xr:uid="{0F2EE048-12CA-4DC6-AFFA-B74A125C2534}"/>
    <cellStyle name="20% - Énfasis6 2 2 2 2 2 2 7" xfId="43930" xr:uid="{BAEFFD00-2ABD-49EC-80FE-934790D32D45}"/>
    <cellStyle name="20% - Énfasis6 2 2 2 2 2 3" xfId="6034" xr:uid="{E8D1A873-817C-4966-AF11-6ABF5C33DBC4}"/>
    <cellStyle name="20% - Énfasis6 2 2 2 2 2 3 10" xfId="6035" xr:uid="{DB0EE29A-FE82-44BF-88B9-D6550428A37A}"/>
    <cellStyle name="20% - Énfasis6 2 2 2 2 2 3 11" xfId="6036" xr:uid="{6EDCBDF0-9A82-4D7C-8A91-C9AFFD0BCFDE}"/>
    <cellStyle name="20% - Énfasis6 2 2 2 2 2 3 2" xfId="6037" xr:uid="{8DC09130-C8ED-4B66-A3EC-F352BC2F50B2}"/>
    <cellStyle name="20% - Énfasis6 2 2 2 2 2 3 2 10" xfId="6038" xr:uid="{42356018-E3A1-4D87-AB6D-60D91AD108AC}"/>
    <cellStyle name="20% - Énfasis6 2 2 2 2 2 3 2 11" xfId="6039" xr:uid="{506A2E7E-4E54-4954-83F1-FB5E6409296F}"/>
    <cellStyle name="20% - Énfasis6 2 2 2 2 2 3 2 2" xfId="6040" xr:uid="{9C48D71C-E612-42DE-B7D6-EB7F388E5E8A}"/>
    <cellStyle name="20% - Énfasis6 2 2 2 2 2 3 2 2 2" xfId="6041" xr:uid="{C65A6001-5B00-4C72-9D7F-0A4E49FBF2FD}"/>
    <cellStyle name="20% - Énfasis6 2 2 2 2 2 3 2 2 2 2" xfId="6042" xr:uid="{0465A38B-C999-4B1E-866C-9659721E55AF}"/>
    <cellStyle name="20% - Énfasis6 2 2 2 2 2 3 2 2 2 3" xfId="6043" xr:uid="{34407F92-6B53-4A76-AA78-4B70A0934F06}"/>
    <cellStyle name="20% - Énfasis6 2 2 2 2 2 3 2 2 2 4" xfId="6044" xr:uid="{E2F326D9-91FF-477F-8035-8826EECEDCB8}"/>
    <cellStyle name="20% - Énfasis6 2 2 2 2 2 3 2 2 2 5" xfId="6045" xr:uid="{EF57FB63-516E-451C-9138-040C5030E312}"/>
    <cellStyle name="20% - Énfasis6 2 2 2 2 2 3 2 2 3" xfId="6046" xr:uid="{2EA4F6E1-7EF5-49E9-A9DE-55DA11E6503E}"/>
    <cellStyle name="20% - Énfasis6 2 2 2 2 2 3 2 2 4" xfId="6047" xr:uid="{E95CCED8-DBA3-45EA-9CDF-BC2D93D0D535}"/>
    <cellStyle name="20% - Énfasis6 2 2 2 2 2 3 2 2 5" xfId="6048" xr:uid="{B54B7FFD-A382-4096-938A-E36360CB5D12}"/>
    <cellStyle name="20% - Énfasis6 2 2 2 2 2 3 2 3" xfId="6049" xr:uid="{16A50811-64E6-411E-B0CC-337010704EEB}"/>
    <cellStyle name="20% - Énfasis6 2 2 2 2 2 3 2 4" xfId="6050" xr:uid="{D044D969-183D-434E-95DF-66716B4FF3D1}"/>
    <cellStyle name="20% - Énfasis6 2 2 2 2 2 3 2 5" xfId="6051" xr:uid="{00321C8D-7D32-4149-80D3-84E800FCDDD5}"/>
    <cellStyle name="20% - Énfasis6 2 2 2 2 2 3 2 6" xfId="6052" xr:uid="{FD8DD6C9-B574-47FD-9C34-5FD8E5B881E4}"/>
    <cellStyle name="20% - Énfasis6 2 2 2 2 2 3 2 7" xfId="6053" xr:uid="{3D0CB089-2416-468D-A293-EDCF0AC6BD5D}"/>
    <cellStyle name="20% - Énfasis6 2 2 2 2 2 3 2 8" xfId="6054" xr:uid="{8396FD44-2FF3-41F5-9578-8604B10CCA83}"/>
    <cellStyle name="20% - Énfasis6 2 2 2 2 2 3 2 9" xfId="6055" xr:uid="{F05B33B2-4122-4F2A-B3E7-67D72E322AC0}"/>
    <cellStyle name="20% - Énfasis6 2 2 2 2 2 3 3" xfId="6056" xr:uid="{DB220E89-5B12-4890-B2E6-778336046C16}"/>
    <cellStyle name="20% - Énfasis6 2 2 2 2 2 3 3 2" xfId="6057" xr:uid="{96A14ABD-252F-4B65-92B9-C6B886894ACE}"/>
    <cellStyle name="20% - Énfasis6 2 2 2 2 2 3 3 2 2" xfId="6058" xr:uid="{0537AD51-270E-4925-AB1D-933532AE5929}"/>
    <cellStyle name="20% - Énfasis6 2 2 2 2 2 3 3 2 3" xfId="6059" xr:uid="{B7AE778B-437B-4C32-A5E2-62209321EC39}"/>
    <cellStyle name="20% - Énfasis6 2 2 2 2 2 3 3 2 4" xfId="6060" xr:uid="{E3036272-B819-46B6-93CC-BBA0FC3B5556}"/>
    <cellStyle name="20% - Énfasis6 2 2 2 2 2 3 3 2 5" xfId="6061" xr:uid="{E1C59089-2325-41DD-8A97-86AD59DE56B3}"/>
    <cellStyle name="20% - Énfasis6 2 2 2 2 2 3 3 3" xfId="6062" xr:uid="{CF5AB23B-8893-4C49-AF8A-CE04669AF0DA}"/>
    <cellStyle name="20% - Énfasis6 2 2 2 2 2 3 3 4" xfId="6063" xr:uid="{5F5767BB-EECE-4FA2-A141-B7539D45C4F6}"/>
    <cellStyle name="20% - Énfasis6 2 2 2 2 2 3 3 5" xfId="6064" xr:uid="{42CDD42E-D9C1-4628-9436-F3F8CD5CFF54}"/>
    <cellStyle name="20% - Énfasis6 2 2 2 2 2 3 4" xfId="6065" xr:uid="{70B7DBA5-52CF-4BC4-9B9E-703A5826EB04}"/>
    <cellStyle name="20% - Énfasis6 2 2 2 2 2 3 5" xfId="6066" xr:uid="{D0AA35F5-EACE-4115-861B-24D5674579C8}"/>
    <cellStyle name="20% - Énfasis6 2 2 2 2 2 3 6" xfId="6067" xr:uid="{19D0E72D-C5E0-48B8-B64A-F1942B8C5EC5}"/>
    <cellStyle name="20% - Énfasis6 2 2 2 2 2 3 7" xfId="6068" xr:uid="{74D98AB0-6780-443A-B21C-CC1E56FB1B46}"/>
    <cellStyle name="20% - Énfasis6 2 2 2 2 2 3 8" xfId="6069" xr:uid="{74BEC579-C56F-4DD6-AD01-786B157C87F1}"/>
    <cellStyle name="20% - Énfasis6 2 2 2 2 2 3 9" xfId="6070" xr:uid="{ACBC6641-64DE-436E-9393-967A9779E877}"/>
    <cellStyle name="20% - Énfasis6 2 2 2 2 2 4" xfId="6071" xr:uid="{33EF0A19-38A7-445D-A2BF-969C1F4E5A4B}"/>
    <cellStyle name="20% - Énfasis6 2 2 2 2 2 5" xfId="6072" xr:uid="{1662E4E5-6D41-45AB-8380-48AA798B25A3}"/>
    <cellStyle name="20% - Énfasis6 2 2 2 2 2 6" xfId="6073" xr:uid="{034E50C6-04C3-499D-A051-2BFAD2C9C4C2}"/>
    <cellStyle name="20% - Énfasis6 2 2 2 2 2 7" xfId="43929" xr:uid="{F5490424-B5E7-4F8A-8B05-1E4A1103B2EF}"/>
    <cellStyle name="20% - Énfasis6 2 2 2 2 3" xfId="6074" xr:uid="{E198ECC4-8FCB-4215-83A2-8FEC763F02FD}"/>
    <cellStyle name="20% - Énfasis6 2 2 2 2 3 2" xfId="6075" xr:uid="{A30DC0DE-2AA3-4F05-BE54-6F91A4DCD703}"/>
    <cellStyle name="20% - Énfasis6 2 2 2 2 3 3" xfId="43931" xr:uid="{A873A349-0D00-477D-B4A5-1088FE2429CF}"/>
    <cellStyle name="20% - Énfasis6 2 2 2 2 4" xfId="6076" xr:uid="{8D8F4959-0FDF-417F-9446-901512AF0094}"/>
    <cellStyle name="20% - Énfasis6 2 2 2 2 4 10" xfId="6077" xr:uid="{C49B507E-3E38-42A4-9128-45DD9BB8327A}"/>
    <cellStyle name="20% - Énfasis6 2 2 2 2 4 11" xfId="6078" xr:uid="{8FCBDD5C-829A-44D3-BF47-E54B2CE61CF1}"/>
    <cellStyle name="20% - Énfasis6 2 2 2 2 4 2" xfId="6079" xr:uid="{1EEFEE47-CA11-4633-8EA4-CD79FE7453A5}"/>
    <cellStyle name="20% - Énfasis6 2 2 2 2 4 2 10" xfId="6080" xr:uid="{7EF46E15-BFFA-41BC-9319-F7DD03475591}"/>
    <cellStyle name="20% - Énfasis6 2 2 2 2 4 2 11" xfId="6081" xr:uid="{E7CE36D4-AFC9-44EC-B2B9-921095CF44FA}"/>
    <cellStyle name="20% - Énfasis6 2 2 2 2 4 2 2" xfId="6082" xr:uid="{30D0784A-E59D-48A9-B222-154746E49E77}"/>
    <cellStyle name="20% - Énfasis6 2 2 2 2 4 2 2 2" xfId="6083" xr:uid="{CD86AEBD-6BC4-4836-A5EF-9569F9560291}"/>
    <cellStyle name="20% - Énfasis6 2 2 2 2 4 2 2 2 2" xfId="6084" xr:uid="{4423D59C-FA52-42E8-A7B3-4CB266CF1667}"/>
    <cellStyle name="20% - Énfasis6 2 2 2 2 4 2 2 2 3" xfId="6085" xr:uid="{C3611AA7-9C7E-48B4-83D4-139289E34C23}"/>
    <cellStyle name="20% - Énfasis6 2 2 2 2 4 2 2 2 4" xfId="6086" xr:uid="{76238114-F1E3-4911-B0F2-279C2CA09F90}"/>
    <cellStyle name="20% - Énfasis6 2 2 2 2 4 2 2 2 5" xfId="6087" xr:uid="{C8C6636D-20A2-4719-83A3-2AEF54ACC743}"/>
    <cellStyle name="20% - Énfasis6 2 2 2 2 4 2 2 3" xfId="6088" xr:uid="{4F1BA8AC-2DA9-48D5-BEC9-E41F204CD7E5}"/>
    <cellStyle name="20% - Énfasis6 2 2 2 2 4 2 2 4" xfId="6089" xr:uid="{64314F80-7415-42D7-96C0-3719BF20DCAF}"/>
    <cellStyle name="20% - Énfasis6 2 2 2 2 4 2 2 5" xfId="6090" xr:uid="{8C0BD3BE-9FDC-4C48-ACB9-D147EED80E2F}"/>
    <cellStyle name="20% - Énfasis6 2 2 2 2 4 2 3" xfId="6091" xr:uid="{1B77A30B-AA40-4997-B929-AF8E9DAAFEDB}"/>
    <cellStyle name="20% - Énfasis6 2 2 2 2 4 2 4" xfId="6092" xr:uid="{7A755EB2-38A5-4DA3-B661-614C2308EA49}"/>
    <cellStyle name="20% - Énfasis6 2 2 2 2 4 2 5" xfId="6093" xr:uid="{91439C64-26A1-40BF-81FD-6236FCC6341C}"/>
    <cellStyle name="20% - Énfasis6 2 2 2 2 4 2 6" xfId="6094" xr:uid="{E5DE71E6-D08A-4937-A700-BBB195157EFB}"/>
    <cellStyle name="20% - Énfasis6 2 2 2 2 4 2 7" xfId="6095" xr:uid="{149F1FDC-B78F-4E71-AF83-C3F65CF6F8AC}"/>
    <cellStyle name="20% - Énfasis6 2 2 2 2 4 2 8" xfId="6096" xr:uid="{A675A490-937C-4416-9933-C6379F237570}"/>
    <cellStyle name="20% - Énfasis6 2 2 2 2 4 2 9" xfId="6097" xr:uid="{B5E3DDC2-C2F7-4E4A-9A43-336DD66DD49C}"/>
    <cellStyle name="20% - Énfasis6 2 2 2 2 4 3" xfId="6098" xr:uid="{273078DF-96A3-405B-B7B9-5C7AD1D19E3E}"/>
    <cellStyle name="20% - Énfasis6 2 2 2 2 4 3 2" xfId="6099" xr:uid="{29125694-2914-4AB0-9159-301098633BF7}"/>
    <cellStyle name="20% - Énfasis6 2 2 2 2 4 3 2 2" xfId="6100" xr:uid="{3CC9719F-1BD2-4B3E-9BE6-1091750DCFE4}"/>
    <cellStyle name="20% - Énfasis6 2 2 2 2 4 3 2 3" xfId="6101" xr:uid="{893ECB14-6975-45F5-8BC7-8E205D30FF67}"/>
    <cellStyle name="20% - Énfasis6 2 2 2 2 4 3 2 4" xfId="6102" xr:uid="{16052197-FB80-4423-9BA3-B7BC69AB00E2}"/>
    <cellStyle name="20% - Énfasis6 2 2 2 2 4 3 2 5" xfId="6103" xr:uid="{EBC79F3B-400C-4439-832E-9ACBF3CF35D9}"/>
    <cellStyle name="20% - Énfasis6 2 2 2 2 4 3 3" xfId="6104" xr:uid="{DF41D68F-E8D3-4982-B6F2-33348564F8E8}"/>
    <cellStyle name="20% - Énfasis6 2 2 2 2 4 3 4" xfId="6105" xr:uid="{1CBE7CFF-35E1-4F64-BD84-0A6C188D0D3B}"/>
    <cellStyle name="20% - Énfasis6 2 2 2 2 4 3 5" xfId="6106" xr:uid="{64794ED5-703D-41C7-B17E-9D66430D0C34}"/>
    <cellStyle name="20% - Énfasis6 2 2 2 2 4 4" xfId="6107" xr:uid="{1B8B9081-B4DC-4EF9-9AF7-9F2FD0D03751}"/>
    <cellStyle name="20% - Énfasis6 2 2 2 2 4 5" xfId="6108" xr:uid="{E79D7F0E-3CC3-41A3-8DF7-A7904012FB54}"/>
    <cellStyle name="20% - Énfasis6 2 2 2 2 4 6" xfId="6109" xr:uid="{8F17B6DF-99CC-4AB3-A5F1-81DE14127ED6}"/>
    <cellStyle name="20% - Énfasis6 2 2 2 2 4 7" xfId="6110" xr:uid="{2D6BE46D-7372-48A2-9D5F-7AB24F9BAF64}"/>
    <cellStyle name="20% - Énfasis6 2 2 2 2 4 8" xfId="6111" xr:uid="{6262F583-39CA-48FA-B115-AB620257B3FA}"/>
    <cellStyle name="20% - Énfasis6 2 2 2 2 4 9" xfId="6112" xr:uid="{0F815FBC-B5FB-4F72-8AF1-931A1DC26E71}"/>
    <cellStyle name="20% - Énfasis6 2 2 2 2 5" xfId="6113" xr:uid="{85AEEE9D-DF17-46A9-9922-9633B974A81D}"/>
    <cellStyle name="20% - Énfasis6 2 2 2 2 6" xfId="6114" xr:uid="{0169780F-D3E5-43CB-853E-A193D7008574}"/>
    <cellStyle name="20% - Énfasis6 2 2 2 2 7" xfId="6115" xr:uid="{FBDE2F1B-83EC-4A68-BF94-5E2667445D62}"/>
    <cellStyle name="20% - Énfasis6 2 2 2 2 8" xfId="43928" xr:uid="{79DC7E6B-8AB1-4B73-869E-0641BA15F458}"/>
    <cellStyle name="20% - Énfasis6 2 2 2 3" xfId="6116" xr:uid="{16B0BA67-BCAB-4EC9-8994-5804D0F7C077}"/>
    <cellStyle name="20% - Énfasis6 2 2 2 3 2" xfId="6117" xr:uid="{380101C2-014D-4160-B271-9B1D3CB9CE4E}"/>
    <cellStyle name="20% - Énfasis6 2 2 2 3 2 2" xfId="43933" xr:uid="{3D2BBC16-437E-4BAC-A408-6B044CEDDAD0}"/>
    <cellStyle name="20% - Énfasis6 2 2 2 3 3" xfId="43932" xr:uid="{A8853DA6-F77C-4380-91E4-3D5A2E7818A8}"/>
    <cellStyle name="20% - Énfasis6 2 2 2 4" xfId="6118" xr:uid="{BB960A40-8A6C-41E6-BE3C-B440EC13BF2C}"/>
    <cellStyle name="20% - Énfasis6 2 2 2 4 2" xfId="6119" xr:uid="{0745DE33-66F6-4FAF-A46E-E097711E8AD6}"/>
    <cellStyle name="20% - Énfasis6 2 2 2 4 3" xfId="43934" xr:uid="{0FDB4BF0-9FCD-4873-9489-1BEDE57063DF}"/>
    <cellStyle name="20% - Énfasis6 2 2 2 5" xfId="6120" xr:uid="{6DB08A98-879D-434B-8E6D-794266195989}"/>
    <cellStyle name="20% - Énfasis6 2 2 2 5 10" xfId="6121" xr:uid="{7A242E05-FCF4-4882-9C35-793437BDB16F}"/>
    <cellStyle name="20% - Énfasis6 2 2 2 5 11" xfId="6122" xr:uid="{D74871DE-8896-40C2-A2DB-170ABA4DD1A3}"/>
    <cellStyle name="20% - Énfasis6 2 2 2 5 2" xfId="6123" xr:uid="{8D283DE8-5BFD-4A04-8206-64F351398421}"/>
    <cellStyle name="20% - Énfasis6 2 2 2 5 2 10" xfId="6124" xr:uid="{D0479758-0A1F-4A8F-A99C-89775CD9F033}"/>
    <cellStyle name="20% - Énfasis6 2 2 2 5 2 11" xfId="6125" xr:uid="{2A4BC2E4-D3E6-41D9-AFAD-A49A37696012}"/>
    <cellStyle name="20% - Énfasis6 2 2 2 5 2 2" xfId="6126" xr:uid="{FA811088-A84E-4789-A902-BAC4E8469C91}"/>
    <cellStyle name="20% - Énfasis6 2 2 2 5 2 2 2" xfId="6127" xr:uid="{B2247733-057E-47CA-98E7-203465D887F3}"/>
    <cellStyle name="20% - Énfasis6 2 2 2 5 2 2 2 2" xfId="6128" xr:uid="{E7AFB884-5031-484A-8239-71A12919BF4D}"/>
    <cellStyle name="20% - Énfasis6 2 2 2 5 2 2 2 3" xfId="6129" xr:uid="{17BC8EB6-66C0-413C-AB68-654FAE6B111B}"/>
    <cellStyle name="20% - Énfasis6 2 2 2 5 2 2 2 4" xfId="6130" xr:uid="{ACF000B3-B1CA-4E38-92AE-1F13558621D9}"/>
    <cellStyle name="20% - Énfasis6 2 2 2 5 2 2 2 5" xfId="6131" xr:uid="{4632597A-4A11-4D71-BDFB-03F0BBC3C53C}"/>
    <cellStyle name="20% - Énfasis6 2 2 2 5 2 2 3" xfId="6132" xr:uid="{F535BC84-970B-46C8-8ADF-C41BDCA66B10}"/>
    <cellStyle name="20% - Énfasis6 2 2 2 5 2 2 4" xfId="6133" xr:uid="{83176AB8-2E30-431B-9674-CE0A0E709D6B}"/>
    <cellStyle name="20% - Énfasis6 2 2 2 5 2 2 5" xfId="6134" xr:uid="{8BE30B53-BF15-4936-8083-4C4375973769}"/>
    <cellStyle name="20% - Énfasis6 2 2 2 5 2 3" xfId="6135" xr:uid="{4A78D75F-B498-4A69-8C05-976CF8390D8A}"/>
    <cellStyle name="20% - Énfasis6 2 2 2 5 2 4" xfId="6136" xr:uid="{D9B74A8A-BCDF-4765-97F6-F006F91219AB}"/>
    <cellStyle name="20% - Énfasis6 2 2 2 5 2 5" xfId="6137" xr:uid="{5C056842-80B8-4EE4-AAC3-760157EE0680}"/>
    <cellStyle name="20% - Énfasis6 2 2 2 5 2 6" xfId="6138" xr:uid="{4E2BE8B0-650A-41FA-B741-7E3FB85C96C9}"/>
    <cellStyle name="20% - Énfasis6 2 2 2 5 2 7" xfId="6139" xr:uid="{EC6B8B28-DCE7-4853-816F-ECCBDF2A665A}"/>
    <cellStyle name="20% - Énfasis6 2 2 2 5 2 8" xfId="6140" xr:uid="{5D1F5ADE-5970-4CC2-8F6B-7D9A3D73DC03}"/>
    <cellStyle name="20% - Énfasis6 2 2 2 5 2 9" xfId="6141" xr:uid="{F6E7F241-FC81-45B3-8E83-7DC6B00111E2}"/>
    <cellStyle name="20% - Énfasis6 2 2 2 5 3" xfId="6142" xr:uid="{B7B8C9D3-4963-4998-865B-3D99B2E1F770}"/>
    <cellStyle name="20% - Énfasis6 2 2 2 5 3 2" xfId="6143" xr:uid="{54CFD539-FA28-41A5-9200-5BFA53015923}"/>
    <cellStyle name="20% - Énfasis6 2 2 2 5 3 2 2" xfId="6144" xr:uid="{53EFFC3C-B87A-42DB-A5D4-24D55A654313}"/>
    <cellStyle name="20% - Énfasis6 2 2 2 5 3 2 3" xfId="6145" xr:uid="{31F61D69-293F-4E71-9189-B727FA358107}"/>
    <cellStyle name="20% - Énfasis6 2 2 2 5 3 2 4" xfId="6146" xr:uid="{BF98C85B-C8B0-4A4E-9E45-AE12E6DAAE5A}"/>
    <cellStyle name="20% - Énfasis6 2 2 2 5 3 2 5" xfId="6147" xr:uid="{6D3A0AAC-3F29-45EF-B44B-876D2A081FAD}"/>
    <cellStyle name="20% - Énfasis6 2 2 2 5 3 3" xfId="6148" xr:uid="{1E8F0E5B-C905-4027-B1E3-B1C15C68D895}"/>
    <cellStyle name="20% - Énfasis6 2 2 2 5 3 4" xfId="6149" xr:uid="{84D2A99A-5990-45E7-9EA4-9CBD2023FFFF}"/>
    <cellStyle name="20% - Énfasis6 2 2 2 5 3 5" xfId="6150" xr:uid="{EB9ABBF6-5F52-4495-B619-17E2C736518E}"/>
    <cellStyle name="20% - Énfasis6 2 2 2 5 4" xfId="6151" xr:uid="{9CC6FA21-9115-4FCB-8BC6-772AA50C71B9}"/>
    <cellStyle name="20% - Énfasis6 2 2 2 5 5" xfId="6152" xr:uid="{1B695967-C232-4DB8-9E29-9689A0C83410}"/>
    <cellStyle name="20% - Énfasis6 2 2 2 5 6" xfId="6153" xr:uid="{D864A37B-B4AC-4ECE-A39F-734D113C52D9}"/>
    <cellStyle name="20% - Énfasis6 2 2 2 5 7" xfId="6154" xr:uid="{1470696B-2A68-4157-9D08-F30B0487D7E6}"/>
    <cellStyle name="20% - Énfasis6 2 2 2 5 8" xfId="6155" xr:uid="{B054F196-6AC3-48AF-B6A4-9C7CB9CD3C4C}"/>
    <cellStyle name="20% - Énfasis6 2 2 2 5 9" xfId="6156" xr:uid="{36EC4283-6AE5-4266-8412-50ED493FBF6D}"/>
    <cellStyle name="20% - Énfasis6 2 2 2 6" xfId="6157" xr:uid="{2AA0B49A-5ACF-4A1F-AC6F-55F3E0F96AAE}"/>
    <cellStyle name="20% - Énfasis6 2 2 2 7" xfId="6158" xr:uid="{A26428C6-60A5-41B7-BA36-8D9360E7585B}"/>
    <cellStyle name="20% - Énfasis6 2 2 2 8" xfId="6159" xr:uid="{476B3909-7358-46AA-BA19-5D3BCD97DF46}"/>
    <cellStyle name="20% - Énfasis6 2 2 2 9" xfId="43927" xr:uid="{86DDC668-330C-4B9B-B08F-2C283A299479}"/>
    <cellStyle name="20% - Énfasis6 2 2 3" xfId="6160" xr:uid="{27226BD2-5E37-40F7-98D9-032E95FDA3D2}"/>
    <cellStyle name="20% - Énfasis6 2 2 3 2" xfId="6161" xr:uid="{56A38F23-137E-4779-A533-0E9F6333AC31}"/>
    <cellStyle name="20% - Énfasis6 2 2 3 2 2" xfId="43937" xr:uid="{1CA48B00-A996-48A3-9553-89CC25CF57F0}"/>
    <cellStyle name="20% - Énfasis6 2 2 3 2 3" xfId="43936" xr:uid="{3A19C659-2CD8-4BFA-BD50-DE552579254A}"/>
    <cellStyle name="20% - Énfasis6 2 2 3 3" xfId="43938" xr:uid="{30C9B755-AEE9-416A-B90A-DAFA8D63E008}"/>
    <cellStyle name="20% - Énfasis6 2 2 3 4" xfId="43935" xr:uid="{1CE2C0E6-2FFB-43F2-8AD1-50A871109323}"/>
    <cellStyle name="20% - Énfasis6 2 2 4" xfId="6162" xr:uid="{B5CC9381-F65B-45AE-A370-43F9FF402CC1}"/>
    <cellStyle name="20% - Énfasis6 2 2 4 2" xfId="6163" xr:uid="{EB790037-BCFA-4BF2-8367-0E786C84CB53}"/>
    <cellStyle name="20% - Énfasis6 2 2 4 2 2" xfId="43940" xr:uid="{DEDC33D2-4F01-454B-8B2E-C62A2AB9B241}"/>
    <cellStyle name="20% - Énfasis6 2 2 4 3" xfId="43939" xr:uid="{EAFD01DB-6CAE-439C-A3E3-797C599C2543}"/>
    <cellStyle name="20% - Énfasis6 2 2 5" xfId="6164" xr:uid="{534352EE-BD8D-4552-A28A-9C64C08A8C3A}"/>
    <cellStyle name="20% - Énfasis6 2 2 5 2" xfId="6165" xr:uid="{E359835D-A4BB-4EE0-9576-A7F8EC4EAA9F}"/>
    <cellStyle name="20% - Énfasis6 2 2 5 3" xfId="43941" xr:uid="{E9D7CFFC-8290-4356-9ACE-5981D6DB711A}"/>
    <cellStyle name="20% - Énfasis6 2 2 6" xfId="6166" xr:uid="{A91BE1D4-77A0-45D2-8AC6-06A56DBF770D}"/>
    <cellStyle name="20% - Énfasis6 2 2 6 2" xfId="6167" xr:uid="{F86732A4-4B18-4ED5-9673-9C19060C9364}"/>
    <cellStyle name="20% - Énfasis6 2 2 7" xfId="6168" xr:uid="{C6597D46-8779-4561-BE71-09CA53BCC39E}"/>
    <cellStyle name="20% - Énfasis6 2 2 7 2" xfId="6169" xr:uid="{FF87D39E-DFDB-4D35-B59E-39CF66184809}"/>
    <cellStyle name="20% - Énfasis6 2 2 8" xfId="6170" xr:uid="{19017AF0-FD0F-4A54-94F6-DDA1372A787B}"/>
    <cellStyle name="20% - Énfasis6 2 2 8 2" xfId="6171" xr:uid="{D1E31D0B-6A50-429B-9761-6A40A110B4BF}"/>
    <cellStyle name="20% - Énfasis6 2 2 8 2 2" xfId="6172" xr:uid="{88C9480F-768F-47CD-967D-39A5AE397CA1}"/>
    <cellStyle name="20% - Énfasis6 2 2 8 3" xfId="6173" xr:uid="{612DF0B5-9C9C-470C-BD9B-E297D1B15E25}"/>
    <cellStyle name="20% - Énfasis6 2 2 9" xfId="6174" xr:uid="{56179F95-FDBF-475E-87D1-B8629B5631BD}"/>
    <cellStyle name="20% - Énfasis6 2 2 9 2" xfId="6175" xr:uid="{718F7A9D-1AE5-48F8-AFF6-AD590353FA3E}"/>
    <cellStyle name="20% - Énfasis6 2 3" xfId="6176" xr:uid="{FF95F6B1-1D93-40C6-8459-A3046AEB5487}"/>
    <cellStyle name="20% - Énfasis6 2 3 2" xfId="6177" xr:uid="{149EE0A7-108D-44A9-B3BD-D1DF5B8CA764}"/>
    <cellStyle name="20% - Énfasis6 2 3 2 2" xfId="43944" xr:uid="{A84891B0-721A-44E3-9057-841F4E8FA6AE}"/>
    <cellStyle name="20% - Énfasis6 2 3 2 2 2" xfId="43945" xr:uid="{8FF98973-56C9-42C6-8F6E-271E72196FD7}"/>
    <cellStyle name="20% - Énfasis6 2 3 2 3" xfId="43946" xr:uid="{0824306B-F7F0-428A-99D8-782A592ECF4E}"/>
    <cellStyle name="20% - Énfasis6 2 3 2 4" xfId="43943" xr:uid="{3203F95C-7F48-47A2-B363-08A55033723E}"/>
    <cellStyle name="20% - Énfasis6 2 3 3" xfId="43947" xr:uid="{F83841BC-0981-4A0C-930C-FC15E475FE45}"/>
    <cellStyle name="20% - Énfasis6 2 3 3 2" xfId="43948" xr:uid="{AE9FF5BF-DA99-4DCD-A7DD-BF2B2FA3FCF8}"/>
    <cellStyle name="20% - Énfasis6 2 3 4" xfId="43949" xr:uid="{D683AF0F-88E3-493F-A74D-9EB8218358CD}"/>
    <cellStyle name="20% - Énfasis6 2 3 5" xfId="43942" xr:uid="{E9111F40-F594-4B30-A7E2-C09808660FC6}"/>
    <cellStyle name="20% - Énfasis6 2 4" xfId="6178" xr:uid="{4DF7C99F-7215-4D31-9F65-9EE3B7445E4C}"/>
    <cellStyle name="20% - Énfasis6 2 4 10" xfId="6179" xr:uid="{33365071-93DA-423E-80F4-DEDB1A04556C}"/>
    <cellStyle name="20% - Énfasis6 2 4 11" xfId="6180" xr:uid="{3DB76790-E083-4EAC-94C8-B1A566DE8844}"/>
    <cellStyle name="20% - Énfasis6 2 4 12" xfId="6181" xr:uid="{98BC47DB-B641-4860-B448-FA16E8543E5A}"/>
    <cellStyle name="20% - Énfasis6 2 4 13" xfId="43950" xr:uid="{9236B9EC-28C9-4574-9AF4-A328E56A133B}"/>
    <cellStyle name="20% - Énfasis6 2 4 2" xfId="6182" xr:uid="{3C00956A-0DE3-4D9D-8B48-CB79741ACCBE}"/>
    <cellStyle name="20% - Énfasis6 2 4 2 10" xfId="6183" xr:uid="{2B7022ED-DB79-495A-B41D-C73DC795D14E}"/>
    <cellStyle name="20% - Énfasis6 2 4 2 11" xfId="6184" xr:uid="{2233E30D-536C-4784-BD7A-4D257B19843C}"/>
    <cellStyle name="20% - Énfasis6 2 4 2 12" xfId="6185" xr:uid="{0701AF9F-1B16-4FCA-9B11-2C2CACE458AE}"/>
    <cellStyle name="20% - Énfasis6 2 4 2 13" xfId="43951" xr:uid="{D6910A68-D367-409F-81A1-5AA2D0B9E9DC}"/>
    <cellStyle name="20% - Énfasis6 2 4 2 2" xfId="6186" xr:uid="{10EC9B7F-885D-4BC2-A3DB-36DF6CA0FDE2}"/>
    <cellStyle name="20% - Énfasis6 2 4 2 2 10" xfId="6187" xr:uid="{3A2AA2A9-3158-4999-8700-ABF10EBCDA5E}"/>
    <cellStyle name="20% - Énfasis6 2 4 2 2 11" xfId="6188" xr:uid="{94AEB71E-E07A-4A83-936C-3036766B1A9D}"/>
    <cellStyle name="20% - Énfasis6 2 4 2 2 12" xfId="43952" xr:uid="{4D05582E-08CE-48CF-B466-4FB325A88321}"/>
    <cellStyle name="20% - Énfasis6 2 4 2 2 2" xfId="6189" xr:uid="{3563230B-3EE3-4057-B4EB-4F20D9000E21}"/>
    <cellStyle name="20% - Énfasis6 2 4 2 2 2 10" xfId="6190" xr:uid="{332A37E0-BC85-4AA2-96E9-2DE021CA1EED}"/>
    <cellStyle name="20% - Énfasis6 2 4 2 2 2 11" xfId="6191" xr:uid="{403D0F0C-4B14-4647-A6F9-200BF08113FB}"/>
    <cellStyle name="20% - Énfasis6 2 4 2 2 2 2" xfId="6192" xr:uid="{B5FD9B2C-B159-4571-8826-8C0B1C380CF9}"/>
    <cellStyle name="20% - Énfasis6 2 4 2 2 2 2 2" xfId="6193" xr:uid="{CF41EDB6-53DE-419A-8D6C-20622BBC4C0F}"/>
    <cellStyle name="20% - Énfasis6 2 4 2 2 2 2 2 2" xfId="6194" xr:uid="{49A5B336-16D7-4E86-81D1-F6F53F299E57}"/>
    <cellStyle name="20% - Énfasis6 2 4 2 2 2 2 2 3" xfId="6195" xr:uid="{D12EFCA3-FFA2-4A21-81AB-208AA2F5AB12}"/>
    <cellStyle name="20% - Énfasis6 2 4 2 2 2 2 2 4" xfId="6196" xr:uid="{CED3C69A-68B5-472D-B2D7-9BF3F3EFC7B2}"/>
    <cellStyle name="20% - Énfasis6 2 4 2 2 2 2 2 5" xfId="6197" xr:uid="{1A184F34-A22F-4974-8888-6D86CF0387A6}"/>
    <cellStyle name="20% - Énfasis6 2 4 2 2 2 2 3" xfId="6198" xr:uid="{3357C6DE-9B96-49BA-A4ED-3501DECC1BD4}"/>
    <cellStyle name="20% - Énfasis6 2 4 2 2 2 2 4" xfId="6199" xr:uid="{78F24C07-63D3-4D3B-84E8-83F2FAC8F027}"/>
    <cellStyle name="20% - Énfasis6 2 4 2 2 2 2 5" xfId="6200" xr:uid="{66B6BEE4-EBE1-436D-9140-0FD130EA94A2}"/>
    <cellStyle name="20% - Énfasis6 2 4 2 2 2 3" xfId="6201" xr:uid="{F50F0A68-35A2-4AF3-A67F-363773FE09A8}"/>
    <cellStyle name="20% - Énfasis6 2 4 2 2 2 4" xfId="6202" xr:uid="{D4041846-A246-4EAC-BFC8-94F1E4CC4B6F}"/>
    <cellStyle name="20% - Énfasis6 2 4 2 2 2 5" xfId="6203" xr:uid="{CE73CE6D-AF6B-4427-A556-B8A202656145}"/>
    <cellStyle name="20% - Énfasis6 2 4 2 2 2 6" xfId="6204" xr:uid="{37256F8A-50A9-4A8D-B074-EDF24904087A}"/>
    <cellStyle name="20% - Énfasis6 2 4 2 2 2 7" xfId="6205" xr:uid="{F850D165-8C70-4519-8D38-753CDECD031A}"/>
    <cellStyle name="20% - Énfasis6 2 4 2 2 2 8" xfId="6206" xr:uid="{F99D35F9-31CB-4ED0-AB20-30929EFE3FF1}"/>
    <cellStyle name="20% - Énfasis6 2 4 2 2 2 9" xfId="6207" xr:uid="{0AD07442-5212-432B-B256-F6C9CF64FE2F}"/>
    <cellStyle name="20% - Énfasis6 2 4 2 2 3" xfId="6208" xr:uid="{AAFF9291-5AC4-4347-9D76-24B7325FA34E}"/>
    <cellStyle name="20% - Énfasis6 2 4 2 2 3 2" xfId="6209" xr:uid="{B21AC79F-7AC9-483B-AF62-647C25392DC2}"/>
    <cellStyle name="20% - Énfasis6 2 4 2 2 3 2 2" xfId="6210" xr:uid="{4E4BF72D-7C3A-422E-8190-A5BBDDC15D4D}"/>
    <cellStyle name="20% - Énfasis6 2 4 2 2 3 2 3" xfId="6211" xr:uid="{D01A6423-87C1-4341-89BC-73157BDAC7B4}"/>
    <cellStyle name="20% - Énfasis6 2 4 2 2 3 2 4" xfId="6212" xr:uid="{1D4B057B-B727-4F69-A04E-FC0A936505DD}"/>
    <cellStyle name="20% - Énfasis6 2 4 2 2 3 2 5" xfId="6213" xr:uid="{46D76D78-BC37-4963-8B8D-52FDB2E3535A}"/>
    <cellStyle name="20% - Énfasis6 2 4 2 2 3 3" xfId="6214" xr:uid="{B0194D31-97B6-4F09-A118-5E6242033176}"/>
    <cellStyle name="20% - Énfasis6 2 4 2 2 3 4" xfId="6215" xr:uid="{4FB88CD4-FC78-411E-8AA2-E9E12DDD803F}"/>
    <cellStyle name="20% - Énfasis6 2 4 2 2 3 5" xfId="6216" xr:uid="{E225E6BD-C3C6-41FD-B6E7-3700E672CEAE}"/>
    <cellStyle name="20% - Énfasis6 2 4 2 2 4" xfId="6217" xr:uid="{7E01C6F1-7905-4DAE-8FB5-3F230810BF75}"/>
    <cellStyle name="20% - Énfasis6 2 4 2 2 5" xfId="6218" xr:uid="{58471059-B594-450E-B1C0-7636DE477E94}"/>
    <cellStyle name="20% - Énfasis6 2 4 2 2 6" xfId="6219" xr:uid="{785B6728-21E5-4FF9-A49D-EBE014848F7F}"/>
    <cellStyle name="20% - Énfasis6 2 4 2 2 7" xfId="6220" xr:uid="{E02FDE26-8A7C-481C-8ADA-D5EF284140E5}"/>
    <cellStyle name="20% - Énfasis6 2 4 2 2 8" xfId="6221" xr:uid="{97F96735-C375-4EC4-A496-494A22DA7A30}"/>
    <cellStyle name="20% - Énfasis6 2 4 2 2 9" xfId="6222" xr:uid="{C2535891-312C-4FD8-9284-747A77C1493D}"/>
    <cellStyle name="20% - Énfasis6 2 4 2 3" xfId="6223" xr:uid="{F21F228F-0D5F-49B2-ABE7-DC443D19D0FD}"/>
    <cellStyle name="20% - Énfasis6 2 4 2 3 2" xfId="6224" xr:uid="{28929732-F38A-4D0C-80C3-7E46A63EFBDA}"/>
    <cellStyle name="20% - Énfasis6 2 4 2 3 2 2" xfId="6225" xr:uid="{F1A87776-4F63-420C-9828-ACAF9F652172}"/>
    <cellStyle name="20% - Énfasis6 2 4 2 3 2 3" xfId="6226" xr:uid="{799D9D14-7AE9-4EA7-8230-5389896486AB}"/>
    <cellStyle name="20% - Énfasis6 2 4 2 3 2 4" xfId="6227" xr:uid="{AF4C3C25-06D5-4F7E-A777-A6D0484DC513}"/>
    <cellStyle name="20% - Énfasis6 2 4 2 3 2 5" xfId="6228" xr:uid="{7608D8BD-2C02-4907-A518-09B62191FA56}"/>
    <cellStyle name="20% - Énfasis6 2 4 2 3 3" xfId="6229" xr:uid="{B98F5F13-3A08-4346-AA4B-84368A39EEB0}"/>
    <cellStyle name="20% - Énfasis6 2 4 2 3 4" xfId="6230" xr:uid="{78E4274A-BC7D-4C53-9B1B-4FFFF09EA540}"/>
    <cellStyle name="20% - Énfasis6 2 4 2 3 5" xfId="6231" xr:uid="{4409D189-3775-4E97-AD6F-21F0CA356E54}"/>
    <cellStyle name="20% - Énfasis6 2 4 2 4" xfId="6232" xr:uid="{EFB85078-ABD3-45F1-9800-8DD5E769A805}"/>
    <cellStyle name="20% - Énfasis6 2 4 2 5" xfId="6233" xr:uid="{751178FB-AD83-4C0A-BE57-796F56652EC5}"/>
    <cellStyle name="20% - Énfasis6 2 4 2 6" xfId="6234" xr:uid="{D802586F-4FF1-4D29-8568-ABF87DC72C5C}"/>
    <cellStyle name="20% - Énfasis6 2 4 2 7" xfId="6235" xr:uid="{C55D0BC9-6EB3-4296-BC03-3C212D5CB3D5}"/>
    <cellStyle name="20% - Énfasis6 2 4 2 8" xfId="6236" xr:uid="{9F8E2382-6DAD-43DF-830D-2FF7F3177D9B}"/>
    <cellStyle name="20% - Énfasis6 2 4 2 9" xfId="6237" xr:uid="{78390B3A-3032-46FC-99D2-BCB0CC9DA7D5}"/>
    <cellStyle name="20% - Énfasis6 2 4 3" xfId="6238" xr:uid="{EB86817F-86E2-4FD6-BB28-5CCC5DC87012}"/>
    <cellStyle name="20% - Énfasis6 2 4 3 10" xfId="6239" xr:uid="{7C7B515E-FE86-4BC4-AABE-D48AFFA4C8B3}"/>
    <cellStyle name="20% - Énfasis6 2 4 3 11" xfId="6240" xr:uid="{1038E44F-EBAF-48DB-887D-EFBC16D2E333}"/>
    <cellStyle name="20% - Énfasis6 2 4 3 12" xfId="43953" xr:uid="{D253922B-C99F-4547-B6D1-50BA3AC48B1C}"/>
    <cellStyle name="20% - Énfasis6 2 4 3 2" xfId="6241" xr:uid="{2F4647AC-CAF6-48C4-BFCC-AA33E1E7ABE8}"/>
    <cellStyle name="20% - Énfasis6 2 4 3 2 2" xfId="6242" xr:uid="{EDDC521D-990E-485D-A619-86F051A1534A}"/>
    <cellStyle name="20% - Énfasis6 2 4 3 2 2 2" xfId="6243" xr:uid="{BC774D8A-4FE2-4432-80E3-246BB64C4244}"/>
    <cellStyle name="20% - Énfasis6 2 4 3 2 2 3" xfId="6244" xr:uid="{3D6F3650-DA22-452F-BBCB-813B81EEFF19}"/>
    <cellStyle name="20% - Énfasis6 2 4 3 2 2 4" xfId="6245" xr:uid="{07E75D70-5F0C-437A-8B05-21C8E5671DBD}"/>
    <cellStyle name="20% - Énfasis6 2 4 3 2 2 5" xfId="6246" xr:uid="{C01B012A-58A2-4350-9F6B-31CE0816AE59}"/>
    <cellStyle name="20% - Énfasis6 2 4 3 2 3" xfId="6247" xr:uid="{784A2FB9-AC4A-4FCB-99C1-4E15274844A9}"/>
    <cellStyle name="20% - Énfasis6 2 4 3 2 4" xfId="6248" xr:uid="{B38B8B7A-E4C3-47E3-A502-8C3281BE0D78}"/>
    <cellStyle name="20% - Énfasis6 2 4 3 2 5" xfId="6249" xr:uid="{A097FA60-B17C-487A-A4BE-F86FE192DA07}"/>
    <cellStyle name="20% - Énfasis6 2 4 3 3" xfId="6250" xr:uid="{C1C214F9-1979-4C80-BC38-339ADD2D79CA}"/>
    <cellStyle name="20% - Énfasis6 2 4 3 4" xfId="6251" xr:uid="{C86518AA-A456-4927-A604-498878C9FE57}"/>
    <cellStyle name="20% - Énfasis6 2 4 3 5" xfId="6252" xr:uid="{642218A4-A6C4-4E9E-80B2-938A8EEC266C}"/>
    <cellStyle name="20% - Énfasis6 2 4 3 6" xfId="6253" xr:uid="{5F6D3087-A1C9-422C-A346-DD82A0FB6479}"/>
    <cellStyle name="20% - Énfasis6 2 4 3 7" xfId="6254" xr:uid="{8AADDF67-8A6B-4E7F-9AFC-9DB5561C9BC4}"/>
    <cellStyle name="20% - Énfasis6 2 4 3 8" xfId="6255" xr:uid="{7B301450-1509-4D30-A65D-9DE0869C8914}"/>
    <cellStyle name="20% - Énfasis6 2 4 3 9" xfId="6256" xr:uid="{2CE26D3D-FF39-4C76-9D7E-4DCA5343967D}"/>
    <cellStyle name="20% - Énfasis6 2 4 4" xfId="6257" xr:uid="{7845ED62-8E60-479C-925C-C0D4054D02CF}"/>
    <cellStyle name="20% - Énfasis6 2 4 4 2" xfId="6258" xr:uid="{B1DB0025-1D1B-486C-8926-4825DF59B470}"/>
    <cellStyle name="20% - Énfasis6 2 4 4 2 2" xfId="6259" xr:uid="{CACD775B-5F82-444D-8FA9-B161107BB4D9}"/>
    <cellStyle name="20% - Énfasis6 2 4 4 2 3" xfId="6260" xr:uid="{7CF865C8-AEDE-4337-A343-5FCFAD14A6D1}"/>
    <cellStyle name="20% - Énfasis6 2 4 4 2 4" xfId="6261" xr:uid="{C762CD85-29DB-4507-BAC1-AE073A835E93}"/>
    <cellStyle name="20% - Énfasis6 2 4 4 2 5" xfId="6262" xr:uid="{12BA8F99-2D39-4CE3-A05E-033569453083}"/>
    <cellStyle name="20% - Énfasis6 2 4 4 3" xfId="6263" xr:uid="{0F1D163A-2142-47E3-A817-504DEE5D9F20}"/>
    <cellStyle name="20% - Énfasis6 2 4 4 4" xfId="6264" xr:uid="{108347B3-E33D-4B9B-94E9-96289E729F87}"/>
    <cellStyle name="20% - Énfasis6 2 4 4 5" xfId="6265" xr:uid="{BF015A15-4388-4510-9F23-5EE013F5CD2B}"/>
    <cellStyle name="20% - Énfasis6 2 4 5" xfId="6266" xr:uid="{73969F75-B5A4-4878-B166-78975D20FF5B}"/>
    <cellStyle name="20% - Énfasis6 2 4 6" xfId="6267" xr:uid="{E1A658B8-7B9C-44FB-866F-FB2E57C0F1CD}"/>
    <cellStyle name="20% - Énfasis6 2 4 7" xfId="6268" xr:uid="{FF3EF081-5868-4510-A674-848935124244}"/>
    <cellStyle name="20% - Énfasis6 2 4 8" xfId="6269" xr:uid="{1FA19E8B-1DBA-4ACA-B5D9-6A8AE4C07670}"/>
    <cellStyle name="20% - Énfasis6 2 4 9" xfId="6270" xr:uid="{18124C06-8C87-459D-BFAD-B3D44DE67279}"/>
    <cellStyle name="20% - Énfasis6 2 5" xfId="6271" xr:uid="{CE79B9E2-7DD9-4FC0-A3B4-8D59425803C7}"/>
    <cellStyle name="20% - Énfasis6 2 5 2" xfId="6272" xr:uid="{01BBC5B3-DA1F-473C-815B-9D1C51F4F6BA}"/>
    <cellStyle name="20% - Énfasis6 2 5 2 2" xfId="43955" xr:uid="{FFE90638-37BB-4D74-9A82-2A8C92B82AEF}"/>
    <cellStyle name="20% - Énfasis6 2 5 3" xfId="43954" xr:uid="{2D1AE75E-0C93-4BF7-8684-65781277D64D}"/>
    <cellStyle name="20% - Énfasis6 2 6" xfId="6273" xr:uid="{B0EE7ECB-60D7-4E5C-9123-6BE63FB7A6CC}"/>
    <cellStyle name="20% - Énfasis6 2 6 2" xfId="6274" xr:uid="{2996B755-FA02-4C95-9A0D-9011E70B8AF7}"/>
    <cellStyle name="20% - Énfasis6 2 6 3" xfId="43956" xr:uid="{250A6568-EAA7-4C42-B0BA-FC473260D01F}"/>
    <cellStyle name="20% - Énfasis6 2 7" xfId="6275" xr:uid="{3F7BEA55-BAE3-4F5C-B482-0E5E5D28F000}"/>
    <cellStyle name="20% - Énfasis6 2 7 2" xfId="6276" xr:uid="{0285D922-F7C4-4A6B-944F-61C0571640C6}"/>
    <cellStyle name="20% - Énfasis6 2 8" xfId="6277" xr:uid="{B588F1BA-D7E5-431E-9156-41C6C7131E82}"/>
    <cellStyle name="20% - Énfasis6 2 8 2" xfId="6278" xr:uid="{2AE022E5-C59D-40AA-A623-55B25BE4A4B2}"/>
    <cellStyle name="20% - Énfasis6 2 8 2 2" xfId="6279" xr:uid="{99B36AE8-6315-4A22-9C4B-22048F2874E6}"/>
    <cellStyle name="20% - Énfasis6 2 8 3" xfId="6280" xr:uid="{C04CF844-1F5F-4119-8A89-6125FAF569C4}"/>
    <cellStyle name="20% - Énfasis6 2 9" xfId="6281" xr:uid="{C28EAD21-5474-437C-89DC-E5DF4767BE8C}"/>
    <cellStyle name="20% - Énfasis6 2 9 2" xfId="6282" xr:uid="{5FCD4C89-0AD9-4B34-92A6-9C2F01E51BEB}"/>
    <cellStyle name="20% - Énfasis6 3" xfId="6283" xr:uid="{6F8E7765-EAC3-41BD-A016-2BB4A5DEA331}"/>
    <cellStyle name="20% - Énfasis6 3 2" xfId="6284" xr:uid="{480E9811-7F48-4BDF-B931-EDAA84BF65F4}"/>
    <cellStyle name="20% - Énfasis6 3 2 2" xfId="6285" xr:uid="{29219A17-8207-4DA1-8DF9-E16FF6C428B5}"/>
    <cellStyle name="20% - Énfasis6 3 2 2 2" xfId="43960" xr:uid="{EEF9F613-8456-4007-B242-C4D0457386B0}"/>
    <cellStyle name="20% - Énfasis6 3 2 2 2 2" xfId="43961" xr:uid="{4262EE70-861E-49C3-BE11-081EB658A4C0}"/>
    <cellStyle name="20% - Énfasis6 3 2 2 3" xfId="43962" xr:uid="{056B1CB1-CA8F-4074-A6AF-F729F9CE5EBC}"/>
    <cellStyle name="20% - Énfasis6 3 2 2 4" xfId="43959" xr:uid="{524A76D2-9318-4FF4-84BC-2AD612774D07}"/>
    <cellStyle name="20% - Énfasis6 3 2 3" xfId="43963" xr:uid="{7EC0EA6A-6201-4CFB-B8E8-14CD088311A9}"/>
    <cellStyle name="20% - Énfasis6 3 2 3 2" xfId="43964" xr:uid="{20E2D261-1C3A-480E-A6C5-403DB620B2B0}"/>
    <cellStyle name="20% - Énfasis6 3 2 4" xfId="43965" xr:uid="{C607327D-A21F-4692-AA87-2C1DF6E915DB}"/>
    <cellStyle name="20% - Énfasis6 3 2 5" xfId="43958" xr:uid="{438C41FA-4C47-4C3F-A895-D47C9F052727}"/>
    <cellStyle name="20% - Énfasis6 3 3" xfId="6286" xr:uid="{91B1BC73-7FFF-4578-9C42-55AE49947B81}"/>
    <cellStyle name="20% - Énfasis6 3 3 2" xfId="6287" xr:uid="{26A77E87-5ACF-456D-B7A5-A75A43A55F5B}"/>
    <cellStyle name="20% - Énfasis6 3 3 2 2" xfId="43968" xr:uid="{CEE968D6-569A-4B4B-B141-FA83A4E1FD20}"/>
    <cellStyle name="20% - Énfasis6 3 3 2 3" xfId="43967" xr:uid="{3CEE239E-2FB5-45F2-AD7C-EFFD06D39129}"/>
    <cellStyle name="20% - Énfasis6 3 3 3" xfId="43969" xr:uid="{8E009DB3-4A09-4B82-A5B3-08057B489116}"/>
    <cellStyle name="20% - Énfasis6 3 3 4" xfId="43966" xr:uid="{F9501428-82EE-4E35-9A8E-B333FDCEB275}"/>
    <cellStyle name="20% - Énfasis6 3 4" xfId="6288" xr:uid="{4F5D909B-62CC-4210-8F84-8D70C504E980}"/>
    <cellStyle name="20% - Énfasis6 3 4 2" xfId="43971" xr:uid="{A379BA3E-DCC7-4AAB-9385-A84AF91EF2A8}"/>
    <cellStyle name="20% - Énfasis6 3 4 3" xfId="43970" xr:uid="{904C1B2D-2354-46C0-82D7-3AF3ABF287BB}"/>
    <cellStyle name="20% - Énfasis6 3 5" xfId="43972" xr:uid="{DE5CF76C-6F27-47D5-8C94-3823CC39D7EB}"/>
    <cellStyle name="20% - Énfasis6 3 6" xfId="43957" xr:uid="{EF9411A3-718B-47FF-9FDD-72A9007D0278}"/>
    <cellStyle name="20% - Énfasis6 4" xfId="6289" xr:uid="{21CACC0E-8254-4F37-B7A9-13CB338BCF4F}"/>
    <cellStyle name="20% - Énfasis6 4 2" xfId="6290" xr:uid="{67C5CE40-FB0E-4F94-AD02-19A7EE2DE346}"/>
    <cellStyle name="20% - Énfasis6 4 2 2" xfId="43975" xr:uid="{41CD042E-7DA1-4BCC-A1AA-06791D128D96}"/>
    <cellStyle name="20% - Énfasis6 4 2 2 2" xfId="43976" xr:uid="{E562E908-01B2-43E6-A67B-C3485399B735}"/>
    <cellStyle name="20% - Énfasis6 4 2 3" xfId="43977" xr:uid="{54EA58D1-62DD-410E-AB17-883FC1585C11}"/>
    <cellStyle name="20% - Énfasis6 4 2 4" xfId="43974" xr:uid="{D382B302-4D77-4698-B130-62877AA6F5E7}"/>
    <cellStyle name="20% - Énfasis6 4 3" xfId="43978" xr:uid="{4D96F752-091C-46E0-834B-1E2628FA8B7F}"/>
    <cellStyle name="20% - Énfasis6 4 3 2" xfId="43979" xr:uid="{902798B2-27B9-4AE0-8478-203FF701F1C1}"/>
    <cellStyle name="20% - Énfasis6 4 4" xfId="43980" xr:uid="{7875575A-742C-427F-BE8E-2772195A814D}"/>
    <cellStyle name="20% - Énfasis6 4 5" xfId="43973" xr:uid="{E7BC8F61-5913-4725-BF17-01B018C04D78}"/>
    <cellStyle name="20% - Énfasis6 5" xfId="43981" xr:uid="{DEB424F8-A15C-45B2-BC93-7DB5B5D9CF2D}"/>
    <cellStyle name="20% - Énfasis6 5 2" xfId="43982" xr:uid="{A553ABAC-4A25-4B92-8062-6067C617485B}"/>
    <cellStyle name="20% - Énfasis6 5 2 2" xfId="43983" xr:uid="{AA903194-D992-430A-BE5E-C0197F2129A2}"/>
    <cellStyle name="20% - Énfasis6 5 2 2 2" xfId="43984" xr:uid="{1E501966-6B9D-4FC0-9CD5-88A8AC476F87}"/>
    <cellStyle name="20% - Énfasis6 5 2 3" xfId="43985" xr:uid="{A6AC8402-E3F1-46B9-AD06-A2533FFE7ACC}"/>
    <cellStyle name="20% - Énfasis6 5 3" xfId="43986" xr:uid="{23B73233-2398-4C20-95C4-31BDE11A9D9D}"/>
    <cellStyle name="20% - Énfasis6 5 3 2" xfId="43987" xr:uid="{8AD07D52-A63C-4CEE-809C-98588329416E}"/>
    <cellStyle name="20% - Énfasis6 5 4" xfId="43988" xr:uid="{D06FB4B0-A2F6-462F-AF36-90D69896466C}"/>
    <cellStyle name="20% - Énfasis6 6" xfId="43989" xr:uid="{498D9FF8-0F7E-487D-A5AF-4EAE463929DE}"/>
    <cellStyle name="20% - Énfasis6 6 2" xfId="43990" xr:uid="{B1723F0D-7BDE-4A6E-9A58-7F2FD7DF1856}"/>
    <cellStyle name="20% - Énfasis6 6 2 2" xfId="43991" xr:uid="{2A89FD4C-E2D3-4268-9FC1-A3F1E011C717}"/>
    <cellStyle name="20% - Énfasis6 6 3" xfId="43992" xr:uid="{1D96DF7E-FAA4-46A4-ABD6-4E71DD66099A}"/>
    <cellStyle name="20% - Énfasis6 7" xfId="43993" xr:uid="{A8BA9945-DBC4-421E-9900-7D1488EE0D46}"/>
    <cellStyle name="20% - Énfasis6 7 2" xfId="43994" xr:uid="{5BACFE78-A408-4079-9772-7B57A0D752DE}"/>
    <cellStyle name="20% - Énfasis6 8" xfId="43995" xr:uid="{90458DC0-A97D-410B-9111-C08F49EA6B99}"/>
    <cellStyle name="40% - Énfasis1" xfId="25" builtinId="31" customBuiltin="1"/>
    <cellStyle name="40% - Énfasis1 2" xfId="6291" xr:uid="{63F9C7D8-D453-4E7C-AAC7-44CF16273AFC}"/>
    <cellStyle name="40% - Énfasis1 2 10" xfId="6292" xr:uid="{7171DA5B-24B3-42B4-B86D-F151D1597950}"/>
    <cellStyle name="40% - Énfasis1 2 10 10" xfId="6293" xr:uid="{F9CBF9FD-79A2-4F5B-A879-3B96CDE90036}"/>
    <cellStyle name="40% - Énfasis1 2 10 11" xfId="6294" xr:uid="{9D2FFF29-4130-4A11-9777-A0EE09A4CAB9}"/>
    <cellStyle name="40% - Énfasis1 2 10 2" xfId="6295" xr:uid="{2C0D63E6-0FE6-4C89-9F37-CFE29D714984}"/>
    <cellStyle name="40% - Énfasis1 2 10 2 10" xfId="6296" xr:uid="{3C786A7D-B53A-46C2-8E40-DE14274936E6}"/>
    <cellStyle name="40% - Énfasis1 2 10 2 11" xfId="6297" xr:uid="{63877C58-0730-4305-A0CD-65962EC5F87A}"/>
    <cellStyle name="40% - Énfasis1 2 10 2 2" xfId="6298" xr:uid="{4737C75F-EF63-449D-9BD1-92818C861233}"/>
    <cellStyle name="40% - Énfasis1 2 10 2 2 2" xfId="6299" xr:uid="{0AA7C5D1-ECD1-4AEC-935D-91FC3130D9FE}"/>
    <cellStyle name="40% - Énfasis1 2 10 2 2 2 2" xfId="6300" xr:uid="{388E3E52-DA60-4E50-A45E-4CDE6FA0B45E}"/>
    <cellStyle name="40% - Énfasis1 2 10 2 2 2 3" xfId="6301" xr:uid="{0F5BF056-B7BC-4C39-8DB5-70BBC3164E4F}"/>
    <cellStyle name="40% - Énfasis1 2 10 2 2 2 4" xfId="6302" xr:uid="{6904C902-4311-4916-AA02-B44B6514207F}"/>
    <cellStyle name="40% - Énfasis1 2 10 2 2 2 5" xfId="6303" xr:uid="{5411612E-A795-4DAC-A055-486818CE4CDE}"/>
    <cellStyle name="40% - Énfasis1 2 10 2 2 3" xfId="6304" xr:uid="{5EC74749-D61B-45B8-B7E4-0C1EBBBA3514}"/>
    <cellStyle name="40% - Énfasis1 2 10 2 2 4" xfId="6305" xr:uid="{1F24BCBB-AD15-4613-843D-75B3D35D4B04}"/>
    <cellStyle name="40% - Énfasis1 2 10 2 2 5" xfId="6306" xr:uid="{4E0B2D01-42D0-4733-95E9-2FFA975AACA5}"/>
    <cellStyle name="40% - Énfasis1 2 10 2 3" xfId="6307" xr:uid="{AE9FB82B-47B0-4B4A-97AC-5CEE97E57A53}"/>
    <cellStyle name="40% - Énfasis1 2 10 2 4" xfId="6308" xr:uid="{8E04446E-CBBC-4FC2-AAD9-828B7005D847}"/>
    <cellStyle name="40% - Énfasis1 2 10 2 5" xfId="6309" xr:uid="{F89578E9-D49E-43B3-8DE9-1CE5C17D7E01}"/>
    <cellStyle name="40% - Énfasis1 2 10 2 6" xfId="6310" xr:uid="{E6EC37B1-0409-4722-8356-2A98E0EB4943}"/>
    <cellStyle name="40% - Énfasis1 2 10 2 7" xfId="6311" xr:uid="{5258DED4-9DC3-4CD9-90E5-7172D3B6A6BA}"/>
    <cellStyle name="40% - Énfasis1 2 10 2 8" xfId="6312" xr:uid="{BCEA32BF-5F03-4CD0-B8E3-47F692ECC115}"/>
    <cellStyle name="40% - Énfasis1 2 10 2 9" xfId="6313" xr:uid="{9227FFAA-E55E-47F3-BA8F-C8C7F6513811}"/>
    <cellStyle name="40% - Énfasis1 2 10 3" xfId="6314" xr:uid="{6F798D46-72C6-40B0-9826-E56B07ECA342}"/>
    <cellStyle name="40% - Énfasis1 2 10 3 2" xfId="6315" xr:uid="{5F1DABAF-CDBA-4E9C-8CF4-56D78DEE9CC5}"/>
    <cellStyle name="40% - Énfasis1 2 10 3 2 2" xfId="6316" xr:uid="{6E1A8996-D5BB-46B0-BE82-C197F630B5B8}"/>
    <cellStyle name="40% - Énfasis1 2 10 3 2 3" xfId="6317" xr:uid="{D7C7A976-4B59-48D1-BDE6-E1DBD7A23363}"/>
    <cellStyle name="40% - Énfasis1 2 10 3 2 4" xfId="6318" xr:uid="{42A0D87C-BF95-4B63-9643-2EEE4D889E07}"/>
    <cellStyle name="40% - Énfasis1 2 10 3 2 5" xfId="6319" xr:uid="{D985BCA9-5EF8-4E6D-9225-E472CE1B7869}"/>
    <cellStyle name="40% - Énfasis1 2 10 3 3" xfId="6320" xr:uid="{F0FCC655-6CAC-4FF0-B939-3740442B9B82}"/>
    <cellStyle name="40% - Énfasis1 2 10 3 4" xfId="6321" xr:uid="{1DE1005B-3941-4B9F-994F-FF00F8C8ED45}"/>
    <cellStyle name="40% - Énfasis1 2 10 3 5" xfId="6322" xr:uid="{23BFFF10-E53D-43BA-AA1C-A1B761704FB2}"/>
    <cellStyle name="40% - Énfasis1 2 10 4" xfId="6323" xr:uid="{5C7F16B7-B7BA-4B82-8812-E4F205054C9D}"/>
    <cellStyle name="40% - Énfasis1 2 10 5" xfId="6324" xr:uid="{91BF9D86-84B6-45C4-87F2-AEFDECD72D77}"/>
    <cellStyle name="40% - Énfasis1 2 10 6" xfId="6325" xr:uid="{6BB772E1-CED9-44EF-AF95-D4CE8117C66B}"/>
    <cellStyle name="40% - Énfasis1 2 10 7" xfId="6326" xr:uid="{157E9CBC-5674-45E9-83B3-D9D57902A5FC}"/>
    <cellStyle name="40% - Énfasis1 2 10 8" xfId="6327" xr:uid="{F16F31FA-9346-44DF-A9FB-6CBF9606FD86}"/>
    <cellStyle name="40% - Énfasis1 2 10 9" xfId="6328" xr:uid="{3F73004D-E586-4B5D-8BF5-9D918C6E3442}"/>
    <cellStyle name="40% - Énfasis1 2 11" xfId="6329" xr:uid="{A83EEAE8-569C-46FB-AC72-9FA4A2CA3D50}"/>
    <cellStyle name="40% - Énfasis1 2 12" xfId="6330" xr:uid="{D0526B09-19C4-4D54-9317-AB86ECA86058}"/>
    <cellStyle name="40% - Énfasis1 2 13" xfId="6331" xr:uid="{8E98525D-D299-4C0A-A59F-D5088854DA78}"/>
    <cellStyle name="40% - Énfasis1 2 14" xfId="43996" xr:uid="{7A224C3A-0E7C-44E7-AD40-0FBE07331193}"/>
    <cellStyle name="40% - Énfasis1 2 2" xfId="6332" xr:uid="{214324A0-80D9-4868-9A7E-9EDF9440DCFD}"/>
    <cellStyle name="40% - Énfasis1 2 2 10" xfId="6333" xr:uid="{D891AD9A-A12D-4B72-8389-2D2F17EBAB43}"/>
    <cellStyle name="40% - Énfasis1 2 2 10 10" xfId="6334" xr:uid="{69FC855D-E812-4452-9DBC-5F101E76738C}"/>
    <cellStyle name="40% - Énfasis1 2 2 10 11" xfId="6335" xr:uid="{D80EF8BC-0E0E-4CA4-ABA2-6D7C19309C8F}"/>
    <cellStyle name="40% - Énfasis1 2 2 10 2" xfId="6336" xr:uid="{53F42767-8C6B-4CFA-A89A-520A9C112C2A}"/>
    <cellStyle name="40% - Énfasis1 2 2 10 2 10" xfId="6337" xr:uid="{CD63DF3E-B2B9-43FE-A21F-7DE2A6B21342}"/>
    <cellStyle name="40% - Énfasis1 2 2 10 2 11" xfId="6338" xr:uid="{A88CBFF6-82EF-4D72-A4AF-A4E66CD5AAC7}"/>
    <cellStyle name="40% - Énfasis1 2 2 10 2 2" xfId="6339" xr:uid="{D961822B-5688-4612-BB6E-31F581F401D4}"/>
    <cellStyle name="40% - Énfasis1 2 2 10 2 2 2" xfId="6340" xr:uid="{A906BF08-AADA-4D91-ADC0-F52A76866C07}"/>
    <cellStyle name="40% - Énfasis1 2 2 10 2 2 2 2" xfId="6341" xr:uid="{425BB9EA-AE6D-4E9F-98A6-74D5B0F4F8C5}"/>
    <cellStyle name="40% - Énfasis1 2 2 10 2 2 2 3" xfId="6342" xr:uid="{0CFD3E49-8EC8-4542-9AAE-6E1F1FC06DD8}"/>
    <cellStyle name="40% - Énfasis1 2 2 10 2 2 2 4" xfId="6343" xr:uid="{B1FBD3C3-3A3D-4464-8DA7-8DA87AB0975F}"/>
    <cellStyle name="40% - Énfasis1 2 2 10 2 2 2 5" xfId="6344" xr:uid="{F7809A33-DE41-4D45-84AF-1110FFEC879A}"/>
    <cellStyle name="40% - Énfasis1 2 2 10 2 2 3" xfId="6345" xr:uid="{12E02160-7117-4C66-BEA5-78BAFA9686B7}"/>
    <cellStyle name="40% - Énfasis1 2 2 10 2 2 4" xfId="6346" xr:uid="{A5489FD3-9682-46AB-8F17-10E7916CFE5A}"/>
    <cellStyle name="40% - Énfasis1 2 2 10 2 2 5" xfId="6347" xr:uid="{B22475D8-7A76-4C1A-B8A3-9056C0CEE0FA}"/>
    <cellStyle name="40% - Énfasis1 2 2 10 2 3" xfId="6348" xr:uid="{6284A196-3B71-4C08-8D40-FD7107C74BE0}"/>
    <cellStyle name="40% - Énfasis1 2 2 10 2 4" xfId="6349" xr:uid="{5340A79B-6B1D-42D3-92C3-A9296A87F37C}"/>
    <cellStyle name="40% - Énfasis1 2 2 10 2 5" xfId="6350" xr:uid="{666BDCA6-EF87-4645-AD56-7F2B6BDF6F91}"/>
    <cellStyle name="40% - Énfasis1 2 2 10 2 6" xfId="6351" xr:uid="{174E5409-A01A-4AB2-8783-CD69DF809B30}"/>
    <cellStyle name="40% - Énfasis1 2 2 10 2 7" xfId="6352" xr:uid="{8A4BF4D7-756E-430A-8AB8-9D4A15B25243}"/>
    <cellStyle name="40% - Énfasis1 2 2 10 2 8" xfId="6353" xr:uid="{CA57DB14-C971-4BA6-81D1-3F6B20A040D6}"/>
    <cellStyle name="40% - Énfasis1 2 2 10 2 9" xfId="6354" xr:uid="{E819C272-9599-40F5-83F9-728D171303A4}"/>
    <cellStyle name="40% - Énfasis1 2 2 10 3" xfId="6355" xr:uid="{4DFC8E9C-86C4-4395-9BC7-1FAACBE9D73A}"/>
    <cellStyle name="40% - Énfasis1 2 2 10 3 2" xfId="6356" xr:uid="{7A826AC4-B094-4748-8285-572DFD1E35C7}"/>
    <cellStyle name="40% - Énfasis1 2 2 10 3 2 2" xfId="6357" xr:uid="{589432D9-43AA-4273-89B5-6E1E6E30DDEA}"/>
    <cellStyle name="40% - Énfasis1 2 2 10 3 2 3" xfId="6358" xr:uid="{005656F4-A5C0-40CE-B040-9C508404F80A}"/>
    <cellStyle name="40% - Énfasis1 2 2 10 3 2 4" xfId="6359" xr:uid="{51103EDD-1285-49F3-94D2-7E8B15E66D40}"/>
    <cellStyle name="40% - Énfasis1 2 2 10 3 2 5" xfId="6360" xr:uid="{5E7FD838-1106-42F1-BC7F-BAB88BFEA662}"/>
    <cellStyle name="40% - Énfasis1 2 2 10 3 3" xfId="6361" xr:uid="{7981CB85-1DDC-4119-B139-D0DDF4917367}"/>
    <cellStyle name="40% - Énfasis1 2 2 10 3 4" xfId="6362" xr:uid="{3419C2E4-7283-4780-B276-8D6781031A61}"/>
    <cellStyle name="40% - Énfasis1 2 2 10 3 5" xfId="6363" xr:uid="{9D0247EE-FD0D-4624-8DD2-A7455ED7E6C9}"/>
    <cellStyle name="40% - Énfasis1 2 2 10 4" xfId="6364" xr:uid="{85E41B87-4560-4414-8656-D5BFC0AC129D}"/>
    <cellStyle name="40% - Énfasis1 2 2 10 5" xfId="6365" xr:uid="{E32D0E57-FD85-486C-86AE-6A7B7B2F1180}"/>
    <cellStyle name="40% - Énfasis1 2 2 10 6" xfId="6366" xr:uid="{359E5946-8FCA-4A5A-BF9C-4F298A9728A7}"/>
    <cellStyle name="40% - Énfasis1 2 2 10 7" xfId="6367" xr:uid="{AB85D3DA-4C8A-47ED-9416-D0CAE9FCFC25}"/>
    <cellStyle name="40% - Énfasis1 2 2 10 8" xfId="6368" xr:uid="{C96CC7E5-47D4-4CD2-A62E-C8EE1B388353}"/>
    <cellStyle name="40% - Énfasis1 2 2 10 9" xfId="6369" xr:uid="{F9AD2C31-5520-44DB-B6E0-F8A49F7391FD}"/>
    <cellStyle name="40% - Énfasis1 2 2 11" xfId="6370" xr:uid="{94D1E4CE-A02E-4BA5-B9AB-C0E23857B6DB}"/>
    <cellStyle name="40% - Énfasis1 2 2 12" xfId="6371" xr:uid="{710F020B-43E9-45EA-BE71-5D7FF2A2454A}"/>
    <cellStyle name="40% - Énfasis1 2 2 13" xfId="6372" xr:uid="{9211095C-2AAF-4A8C-99E8-59BFC3725172}"/>
    <cellStyle name="40% - Énfasis1 2 2 14" xfId="43997" xr:uid="{15D34D83-B5DA-477B-A6FB-44038056AF3C}"/>
    <cellStyle name="40% - Énfasis1 2 2 2" xfId="6373" xr:uid="{B6CF60E8-48B0-4FDD-A8DB-ED154E0D6CF4}"/>
    <cellStyle name="40% - Énfasis1 2 2 2 2" xfId="6374" xr:uid="{92FA1230-CF45-4540-9F4D-E61238581140}"/>
    <cellStyle name="40% - Énfasis1 2 2 2 2 2" xfId="6375" xr:uid="{0330EB92-84E9-4807-B732-9944675BAB08}"/>
    <cellStyle name="40% - Énfasis1 2 2 2 2 2 2" xfId="6376" xr:uid="{5E775993-1BC9-4C75-AFAA-25CC00717F2A}"/>
    <cellStyle name="40% - Énfasis1 2 2 2 2 2 2 2" xfId="6377" xr:uid="{4E63F623-919F-47E8-8442-5A2036E238BE}"/>
    <cellStyle name="40% - Énfasis1 2 2 2 2 2 2 2 2" xfId="6378" xr:uid="{4E35599F-1D58-4C3E-B7E9-F999AABF599C}"/>
    <cellStyle name="40% - Énfasis1 2 2 2 2 2 2 2 2 2" xfId="6379" xr:uid="{BF500AD9-3E40-4C5E-B3C3-F933B312C72D}"/>
    <cellStyle name="40% - Énfasis1 2 2 2 2 2 2 2 2 2 2" xfId="6380" xr:uid="{BD7E03C3-4813-48EF-9E4D-7F0D8DCD9D62}"/>
    <cellStyle name="40% - Énfasis1 2 2 2 2 2 2 2 2 2 2 2" xfId="6381" xr:uid="{16609638-4666-4E6F-B731-C45318DFB9E1}"/>
    <cellStyle name="40% - Énfasis1 2 2 2 2 2 2 2 2 2 2 2 2" xfId="6382" xr:uid="{5B782B77-C53C-42E5-BEE3-652190D1C646}"/>
    <cellStyle name="40% - Énfasis1 2 2 2 2 2 2 2 2 2 2 2 2 2" xfId="6383" xr:uid="{9BD2A04D-2FAF-4335-8931-CF353D2DACB6}"/>
    <cellStyle name="40% - Énfasis1 2 2 2 2 2 2 2 2 2 2 2 2 2 2" xfId="6384" xr:uid="{F2124293-05D1-453E-BFEF-A58D20B103D3}"/>
    <cellStyle name="40% - Énfasis1 2 2 2 2 2 2 2 2 2 2 2 2 2 3" xfId="6385" xr:uid="{CE1DF459-D16D-41B2-B21C-97BA1C322F81}"/>
    <cellStyle name="40% - Énfasis1 2 2 2 2 2 2 2 2 2 2 2 2 2 4" xfId="6386" xr:uid="{7D8D54B6-3511-4E69-9FB4-325C8D432214}"/>
    <cellStyle name="40% - Énfasis1 2 2 2 2 2 2 2 2 2 2 2 2 2 5" xfId="6387" xr:uid="{5632AAE6-D185-4986-9036-88EDD87457F4}"/>
    <cellStyle name="40% - Énfasis1 2 2 2 2 2 2 2 2 2 2 2 2 3" xfId="6388" xr:uid="{4BEF2A10-7F68-4B49-A6EC-037AFB5B33A4}"/>
    <cellStyle name="40% - Énfasis1 2 2 2 2 2 2 2 2 2 2 2 2 4" xfId="6389" xr:uid="{E7BDE13C-7CCB-40D0-B168-B8A1C5F9AA84}"/>
    <cellStyle name="40% - Énfasis1 2 2 2 2 2 2 2 2 2 2 2 2 5" xfId="6390" xr:uid="{C3E1FE49-B997-4D6F-A687-646FF6C39A99}"/>
    <cellStyle name="40% - Énfasis1 2 2 2 2 2 2 2 2 2 2 2 3" xfId="6391" xr:uid="{D9828B20-8106-413A-9BC1-05E3AA4E0DA1}"/>
    <cellStyle name="40% - Énfasis1 2 2 2 2 2 2 2 2 2 2 2 4" xfId="6392" xr:uid="{C15F0EC3-D303-4445-9675-B48987732CF5}"/>
    <cellStyle name="40% - Énfasis1 2 2 2 2 2 2 2 2 2 2 2 5" xfId="6393" xr:uid="{D9F112DF-183B-466D-A215-3D4C777819BC}"/>
    <cellStyle name="40% - Énfasis1 2 2 2 2 2 2 2 2 2 2 2 6" xfId="6394" xr:uid="{1F7B311D-E80F-4964-AC26-88A11D311CC6}"/>
    <cellStyle name="40% - Énfasis1 2 2 2 2 2 2 2 2 2 2 3" xfId="6395" xr:uid="{9C5716B4-FEA6-4F47-9E11-1C35B9467A99}"/>
    <cellStyle name="40% - Énfasis1 2 2 2 2 2 2 2 2 2 2 4" xfId="6396" xr:uid="{4DB2F96B-6D89-4E7F-8C5E-7079C71EF9E6}"/>
    <cellStyle name="40% - Énfasis1 2 2 2 2 2 2 2 2 2 3" xfId="6397" xr:uid="{00F0B260-2D2D-446C-B6D6-3372D73D6912}"/>
    <cellStyle name="40% - Énfasis1 2 2 2 2 2 2 2 2 2 4" xfId="6398" xr:uid="{07BBFFDC-B77B-4D0C-A488-415378C0F019}"/>
    <cellStyle name="40% - Énfasis1 2 2 2 2 2 2 2 2 3" xfId="6399" xr:uid="{50CC7810-C3AD-4165-8239-5566DB11901B}"/>
    <cellStyle name="40% - Énfasis1 2 2 2 2 2 2 2 2 4" xfId="6400" xr:uid="{4B3CE888-3330-4A51-80B2-CB172B4CD1C0}"/>
    <cellStyle name="40% - Énfasis1 2 2 2 2 2 2 2 2 5" xfId="6401" xr:uid="{B475B960-0546-4A49-B79A-C72E4C580673}"/>
    <cellStyle name="40% - Énfasis1 2 2 2 2 2 2 2 3" xfId="6402" xr:uid="{CC826010-1C88-4646-A215-63DBA0F4FAF0}"/>
    <cellStyle name="40% - Énfasis1 2 2 2 2 2 2 2 3 10" xfId="6403" xr:uid="{A6176B93-34E0-4764-9FBE-F77F853B242B}"/>
    <cellStyle name="40% - Énfasis1 2 2 2 2 2 2 2 3 11" xfId="6404" xr:uid="{BA28C436-E286-4D6C-9A57-057CF484BBAD}"/>
    <cellStyle name="40% - Énfasis1 2 2 2 2 2 2 2 3 2" xfId="6405" xr:uid="{DC31E533-4AA5-450E-9495-6DAD4936E5E0}"/>
    <cellStyle name="40% - Énfasis1 2 2 2 2 2 2 2 3 2 2" xfId="6406" xr:uid="{700F491B-F1D9-4D92-8492-E90B4C254553}"/>
    <cellStyle name="40% - Énfasis1 2 2 2 2 2 2 2 3 2 2 2" xfId="6407" xr:uid="{D2C50FBF-D1FB-489E-8F0A-E932B7DCC3E7}"/>
    <cellStyle name="40% - Énfasis1 2 2 2 2 2 2 2 3 2 2 3" xfId="6408" xr:uid="{0986E9C1-564A-4C5A-9A0A-9A5F5ED4E592}"/>
    <cellStyle name="40% - Énfasis1 2 2 2 2 2 2 2 3 2 2 4" xfId="6409" xr:uid="{96D25C7F-8EBD-4E68-BBE7-BDBFA815B756}"/>
    <cellStyle name="40% - Énfasis1 2 2 2 2 2 2 2 3 2 2 5" xfId="6410" xr:uid="{D1C8B892-0EE0-4E80-A1AE-2E59818DCA6A}"/>
    <cellStyle name="40% - Énfasis1 2 2 2 2 2 2 2 3 2 3" xfId="6411" xr:uid="{2A79EAD9-0FD1-4C1C-B2C1-2564DF737E38}"/>
    <cellStyle name="40% - Énfasis1 2 2 2 2 2 2 2 3 2 4" xfId="6412" xr:uid="{249451C4-27E5-4227-8726-FDE881B1BFCE}"/>
    <cellStyle name="40% - Énfasis1 2 2 2 2 2 2 2 3 2 5" xfId="6413" xr:uid="{F1DC3E0E-1DA6-4107-A5C0-07BC04502F45}"/>
    <cellStyle name="40% - Énfasis1 2 2 2 2 2 2 2 3 3" xfId="6414" xr:uid="{E45F8B0B-8FDF-4BAD-9B65-40473999F7E7}"/>
    <cellStyle name="40% - Énfasis1 2 2 2 2 2 2 2 3 4" xfId="6415" xr:uid="{900AA841-9C30-443F-8702-B5EA88B4D29A}"/>
    <cellStyle name="40% - Énfasis1 2 2 2 2 2 2 2 3 5" xfId="6416" xr:uid="{88423751-B2DA-4DD7-88B2-0619C51E266A}"/>
    <cellStyle name="40% - Énfasis1 2 2 2 2 2 2 2 3 6" xfId="6417" xr:uid="{B9232129-FA37-4447-B375-84F567C4BC9E}"/>
    <cellStyle name="40% - Énfasis1 2 2 2 2 2 2 2 3 7" xfId="6418" xr:uid="{8A5C685C-9773-4DDA-8C48-05CD19C42D15}"/>
    <cellStyle name="40% - Énfasis1 2 2 2 2 2 2 2 3 8" xfId="6419" xr:uid="{8EA66477-1E49-4955-9D3D-C622CCE53927}"/>
    <cellStyle name="40% - Énfasis1 2 2 2 2 2 2 2 3 9" xfId="6420" xr:uid="{85385EF3-D1AF-47D6-8F85-8089E9F666EB}"/>
    <cellStyle name="40% - Énfasis1 2 2 2 2 2 2 2 4" xfId="6421" xr:uid="{B8CD8ACD-7E19-489C-B5F1-9BA83DF0425B}"/>
    <cellStyle name="40% - Énfasis1 2 2 2 2 2 2 2 5" xfId="6422" xr:uid="{8AF0EAA1-6BD1-444C-93F9-AC3CDC87BAB4}"/>
    <cellStyle name="40% - Énfasis1 2 2 2 2 2 2 3" xfId="6423" xr:uid="{4EA370B8-13A5-4B1A-966E-C65FB97C3B21}"/>
    <cellStyle name="40% - Énfasis1 2 2 2 2 2 2 3 10" xfId="6424" xr:uid="{66C0B7E9-0BFD-475D-A637-C038081A35F6}"/>
    <cellStyle name="40% - Énfasis1 2 2 2 2 2 2 3 11" xfId="6425" xr:uid="{9E2BEFB4-07F0-4E76-AEBE-CBA9B0625F12}"/>
    <cellStyle name="40% - Énfasis1 2 2 2 2 2 2 3 2" xfId="6426" xr:uid="{8D60B889-F9A8-46DF-BCC6-6939F95B69F5}"/>
    <cellStyle name="40% - Énfasis1 2 2 2 2 2 2 3 2 10" xfId="6427" xr:uid="{0C1869D1-88A7-4F1A-998E-A7FC4290497B}"/>
    <cellStyle name="40% - Énfasis1 2 2 2 2 2 2 3 2 11" xfId="6428" xr:uid="{3BDDCC9B-900C-488C-9A1A-A81AECB5DFFB}"/>
    <cellStyle name="40% - Énfasis1 2 2 2 2 2 2 3 2 2" xfId="6429" xr:uid="{FCBD7098-6ECF-4141-993F-7553E0DF3829}"/>
    <cellStyle name="40% - Énfasis1 2 2 2 2 2 2 3 2 2 2" xfId="6430" xr:uid="{90FF76E6-B92F-4E19-A57B-3FC695ACBF53}"/>
    <cellStyle name="40% - Énfasis1 2 2 2 2 2 2 3 2 2 2 2" xfId="6431" xr:uid="{9A8C19DE-0B15-474B-A0CC-4C34BA3EAA4C}"/>
    <cellStyle name="40% - Énfasis1 2 2 2 2 2 2 3 2 2 2 3" xfId="6432" xr:uid="{CD004677-C909-49BF-A14F-03406D7E9B29}"/>
    <cellStyle name="40% - Énfasis1 2 2 2 2 2 2 3 2 2 2 4" xfId="6433" xr:uid="{B01FD7CD-80BE-4F50-995F-85FB21E59C29}"/>
    <cellStyle name="40% - Énfasis1 2 2 2 2 2 2 3 2 2 2 5" xfId="6434" xr:uid="{FA488CAF-93C9-4D51-B252-8C6AA90AC78C}"/>
    <cellStyle name="40% - Énfasis1 2 2 2 2 2 2 3 2 2 3" xfId="6435" xr:uid="{50EB91E7-0EEE-4D34-AD79-019C7E52CC3A}"/>
    <cellStyle name="40% - Énfasis1 2 2 2 2 2 2 3 2 2 4" xfId="6436" xr:uid="{111495AF-1FE3-4270-AA88-08BD70E8E571}"/>
    <cellStyle name="40% - Énfasis1 2 2 2 2 2 2 3 2 2 5" xfId="6437" xr:uid="{3FD6EC95-89A3-4824-A36A-32F125CF822E}"/>
    <cellStyle name="40% - Énfasis1 2 2 2 2 2 2 3 2 3" xfId="6438" xr:uid="{A8AEBC4A-A5EA-4E4E-AC97-8727DEEA5519}"/>
    <cellStyle name="40% - Énfasis1 2 2 2 2 2 2 3 2 4" xfId="6439" xr:uid="{1E02D5BF-944D-4652-9B6C-95081F5EB0DF}"/>
    <cellStyle name="40% - Énfasis1 2 2 2 2 2 2 3 2 5" xfId="6440" xr:uid="{AFA2F117-2313-464D-B814-DD6F93613859}"/>
    <cellStyle name="40% - Énfasis1 2 2 2 2 2 2 3 2 6" xfId="6441" xr:uid="{93B4D997-C322-4B9C-ADDD-03BE7A4EBA42}"/>
    <cellStyle name="40% - Énfasis1 2 2 2 2 2 2 3 2 7" xfId="6442" xr:uid="{F61392CC-74DD-4163-A454-0D7D7C828A91}"/>
    <cellStyle name="40% - Énfasis1 2 2 2 2 2 2 3 2 8" xfId="6443" xr:uid="{E6E562C0-C6D1-4BE0-B14F-6B5ACE38620B}"/>
    <cellStyle name="40% - Énfasis1 2 2 2 2 2 2 3 2 9" xfId="6444" xr:uid="{52F35822-F890-408E-B998-41BFDDCB79A4}"/>
    <cellStyle name="40% - Énfasis1 2 2 2 2 2 2 3 3" xfId="6445" xr:uid="{2457478A-B676-4D89-B38B-581554286FCD}"/>
    <cellStyle name="40% - Énfasis1 2 2 2 2 2 2 3 3 2" xfId="6446" xr:uid="{87050C50-B88E-48ED-8060-785DCF36C13B}"/>
    <cellStyle name="40% - Énfasis1 2 2 2 2 2 2 3 3 2 2" xfId="6447" xr:uid="{2D2271D9-030F-4133-BD3A-9B82CC8C2AB2}"/>
    <cellStyle name="40% - Énfasis1 2 2 2 2 2 2 3 3 2 3" xfId="6448" xr:uid="{73796B60-1FB8-4C25-9CD1-09B2E3C306DF}"/>
    <cellStyle name="40% - Énfasis1 2 2 2 2 2 2 3 3 2 4" xfId="6449" xr:uid="{951F263F-0F43-4E3A-806B-BCA1D568D751}"/>
    <cellStyle name="40% - Énfasis1 2 2 2 2 2 2 3 3 2 5" xfId="6450" xr:uid="{724BAB0D-FB01-4C60-AABC-387C5050A6A2}"/>
    <cellStyle name="40% - Énfasis1 2 2 2 2 2 2 3 3 3" xfId="6451" xr:uid="{7D4CC0A2-506A-462E-8CDC-AB4DFE8CFC34}"/>
    <cellStyle name="40% - Énfasis1 2 2 2 2 2 2 3 3 4" xfId="6452" xr:uid="{F0711DCE-E51E-4DAC-8C32-729870E232FB}"/>
    <cellStyle name="40% - Énfasis1 2 2 2 2 2 2 3 3 5" xfId="6453" xr:uid="{BFDF27FE-B2C8-4820-8757-834F26A0EAB8}"/>
    <cellStyle name="40% - Énfasis1 2 2 2 2 2 2 3 4" xfId="6454" xr:uid="{409588BC-8F90-4F17-8E09-5B4156C3D9C5}"/>
    <cellStyle name="40% - Énfasis1 2 2 2 2 2 2 3 5" xfId="6455" xr:uid="{12FDEAC5-EE7A-45E8-98E9-61D1B4CC4026}"/>
    <cellStyle name="40% - Énfasis1 2 2 2 2 2 2 3 6" xfId="6456" xr:uid="{19C2453E-3B08-41CD-8485-2E53A267ADBC}"/>
    <cellStyle name="40% - Énfasis1 2 2 2 2 2 2 3 7" xfId="6457" xr:uid="{84916AA4-6E69-4B9C-86A6-D004121B36B7}"/>
    <cellStyle name="40% - Énfasis1 2 2 2 2 2 2 3 8" xfId="6458" xr:uid="{2F31ECB6-F44F-4AE1-B276-4C8F741C6A64}"/>
    <cellStyle name="40% - Énfasis1 2 2 2 2 2 2 3 9" xfId="6459" xr:uid="{AE2714BD-D7DA-4342-B67D-9EA78DDFFBB9}"/>
    <cellStyle name="40% - Énfasis1 2 2 2 2 2 2 4" xfId="6460" xr:uid="{DBF8CB4A-42D6-463F-A23F-E3E443390202}"/>
    <cellStyle name="40% - Énfasis1 2 2 2 2 2 2 5" xfId="6461" xr:uid="{AD6129DE-6B56-4DC5-ACFD-19EA324AB848}"/>
    <cellStyle name="40% - Énfasis1 2 2 2 2 2 2 6" xfId="6462" xr:uid="{E8385899-C367-49F0-8E32-B316DB4F8F39}"/>
    <cellStyle name="40% - Énfasis1 2 2 2 2 2 2 7" xfId="44001" xr:uid="{3463044E-F1DF-46EA-BB0E-D6B6FBFE4C29}"/>
    <cellStyle name="40% - Énfasis1 2 2 2 2 2 3" xfId="6463" xr:uid="{450D725D-C008-415D-B0BD-925A077C0A2D}"/>
    <cellStyle name="40% - Énfasis1 2 2 2 2 2 3 10" xfId="6464" xr:uid="{7F1B2700-E74C-4AD4-BA08-D72B95CFE3FE}"/>
    <cellStyle name="40% - Énfasis1 2 2 2 2 2 3 11" xfId="6465" xr:uid="{0868ED4B-B48F-4528-A2E9-D5D9F12C26CA}"/>
    <cellStyle name="40% - Énfasis1 2 2 2 2 2 3 2" xfId="6466" xr:uid="{897AB4BB-94BD-46B6-BC10-40B73ECA0F59}"/>
    <cellStyle name="40% - Énfasis1 2 2 2 2 2 3 2 10" xfId="6467" xr:uid="{B45DE3E9-8DC7-4187-A60F-4B0C9629DA42}"/>
    <cellStyle name="40% - Énfasis1 2 2 2 2 2 3 2 11" xfId="6468" xr:uid="{75DA0A7E-CA8E-4332-8583-269A57BADD35}"/>
    <cellStyle name="40% - Énfasis1 2 2 2 2 2 3 2 2" xfId="6469" xr:uid="{A570F75A-14D5-46A7-85A0-A36E1987B78A}"/>
    <cellStyle name="40% - Énfasis1 2 2 2 2 2 3 2 2 2" xfId="6470" xr:uid="{085643C2-6811-4EFE-90E6-8D9E84CAC452}"/>
    <cellStyle name="40% - Énfasis1 2 2 2 2 2 3 2 2 2 2" xfId="6471" xr:uid="{08C24ACF-303E-4484-B032-67C5D756F774}"/>
    <cellStyle name="40% - Énfasis1 2 2 2 2 2 3 2 2 2 3" xfId="6472" xr:uid="{51C1CD8C-0F5D-4FA5-AA12-970A64812E5C}"/>
    <cellStyle name="40% - Énfasis1 2 2 2 2 2 3 2 2 2 4" xfId="6473" xr:uid="{EB72E907-CFFA-4925-91E9-53DE8B909867}"/>
    <cellStyle name="40% - Énfasis1 2 2 2 2 2 3 2 2 2 5" xfId="6474" xr:uid="{0DA7920D-40B0-4AEB-B17F-0E6822BE03DD}"/>
    <cellStyle name="40% - Énfasis1 2 2 2 2 2 3 2 2 3" xfId="6475" xr:uid="{DB1129FB-D566-4917-9578-354004C03FD6}"/>
    <cellStyle name="40% - Énfasis1 2 2 2 2 2 3 2 2 4" xfId="6476" xr:uid="{A312B97F-07AE-45A0-ACFF-76C956958822}"/>
    <cellStyle name="40% - Énfasis1 2 2 2 2 2 3 2 2 5" xfId="6477" xr:uid="{5CB12299-74F3-4082-BB84-7A15E2038E17}"/>
    <cellStyle name="40% - Énfasis1 2 2 2 2 2 3 2 3" xfId="6478" xr:uid="{39DC851B-DC8F-4381-8613-7642BF860C57}"/>
    <cellStyle name="40% - Énfasis1 2 2 2 2 2 3 2 4" xfId="6479" xr:uid="{2AB9B98B-77F0-4AA0-B3AD-AA9605029E00}"/>
    <cellStyle name="40% - Énfasis1 2 2 2 2 2 3 2 5" xfId="6480" xr:uid="{5770DDCF-A359-4186-8425-84907DF23B48}"/>
    <cellStyle name="40% - Énfasis1 2 2 2 2 2 3 2 6" xfId="6481" xr:uid="{0E747EE8-F718-46AC-9272-D59E2E2BFFA0}"/>
    <cellStyle name="40% - Énfasis1 2 2 2 2 2 3 2 7" xfId="6482" xr:uid="{C1E18C9A-D6D6-4537-9674-3D79D8FDD21D}"/>
    <cellStyle name="40% - Énfasis1 2 2 2 2 2 3 2 8" xfId="6483" xr:uid="{0B81CF24-025C-4404-8E5B-F1AA4102FDFD}"/>
    <cellStyle name="40% - Énfasis1 2 2 2 2 2 3 2 9" xfId="6484" xr:uid="{43988B8B-E43C-448A-A5B5-B7881B8B45B7}"/>
    <cellStyle name="40% - Énfasis1 2 2 2 2 2 3 3" xfId="6485" xr:uid="{E0F83914-B033-4C96-A452-3364316DB2D5}"/>
    <cellStyle name="40% - Énfasis1 2 2 2 2 2 3 3 2" xfId="6486" xr:uid="{57E99EC4-3E06-444F-9D65-D87688C51F65}"/>
    <cellStyle name="40% - Énfasis1 2 2 2 2 2 3 3 2 2" xfId="6487" xr:uid="{CC83A73F-1588-434D-84E1-934D997973CC}"/>
    <cellStyle name="40% - Énfasis1 2 2 2 2 2 3 3 2 3" xfId="6488" xr:uid="{BC48534B-802C-44CA-8BCF-371BD1EEA238}"/>
    <cellStyle name="40% - Énfasis1 2 2 2 2 2 3 3 2 4" xfId="6489" xr:uid="{D05FE48B-E808-43AF-98A4-555FC2557BC3}"/>
    <cellStyle name="40% - Énfasis1 2 2 2 2 2 3 3 2 5" xfId="6490" xr:uid="{1F6C3185-F968-43CC-945F-DB2447391CE2}"/>
    <cellStyle name="40% - Énfasis1 2 2 2 2 2 3 3 3" xfId="6491" xr:uid="{DF2AE877-E017-4F36-91C4-9BB912AFCE05}"/>
    <cellStyle name="40% - Énfasis1 2 2 2 2 2 3 3 4" xfId="6492" xr:uid="{A1AA5C4F-ABD1-4E41-97A8-26D861043C1E}"/>
    <cellStyle name="40% - Énfasis1 2 2 2 2 2 3 3 5" xfId="6493" xr:uid="{09831D97-A422-4E22-9305-ED45FA88BC9B}"/>
    <cellStyle name="40% - Énfasis1 2 2 2 2 2 3 4" xfId="6494" xr:uid="{CDF74FE0-27FF-4A9C-B1A0-D6929EF03032}"/>
    <cellStyle name="40% - Énfasis1 2 2 2 2 2 3 5" xfId="6495" xr:uid="{872A1DEC-9476-482C-AE42-676F4DC86A04}"/>
    <cellStyle name="40% - Énfasis1 2 2 2 2 2 3 6" xfId="6496" xr:uid="{B2874502-B702-426B-9010-76DC86FD680B}"/>
    <cellStyle name="40% - Énfasis1 2 2 2 2 2 3 7" xfId="6497" xr:uid="{4B83F293-48A7-4DF0-AD28-8AD851C75704}"/>
    <cellStyle name="40% - Énfasis1 2 2 2 2 2 3 8" xfId="6498" xr:uid="{7CFEACDA-BD0B-4DDF-8A3E-E77D52CDA2F9}"/>
    <cellStyle name="40% - Énfasis1 2 2 2 2 2 3 9" xfId="6499" xr:uid="{18BA3C67-EF66-4DDB-8E0C-4B106919F3EA}"/>
    <cellStyle name="40% - Énfasis1 2 2 2 2 2 4" xfId="6500" xr:uid="{66AAE826-01B0-4F18-8638-B4315CFD401F}"/>
    <cellStyle name="40% - Énfasis1 2 2 2 2 2 5" xfId="6501" xr:uid="{85F79D2D-212B-45A3-BD79-463D00002DE7}"/>
    <cellStyle name="40% - Énfasis1 2 2 2 2 2 6" xfId="6502" xr:uid="{9D85CA91-C213-487C-808C-6398A0ABDD38}"/>
    <cellStyle name="40% - Énfasis1 2 2 2 2 2 7" xfId="44000" xr:uid="{900601B3-A53A-41CD-A171-15FA48C440CD}"/>
    <cellStyle name="40% - Énfasis1 2 2 2 2 3" xfId="6503" xr:uid="{DDE1345F-A0D7-4F1E-812F-81F999FBFE6B}"/>
    <cellStyle name="40% - Énfasis1 2 2 2 2 3 2" xfId="6504" xr:uid="{02C5ED1F-705A-427A-89BC-4481FE37A123}"/>
    <cellStyle name="40% - Énfasis1 2 2 2 2 3 3" xfId="44002" xr:uid="{F0433D1C-BC46-4692-8CE3-CC0A5D87A216}"/>
    <cellStyle name="40% - Énfasis1 2 2 2 2 4" xfId="6505" xr:uid="{1AFBC13F-9211-498A-ACEB-DEDB9D160B7A}"/>
    <cellStyle name="40% - Énfasis1 2 2 2 2 4 10" xfId="6506" xr:uid="{2A92EF0C-0D43-4038-B6BC-5202918A9022}"/>
    <cellStyle name="40% - Énfasis1 2 2 2 2 4 11" xfId="6507" xr:uid="{A5CA43F7-C977-48E6-A1B8-950588C0FD01}"/>
    <cellStyle name="40% - Énfasis1 2 2 2 2 4 2" xfId="6508" xr:uid="{B6D761E9-1703-48ED-979B-620B377199AA}"/>
    <cellStyle name="40% - Énfasis1 2 2 2 2 4 2 10" xfId="6509" xr:uid="{030735F6-ABEA-417E-AB46-4605C442015B}"/>
    <cellStyle name="40% - Énfasis1 2 2 2 2 4 2 11" xfId="6510" xr:uid="{3F3F9656-0AE1-49B5-99C8-AFE9D255DC76}"/>
    <cellStyle name="40% - Énfasis1 2 2 2 2 4 2 2" xfId="6511" xr:uid="{0D4632A9-1756-48C6-A3A3-34199AABF2B8}"/>
    <cellStyle name="40% - Énfasis1 2 2 2 2 4 2 2 2" xfId="6512" xr:uid="{835334A5-8DA6-4879-9C8E-B78D70CA8263}"/>
    <cellStyle name="40% - Énfasis1 2 2 2 2 4 2 2 2 2" xfId="6513" xr:uid="{D060DCBD-8E23-4583-89F6-F97482D4C21E}"/>
    <cellStyle name="40% - Énfasis1 2 2 2 2 4 2 2 2 3" xfId="6514" xr:uid="{A7011952-BBA7-43FC-BC79-2DD3D04838AE}"/>
    <cellStyle name="40% - Énfasis1 2 2 2 2 4 2 2 2 4" xfId="6515" xr:uid="{B404BEE8-27E4-46B7-AE4E-9AC4BAF5C16F}"/>
    <cellStyle name="40% - Énfasis1 2 2 2 2 4 2 2 2 5" xfId="6516" xr:uid="{0CF2EC5E-5B49-446E-A330-85BA9190B327}"/>
    <cellStyle name="40% - Énfasis1 2 2 2 2 4 2 2 3" xfId="6517" xr:uid="{0973A8C7-8BB8-4B1A-84FF-6F49D34FE9C4}"/>
    <cellStyle name="40% - Énfasis1 2 2 2 2 4 2 2 4" xfId="6518" xr:uid="{03C17111-1BA3-455B-BBB5-BAAC2C878C97}"/>
    <cellStyle name="40% - Énfasis1 2 2 2 2 4 2 2 5" xfId="6519" xr:uid="{F03EF4B2-BFBD-497A-9570-5B1CCF94612F}"/>
    <cellStyle name="40% - Énfasis1 2 2 2 2 4 2 3" xfId="6520" xr:uid="{66930F11-8AE2-49CF-A84B-C58745132F04}"/>
    <cellStyle name="40% - Énfasis1 2 2 2 2 4 2 4" xfId="6521" xr:uid="{15064679-8F34-487D-A2E2-7BDE0B9BA57E}"/>
    <cellStyle name="40% - Énfasis1 2 2 2 2 4 2 5" xfId="6522" xr:uid="{F0AE32A3-BCBE-451E-875F-6F1A90F222E4}"/>
    <cellStyle name="40% - Énfasis1 2 2 2 2 4 2 6" xfId="6523" xr:uid="{147F572E-EBF6-4330-9904-6C97D52B6646}"/>
    <cellStyle name="40% - Énfasis1 2 2 2 2 4 2 7" xfId="6524" xr:uid="{63C87FFF-9DC7-4406-97B7-80FD66254E73}"/>
    <cellStyle name="40% - Énfasis1 2 2 2 2 4 2 8" xfId="6525" xr:uid="{23154BFB-43E8-40D0-82FF-8B3F40DD3817}"/>
    <cellStyle name="40% - Énfasis1 2 2 2 2 4 2 9" xfId="6526" xr:uid="{2EB55934-E0AC-4DE1-8287-68ACD8D88C20}"/>
    <cellStyle name="40% - Énfasis1 2 2 2 2 4 3" xfId="6527" xr:uid="{05BD2305-1549-4E48-8D3F-1BF54642386C}"/>
    <cellStyle name="40% - Énfasis1 2 2 2 2 4 3 2" xfId="6528" xr:uid="{265BCE9B-5227-4B93-8140-64D3B62F8AAA}"/>
    <cellStyle name="40% - Énfasis1 2 2 2 2 4 3 2 2" xfId="6529" xr:uid="{4575DA69-1788-4EFD-9B50-B2451D17C7DF}"/>
    <cellStyle name="40% - Énfasis1 2 2 2 2 4 3 2 3" xfId="6530" xr:uid="{0573B068-0818-4A49-90C3-08E3C43020E9}"/>
    <cellStyle name="40% - Énfasis1 2 2 2 2 4 3 2 4" xfId="6531" xr:uid="{5D6291AF-4FA9-4CF5-B9AD-295A133CAB3F}"/>
    <cellStyle name="40% - Énfasis1 2 2 2 2 4 3 2 5" xfId="6532" xr:uid="{5D3DCCC3-7259-4071-9EFE-ABC6D7ED1BEA}"/>
    <cellStyle name="40% - Énfasis1 2 2 2 2 4 3 3" xfId="6533" xr:uid="{0E949F97-AC50-487F-81DD-3FBE68FE486A}"/>
    <cellStyle name="40% - Énfasis1 2 2 2 2 4 3 4" xfId="6534" xr:uid="{CD4AA00D-EB4F-4225-BF01-D3DEE645BEE0}"/>
    <cellStyle name="40% - Énfasis1 2 2 2 2 4 3 5" xfId="6535" xr:uid="{BBFFAB31-EAFE-4701-9F87-BE0F94AD3348}"/>
    <cellStyle name="40% - Énfasis1 2 2 2 2 4 4" xfId="6536" xr:uid="{8A80BDA8-CE0C-4429-A4DA-D38F289DB672}"/>
    <cellStyle name="40% - Énfasis1 2 2 2 2 4 5" xfId="6537" xr:uid="{5D318F88-2FC4-447C-B0C4-890B7B38241A}"/>
    <cellStyle name="40% - Énfasis1 2 2 2 2 4 6" xfId="6538" xr:uid="{B611FBF0-8149-4DB6-B2E3-42C90D971F28}"/>
    <cellStyle name="40% - Énfasis1 2 2 2 2 4 7" xfId="6539" xr:uid="{A36902C3-B601-412D-B020-A810A3310271}"/>
    <cellStyle name="40% - Énfasis1 2 2 2 2 4 8" xfId="6540" xr:uid="{35FB36CE-82BC-4DFE-A5BA-BE4C937B16DD}"/>
    <cellStyle name="40% - Énfasis1 2 2 2 2 4 9" xfId="6541" xr:uid="{8D9DF883-5180-40F4-B0B5-6C289195EC07}"/>
    <cellStyle name="40% - Énfasis1 2 2 2 2 5" xfId="6542" xr:uid="{468E0F9F-DE87-4511-B434-32449F3D6608}"/>
    <cellStyle name="40% - Énfasis1 2 2 2 2 6" xfId="6543" xr:uid="{D884661A-F48C-4B38-97C6-FF8422046080}"/>
    <cellStyle name="40% - Énfasis1 2 2 2 2 7" xfId="6544" xr:uid="{5010F6FB-06CC-4F63-8FCE-2DF2FAD1FCEF}"/>
    <cellStyle name="40% - Énfasis1 2 2 2 2 8" xfId="43999" xr:uid="{B8002F61-20BC-4132-86E2-E88795808EE5}"/>
    <cellStyle name="40% - Énfasis1 2 2 2 3" xfId="6545" xr:uid="{CF26C7E5-87C0-4083-B89D-E7DC48E944E6}"/>
    <cellStyle name="40% - Énfasis1 2 2 2 3 2" xfId="6546" xr:uid="{59A198E1-4AB5-4199-B083-E469A7456D83}"/>
    <cellStyle name="40% - Énfasis1 2 2 2 3 2 2" xfId="44004" xr:uid="{A33C2325-067E-426E-9252-FB2631D20B81}"/>
    <cellStyle name="40% - Énfasis1 2 2 2 3 3" xfId="44003" xr:uid="{265C0A30-96AA-493D-AB48-348F506D045C}"/>
    <cellStyle name="40% - Énfasis1 2 2 2 4" xfId="6547" xr:uid="{C7A6F83D-F74D-4103-A7C0-C307233E79D3}"/>
    <cellStyle name="40% - Énfasis1 2 2 2 4 2" xfId="6548" xr:uid="{22484589-908B-4D10-B66B-10F8FF6A41CB}"/>
    <cellStyle name="40% - Énfasis1 2 2 2 4 3" xfId="44005" xr:uid="{8CE67E28-5E81-4E2A-9505-8B3BB08456DA}"/>
    <cellStyle name="40% - Énfasis1 2 2 2 5" xfId="6549" xr:uid="{F0D38E80-508C-44BA-ACA1-EF9453597059}"/>
    <cellStyle name="40% - Énfasis1 2 2 2 5 10" xfId="6550" xr:uid="{E99BCAA4-46CC-4061-B73A-069ED1913099}"/>
    <cellStyle name="40% - Énfasis1 2 2 2 5 11" xfId="6551" xr:uid="{BE5137B2-4262-4F79-A1D1-7F3F7F730BC6}"/>
    <cellStyle name="40% - Énfasis1 2 2 2 5 2" xfId="6552" xr:uid="{F07145B6-CA38-4C6A-9CAB-BE4D994E7246}"/>
    <cellStyle name="40% - Énfasis1 2 2 2 5 2 10" xfId="6553" xr:uid="{64B65101-846E-4CE3-81F8-44FE89DF7966}"/>
    <cellStyle name="40% - Énfasis1 2 2 2 5 2 11" xfId="6554" xr:uid="{E63BA1F6-9D2A-43D4-A996-2A224A887310}"/>
    <cellStyle name="40% - Énfasis1 2 2 2 5 2 2" xfId="6555" xr:uid="{C25FD564-E7CE-4F69-AA7D-B923B48B58AB}"/>
    <cellStyle name="40% - Énfasis1 2 2 2 5 2 2 2" xfId="6556" xr:uid="{EA7AF5E7-2D8D-4582-82EF-914BA53C48A2}"/>
    <cellStyle name="40% - Énfasis1 2 2 2 5 2 2 2 2" xfId="6557" xr:uid="{A4E710AE-6BCD-40CC-98DC-695177CB7120}"/>
    <cellStyle name="40% - Énfasis1 2 2 2 5 2 2 2 3" xfId="6558" xr:uid="{EBEA16B2-D16C-4EDF-9AB1-EEEC750DFDFA}"/>
    <cellStyle name="40% - Énfasis1 2 2 2 5 2 2 2 4" xfId="6559" xr:uid="{AE66D4DF-6EFA-41A5-920E-8705FECB77A4}"/>
    <cellStyle name="40% - Énfasis1 2 2 2 5 2 2 2 5" xfId="6560" xr:uid="{86E29895-EF50-41AD-B5E2-0E97B8820FC7}"/>
    <cellStyle name="40% - Énfasis1 2 2 2 5 2 2 3" xfId="6561" xr:uid="{9D7B7B4F-CBA6-42E0-8E8B-7201E3B47125}"/>
    <cellStyle name="40% - Énfasis1 2 2 2 5 2 2 4" xfId="6562" xr:uid="{25336A11-B66C-481E-95CC-42E22327C136}"/>
    <cellStyle name="40% - Énfasis1 2 2 2 5 2 2 5" xfId="6563" xr:uid="{FC3731D9-2D46-4490-B67C-3AEFF7345229}"/>
    <cellStyle name="40% - Énfasis1 2 2 2 5 2 3" xfId="6564" xr:uid="{DA51D8B5-1549-4236-AB83-0E95C885FA0D}"/>
    <cellStyle name="40% - Énfasis1 2 2 2 5 2 4" xfId="6565" xr:uid="{C36599AD-94D3-44F8-8ECC-947D8F54E16B}"/>
    <cellStyle name="40% - Énfasis1 2 2 2 5 2 5" xfId="6566" xr:uid="{BC2E1D78-1ABB-442C-93EF-1B966CDDA68D}"/>
    <cellStyle name="40% - Énfasis1 2 2 2 5 2 6" xfId="6567" xr:uid="{2A60B0F7-E142-42C8-99C9-9D47AEF72BCF}"/>
    <cellStyle name="40% - Énfasis1 2 2 2 5 2 7" xfId="6568" xr:uid="{D4BBEA00-1B19-4F14-A203-2E9732AF30C7}"/>
    <cellStyle name="40% - Énfasis1 2 2 2 5 2 8" xfId="6569" xr:uid="{7299EAC3-6611-4AB7-9DC1-26B2DE6B2BC3}"/>
    <cellStyle name="40% - Énfasis1 2 2 2 5 2 9" xfId="6570" xr:uid="{AB374B75-AA88-4DA8-A2A1-263EC689D4D9}"/>
    <cellStyle name="40% - Énfasis1 2 2 2 5 3" xfId="6571" xr:uid="{0E94B397-74BC-4D0F-9EA7-026A9FD0BE20}"/>
    <cellStyle name="40% - Énfasis1 2 2 2 5 3 2" xfId="6572" xr:uid="{FAE3F4AB-853C-45CF-ACC3-B4AD230F1EBE}"/>
    <cellStyle name="40% - Énfasis1 2 2 2 5 3 2 2" xfId="6573" xr:uid="{D5B3F697-028E-469E-B937-8ADFDF247EA2}"/>
    <cellStyle name="40% - Énfasis1 2 2 2 5 3 2 3" xfId="6574" xr:uid="{2270BA5D-22B7-4BAF-97B7-ED4D9AB2FD25}"/>
    <cellStyle name="40% - Énfasis1 2 2 2 5 3 2 4" xfId="6575" xr:uid="{0BFE70ED-882A-4538-9351-CEE02FE866DB}"/>
    <cellStyle name="40% - Énfasis1 2 2 2 5 3 2 5" xfId="6576" xr:uid="{0D04A694-C2F2-4524-B849-C4C1808932D0}"/>
    <cellStyle name="40% - Énfasis1 2 2 2 5 3 3" xfId="6577" xr:uid="{84B3A66D-9820-43DA-AF72-4900FBB86441}"/>
    <cellStyle name="40% - Énfasis1 2 2 2 5 3 4" xfId="6578" xr:uid="{38E97E2C-F689-40AE-98A7-547F2BF93175}"/>
    <cellStyle name="40% - Énfasis1 2 2 2 5 3 5" xfId="6579" xr:uid="{7A21CA60-7F77-406A-92B2-DD95AB43F24B}"/>
    <cellStyle name="40% - Énfasis1 2 2 2 5 4" xfId="6580" xr:uid="{3EFB064F-3FF6-4366-8A99-FE586D532689}"/>
    <cellStyle name="40% - Énfasis1 2 2 2 5 5" xfId="6581" xr:uid="{35395E74-E581-4AF1-A99F-4A2BA851D517}"/>
    <cellStyle name="40% - Énfasis1 2 2 2 5 6" xfId="6582" xr:uid="{AB7570BE-0A6E-4310-A609-86D6262A301D}"/>
    <cellStyle name="40% - Énfasis1 2 2 2 5 7" xfId="6583" xr:uid="{E165DE2C-6A16-4911-8A97-EB52FA324432}"/>
    <cellStyle name="40% - Énfasis1 2 2 2 5 8" xfId="6584" xr:uid="{A799216D-0683-479E-9EBE-53F5A890F07E}"/>
    <cellStyle name="40% - Énfasis1 2 2 2 5 9" xfId="6585" xr:uid="{121F8ED2-B807-46CA-AAB2-46CFF0B14FA5}"/>
    <cellStyle name="40% - Énfasis1 2 2 2 6" xfId="6586" xr:uid="{F143EA80-C945-4E88-80C7-00E9FB71D305}"/>
    <cellStyle name="40% - Énfasis1 2 2 2 7" xfId="6587" xr:uid="{CEE01AB6-5D01-4EB0-BB8D-5A41045E13F7}"/>
    <cellStyle name="40% - Énfasis1 2 2 2 8" xfId="6588" xr:uid="{1FF06E0C-2D0A-458C-8473-25220AA5A8C4}"/>
    <cellStyle name="40% - Énfasis1 2 2 2 9" xfId="43998" xr:uid="{8423A1B0-ACCD-4C40-8F44-6160DEA6A474}"/>
    <cellStyle name="40% - Énfasis1 2 2 3" xfId="6589" xr:uid="{567BAEB8-05FD-4679-8E05-53ECFA628BC2}"/>
    <cellStyle name="40% - Énfasis1 2 2 3 2" xfId="6590" xr:uid="{461C2220-126A-4A70-9C2D-8D984A2BC5A7}"/>
    <cellStyle name="40% - Énfasis1 2 2 3 2 2" xfId="44008" xr:uid="{A3FEE6D3-642A-44AC-BF0C-2E037987914B}"/>
    <cellStyle name="40% - Énfasis1 2 2 3 2 3" xfId="44007" xr:uid="{0D90DFFA-4506-4F98-8F4C-DCF802E25B3A}"/>
    <cellStyle name="40% - Énfasis1 2 2 3 3" xfId="44009" xr:uid="{9840B6CD-CC5F-405F-9C05-8CDD6162C42E}"/>
    <cellStyle name="40% - Énfasis1 2 2 3 4" xfId="44006" xr:uid="{146004F6-CE67-41E2-A5D3-2936BD8D8724}"/>
    <cellStyle name="40% - Énfasis1 2 2 4" xfId="6591" xr:uid="{73229A3A-322F-4F21-919E-A9C09FCB1ADF}"/>
    <cellStyle name="40% - Énfasis1 2 2 4 2" xfId="6592" xr:uid="{D4120833-8720-4EE3-94FD-1A82E716ADCE}"/>
    <cellStyle name="40% - Énfasis1 2 2 4 2 2" xfId="44011" xr:uid="{A72008C8-F495-49C4-B023-7235D32F2102}"/>
    <cellStyle name="40% - Énfasis1 2 2 4 3" xfId="44010" xr:uid="{99269A1E-8A8E-443A-B903-32A628DC90A7}"/>
    <cellStyle name="40% - Énfasis1 2 2 5" xfId="6593" xr:uid="{FB884495-8974-4545-85CA-0920F53B3254}"/>
    <cellStyle name="40% - Énfasis1 2 2 5 2" xfId="6594" xr:uid="{33D7F068-0D52-4089-9AD2-8FE4356916C1}"/>
    <cellStyle name="40% - Énfasis1 2 2 5 3" xfId="44012" xr:uid="{17E6DA17-890D-4741-BB35-4CC0F3E17C92}"/>
    <cellStyle name="40% - Énfasis1 2 2 6" xfId="6595" xr:uid="{B675F8EE-82BB-45DD-A496-4ED686ADCECF}"/>
    <cellStyle name="40% - Énfasis1 2 2 6 2" xfId="6596" xr:uid="{6D170143-0586-4B3A-A2B7-8FE259B375AC}"/>
    <cellStyle name="40% - Énfasis1 2 2 7" xfId="6597" xr:uid="{0D4D3D6E-6DCE-454C-8D07-C95B1A015094}"/>
    <cellStyle name="40% - Énfasis1 2 2 7 2" xfId="6598" xr:uid="{09A02E47-A616-40DF-AE14-47416F295415}"/>
    <cellStyle name="40% - Énfasis1 2 2 8" xfId="6599" xr:uid="{535B7700-0C6D-461B-AE6F-72AB419E2963}"/>
    <cellStyle name="40% - Énfasis1 2 2 8 2" xfId="6600" xr:uid="{2C4EC3DC-C52E-466B-B25A-046682C5A785}"/>
    <cellStyle name="40% - Énfasis1 2 2 8 2 2" xfId="6601" xr:uid="{BDAE9CE9-096D-48F2-9AA4-19B6819AA0E0}"/>
    <cellStyle name="40% - Énfasis1 2 2 8 3" xfId="6602" xr:uid="{ADD2756A-095A-4C51-9E21-4FF3C7B8D7D0}"/>
    <cellStyle name="40% - Énfasis1 2 2 9" xfId="6603" xr:uid="{2E746EF2-359D-4F7E-BF67-B4732E5A25C0}"/>
    <cellStyle name="40% - Énfasis1 2 2 9 2" xfId="6604" xr:uid="{14645A61-B03E-4181-99A8-CE8131CBE50B}"/>
    <cellStyle name="40% - Énfasis1 2 3" xfId="6605" xr:uid="{0A96166B-0132-4A0A-8B87-227D816C0533}"/>
    <cellStyle name="40% - Énfasis1 2 3 2" xfId="6606" xr:uid="{B0C1D2D3-F3A8-49D3-B2AD-2D9ECC048D0B}"/>
    <cellStyle name="40% - Énfasis1 2 3 2 2" xfId="44015" xr:uid="{ED05665B-D124-455B-82CE-84309A634417}"/>
    <cellStyle name="40% - Énfasis1 2 3 2 2 2" xfId="44016" xr:uid="{CDB9F5BE-925D-44F1-8209-C51764CCC4C7}"/>
    <cellStyle name="40% - Énfasis1 2 3 2 3" xfId="44017" xr:uid="{6E37476A-6604-41AD-8042-370FF03D3D5F}"/>
    <cellStyle name="40% - Énfasis1 2 3 2 4" xfId="44014" xr:uid="{127040D9-0BBE-4441-B53E-416A71700F3C}"/>
    <cellStyle name="40% - Énfasis1 2 3 3" xfId="44018" xr:uid="{6E10084F-5302-41F3-9877-C994292A4BDE}"/>
    <cellStyle name="40% - Énfasis1 2 3 3 2" xfId="44019" xr:uid="{65F0E63A-9604-465C-9BE7-E81AFE3ACA92}"/>
    <cellStyle name="40% - Énfasis1 2 3 4" xfId="44020" xr:uid="{37F5DED6-46EE-4796-8B4A-887F080A8CC0}"/>
    <cellStyle name="40% - Énfasis1 2 3 5" xfId="44013" xr:uid="{D891C9E2-0F96-43F7-9CD5-FA79E48151AD}"/>
    <cellStyle name="40% - Énfasis1 2 4" xfId="6607" xr:uid="{BA12D44A-9DCE-4E12-9149-2B0C004898DA}"/>
    <cellStyle name="40% - Énfasis1 2 4 10" xfId="6608" xr:uid="{C3FF59DA-77B7-4A55-9612-F18CFF5A7FA4}"/>
    <cellStyle name="40% - Énfasis1 2 4 11" xfId="6609" xr:uid="{642DD268-362A-4A60-B5B7-EE935FAFAD1B}"/>
    <cellStyle name="40% - Énfasis1 2 4 12" xfId="6610" xr:uid="{F3266D65-1B5F-4E6E-9BCB-D0C78FC6F31C}"/>
    <cellStyle name="40% - Énfasis1 2 4 13" xfId="44021" xr:uid="{DFE5439D-582B-4A65-81A9-A4EEDBFE7AE2}"/>
    <cellStyle name="40% - Énfasis1 2 4 2" xfId="6611" xr:uid="{EAC79F66-0D30-4FFE-8DF6-F04452A1A391}"/>
    <cellStyle name="40% - Énfasis1 2 4 2 10" xfId="6612" xr:uid="{B82F0E1D-80A1-4779-94A7-622E7CFE53AC}"/>
    <cellStyle name="40% - Énfasis1 2 4 2 11" xfId="6613" xr:uid="{74DB2ACC-57C5-42E9-8C7D-277104881ACB}"/>
    <cellStyle name="40% - Énfasis1 2 4 2 12" xfId="6614" xr:uid="{56067A43-CF8B-43F7-9614-390DB9B92E42}"/>
    <cellStyle name="40% - Énfasis1 2 4 2 13" xfId="44022" xr:uid="{BC1F87B1-1C38-440E-94F9-BDA5612D04B1}"/>
    <cellStyle name="40% - Énfasis1 2 4 2 2" xfId="6615" xr:uid="{EDEC787C-62D6-4B52-8935-FFB373F62CAC}"/>
    <cellStyle name="40% - Énfasis1 2 4 2 2 10" xfId="6616" xr:uid="{8145D21E-0226-4A3D-8D48-D73BA430B09F}"/>
    <cellStyle name="40% - Énfasis1 2 4 2 2 11" xfId="6617" xr:uid="{F0B0E30E-0444-4E9D-98D2-BF836AC26FF3}"/>
    <cellStyle name="40% - Énfasis1 2 4 2 2 12" xfId="44023" xr:uid="{3C18FCA5-8210-4D5F-A423-FA8113261D0F}"/>
    <cellStyle name="40% - Énfasis1 2 4 2 2 2" xfId="6618" xr:uid="{D44EDC07-7904-408F-BD61-29AC21F9A191}"/>
    <cellStyle name="40% - Énfasis1 2 4 2 2 2 10" xfId="6619" xr:uid="{B0BF09E1-D5B8-4BA2-AD04-591A6698CED9}"/>
    <cellStyle name="40% - Énfasis1 2 4 2 2 2 11" xfId="6620" xr:uid="{CE89976D-ACA6-4046-9008-65838C48E8E8}"/>
    <cellStyle name="40% - Énfasis1 2 4 2 2 2 2" xfId="6621" xr:uid="{AC2FC102-AFA1-4DCA-BABC-6BAA285E7968}"/>
    <cellStyle name="40% - Énfasis1 2 4 2 2 2 2 2" xfId="6622" xr:uid="{22BE94B6-954B-4C3D-9779-2CE1AA6740BC}"/>
    <cellStyle name="40% - Énfasis1 2 4 2 2 2 2 2 2" xfId="6623" xr:uid="{32864B74-AF26-4D72-9F5E-B3D78C7F43E1}"/>
    <cellStyle name="40% - Énfasis1 2 4 2 2 2 2 2 3" xfId="6624" xr:uid="{9FEA313C-784A-46FB-912F-050810A10E63}"/>
    <cellStyle name="40% - Énfasis1 2 4 2 2 2 2 2 4" xfId="6625" xr:uid="{738C8F6B-02D4-47AC-B8AF-0C43AE2E4DE7}"/>
    <cellStyle name="40% - Énfasis1 2 4 2 2 2 2 2 5" xfId="6626" xr:uid="{4FD1647F-8909-402D-A723-9AF8ECC26A1C}"/>
    <cellStyle name="40% - Énfasis1 2 4 2 2 2 2 3" xfId="6627" xr:uid="{42AC1E0A-CBCB-409D-8DE7-FFB2188F0068}"/>
    <cellStyle name="40% - Énfasis1 2 4 2 2 2 2 4" xfId="6628" xr:uid="{6CAA16AD-C49A-42B0-8301-D5F97965BF8D}"/>
    <cellStyle name="40% - Énfasis1 2 4 2 2 2 2 5" xfId="6629" xr:uid="{4552BB2B-F9BB-47ED-AC33-9FB7D471F75B}"/>
    <cellStyle name="40% - Énfasis1 2 4 2 2 2 3" xfId="6630" xr:uid="{8E4DAF3A-E159-4F3F-831A-8B98BF9F3C22}"/>
    <cellStyle name="40% - Énfasis1 2 4 2 2 2 4" xfId="6631" xr:uid="{F0960A4B-BA3C-418E-B08A-02BF600AFFE3}"/>
    <cellStyle name="40% - Énfasis1 2 4 2 2 2 5" xfId="6632" xr:uid="{29301B1D-DE71-4568-BCF4-B8016264D7F4}"/>
    <cellStyle name="40% - Énfasis1 2 4 2 2 2 6" xfId="6633" xr:uid="{8B3D2C30-B952-4D79-AC8E-EFF78E405CFD}"/>
    <cellStyle name="40% - Énfasis1 2 4 2 2 2 7" xfId="6634" xr:uid="{F7A1152F-49F3-49A9-9E30-85C2469792C7}"/>
    <cellStyle name="40% - Énfasis1 2 4 2 2 2 8" xfId="6635" xr:uid="{1EDC77D5-9B1E-4678-AE94-7173D04C3C54}"/>
    <cellStyle name="40% - Énfasis1 2 4 2 2 2 9" xfId="6636" xr:uid="{4D041F6E-507B-4366-A398-EACF96791A44}"/>
    <cellStyle name="40% - Énfasis1 2 4 2 2 3" xfId="6637" xr:uid="{CA914976-6801-4D27-B1A4-AD55ACA0E0EE}"/>
    <cellStyle name="40% - Énfasis1 2 4 2 2 3 2" xfId="6638" xr:uid="{3564F945-3491-47CB-A8FD-21EEEB710C4C}"/>
    <cellStyle name="40% - Énfasis1 2 4 2 2 3 2 2" xfId="6639" xr:uid="{C42C814D-9C1C-46D6-B818-59BD843529DE}"/>
    <cellStyle name="40% - Énfasis1 2 4 2 2 3 2 3" xfId="6640" xr:uid="{076E1DC7-C328-4A69-95C0-65C85CF9EE1E}"/>
    <cellStyle name="40% - Énfasis1 2 4 2 2 3 2 4" xfId="6641" xr:uid="{5B75279F-A1F7-413C-8BF3-F6793A8E5963}"/>
    <cellStyle name="40% - Énfasis1 2 4 2 2 3 2 5" xfId="6642" xr:uid="{43628482-2967-497E-82DD-E67477ACFB02}"/>
    <cellStyle name="40% - Énfasis1 2 4 2 2 3 3" xfId="6643" xr:uid="{29108785-67F2-4F48-B08F-2695EC0DD348}"/>
    <cellStyle name="40% - Énfasis1 2 4 2 2 3 4" xfId="6644" xr:uid="{E8042399-321B-4E93-B87D-9CAA54E44111}"/>
    <cellStyle name="40% - Énfasis1 2 4 2 2 3 5" xfId="6645" xr:uid="{45632107-AEC6-4D06-B67B-DA55E5924565}"/>
    <cellStyle name="40% - Énfasis1 2 4 2 2 4" xfId="6646" xr:uid="{197C4BD3-1F6E-487D-AFAB-0B7CBEF7089A}"/>
    <cellStyle name="40% - Énfasis1 2 4 2 2 5" xfId="6647" xr:uid="{7BB4E60F-4899-40FD-A17D-9036AE448743}"/>
    <cellStyle name="40% - Énfasis1 2 4 2 2 6" xfId="6648" xr:uid="{C302A141-9E79-4B69-B8CF-D65BADF0E5D8}"/>
    <cellStyle name="40% - Énfasis1 2 4 2 2 7" xfId="6649" xr:uid="{50184699-42F2-4C01-81B0-B938818B2CAB}"/>
    <cellStyle name="40% - Énfasis1 2 4 2 2 8" xfId="6650" xr:uid="{544ABFBE-218A-4D9C-AC59-14E2BD95FCFF}"/>
    <cellStyle name="40% - Énfasis1 2 4 2 2 9" xfId="6651" xr:uid="{BA1E313D-757E-44DB-8DC9-051004494BD9}"/>
    <cellStyle name="40% - Énfasis1 2 4 2 3" xfId="6652" xr:uid="{587DB7A8-4D5E-4154-A860-15388CAF99B6}"/>
    <cellStyle name="40% - Énfasis1 2 4 2 3 2" xfId="6653" xr:uid="{5462B83C-61AC-4F88-B5A4-22014DDD68D2}"/>
    <cellStyle name="40% - Énfasis1 2 4 2 3 2 2" xfId="6654" xr:uid="{B1E8333F-96D1-4729-A6CA-BAD5316CF090}"/>
    <cellStyle name="40% - Énfasis1 2 4 2 3 2 3" xfId="6655" xr:uid="{F905EEE6-E2D1-410A-8124-EE4E5F70FB37}"/>
    <cellStyle name="40% - Énfasis1 2 4 2 3 2 4" xfId="6656" xr:uid="{4B5ED5F5-9B88-4479-9CC2-DAEB36AD6CFA}"/>
    <cellStyle name="40% - Énfasis1 2 4 2 3 2 5" xfId="6657" xr:uid="{65FEB562-D9AB-4DFA-BB32-180571E9CFFF}"/>
    <cellStyle name="40% - Énfasis1 2 4 2 3 3" xfId="6658" xr:uid="{0CAE1F21-7F3E-4A87-B47D-99EC19759FE7}"/>
    <cellStyle name="40% - Énfasis1 2 4 2 3 4" xfId="6659" xr:uid="{FDC96D61-F06A-4B44-AF1A-4042883FA96B}"/>
    <cellStyle name="40% - Énfasis1 2 4 2 3 5" xfId="6660" xr:uid="{602A39FD-D467-49B1-915A-C473069241D1}"/>
    <cellStyle name="40% - Énfasis1 2 4 2 4" xfId="6661" xr:uid="{4454523A-A5C8-4832-8F53-A0A522AF5C11}"/>
    <cellStyle name="40% - Énfasis1 2 4 2 5" xfId="6662" xr:uid="{0DBBD84C-AD0F-4B60-B516-B4325D7C48FA}"/>
    <cellStyle name="40% - Énfasis1 2 4 2 6" xfId="6663" xr:uid="{BD840DCF-0CBA-42A3-ABCE-6CEC44E419F3}"/>
    <cellStyle name="40% - Énfasis1 2 4 2 7" xfId="6664" xr:uid="{5679283A-FC0D-4473-A5D3-F947EC5A9D26}"/>
    <cellStyle name="40% - Énfasis1 2 4 2 8" xfId="6665" xr:uid="{64D989D5-2839-497F-8307-53C766B5063B}"/>
    <cellStyle name="40% - Énfasis1 2 4 2 9" xfId="6666" xr:uid="{D37190B1-EEAB-445B-B244-CD63D33606DC}"/>
    <cellStyle name="40% - Énfasis1 2 4 3" xfId="6667" xr:uid="{A21DB832-A655-446E-9E81-25B15600310D}"/>
    <cellStyle name="40% - Énfasis1 2 4 3 10" xfId="6668" xr:uid="{DA75B1D3-D522-4192-9187-6D0D141F8736}"/>
    <cellStyle name="40% - Énfasis1 2 4 3 11" xfId="6669" xr:uid="{F5A0DBDC-E9D7-4B20-8B8D-F6A53C58CB77}"/>
    <cellStyle name="40% - Énfasis1 2 4 3 12" xfId="44024" xr:uid="{6B83D61C-0A12-4B20-BF5F-AB7662A390B1}"/>
    <cellStyle name="40% - Énfasis1 2 4 3 2" xfId="6670" xr:uid="{F4BA0BD0-8D5E-4361-A8D6-A0383FED7203}"/>
    <cellStyle name="40% - Énfasis1 2 4 3 2 2" xfId="6671" xr:uid="{BBDC0B75-19EB-47B4-87DF-26CD654EEEB8}"/>
    <cellStyle name="40% - Énfasis1 2 4 3 2 2 2" xfId="6672" xr:uid="{955672C8-AE59-43C6-907D-99B4DFF6E5C5}"/>
    <cellStyle name="40% - Énfasis1 2 4 3 2 2 3" xfId="6673" xr:uid="{06237FE9-E18C-4B86-965D-1A81BDF780EA}"/>
    <cellStyle name="40% - Énfasis1 2 4 3 2 2 4" xfId="6674" xr:uid="{922B4E4F-E732-4078-B81E-2B4E43F8CC79}"/>
    <cellStyle name="40% - Énfasis1 2 4 3 2 2 5" xfId="6675" xr:uid="{9418616A-CEEF-4EA7-BEE8-D23C147ABB6E}"/>
    <cellStyle name="40% - Énfasis1 2 4 3 2 3" xfId="6676" xr:uid="{C9DDDA61-138E-49C1-871C-DA5BFF4CC7D6}"/>
    <cellStyle name="40% - Énfasis1 2 4 3 2 4" xfId="6677" xr:uid="{3BB8D211-B5C7-4974-ACBF-CC17711E5563}"/>
    <cellStyle name="40% - Énfasis1 2 4 3 2 5" xfId="6678" xr:uid="{052668A7-9D08-4D78-B9D7-ECF593A4CF8F}"/>
    <cellStyle name="40% - Énfasis1 2 4 3 3" xfId="6679" xr:uid="{96A6B217-B572-494B-A7CE-AD201E063F6D}"/>
    <cellStyle name="40% - Énfasis1 2 4 3 4" xfId="6680" xr:uid="{DCFDE99A-CB75-49F9-A9B1-311E164D901F}"/>
    <cellStyle name="40% - Énfasis1 2 4 3 5" xfId="6681" xr:uid="{55DA39F9-18D4-4AC9-B9EF-329E55F9AB17}"/>
    <cellStyle name="40% - Énfasis1 2 4 3 6" xfId="6682" xr:uid="{A5BDB9F4-AE78-4FAC-8FE7-D68FB5FC5A7D}"/>
    <cellStyle name="40% - Énfasis1 2 4 3 7" xfId="6683" xr:uid="{2272BC12-793E-4151-9765-0A2456AE770B}"/>
    <cellStyle name="40% - Énfasis1 2 4 3 8" xfId="6684" xr:uid="{C91E6510-0F06-4DCF-B62E-4F7AD2BA4FC0}"/>
    <cellStyle name="40% - Énfasis1 2 4 3 9" xfId="6685" xr:uid="{E033E16B-DFBC-4D9C-A3B3-23523866A61D}"/>
    <cellStyle name="40% - Énfasis1 2 4 4" xfId="6686" xr:uid="{4F03D25B-C91C-4B86-A4DB-DB13847D9F06}"/>
    <cellStyle name="40% - Énfasis1 2 4 4 2" xfId="6687" xr:uid="{78C6D75B-B2DD-4920-BB90-8CD96D3FAF1C}"/>
    <cellStyle name="40% - Énfasis1 2 4 4 2 2" xfId="6688" xr:uid="{EC42B882-40CF-4557-A759-BDC1257F8246}"/>
    <cellStyle name="40% - Énfasis1 2 4 4 2 3" xfId="6689" xr:uid="{CF7F8C9A-3D88-4BD4-92A4-CF1956B7AD52}"/>
    <cellStyle name="40% - Énfasis1 2 4 4 2 4" xfId="6690" xr:uid="{0EE73C9A-1638-4EA1-9849-DFD250BC614E}"/>
    <cellStyle name="40% - Énfasis1 2 4 4 2 5" xfId="6691" xr:uid="{8936701E-1FA3-47E0-B9B0-44625D31B37E}"/>
    <cellStyle name="40% - Énfasis1 2 4 4 3" xfId="6692" xr:uid="{59A292FC-B901-4B5D-B6E5-5C9C9F1E385B}"/>
    <cellStyle name="40% - Énfasis1 2 4 4 4" xfId="6693" xr:uid="{BBBEC5F1-39F9-4288-9D50-D8ABBA2D946D}"/>
    <cellStyle name="40% - Énfasis1 2 4 4 5" xfId="6694" xr:uid="{F3D88A4D-4629-441B-B65B-DF7D67ABFAD5}"/>
    <cellStyle name="40% - Énfasis1 2 4 5" xfId="6695" xr:uid="{43DC5C62-4F8F-455B-9E9C-8207B039983D}"/>
    <cellStyle name="40% - Énfasis1 2 4 6" xfId="6696" xr:uid="{B1E0FECB-BF6B-4BE3-9AF1-ED5F3D284867}"/>
    <cellStyle name="40% - Énfasis1 2 4 7" xfId="6697" xr:uid="{0FDFBB6D-BF3C-49B0-BBEC-341868875528}"/>
    <cellStyle name="40% - Énfasis1 2 4 8" xfId="6698" xr:uid="{6C2EE263-18AF-43B3-B010-426037C8B356}"/>
    <cellStyle name="40% - Énfasis1 2 4 9" xfId="6699" xr:uid="{74B6C537-99C1-4C44-AC16-D4AA166747DA}"/>
    <cellStyle name="40% - Énfasis1 2 5" xfId="6700" xr:uid="{8CE5F048-D7A0-4FBA-A0A0-217850396111}"/>
    <cellStyle name="40% - Énfasis1 2 5 2" xfId="6701" xr:uid="{235C7DDD-2BBE-48EE-8DB8-2E9105256C6D}"/>
    <cellStyle name="40% - Énfasis1 2 5 2 2" xfId="44026" xr:uid="{D9FE1777-7CF2-4B18-9755-43EA754811D8}"/>
    <cellStyle name="40% - Énfasis1 2 5 3" xfId="44025" xr:uid="{D359B192-8456-4412-BCE1-1E1DD6161040}"/>
    <cellStyle name="40% - Énfasis1 2 6" xfId="6702" xr:uid="{72BA497A-0CA1-4E08-9DFD-A557C43F626B}"/>
    <cellStyle name="40% - Énfasis1 2 6 2" xfId="6703" xr:uid="{D5BBED88-D3B3-41E8-9464-6A5CED3E8A76}"/>
    <cellStyle name="40% - Énfasis1 2 6 3" xfId="44027" xr:uid="{D2ACC1C3-53A2-4C7B-B53D-48FE70E0A674}"/>
    <cellStyle name="40% - Énfasis1 2 7" xfId="6704" xr:uid="{E87AC0B3-7408-45DA-9A59-3AABFB992247}"/>
    <cellStyle name="40% - Énfasis1 2 7 2" xfId="6705" xr:uid="{E7E85F24-DF1B-4E65-A72A-A762DFB05904}"/>
    <cellStyle name="40% - Énfasis1 2 8" xfId="6706" xr:uid="{8993C561-BACE-48BE-BFC8-0B1AEAE891E8}"/>
    <cellStyle name="40% - Énfasis1 2 8 2" xfId="6707" xr:uid="{FBD5DFFA-2122-4262-990E-33192B875A0A}"/>
    <cellStyle name="40% - Énfasis1 2 8 2 2" xfId="6708" xr:uid="{9E10DF22-205E-401E-AD85-E98C6D246DFC}"/>
    <cellStyle name="40% - Énfasis1 2 8 3" xfId="6709" xr:uid="{1E984B6E-FB39-4250-889F-F6497122A0F3}"/>
    <cellStyle name="40% - Énfasis1 2 9" xfId="6710" xr:uid="{C3CB3AD9-F354-46F9-96A2-03975D42CE1E}"/>
    <cellStyle name="40% - Énfasis1 2 9 2" xfId="6711" xr:uid="{69B70FF5-1FC2-4DE2-8EAC-3BD541EB38D1}"/>
    <cellStyle name="40% - Énfasis1 3" xfId="6712" xr:uid="{BE951EFE-586F-45A4-8703-1D386A20A509}"/>
    <cellStyle name="40% - Énfasis1 3 2" xfId="6713" xr:uid="{19CC66EA-6F62-4742-85D0-88615200A706}"/>
    <cellStyle name="40% - Énfasis1 3 2 2" xfId="6714" xr:uid="{298F4922-9108-41B3-AB1E-8B208EEF72C2}"/>
    <cellStyle name="40% - Énfasis1 3 2 2 2" xfId="44031" xr:uid="{CE4E9B4D-89FC-4729-AE8E-B97AB477D198}"/>
    <cellStyle name="40% - Énfasis1 3 2 2 2 2" xfId="44032" xr:uid="{3FF3D9CA-3E77-48BF-B474-AB7F21C6BB8C}"/>
    <cellStyle name="40% - Énfasis1 3 2 2 3" xfId="44033" xr:uid="{78EB68E7-B5F6-4F20-AE7E-C1B71CDDEEAF}"/>
    <cellStyle name="40% - Énfasis1 3 2 2 4" xfId="44030" xr:uid="{3EAB7B77-D730-4DFC-8154-245758274359}"/>
    <cellStyle name="40% - Énfasis1 3 2 3" xfId="44034" xr:uid="{D58EEE88-A9A1-4CB0-8549-DDEF44D18392}"/>
    <cellStyle name="40% - Énfasis1 3 2 3 2" xfId="44035" xr:uid="{C6DA95A5-27FC-4835-B085-55CEB7D08A72}"/>
    <cellStyle name="40% - Énfasis1 3 2 4" xfId="44036" xr:uid="{234377C3-EDF8-4008-B83C-31A6EF91AC61}"/>
    <cellStyle name="40% - Énfasis1 3 2 5" xfId="44029" xr:uid="{87183478-8126-45D3-9EB8-434568398521}"/>
    <cellStyle name="40% - Énfasis1 3 3" xfId="6715" xr:uid="{99189E0F-C7BF-4578-BB6D-409E64A780A4}"/>
    <cellStyle name="40% - Énfasis1 3 3 2" xfId="6716" xr:uid="{63C4F660-261D-45C3-A5CD-A5EB843FC0B6}"/>
    <cellStyle name="40% - Énfasis1 3 3 2 2" xfId="44039" xr:uid="{BC90C4A8-312C-4CDE-BD6E-502497A3823E}"/>
    <cellStyle name="40% - Énfasis1 3 3 2 3" xfId="44038" xr:uid="{9B4F262B-9E65-4EAC-B800-B2805A6EEAE4}"/>
    <cellStyle name="40% - Énfasis1 3 3 3" xfId="44040" xr:uid="{2A642197-37EC-4047-9809-7BF93F7898AC}"/>
    <cellStyle name="40% - Énfasis1 3 3 4" xfId="44037" xr:uid="{2660022C-F2E3-485E-A539-DD3273292616}"/>
    <cellStyle name="40% - Énfasis1 3 4" xfId="6717" xr:uid="{08CD55C8-4C6E-48E0-AC91-6722412D61BD}"/>
    <cellStyle name="40% - Énfasis1 3 4 2" xfId="44042" xr:uid="{376737CF-481A-44B6-8EB5-16C44A47FE0C}"/>
    <cellStyle name="40% - Énfasis1 3 4 3" xfId="44041" xr:uid="{4484C70B-3DDF-4648-B5C2-F4654BC1F41B}"/>
    <cellStyle name="40% - Énfasis1 3 5" xfId="44043" xr:uid="{17D2577A-636F-4A6B-91E0-39FC522D6EB5}"/>
    <cellStyle name="40% - Énfasis1 3 6" xfId="44028" xr:uid="{9BDB03CF-2885-4A16-B045-1BDB49C2F9CD}"/>
    <cellStyle name="40% - Énfasis1 4" xfId="6718" xr:uid="{D6DFF205-5558-4BE5-A290-E14C41743D0D}"/>
    <cellStyle name="40% - Énfasis1 4 2" xfId="6719" xr:uid="{131C705F-22D8-4056-B81B-9B6EAC46F2A7}"/>
    <cellStyle name="40% - Énfasis1 4 2 2" xfId="44046" xr:uid="{66A4176D-9BAD-4584-A548-A32FA62FDD6C}"/>
    <cellStyle name="40% - Énfasis1 4 2 2 2" xfId="44047" xr:uid="{4208F304-8B40-4C17-B9FA-36DA72D3DD3A}"/>
    <cellStyle name="40% - Énfasis1 4 2 3" xfId="44048" xr:uid="{081F81E2-709C-4F2C-A4C1-A452B43DE153}"/>
    <cellStyle name="40% - Énfasis1 4 2 4" xfId="44045" xr:uid="{E61A2F65-5156-4B46-8344-EC6BA19921D0}"/>
    <cellStyle name="40% - Énfasis1 4 3" xfId="44049" xr:uid="{5FCB7FA8-D029-48A1-9A01-3801BACEA504}"/>
    <cellStyle name="40% - Énfasis1 4 3 2" xfId="44050" xr:uid="{1D9D58C4-28C4-4796-A3F7-EC9A18DD5CE3}"/>
    <cellStyle name="40% - Énfasis1 4 4" xfId="44051" xr:uid="{6C382D90-D904-4937-B98E-8EF39143854C}"/>
    <cellStyle name="40% - Énfasis1 4 5" xfId="44044" xr:uid="{AC060DF9-1E33-4B61-BF90-26DB333C7849}"/>
    <cellStyle name="40% - Énfasis1 5" xfId="44052" xr:uid="{7A958927-165D-45AC-8403-F9F1E61C72D0}"/>
    <cellStyle name="40% - Énfasis1 5 2" xfId="44053" xr:uid="{188F23F2-8732-490C-8DA6-595E9285667C}"/>
    <cellStyle name="40% - Énfasis1 5 2 2" xfId="44054" xr:uid="{1F540A12-4FC5-4117-99DC-82B149530525}"/>
    <cellStyle name="40% - Énfasis1 5 2 2 2" xfId="44055" xr:uid="{CE911BF5-621B-4CE5-9E69-16BC8CEBA2C8}"/>
    <cellStyle name="40% - Énfasis1 5 2 3" xfId="44056" xr:uid="{CB7D1152-9627-42B6-9767-BC9A380055C3}"/>
    <cellStyle name="40% - Énfasis1 5 3" xfId="44057" xr:uid="{F2AC791E-A2FE-44ED-835D-AD1967BBE412}"/>
    <cellStyle name="40% - Énfasis1 5 3 2" xfId="44058" xr:uid="{53ACE3DA-5C74-4672-B2BC-82C9B75410E3}"/>
    <cellStyle name="40% - Énfasis1 5 4" xfId="44059" xr:uid="{9AB540CE-EFEC-4C49-B67E-72B057789955}"/>
    <cellStyle name="40% - Énfasis1 6" xfId="44060" xr:uid="{FF4E3F7C-0EBC-429C-8DD4-6E7A94597AFB}"/>
    <cellStyle name="40% - Énfasis1 6 2" xfId="44061" xr:uid="{9768A66F-EF26-488D-AE67-16641D9EF571}"/>
    <cellStyle name="40% - Énfasis1 6 2 2" xfId="44062" xr:uid="{81CF4EF9-1854-4428-9239-5F0D986DD83F}"/>
    <cellStyle name="40% - Énfasis1 6 3" xfId="44063" xr:uid="{61416329-CE84-46A3-9BEE-EBCE588311F3}"/>
    <cellStyle name="40% - Énfasis1 7" xfId="44064" xr:uid="{2020E446-83DD-4E4F-9116-271C8C6480ED}"/>
    <cellStyle name="40% - Énfasis1 7 2" xfId="44065" xr:uid="{CEF65F63-C209-4097-8F49-558F3AD30580}"/>
    <cellStyle name="40% - Énfasis1 8" xfId="44066" xr:uid="{F0C330EA-66E7-461A-90E4-146E269A7436}"/>
    <cellStyle name="40% - Énfasis2" xfId="28" builtinId="35" customBuiltin="1"/>
    <cellStyle name="40% - Énfasis2 2" xfId="6720" xr:uid="{84CC15D4-E947-4B0B-9195-6D8C17B4177D}"/>
    <cellStyle name="40% - Énfasis2 2 10" xfId="6721" xr:uid="{CEB543AF-FE88-4A24-A1E2-0AC1CD412D86}"/>
    <cellStyle name="40% - Énfasis2 2 10 10" xfId="6722" xr:uid="{CA5666C3-16AC-4DCC-88F7-1402276E2847}"/>
    <cellStyle name="40% - Énfasis2 2 10 11" xfId="6723" xr:uid="{CA327681-ECDF-4145-A13B-0484F55493B4}"/>
    <cellStyle name="40% - Énfasis2 2 10 2" xfId="6724" xr:uid="{289A00AF-AF80-46DC-B0F8-B44C77D01D5E}"/>
    <cellStyle name="40% - Énfasis2 2 10 2 10" xfId="6725" xr:uid="{DD10ADA0-717B-4F3A-B431-E25D5F5ED587}"/>
    <cellStyle name="40% - Énfasis2 2 10 2 11" xfId="6726" xr:uid="{F02867C3-7CCD-4092-B472-D6F54E44672C}"/>
    <cellStyle name="40% - Énfasis2 2 10 2 2" xfId="6727" xr:uid="{2085ADDB-5708-4FF7-A431-DD301D23D9AA}"/>
    <cellStyle name="40% - Énfasis2 2 10 2 2 2" xfId="6728" xr:uid="{68E5DC7F-96B0-4F1D-A0E1-14D39BD34C05}"/>
    <cellStyle name="40% - Énfasis2 2 10 2 2 2 2" xfId="6729" xr:uid="{D69693ED-CBAD-4981-8EEA-87C758C50F49}"/>
    <cellStyle name="40% - Énfasis2 2 10 2 2 2 3" xfId="6730" xr:uid="{0D12EC34-8DDD-42B4-ABA6-1BEFBEE51F5A}"/>
    <cellStyle name="40% - Énfasis2 2 10 2 2 2 4" xfId="6731" xr:uid="{5D90D8F1-3D9C-4BEE-8523-C42F874D4ADB}"/>
    <cellStyle name="40% - Énfasis2 2 10 2 2 2 5" xfId="6732" xr:uid="{469012E1-7384-461F-8692-2315E6E6F7B3}"/>
    <cellStyle name="40% - Énfasis2 2 10 2 2 3" xfId="6733" xr:uid="{8C734F3A-94BC-43BB-AA30-97CEDF7DE273}"/>
    <cellStyle name="40% - Énfasis2 2 10 2 2 4" xfId="6734" xr:uid="{405274C7-5F04-4BC6-99BA-1273E0AAA899}"/>
    <cellStyle name="40% - Énfasis2 2 10 2 2 5" xfId="6735" xr:uid="{807AED00-21E7-48F4-8ABB-70923782301C}"/>
    <cellStyle name="40% - Énfasis2 2 10 2 3" xfId="6736" xr:uid="{A6DFC252-6AA9-4BEA-BEE5-410DD06B51DA}"/>
    <cellStyle name="40% - Énfasis2 2 10 2 4" xfId="6737" xr:uid="{72B7F298-DA6F-43F3-8F92-A7A2E55CB9D9}"/>
    <cellStyle name="40% - Énfasis2 2 10 2 5" xfId="6738" xr:uid="{A2829CB5-017B-4F10-BCA5-82198D4E21BB}"/>
    <cellStyle name="40% - Énfasis2 2 10 2 6" xfId="6739" xr:uid="{3C7FE479-48ED-4606-B06B-70348F433BAF}"/>
    <cellStyle name="40% - Énfasis2 2 10 2 7" xfId="6740" xr:uid="{8297F28D-E240-4BFA-851A-4AFB087268B5}"/>
    <cellStyle name="40% - Énfasis2 2 10 2 8" xfId="6741" xr:uid="{9E67B74B-44E8-42F8-AD4A-F258355DEBEC}"/>
    <cellStyle name="40% - Énfasis2 2 10 2 9" xfId="6742" xr:uid="{CC2344BD-54AA-4790-9692-F1F04BCFF4B0}"/>
    <cellStyle name="40% - Énfasis2 2 10 3" xfId="6743" xr:uid="{25B2B44C-6060-4FF9-9894-391EE296B0AE}"/>
    <cellStyle name="40% - Énfasis2 2 10 3 2" xfId="6744" xr:uid="{B3ABB8DA-B298-4ED7-9782-518806851073}"/>
    <cellStyle name="40% - Énfasis2 2 10 3 2 2" xfId="6745" xr:uid="{F4BBD17B-FF0F-436D-B265-585F9229D7AF}"/>
    <cellStyle name="40% - Énfasis2 2 10 3 2 3" xfId="6746" xr:uid="{2F95B3D4-43A6-4654-B9A4-8D92CF9C0749}"/>
    <cellStyle name="40% - Énfasis2 2 10 3 2 4" xfId="6747" xr:uid="{10C86CCF-BB76-4948-A3C3-1603C1DABA4F}"/>
    <cellStyle name="40% - Énfasis2 2 10 3 2 5" xfId="6748" xr:uid="{160481D5-9054-4EB0-935F-F5424EF7F5A3}"/>
    <cellStyle name="40% - Énfasis2 2 10 3 3" xfId="6749" xr:uid="{8673A812-3849-4F63-8E2A-EADE7393D0D8}"/>
    <cellStyle name="40% - Énfasis2 2 10 3 4" xfId="6750" xr:uid="{ABD9044A-6FA4-4D5A-9F00-B5BE5F5ADE30}"/>
    <cellStyle name="40% - Énfasis2 2 10 3 5" xfId="6751" xr:uid="{F9B0314E-7E9E-4709-B064-61F8D16B4DCD}"/>
    <cellStyle name="40% - Énfasis2 2 10 4" xfId="6752" xr:uid="{0C381D2B-597C-4933-BB55-DC61E6C7999E}"/>
    <cellStyle name="40% - Énfasis2 2 10 5" xfId="6753" xr:uid="{81BC3B1F-B254-431C-A3EA-5631644C1226}"/>
    <cellStyle name="40% - Énfasis2 2 10 6" xfId="6754" xr:uid="{CBF4D968-FFD3-4528-A7D2-DCB0B27F6DF8}"/>
    <cellStyle name="40% - Énfasis2 2 10 7" xfId="6755" xr:uid="{2DB39428-046E-4DC0-A01F-6EEB75B0D50E}"/>
    <cellStyle name="40% - Énfasis2 2 10 8" xfId="6756" xr:uid="{AB40966D-9479-46C6-880C-B3E871585ED2}"/>
    <cellStyle name="40% - Énfasis2 2 10 9" xfId="6757" xr:uid="{1406A38F-0D9A-4884-8430-039E78DAD1DE}"/>
    <cellStyle name="40% - Énfasis2 2 11" xfId="6758" xr:uid="{880E808F-DD1A-432B-A682-9B7F1AF25F18}"/>
    <cellStyle name="40% - Énfasis2 2 12" xfId="6759" xr:uid="{03D70C5E-7983-4BA9-9696-43C35F4F4C32}"/>
    <cellStyle name="40% - Énfasis2 2 13" xfId="6760" xr:uid="{B27EBCD2-9673-480F-9ECD-2EFEFD48A539}"/>
    <cellStyle name="40% - Énfasis2 2 14" xfId="44067" xr:uid="{774D686C-2219-44E8-9656-3348548B5BE9}"/>
    <cellStyle name="40% - Énfasis2 2 2" xfId="6761" xr:uid="{B1CFD4BA-B69C-4EB7-A64A-B455F4B59230}"/>
    <cellStyle name="40% - Énfasis2 2 2 10" xfId="6762" xr:uid="{7F4902D1-8EDA-4C8F-9A5F-70E180C9536B}"/>
    <cellStyle name="40% - Énfasis2 2 2 10 10" xfId="6763" xr:uid="{3C6EBF60-3568-4AA0-A65F-A55A15F272CA}"/>
    <cellStyle name="40% - Énfasis2 2 2 10 11" xfId="6764" xr:uid="{AAAF52FF-5A4C-4356-8B91-61E05E37D130}"/>
    <cellStyle name="40% - Énfasis2 2 2 10 2" xfId="6765" xr:uid="{FF66B890-0DBC-4007-8B80-0E0DD2DE87B8}"/>
    <cellStyle name="40% - Énfasis2 2 2 10 2 10" xfId="6766" xr:uid="{CD9016FF-4CDE-4FB3-AE2E-C887A17712C6}"/>
    <cellStyle name="40% - Énfasis2 2 2 10 2 11" xfId="6767" xr:uid="{28AED403-96AC-4B8A-AA44-6AEAA8C2354C}"/>
    <cellStyle name="40% - Énfasis2 2 2 10 2 2" xfId="6768" xr:uid="{B5B6CF2A-9C39-456A-B7ED-7CAB044FAB27}"/>
    <cellStyle name="40% - Énfasis2 2 2 10 2 2 2" xfId="6769" xr:uid="{9DFE2660-F7E4-4AFB-A6DD-80DC16F158D8}"/>
    <cellStyle name="40% - Énfasis2 2 2 10 2 2 2 2" xfId="6770" xr:uid="{2B7E34E1-FDCF-4CE4-AEA4-797ED7B54F26}"/>
    <cellStyle name="40% - Énfasis2 2 2 10 2 2 2 3" xfId="6771" xr:uid="{497A6550-741B-4F35-97CD-F04DDB2BD4AB}"/>
    <cellStyle name="40% - Énfasis2 2 2 10 2 2 2 4" xfId="6772" xr:uid="{B3D4EA31-9848-4019-A6CE-461911D7DADD}"/>
    <cellStyle name="40% - Énfasis2 2 2 10 2 2 2 5" xfId="6773" xr:uid="{80D2949E-1C88-4F8A-9F1D-88F33CFC5FE1}"/>
    <cellStyle name="40% - Énfasis2 2 2 10 2 2 3" xfId="6774" xr:uid="{85EA2C09-2B9B-43D3-8E3F-D8BFACE26C8D}"/>
    <cellStyle name="40% - Énfasis2 2 2 10 2 2 4" xfId="6775" xr:uid="{5F778F35-006A-4061-8DAD-6DB70FDA8203}"/>
    <cellStyle name="40% - Énfasis2 2 2 10 2 2 5" xfId="6776" xr:uid="{B885ACCA-5B97-4B10-8763-52F333EF7134}"/>
    <cellStyle name="40% - Énfasis2 2 2 10 2 3" xfId="6777" xr:uid="{C75842DC-7870-4140-8726-8A59175A9983}"/>
    <cellStyle name="40% - Énfasis2 2 2 10 2 4" xfId="6778" xr:uid="{7C6A46B8-9CEA-4BCD-93A6-2864D92A9B6A}"/>
    <cellStyle name="40% - Énfasis2 2 2 10 2 5" xfId="6779" xr:uid="{7B16433F-3188-4673-B918-2DC0403CABFB}"/>
    <cellStyle name="40% - Énfasis2 2 2 10 2 6" xfId="6780" xr:uid="{1234507D-93CF-42F0-8BCA-5E042437DAE2}"/>
    <cellStyle name="40% - Énfasis2 2 2 10 2 7" xfId="6781" xr:uid="{CF22F12C-87D1-469E-B4D0-2C9BEC16AFB9}"/>
    <cellStyle name="40% - Énfasis2 2 2 10 2 8" xfId="6782" xr:uid="{24A81F78-CBA1-4254-A50A-8DC4894F3458}"/>
    <cellStyle name="40% - Énfasis2 2 2 10 2 9" xfId="6783" xr:uid="{23C66973-C08F-45DA-8E21-885ECCD26C21}"/>
    <cellStyle name="40% - Énfasis2 2 2 10 3" xfId="6784" xr:uid="{F33890C5-8934-4F92-B618-D003ADF798EA}"/>
    <cellStyle name="40% - Énfasis2 2 2 10 3 2" xfId="6785" xr:uid="{91397C90-F2BA-49F7-A5CD-4E212A480729}"/>
    <cellStyle name="40% - Énfasis2 2 2 10 3 2 2" xfId="6786" xr:uid="{85A58BC5-AF4E-42C4-B46E-4825D92C9242}"/>
    <cellStyle name="40% - Énfasis2 2 2 10 3 2 3" xfId="6787" xr:uid="{9F7D6157-F3CD-4D77-BC9F-3B7FB4D42639}"/>
    <cellStyle name="40% - Énfasis2 2 2 10 3 2 4" xfId="6788" xr:uid="{8EAF00AA-9ABB-4DB2-AB33-E0450D590390}"/>
    <cellStyle name="40% - Énfasis2 2 2 10 3 2 5" xfId="6789" xr:uid="{454F512B-AFA7-4386-97B0-4F77858ECD2D}"/>
    <cellStyle name="40% - Énfasis2 2 2 10 3 3" xfId="6790" xr:uid="{48197CAD-52B9-411E-92F9-4FBC96BD6BD9}"/>
    <cellStyle name="40% - Énfasis2 2 2 10 3 4" xfId="6791" xr:uid="{8DC5E653-5404-4E05-BAA2-882954CBF617}"/>
    <cellStyle name="40% - Énfasis2 2 2 10 3 5" xfId="6792" xr:uid="{7003F682-2045-4466-9DC6-6740C2F89CB4}"/>
    <cellStyle name="40% - Énfasis2 2 2 10 4" xfId="6793" xr:uid="{1F0BD81F-B48A-4D77-B4F5-2553CE31FAA2}"/>
    <cellStyle name="40% - Énfasis2 2 2 10 5" xfId="6794" xr:uid="{DF56DA1E-B4B6-4D2F-A354-AEC7DF461446}"/>
    <cellStyle name="40% - Énfasis2 2 2 10 6" xfId="6795" xr:uid="{02A8A56E-920F-401F-B5F3-528005391B9A}"/>
    <cellStyle name="40% - Énfasis2 2 2 10 7" xfId="6796" xr:uid="{83B36DE8-B5D0-419B-951B-175536E6F7D8}"/>
    <cellStyle name="40% - Énfasis2 2 2 10 8" xfId="6797" xr:uid="{EE7C21B9-E603-4BF3-8137-79F1C64185CA}"/>
    <cellStyle name="40% - Énfasis2 2 2 10 9" xfId="6798" xr:uid="{5CA32746-D68D-43EA-AA7B-9384F46CD80F}"/>
    <cellStyle name="40% - Énfasis2 2 2 11" xfId="6799" xr:uid="{F8C8EA7B-AD59-4D57-8363-066640508197}"/>
    <cellStyle name="40% - Énfasis2 2 2 12" xfId="6800" xr:uid="{5EB26E9C-02B8-48EF-B7F1-1DDDB03823E6}"/>
    <cellStyle name="40% - Énfasis2 2 2 13" xfId="6801" xr:uid="{13458041-C31A-4537-BF9F-56B890AA6CB7}"/>
    <cellStyle name="40% - Énfasis2 2 2 14" xfId="44068" xr:uid="{D67F9E0B-937C-4E50-92EC-BD7A90716F62}"/>
    <cellStyle name="40% - Énfasis2 2 2 2" xfId="6802" xr:uid="{E9029C67-A46A-4133-92F4-09643FA77EDC}"/>
    <cellStyle name="40% - Énfasis2 2 2 2 2" xfId="6803" xr:uid="{267D231C-C9F6-4926-AE3A-DEF7B91ADB6D}"/>
    <cellStyle name="40% - Énfasis2 2 2 2 2 2" xfId="6804" xr:uid="{CCF84315-3F84-4E6E-A96A-F5442E735557}"/>
    <cellStyle name="40% - Énfasis2 2 2 2 2 2 2" xfId="6805" xr:uid="{D5F527F3-B433-4BAB-9618-539BACD7E898}"/>
    <cellStyle name="40% - Énfasis2 2 2 2 2 2 2 2" xfId="6806" xr:uid="{FCCC374A-ED05-45B2-A4FF-C121E94A4F6D}"/>
    <cellStyle name="40% - Énfasis2 2 2 2 2 2 2 2 2" xfId="6807" xr:uid="{DE434764-C0E9-46AB-AEE7-43825C80C21A}"/>
    <cellStyle name="40% - Énfasis2 2 2 2 2 2 2 2 2 2" xfId="6808" xr:uid="{D18609A3-378A-456B-914D-4463DE374F02}"/>
    <cellStyle name="40% - Énfasis2 2 2 2 2 2 2 2 2 2 2" xfId="6809" xr:uid="{5990E79C-79CF-4CFE-8E9C-86B8DDAC268C}"/>
    <cellStyle name="40% - Énfasis2 2 2 2 2 2 2 2 2 2 2 2" xfId="6810" xr:uid="{CF8DD2B7-3433-495B-821C-FCD675D3DD0C}"/>
    <cellStyle name="40% - Énfasis2 2 2 2 2 2 2 2 2 2 2 2 2" xfId="6811" xr:uid="{E0E4DFE2-6821-41F7-B611-288A655FB909}"/>
    <cellStyle name="40% - Énfasis2 2 2 2 2 2 2 2 2 2 2 2 2 2" xfId="6812" xr:uid="{A9352894-E9A0-4260-BDE0-87EA7DF64BCA}"/>
    <cellStyle name="40% - Énfasis2 2 2 2 2 2 2 2 2 2 2 2 2 2 2" xfId="6813" xr:uid="{4E826456-C3F2-4711-8CD3-8E07456FAF63}"/>
    <cellStyle name="40% - Énfasis2 2 2 2 2 2 2 2 2 2 2 2 2 2 3" xfId="6814" xr:uid="{A05ECF0A-E17F-40EA-8E83-32F6DB7AD117}"/>
    <cellStyle name="40% - Énfasis2 2 2 2 2 2 2 2 2 2 2 2 2 2 4" xfId="6815" xr:uid="{1F1C1798-4E7E-4E01-80FB-66FAD2DBE0AC}"/>
    <cellStyle name="40% - Énfasis2 2 2 2 2 2 2 2 2 2 2 2 2 2 5" xfId="6816" xr:uid="{EEAD073C-C793-4CB9-96E1-B5BAA24CF982}"/>
    <cellStyle name="40% - Énfasis2 2 2 2 2 2 2 2 2 2 2 2 2 3" xfId="6817" xr:uid="{A0FA3FF1-893A-469D-866D-13CF61CC6031}"/>
    <cellStyle name="40% - Énfasis2 2 2 2 2 2 2 2 2 2 2 2 2 4" xfId="6818" xr:uid="{DB5FA80B-B1FD-44A4-A068-38097524C5F8}"/>
    <cellStyle name="40% - Énfasis2 2 2 2 2 2 2 2 2 2 2 2 2 5" xfId="6819" xr:uid="{23B455D0-F6D2-455C-8526-ED9CDF9E7286}"/>
    <cellStyle name="40% - Énfasis2 2 2 2 2 2 2 2 2 2 2 2 3" xfId="6820" xr:uid="{275035EF-6E4B-4F3B-B794-3629D6A3729D}"/>
    <cellStyle name="40% - Énfasis2 2 2 2 2 2 2 2 2 2 2 2 4" xfId="6821" xr:uid="{BA89B3BD-3A9B-4F3C-91BE-6B93634EDDD8}"/>
    <cellStyle name="40% - Énfasis2 2 2 2 2 2 2 2 2 2 2 2 5" xfId="6822" xr:uid="{D8D64C71-86AA-4192-B73E-939B44D37152}"/>
    <cellStyle name="40% - Énfasis2 2 2 2 2 2 2 2 2 2 2 2 6" xfId="6823" xr:uid="{C2433D09-B603-425F-8D65-37B851BC1107}"/>
    <cellStyle name="40% - Énfasis2 2 2 2 2 2 2 2 2 2 2 3" xfId="6824" xr:uid="{19C8A989-8003-47F2-B4D5-DA1B48C37AF4}"/>
    <cellStyle name="40% - Énfasis2 2 2 2 2 2 2 2 2 2 2 4" xfId="6825" xr:uid="{A1B50CCB-D8F4-4129-B355-9243DD7E4933}"/>
    <cellStyle name="40% - Énfasis2 2 2 2 2 2 2 2 2 2 3" xfId="6826" xr:uid="{47E164AA-E85D-4ED9-9850-0B2E2976C5AB}"/>
    <cellStyle name="40% - Énfasis2 2 2 2 2 2 2 2 2 2 4" xfId="6827" xr:uid="{57E99D1E-0456-47E3-BDE5-A04705ACAF4B}"/>
    <cellStyle name="40% - Énfasis2 2 2 2 2 2 2 2 2 3" xfId="6828" xr:uid="{8FC30CCA-1D2F-47B5-9613-66FA8B7B8906}"/>
    <cellStyle name="40% - Énfasis2 2 2 2 2 2 2 2 2 4" xfId="6829" xr:uid="{2E1F677B-6ED7-4DDB-B591-166F5CB85916}"/>
    <cellStyle name="40% - Énfasis2 2 2 2 2 2 2 2 2 5" xfId="6830" xr:uid="{EFEFFFFF-DF20-4DDD-9B76-0CEEC4A04A75}"/>
    <cellStyle name="40% - Énfasis2 2 2 2 2 2 2 2 3" xfId="6831" xr:uid="{058E36D1-416E-46BB-8059-71656AD23162}"/>
    <cellStyle name="40% - Énfasis2 2 2 2 2 2 2 2 3 10" xfId="6832" xr:uid="{C56613BC-7EB7-4419-8C3D-5A7FC96B1E07}"/>
    <cellStyle name="40% - Énfasis2 2 2 2 2 2 2 2 3 11" xfId="6833" xr:uid="{17E06FC8-B237-40A5-8554-389CD0981A89}"/>
    <cellStyle name="40% - Énfasis2 2 2 2 2 2 2 2 3 2" xfId="6834" xr:uid="{D7549E2F-FC2A-4462-A942-B4EB2ABE0720}"/>
    <cellStyle name="40% - Énfasis2 2 2 2 2 2 2 2 3 2 2" xfId="6835" xr:uid="{52B6E369-C12F-468E-9C5F-F7F4AFF60D66}"/>
    <cellStyle name="40% - Énfasis2 2 2 2 2 2 2 2 3 2 2 2" xfId="6836" xr:uid="{F8574079-460D-4D0F-9588-7F1EB06F5953}"/>
    <cellStyle name="40% - Énfasis2 2 2 2 2 2 2 2 3 2 2 3" xfId="6837" xr:uid="{F2A3C88C-B758-438A-B22F-4BFAE1C182E7}"/>
    <cellStyle name="40% - Énfasis2 2 2 2 2 2 2 2 3 2 2 4" xfId="6838" xr:uid="{34ACD15A-705B-4861-A2C4-73E4F8B388C3}"/>
    <cellStyle name="40% - Énfasis2 2 2 2 2 2 2 2 3 2 2 5" xfId="6839" xr:uid="{2783CC00-4984-45FD-A051-4C0801498045}"/>
    <cellStyle name="40% - Énfasis2 2 2 2 2 2 2 2 3 2 3" xfId="6840" xr:uid="{578411AB-CE70-48E3-97E8-7CDA0BCEA7E5}"/>
    <cellStyle name="40% - Énfasis2 2 2 2 2 2 2 2 3 2 4" xfId="6841" xr:uid="{2ACA11C9-2CBC-41A2-B3E2-267C2AD2BF4E}"/>
    <cellStyle name="40% - Énfasis2 2 2 2 2 2 2 2 3 2 5" xfId="6842" xr:uid="{CA16F232-F777-4459-A37F-8EF60599D34D}"/>
    <cellStyle name="40% - Énfasis2 2 2 2 2 2 2 2 3 3" xfId="6843" xr:uid="{0E6CDD72-80F5-456A-B7B2-B619454AB402}"/>
    <cellStyle name="40% - Énfasis2 2 2 2 2 2 2 2 3 4" xfId="6844" xr:uid="{E11AC713-FEE2-4255-8FEE-6560F207FE89}"/>
    <cellStyle name="40% - Énfasis2 2 2 2 2 2 2 2 3 5" xfId="6845" xr:uid="{69F8AB66-B9FE-48EA-900F-AD49E67AF0BA}"/>
    <cellStyle name="40% - Énfasis2 2 2 2 2 2 2 2 3 6" xfId="6846" xr:uid="{67B1CA7A-D2F9-424C-890A-1081B4472A4E}"/>
    <cellStyle name="40% - Énfasis2 2 2 2 2 2 2 2 3 7" xfId="6847" xr:uid="{3D39F99A-135F-466A-93DA-A3F5054E22E5}"/>
    <cellStyle name="40% - Énfasis2 2 2 2 2 2 2 2 3 8" xfId="6848" xr:uid="{007506EB-70ED-4C59-9F68-8DDFB4BC985A}"/>
    <cellStyle name="40% - Énfasis2 2 2 2 2 2 2 2 3 9" xfId="6849" xr:uid="{46772DB3-F098-4095-8DB2-5B152926C800}"/>
    <cellStyle name="40% - Énfasis2 2 2 2 2 2 2 2 4" xfId="6850" xr:uid="{BDA651B1-EC9E-4951-AD68-B0E385E13D67}"/>
    <cellStyle name="40% - Énfasis2 2 2 2 2 2 2 2 5" xfId="6851" xr:uid="{B1A90DAF-8BA7-4F64-A5B1-8105A5664E97}"/>
    <cellStyle name="40% - Énfasis2 2 2 2 2 2 2 3" xfId="6852" xr:uid="{C2E334AD-67CE-4800-9213-A6C21A67E738}"/>
    <cellStyle name="40% - Énfasis2 2 2 2 2 2 2 3 10" xfId="6853" xr:uid="{E6C77155-BC9E-4A17-9F4B-A6EBF8088243}"/>
    <cellStyle name="40% - Énfasis2 2 2 2 2 2 2 3 11" xfId="6854" xr:uid="{6B6D24D1-A973-4CA2-99AA-4D3BECF7EA86}"/>
    <cellStyle name="40% - Énfasis2 2 2 2 2 2 2 3 2" xfId="6855" xr:uid="{4019BEEF-25BA-4CB0-A2CE-FD388E3DDB2E}"/>
    <cellStyle name="40% - Énfasis2 2 2 2 2 2 2 3 2 10" xfId="6856" xr:uid="{56C2C934-AE5F-4E08-BE90-CD6F8D46D116}"/>
    <cellStyle name="40% - Énfasis2 2 2 2 2 2 2 3 2 11" xfId="6857" xr:uid="{F38C61A2-B430-4798-B662-14119860658F}"/>
    <cellStyle name="40% - Énfasis2 2 2 2 2 2 2 3 2 2" xfId="6858" xr:uid="{2BBF8F65-50E9-4E25-9817-24B5BFC0769B}"/>
    <cellStyle name="40% - Énfasis2 2 2 2 2 2 2 3 2 2 2" xfId="6859" xr:uid="{1F7817CB-03D3-49DD-BA7A-23C82BC2529E}"/>
    <cellStyle name="40% - Énfasis2 2 2 2 2 2 2 3 2 2 2 2" xfId="6860" xr:uid="{1631831B-AB52-45EF-BAF5-F4B7B4270743}"/>
    <cellStyle name="40% - Énfasis2 2 2 2 2 2 2 3 2 2 2 3" xfId="6861" xr:uid="{3D24F93C-64EF-4FE4-AAF9-32CC93CB884B}"/>
    <cellStyle name="40% - Énfasis2 2 2 2 2 2 2 3 2 2 2 4" xfId="6862" xr:uid="{C3C4215B-D5FA-4977-8EC7-2A636A402D61}"/>
    <cellStyle name="40% - Énfasis2 2 2 2 2 2 2 3 2 2 2 5" xfId="6863" xr:uid="{2B671149-E513-4875-8148-14F96A074C48}"/>
    <cellStyle name="40% - Énfasis2 2 2 2 2 2 2 3 2 2 3" xfId="6864" xr:uid="{5A2FA7F2-A7AC-4DB1-912E-FA2343816295}"/>
    <cellStyle name="40% - Énfasis2 2 2 2 2 2 2 3 2 2 4" xfId="6865" xr:uid="{C42DDCAD-26D8-4FC8-997E-C1ECD768A762}"/>
    <cellStyle name="40% - Énfasis2 2 2 2 2 2 2 3 2 2 5" xfId="6866" xr:uid="{21A54E3F-66BE-4CD0-A979-3343ADDDF2FC}"/>
    <cellStyle name="40% - Énfasis2 2 2 2 2 2 2 3 2 3" xfId="6867" xr:uid="{81DF0090-803B-4354-8E2D-5B57B7031A2B}"/>
    <cellStyle name="40% - Énfasis2 2 2 2 2 2 2 3 2 4" xfId="6868" xr:uid="{1E54E909-17BE-476A-9089-6FFD0E40ED3C}"/>
    <cellStyle name="40% - Énfasis2 2 2 2 2 2 2 3 2 5" xfId="6869" xr:uid="{77D0ED85-34E1-4AA9-99A8-B3C83DA51B1D}"/>
    <cellStyle name="40% - Énfasis2 2 2 2 2 2 2 3 2 6" xfId="6870" xr:uid="{B480696C-F02C-4C4A-B6DD-30F71AC7087C}"/>
    <cellStyle name="40% - Énfasis2 2 2 2 2 2 2 3 2 7" xfId="6871" xr:uid="{FC0EE515-15F7-4AE7-B3FD-2974A1F10D44}"/>
    <cellStyle name="40% - Énfasis2 2 2 2 2 2 2 3 2 8" xfId="6872" xr:uid="{FE3AAB35-B45C-4AEA-9ADF-FC0B925479A8}"/>
    <cellStyle name="40% - Énfasis2 2 2 2 2 2 2 3 2 9" xfId="6873" xr:uid="{90BEF0D6-5978-4536-8FD1-293E8F87B9D7}"/>
    <cellStyle name="40% - Énfasis2 2 2 2 2 2 2 3 3" xfId="6874" xr:uid="{8F976E48-2B70-4445-9D9F-3D153C05B0C8}"/>
    <cellStyle name="40% - Énfasis2 2 2 2 2 2 2 3 3 2" xfId="6875" xr:uid="{6A16302E-98BD-4E04-B142-29BCB8DE1977}"/>
    <cellStyle name="40% - Énfasis2 2 2 2 2 2 2 3 3 2 2" xfId="6876" xr:uid="{03F91753-B5A4-4775-AD28-725AD390B265}"/>
    <cellStyle name="40% - Énfasis2 2 2 2 2 2 2 3 3 2 3" xfId="6877" xr:uid="{28F43DF2-FF87-4CE5-841A-24F985D31BB1}"/>
    <cellStyle name="40% - Énfasis2 2 2 2 2 2 2 3 3 2 4" xfId="6878" xr:uid="{1FDFBD7A-E6C2-430F-93C7-9A4D0410DE96}"/>
    <cellStyle name="40% - Énfasis2 2 2 2 2 2 2 3 3 2 5" xfId="6879" xr:uid="{E99DEA52-E3ED-434D-8FD4-4349A67AB7DE}"/>
    <cellStyle name="40% - Énfasis2 2 2 2 2 2 2 3 3 3" xfId="6880" xr:uid="{8A6C706A-87FA-4F3B-BC50-C42A731863A9}"/>
    <cellStyle name="40% - Énfasis2 2 2 2 2 2 2 3 3 4" xfId="6881" xr:uid="{B56C7E7C-974F-4C27-86BC-D3BC481E1DF5}"/>
    <cellStyle name="40% - Énfasis2 2 2 2 2 2 2 3 3 5" xfId="6882" xr:uid="{35BB5053-C4EA-4C8C-8919-716AD6C49FA0}"/>
    <cellStyle name="40% - Énfasis2 2 2 2 2 2 2 3 4" xfId="6883" xr:uid="{742785AA-9260-42D3-B1EE-1114F6509E70}"/>
    <cellStyle name="40% - Énfasis2 2 2 2 2 2 2 3 5" xfId="6884" xr:uid="{5816708C-873E-4860-8151-4B4A5FE9F37D}"/>
    <cellStyle name="40% - Énfasis2 2 2 2 2 2 2 3 6" xfId="6885" xr:uid="{AAE7FBFB-4379-4997-AAC6-9D1C87C51396}"/>
    <cellStyle name="40% - Énfasis2 2 2 2 2 2 2 3 7" xfId="6886" xr:uid="{F425F2A3-2D02-4816-949B-FFABCE8110BB}"/>
    <cellStyle name="40% - Énfasis2 2 2 2 2 2 2 3 8" xfId="6887" xr:uid="{C3FFFE44-FD94-4ADE-AF76-30C075DB61A3}"/>
    <cellStyle name="40% - Énfasis2 2 2 2 2 2 2 3 9" xfId="6888" xr:uid="{8BC6B72A-0BC6-4368-9776-3135443A1105}"/>
    <cellStyle name="40% - Énfasis2 2 2 2 2 2 2 4" xfId="6889" xr:uid="{B5244BBB-BFFF-4F62-A74E-44A77BFBCF49}"/>
    <cellStyle name="40% - Énfasis2 2 2 2 2 2 2 5" xfId="6890" xr:uid="{CB69B071-F6C9-4893-9252-C02AC6E71518}"/>
    <cellStyle name="40% - Énfasis2 2 2 2 2 2 2 6" xfId="6891" xr:uid="{923E65A0-F31B-4EBF-9152-5241E8AC7DF1}"/>
    <cellStyle name="40% - Énfasis2 2 2 2 2 2 2 7" xfId="44072" xr:uid="{FBE4FE19-4735-4854-98F3-ECAE31CAE137}"/>
    <cellStyle name="40% - Énfasis2 2 2 2 2 2 3" xfId="6892" xr:uid="{CA88F80E-5264-4C63-90A2-F47C3FB59E43}"/>
    <cellStyle name="40% - Énfasis2 2 2 2 2 2 3 10" xfId="6893" xr:uid="{CD1B2884-95A5-429B-BB65-01FA39AD2DFD}"/>
    <cellStyle name="40% - Énfasis2 2 2 2 2 2 3 11" xfId="6894" xr:uid="{EB021C1F-3042-40CE-8505-9302BA23D4D0}"/>
    <cellStyle name="40% - Énfasis2 2 2 2 2 2 3 2" xfId="6895" xr:uid="{523EB029-9B86-4B64-895E-F0E7975C7576}"/>
    <cellStyle name="40% - Énfasis2 2 2 2 2 2 3 2 10" xfId="6896" xr:uid="{F0308CB5-5360-4D55-B4F7-9A15B8F01BAB}"/>
    <cellStyle name="40% - Énfasis2 2 2 2 2 2 3 2 11" xfId="6897" xr:uid="{2E795672-D637-4D6C-A852-294F825F07FD}"/>
    <cellStyle name="40% - Énfasis2 2 2 2 2 2 3 2 2" xfId="6898" xr:uid="{56FA9B52-8A63-40A7-9058-EA7FBE2E84A7}"/>
    <cellStyle name="40% - Énfasis2 2 2 2 2 2 3 2 2 2" xfId="6899" xr:uid="{1B069AA1-5073-44E1-989B-3F5CE1E1CDA9}"/>
    <cellStyle name="40% - Énfasis2 2 2 2 2 2 3 2 2 2 2" xfId="6900" xr:uid="{F0A9294F-6BF1-40A8-89AE-FA276FB32098}"/>
    <cellStyle name="40% - Énfasis2 2 2 2 2 2 3 2 2 2 3" xfId="6901" xr:uid="{613A12E1-8D4B-4B68-A26B-3D9955046847}"/>
    <cellStyle name="40% - Énfasis2 2 2 2 2 2 3 2 2 2 4" xfId="6902" xr:uid="{8D987826-9257-4F4E-B292-EA8DAA49B251}"/>
    <cellStyle name="40% - Énfasis2 2 2 2 2 2 3 2 2 2 5" xfId="6903" xr:uid="{CBE32572-D6EE-407E-8292-2497C3245C80}"/>
    <cellStyle name="40% - Énfasis2 2 2 2 2 2 3 2 2 3" xfId="6904" xr:uid="{CB581A93-C48C-4549-8449-280CF2676A0E}"/>
    <cellStyle name="40% - Énfasis2 2 2 2 2 2 3 2 2 4" xfId="6905" xr:uid="{8F7B94D2-5B4B-420D-90A4-8783884A8821}"/>
    <cellStyle name="40% - Énfasis2 2 2 2 2 2 3 2 2 5" xfId="6906" xr:uid="{DAC3E503-5E4F-4836-ADDC-BC0A8FEEEB33}"/>
    <cellStyle name="40% - Énfasis2 2 2 2 2 2 3 2 3" xfId="6907" xr:uid="{15C88352-DCB5-42E9-A264-EEF42B92A474}"/>
    <cellStyle name="40% - Énfasis2 2 2 2 2 2 3 2 4" xfId="6908" xr:uid="{70E24DEC-AEFE-4EA6-B368-B99BA7857C3E}"/>
    <cellStyle name="40% - Énfasis2 2 2 2 2 2 3 2 5" xfId="6909" xr:uid="{0A9174D0-B691-428D-842F-D84A8BA094A8}"/>
    <cellStyle name="40% - Énfasis2 2 2 2 2 2 3 2 6" xfId="6910" xr:uid="{FAC2D517-D472-4E62-A1C4-90C254C3BCD6}"/>
    <cellStyle name="40% - Énfasis2 2 2 2 2 2 3 2 7" xfId="6911" xr:uid="{71973BB3-686D-44FB-9203-D77E15BF0BD8}"/>
    <cellStyle name="40% - Énfasis2 2 2 2 2 2 3 2 8" xfId="6912" xr:uid="{E67192C4-92EE-456F-B2C9-7DEDDA231A2A}"/>
    <cellStyle name="40% - Énfasis2 2 2 2 2 2 3 2 9" xfId="6913" xr:uid="{0595FB14-E8CD-4683-BEE7-EB52CE0F1783}"/>
    <cellStyle name="40% - Énfasis2 2 2 2 2 2 3 3" xfId="6914" xr:uid="{8F6AB8AC-A4BA-4971-BD3A-B04504E69824}"/>
    <cellStyle name="40% - Énfasis2 2 2 2 2 2 3 3 2" xfId="6915" xr:uid="{D44C38E8-A0BB-49B2-BF0D-A1BE8A01DA14}"/>
    <cellStyle name="40% - Énfasis2 2 2 2 2 2 3 3 2 2" xfId="6916" xr:uid="{61F9AE66-D2C4-4F87-9C6B-E0CCBA19EDAC}"/>
    <cellStyle name="40% - Énfasis2 2 2 2 2 2 3 3 2 3" xfId="6917" xr:uid="{119AE424-428C-4F6A-8C26-E67E4723BCBA}"/>
    <cellStyle name="40% - Énfasis2 2 2 2 2 2 3 3 2 4" xfId="6918" xr:uid="{C5972BCD-00E9-4A1E-857B-113C14FA3309}"/>
    <cellStyle name="40% - Énfasis2 2 2 2 2 2 3 3 2 5" xfId="6919" xr:uid="{BC2D63ED-EED7-4F70-A7C0-8955D0D3FDCA}"/>
    <cellStyle name="40% - Énfasis2 2 2 2 2 2 3 3 3" xfId="6920" xr:uid="{0B0CB945-5FF5-4156-8CAA-6DCA24EC4D1B}"/>
    <cellStyle name="40% - Énfasis2 2 2 2 2 2 3 3 4" xfId="6921" xr:uid="{9153D9AC-D049-4D3D-B1C9-DC78ED340443}"/>
    <cellStyle name="40% - Énfasis2 2 2 2 2 2 3 3 5" xfId="6922" xr:uid="{BE305C0D-E404-42AF-8D1F-CBAF7934F94B}"/>
    <cellStyle name="40% - Énfasis2 2 2 2 2 2 3 4" xfId="6923" xr:uid="{97BB10DE-14CE-430D-94FD-078B2FC22BF7}"/>
    <cellStyle name="40% - Énfasis2 2 2 2 2 2 3 5" xfId="6924" xr:uid="{9B91D183-D841-400C-BDD4-F4DC23B3053D}"/>
    <cellStyle name="40% - Énfasis2 2 2 2 2 2 3 6" xfId="6925" xr:uid="{74D74C36-0C8D-45D2-8A03-692E417374A8}"/>
    <cellStyle name="40% - Énfasis2 2 2 2 2 2 3 7" xfId="6926" xr:uid="{33C74FDA-9E87-46B0-A978-0B3ECC8AF324}"/>
    <cellStyle name="40% - Énfasis2 2 2 2 2 2 3 8" xfId="6927" xr:uid="{B7121106-6B74-459F-B716-2C7ACC796014}"/>
    <cellStyle name="40% - Énfasis2 2 2 2 2 2 3 9" xfId="6928" xr:uid="{651CB0C7-FAD3-41C4-BC33-D215EA088990}"/>
    <cellStyle name="40% - Énfasis2 2 2 2 2 2 4" xfId="6929" xr:uid="{39EECB20-C8B7-42F9-B0C7-B4235A0E45D0}"/>
    <cellStyle name="40% - Énfasis2 2 2 2 2 2 5" xfId="6930" xr:uid="{CC4D837A-B1D5-4EDD-8665-4317CA0BA48D}"/>
    <cellStyle name="40% - Énfasis2 2 2 2 2 2 6" xfId="6931" xr:uid="{2CA3FAD4-3784-43D8-B627-77EADE178213}"/>
    <cellStyle name="40% - Énfasis2 2 2 2 2 2 7" xfId="44071" xr:uid="{917789FB-5308-4C6B-9DF5-C68696BD02C8}"/>
    <cellStyle name="40% - Énfasis2 2 2 2 2 3" xfId="6932" xr:uid="{468619DE-A9F7-45F5-AE96-04601096BF50}"/>
    <cellStyle name="40% - Énfasis2 2 2 2 2 3 2" xfId="6933" xr:uid="{13DF2300-2908-4C4E-9D35-E08077A98758}"/>
    <cellStyle name="40% - Énfasis2 2 2 2 2 3 3" xfId="44073" xr:uid="{97CD88DE-F685-411A-936F-EC98A40E9C8F}"/>
    <cellStyle name="40% - Énfasis2 2 2 2 2 4" xfId="6934" xr:uid="{76247706-E47D-4E63-BE8F-904DB2D2D1E8}"/>
    <cellStyle name="40% - Énfasis2 2 2 2 2 4 10" xfId="6935" xr:uid="{5AE079BF-566B-4CA9-9B42-E599C21AD2D8}"/>
    <cellStyle name="40% - Énfasis2 2 2 2 2 4 11" xfId="6936" xr:uid="{1ED9C35C-A449-435B-BCA5-F47BAAA00410}"/>
    <cellStyle name="40% - Énfasis2 2 2 2 2 4 2" xfId="6937" xr:uid="{50C32EC4-32A0-43C5-88AA-8120A66113DC}"/>
    <cellStyle name="40% - Énfasis2 2 2 2 2 4 2 10" xfId="6938" xr:uid="{EEB88C08-22C5-4A16-A252-116CC0C1843B}"/>
    <cellStyle name="40% - Énfasis2 2 2 2 2 4 2 11" xfId="6939" xr:uid="{6F4D1C81-FAD9-4BB2-A308-3F967DCA950F}"/>
    <cellStyle name="40% - Énfasis2 2 2 2 2 4 2 2" xfId="6940" xr:uid="{33C95077-6B15-4222-BA40-AC01F63DDA02}"/>
    <cellStyle name="40% - Énfasis2 2 2 2 2 4 2 2 2" xfId="6941" xr:uid="{A8C63D7F-A546-4BF4-9087-3DDD991DF3B6}"/>
    <cellStyle name="40% - Énfasis2 2 2 2 2 4 2 2 2 2" xfId="6942" xr:uid="{89DF0AE9-A577-4A62-90BE-DE0FC605BAD0}"/>
    <cellStyle name="40% - Énfasis2 2 2 2 2 4 2 2 2 3" xfId="6943" xr:uid="{C8A56006-61E5-462D-923D-05E1532E4CCA}"/>
    <cellStyle name="40% - Énfasis2 2 2 2 2 4 2 2 2 4" xfId="6944" xr:uid="{89388C04-CF93-4DC7-8B25-91111E21FBCF}"/>
    <cellStyle name="40% - Énfasis2 2 2 2 2 4 2 2 2 5" xfId="6945" xr:uid="{254D274D-E966-4922-B2F4-211C0D36A3FD}"/>
    <cellStyle name="40% - Énfasis2 2 2 2 2 4 2 2 3" xfId="6946" xr:uid="{9D50E95B-F94E-4B6B-BA69-D566DB6D8E97}"/>
    <cellStyle name="40% - Énfasis2 2 2 2 2 4 2 2 4" xfId="6947" xr:uid="{6A727261-E549-4FBC-BB19-3CEE3D1FE017}"/>
    <cellStyle name="40% - Énfasis2 2 2 2 2 4 2 2 5" xfId="6948" xr:uid="{BD1428CC-BF73-4FFC-90F8-91328A4BC590}"/>
    <cellStyle name="40% - Énfasis2 2 2 2 2 4 2 3" xfId="6949" xr:uid="{6298999A-F575-4334-AB95-022F198545E9}"/>
    <cellStyle name="40% - Énfasis2 2 2 2 2 4 2 4" xfId="6950" xr:uid="{FA75C0ED-CBAB-4501-9E40-920A1F18CF12}"/>
    <cellStyle name="40% - Énfasis2 2 2 2 2 4 2 5" xfId="6951" xr:uid="{9325DEA4-C745-4A1D-95B4-964F1F6B307A}"/>
    <cellStyle name="40% - Énfasis2 2 2 2 2 4 2 6" xfId="6952" xr:uid="{81C13F7C-1F46-4E7E-9282-7CC5A0E41524}"/>
    <cellStyle name="40% - Énfasis2 2 2 2 2 4 2 7" xfId="6953" xr:uid="{B7C652D3-C2C7-4F37-B292-F39C71E6E4E6}"/>
    <cellStyle name="40% - Énfasis2 2 2 2 2 4 2 8" xfId="6954" xr:uid="{440E2D15-FE7A-457E-A256-D86C352A99F5}"/>
    <cellStyle name="40% - Énfasis2 2 2 2 2 4 2 9" xfId="6955" xr:uid="{6A03D041-0450-444A-83DD-6EE3978B180F}"/>
    <cellStyle name="40% - Énfasis2 2 2 2 2 4 3" xfId="6956" xr:uid="{F94545FD-5E9A-4818-A204-AF594ACA8236}"/>
    <cellStyle name="40% - Énfasis2 2 2 2 2 4 3 2" xfId="6957" xr:uid="{02501E88-7EAE-4898-850E-8B9806820D2C}"/>
    <cellStyle name="40% - Énfasis2 2 2 2 2 4 3 2 2" xfId="6958" xr:uid="{9B8A19A1-F3C5-4AD9-ACBF-071E172DE987}"/>
    <cellStyle name="40% - Énfasis2 2 2 2 2 4 3 2 3" xfId="6959" xr:uid="{F1906B93-C0D0-4ECD-B048-737B4AE0E244}"/>
    <cellStyle name="40% - Énfasis2 2 2 2 2 4 3 2 4" xfId="6960" xr:uid="{F5251D3F-336D-42D6-A43C-7DCD4E60FDA5}"/>
    <cellStyle name="40% - Énfasis2 2 2 2 2 4 3 2 5" xfId="6961" xr:uid="{5EF9AC93-A26B-4649-9DB0-56A9D5054599}"/>
    <cellStyle name="40% - Énfasis2 2 2 2 2 4 3 3" xfId="6962" xr:uid="{517EEFED-10A2-4817-8D07-11DFDD4A580A}"/>
    <cellStyle name="40% - Énfasis2 2 2 2 2 4 3 4" xfId="6963" xr:uid="{0D36ABC5-B822-428D-B6A3-4174BE952781}"/>
    <cellStyle name="40% - Énfasis2 2 2 2 2 4 3 5" xfId="6964" xr:uid="{B4699517-736D-4DE9-BA25-B14EF1A4B014}"/>
    <cellStyle name="40% - Énfasis2 2 2 2 2 4 4" xfId="6965" xr:uid="{3513C569-3EF1-4D61-9D82-A997DF87AC34}"/>
    <cellStyle name="40% - Énfasis2 2 2 2 2 4 5" xfId="6966" xr:uid="{9B673A8F-29A5-4426-ABE3-8E5E29012DF0}"/>
    <cellStyle name="40% - Énfasis2 2 2 2 2 4 6" xfId="6967" xr:uid="{348063E4-C55F-409F-AB51-9BB59E0CFE69}"/>
    <cellStyle name="40% - Énfasis2 2 2 2 2 4 7" xfId="6968" xr:uid="{4B635EDB-4A63-403E-B721-33FC2E5858E1}"/>
    <cellStyle name="40% - Énfasis2 2 2 2 2 4 8" xfId="6969" xr:uid="{23B626B3-C32A-4955-AEC5-A432BA7E92B2}"/>
    <cellStyle name="40% - Énfasis2 2 2 2 2 4 9" xfId="6970" xr:uid="{C67993FF-5611-4F10-8EFA-F5CA85DD8E06}"/>
    <cellStyle name="40% - Énfasis2 2 2 2 2 5" xfId="6971" xr:uid="{622B8CDB-E1B7-4313-B7AB-DBF5C39440CA}"/>
    <cellStyle name="40% - Énfasis2 2 2 2 2 6" xfId="6972" xr:uid="{C13979E1-AB70-4D41-8048-CCFC4996EAD2}"/>
    <cellStyle name="40% - Énfasis2 2 2 2 2 7" xfId="6973" xr:uid="{206C0A6F-10F3-4F24-AC67-4E3C78C5FAD7}"/>
    <cellStyle name="40% - Énfasis2 2 2 2 2 8" xfId="44070" xr:uid="{29327D1B-8209-4B16-A0F3-B752F8E493F6}"/>
    <cellStyle name="40% - Énfasis2 2 2 2 3" xfId="6974" xr:uid="{1E4B0F85-A095-44F4-BFFC-7EB0E636D955}"/>
    <cellStyle name="40% - Énfasis2 2 2 2 3 2" xfId="6975" xr:uid="{BD5BE9FB-8690-43EE-8983-53077E029AB5}"/>
    <cellStyle name="40% - Énfasis2 2 2 2 3 2 2" xfId="44075" xr:uid="{3D2E6008-B587-43DD-BEEF-DB26D6C9D7A5}"/>
    <cellStyle name="40% - Énfasis2 2 2 2 3 3" xfId="44074" xr:uid="{FDE47CFD-D5A9-4C9F-8F59-28CA324BF455}"/>
    <cellStyle name="40% - Énfasis2 2 2 2 4" xfId="6976" xr:uid="{8CF3E246-41AE-47AA-B579-F377EA47BD14}"/>
    <cellStyle name="40% - Énfasis2 2 2 2 4 2" xfId="6977" xr:uid="{9F709996-FEC5-44C9-9AB4-E1628BFF2229}"/>
    <cellStyle name="40% - Énfasis2 2 2 2 4 3" xfId="44076" xr:uid="{434538D7-542F-4541-ADF5-7B4EE2AE6234}"/>
    <cellStyle name="40% - Énfasis2 2 2 2 5" xfId="6978" xr:uid="{D09BF8B2-29D0-4BEB-8EEB-ADDA23D28C3C}"/>
    <cellStyle name="40% - Énfasis2 2 2 2 5 10" xfId="6979" xr:uid="{923B1128-929C-49AB-BC3C-14D18AF8CA63}"/>
    <cellStyle name="40% - Énfasis2 2 2 2 5 11" xfId="6980" xr:uid="{0EB07F71-6037-4B92-A2E8-EEC09E0F824B}"/>
    <cellStyle name="40% - Énfasis2 2 2 2 5 2" xfId="6981" xr:uid="{9D77D7D8-FB7B-4913-AF28-3B368B708796}"/>
    <cellStyle name="40% - Énfasis2 2 2 2 5 2 10" xfId="6982" xr:uid="{958180A1-2EBB-4502-BC5A-26F93F7619CB}"/>
    <cellStyle name="40% - Énfasis2 2 2 2 5 2 11" xfId="6983" xr:uid="{76418971-8213-4951-8A13-C22D546D5FE0}"/>
    <cellStyle name="40% - Énfasis2 2 2 2 5 2 2" xfId="6984" xr:uid="{C9756972-BC1D-4436-899F-38F0FD6E4816}"/>
    <cellStyle name="40% - Énfasis2 2 2 2 5 2 2 2" xfId="6985" xr:uid="{4C14CB9E-DFE9-44D6-9C5A-4CFCFA0DB529}"/>
    <cellStyle name="40% - Énfasis2 2 2 2 5 2 2 2 2" xfId="6986" xr:uid="{889A9995-0AD0-4EC4-B6A9-0146766B854E}"/>
    <cellStyle name="40% - Énfasis2 2 2 2 5 2 2 2 3" xfId="6987" xr:uid="{C7A601D8-0DBE-458E-9BFA-F296BE951607}"/>
    <cellStyle name="40% - Énfasis2 2 2 2 5 2 2 2 4" xfId="6988" xr:uid="{7C07302C-025C-4446-A139-1DC2DE56813B}"/>
    <cellStyle name="40% - Énfasis2 2 2 2 5 2 2 2 5" xfId="6989" xr:uid="{8190FC50-C1A1-4C02-8F0A-595E8CAB6CCF}"/>
    <cellStyle name="40% - Énfasis2 2 2 2 5 2 2 3" xfId="6990" xr:uid="{3E214D5D-0033-4339-9801-FA31FC3DE918}"/>
    <cellStyle name="40% - Énfasis2 2 2 2 5 2 2 4" xfId="6991" xr:uid="{EF11B05C-EC47-4B53-8AF2-B628E2294BAD}"/>
    <cellStyle name="40% - Énfasis2 2 2 2 5 2 2 5" xfId="6992" xr:uid="{6A40AA39-DF12-41FC-9749-4F824D4776F8}"/>
    <cellStyle name="40% - Énfasis2 2 2 2 5 2 3" xfId="6993" xr:uid="{8D1C550C-DEAC-4972-B4FF-C5BC6C5DBB1B}"/>
    <cellStyle name="40% - Énfasis2 2 2 2 5 2 4" xfId="6994" xr:uid="{3BD96966-10E8-46A9-9A4A-8DF25122DB1D}"/>
    <cellStyle name="40% - Énfasis2 2 2 2 5 2 5" xfId="6995" xr:uid="{F6896D94-366C-421D-97F2-C42F1C110D18}"/>
    <cellStyle name="40% - Énfasis2 2 2 2 5 2 6" xfId="6996" xr:uid="{C4E523DC-4544-4591-A58F-792976082DAB}"/>
    <cellStyle name="40% - Énfasis2 2 2 2 5 2 7" xfId="6997" xr:uid="{42B58173-BEC7-455C-B096-6590BFC1DC22}"/>
    <cellStyle name="40% - Énfasis2 2 2 2 5 2 8" xfId="6998" xr:uid="{EFED20B3-9F08-4C52-8307-3728351F401B}"/>
    <cellStyle name="40% - Énfasis2 2 2 2 5 2 9" xfId="6999" xr:uid="{A05386B6-698A-4B9C-BEEA-6269084FA054}"/>
    <cellStyle name="40% - Énfasis2 2 2 2 5 3" xfId="7000" xr:uid="{E50F7613-48E0-4150-B679-5897D7AED665}"/>
    <cellStyle name="40% - Énfasis2 2 2 2 5 3 2" xfId="7001" xr:uid="{414952DA-31FA-4E79-9818-573360B8CC29}"/>
    <cellStyle name="40% - Énfasis2 2 2 2 5 3 2 2" xfId="7002" xr:uid="{E722B448-48EB-4718-84C4-74874F7C1BF9}"/>
    <cellStyle name="40% - Énfasis2 2 2 2 5 3 2 3" xfId="7003" xr:uid="{CE4639BA-87CB-4901-A394-0C1EE78A709D}"/>
    <cellStyle name="40% - Énfasis2 2 2 2 5 3 2 4" xfId="7004" xr:uid="{3629F932-E04E-4AAB-8417-ADA9B0CA0881}"/>
    <cellStyle name="40% - Énfasis2 2 2 2 5 3 2 5" xfId="7005" xr:uid="{9DD01B4E-3483-4B0E-B323-5170F1CEB705}"/>
    <cellStyle name="40% - Énfasis2 2 2 2 5 3 3" xfId="7006" xr:uid="{1B1C994E-7D5F-48C9-8414-D4C3A7D741C2}"/>
    <cellStyle name="40% - Énfasis2 2 2 2 5 3 4" xfId="7007" xr:uid="{08C031D8-27E1-40DB-A557-5A460024B217}"/>
    <cellStyle name="40% - Énfasis2 2 2 2 5 3 5" xfId="7008" xr:uid="{564CC3DF-A455-4EF3-9DD4-C7EC4A3A6048}"/>
    <cellStyle name="40% - Énfasis2 2 2 2 5 4" xfId="7009" xr:uid="{876C36C4-7FCD-40A3-AF4D-A825EC5FF03A}"/>
    <cellStyle name="40% - Énfasis2 2 2 2 5 5" xfId="7010" xr:uid="{590D25A8-4133-40EE-AF87-E8B412879301}"/>
    <cellStyle name="40% - Énfasis2 2 2 2 5 6" xfId="7011" xr:uid="{91498A44-E308-4077-A7AC-C21DB91AF983}"/>
    <cellStyle name="40% - Énfasis2 2 2 2 5 7" xfId="7012" xr:uid="{69AFEC3A-1B87-4F33-B688-8D5F592DC180}"/>
    <cellStyle name="40% - Énfasis2 2 2 2 5 8" xfId="7013" xr:uid="{597B84C6-E09A-4613-AD54-930E30235381}"/>
    <cellStyle name="40% - Énfasis2 2 2 2 5 9" xfId="7014" xr:uid="{18A1338E-7C24-4D5A-8792-4A72BCB75735}"/>
    <cellStyle name="40% - Énfasis2 2 2 2 6" xfId="7015" xr:uid="{35B6EF48-E2F2-4720-BB04-51DEA622355B}"/>
    <cellStyle name="40% - Énfasis2 2 2 2 7" xfId="7016" xr:uid="{15782D9F-0432-412D-A44A-89EB57247BFE}"/>
    <cellStyle name="40% - Énfasis2 2 2 2 8" xfId="7017" xr:uid="{8ACE2583-8C30-4069-8701-160F34DD971E}"/>
    <cellStyle name="40% - Énfasis2 2 2 2 9" xfId="44069" xr:uid="{7A21B218-E6CF-40BB-A2B3-2F452D3112AD}"/>
    <cellStyle name="40% - Énfasis2 2 2 3" xfId="7018" xr:uid="{BAA12D02-6742-4D9F-99DD-721232FACBC6}"/>
    <cellStyle name="40% - Énfasis2 2 2 3 2" xfId="7019" xr:uid="{4A4ADD26-A377-43DC-AF65-B45576BF9B25}"/>
    <cellStyle name="40% - Énfasis2 2 2 3 2 2" xfId="44079" xr:uid="{9097EC90-D6D5-4A97-80D9-0723C97D4ECC}"/>
    <cellStyle name="40% - Énfasis2 2 2 3 2 3" xfId="44078" xr:uid="{40F9949D-741D-4C5F-8759-CB135036DAEE}"/>
    <cellStyle name="40% - Énfasis2 2 2 3 3" xfId="44080" xr:uid="{DB61F3C1-D899-4E3F-B3CF-D3A1F661131F}"/>
    <cellStyle name="40% - Énfasis2 2 2 3 4" xfId="44077" xr:uid="{595BC0BF-DD80-4DDE-9541-A0606C16EEDA}"/>
    <cellStyle name="40% - Énfasis2 2 2 4" xfId="7020" xr:uid="{4E5BB9D1-C69F-4832-A535-9F053473D809}"/>
    <cellStyle name="40% - Énfasis2 2 2 4 2" xfId="7021" xr:uid="{85BF7805-2D28-42A8-8E4C-3274ED7B3906}"/>
    <cellStyle name="40% - Énfasis2 2 2 4 2 2" xfId="44082" xr:uid="{A1C36380-C1A2-41A4-B07B-59028CE3CBAD}"/>
    <cellStyle name="40% - Énfasis2 2 2 4 3" xfId="44081" xr:uid="{443D8699-EB29-4988-8055-758A876BF173}"/>
    <cellStyle name="40% - Énfasis2 2 2 5" xfId="7022" xr:uid="{36A59008-65F4-4B49-8546-823267EB50C2}"/>
    <cellStyle name="40% - Énfasis2 2 2 5 2" xfId="7023" xr:uid="{8887DA9C-7105-463D-8882-59328C145B6C}"/>
    <cellStyle name="40% - Énfasis2 2 2 5 3" xfId="44083" xr:uid="{7035F6CF-32E0-461F-8F94-56B03C27280D}"/>
    <cellStyle name="40% - Énfasis2 2 2 6" xfId="7024" xr:uid="{1C911268-37CA-4613-A021-4F9156B8BA6E}"/>
    <cellStyle name="40% - Énfasis2 2 2 6 2" xfId="7025" xr:uid="{03D87DF1-56F2-4B44-B1D4-D6849F96B703}"/>
    <cellStyle name="40% - Énfasis2 2 2 7" xfId="7026" xr:uid="{05AF71B0-D341-44BA-B2FE-59836216FB9C}"/>
    <cellStyle name="40% - Énfasis2 2 2 7 2" xfId="7027" xr:uid="{5139A307-9FD1-4E35-A574-EDC6DC6BDAE7}"/>
    <cellStyle name="40% - Énfasis2 2 2 8" xfId="7028" xr:uid="{D80FAAFC-3EFE-42C3-A649-55872223848D}"/>
    <cellStyle name="40% - Énfasis2 2 2 8 2" xfId="7029" xr:uid="{2DBC1160-EE3F-4D6C-929A-8C8B74A37A9C}"/>
    <cellStyle name="40% - Énfasis2 2 2 8 2 2" xfId="7030" xr:uid="{F47CBF3D-7B6F-438F-A547-3611A8C7C9F2}"/>
    <cellStyle name="40% - Énfasis2 2 2 8 3" xfId="7031" xr:uid="{919A5199-4A53-407D-A515-A87915D39C96}"/>
    <cellStyle name="40% - Énfasis2 2 2 9" xfId="7032" xr:uid="{ACDCC50C-C33D-4057-AB45-C1670EB9F241}"/>
    <cellStyle name="40% - Énfasis2 2 2 9 2" xfId="7033" xr:uid="{EF1735C7-513C-4271-A8DA-4DDA086AC9F7}"/>
    <cellStyle name="40% - Énfasis2 2 3" xfId="7034" xr:uid="{84086DD5-FC60-4765-96BB-5566B4BB1075}"/>
    <cellStyle name="40% - Énfasis2 2 3 2" xfId="7035" xr:uid="{985F7CAF-7B01-4C27-957E-A160D47B51DD}"/>
    <cellStyle name="40% - Énfasis2 2 3 2 2" xfId="44086" xr:uid="{FD7B6F3D-7133-4EC4-986A-2751BA98EC05}"/>
    <cellStyle name="40% - Énfasis2 2 3 2 2 2" xfId="44087" xr:uid="{6EEF4E1E-1160-4449-8BC5-0FE3E1A29FDA}"/>
    <cellStyle name="40% - Énfasis2 2 3 2 3" xfId="44088" xr:uid="{AD1E25AC-BB4A-4E9A-AE47-25F5A0FAECA3}"/>
    <cellStyle name="40% - Énfasis2 2 3 2 4" xfId="44085" xr:uid="{FC4AA06B-DF4B-49BA-A85A-903EE38D46EA}"/>
    <cellStyle name="40% - Énfasis2 2 3 3" xfId="44089" xr:uid="{A7A28D43-AE1F-4129-A215-256C1C6AAB94}"/>
    <cellStyle name="40% - Énfasis2 2 3 3 2" xfId="44090" xr:uid="{DAC543ED-4DED-4282-883D-56B8E716564C}"/>
    <cellStyle name="40% - Énfasis2 2 3 4" xfId="44091" xr:uid="{C9331719-B607-464C-A508-AA38B662F569}"/>
    <cellStyle name="40% - Énfasis2 2 3 5" xfId="44084" xr:uid="{E54F199E-1F1F-42CA-8CAC-913FEDE5DE8B}"/>
    <cellStyle name="40% - Énfasis2 2 4" xfId="7036" xr:uid="{A535F63A-5E85-4480-B83C-D77E3377025E}"/>
    <cellStyle name="40% - Énfasis2 2 4 10" xfId="7037" xr:uid="{862510B1-483F-488A-8520-8B15D1293322}"/>
    <cellStyle name="40% - Énfasis2 2 4 11" xfId="7038" xr:uid="{B8B656FE-9AD3-4A89-9A56-ADC8927E423C}"/>
    <cellStyle name="40% - Énfasis2 2 4 12" xfId="7039" xr:uid="{B9EF3C83-374B-427C-A16E-873EB42A5A7E}"/>
    <cellStyle name="40% - Énfasis2 2 4 13" xfId="44092" xr:uid="{BFC48E32-CC6B-4609-94CC-20DD0D10DE69}"/>
    <cellStyle name="40% - Énfasis2 2 4 2" xfId="7040" xr:uid="{6B38B9F3-88EC-4277-B15D-E570463F346F}"/>
    <cellStyle name="40% - Énfasis2 2 4 2 10" xfId="7041" xr:uid="{D9B0EA2B-3AFB-4032-B75C-83F850E05822}"/>
    <cellStyle name="40% - Énfasis2 2 4 2 11" xfId="7042" xr:uid="{4164CC7C-F2C1-40F3-A56C-097E342D47E3}"/>
    <cellStyle name="40% - Énfasis2 2 4 2 12" xfId="7043" xr:uid="{C3EA911A-A519-4F1A-B8A2-578C2C82715F}"/>
    <cellStyle name="40% - Énfasis2 2 4 2 13" xfId="44093" xr:uid="{40539401-AED9-455A-B4A1-C564E6B97DBB}"/>
    <cellStyle name="40% - Énfasis2 2 4 2 2" xfId="7044" xr:uid="{74A625B2-A716-4021-87C7-07C22DE686C3}"/>
    <cellStyle name="40% - Énfasis2 2 4 2 2 10" xfId="7045" xr:uid="{5CFCD751-E8FE-4124-B4D8-B7A2F23B77DE}"/>
    <cellStyle name="40% - Énfasis2 2 4 2 2 11" xfId="7046" xr:uid="{5FE4D2F1-BB0A-4DC4-AD24-53B73E968E1D}"/>
    <cellStyle name="40% - Énfasis2 2 4 2 2 12" xfId="44094" xr:uid="{508363DC-3041-4621-BE7E-F405175D7B2B}"/>
    <cellStyle name="40% - Énfasis2 2 4 2 2 2" xfId="7047" xr:uid="{9D6190B3-6D7E-4A0F-8B43-74FEC40DA69B}"/>
    <cellStyle name="40% - Énfasis2 2 4 2 2 2 10" xfId="7048" xr:uid="{09D98B8D-938C-41BE-81A9-5CEEA3446CD7}"/>
    <cellStyle name="40% - Énfasis2 2 4 2 2 2 11" xfId="7049" xr:uid="{BCAEA130-7E09-48CA-BBDD-A9628B4207BA}"/>
    <cellStyle name="40% - Énfasis2 2 4 2 2 2 2" xfId="7050" xr:uid="{FCEFC443-101B-41F0-9326-9A99F4FE1FEE}"/>
    <cellStyle name="40% - Énfasis2 2 4 2 2 2 2 2" xfId="7051" xr:uid="{F14ECAC1-3F8E-4C5D-B3AF-CE08E9CA12F9}"/>
    <cellStyle name="40% - Énfasis2 2 4 2 2 2 2 2 2" xfId="7052" xr:uid="{A25CAB28-FC96-46C7-80EC-CF8AC9017FCE}"/>
    <cellStyle name="40% - Énfasis2 2 4 2 2 2 2 2 3" xfId="7053" xr:uid="{520CA17A-E61A-49C5-B29D-8E6249087DD8}"/>
    <cellStyle name="40% - Énfasis2 2 4 2 2 2 2 2 4" xfId="7054" xr:uid="{B3DC1383-1B01-47E5-BC17-C89446A2027B}"/>
    <cellStyle name="40% - Énfasis2 2 4 2 2 2 2 2 5" xfId="7055" xr:uid="{4F565582-B207-4435-B286-D2F4913D4110}"/>
    <cellStyle name="40% - Énfasis2 2 4 2 2 2 2 3" xfId="7056" xr:uid="{BD44828B-0792-41A3-B0C1-FDDC5F3A4CE1}"/>
    <cellStyle name="40% - Énfasis2 2 4 2 2 2 2 4" xfId="7057" xr:uid="{A7B8D858-11FA-42B4-AFA3-132A02CE87CD}"/>
    <cellStyle name="40% - Énfasis2 2 4 2 2 2 2 5" xfId="7058" xr:uid="{334F9C70-4327-4EA5-A844-DD64BE943D35}"/>
    <cellStyle name="40% - Énfasis2 2 4 2 2 2 3" xfId="7059" xr:uid="{C43D8E8B-C981-43D0-BB67-9FD4C2649E1D}"/>
    <cellStyle name="40% - Énfasis2 2 4 2 2 2 4" xfId="7060" xr:uid="{32770CBA-9AE5-41B4-AA18-13AF9561D21D}"/>
    <cellStyle name="40% - Énfasis2 2 4 2 2 2 5" xfId="7061" xr:uid="{5346AF40-4DB8-4394-B74A-C7378A983CDA}"/>
    <cellStyle name="40% - Énfasis2 2 4 2 2 2 6" xfId="7062" xr:uid="{8504A307-BD9C-4F2B-9A1C-9677820BAC1F}"/>
    <cellStyle name="40% - Énfasis2 2 4 2 2 2 7" xfId="7063" xr:uid="{FD6AB97E-2A7E-46A0-8F34-3421394D7269}"/>
    <cellStyle name="40% - Énfasis2 2 4 2 2 2 8" xfId="7064" xr:uid="{AB7817DF-BE23-4819-A584-DCB63563463C}"/>
    <cellStyle name="40% - Énfasis2 2 4 2 2 2 9" xfId="7065" xr:uid="{7A050354-ACB2-431C-851D-46C614AF6E18}"/>
    <cellStyle name="40% - Énfasis2 2 4 2 2 3" xfId="7066" xr:uid="{A08B661A-2F36-4125-B623-51FC467CE240}"/>
    <cellStyle name="40% - Énfasis2 2 4 2 2 3 2" xfId="7067" xr:uid="{CF768A84-3D01-47BA-9734-F824CA32438F}"/>
    <cellStyle name="40% - Énfasis2 2 4 2 2 3 2 2" xfId="7068" xr:uid="{F96697CD-B282-43D1-8AB7-2036408C1345}"/>
    <cellStyle name="40% - Énfasis2 2 4 2 2 3 2 3" xfId="7069" xr:uid="{6B0E6426-060C-4501-AD43-583BBF3F7357}"/>
    <cellStyle name="40% - Énfasis2 2 4 2 2 3 2 4" xfId="7070" xr:uid="{9CF717D2-91B3-4CD4-8765-A28E7DC470DA}"/>
    <cellStyle name="40% - Énfasis2 2 4 2 2 3 2 5" xfId="7071" xr:uid="{8763FF69-C525-4FE5-8F34-963E532933EB}"/>
    <cellStyle name="40% - Énfasis2 2 4 2 2 3 3" xfId="7072" xr:uid="{7C61FE87-4B1C-4043-B7D5-B9908C4A5011}"/>
    <cellStyle name="40% - Énfasis2 2 4 2 2 3 4" xfId="7073" xr:uid="{0843A7A6-5EFC-4C8C-9772-90D3BD5190C3}"/>
    <cellStyle name="40% - Énfasis2 2 4 2 2 3 5" xfId="7074" xr:uid="{699DB018-022B-4876-816F-8FA9F15A35DA}"/>
    <cellStyle name="40% - Énfasis2 2 4 2 2 4" xfId="7075" xr:uid="{6A626458-F240-480E-8A2A-200383336DC6}"/>
    <cellStyle name="40% - Énfasis2 2 4 2 2 5" xfId="7076" xr:uid="{9B0A214C-57B1-4C95-9B64-1A3608BC5372}"/>
    <cellStyle name="40% - Énfasis2 2 4 2 2 6" xfId="7077" xr:uid="{0CA43E4C-7754-4520-B54B-68029786AC29}"/>
    <cellStyle name="40% - Énfasis2 2 4 2 2 7" xfId="7078" xr:uid="{250F1075-7D44-4B64-82B2-A58D64AE8824}"/>
    <cellStyle name="40% - Énfasis2 2 4 2 2 8" xfId="7079" xr:uid="{785C6C8D-DF18-4107-8B29-CC69DADD2FED}"/>
    <cellStyle name="40% - Énfasis2 2 4 2 2 9" xfId="7080" xr:uid="{A009C80F-1DEF-499E-A5B4-19475D3467A9}"/>
    <cellStyle name="40% - Énfasis2 2 4 2 3" xfId="7081" xr:uid="{74A4F780-2BDB-457C-8B0F-8C495A9E4763}"/>
    <cellStyle name="40% - Énfasis2 2 4 2 3 2" xfId="7082" xr:uid="{196F38A0-29C0-4BAD-A956-90A4217FA98F}"/>
    <cellStyle name="40% - Énfasis2 2 4 2 3 2 2" xfId="7083" xr:uid="{7FBDA1D4-40DE-4066-A1F4-9995BD7C5C62}"/>
    <cellStyle name="40% - Énfasis2 2 4 2 3 2 3" xfId="7084" xr:uid="{F687135E-0A44-441D-978B-423183488539}"/>
    <cellStyle name="40% - Énfasis2 2 4 2 3 2 4" xfId="7085" xr:uid="{CABB2034-D9B1-4411-92F9-93566B191661}"/>
    <cellStyle name="40% - Énfasis2 2 4 2 3 2 5" xfId="7086" xr:uid="{63A29318-17CA-43D7-8266-4BC6EA0AE20B}"/>
    <cellStyle name="40% - Énfasis2 2 4 2 3 3" xfId="7087" xr:uid="{3D84D1E8-F161-4EBE-978D-1D8EDF25FC5A}"/>
    <cellStyle name="40% - Énfasis2 2 4 2 3 4" xfId="7088" xr:uid="{C1715AD7-726B-4BF6-82BD-E025C5AC5C5E}"/>
    <cellStyle name="40% - Énfasis2 2 4 2 3 5" xfId="7089" xr:uid="{AA8B6CEC-1B62-458E-AD6E-8AEB1338F044}"/>
    <cellStyle name="40% - Énfasis2 2 4 2 4" xfId="7090" xr:uid="{70887653-D81C-4C2C-9A2E-3CDB75AD6351}"/>
    <cellStyle name="40% - Énfasis2 2 4 2 5" xfId="7091" xr:uid="{BF3199B1-0991-4E20-8C0A-87065F09F337}"/>
    <cellStyle name="40% - Énfasis2 2 4 2 6" xfId="7092" xr:uid="{1625D8D1-5ACC-4E55-BCA3-B40537D90EF5}"/>
    <cellStyle name="40% - Énfasis2 2 4 2 7" xfId="7093" xr:uid="{4A367089-D9CB-4921-A535-A289702C493F}"/>
    <cellStyle name="40% - Énfasis2 2 4 2 8" xfId="7094" xr:uid="{2440E23E-F7E0-4E80-94F7-9C6109AAA2C2}"/>
    <cellStyle name="40% - Énfasis2 2 4 2 9" xfId="7095" xr:uid="{7A446290-6040-40F4-8440-44EA12C46A39}"/>
    <cellStyle name="40% - Énfasis2 2 4 3" xfId="7096" xr:uid="{39F30D01-F2F5-4AC3-84F4-E255A3B95E7A}"/>
    <cellStyle name="40% - Énfasis2 2 4 3 10" xfId="7097" xr:uid="{258EFE80-8F9A-483E-955C-A9EDC8370A77}"/>
    <cellStyle name="40% - Énfasis2 2 4 3 11" xfId="7098" xr:uid="{5F092976-032F-4731-9945-91BFDFA413FC}"/>
    <cellStyle name="40% - Énfasis2 2 4 3 12" xfId="44095" xr:uid="{47E6CFE2-5094-438E-8A86-A6EF87EE4A56}"/>
    <cellStyle name="40% - Énfasis2 2 4 3 2" xfId="7099" xr:uid="{2EB5E18A-317B-4B2C-8FD4-E66A9BFCED33}"/>
    <cellStyle name="40% - Énfasis2 2 4 3 2 2" xfId="7100" xr:uid="{FC19D0C7-1E05-4404-B091-67FCA44CEBFC}"/>
    <cellStyle name="40% - Énfasis2 2 4 3 2 2 2" xfId="7101" xr:uid="{C3A34E03-58CC-4C7B-8C13-EF9649ECC5EC}"/>
    <cellStyle name="40% - Énfasis2 2 4 3 2 2 3" xfId="7102" xr:uid="{A417FC2C-0136-4944-83E2-B7156C388695}"/>
    <cellStyle name="40% - Énfasis2 2 4 3 2 2 4" xfId="7103" xr:uid="{F4CD0E9D-A9D2-4B91-B951-D1054377C098}"/>
    <cellStyle name="40% - Énfasis2 2 4 3 2 2 5" xfId="7104" xr:uid="{0A179BF4-7E6E-4B5E-93E7-F0BF1A745359}"/>
    <cellStyle name="40% - Énfasis2 2 4 3 2 3" xfId="7105" xr:uid="{F67A8E83-0DD4-4411-A732-B13484AE54A7}"/>
    <cellStyle name="40% - Énfasis2 2 4 3 2 4" xfId="7106" xr:uid="{9EAA20B3-75BF-4057-81D4-A5675ABC0B4E}"/>
    <cellStyle name="40% - Énfasis2 2 4 3 2 5" xfId="7107" xr:uid="{3A26D2B1-A4D1-4C3B-B849-4C3A2A04EB77}"/>
    <cellStyle name="40% - Énfasis2 2 4 3 3" xfId="7108" xr:uid="{4269D82E-8A66-4A82-A9C3-E06AD30D7047}"/>
    <cellStyle name="40% - Énfasis2 2 4 3 4" xfId="7109" xr:uid="{8F307538-CBA8-47AA-BCFC-EA148A513A1C}"/>
    <cellStyle name="40% - Énfasis2 2 4 3 5" xfId="7110" xr:uid="{BFD3F45D-059B-4E15-BDD8-C35A326FEDE1}"/>
    <cellStyle name="40% - Énfasis2 2 4 3 6" xfId="7111" xr:uid="{5686DF70-E012-4EAA-BFA9-5AEEFBB62637}"/>
    <cellStyle name="40% - Énfasis2 2 4 3 7" xfId="7112" xr:uid="{2537EEA8-A755-48A0-9E4F-99A83C9BE1FA}"/>
    <cellStyle name="40% - Énfasis2 2 4 3 8" xfId="7113" xr:uid="{47F09EBE-2E40-42CB-A76F-26458CB1DC3D}"/>
    <cellStyle name="40% - Énfasis2 2 4 3 9" xfId="7114" xr:uid="{C1B36856-4D25-4572-B397-4C119440CB11}"/>
    <cellStyle name="40% - Énfasis2 2 4 4" xfId="7115" xr:uid="{1473A48E-D586-4161-8356-F876225274B1}"/>
    <cellStyle name="40% - Énfasis2 2 4 4 2" xfId="7116" xr:uid="{AC8873C2-A6F0-4D7C-951A-191968252653}"/>
    <cellStyle name="40% - Énfasis2 2 4 4 2 2" xfId="7117" xr:uid="{BCF06821-ADA4-4A72-966A-75393AE278E1}"/>
    <cellStyle name="40% - Énfasis2 2 4 4 2 3" xfId="7118" xr:uid="{6D245EF4-D87B-4C5C-BCAB-82D3ACF29ADD}"/>
    <cellStyle name="40% - Énfasis2 2 4 4 2 4" xfId="7119" xr:uid="{0EEDCD87-4BE5-4C64-9794-180698639DE6}"/>
    <cellStyle name="40% - Énfasis2 2 4 4 2 5" xfId="7120" xr:uid="{DB3573F7-DCA0-47F5-B1E2-5A3DDED7B892}"/>
    <cellStyle name="40% - Énfasis2 2 4 4 3" xfId="7121" xr:uid="{A53C3831-D799-4A43-AE52-F8B2634866B5}"/>
    <cellStyle name="40% - Énfasis2 2 4 4 4" xfId="7122" xr:uid="{ECA9AAAA-4E06-49B5-923F-3D44C59DF847}"/>
    <cellStyle name="40% - Énfasis2 2 4 4 5" xfId="7123" xr:uid="{507EE15E-B136-4BCA-8305-09E99BCC897A}"/>
    <cellStyle name="40% - Énfasis2 2 4 5" xfId="7124" xr:uid="{C8008A73-CE22-40EC-BD24-E69B8D1C7992}"/>
    <cellStyle name="40% - Énfasis2 2 4 6" xfId="7125" xr:uid="{B51037D0-7472-4B29-826A-28396DEBE6DB}"/>
    <cellStyle name="40% - Énfasis2 2 4 7" xfId="7126" xr:uid="{ADC54C21-7AC5-4F3B-86AD-B45FECC7D31F}"/>
    <cellStyle name="40% - Énfasis2 2 4 8" xfId="7127" xr:uid="{41F6646D-DFF1-4A23-AF82-E9989E4BECA2}"/>
    <cellStyle name="40% - Énfasis2 2 4 9" xfId="7128" xr:uid="{E77409DB-15E1-4992-A9B7-4C2402D50E39}"/>
    <cellStyle name="40% - Énfasis2 2 5" xfId="7129" xr:uid="{11C2DE6C-6CC1-463D-BA95-2DE489C8BAAD}"/>
    <cellStyle name="40% - Énfasis2 2 5 2" xfId="7130" xr:uid="{62D8ED86-23C6-4A06-8947-B4F60D526B88}"/>
    <cellStyle name="40% - Énfasis2 2 5 2 2" xfId="44097" xr:uid="{BB902299-AEC0-4DEC-8EC0-BC90784A1399}"/>
    <cellStyle name="40% - Énfasis2 2 5 3" xfId="44096" xr:uid="{9E4DC2BA-FEFC-4B0D-AD40-1FADB93FB83A}"/>
    <cellStyle name="40% - Énfasis2 2 6" xfId="7131" xr:uid="{6D6860E2-C1A2-4A9B-B94E-5D0795723E89}"/>
    <cellStyle name="40% - Énfasis2 2 6 2" xfId="7132" xr:uid="{899215BF-D3E0-400F-9FEA-02692CADE99F}"/>
    <cellStyle name="40% - Énfasis2 2 6 3" xfId="44098" xr:uid="{C73AE212-2A41-489B-A165-EFC4F7233DB5}"/>
    <cellStyle name="40% - Énfasis2 2 7" xfId="7133" xr:uid="{C8C92C54-A276-4CAC-B356-DC610114F045}"/>
    <cellStyle name="40% - Énfasis2 2 7 2" xfId="7134" xr:uid="{327FEE15-B8C7-4631-8175-6A53B88F6873}"/>
    <cellStyle name="40% - Énfasis2 2 8" xfId="7135" xr:uid="{80A15F68-78DA-45F1-858C-5806A08EF489}"/>
    <cellStyle name="40% - Énfasis2 2 8 2" xfId="7136" xr:uid="{10411C89-3599-4179-8618-2ED71A183303}"/>
    <cellStyle name="40% - Énfasis2 2 8 2 2" xfId="7137" xr:uid="{F730065A-B3C0-4400-9E20-CFDCDE2B981B}"/>
    <cellStyle name="40% - Énfasis2 2 8 3" xfId="7138" xr:uid="{0740BC3E-645A-4E7B-8BCA-5CE1CD1D12B7}"/>
    <cellStyle name="40% - Énfasis2 2 9" xfId="7139" xr:uid="{DE54F969-C2E4-4969-8282-8A8CDC0A6C38}"/>
    <cellStyle name="40% - Énfasis2 2 9 2" xfId="7140" xr:uid="{06AAC756-B0D1-4531-9983-6A4BD0A17666}"/>
    <cellStyle name="40% - Énfasis2 3" xfId="7141" xr:uid="{66DBF3D0-B130-4CCE-84AF-62A731216CC0}"/>
    <cellStyle name="40% - Énfasis2 3 2" xfId="7142" xr:uid="{3857F745-69E0-49E5-8E66-F734C3B59A8F}"/>
    <cellStyle name="40% - Énfasis2 3 2 2" xfId="7143" xr:uid="{E6D106F2-0F88-42B7-A791-072D5EF30582}"/>
    <cellStyle name="40% - Énfasis2 3 2 2 2" xfId="44102" xr:uid="{EE7181AD-FC84-4623-917F-869113818E34}"/>
    <cellStyle name="40% - Énfasis2 3 2 2 2 2" xfId="44103" xr:uid="{C84BAC7D-E4BB-40FD-9471-1B7CD678D296}"/>
    <cellStyle name="40% - Énfasis2 3 2 2 3" xfId="44104" xr:uid="{F1B3AFD1-C5BC-4584-A873-57C9A514B6DE}"/>
    <cellStyle name="40% - Énfasis2 3 2 2 4" xfId="44101" xr:uid="{5B3C7AD2-0D3A-4347-8FEB-C2EC91279880}"/>
    <cellStyle name="40% - Énfasis2 3 2 3" xfId="44105" xr:uid="{EF0834B6-DC92-482F-A3A4-05BEEFA38FFD}"/>
    <cellStyle name="40% - Énfasis2 3 2 3 2" xfId="44106" xr:uid="{230678E1-EB6C-49B4-9575-2E68DE483F30}"/>
    <cellStyle name="40% - Énfasis2 3 2 4" xfId="44107" xr:uid="{9929C7BD-F7C2-4DF4-8C57-DAA830B2F6D0}"/>
    <cellStyle name="40% - Énfasis2 3 2 5" xfId="44100" xr:uid="{8D295DC1-C236-4A22-A4B7-E2B1E4714B48}"/>
    <cellStyle name="40% - Énfasis2 3 3" xfId="7144" xr:uid="{26C5614C-21F2-4571-90C0-7ADF2F28F683}"/>
    <cellStyle name="40% - Énfasis2 3 3 2" xfId="7145" xr:uid="{BD8958E0-E781-4799-B7CF-348E71456680}"/>
    <cellStyle name="40% - Énfasis2 3 3 2 2" xfId="44110" xr:uid="{48EAE73F-62D4-4CD6-8B80-0574AEE8F11C}"/>
    <cellStyle name="40% - Énfasis2 3 3 2 3" xfId="44109" xr:uid="{7296BE0B-0973-46D4-B75B-E3DD1F64BDBE}"/>
    <cellStyle name="40% - Énfasis2 3 3 3" xfId="44111" xr:uid="{85274C4D-9ACA-435B-A435-4E4ECA64AB79}"/>
    <cellStyle name="40% - Énfasis2 3 3 4" xfId="44108" xr:uid="{A0E6C104-3D39-4057-9D1D-A53C061AA91C}"/>
    <cellStyle name="40% - Énfasis2 3 4" xfId="7146" xr:uid="{DF35B29D-104D-4158-9FD7-16601436EC40}"/>
    <cellStyle name="40% - Énfasis2 3 4 2" xfId="44113" xr:uid="{62900764-6FF6-417B-82D8-8E938E2F587C}"/>
    <cellStyle name="40% - Énfasis2 3 4 3" xfId="44112" xr:uid="{909E2525-047D-48A3-A6AB-60973946BA29}"/>
    <cellStyle name="40% - Énfasis2 3 5" xfId="44114" xr:uid="{8C510459-A5EF-4523-A529-01D0B35C3074}"/>
    <cellStyle name="40% - Énfasis2 3 6" xfId="44099" xr:uid="{3D73421A-240D-4DC8-BF90-1B12C0A72827}"/>
    <cellStyle name="40% - Énfasis2 4" xfId="7147" xr:uid="{F4E2373C-EFC5-47BB-BAAE-E11E41F6734D}"/>
    <cellStyle name="40% - Énfasis2 4 2" xfId="7148" xr:uid="{41016B4B-3200-4A43-AFB4-CDCFDE260802}"/>
    <cellStyle name="40% - Énfasis2 4 2 2" xfId="44117" xr:uid="{14D2AFFC-EEB2-426B-8169-F93DAA569967}"/>
    <cellStyle name="40% - Énfasis2 4 2 2 2" xfId="44118" xr:uid="{43389382-6458-466F-9E7C-50AE56A956A9}"/>
    <cellStyle name="40% - Énfasis2 4 2 3" xfId="44119" xr:uid="{A30AE396-EF8E-4C86-903E-ADB61CD56146}"/>
    <cellStyle name="40% - Énfasis2 4 2 4" xfId="44116" xr:uid="{0C07F9F5-31FA-473E-A311-59EEE1709040}"/>
    <cellStyle name="40% - Énfasis2 4 3" xfId="44120" xr:uid="{CBD287E4-A3D2-4A76-AAF6-9F309FF08A28}"/>
    <cellStyle name="40% - Énfasis2 4 3 2" xfId="44121" xr:uid="{C43D5CFE-14A1-4F5B-96DB-17C072A43D05}"/>
    <cellStyle name="40% - Énfasis2 4 4" xfId="44122" xr:uid="{E19A1EF7-5153-41D3-80ED-FBB3763BC287}"/>
    <cellStyle name="40% - Énfasis2 4 5" xfId="44115" xr:uid="{D591C1CF-B2BB-4DAA-9026-657842612C41}"/>
    <cellStyle name="40% - Énfasis2 5" xfId="44123" xr:uid="{B5058E24-D421-47B0-93C0-CAE59199742E}"/>
    <cellStyle name="40% - Énfasis2 5 2" xfId="44124" xr:uid="{4C623C2E-9881-41F5-A784-3C88CEE36B73}"/>
    <cellStyle name="40% - Énfasis2 5 2 2" xfId="44125" xr:uid="{9ED40DEF-A5B8-48BD-B644-89DB60555138}"/>
    <cellStyle name="40% - Énfasis2 5 2 2 2" xfId="44126" xr:uid="{CD783675-F683-4057-A190-A38B4C5A491F}"/>
    <cellStyle name="40% - Énfasis2 5 2 3" xfId="44127" xr:uid="{4C335F1E-9668-4A33-854A-A3E75EEE0A81}"/>
    <cellStyle name="40% - Énfasis2 5 3" xfId="44128" xr:uid="{C48C9614-DB68-4D73-8C8C-1AF4F0B26CE2}"/>
    <cellStyle name="40% - Énfasis2 5 3 2" xfId="44129" xr:uid="{20597915-6A1C-4AB5-B5DB-88324D478436}"/>
    <cellStyle name="40% - Énfasis2 5 4" xfId="44130" xr:uid="{2B0FCAC9-B66A-4023-B749-A476452BE00F}"/>
    <cellStyle name="40% - Énfasis2 6" xfId="44131" xr:uid="{FE1B372D-02AA-4223-A704-D74B40306454}"/>
    <cellStyle name="40% - Énfasis2 6 2" xfId="44132" xr:uid="{93A6E49F-5A3F-4453-9981-2692C3E1F8A4}"/>
    <cellStyle name="40% - Énfasis2 6 2 2" xfId="44133" xr:uid="{87790FFF-716C-400B-9669-C8179380FDDB}"/>
    <cellStyle name="40% - Énfasis2 6 3" xfId="44134" xr:uid="{D1B53C5D-ABEE-4FE5-8BD0-48C3A2937773}"/>
    <cellStyle name="40% - Énfasis2 7" xfId="44135" xr:uid="{0854A38D-540A-411B-87D5-F610122D136A}"/>
    <cellStyle name="40% - Énfasis2 7 2" xfId="44136" xr:uid="{D70DBA84-F50C-4B0D-B999-81285713865D}"/>
    <cellStyle name="40% - Énfasis2 8" xfId="44137" xr:uid="{A8E7C526-3BD3-4CF7-A1C1-31D48D46B7E4}"/>
    <cellStyle name="40% - Énfasis3" xfId="31" builtinId="39" customBuiltin="1"/>
    <cellStyle name="40% - Énfasis3 2" xfId="7149" xr:uid="{493680D7-F96A-4ADC-BBF4-C942B5949E1C}"/>
    <cellStyle name="40% - Énfasis3 2 10" xfId="7150" xr:uid="{831C8680-9841-4E7E-9B33-4C0BB7E08B3D}"/>
    <cellStyle name="40% - Énfasis3 2 10 10" xfId="7151" xr:uid="{A70982D6-331F-47A1-81F4-23CD57E50807}"/>
    <cellStyle name="40% - Énfasis3 2 10 11" xfId="7152" xr:uid="{C80AF5BA-AF1B-45FF-A3B8-73DBDF988DB9}"/>
    <cellStyle name="40% - Énfasis3 2 10 2" xfId="7153" xr:uid="{82C98C72-3535-49B5-A111-284AC1C247B5}"/>
    <cellStyle name="40% - Énfasis3 2 10 2 10" xfId="7154" xr:uid="{73B16DF0-F140-4A21-B207-E06DE812567B}"/>
    <cellStyle name="40% - Énfasis3 2 10 2 11" xfId="7155" xr:uid="{F1587D02-D09F-4EAA-BA4C-A149DCBE8E10}"/>
    <cellStyle name="40% - Énfasis3 2 10 2 2" xfId="7156" xr:uid="{B464501E-AB01-4CDB-8F7D-384441850D96}"/>
    <cellStyle name="40% - Énfasis3 2 10 2 2 2" xfId="7157" xr:uid="{981968F9-FA6B-45EE-8A26-40C5FDAEB374}"/>
    <cellStyle name="40% - Énfasis3 2 10 2 2 2 2" xfId="7158" xr:uid="{4FABDE1F-E5E2-43CB-BA43-A9FA9EF7B5F2}"/>
    <cellStyle name="40% - Énfasis3 2 10 2 2 2 3" xfId="7159" xr:uid="{A8198C1D-BBF5-4C1A-89AF-5812B12D1B7F}"/>
    <cellStyle name="40% - Énfasis3 2 10 2 2 2 4" xfId="7160" xr:uid="{01B7A9B5-C553-40E3-9B92-40084F2641E6}"/>
    <cellStyle name="40% - Énfasis3 2 10 2 2 2 5" xfId="7161" xr:uid="{7390B88F-2417-4D75-88FA-B31093F4C8FE}"/>
    <cellStyle name="40% - Énfasis3 2 10 2 2 3" xfId="7162" xr:uid="{88F25404-0CFD-40A7-8B17-7C323EDB4FAF}"/>
    <cellStyle name="40% - Énfasis3 2 10 2 2 4" xfId="7163" xr:uid="{F8494FD6-5691-496D-8B94-8B7B35FAA8D6}"/>
    <cellStyle name="40% - Énfasis3 2 10 2 2 5" xfId="7164" xr:uid="{68897FF7-5143-4F81-A5EE-9FAF413009BC}"/>
    <cellStyle name="40% - Énfasis3 2 10 2 3" xfId="7165" xr:uid="{3F012EBE-B030-4A8F-9FBB-3408889E2401}"/>
    <cellStyle name="40% - Énfasis3 2 10 2 4" xfId="7166" xr:uid="{D7E6E2C0-D79F-41B7-B610-365F89DA2E86}"/>
    <cellStyle name="40% - Énfasis3 2 10 2 5" xfId="7167" xr:uid="{A208EA7F-02D0-43E0-ACD2-46CAA6449C2C}"/>
    <cellStyle name="40% - Énfasis3 2 10 2 6" xfId="7168" xr:uid="{6BCDA031-2583-4C58-A95B-0317C9ABA814}"/>
    <cellStyle name="40% - Énfasis3 2 10 2 7" xfId="7169" xr:uid="{4E41E541-BA48-4FD0-8A04-CD780AFF5FDA}"/>
    <cellStyle name="40% - Énfasis3 2 10 2 8" xfId="7170" xr:uid="{48A29C57-2337-4F4E-A800-D050FFF85212}"/>
    <cellStyle name="40% - Énfasis3 2 10 2 9" xfId="7171" xr:uid="{E4822354-B063-4514-9759-0F1C2C427911}"/>
    <cellStyle name="40% - Énfasis3 2 10 3" xfId="7172" xr:uid="{3BA42174-9527-41E7-ADF4-71053D27FBF5}"/>
    <cellStyle name="40% - Énfasis3 2 10 3 2" xfId="7173" xr:uid="{94BCA799-5509-4F09-9171-1E35458EECF7}"/>
    <cellStyle name="40% - Énfasis3 2 10 3 2 2" xfId="7174" xr:uid="{DC7D452A-61CA-4BCF-A114-4753A86F8DE9}"/>
    <cellStyle name="40% - Énfasis3 2 10 3 2 3" xfId="7175" xr:uid="{F3D8AE42-22E1-409E-A2EF-8AAF7E9C240B}"/>
    <cellStyle name="40% - Énfasis3 2 10 3 2 4" xfId="7176" xr:uid="{56D9B551-5C71-4DE5-AA52-A66D8825291E}"/>
    <cellStyle name="40% - Énfasis3 2 10 3 2 5" xfId="7177" xr:uid="{0BC3A786-C57B-4745-A2EF-767598E46874}"/>
    <cellStyle name="40% - Énfasis3 2 10 3 3" xfId="7178" xr:uid="{6F25342A-3F8E-4183-9CD4-790D890ABC68}"/>
    <cellStyle name="40% - Énfasis3 2 10 3 4" xfId="7179" xr:uid="{987B2D68-6EC3-4574-A9EC-F1B4A213A6A0}"/>
    <cellStyle name="40% - Énfasis3 2 10 3 5" xfId="7180" xr:uid="{D0409FD0-B46C-44D9-BCDE-C22769A7E951}"/>
    <cellStyle name="40% - Énfasis3 2 10 4" xfId="7181" xr:uid="{DA5B8500-8119-4FF9-92DB-A0F584C403CC}"/>
    <cellStyle name="40% - Énfasis3 2 10 5" xfId="7182" xr:uid="{3132B786-4386-41AC-8247-8431D61C54DC}"/>
    <cellStyle name="40% - Énfasis3 2 10 6" xfId="7183" xr:uid="{3DC74278-F718-4FDD-AD27-A807798314FA}"/>
    <cellStyle name="40% - Énfasis3 2 10 7" xfId="7184" xr:uid="{74457DE8-C22C-471E-889A-DD7A5C37D4A3}"/>
    <cellStyle name="40% - Énfasis3 2 10 8" xfId="7185" xr:uid="{D8A72F1F-7118-467F-971D-41D624293EC1}"/>
    <cellStyle name="40% - Énfasis3 2 10 9" xfId="7186" xr:uid="{7C1CF8D8-A0DA-4326-8AB9-4D50758116E5}"/>
    <cellStyle name="40% - Énfasis3 2 11" xfId="7187" xr:uid="{70D04504-240A-46AF-A236-A7A57DC36EBA}"/>
    <cellStyle name="40% - Énfasis3 2 12" xfId="7188" xr:uid="{E9505809-6BA3-4858-ABD9-CFAC514AD1C0}"/>
    <cellStyle name="40% - Énfasis3 2 13" xfId="7189" xr:uid="{EFA4DE9B-AF76-4EB6-89D7-510F9261ACA1}"/>
    <cellStyle name="40% - Énfasis3 2 14" xfId="44138" xr:uid="{D38A077F-4FA6-467D-948E-F6215FD96A28}"/>
    <cellStyle name="40% - Énfasis3 2 2" xfId="7190" xr:uid="{5E24DD78-3FE5-4E86-A610-80DB62E3A8C2}"/>
    <cellStyle name="40% - Énfasis3 2 2 10" xfId="7191" xr:uid="{D2D7DD7F-FAD9-4098-933D-4440C8CE42B2}"/>
    <cellStyle name="40% - Énfasis3 2 2 10 10" xfId="7192" xr:uid="{2BF0C255-349B-4A1D-A53C-9C04C61CDBFD}"/>
    <cellStyle name="40% - Énfasis3 2 2 10 11" xfId="7193" xr:uid="{C5325768-0B55-4768-BAAC-D550F95805F7}"/>
    <cellStyle name="40% - Énfasis3 2 2 10 2" xfId="7194" xr:uid="{1849882E-B048-419E-932F-60908C9CED76}"/>
    <cellStyle name="40% - Énfasis3 2 2 10 2 10" xfId="7195" xr:uid="{BB5CA6E2-3765-4CF9-9985-F45B0D1F93AC}"/>
    <cellStyle name="40% - Énfasis3 2 2 10 2 11" xfId="7196" xr:uid="{B636D324-9B37-4D4F-A9C3-2990C5FA2480}"/>
    <cellStyle name="40% - Énfasis3 2 2 10 2 2" xfId="7197" xr:uid="{755AF591-EFF7-4E21-92F5-1569F1D211E3}"/>
    <cellStyle name="40% - Énfasis3 2 2 10 2 2 2" xfId="7198" xr:uid="{E6A5E9AD-B6CA-43F3-9E2A-662538E62CAB}"/>
    <cellStyle name="40% - Énfasis3 2 2 10 2 2 2 2" xfId="7199" xr:uid="{1F77FAD9-DF49-4C4A-9B7E-05A30930E190}"/>
    <cellStyle name="40% - Énfasis3 2 2 10 2 2 2 3" xfId="7200" xr:uid="{282D3E06-EE58-4A37-BD7B-C4E2CCCC1141}"/>
    <cellStyle name="40% - Énfasis3 2 2 10 2 2 2 4" xfId="7201" xr:uid="{27E0DBE1-1FD0-4857-BA80-3FFB4630D159}"/>
    <cellStyle name="40% - Énfasis3 2 2 10 2 2 2 5" xfId="7202" xr:uid="{1C721DCD-8A7E-47B0-A975-068AE5C2F442}"/>
    <cellStyle name="40% - Énfasis3 2 2 10 2 2 3" xfId="7203" xr:uid="{0E80F9E6-CA17-46B7-B30B-BD2FD67DA16D}"/>
    <cellStyle name="40% - Énfasis3 2 2 10 2 2 4" xfId="7204" xr:uid="{6EF56A70-F154-41DA-897F-3C9A9363B542}"/>
    <cellStyle name="40% - Énfasis3 2 2 10 2 2 5" xfId="7205" xr:uid="{E772CD1D-E835-4636-8420-ECC6D7BE465F}"/>
    <cellStyle name="40% - Énfasis3 2 2 10 2 3" xfId="7206" xr:uid="{454443C7-71E9-4CC6-A582-008F8A54863E}"/>
    <cellStyle name="40% - Énfasis3 2 2 10 2 4" xfId="7207" xr:uid="{03E279AA-81CA-4338-9E52-4F0428910734}"/>
    <cellStyle name="40% - Énfasis3 2 2 10 2 5" xfId="7208" xr:uid="{E12D4A8D-1668-4582-94FC-944139BCBC85}"/>
    <cellStyle name="40% - Énfasis3 2 2 10 2 6" xfId="7209" xr:uid="{D7FA1502-71EE-4406-A2E3-6D4AC95B7968}"/>
    <cellStyle name="40% - Énfasis3 2 2 10 2 7" xfId="7210" xr:uid="{95963130-5030-4034-B237-AB90B2858470}"/>
    <cellStyle name="40% - Énfasis3 2 2 10 2 8" xfId="7211" xr:uid="{FF224D20-F037-4EC5-8154-F98F683197D6}"/>
    <cellStyle name="40% - Énfasis3 2 2 10 2 9" xfId="7212" xr:uid="{F4430499-6847-4820-BF2F-70DDC7A2A47D}"/>
    <cellStyle name="40% - Énfasis3 2 2 10 3" xfId="7213" xr:uid="{1EFD3634-518D-46DB-B686-771C5C1DBDDF}"/>
    <cellStyle name="40% - Énfasis3 2 2 10 3 2" xfId="7214" xr:uid="{55252C22-D709-4F5A-A214-6DD4FE0DE941}"/>
    <cellStyle name="40% - Énfasis3 2 2 10 3 2 2" xfId="7215" xr:uid="{A23B79EB-73F0-4F98-8171-4BFA896037D4}"/>
    <cellStyle name="40% - Énfasis3 2 2 10 3 2 3" xfId="7216" xr:uid="{201F6F21-C8A9-4DC8-A8D7-44BEFC34FF76}"/>
    <cellStyle name="40% - Énfasis3 2 2 10 3 2 4" xfId="7217" xr:uid="{085877BF-132E-40D5-80FB-790D92E9F78D}"/>
    <cellStyle name="40% - Énfasis3 2 2 10 3 2 5" xfId="7218" xr:uid="{16930BEE-4006-4587-97ED-605F99AD2E16}"/>
    <cellStyle name="40% - Énfasis3 2 2 10 3 3" xfId="7219" xr:uid="{C46320A1-20FC-4741-A5F9-63721B013ECB}"/>
    <cellStyle name="40% - Énfasis3 2 2 10 3 4" xfId="7220" xr:uid="{B6B209A0-9ECF-44FD-8AA4-53844FA84720}"/>
    <cellStyle name="40% - Énfasis3 2 2 10 3 5" xfId="7221" xr:uid="{B7111A4D-47FB-4DA4-B7DB-A8A2935A927A}"/>
    <cellStyle name="40% - Énfasis3 2 2 10 4" xfId="7222" xr:uid="{2FE0AB16-9BFE-42DE-9425-51DE2A4E852B}"/>
    <cellStyle name="40% - Énfasis3 2 2 10 5" xfId="7223" xr:uid="{D2779A16-1073-4013-94B8-D3E3C244E01C}"/>
    <cellStyle name="40% - Énfasis3 2 2 10 6" xfId="7224" xr:uid="{B1CB088F-972A-4256-BB02-32D6AF556F87}"/>
    <cellStyle name="40% - Énfasis3 2 2 10 7" xfId="7225" xr:uid="{CA7B5AB5-292B-42B4-834B-49AD6DA8A9E2}"/>
    <cellStyle name="40% - Énfasis3 2 2 10 8" xfId="7226" xr:uid="{E696C131-6ED5-476A-B367-BA66AD9775FB}"/>
    <cellStyle name="40% - Énfasis3 2 2 10 9" xfId="7227" xr:uid="{8E021164-0181-4210-877E-BE9E1ACC04B1}"/>
    <cellStyle name="40% - Énfasis3 2 2 11" xfId="7228" xr:uid="{92F24F4F-F4B2-44D1-84EF-6160524BD03A}"/>
    <cellStyle name="40% - Énfasis3 2 2 12" xfId="7229" xr:uid="{32569F45-FF88-4342-A211-E906316A225A}"/>
    <cellStyle name="40% - Énfasis3 2 2 13" xfId="7230" xr:uid="{78B98462-7FDF-4FFE-9027-8D440F763989}"/>
    <cellStyle name="40% - Énfasis3 2 2 14" xfId="44139" xr:uid="{53CF603C-2B0A-4DA5-A41B-947D560DE33D}"/>
    <cellStyle name="40% - Énfasis3 2 2 2" xfId="7231" xr:uid="{40656B8C-615E-4D4C-96BB-6A90F27059F0}"/>
    <cellStyle name="40% - Énfasis3 2 2 2 2" xfId="7232" xr:uid="{1FE9DA57-6009-4DDC-B70C-5E1ECC357EA8}"/>
    <cellStyle name="40% - Énfasis3 2 2 2 2 2" xfId="7233" xr:uid="{E0D33DC4-C629-4D0F-9C28-34E3F244FDBC}"/>
    <cellStyle name="40% - Énfasis3 2 2 2 2 2 2" xfId="7234" xr:uid="{F58457B8-62D3-4822-9E6F-A87C404B066E}"/>
    <cellStyle name="40% - Énfasis3 2 2 2 2 2 2 2" xfId="7235" xr:uid="{39DD328E-BD60-45D4-B09E-7CD5DDD16E2F}"/>
    <cellStyle name="40% - Énfasis3 2 2 2 2 2 2 2 2" xfId="7236" xr:uid="{83B7E2EC-0FAA-449B-A112-481B0FA592DF}"/>
    <cellStyle name="40% - Énfasis3 2 2 2 2 2 2 2 2 2" xfId="7237" xr:uid="{7A26D009-6E70-4656-99BE-3971BE16875D}"/>
    <cellStyle name="40% - Énfasis3 2 2 2 2 2 2 2 2 2 2" xfId="7238" xr:uid="{5DD48780-B707-45E9-BEEF-971708EB1FA7}"/>
    <cellStyle name="40% - Énfasis3 2 2 2 2 2 2 2 2 2 2 2" xfId="7239" xr:uid="{0BA721AF-ED4E-4880-B7C1-2A0875BFF3B2}"/>
    <cellStyle name="40% - Énfasis3 2 2 2 2 2 2 2 2 2 2 2 2" xfId="7240" xr:uid="{8777CD61-B076-43EC-8A06-748CA1D281FE}"/>
    <cellStyle name="40% - Énfasis3 2 2 2 2 2 2 2 2 2 2 2 2 2" xfId="7241" xr:uid="{26BD9746-570B-4EA8-9B53-377BB4077704}"/>
    <cellStyle name="40% - Énfasis3 2 2 2 2 2 2 2 2 2 2 2 2 2 2" xfId="7242" xr:uid="{B089324A-69A5-493E-84FE-F181C7174F68}"/>
    <cellStyle name="40% - Énfasis3 2 2 2 2 2 2 2 2 2 2 2 2 2 3" xfId="7243" xr:uid="{F60DFF70-A08C-4824-880D-D7924CC6C277}"/>
    <cellStyle name="40% - Énfasis3 2 2 2 2 2 2 2 2 2 2 2 2 2 4" xfId="7244" xr:uid="{F2AF4ED6-F82C-427E-9BC4-CB262F42A382}"/>
    <cellStyle name="40% - Énfasis3 2 2 2 2 2 2 2 2 2 2 2 2 2 5" xfId="7245" xr:uid="{9E4DB035-84E5-4C36-8120-60557192E389}"/>
    <cellStyle name="40% - Énfasis3 2 2 2 2 2 2 2 2 2 2 2 2 3" xfId="7246" xr:uid="{41D0DE8F-A5AF-4117-A61E-57560A4462C8}"/>
    <cellStyle name="40% - Énfasis3 2 2 2 2 2 2 2 2 2 2 2 2 4" xfId="7247" xr:uid="{A8D1D3DC-EC5D-40BD-91EF-7B5123C04BA7}"/>
    <cellStyle name="40% - Énfasis3 2 2 2 2 2 2 2 2 2 2 2 2 5" xfId="7248" xr:uid="{68B0671C-27A3-4E0D-949D-54D26E5A3BA3}"/>
    <cellStyle name="40% - Énfasis3 2 2 2 2 2 2 2 2 2 2 2 3" xfId="7249" xr:uid="{1423E219-06F7-4649-A287-4068047AD31C}"/>
    <cellStyle name="40% - Énfasis3 2 2 2 2 2 2 2 2 2 2 2 4" xfId="7250" xr:uid="{CE0774BD-0376-43A8-A030-BF984A037FF4}"/>
    <cellStyle name="40% - Énfasis3 2 2 2 2 2 2 2 2 2 2 2 5" xfId="7251" xr:uid="{E21FDC11-6ED8-4034-94E0-D0DC09A2D5D8}"/>
    <cellStyle name="40% - Énfasis3 2 2 2 2 2 2 2 2 2 2 2 6" xfId="7252" xr:uid="{01F1234C-1047-4691-8873-1CDC350971A9}"/>
    <cellStyle name="40% - Énfasis3 2 2 2 2 2 2 2 2 2 2 3" xfId="7253" xr:uid="{F0A1D4B1-4C70-40BD-95A1-259B39143947}"/>
    <cellStyle name="40% - Énfasis3 2 2 2 2 2 2 2 2 2 2 4" xfId="7254" xr:uid="{A92CD8DE-B0AF-4B99-97E7-9AE592A3A950}"/>
    <cellStyle name="40% - Énfasis3 2 2 2 2 2 2 2 2 2 3" xfId="7255" xr:uid="{E8FAA3B4-415D-4236-BEA4-B48FBA9DC4EE}"/>
    <cellStyle name="40% - Énfasis3 2 2 2 2 2 2 2 2 2 4" xfId="7256" xr:uid="{FFC11699-A5CD-42E1-BBFC-5796033BAAC6}"/>
    <cellStyle name="40% - Énfasis3 2 2 2 2 2 2 2 2 3" xfId="7257" xr:uid="{73000CA6-3A24-476B-8C6F-D42506329ADC}"/>
    <cellStyle name="40% - Énfasis3 2 2 2 2 2 2 2 2 4" xfId="7258" xr:uid="{F421B046-2A69-4BC4-9019-14B85656971B}"/>
    <cellStyle name="40% - Énfasis3 2 2 2 2 2 2 2 2 5" xfId="7259" xr:uid="{DAA6D822-F85F-4B5C-9EB4-8B2D1C2B6C28}"/>
    <cellStyle name="40% - Énfasis3 2 2 2 2 2 2 2 3" xfId="7260" xr:uid="{F97EBCC3-D848-4D1E-8209-5D71801F2027}"/>
    <cellStyle name="40% - Énfasis3 2 2 2 2 2 2 2 3 10" xfId="7261" xr:uid="{D54D9AA1-BD9D-4392-A1B8-0733B41B76ED}"/>
    <cellStyle name="40% - Énfasis3 2 2 2 2 2 2 2 3 11" xfId="7262" xr:uid="{B4CB2982-6057-49CA-AEEE-91DDF757FF8D}"/>
    <cellStyle name="40% - Énfasis3 2 2 2 2 2 2 2 3 2" xfId="7263" xr:uid="{52358120-7D09-4710-B140-35DFE4A76B1A}"/>
    <cellStyle name="40% - Énfasis3 2 2 2 2 2 2 2 3 2 2" xfId="7264" xr:uid="{391957BB-EFBF-46C6-88B9-0DBB2A25F02B}"/>
    <cellStyle name="40% - Énfasis3 2 2 2 2 2 2 2 3 2 2 2" xfId="7265" xr:uid="{8EB724D1-2590-4DE9-97C7-D9ABC7154DDC}"/>
    <cellStyle name="40% - Énfasis3 2 2 2 2 2 2 2 3 2 2 3" xfId="7266" xr:uid="{3ACE1113-49D3-46E8-85AE-BF5834BC02BF}"/>
    <cellStyle name="40% - Énfasis3 2 2 2 2 2 2 2 3 2 2 4" xfId="7267" xr:uid="{4D465626-7F23-4E25-98B4-1B356838BC0A}"/>
    <cellStyle name="40% - Énfasis3 2 2 2 2 2 2 2 3 2 2 5" xfId="7268" xr:uid="{07CDBC8A-B8AA-425D-B475-997DC5713C65}"/>
    <cellStyle name="40% - Énfasis3 2 2 2 2 2 2 2 3 2 3" xfId="7269" xr:uid="{DCBF9304-D34A-467A-BD93-FCACFC0A6DC5}"/>
    <cellStyle name="40% - Énfasis3 2 2 2 2 2 2 2 3 2 4" xfId="7270" xr:uid="{DC4BA12C-C697-4CAD-811E-AEEAAD4749CB}"/>
    <cellStyle name="40% - Énfasis3 2 2 2 2 2 2 2 3 2 5" xfId="7271" xr:uid="{3D7AC3A5-7F42-48F0-8EB7-0629714C6BC3}"/>
    <cellStyle name="40% - Énfasis3 2 2 2 2 2 2 2 3 3" xfId="7272" xr:uid="{306B5228-E52A-4646-9866-DFCEF0D57996}"/>
    <cellStyle name="40% - Énfasis3 2 2 2 2 2 2 2 3 4" xfId="7273" xr:uid="{D73A395B-EC5E-4FC9-BC77-90BEDE7E5EE7}"/>
    <cellStyle name="40% - Énfasis3 2 2 2 2 2 2 2 3 5" xfId="7274" xr:uid="{11E1725E-BE82-4E93-A861-D906B419BD78}"/>
    <cellStyle name="40% - Énfasis3 2 2 2 2 2 2 2 3 6" xfId="7275" xr:uid="{89060F0E-D552-4217-9C87-EE09FDE9F18C}"/>
    <cellStyle name="40% - Énfasis3 2 2 2 2 2 2 2 3 7" xfId="7276" xr:uid="{1BA51BBC-215E-4A6A-928C-04B0E5E871A6}"/>
    <cellStyle name="40% - Énfasis3 2 2 2 2 2 2 2 3 8" xfId="7277" xr:uid="{40C2D94D-3367-46E8-933B-FF9A8110051C}"/>
    <cellStyle name="40% - Énfasis3 2 2 2 2 2 2 2 3 9" xfId="7278" xr:uid="{5BC9CAAB-251C-4457-A751-8F427382D236}"/>
    <cellStyle name="40% - Énfasis3 2 2 2 2 2 2 2 4" xfId="7279" xr:uid="{1EC98935-F3B4-495D-95F3-F085AB3DEF5D}"/>
    <cellStyle name="40% - Énfasis3 2 2 2 2 2 2 2 5" xfId="7280" xr:uid="{7DD5D340-B2DD-4211-A0C9-76953E5067A9}"/>
    <cellStyle name="40% - Énfasis3 2 2 2 2 2 2 3" xfId="7281" xr:uid="{2551CD88-86D6-4B32-BACE-F84E079B6B59}"/>
    <cellStyle name="40% - Énfasis3 2 2 2 2 2 2 3 10" xfId="7282" xr:uid="{B399AEE6-FF3E-40BE-9C6C-948CADEBF6EA}"/>
    <cellStyle name="40% - Énfasis3 2 2 2 2 2 2 3 11" xfId="7283" xr:uid="{DC4337BC-E7E7-4F1F-A2A7-0CB3B71EA654}"/>
    <cellStyle name="40% - Énfasis3 2 2 2 2 2 2 3 2" xfId="7284" xr:uid="{A4D4A9B7-3AEA-4E3B-98FE-FFBF67C60CD8}"/>
    <cellStyle name="40% - Énfasis3 2 2 2 2 2 2 3 2 10" xfId="7285" xr:uid="{53C2997A-4BA3-47DB-8D6C-42837DEB3B1D}"/>
    <cellStyle name="40% - Énfasis3 2 2 2 2 2 2 3 2 11" xfId="7286" xr:uid="{84EB7CB9-AEAC-4713-9411-3013D5242E4D}"/>
    <cellStyle name="40% - Énfasis3 2 2 2 2 2 2 3 2 2" xfId="7287" xr:uid="{FFC994E2-08B6-4106-8AC1-4E6FF444332E}"/>
    <cellStyle name="40% - Énfasis3 2 2 2 2 2 2 3 2 2 2" xfId="7288" xr:uid="{22A27B9A-4B2D-40B7-AF45-B5FDF20A934A}"/>
    <cellStyle name="40% - Énfasis3 2 2 2 2 2 2 3 2 2 2 2" xfId="7289" xr:uid="{F55EC132-467D-4CF3-99A5-6CD7FE8B8BFE}"/>
    <cellStyle name="40% - Énfasis3 2 2 2 2 2 2 3 2 2 2 3" xfId="7290" xr:uid="{D098D3F4-C696-4F7F-859B-C34C91EF5517}"/>
    <cellStyle name="40% - Énfasis3 2 2 2 2 2 2 3 2 2 2 4" xfId="7291" xr:uid="{5864A1DB-5023-42EC-A532-B685E40225F5}"/>
    <cellStyle name="40% - Énfasis3 2 2 2 2 2 2 3 2 2 2 5" xfId="7292" xr:uid="{EE793181-1052-452A-9687-735486AA49B0}"/>
    <cellStyle name="40% - Énfasis3 2 2 2 2 2 2 3 2 2 3" xfId="7293" xr:uid="{728C7D93-D7F8-4F89-A222-57DFF517D067}"/>
    <cellStyle name="40% - Énfasis3 2 2 2 2 2 2 3 2 2 4" xfId="7294" xr:uid="{56C51EEA-9B63-4956-8F5D-AF3CD8F31792}"/>
    <cellStyle name="40% - Énfasis3 2 2 2 2 2 2 3 2 2 5" xfId="7295" xr:uid="{0BD4CF24-CCB1-4B5F-805E-66E5FA1EBF50}"/>
    <cellStyle name="40% - Énfasis3 2 2 2 2 2 2 3 2 3" xfId="7296" xr:uid="{029E663E-D885-49F1-949E-544F848D48BF}"/>
    <cellStyle name="40% - Énfasis3 2 2 2 2 2 2 3 2 4" xfId="7297" xr:uid="{7CAD0E50-7380-426B-809C-277A43CB0A45}"/>
    <cellStyle name="40% - Énfasis3 2 2 2 2 2 2 3 2 5" xfId="7298" xr:uid="{9838FA04-9DE4-49C7-9300-1956F489AC8F}"/>
    <cellStyle name="40% - Énfasis3 2 2 2 2 2 2 3 2 6" xfId="7299" xr:uid="{5B46071F-9FF5-40A0-BF65-1FEDC2B559B3}"/>
    <cellStyle name="40% - Énfasis3 2 2 2 2 2 2 3 2 7" xfId="7300" xr:uid="{AAE6E819-61EA-4C7B-BC27-0005D84047A7}"/>
    <cellStyle name="40% - Énfasis3 2 2 2 2 2 2 3 2 8" xfId="7301" xr:uid="{E43EDBBE-DF35-4E10-A6E6-649C5CF56688}"/>
    <cellStyle name="40% - Énfasis3 2 2 2 2 2 2 3 2 9" xfId="7302" xr:uid="{5F57E611-1EDD-4306-9C79-1A9F84B780CF}"/>
    <cellStyle name="40% - Énfasis3 2 2 2 2 2 2 3 3" xfId="7303" xr:uid="{84D1BF38-BD95-443D-AD2A-2A7631E54C14}"/>
    <cellStyle name="40% - Énfasis3 2 2 2 2 2 2 3 3 2" xfId="7304" xr:uid="{8391F4FA-48AF-4A18-B277-F12162B001CE}"/>
    <cellStyle name="40% - Énfasis3 2 2 2 2 2 2 3 3 2 2" xfId="7305" xr:uid="{DB20786A-D898-4436-8F83-01BD247BC91E}"/>
    <cellStyle name="40% - Énfasis3 2 2 2 2 2 2 3 3 2 3" xfId="7306" xr:uid="{B9717EE4-ADFB-434A-93AE-2EAFEA7BDABF}"/>
    <cellStyle name="40% - Énfasis3 2 2 2 2 2 2 3 3 2 4" xfId="7307" xr:uid="{D112FEAC-8E69-49DA-B8BE-55065E0F7111}"/>
    <cellStyle name="40% - Énfasis3 2 2 2 2 2 2 3 3 2 5" xfId="7308" xr:uid="{29AE7D9F-C79B-4F73-BDB0-E7EC1AEF4E4B}"/>
    <cellStyle name="40% - Énfasis3 2 2 2 2 2 2 3 3 3" xfId="7309" xr:uid="{8083DA75-F2B0-4CE4-A0E7-30FE4E3AC4BE}"/>
    <cellStyle name="40% - Énfasis3 2 2 2 2 2 2 3 3 4" xfId="7310" xr:uid="{B8427F62-51AA-426F-9215-B21DA4D436CF}"/>
    <cellStyle name="40% - Énfasis3 2 2 2 2 2 2 3 3 5" xfId="7311" xr:uid="{6F39B58E-AB45-475B-9B3B-11CCC0CFC7EE}"/>
    <cellStyle name="40% - Énfasis3 2 2 2 2 2 2 3 4" xfId="7312" xr:uid="{435EBCBF-36C8-4969-B5F8-2EA5EB8A0370}"/>
    <cellStyle name="40% - Énfasis3 2 2 2 2 2 2 3 5" xfId="7313" xr:uid="{4462A581-3F7E-4DF3-AFCD-3E1AACB88663}"/>
    <cellStyle name="40% - Énfasis3 2 2 2 2 2 2 3 6" xfId="7314" xr:uid="{DECBDA63-376F-4E4C-99C3-F8FEADFD13EE}"/>
    <cellStyle name="40% - Énfasis3 2 2 2 2 2 2 3 7" xfId="7315" xr:uid="{DF81C301-E0FB-4BD5-983D-A82BA2FD8EA1}"/>
    <cellStyle name="40% - Énfasis3 2 2 2 2 2 2 3 8" xfId="7316" xr:uid="{04609D7D-CFC8-402F-9162-6DBD71749F0B}"/>
    <cellStyle name="40% - Énfasis3 2 2 2 2 2 2 3 9" xfId="7317" xr:uid="{9580EF37-2DDA-4D23-8743-E4EB064A4818}"/>
    <cellStyle name="40% - Énfasis3 2 2 2 2 2 2 4" xfId="7318" xr:uid="{CFCC4926-4E8B-4AF5-A324-98FA0353C5AE}"/>
    <cellStyle name="40% - Énfasis3 2 2 2 2 2 2 5" xfId="7319" xr:uid="{039484A0-4C7D-448B-A02A-354160A5BC2A}"/>
    <cellStyle name="40% - Énfasis3 2 2 2 2 2 2 6" xfId="7320" xr:uid="{5EFDCEC0-B9EE-408F-8345-11354C6C13CA}"/>
    <cellStyle name="40% - Énfasis3 2 2 2 2 2 2 7" xfId="44143" xr:uid="{8BE9E674-317F-4513-9C8D-34E8088DB3C5}"/>
    <cellStyle name="40% - Énfasis3 2 2 2 2 2 3" xfId="7321" xr:uid="{51755DA0-04DF-4A17-AA6E-E60D7F8C99DD}"/>
    <cellStyle name="40% - Énfasis3 2 2 2 2 2 3 10" xfId="7322" xr:uid="{E43AE6E4-542C-4DC6-A537-73474A806F72}"/>
    <cellStyle name="40% - Énfasis3 2 2 2 2 2 3 11" xfId="7323" xr:uid="{0D029961-DDB9-468A-8695-E9DFD6912342}"/>
    <cellStyle name="40% - Énfasis3 2 2 2 2 2 3 2" xfId="7324" xr:uid="{82E13C29-BD15-4995-A900-0AFCD7AAA837}"/>
    <cellStyle name="40% - Énfasis3 2 2 2 2 2 3 2 10" xfId="7325" xr:uid="{62B7C4B2-BDF1-4DF1-B3E4-98ED0FDA88CA}"/>
    <cellStyle name="40% - Énfasis3 2 2 2 2 2 3 2 11" xfId="7326" xr:uid="{F1A7A5E8-F1EF-4A8E-96E2-53AC6789C500}"/>
    <cellStyle name="40% - Énfasis3 2 2 2 2 2 3 2 2" xfId="7327" xr:uid="{BE3F870F-DBE2-4909-B532-4745FFF156BD}"/>
    <cellStyle name="40% - Énfasis3 2 2 2 2 2 3 2 2 2" xfId="7328" xr:uid="{51007F02-00CC-4EDB-AECD-51D53CBDDCAD}"/>
    <cellStyle name="40% - Énfasis3 2 2 2 2 2 3 2 2 2 2" xfId="7329" xr:uid="{D489E272-2DE9-4914-AA4B-89820857DF0F}"/>
    <cellStyle name="40% - Énfasis3 2 2 2 2 2 3 2 2 2 3" xfId="7330" xr:uid="{F68FBBDA-01A5-4A15-A232-A051DD30C572}"/>
    <cellStyle name="40% - Énfasis3 2 2 2 2 2 3 2 2 2 4" xfId="7331" xr:uid="{07071B6C-286B-45D7-8541-27D4F0B10E39}"/>
    <cellStyle name="40% - Énfasis3 2 2 2 2 2 3 2 2 2 5" xfId="7332" xr:uid="{2C22981B-1F2C-4587-BB2E-65B64E53C1A2}"/>
    <cellStyle name="40% - Énfasis3 2 2 2 2 2 3 2 2 3" xfId="7333" xr:uid="{33587AE3-E4A6-4F99-9483-4FC70BB5B154}"/>
    <cellStyle name="40% - Énfasis3 2 2 2 2 2 3 2 2 4" xfId="7334" xr:uid="{77A1DF68-DFD3-4905-ADEF-06BDF6BDCC94}"/>
    <cellStyle name="40% - Énfasis3 2 2 2 2 2 3 2 2 5" xfId="7335" xr:uid="{4DE7B685-CA2F-489A-BAFF-D15BD406DE85}"/>
    <cellStyle name="40% - Énfasis3 2 2 2 2 2 3 2 3" xfId="7336" xr:uid="{F97D9054-336D-4382-9135-559148B4C844}"/>
    <cellStyle name="40% - Énfasis3 2 2 2 2 2 3 2 4" xfId="7337" xr:uid="{19210DBE-3792-4451-9CBB-740D246E1E6E}"/>
    <cellStyle name="40% - Énfasis3 2 2 2 2 2 3 2 5" xfId="7338" xr:uid="{C23710C3-889A-4796-B0C7-861B4D39046E}"/>
    <cellStyle name="40% - Énfasis3 2 2 2 2 2 3 2 6" xfId="7339" xr:uid="{40E528CD-834B-4B12-8C4F-5D5E596F81B5}"/>
    <cellStyle name="40% - Énfasis3 2 2 2 2 2 3 2 7" xfId="7340" xr:uid="{80CA31BA-57CF-4B6E-B6AD-C67DFDA3CF06}"/>
    <cellStyle name="40% - Énfasis3 2 2 2 2 2 3 2 8" xfId="7341" xr:uid="{D4FCC38C-F4CA-4CD5-A99F-3DFFF68742A3}"/>
    <cellStyle name="40% - Énfasis3 2 2 2 2 2 3 2 9" xfId="7342" xr:uid="{D91DB70A-09C0-4102-BC0A-B70C38C41EF2}"/>
    <cellStyle name="40% - Énfasis3 2 2 2 2 2 3 3" xfId="7343" xr:uid="{5B87A365-1B2C-4DD1-99AE-CDCB7AA90EEB}"/>
    <cellStyle name="40% - Énfasis3 2 2 2 2 2 3 3 2" xfId="7344" xr:uid="{FBE6B9BD-1A12-4D58-B0B6-25517726C6ED}"/>
    <cellStyle name="40% - Énfasis3 2 2 2 2 2 3 3 2 2" xfId="7345" xr:uid="{06FD49F0-0E02-4F2F-83B6-E82AB04DEC6E}"/>
    <cellStyle name="40% - Énfasis3 2 2 2 2 2 3 3 2 3" xfId="7346" xr:uid="{4E534C28-A58C-479B-9537-19AFEE263B65}"/>
    <cellStyle name="40% - Énfasis3 2 2 2 2 2 3 3 2 4" xfId="7347" xr:uid="{286D1F33-1ADE-4E2F-AF7C-2C9AFA9B3D59}"/>
    <cellStyle name="40% - Énfasis3 2 2 2 2 2 3 3 2 5" xfId="7348" xr:uid="{61099512-8D53-4235-9A0A-A723B4C9FBAC}"/>
    <cellStyle name="40% - Énfasis3 2 2 2 2 2 3 3 3" xfId="7349" xr:uid="{B9569F2B-FF27-4001-A3B1-1BB1CAA98350}"/>
    <cellStyle name="40% - Énfasis3 2 2 2 2 2 3 3 4" xfId="7350" xr:uid="{9180D456-E1BD-4B2F-B21A-D43C100916BF}"/>
    <cellStyle name="40% - Énfasis3 2 2 2 2 2 3 3 5" xfId="7351" xr:uid="{E1189146-02B5-40EE-AF6A-C60C43D062DE}"/>
    <cellStyle name="40% - Énfasis3 2 2 2 2 2 3 4" xfId="7352" xr:uid="{3989A78C-0981-4597-AE53-A624491149E7}"/>
    <cellStyle name="40% - Énfasis3 2 2 2 2 2 3 5" xfId="7353" xr:uid="{C713F4BB-0CD1-4E16-BAD9-677EE9F60AB9}"/>
    <cellStyle name="40% - Énfasis3 2 2 2 2 2 3 6" xfId="7354" xr:uid="{55CDB5B4-4C48-4825-9CA6-430221AAA919}"/>
    <cellStyle name="40% - Énfasis3 2 2 2 2 2 3 7" xfId="7355" xr:uid="{107701FE-5304-49B4-903A-12EF1FFE1CC2}"/>
    <cellStyle name="40% - Énfasis3 2 2 2 2 2 3 8" xfId="7356" xr:uid="{989563EF-4950-48B5-A7CD-1EF747E7AD9E}"/>
    <cellStyle name="40% - Énfasis3 2 2 2 2 2 3 9" xfId="7357" xr:uid="{540A63A6-1A89-47EE-867B-70B4D4B26209}"/>
    <cellStyle name="40% - Énfasis3 2 2 2 2 2 4" xfId="7358" xr:uid="{B68359C5-6D19-4C93-8695-2C7DA8DE5BC0}"/>
    <cellStyle name="40% - Énfasis3 2 2 2 2 2 5" xfId="7359" xr:uid="{BD0F4CC4-017F-482D-B2B9-5AD78841CF4A}"/>
    <cellStyle name="40% - Énfasis3 2 2 2 2 2 6" xfId="7360" xr:uid="{498AD1E4-A559-4625-BFE8-4338697856DC}"/>
    <cellStyle name="40% - Énfasis3 2 2 2 2 2 7" xfId="44142" xr:uid="{2C60C888-F714-4F70-A402-525DC8F6F896}"/>
    <cellStyle name="40% - Énfasis3 2 2 2 2 3" xfId="7361" xr:uid="{1D832E71-3F90-45CC-89AB-C1522157C9C3}"/>
    <cellStyle name="40% - Énfasis3 2 2 2 2 3 2" xfId="7362" xr:uid="{976A7147-0340-49C6-A84C-41664649C301}"/>
    <cellStyle name="40% - Énfasis3 2 2 2 2 3 3" xfId="44144" xr:uid="{FA2E38BF-8E31-43D0-AC85-3A742B83528A}"/>
    <cellStyle name="40% - Énfasis3 2 2 2 2 4" xfId="7363" xr:uid="{47E45D08-7FFF-48A7-8475-5ECE34DAED43}"/>
    <cellStyle name="40% - Énfasis3 2 2 2 2 4 10" xfId="7364" xr:uid="{34FF8051-6571-4AFA-8912-1E00983CB130}"/>
    <cellStyle name="40% - Énfasis3 2 2 2 2 4 11" xfId="7365" xr:uid="{041BA852-149F-42F1-94A5-D4C811A1AB34}"/>
    <cellStyle name="40% - Énfasis3 2 2 2 2 4 2" xfId="7366" xr:uid="{51B0DAC9-F59B-4179-80C5-20045873ECF0}"/>
    <cellStyle name="40% - Énfasis3 2 2 2 2 4 2 10" xfId="7367" xr:uid="{F1426059-F205-41E7-B743-74D47F482370}"/>
    <cellStyle name="40% - Énfasis3 2 2 2 2 4 2 11" xfId="7368" xr:uid="{649DE06E-1B9D-4FF5-9F1F-EC4E831F01B6}"/>
    <cellStyle name="40% - Énfasis3 2 2 2 2 4 2 2" xfId="7369" xr:uid="{ADC6753B-FE92-4CA6-839F-F7BB64F1C7DD}"/>
    <cellStyle name="40% - Énfasis3 2 2 2 2 4 2 2 2" xfId="7370" xr:uid="{DB314EE3-F935-4E0D-89C4-736E8E10C8A4}"/>
    <cellStyle name="40% - Énfasis3 2 2 2 2 4 2 2 2 2" xfId="7371" xr:uid="{45ABEC2C-C7D1-4A25-9479-7A18510AEADA}"/>
    <cellStyle name="40% - Énfasis3 2 2 2 2 4 2 2 2 3" xfId="7372" xr:uid="{4564E423-69A8-4DC6-B63E-1635BD1D5290}"/>
    <cellStyle name="40% - Énfasis3 2 2 2 2 4 2 2 2 4" xfId="7373" xr:uid="{282FBCD0-EF4F-4B2D-8887-11387D5D8D5B}"/>
    <cellStyle name="40% - Énfasis3 2 2 2 2 4 2 2 2 5" xfId="7374" xr:uid="{9C9BECD1-C656-449A-8672-E96111452B57}"/>
    <cellStyle name="40% - Énfasis3 2 2 2 2 4 2 2 3" xfId="7375" xr:uid="{4304E25B-FB5C-407F-A1D2-E81F1D1D2E62}"/>
    <cellStyle name="40% - Énfasis3 2 2 2 2 4 2 2 4" xfId="7376" xr:uid="{F417B9DA-BACE-4D2C-8D93-3992369D842E}"/>
    <cellStyle name="40% - Énfasis3 2 2 2 2 4 2 2 5" xfId="7377" xr:uid="{F28BFDD6-042B-4162-BB63-4A0072F04269}"/>
    <cellStyle name="40% - Énfasis3 2 2 2 2 4 2 3" xfId="7378" xr:uid="{E448EBF4-4C03-4075-914F-620BB2503FC7}"/>
    <cellStyle name="40% - Énfasis3 2 2 2 2 4 2 4" xfId="7379" xr:uid="{20A97B97-07B9-404B-88E4-5C594D577CE4}"/>
    <cellStyle name="40% - Énfasis3 2 2 2 2 4 2 5" xfId="7380" xr:uid="{D8544B3E-B137-4460-9280-39803A94BC9A}"/>
    <cellStyle name="40% - Énfasis3 2 2 2 2 4 2 6" xfId="7381" xr:uid="{F3BA61B0-9D0A-4341-90DC-F371A85356E1}"/>
    <cellStyle name="40% - Énfasis3 2 2 2 2 4 2 7" xfId="7382" xr:uid="{71EE8061-5B26-42A5-B562-BD1C45E83413}"/>
    <cellStyle name="40% - Énfasis3 2 2 2 2 4 2 8" xfId="7383" xr:uid="{9AD715B3-FD18-43BA-AC9F-F6A89648D6E6}"/>
    <cellStyle name="40% - Énfasis3 2 2 2 2 4 2 9" xfId="7384" xr:uid="{FDB4943A-DFAB-48FF-8849-47BAF9513F3B}"/>
    <cellStyle name="40% - Énfasis3 2 2 2 2 4 3" xfId="7385" xr:uid="{034F6297-5FC8-4831-9F7D-591F50F5F302}"/>
    <cellStyle name="40% - Énfasis3 2 2 2 2 4 3 2" xfId="7386" xr:uid="{377A8097-826F-41CE-AB0F-C5B3D72AABDB}"/>
    <cellStyle name="40% - Énfasis3 2 2 2 2 4 3 2 2" xfId="7387" xr:uid="{386744B0-39B9-4945-AB25-CDA4269A7E78}"/>
    <cellStyle name="40% - Énfasis3 2 2 2 2 4 3 2 3" xfId="7388" xr:uid="{32596F90-CC62-4C96-A231-3808D2590668}"/>
    <cellStyle name="40% - Énfasis3 2 2 2 2 4 3 2 4" xfId="7389" xr:uid="{F589642A-2BCB-4E3C-B706-8B227E11609B}"/>
    <cellStyle name="40% - Énfasis3 2 2 2 2 4 3 2 5" xfId="7390" xr:uid="{E2A98BB0-E389-4800-9515-468318720AE0}"/>
    <cellStyle name="40% - Énfasis3 2 2 2 2 4 3 3" xfId="7391" xr:uid="{B47FA32D-8550-4B01-9975-40AA4D27AE3D}"/>
    <cellStyle name="40% - Énfasis3 2 2 2 2 4 3 4" xfId="7392" xr:uid="{E88CCE40-E420-4B74-9CB7-4105B4CA656F}"/>
    <cellStyle name="40% - Énfasis3 2 2 2 2 4 3 5" xfId="7393" xr:uid="{DA325F3A-92E3-4E0A-99EF-BF527051879B}"/>
    <cellStyle name="40% - Énfasis3 2 2 2 2 4 4" xfId="7394" xr:uid="{CF535ED8-7859-4F91-B3A5-77158C17FBC0}"/>
    <cellStyle name="40% - Énfasis3 2 2 2 2 4 5" xfId="7395" xr:uid="{E40FA462-39D5-43D3-9AE2-D1A24C4BA787}"/>
    <cellStyle name="40% - Énfasis3 2 2 2 2 4 6" xfId="7396" xr:uid="{53BE76B7-F538-4A32-BECB-38CAF50608BD}"/>
    <cellStyle name="40% - Énfasis3 2 2 2 2 4 7" xfId="7397" xr:uid="{2371CDE8-2115-453B-B8CD-EC79FFE34DB1}"/>
    <cellStyle name="40% - Énfasis3 2 2 2 2 4 8" xfId="7398" xr:uid="{54BA1036-9271-4126-8097-7C79DAAF8ED1}"/>
    <cellStyle name="40% - Énfasis3 2 2 2 2 4 9" xfId="7399" xr:uid="{34741464-89F5-49A4-9254-FA578B5AAF83}"/>
    <cellStyle name="40% - Énfasis3 2 2 2 2 5" xfId="7400" xr:uid="{FF37E270-110B-4679-B943-2DAD77C03D57}"/>
    <cellStyle name="40% - Énfasis3 2 2 2 2 6" xfId="7401" xr:uid="{49CA3E5C-BBF5-428E-87F0-C5D12562ACAD}"/>
    <cellStyle name="40% - Énfasis3 2 2 2 2 7" xfId="7402" xr:uid="{46960AB0-62D8-48C8-86EB-2BE3091E55F7}"/>
    <cellStyle name="40% - Énfasis3 2 2 2 2 8" xfId="44141" xr:uid="{CA9CFEDB-A37B-4CC4-A4FF-D32DD128FCAB}"/>
    <cellStyle name="40% - Énfasis3 2 2 2 3" xfId="7403" xr:uid="{A10C5092-778F-4531-B488-AA4290EEFCA5}"/>
    <cellStyle name="40% - Énfasis3 2 2 2 3 2" xfId="7404" xr:uid="{112359B2-E302-411C-B425-0952D76546D0}"/>
    <cellStyle name="40% - Énfasis3 2 2 2 3 2 2" xfId="44146" xr:uid="{C64497B2-2C98-4042-9185-89FF05E96BE9}"/>
    <cellStyle name="40% - Énfasis3 2 2 2 3 3" xfId="44145" xr:uid="{1A05FB54-0BC6-485B-8979-760E3E96ECCC}"/>
    <cellStyle name="40% - Énfasis3 2 2 2 4" xfId="7405" xr:uid="{35879C71-4304-429E-A2BF-D18EFF4AE9CC}"/>
    <cellStyle name="40% - Énfasis3 2 2 2 4 2" xfId="7406" xr:uid="{67B9B7DE-C418-4AA2-A4B3-4CCB06DFAB17}"/>
    <cellStyle name="40% - Énfasis3 2 2 2 4 3" xfId="44147" xr:uid="{28AA97CF-AC63-4859-A835-28A5FBBC0509}"/>
    <cellStyle name="40% - Énfasis3 2 2 2 5" xfId="7407" xr:uid="{08B69E8C-3FFB-432C-9A55-4C5D28B2152F}"/>
    <cellStyle name="40% - Énfasis3 2 2 2 5 10" xfId="7408" xr:uid="{D2E183EC-28B4-4C63-AEED-D2EA9AE39135}"/>
    <cellStyle name="40% - Énfasis3 2 2 2 5 11" xfId="7409" xr:uid="{4947B1FE-AD16-4C7D-9812-37BEAC15F8E4}"/>
    <cellStyle name="40% - Énfasis3 2 2 2 5 2" xfId="7410" xr:uid="{B0DE134C-A3E7-40D3-B630-78D547113F30}"/>
    <cellStyle name="40% - Énfasis3 2 2 2 5 2 10" xfId="7411" xr:uid="{D84ABA2A-F375-477B-BBD8-327885996FE7}"/>
    <cellStyle name="40% - Énfasis3 2 2 2 5 2 11" xfId="7412" xr:uid="{6697766E-B98A-4699-B381-22685B0CFB46}"/>
    <cellStyle name="40% - Énfasis3 2 2 2 5 2 2" xfId="7413" xr:uid="{EA8D552F-400C-453E-88DA-92137E2DA618}"/>
    <cellStyle name="40% - Énfasis3 2 2 2 5 2 2 2" xfId="7414" xr:uid="{23EBFC32-73FC-49D9-88F4-4E0112984F6C}"/>
    <cellStyle name="40% - Énfasis3 2 2 2 5 2 2 2 2" xfId="7415" xr:uid="{BEA0177E-A9CE-424E-83AD-2533A4AB61AA}"/>
    <cellStyle name="40% - Énfasis3 2 2 2 5 2 2 2 3" xfId="7416" xr:uid="{E46BD024-499F-46A0-89CE-E678B3DEFD69}"/>
    <cellStyle name="40% - Énfasis3 2 2 2 5 2 2 2 4" xfId="7417" xr:uid="{5292FEC4-27DD-4515-8FE1-81C6DF1C1876}"/>
    <cellStyle name="40% - Énfasis3 2 2 2 5 2 2 2 5" xfId="7418" xr:uid="{4A233321-C01E-4B7D-AC85-73814D468995}"/>
    <cellStyle name="40% - Énfasis3 2 2 2 5 2 2 3" xfId="7419" xr:uid="{332062B4-EF16-4C9B-A91E-BC2A3BB84EE6}"/>
    <cellStyle name="40% - Énfasis3 2 2 2 5 2 2 4" xfId="7420" xr:uid="{4C38D631-5AF9-445E-A72B-153E9C3B9CEB}"/>
    <cellStyle name="40% - Énfasis3 2 2 2 5 2 2 5" xfId="7421" xr:uid="{9D0ABF86-3756-4A45-9A38-64953ADFFFAB}"/>
    <cellStyle name="40% - Énfasis3 2 2 2 5 2 3" xfId="7422" xr:uid="{76F3F49E-1A9A-4D5E-AD78-82F901A09756}"/>
    <cellStyle name="40% - Énfasis3 2 2 2 5 2 4" xfId="7423" xr:uid="{96EB34A1-C785-44E2-9E2F-D6A3AF8006CF}"/>
    <cellStyle name="40% - Énfasis3 2 2 2 5 2 5" xfId="7424" xr:uid="{CBD39BD7-D14E-4FD0-98D6-5EB20FE33B35}"/>
    <cellStyle name="40% - Énfasis3 2 2 2 5 2 6" xfId="7425" xr:uid="{E78CE24E-BF87-443F-874B-B10E834E6C0D}"/>
    <cellStyle name="40% - Énfasis3 2 2 2 5 2 7" xfId="7426" xr:uid="{B553C200-0077-46FE-BA6E-F99022767CAD}"/>
    <cellStyle name="40% - Énfasis3 2 2 2 5 2 8" xfId="7427" xr:uid="{CBF2F884-923A-4FE2-84A5-C3542983369F}"/>
    <cellStyle name="40% - Énfasis3 2 2 2 5 2 9" xfId="7428" xr:uid="{EAF04253-2DAE-47A3-B66D-8B4704EA1E80}"/>
    <cellStyle name="40% - Énfasis3 2 2 2 5 3" xfId="7429" xr:uid="{13E5D758-2FA2-43A8-85AC-D86AEE899FD4}"/>
    <cellStyle name="40% - Énfasis3 2 2 2 5 3 2" xfId="7430" xr:uid="{248CAD04-9299-4A6F-844C-BDCBFC6F64F9}"/>
    <cellStyle name="40% - Énfasis3 2 2 2 5 3 2 2" xfId="7431" xr:uid="{41821183-1A1E-40B0-9D2F-5F4596164465}"/>
    <cellStyle name="40% - Énfasis3 2 2 2 5 3 2 3" xfId="7432" xr:uid="{F31C6607-F002-459C-A09E-6EB1D18C26DE}"/>
    <cellStyle name="40% - Énfasis3 2 2 2 5 3 2 4" xfId="7433" xr:uid="{CF4DFEF6-48AD-4566-B0C3-34227E9B5CA7}"/>
    <cellStyle name="40% - Énfasis3 2 2 2 5 3 2 5" xfId="7434" xr:uid="{134C0D53-A5E6-4F3F-AE5D-63624975B368}"/>
    <cellStyle name="40% - Énfasis3 2 2 2 5 3 3" xfId="7435" xr:uid="{D0E12E0B-E24D-4575-88CF-EB67BC4DEFE6}"/>
    <cellStyle name="40% - Énfasis3 2 2 2 5 3 4" xfId="7436" xr:uid="{3EF89939-7063-4089-B186-9364FAB17834}"/>
    <cellStyle name="40% - Énfasis3 2 2 2 5 3 5" xfId="7437" xr:uid="{6A6C2FA6-30F2-4762-9626-8332DF3B2D68}"/>
    <cellStyle name="40% - Énfasis3 2 2 2 5 4" xfId="7438" xr:uid="{BE754951-605E-4B46-A5AE-E77EB0E11C24}"/>
    <cellStyle name="40% - Énfasis3 2 2 2 5 5" xfId="7439" xr:uid="{9401DD66-CC26-4E09-BD25-91CA9B664A68}"/>
    <cellStyle name="40% - Énfasis3 2 2 2 5 6" xfId="7440" xr:uid="{F791B729-8BA9-4DF8-9612-A6447E4B3669}"/>
    <cellStyle name="40% - Énfasis3 2 2 2 5 7" xfId="7441" xr:uid="{23049013-C598-4AA8-9A4D-1480EDFFDA77}"/>
    <cellStyle name="40% - Énfasis3 2 2 2 5 8" xfId="7442" xr:uid="{039A5049-2F49-4B50-9E8F-D1CF684A2750}"/>
    <cellStyle name="40% - Énfasis3 2 2 2 5 9" xfId="7443" xr:uid="{3510D42E-ACCD-4E3E-84B3-F83CD0247853}"/>
    <cellStyle name="40% - Énfasis3 2 2 2 6" xfId="7444" xr:uid="{65C3F562-359E-4E4F-815F-03F8578079EE}"/>
    <cellStyle name="40% - Énfasis3 2 2 2 7" xfId="7445" xr:uid="{E104638C-11E7-4963-B61D-52E0CE7A18B0}"/>
    <cellStyle name="40% - Énfasis3 2 2 2 8" xfId="7446" xr:uid="{4A541B11-CC2D-44DA-8627-DAD66F4522D3}"/>
    <cellStyle name="40% - Énfasis3 2 2 2 9" xfId="44140" xr:uid="{23CE6618-B7BE-4BE6-839C-007CA2DAD086}"/>
    <cellStyle name="40% - Énfasis3 2 2 3" xfId="7447" xr:uid="{D2EA813C-0022-44C5-AB35-C04EE601D4A0}"/>
    <cellStyle name="40% - Énfasis3 2 2 3 2" xfId="7448" xr:uid="{86BF1859-F0A4-4C3B-8176-79871F3A88F1}"/>
    <cellStyle name="40% - Énfasis3 2 2 3 2 2" xfId="44150" xr:uid="{139FA355-F814-4521-B5C2-190ED6BD44A8}"/>
    <cellStyle name="40% - Énfasis3 2 2 3 2 3" xfId="44149" xr:uid="{E83D4575-B873-40C1-AEF7-316E095B962D}"/>
    <cellStyle name="40% - Énfasis3 2 2 3 3" xfId="44151" xr:uid="{E8EB3783-21EC-4DB6-9BB1-7E0EA5A490DE}"/>
    <cellStyle name="40% - Énfasis3 2 2 3 4" xfId="44148" xr:uid="{248AFE2D-2B39-4853-9066-DD27C5912DDA}"/>
    <cellStyle name="40% - Énfasis3 2 2 4" xfId="7449" xr:uid="{F5E51126-52E2-45EC-8BED-B92B32637D84}"/>
    <cellStyle name="40% - Énfasis3 2 2 4 2" xfId="7450" xr:uid="{D095DCAA-F434-414C-982F-5F1A551C31DF}"/>
    <cellStyle name="40% - Énfasis3 2 2 4 2 2" xfId="44153" xr:uid="{89AA8CF9-9C58-4904-8F94-7382AAA029DD}"/>
    <cellStyle name="40% - Énfasis3 2 2 4 3" xfId="44152" xr:uid="{A892D049-9043-44D4-8B1F-0B2E11B7164A}"/>
    <cellStyle name="40% - Énfasis3 2 2 5" xfId="7451" xr:uid="{A1CF0730-6E76-48A3-BFB4-07AC24EC8C39}"/>
    <cellStyle name="40% - Énfasis3 2 2 5 2" xfId="7452" xr:uid="{84D2739C-8046-4021-84BA-9843E66D0D2F}"/>
    <cellStyle name="40% - Énfasis3 2 2 5 3" xfId="44154" xr:uid="{4991384A-EF27-4C62-A45F-94EBEFB2F32E}"/>
    <cellStyle name="40% - Énfasis3 2 2 6" xfId="7453" xr:uid="{5DAFAB77-F157-4A76-B319-30CD6A926CD6}"/>
    <cellStyle name="40% - Énfasis3 2 2 6 2" xfId="7454" xr:uid="{01F656C8-1E73-4414-A3AF-E36016E7E4E9}"/>
    <cellStyle name="40% - Énfasis3 2 2 7" xfId="7455" xr:uid="{7E7DABEB-80DA-42D7-90B1-9207EAA3B4CE}"/>
    <cellStyle name="40% - Énfasis3 2 2 7 2" xfId="7456" xr:uid="{F516C255-B39F-4C3A-8A8A-E2A154BBF62F}"/>
    <cellStyle name="40% - Énfasis3 2 2 8" xfId="7457" xr:uid="{7FAD9B2C-EB1F-4866-B7B1-ED0B90FAD187}"/>
    <cellStyle name="40% - Énfasis3 2 2 8 2" xfId="7458" xr:uid="{FFB413A4-FD6A-4DD2-9DDA-87044171A0BF}"/>
    <cellStyle name="40% - Énfasis3 2 2 8 2 2" xfId="7459" xr:uid="{ECBF7833-1A16-4BD2-A1BB-34DD43364D62}"/>
    <cellStyle name="40% - Énfasis3 2 2 8 3" xfId="7460" xr:uid="{F17CF158-EAFB-4778-B7C9-46C8181A0A5E}"/>
    <cellStyle name="40% - Énfasis3 2 2 9" xfId="7461" xr:uid="{D2A66CFF-6570-40AA-9B19-43A5069D2AAA}"/>
    <cellStyle name="40% - Énfasis3 2 2 9 2" xfId="7462" xr:uid="{57D45EF4-BC9A-4460-B985-5C078B0F896A}"/>
    <cellStyle name="40% - Énfasis3 2 3" xfId="7463" xr:uid="{CD89A6E1-D9C1-434D-AB51-FB09C5924080}"/>
    <cellStyle name="40% - Énfasis3 2 3 2" xfId="7464" xr:uid="{C37421B3-E86E-4984-8F53-F00B7470C54C}"/>
    <cellStyle name="40% - Énfasis3 2 3 2 2" xfId="44157" xr:uid="{91CF3826-BFF6-4CB1-9B70-CF87183942F3}"/>
    <cellStyle name="40% - Énfasis3 2 3 2 2 2" xfId="44158" xr:uid="{52EE4F69-4DD6-4795-8BC5-896E951AF764}"/>
    <cellStyle name="40% - Énfasis3 2 3 2 3" xfId="44159" xr:uid="{8804B355-E708-440D-9328-DA61D10F04DF}"/>
    <cellStyle name="40% - Énfasis3 2 3 2 4" xfId="44156" xr:uid="{24843C8D-7388-444A-93AC-14A84BAC8576}"/>
    <cellStyle name="40% - Énfasis3 2 3 3" xfId="44160" xr:uid="{9063206F-261E-44CC-94DD-AD81C4873FDB}"/>
    <cellStyle name="40% - Énfasis3 2 3 3 2" xfId="44161" xr:uid="{8392BB6F-73B9-4015-AC0D-0F4F0D24CB93}"/>
    <cellStyle name="40% - Énfasis3 2 3 4" xfId="44162" xr:uid="{F4264659-99ED-4F79-82AE-0C084A3C8A95}"/>
    <cellStyle name="40% - Énfasis3 2 3 5" xfId="44155" xr:uid="{CE7B1E23-DCAC-4327-950E-DF0AC39EAB2F}"/>
    <cellStyle name="40% - Énfasis3 2 4" xfId="7465" xr:uid="{28528A89-0AE7-4E73-ACD7-D6378D3AFCCA}"/>
    <cellStyle name="40% - Énfasis3 2 4 10" xfId="7466" xr:uid="{5FA5DDB8-1D36-46AF-8B9D-8190A64F771C}"/>
    <cellStyle name="40% - Énfasis3 2 4 11" xfId="7467" xr:uid="{FC80BC43-C3C6-46BF-ACA2-B8B4DA6E69BC}"/>
    <cellStyle name="40% - Énfasis3 2 4 12" xfId="7468" xr:uid="{E878D862-1A0A-4F00-BB94-FBEF1B821F52}"/>
    <cellStyle name="40% - Énfasis3 2 4 13" xfId="44163" xr:uid="{24615813-7D3A-49B0-93D3-CDFE2BC11D8B}"/>
    <cellStyle name="40% - Énfasis3 2 4 2" xfId="7469" xr:uid="{40C1C58A-7B80-404E-B299-968563305464}"/>
    <cellStyle name="40% - Énfasis3 2 4 2 10" xfId="7470" xr:uid="{2ECE0371-F27F-4D78-9668-CE05348FA9E7}"/>
    <cellStyle name="40% - Énfasis3 2 4 2 11" xfId="7471" xr:uid="{1B757E0A-13C9-46B0-BE59-467F779AC468}"/>
    <cellStyle name="40% - Énfasis3 2 4 2 12" xfId="7472" xr:uid="{88FB09B3-21FC-42A1-B635-C09C127F2C6D}"/>
    <cellStyle name="40% - Énfasis3 2 4 2 13" xfId="44164" xr:uid="{F9ABFA43-78C0-4826-8F6A-CD8B78D53CD9}"/>
    <cellStyle name="40% - Énfasis3 2 4 2 2" xfId="7473" xr:uid="{2725A133-9A95-4E10-8E00-C5467219F7CE}"/>
    <cellStyle name="40% - Énfasis3 2 4 2 2 10" xfId="7474" xr:uid="{FB9AE998-1D8F-4B7B-B400-AE6D4DEB110B}"/>
    <cellStyle name="40% - Énfasis3 2 4 2 2 11" xfId="7475" xr:uid="{9F5162EA-5BBF-4784-BDA5-851BE05563FE}"/>
    <cellStyle name="40% - Énfasis3 2 4 2 2 12" xfId="44165" xr:uid="{63E69C37-6217-4C27-B29A-6A78CEE199F0}"/>
    <cellStyle name="40% - Énfasis3 2 4 2 2 2" xfId="7476" xr:uid="{995CD4F8-DC60-468B-8C69-0A2E560C3038}"/>
    <cellStyle name="40% - Énfasis3 2 4 2 2 2 10" xfId="7477" xr:uid="{F3309225-F9B9-4BF1-983F-D3D53E14E223}"/>
    <cellStyle name="40% - Énfasis3 2 4 2 2 2 11" xfId="7478" xr:uid="{4668569D-B9F3-4F08-83B2-E679BC9F77D0}"/>
    <cellStyle name="40% - Énfasis3 2 4 2 2 2 2" xfId="7479" xr:uid="{9C9912CB-AAE8-4788-AC43-B1BB744211FB}"/>
    <cellStyle name="40% - Énfasis3 2 4 2 2 2 2 2" xfId="7480" xr:uid="{021A70D7-515B-4740-A71F-4BD6E4DFCE6A}"/>
    <cellStyle name="40% - Énfasis3 2 4 2 2 2 2 2 2" xfId="7481" xr:uid="{5C888751-DCBE-4FB1-B0B6-590F671A715F}"/>
    <cellStyle name="40% - Énfasis3 2 4 2 2 2 2 2 3" xfId="7482" xr:uid="{F1B90D3B-46AC-4312-B833-386FF64F3D7D}"/>
    <cellStyle name="40% - Énfasis3 2 4 2 2 2 2 2 4" xfId="7483" xr:uid="{773BBEAF-F0FE-4A30-B19A-99327733D976}"/>
    <cellStyle name="40% - Énfasis3 2 4 2 2 2 2 2 5" xfId="7484" xr:uid="{E7B6F35B-009A-4FE2-AB1F-E8625F6FECD6}"/>
    <cellStyle name="40% - Énfasis3 2 4 2 2 2 2 3" xfId="7485" xr:uid="{1A32B3EB-6AF5-42CB-9B63-EF3F6317E4E8}"/>
    <cellStyle name="40% - Énfasis3 2 4 2 2 2 2 4" xfId="7486" xr:uid="{212F1E9D-528B-4D60-A304-4C5701263674}"/>
    <cellStyle name="40% - Énfasis3 2 4 2 2 2 2 5" xfId="7487" xr:uid="{DDB9E855-660A-4801-86CE-3DA757030726}"/>
    <cellStyle name="40% - Énfasis3 2 4 2 2 2 3" xfId="7488" xr:uid="{38D6875E-202F-47F4-AA45-A8DBBE7581C5}"/>
    <cellStyle name="40% - Énfasis3 2 4 2 2 2 4" xfId="7489" xr:uid="{102F84FB-BA01-4532-88F5-31A59090A85B}"/>
    <cellStyle name="40% - Énfasis3 2 4 2 2 2 5" xfId="7490" xr:uid="{9075FFFB-455E-493A-B478-5085FB6DAE1E}"/>
    <cellStyle name="40% - Énfasis3 2 4 2 2 2 6" xfId="7491" xr:uid="{A0DB1B23-B191-48F3-944C-E4564AE0279C}"/>
    <cellStyle name="40% - Énfasis3 2 4 2 2 2 7" xfId="7492" xr:uid="{5B3E20DE-E4CF-451F-B609-9CB782F2C524}"/>
    <cellStyle name="40% - Énfasis3 2 4 2 2 2 8" xfId="7493" xr:uid="{4BC6A200-A2D8-46BC-B50D-F474B52890A6}"/>
    <cellStyle name="40% - Énfasis3 2 4 2 2 2 9" xfId="7494" xr:uid="{B0CDBE7D-5365-45DF-AEF0-2EA67D480F70}"/>
    <cellStyle name="40% - Énfasis3 2 4 2 2 3" xfId="7495" xr:uid="{ECA9AB92-1B06-4497-A670-CA8FB799D998}"/>
    <cellStyle name="40% - Énfasis3 2 4 2 2 3 2" xfId="7496" xr:uid="{73B51DF1-2E03-4BDE-BA14-7BA432ED50C9}"/>
    <cellStyle name="40% - Énfasis3 2 4 2 2 3 2 2" xfId="7497" xr:uid="{493F3BAC-90D2-4692-89D9-E7AF04904558}"/>
    <cellStyle name="40% - Énfasis3 2 4 2 2 3 2 3" xfId="7498" xr:uid="{D415C7E6-F21F-4FD1-8461-9B2E3F44EA95}"/>
    <cellStyle name="40% - Énfasis3 2 4 2 2 3 2 4" xfId="7499" xr:uid="{1859ED21-8A6B-4CB0-9D52-B412B6B1CB8E}"/>
    <cellStyle name="40% - Énfasis3 2 4 2 2 3 2 5" xfId="7500" xr:uid="{215A5A61-D10C-41E2-84DE-E927A0352A40}"/>
    <cellStyle name="40% - Énfasis3 2 4 2 2 3 3" xfId="7501" xr:uid="{F4F96AE8-E48B-4B31-8900-AF2AF7DEB044}"/>
    <cellStyle name="40% - Énfasis3 2 4 2 2 3 4" xfId="7502" xr:uid="{58CE27CC-A807-4FB1-B2ED-3F90F9FEFDD8}"/>
    <cellStyle name="40% - Énfasis3 2 4 2 2 3 5" xfId="7503" xr:uid="{EA24389D-B890-4FCE-8DEC-157A66EAC4CB}"/>
    <cellStyle name="40% - Énfasis3 2 4 2 2 4" xfId="7504" xr:uid="{DCE27546-0ECE-4357-A0E7-E65D8A63278A}"/>
    <cellStyle name="40% - Énfasis3 2 4 2 2 5" xfId="7505" xr:uid="{34024412-1288-47E8-8C2B-95FBD9B8AB18}"/>
    <cellStyle name="40% - Énfasis3 2 4 2 2 6" xfId="7506" xr:uid="{1056C49A-42D8-4495-9D31-42C9430D6F1F}"/>
    <cellStyle name="40% - Énfasis3 2 4 2 2 7" xfId="7507" xr:uid="{EE53C1C1-81FC-452D-9C2A-FEBC02F59869}"/>
    <cellStyle name="40% - Énfasis3 2 4 2 2 8" xfId="7508" xr:uid="{BC87D123-0FF7-4F2C-A0CC-92B1EA5F4BEF}"/>
    <cellStyle name="40% - Énfasis3 2 4 2 2 9" xfId="7509" xr:uid="{ACE56222-40EC-4CB6-BABE-EF9CA99B3281}"/>
    <cellStyle name="40% - Énfasis3 2 4 2 3" xfId="7510" xr:uid="{134BEA0C-FA68-4333-B79D-C552BE5A7F32}"/>
    <cellStyle name="40% - Énfasis3 2 4 2 3 2" xfId="7511" xr:uid="{0D9DC804-C36B-4CCE-8183-960451FEB8B6}"/>
    <cellStyle name="40% - Énfasis3 2 4 2 3 2 2" xfId="7512" xr:uid="{E9DF1875-7AB0-44C6-9C97-ED03A4E6F345}"/>
    <cellStyle name="40% - Énfasis3 2 4 2 3 2 3" xfId="7513" xr:uid="{339F2C77-D623-45C1-BFB5-A78FBD4D5235}"/>
    <cellStyle name="40% - Énfasis3 2 4 2 3 2 4" xfId="7514" xr:uid="{A64E7613-1FEE-4642-9A85-20CADD3050B6}"/>
    <cellStyle name="40% - Énfasis3 2 4 2 3 2 5" xfId="7515" xr:uid="{FC61DAD9-9BEE-4AB5-AAAB-C7A2163AB335}"/>
    <cellStyle name="40% - Énfasis3 2 4 2 3 3" xfId="7516" xr:uid="{E0CC94F1-5414-4F5C-9453-13DCAD0CFAD6}"/>
    <cellStyle name="40% - Énfasis3 2 4 2 3 4" xfId="7517" xr:uid="{96CA9437-A476-44F6-B3A7-ABB0AE63F80D}"/>
    <cellStyle name="40% - Énfasis3 2 4 2 3 5" xfId="7518" xr:uid="{C27BBB42-3D36-4C3C-BC77-2C8E9762C200}"/>
    <cellStyle name="40% - Énfasis3 2 4 2 4" xfId="7519" xr:uid="{7C6ECBC0-BC67-49E9-B05F-A686718CFA12}"/>
    <cellStyle name="40% - Énfasis3 2 4 2 5" xfId="7520" xr:uid="{48A44D99-647A-4894-AB37-1EAA8BF7E26D}"/>
    <cellStyle name="40% - Énfasis3 2 4 2 6" xfId="7521" xr:uid="{FF999CE0-345E-4434-BF29-4A80BBAA83AB}"/>
    <cellStyle name="40% - Énfasis3 2 4 2 7" xfId="7522" xr:uid="{FE6A2A70-E393-4987-A01F-D95C00F2DBC0}"/>
    <cellStyle name="40% - Énfasis3 2 4 2 8" xfId="7523" xr:uid="{FC443854-5836-432C-8464-445CE322577D}"/>
    <cellStyle name="40% - Énfasis3 2 4 2 9" xfId="7524" xr:uid="{77288EB5-4C49-472D-8F87-7CB80DE7548C}"/>
    <cellStyle name="40% - Énfasis3 2 4 3" xfId="7525" xr:uid="{DA0B2BDA-2038-4222-AE60-0B507411C343}"/>
    <cellStyle name="40% - Énfasis3 2 4 3 10" xfId="7526" xr:uid="{44504B7D-9E1B-469D-BA30-E597B55219CD}"/>
    <cellStyle name="40% - Énfasis3 2 4 3 11" xfId="7527" xr:uid="{7537F09A-E737-463D-A346-E122FCF6F5CA}"/>
    <cellStyle name="40% - Énfasis3 2 4 3 12" xfId="44166" xr:uid="{3378541D-3A9C-41A1-BBD9-03D6CB08A654}"/>
    <cellStyle name="40% - Énfasis3 2 4 3 2" xfId="7528" xr:uid="{D563B9AE-169D-44FE-88C3-A3835BFA379A}"/>
    <cellStyle name="40% - Énfasis3 2 4 3 2 2" xfId="7529" xr:uid="{382EB6C5-07FC-4FDF-9CE6-C679AB05E1DF}"/>
    <cellStyle name="40% - Énfasis3 2 4 3 2 2 2" xfId="7530" xr:uid="{C03971FC-D409-44A8-B357-8240FB45F255}"/>
    <cellStyle name="40% - Énfasis3 2 4 3 2 2 3" xfId="7531" xr:uid="{8490879A-F247-4186-8F1C-04DDDD4F5022}"/>
    <cellStyle name="40% - Énfasis3 2 4 3 2 2 4" xfId="7532" xr:uid="{4E377E66-497B-4A4F-B23A-4F00905ACFB1}"/>
    <cellStyle name="40% - Énfasis3 2 4 3 2 2 5" xfId="7533" xr:uid="{86FA161C-AAD7-4B05-9686-D842B9DBA22D}"/>
    <cellStyle name="40% - Énfasis3 2 4 3 2 3" xfId="7534" xr:uid="{90FB2184-0775-49AC-A426-BCD0C1D80628}"/>
    <cellStyle name="40% - Énfasis3 2 4 3 2 4" xfId="7535" xr:uid="{665EBAA1-0A4C-446C-A537-637C4F73BD3C}"/>
    <cellStyle name="40% - Énfasis3 2 4 3 2 5" xfId="7536" xr:uid="{E945DB0B-198D-42E5-9679-2D8795EE479D}"/>
    <cellStyle name="40% - Énfasis3 2 4 3 3" xfId="7537" xr:uid="{0974478F-79DC-4813-B94B-4FB83538E7C0}"/>
    <cellStyle name="40% - Énfasis3 2 4 3 4" xfId="7538" xr:uid="{A8052F7D-4647-4206-9744-88911431FA87}"/>
    <cellStyle name="40% - Énfasis3 2 4 3 5" xfId="7539" xr:uid="{026835D9-D65D-44A1-9AB9-78BA7DC78691}"/>
    <cellStyle name="40% - Énfasis3 2 4 3 6" xfId="7540" xr:uid="{0507605B-7207-4BBE-BEB6-1FA3C5E15C9C}"/>
    <cellStyle name="40% - Énfasis3 2 4 3 7" xfId="7541" xr:uid="{C64C521D-9944-49D0-9E0B-8135F4FFD52F}"/>
    <cellStyle name="40% - Énfasis3 2 4 3 8" xfId="7542" xr:uid="{E18E2809-205A-40E2-954E-5A5F34FD7C24}"/>
    <cellStyle name="40% - Énfasis3 2 4 3 9" xfId="7543" xr:uid="{3963679E-FE11-4185-8E6E-CBDCB4E4039A}"/>
    <cellStyle name="40% - Énfasis3 2 4 4" xfId="7544" xr:uid="{BCED8C1C-70F5-4EF6-B941-A831D3F224D7}"/>
    <cellStyle name="40% - Énfasis3 2 4 4 2" xfId="7545" xr:uid="{495756FD-A167-460F-9384-6107CE7A9EEA}"/>
    <cellStyle name="40% - Énfasis3 2 4 4 2 2" xfId="7546" xr:uid="{4D946A87-7147-46DB-BE60-2AB5E327CBD5}"/>
    <cellStyle name="40% - Énfasis3 2 4 4 2 3" xfId="7547" xr:uid="{26F1CA23-455E-4A08-9E49-43874A14D8D3}"/>
    <cellStyle name="40% - Énfasis3 2 4 4 2 4" xfId="7548" xr:uid="{46419935-B889-441F-AAD4-1AABE0E8C064}"/>
    <cellStyle name="40% - Énfasis3 2 4 4 2 5" xfId="7549" xr:uid="{E839AFC4-9B60-495F-8983-78C18F7646FC}"/>
    <cellStyle name="40% - Énfasis3 2 4 4 3" xfId="7550" xr:uid="{90144155-F501-4646-B7D4-CE6860240226}"/>
    <cellStyle name="40% - Énfasis3 2 4 4 4" xfId="7551" xr:uid="{CD02AE1F-E591-42EE-920A-8DC435DF31E0}"/>
    <cellStyle name="40% - Énfasis3 2 4 4 5" xfId="7552" xr:uid="{6CFA1CC9-DE8E-4CCF-83A1-54ED12B978A9}"/>
    <cellStyle name="40% - Énfasis3 2 4 5" xfId="7553" xr:uid="{FDCBB6D3-B809-4AFF-84BA-10E3B940A148}"/>
    <cellStyle name="40% - Énfasis3 2 4 6" xfId="7554" xr:uid="{45784C79-1566-46FD-9566-4A6F622D3A0F}"/>
    <cellStyle name="40% - Énfasis3 2 4 7" xfId="7555" xr:uid="{65DA665F-5D86-424C-BED9-395E6569AEFC}"/>
    <cellStyle name="40% - Énfasis3 2 4 8" xfId="7556" xr:uid="{D8E05A06-C11A-4BCA-9B32-A2840F56C2DF}"/>
    <cellStyle name="40% - Énfasis3 2 4 9" xfId="7557" xr:uid="{28C816E7-DE35-4BD9-8344-0F34D28E753E}"/>
    <cellStyle name="40% - Énfasis3 2 5" xfId="7558" xr:uid="{4103B9D1-9EDA-4E26-85A3-3F2F48BA1AD0}"/>
    <cellStyle name="40% - Énfasis3 2 5 2" xfId="7559" xr:uid="{FB1B5DA6-A1A9-42BE-A64E-D4DC71FC7BCD}"/>
    <cellStyle name="40% - Énfasis3 2 5 2 2" xfId="44168" xr:uid="{714E2F62-675C-4985-8315-7B98EDBEE7C9}"/>
    <cellStyle name="40% - Énfasis3 2 5 3" xfId="44167" xr:uid="{66F7778E-D4D8-4E52-AD41-73F960AF21D6}"/>
    <cellStyle name="40% - Énfasis3 2 6" xfId="7560" xr:uid="{70EDED38-3192-4294-AD7C-5DDB06280F57}"/>
    <cellStyle name="40% - Énfasis3 2 6 2" xfId="7561" xr:uid="{C3C0627D-725C-48D0-805D-B6A5A2810538}"/>
    <cellStyle name="40% - Énfasis3 2 6 3" xfId="44169" xr:uid="{9988ECA1-42E4-4FCA-9DB8-BBC98CB0B3E8}"/>
    <cellStyle name="40% - Énfasis3 2 7" xfId="7562" xr:uid="{BDC62E23-B0AD-4992-BE5D-A019D3AF0716}"/>
    <cellStyle name="40% - Énfasis3 2 7 2" xfId="7563" xr:uid="{4188D7B3-2BB4-4791-BC42-97BA45645B4B}"/>
    <cellStyle name="40% - Énfasis3 2 8" xfId="7564" xr:uid="{B7CAB8A2-775A-4643-9B10-2E545EB73A21}"/>
    <cellStyle name="40% - Énfasis3 2 8 2" xfId="7565" xr:uid="{22EAEAE3-F70A-4185-B3FE-2A7E185382B2}"/>
    <cellStyle name="40% - Énfasis3 2 8 2 2" xfId="7566" xr:uid="{559C5381-F6B5-4DD6-A85E-F54143627BA5}"/>
    <cellStyle name="40% - Énfasis3 2 8 3" xfId="7567" xr:uid="{A0AEBEC9-DCEF-471D-8AC1-4E9E68BD7B47}"/>
    <cellStyle name="40% - Énfasis3 2 9" xfId="7568" xr:uid="{50E5517C-EEC0-4D89-AB78-8667A46D7C3E}"/>
    <cellStyle name="40% - Énfasis3 2 9 2" xfId="7569" xr:uid="{1C25C7EC-58AD-4380-B067-E6599C5E6A71}"/>
    <cellStyle name="40% - Énfasis3 3" xfId="7570" xr:uid="{2A576E1C-58EA-4996-9FB3-178F4704C914}"/>
    <cellStyle name="40% - Énfasis3 3 2" xfId="7571" xr:uid="{524307AE-59FC-48E0-9C87-0BAAD18E3B74}"/>
    <cellStyle name="40% - Énfasis3 3 2 2" xfId="7572" xr:uid="{6924BDDB-4AD5-4861-BB80-3CB66D3C8A1C}"/>
    <cellStyle name="40% - Énfasis3 3 2 2 2" xfId="44173" xr:uid="{18E5E0D8-9D94-4AE8-B554-07B64B15FF6B}"/>
    <cellStyle name="40% - Énfasis3 3 2 2 2 2" xfId="44174" xr:uid="{075BD017-5B18-4445-9518-569FB461CDEB}"/>
    <cellStyle name="40% - Énfasis3 3 2 2 3" xfId="44175" xr:uid="{810D4A77-02B7-4378-ABD3-53338D88B62A}"/>
    <cellStyle name="40% - Énfasis3 3 2 2 4" xfId="44172" xr:uid="{B24331AE-EEE6-485F-9AAC-D7A24B94A357}"/>
    <cellStyle name="40% - Énfasis3 3 2 3" xfId="44176" xr:uid="{4B55E05B-7357-4880-A8D7-C806A3AE3277}"/>
    <cellStyle name="40% - Énfasis3 3 2 3 2" xfId="44177" xr:uid="{DE750C99-3F08-4425-A57D-23DDB186F13B}"/>
    <cellStyle name="40% - Énfasis3 3 2 4" xfId="44178" xr:uid="{1B5560EB-F4F8-4232-8AD2-ABFC2B6902EF}"/>
    <cellStyle name="40% - Énfasis3 3 2 5" xfId="44171" xr:uid="{6F65A1FA-3140-46C9-8716-4A03E07CDA33}"/>
    <cellStyle name="40% - Énfasis3 3 3" xfId="7573" xr:uid="{5B9C2A7C-7370-46D8-BC9A-960F4B0F6DDB}"/>
    <cellStyle name="40% - Énfasis3 3 3 2" xfId="7574" xr:uid="{47B7D198-0FFB-4CA3-A5CF-48207AF3D5F0}"/>
    <cellStyle name="40% - Énfasis3 3 3 2 2" xfId="44181" xr:uid="{011BC2AB-9E47-4EE2-B4FE-D677BBCB78B5}"/>
    <cellStyle name="40% - Énfasis3 3 3 2 3" xfId="44180" xr:uid="{2B6E0886-1155-404C-9ADE-06E17DB5C9C7}"/>
    <cellStyle name="40% - Énfasis3 3 3 3" xfId="44182" xr:uid="{799946E1-D92F-4BBB-AAAF-D28ECA958EF1}"/>
    <cellStyle name="40% - Énfasis3 3 3 4" xfId="44179" xr:uid="{434AE8A0-EAAE-41FA-87C8-E1874B26EF0C}"/>
    <cellStyle name="40% - Énfasis3 3 4" xfId="7575" xr:uid="{0B230B7F-D4FC-4C38-997D-8AC4725624C5}"/>
    <cellStyle name="40% - Énfasis3 3 4 2" xfId="44184" xr:uid="{EF6E77C7-A97F-4FCF-9A5D-D219E913822B}"/>
    <cellStyle name="40% - Énfasis3 3 4 3" xfId="44183" xr:uid="{C095D400-E80F-4CBF-B609-A3D0CDFF3CBB}"/>
    <cellStyle name="40% - Énfasis3 3 5" xfId="44185" xr:uid="{43B3988E-5E02-4B19-A334-FCA2B4E9044A}"/>
    <cellStyle name="40% - Énfasis3 3 6" xfId="44170" xr:uid="{7E594522-BFA6-497E-87BC-C4CBE64629C4}"/>
    <cellStyle name="40% - Énfasis3 4" xfId="7576" xr:uid="{E2DF01DA-49B2-4436-B30B-86663B6B910E}"/>
    <cellStyle name="40% - Énfasis3 4 2" xfId="7577" xr:uid="{C042C6E6-7AEE-47DF-B0E4-1FA5F91634F8}"/>
    <cellStyle name="40% - Énfasis3 4 2 2" xfId="44188" xr:uid="{245E28F0-3A3E-4817-B8B8-930FFCE5C489}"/>
    <cellStyle name="40% - Énfasis3 4 2 2 2" xfId="44189" xr:uid="{8B8D2754-B867-4BC7-8A7D-7EAE18206813}"/>
    <cellStyle name="40% - Énfasis3 4 2 3" xfId="44190" xr:uid="{3A138ACF-D2E4-4D4C-AE93-EB2BD3520140}"/>
    <cellStyle name="40% - Énfasis3 4 2 4" xfId="44187" xr:uid="{2C7E05ED-0F8E-4B8F-9F38-D1A09744A494}"/>
    <cellStyle name="40% - Énfasis3 4 3" xfId="44191" xr:uid="{8ED1522C-C8C3-485A-832D-6E277EF1CF80}"/>
    <cellStyle name="40% - Énfasis3 4 3 2" xfId="44192" xr:uid="{914B5CDE-9F4F-496E-9168-0E021F20C52F}"/>
    <cellStyle name="40% - Énfasis3 4 4" xfId="44193" xr:uid="{8DD832D2-C860-461A-900D-D6B55F911FF5}"/>
    <cellStyle name="40% - Énfasis3 4 5" xfId="44186" xr:uid="{3F3F8A0B-8156-47E0-BF32-CCE4912DB6FA}"/>
    <cellStyle name="40% - Énfasis3 5" xfId="44194" xr:uid="{46F5D2B8-5872-4745-827E-4454EBF5F04A}"/>
    <cellStyle name="40% - Énfasis3 5 2" xfId="44195" xr:uid="{082B0840-BE9B-4B8D-A2AF-15EB4AF4FC16}"/>
    <cellStyle name="40% - Énfasis3 5 2 2" xfId="44196" xr:uid="{EEEED8AA-5AE9-451B-8AC5-04B5861BA32D}"/>
    <cellStyle name="40% - Énfasis3 5 2 2 2" xfId="44197" xr:uid="{721DAF74-499F-4C44-9D7D-369620342839}"/>
    <cellStyle name="40% - Énfasis3 5 2 3" xfId="44198" xr:uid="{8225641F-DC20-4489-BCC1-54CC66F4887A}"/>
    <cellStyle name="40% - Énfasis3 5 3" xfId="44199" xr:uid="{AC1D4406-E306-4E3D-95E0-66E1BD7F233A}"/>
    <cellStyle name="40% - Énfasis3 5 3 2" xfId="44200" xr:uid="{E73AD1A1-DC5F-4398-BED0-120933D40925}"/>
    <cellStyle name="40% - Énfasis3 5 4" xfId="44201" xr:uid="{54FF477B-5C3E-405B-9C6D-581666F0E3A4}"/>
    <cellStyle name="40% - Énfasis3 6" xfId="44202" xr:uid="{628AF2BA-734A-4B4F-853F-8612DEEC440A}"/>
    <cellStyle name="40% - Énfasis3 6 2" xfId="44203" xr:uid="{932C8020-3CEB-4A47-9C39-878537B6F120}"/>
    <cellStyle name="40% - Énfasis3 6 2 2" xfId="44204" xr:uid="{3DFECC4F-F1B2-4DFD-951E-D3817ABC42FE}"/>
    <cellStyle name="40% - Énfasis3 6 3" xfId="44205" xr:uid="{6D7B6857-FE26-4933-BD47-D2118D8E674E}"/>
    <cellStyle name="40% - Énfasis3 7" xfId="44206" xr:uid="{B33BFAB6-A119-49AE-A755-93EA74C35230}"/>
    <cellStyle name="40% - Énfasis3 7 2" xfId="44207" xr:uid="{5E95B174-5F9E-4086-9E42-5085D1B1D10A}"/>
    <cellStyle name="40% - Énfasis3 8" xfId="44208" xr:uid="{124596D7-4608-4AEF-A213-76EC92AA2AF0}"/>
    <cellStyle name="40% - Énfasis4" xfId="34" builtinId="43" customBuiltin="1"/>
    <cellStyle name="40% - Énfasis4 2" xfId="7578" xr:uid="{F8FF0835-42CE-481E-88CF-8C86A573FB0D}"/>
    <cellStyle name="40% - Énfasis4 2 10" xfId="7579" xr:uid="{D9EE4F68-4BE6-4FD5-ABB8-F98140CDF585}"/>
    <cellStyle name="40% - Énfasis4 2 10 10" xfId="7580" xr:uid="{7A2ADCC8-1160-4CBD-B20F-71A59AF1AE72}"/>
    <cellStyle name="40% - Énfasis4 2 10 11" xfId="7581" xr:uid="{4DB45607-A498-4B37-82F4-78BD259AA68D}"/>
    <cellStyle name="40% - Énfasis4 2 10 2" xfId="7582" xr:uid="{ABFA79BA-6297-419E-9321-1E4817D83A50}"/>
    <cellStyle name="40% - Énfasis4 2 10 2 10" xfId="7583" xr:uid="{CEB5831E-7267-4C45-B127-DBD644CCDE61}"/>
    <cellStyle name="40% - Énfasis4 2 10 2 11" xfId="7584" xr:uid="{6E05603D-DF54-469A-8DE7-9CF6FD12213B}"/>
    <cellStyle name="40% - Énfasis4 2 10 2 2" xfId="7585" xr:uid="{0A5AD4A5-B699-451A-A1CE-589BEF07CE64}"/>
    <cellStyle name="40% - Énfasis4 2 10 2 2 2" xfId="7586" xr:uid="{DB1406B8-0AE9-4BA6-AE26-FD1ECC1238FF}"/>
    <cellStyle name="40% - Énfasis4 2 10 2 2 2 2" xfId="7587" xr:uid="{A3CE147A-A18D-45A0-8F72-760AABCF2C68}"/>
    <cellStyle name="40% - Énfasis4 2 10 2 2 2 3" xfId="7588" xr:uid="{39197F65-EAB5-4240-8205-885EE3E97256}"/>
    <cellStyle name="40% - Énfasis4 2 10 2 2 2 4" xfId="7589" xr:uid="{8AE65310-523D-4615-8457-C779435FC650}"/>
    <cellStyle name="40% - Énfasis4 2 10 2 2 2 5" xfId="7590" xr:uid="{6DBA2767-9362-42B7-A9BD-393E323C9BBD}"/>
    <cellStyle name="40% - Énfasis4 2 10 2 2 3" xfId="7591" xr:uid="{9AE651FF-4FA8-47D4-A31C-9FFF8A79DCF8}"/>
    <cellStyle name="40% - Énfasis4 2 10 2 2 4" xfId="7592" xr:uid="{F1DB1EBD-B27B-4833-BE9E-F0EC14897A2F}"/>
    <cellStyle name="40% - Énfasis4 2 10 2 2 5" xfId="7593" xr:uid="{BB29ED79-A467-438C-9783-CB4B8EBBCAB9}"/>
    <cellStyle name="40% - Énfasis4 2 10 2 3" xfId="7594" xr:uid="{FD314D5C-DDA8-4B9E-827F-44286D81784D}"/>
    <cellStyle name="40% - Énfasis4 2 10 2 4" xfId="7595" xr:uid="{808A2C2B-9DFD-4209-B7FC-779ED40F6BFF}"/>
    <cellStyle name="40% - Énfasis4 2 10 2 5" xfId="7596" xr:uid="{F024C53F-4F00-4CB9-9D0C-1A9D9199E655}"/>
    <cellStyle name="40% - Énfasis4 2 10 2 6" xfId="7597" xr:uid="{2E9F3751-5B25-4C32-8D68-0F30149A1DAA}"/>
    <cellStyle name="40% - Énfasis4 2 10 2 7" xfId="7598" xr:uid="{9F3823AE-39C9-4FFB-916C-661F250B59A8}"/>
    <cellStyle name="40% - Énfasis4 2 10 2 8" xfId="7599" xr:uid="{2018EA02-BE13-47BF-AB93-35B951BF67F6}"/>
    <cellStyle name="40% - Énfasis4 2 10 2 9" xfId="7600" xr:uid="{CA30A20F-D3AD-4092-97C0-6C580805A7F2}"/>
    <cellStyle name="40% - Énfasis4 2 10 3" xfId="7601" xr:uid="{C4604E9D-0B3A-46EE-B189-4C6ABA87B2A3}"/>
    <cellStyle name="40% - Énfasis4 2 10 3 2" xfId="7602" xr:uid="{0CAE02C7-DE92-4808-A0D9-481AA8BBB716}"/>
    <cellStyle name="40% - Énfasis4 2 10 3 2 2" xfId="7603" xr:uid="{4F18D81D-0546-4669-9C62-C83F1193BC5D}"/>
    <cellStyle name="40% - Énfasis4 2 10 3 2 3" xfId="7604" xr:uid="{D0E189A8-BC2B-4E47-A076-56136123304B}"/>
    <cellStyle name="40% - Énfasis4 2 10 3 2 4" xfId="7605" xr:uid="{AA181357-5FE0-4B6B-97B9-19CD92B36117}"/>
    <cellStyle name="40% - Énfasis4 2 10 3 2 5" xfId="7606" xr:uid="{C8659394-D48C-4088-A0C2-33B68E884353}"/>
    <cellStyle name="40% - Énfasis4 2 10 3 3" xfId="7607" xr:uid="{6B9958F5-0CD2-45F3-9368-5EFFA57A66DD}"/>
    <cellStyle name="40% - Énfasis4 2 10 3 4" xfId="7608" xr:uid="{307A4AF9-E2C0-4546-A086-1C60412AFC07}"/>
    <cellStyle name="40% - Énfasis4 2 10 3 5" xfId="7609" xr:uid="{20FAA640-B143-4875-89E0-E40B26AA42D2}"/>
    <cellStyle name="40% - Énfasis4 2 10 4" xfId="7610" xr:uid="{839FC1AF-C4B2-4E08-99F6-E805C78E2800}"/>
    <cellStyle name="40% - Énfasis4 2 10 5" xfId="7611" xr:uid="{037245A9-880F-4967-A3B8-B862BE8F9A11}"/>
    <cellStyle name="40% - Énfasis4 2 10 6" xfId="7612" xr:uid="{7E104CC0-CB2F-4093-A474-CE8D9F212033}"/>
    <cellStyle name="40% - Énfasis4 2 10 7" xfId="7613" xr:uid="{66E877F4-2601-44DA-B670-8AD3B4E47112}"/>
    <cellStyle name="40% - Énfasis4 2 10 8" xfId="7614" xr:uid="{2547DAF5-CBF9-4A62-8E89-CA2254F0A8DF}"/>
    <cellStyle name="40% - Énfasis4 2 10 9" xfId="7615" xr:uid="{B80428CD-03C5-4996-AD1C-6B10A2A9FA71}"/>
    <cellStyle name="40% - Énfasis4 2 11" xfId="7616" xr:uid="{68B978F5-61BC-453D-9949-F9B15E386F85}"/>
    <cellStyle name="40% - Énfasis4 2 12" xfId="7617" xr:uid="{1F466C29-3C46-42EF-BD9A-E7D1F573F145}"/>
    <cellStyle name="40% - Énfasis4 2 13" xfId="7618" xr:uid="{617BDA50-8D65-41F4-B204-B6416E60397F}"/>
    <cellStyle name="40% - Énfasis4 2 14" xfId="44209" xr:uid="{86594AA2-9981-472C-B3C3-908C4541328F}"/>
    <cellStyle name="40% - Énfasis4 2 2" xfId="7619" xr:uid="{77217508-6F7F-4241-9D28-5CCD2DDDB615}"/>
    <cellStyle name="40% - Énfasis4 2 2 10" xfId="7620" xr:uid="{F78E4F64-446C-4FE6-B778-CA8ABB385774}"/>
    <cellStyle name="40% - Énfasis4 2 2 10 10" xfId="7621" xr:uid="{3BEA1C56-1525-4D9F-8F68-0DB1A953FF5A}"/>
    <cellStyle name="40% - Énfasis4 2 2 10 11" xfId="7622" xr:uid="{0A79018D-7BDD-455E-A16E-2F887B012C4D}"/>
    <cellStyle name="40% - Énfasis4 2 2 10 2" xfId="7623" xr:uid="{3D04E7B0-889B-4A27-A6AB-B6020D0564F9}"/>
    <cellStyle name="40% - Énfasis4 2 2 10 2 10" xfId="7624" xr:uid="{0C259A77-742F-484F-884A-4E4C0A6FF9DB}"/>
    <cellStyle name="40% - Énfasis4 2 2 10 2 11" xfId="7625" xr:uid="{E3DD9554-87F3-4ECD-9994-22958DCA4EC4}"/>
    <cellStyle name="40% - Énfasis4 2 2 10 2 2" xfId="7626" xr:uid="{653ED2A9-F243-451A-84F1-ED9C62DF5330}"/>
    <cellStyle name="40% - Énfasis4 2 2 10 2 2 2" xfId="7627" xr:uid="{BB7938C5-A242-493F-A645-11E1C6B4720D}"/>
    <cellStyle name="40% - Énfasis4 2 2 10 2 2 2 2" xfId="7628" xr:uid="{364AEF2C-A683-4A54-8B71-83BC2AE09CA6}"/>
    <cellStyle name="40% - Énfasis4 2 2 10 2 2 2 3" xfId="7629" xr:uid="{69744F52-06AD-4E33-A206-FE71C91FEC2C}"/>
    <cellStyle name="40% - Énfasis4 2 2 10 2 2 2 4" xfId="7630" xr:uid="{DB07A342-328D-421C-8316-7FB1DFFB7DE2}"/>
    <cellStyle name="40% - Énfasis4 2 2 10 2 2 2 5" xfId="7631" xr:uid="{0CD9214A-C858-4385-9CFB-0648ABB75BD8}"/>
    <cellStyle name="40% - Énfasis4 2 2 10 2 2 3" xfId="7632" xr:uid="{510990F8-136F-47F6-A4AE-4FA2D2F786F7}"/>
    <cellStyle name="40% - Énfasis4 2 2 10 2 2 4" xfId="7633" xr:uid="{6F97617B-7C9B-4CA5-93E8-A3350093F4C0}"/>
    <cellStyle name="40% - Énfasis4 2 2 10 2 2 5" xfId="7634" xr:uid="{23F12A09-A98E-4F9F-B62F-81BCF40E597D}"/>
    <cellStyle name="40% - Énfasis4 2 2 10 2 3" xfId="7635" xr:uid="{72ED257D-C4C8-4E32-9865-495EED357D66}"/>
    <cellStyle name="40% - Énfasis4 2 2 10 2 4" xfId="7636" xr:uid="{0ED11028-D9A6-4BEB-9A32-7E782A1B38E6}"/>
    <cellStyle name="40% - Énfasis4 2 2 10 2 5" xfId="7637" xr:uid="{8D2229FE-0C22-41BD-8FC4-7EDF16B9A009}"/>
    <cellStyle name="40% - Énfasis4 2 2 10 2 6" xfId="7638" xr:uid="{5E677C46-7B27-4AF1-897C-95607DF2F166}"/>
    <cellStyle name="40% - Énfasis4 2 2 10 2 7" xfId="7639" xr:uid="{7DC123DC-D600-4B27-9064-ECF0C19C6D34}"/>
    <cellStyle name="40% - Énfasis4 2 2 10 2 8" xfId="7640" xr:uid="{4DC9C781-EE82-4FA6-A743-CEB872D9E634}"/>
    <cellStyle name="40% - Énfasis4 2 2 10 2 9" xfId="7641" xr:uid="{D0B97444-751F-4A65-8A5C-C15C8AB54AC7}"/>
    <cellStyle name="40% - Énfasis4 2 2 10 3" xfId="7642" xr:uid="{DF4382B5-EFDF-4093-843C-48E867E0AF45}"/>
    <cellStyle name="40% - Énfasis4 2 2 10 3 2" xfId="7643" xr:uid="{77AAF34F-1A3F-4076-AC3F-97D70C499889}"/>
    <cellStyle name="40% - Énfasis4 2 2 10 3 2 2" xfId="7644" xr:uid="{215DEBB0-82E8-405A-89DE-4637883C73FF}"/>
    <cellStyle name="40% - Énfasis4 2 2 10 3 2 3" xfId="7645" xr:uid="{54C97F64-0338-45AB-880E-DFDF315ADA9B}"/>
    <cellStyle name="40% - Énfasis4 2 2 10 3 2 4" xfId="7646" xr:uid="{83416C2C-1429-4496-A899-224E80854DBB}"/>
    <cellStyle name="40% - Énfasis4 2 2 10 3 2 5" xfId="7647" xr:uid="{1AA861DE-772E-4A8E-9E45-AEAA883F72C6}"/>
    <cellStyle name="40% - Énfasis4 2 2 10 3 3" xfId="7648" xr:uid="{2E8384C8-2BC2-4650-83D0-71F69943C9FC}"/>
    <cellStyle name="40% - Énfasis4 2 2 10 3 4" xfId="7649" xr:uid="{B1C0E8B3-0221-4D01-A23D-3CF29B2FC637}"/>
    <cellStyle name="40% - Énfasis4 2 2 10 3 5" xfId="7650" xr:uid="{F0BA9C77-326E-4F0F-987D-FCEE3242EBF4}"/>
    <cellStyle name="40% - Énfasis4 2 2 10 4" xfId="7651" xr:uid="{D3B19465-059F-4E6F-BF44-256C951FB0FD}"/>
    <cellStyle name="40% - Énfasis4 2 2 10 5" xfId="7652" xr:uid="{CEF22D40-4272-4E90-89FB-10F441C3F387}"/>
    <cellStyle name="40% - Énfasis4 2 2 10 6" xfId="7653" xr:uid="{035B18D7-AFE6-4D2E-93F8-A7EDD886285B}"/>
    <cellStyle name="40% - Énfasis4 2 2 10 7" xfId="7654" xr:uid="{57302258-907E-46CF-B6EA-A8F197D0359D}"/>
    <cellStyle name="40% - Énfasis4 2 2 10 8" xfId="7655" xr:uid="{F7D0DFC4-B5B3-4BEF-9542-1E717FDC61BC}"/>
    <cellStyle name="40% - Énfasis4 2 2 10 9" xfId="7656" xr:uid="{7007D118-283D-4FD0-AD49-E4A0DEA3AB02}"/>
    <cellStyle name="40% - Énfasis4 2 2 11" xfId="7657" xr:uid="{9C718338-5AD7-4920-9AA7-1FC9C38AEC78}"/>
    <cellStyle name="40% - Énfasis4 2 2 12" xfId="7658" xr:uid="{8352A70B-CECF-46C8-9D11-64924F1628CC}"/>
    <cellStyle name="40% - Énfasis4 2 2 13" xfId="7659" xr:uid="{4B34CB09-D433-44F4-8536-4A0FC7B6228C}"/>
    <cellStyle name="40% - Énfasis4 2 2 14" xfId="44210" xr:uid="{6BE8D98F-6BF2-4296-A90B-F8C4768A10B3}"/>
    <cellStyle name="40% - Énfasis4 2 2 2" xfId="7660" xr:uid="{E5F0F610-8E56-45F2-A7DF-DF4D52485483}"/>
    <cellStyle name="40% - Énfasis4 2 2 2 2" xfId="7661" xr:uid="{E3D4C458-DC76-4D4A-82D0-56284FEECD49}"/>
    <cellStyle name="40% - Énfasis4 2 2 2 2 2" xfId="7662" xr:uid="{8A9DC59E-14C4-40B8-81FE-79CEB3A08155}"/>
    <cellStyle name="40% - Énfasis4 2 2 2 2 2 2" xfId="7663" xr:uid="{D75904FF-4FF2-4F36-B219-3F7F5D928855}"/>
    <cellStyle name="40% - Énfasis4 2 2 2 2 2 2 2" xfId="7664" xr:uid="{915CF05B-021B-4B1B-8F13-0DA710BDDDDE}"/>
    <cellStyle name="40% - Énfasis4 2 2 2 2 2 2 2 2" xfId="7665" xr:uid="{63F86C63-C9E9-4A9E-BA3B-71E67F4D77DE}"/>
    <cellStyle name="40% - Énfasis4 2 2 2 2 2 2 2 2 2" xfId="7666" xr:uid="{849D9807-E33C-409C-B4B4-E307150CA9F9}"/>
    <cellStyle name="40% - Énfasis4 2 2 2 2 2 2 2 2 2 2" xfId="7667" xr:uid="{714B992C-E462-47CD-8666-4D9BB015047F}"/>
    <cellStyle name="40% - Énfasis4 2 2 2 2 2 2 2 2 2 2 2" xfId="7668" xr:uid="{554CE12E-F4C7-4B65-9604-D392D4139272}"/>
    <cellStyle name="40% - Énfasis4 2 2 2 2 2 2 2 2 2 2 2 2" xfId="7669" xr:uid="{DBE52AD8-2311-4F88-A71E-6F0AED132A92}"/>
    <cellStyle name="40% - Énfasis4 2 2 2 2 2 2 2 2 2 2 2 2 2" xfId="7670" xr:uid="{8BF784D5-886E-4E0E-A935-BB8189E0FB9F}"/>
    <cellStyle name="40% - Énfasis4 2 2 2 2 2 2 2 2 2 2 2 2 2 2" xfId="7671" xr:uid="{3EB79AD9-44F2-4814-866F-81CA564FA71A}"/>
    <cellStyle name="40% - Énfasis4 2 2 2 2 2 2 2 2 2 2 2 2 2 3" xfId="7672" xr:uid="{5FF23D6E-1802-4E03-BA75-5C72D1B021B2}"/>
    <cellStyle name="40% - Énfasis4 2 2 2 2 2 2 2 2 2 2 2 2 2 4" xfId="7673" xr:uid="{B222152F-4E6D-4830-A30C-79BF37364B14}"/>
    <cellStyle name="40% - Énfasis4 2 2 2 2 2 2 2 2 2 2 2 2 2 5" xfId="7674" xr:uid="{665E1748-AD92-45C9-B394-A6662BBA00C6}"/>
    <cellStyle name="40% - Énfasis4 2 2 2 2 2 2 2 2 2 2 2 2 3" xfId="7675" xr:uid="{7B151407-91F3-4474-A5D8-E57819E51C90}"/>
    <cellStyle name="40% - Énfasis4 2 2 2 2 2 2 2 2 2 2 2 2 4" xfId="7676" xr:uid="{BD47891A-6B6D-415B-9026-C5601BD58BF6}"/>
    <cellStyle name="40% - Énfasis4 2 2 2 2 2 2 2 2 2 2 2 2 5" xfId="7677" xr:uid="{F8A455A6-7C81-4876-81E7-B245FFACC386}"/>
    <cellStyle name="40% - Énfasis4 2 2 2 2 2 2 2 2 2 2 2 3" xfId="7678" xr:uid="{479F7B61-4492-474C-996E-D653A24CBCB7}"/>
    <cellStyle name="40% - Énfasis4 2 2 2 2 2 2 2 2 2 2 2 4" xfId="7679" xr:uid="{15A27546-9D8F-4376-9F0D-75F72C018C14}"/>
    <cellStyle name="40% - Énfasis4 2 2 2 2 2 2 2 2 2 2 2 5" xfId="7680" xr:uid="{62A7CC86-4424-447E-8DC0-6E26F60929B7}"/>
    <cellStyle name="40% - Énfasis4 2 2 2 2 2 2 2 2 2 2 2 6" xfId="7681" xr:uid="{EB69A1B7-6AFB-416B-A186-03A68875AE44}"/>
    <cellStyle name="40% - Énfasis4 2 2 2 2 2 2 2 2 2 2 3" xfId="7682" xr:uid="{F20FB16D-90D8-4063-BDDE-B819A3A749E3}"/>
    <cellStyle name="40% - Énfasis4 2 2 2 2 2 2 2 2 2 2 4" xfId="7683" xr:uid="{C0573EFA-DD0E-4117-A705-8651593F9FAD}"/>
    <cellStyle name="40% - Énfasis4 2 2 2 2 2 2 2 2 2 3" xfId="7684" xr:uid="{2540B3EF-084E-460A-97A3-A2393DCA8340}"/>
    <cellStyle name="40% - Énfasis4 2 2 2 2 2 2 2 2 2 4" xfId="7685" xr:uid="{7C2B4220-3C97-4106-9604-48099F5678DC}"/>
    <cellStyle name="40% - Énfasis4 2 2 2 2 2 2 2 2 3" xfId="7686" xr:uid="{1CD45CDD-D71B-40A8-AD24-F241E88BD64D}"/>
    <cellStyle name="40% - Énfasis4 2 2 2 2 2 2 2 2 4" xfId="7687" xr:uid="{288FC8D3-4BCA-4D53-AFB8-55CADEED4D5C}"/>
    <cellStyle name="40% - Énfasis4 2 2 2 2 2 2 2 2 5" xfId="7688" xr:uid="{319814EF-A50F-497C-B05F-BE3CAE395EB2}"/>
    <cellStyle name="40% - Énfasis4 2 2 2 2 2 2 2 3" xfId="7689" xr:uid="{63611296-6531-454A-A85E-DD0EC8D3043B}"/>
    <cellStyle name="40% - Énfasis4 2 2 2 2 2 2 2 3 10" xfId="7690" xr:uid="{EED42A48-26D2-464E-8B28-D9EEF636A2D2}"/>
    <cellStyle name="40% - Énfasis4 2 2 2 2 2 2 2 3 11" xfId="7691" xr:uid="{C5D133C1-67A7-4229-94BB-0FBF74C71C36}"/>
    <cellStyle name="40% - Énfasis4 2 2 2 2 2 2 2 3 2" xfId="7692" xr:uid="{6EC8178C-88E4-4ADD-81AF-9807B58E40AD}"/>
    <cellStyle name="40% - Énfasis4 2 2 2 2 2 2 2 3 2 2" xfId="7693" xr:uid="{CFBAD037-746C-4191-9C02-D5F228155728}"/>
    <cellStyle name="40% - Énfasis4 2 2 2 2 2 2 2 3 2 2 2" xfId="7694" xr:uid="{335BED70-61AC-4C35-AC80-6137BF1BED5D}"/>
    <cellStyle name="40% - Énfasis4 2 2 2 2 2 2 2 3 2 2 3" xfId="7695" xr:uid="{7393A0D9-6BBA-4716-A030-9F5D31693387}"/>
    <cellStyle name="40% - Énfasis4 2 2 2 2 2 2 2 3 2 2 4" xfId="7696" xr:uid="{922DFF65-5A24-49F7-8BA3-83BD7E9757D4}"/>
    <cellStyle name="40% - Énfasis4 2 2 2 2 2 2 2 3 2 2 5" xfId="7697" xr:uid="{626C5ACB-235E-4E52-B342-CE2A33F905C5}"/>
    <cellStyle name="40% - Énfasis4 2 2 2 2 2 2 2 3 2 3" xfId="7698" xr:uid="{7B754F74-C743-4D62-96B7-1187522C2532}"/>
    <cellStyle name="40% - Énfasis4 2 2 2 2 2 2 2 3 2 4" xfId="7699" xr:uid="{A59F6D66-3CC8-470C-9CBE-50D108BC6A6A}"/>
    <cellStyle name="40% - Énfasis4 2 2 2 2 2 2 2 3 2 5" xfId="7700" xr:uid="{A1A269AA-AFD7-4A11-A4C7-C6A090B6601A}"/>
    <cellStyle name="40% - Énfasis4 2 2 2 2 2 2 2 3 3" xfId="7701" xr:uid="{6933D58D-04E9-4B62-925E-734E1C336C24}"/>
    <cellStyle name="40% - Énfasis4 2 2 2 2 2 2 2 3 4" xfId="7702" xr:uid="{5B076EF7-BC12-4716-9A79-3710A643E069}"/>
    <cellStyle name="40% - Énfasis4 2 2 2 2 2 2 2 3 5" xfId="7703" xr:uid="{9CCEB651-BB10-4549-984A-E75E89ECAA8D}"/>
    <cellStyle name="40% - Énfasis4 2 2 2 2 2 2 2 3 6" xfId="7704" xr:uid="{96811610-E65A-4F29-803B-41570C0B448B}"/>
    <cellStyle name="40% - Énfasis4 2 2 2 2 2 2 2 3 7" xfId="7705" xr:uid="{3FE6335F-667C-406E-B750-2966DFA5FC6A}"/>
    <cellStyle name="40% - Énfasis4 2 2 2 2 2 2 2 3 8" xfId="7706" xr:uid="{60BF8658-32C7-4C56-8601-E32BA9FE082B}"/>
    <cellStyle name="40% - Énfasis4 2 2 2 2 2 2 2 3 9" xfId="7707" xr:uid="{6CDEC7FD-00E3-42C5-9655-B4C084D4B119}"/>
    <cellStyle name="40% - Énfasis4 2 2 2 2 2 2 2 4" xfId="7708" xr:uid="{C946B79B-8F16-42B1-BDD6-5680C07E8070}"/>
    <cellStyle name="40% - Énfasis4 2 2 2 2 2 2 2 5" xfId="7709" xr:uid="{9865F529-3CE5-43A0-AA86-9E2FF0877830}"/>
    <cellStyle name="40% - Énfasis4 2 2 2 2 2 2 3" xfId="7710" xr:uid="{F079F89D-319E-4368-A8BC-064013FF05B7}"/>
    <cellStyle name="40% - Énfasis4 2 2 2 2 2 2 3 10" xfId="7711" xr:uid="{BDF234A6-5325-4CE5-8E9D-D2B6F9E7E4D3}"/>
    <cellStyle name="40% - Énfasis4 2 2 2 2 2 2 3 11" xfId="7712" xr:uid="{BC34AD90-111A-4DB5-AF79-19AA37F3059C}"/>
    <cellStyle name="40% - Énfasis4 2 2 2 2 2 2 3 2" xfId="7713" xr:uid="{52C7BEBC-D7AE-42A2-867F-BEC71C3948BF}"/>
    <cellStyle name="40% - Énfasis4 2 2 2 2 2 2 3 2 10" xfId="7714" xr:uid="{AF7F7ED0-4951-47E8-B0BF-5993681C103F}"/>
    <cellStyle name="40% - Énfasis4 2 2 2 2 2 2 3 2 11" xfId="7715" xr:uid="{ECDFAAA6-60C6-4F64-AEF0-A1D373B52E41}"/>
    <cellStyle name="40% - Énfasis4 2 2 2 2 2 2 3 2 2" xfId="7716" xr:uid="{16E3A4D3-BAB3-4E9C-B4E6-B6C82FB0D2A8}"/>
    <cellStyle name="40% - Énfasis4 2 2 2 2 2 2 3 2 2 2" xfId="7717" xr:uid="{0F52E498-B757-415B-B093-544630A7FA33}"/>
    <cellStyle name="40% - Énfasis4 2 2 2 2 2 2 3 2 2 2 2" xfId="7718" xr:uid="{ACD9BC8A-AE08-4173-A5C3-A2D6534B6C30}"/>
    <cellStyle name="40% - Énfasis4 2 2 2 2 2 2 3 2 2 2 3" xfId="7719" xr:uid="{79EA4B49-BF9E-4191-9EE3-1DBBCECF63C6}"/>
    <cellStyle name="40% - Énfasis4 2 2 2 2 2 2 3 2 2 2 4" xfId="7720" xr:uid="{2D8C3D01-7E89-4068-806D-B3DC6A5D735C}"/>
    <cellStyle name="40% - Énfasis4 2 2 2 2 2 2 3 2 2 2 5" xfId="7721" xr:uid="{1E7AC0C6-0E1A-480F-BA1B-F829B9299919}"/>
    <cellStyle name="40% - Énfasis4 2 2 2 2 2 2 3 2 2 3" xfId="7722" xr:uid="{7E674E88-F02F-4AF7-8DF7-BE56478B4E46}"/>
    <cellStyle name="40% - Énfasis4 2 2 2 2 2 2 3 2 2 4" xfId="7723" xr:uid="{2317830C-1EF1-4FF4-ADFB-081C38B941AD}"/>
    <cellStyle name="40% - Énfasis4 2 2 2 2 2 2 3 2 2 5" xfId="7724" xr:uid="{B50EC384-3E4D-499E-901D-977E6A341082}"/>
    <cellStyle name="40% - Énfasis4 2 2 2 2 2 2 3 2 3" xfId="7725" xr:uid="{C86EC2C8-64FA-42E1-B181-65370DA11787}"/>
    <cellStyle name="40% - Énfasis4 2 2 2 2 2 2 3 2 4" xfId="7726" xr:uid="{4D08B6E2-9B9C-4E7C-9627-44576D75A156}"/>
    <cellStyle name="40% - Énfasis4 2 2 2 2 2 2 3 2 5" xfId="7727" xr:uid="{A9BE8F8A-BF49-45E1-98B7-0FCCA120F510}"/>
    <cellStyle name="40% - Énfasis4 2 2 2 2 2 2 3 2 6" xfId="7728" xr:uid="{3A366CE4-C598-4CC2-845F-D0FEAE40E29F}"/>
    <cellStyle name="40% - Énfasis4 2 2 2 2 2 2 3 2 7" xfId="7729" xr:uid="{F79E84A8-C809-45A2-AC07-1B1CADAD544A}"/>
    <cellStyle name="40% - Énfasis4 2 2 2 2 2 2 3 2 8" xfId="7730" xr:uid="{306E17E8-1602-4F5F-AE1D-CBA77A39FB5A}"/>
    <cellStyle name="40% - Énfasis4 2 2 2 2 2 2 3 2 9" xfId="7731" xr:uid="{E67C9D78-964B-4DF3-94D3-717B998C9BB2}"/>
    <cellStyle name="40% - Énfasis4 2 2 2 2 2 2 3 3" xfId="7732" xr:uid="{AA6CE66D-64D0-4C7B-B1ED-AD0A819675E9}"/>
    <cellStyle name="40% - Énfasis4 2 2 2 2 2 2 3 3 2" xfId="7733" xr:uid="{21EA7088-BF15-4F11-8F65-A4B753DAEA1F}"/>
    <cellStyle name="40% - Énfasis4 2 2 2 2 2 2 3 3 2 2" xfId="7734" xr:uid="{DF1D1250-441E-46FC-86D5-850F40C16B0A}"/>
    <cellStyle name="40% - Énfasis4 2 2 2 2 2 2 3 3 2 3" xfId="7735" xr:uid="{6B1D8FF8-177B-4CC6-8847-55A85087FE18}"/>
    <cellStyle name="40% - Énfasis4 2 2 2 2 2 2 3 3 2 4" xfId="7736" xr:uid="{03E57F61-FDD7-4870-8F15-4F24ACE6E8B8}"/>
    <cellStyle name="40% - Énfasis4 2 2 2 2 2 2 3 3 2 5" xfId="7737" xr:uid="{B4793C5E-7431-42FB-9866-487E64209E11}"/>
    <cellStyle name="40% - Énfasis4 2 2 2 2 2 2 3 3 3" xfId="7738" xr:uid="{BDD0036F-DEC8-477E-8311-F7879577D01E}"/>
    <cellStyle name="40% - Énfasis4 2 2 2 2 2 2 3 3 4" xfId="7739" xr:uid="{C0DCB44E-3214-44FA-A269-D8A63B78BDE6}"/>
    <cellStyle name="40% - Énfasis4 2 2 2 2 2 2 3 3 5" xfId="7740" xr:uid="{E96131B4-FE39-4C5B-9F73-331EA8C78132}"/>
    <cellStyle name="40% - Énfasis4 2 2 2 2 2 2 3 4" xfId="7741" xr:uid="{BB7F172D-ABA6-451C-BFA5-1BBB6DD2F29A}"/>
    <cellStyle name="40% - Énfasis4 2 2 2 2 2 2 3 5" xfId="7742" xr:uid="{FA1DE81A-5423-4463-96A1-2362826179E9}"/>
    <cellStyle name="40% - Énfasis4 2 2 2 2 2 2 3 6" xfId="7743" xr:uid="{B3856CA9-CAD0-415F-9AA6-777E28BBCF26}"/>
    <cellStyle name="40% - Énfasis4 2 2 2 2 2 2 3 7" xfId="7744" xr:uid="{479BECA6-76C6-4563-94E9-CDE97B55659B}"/>
    <cellStyle name="40% - Énfasis4 2 2 2 2 2 2 3 8" xfId="7745" xr:uid="{415AAC6E-00D5-4C05-B790-175FF13CCD5F}"/>
    <cellStyle name="40% - Énfasis4 2 2 2 2 2 2 3 9" xfId="7746" xr:uid="{52E4404C-1211-47EC-95D4-9BF295699243}"/>
    <cellStyle name="40% - Énfasis4 2 2 2 2 2 2 4" xfId="7747" xr:uid="{BDBF4C30-D372-4785-B0DC-42A2B9B77125}"/>
    <cellStyle name="40% - Énfasis4 2 2 2 2 2 2 5" xfId="7748" xr:uid="{33BAD231-2ABB-4ACB-9157-3D970F1E578C}"/>
    <cellStyle name="40% - Énfasis4 2 2 2 2 2 2 6" xfId="7749" xr:uid="{734D12BA-B75A-43DF-BF4B-9FA562503986}"/>
    <cellStyle name="40% - Énfasis4 2 2 2 2 2 2 7" xfId="44214" xr:uid="{8D9459B6-3A9B-4C4E-9FBE-3C233CD75E17}"/>
    <cellStyle name="40% - Énfasis4 2 2 2 2 2 3" xfId="7750" xr:uid="{3DB28CA1-C4C6-4837-BF20-6474206EB678}"/>
    <cellStyle name="40% - Énfasis4 2 2 2 2 2 3 10" xfId="7751" xr:uid="{F2B2880E-B46A-47AA-950E-7CBEA767A067}"/>
    <cellStyle name="40% - Énfasis4 2 2 2 2 2 3 11" xfId="7752" xr:uid="{DB7BFAA2-BE72-4E2D-81FD-D3D1A600CBAD}"/>
    <cellStyle name="40% - Énfasis4 2 2 2 2 2 3 2" xfId="7753" xr:uid="{5DBBE429-D281-4F20-AB39-05C063770438}"/>
    <cellStyle name="40% - Énfasis4 2 2 2 2 2 3 2 10" xfId="7754" xr:uid="{4FEF00CA-2626-45C5-B4B1-D31AFDCE6C8C}"/>
    <cellStyle name="40% - Énfasis4 2 2 2 2 2 3 2 11" xfId="7755" xr:uid="{5AC51600-BD5E-47E8-AED5-C7BC3415A566}"/>
    <cellStyle name="40% - Énfasis4 2 2 2 2 2 3 2 2" xfId="7756" xr:uid="{150BC159-2389-46E1-A8B2-0FD70C236F0D}"/>
    <cellStyle name="40% - Énfasis4 2 2 2 2 2 3 2 2 2" xfId="7757" xr:uid="{106E23F5-AA68-4251-B276-63329E90EFEF}"/>
    <cellStyle name="40% - Énfasis4 2 2 2 2 2 3 2 2 2 2" xfId="7758" xr:uid="{F027C4AD-DFEC-4B4C-A329-381BF151C0D6}"/>
    <cellStyle name="40% - Énfasis4 2 2 2 2 2 3 2 2 2 3" xfId="7759" xr:uid="{B050E2D4-B624-4AFC-857E-56E5923FDEB8}"/>
    <cellStyle name="40% - Énfasis4 2 2 2 2 2 3 2 2 2 4" xfId="7760" xr:uid="{42C555C8-4A3B-49FA-9054-71F6A5CE9DD3}"/>
    <cellStyle name="40% - Énfasis4 2 2 2 2 2 3 2 2 2 5" xfId="7761" xr:uid="{7EA1C442-7707-4361-B89A-2F9508D1272F}"/>
    <cellStyle name="40% - Énfasis4 2 2 2 2 2 3 2 2 3" xfId="7762" xr:uid="{592B5A8B-4A33-4A02-BA3A-4ED48A2002B2}"/>
    <cellStyle name="40% - Énfasis4 2 2 2 2 2 3 2 2 4" xfId="7763" xr:uid="{8FE3BDC5-817A-4339-B89C-F95B1F545552}"/>
    <cellStyle name="40% - Énfasis4 2 2 2 2 2 3 2 2 5" xfId="7764" xr:uid="{C227ABBE-7B42-4C76-BDEF-5500BF59BCCC}"/>
    <cellStyle name="40% - Énfasis4 2 2 2 2 2 3 2 3" xfId="7765" xr:uid="{703C406F-BD58-49A4-B81C-40E064F3713B}"/>
    <cellStyle name="40% - Énfasis4 2 2 2 2 2 3 2 4" xfId="7766" xr:uid="{6A7BB082-817F-4220-8509-53945673838E}"/>
    <cellStyle name="40% - Énfasis4 2 2 2 2 2 3 2 5" xfId="7767" xr:uid="{946AE4BC-951E-420E-ACEE-31F0F84EDD1F}"/>
    <cellStyle name="40% - Énfasis4 2 2 2 2 2 3 2 6" xfId="7768" xr:uid="{AF9DAA31-EDFD-478D-8B66-91B0084BD263}"/>
    <cellStyle name="40% - Énfasis4 2 2 2 2 2 3 2 7" xfId="7769" xr:uid="{2BCB2E2A-8DD7-4115-B003-373C8122178A}"/>
    <cellStyle name="40% - Énfasis4 2 2 2 2 2 3 2 8" xfId="7770" xr:uid="{02F3E767-796C-427E-B05F-080D353B27D5}"/>
    <cellStyle name="40% - Énfasis4 2 2 2 2 2 3 2 9" xfId="7771" xr:uid="{5F014C37-0F58-46CA-ABA9-6E911A7606F0}"/>
    <cellStyle name="40% - Énfasis4 2 2 2 2 2 3 3" xfId="7772" xr:uid="{924723C4-A61A-46A5-AF26-2F72E8F9C7FB}"/>
    <cellStyle name="40% - Énfasis4 2 2 2 2 2 3 3 2" xfId="7773" xr:uid="{3DD498B2-FA8A-4CB2-B80D-18378DA68E6B}"/>
    <cellStyle name="40% - Énfasis4 2 2 2 2 2 3 3 2 2" xfId="7774" xr:uid="{37B90EFB-CB45-4076-A8B9-3533F245A853}"/>
    <cellStyle name="40% - Énfasis4 2 2 2 2 2 3 3 2 3" xfId="7775" xr:uid="{595868CF-7D37-41D7-A395-CBA77727647B}"/>
    <cellStyle name="40% - Énfasis4 2 2 2 2 2 3 3 2 4" xfId="7776" xr:uid="{EAA905BD-28B0-47B9-A351-EC25B955AE92}"/>
    <cellStyle name="40% - Énfasis4 2 2 2 2 2 3 3 2 5" xfId="7777" xr:uid="{BBB210D6-B831-4430-83AC-BC9E78B332D5}"/>
    <cellStyle name="40% - Énfasis4 2 2 2 2 2 3 3 3" xfId="7778" xr:uid="{0A5065A6-EBD0-4807-909D-C095812A1FA8}"/>
    <cellStyle name="40% - Énfasis4 2 2 2 2 2 3 3 4" xfId="7779" xr:uid="{F4B8058D-571E-464C-9187-584027885A4D}"/>
    <cellStyle name="40% - Énfasis4 2 2 2 2 2 3 3 5" xfId="7780" xr:uid="{69396941-CF2D-4621-86B9-0939F26F4694}"/>
    <cellStyle name="40% - Énfasis4 2 2 2 2 2 3 4" xfId="7781" xr:uid="{4BE3AC59-739D-4E2D-B4F8-EC9A03CA4CBB}"/>
    <cellStyle name="40% - Énfasis4 2 2 2 2 2 3 5" xfId="7782" xr:uid="{FE4B48A5-FC69-498A-B293-A61D616356A4}"/>
    <cellStyle name="40% - Énfasis4 2 2 2 2 2 3 6" xfId="7783" xr:uid="{FB3C2A7E-5843-459E-8800-8B2A7A842DA9}"/>
    <cellStyle name="40% - Énfasis4 2 2 2 2 2 3 7" xfId="7784" xr:uid="{3179FF28-81AF-42BA-A486-379CC8452AE4}"/>
    <cellStyle name="40% - Énfasis4 2 2 2 2 2 3 8" xfId="7785" xr:uid="{303DC871-ADE0-4ED1-85FE-4400EC586E66}"/>
    <cellStyle name="40% - Énfasis4 2 2 2 2 2 3 9" xfId="7786" xr:uid="{3560A311-1B1F-446E-9F10-DC45BE2777C7}"/>
    <cellStyle name="40% - Énfasis4 2 2 2 2 2 4" xfId="7787" xr:uid="{A4D8C6C0-B1F8-4328-975A-6774AA5ED846}"/>
    <cellStyle name="40% - Énfasis4 2 2 2 2 2 5" xfId="7788" xr:uid="{FE9874CD-B1E9-44D7-9B0D-B179ED43FB54}"/>
    <cellStyle name="40% - Énfasis4 2 2 2 2 2 6" xfId="7789" xr:uid="{9E83A4CF-0A90-449D-8D0B-AA8E57851727}"/>
    <cellStyle name="40% - Énfasis4 2 2 2 2 2 7" xfId="44213" xr:uid="{A68B7B6C-0B47-4D23-8782-64428BEC1C4B}"/>
    <cellStyle name="40% - Énfasis4 2 2 2 2 3" xfId="7790" xr:uid="{DF1DC690-9E67-4596-95F0-41ED313768C0}"/>
    <cellStyle name="40% - Énfasis4 2 2 2 2 3 2" xfId="7791" xr:uid="{64C0DE5D-DDD0-44F9-937A-26D27C248C49}"/>
    <cellStyle name="40% - Énfasis4 2 2 2 2 3 3" xfId="44215" xr:uid="{225760F5-B56E-41CC-B27B-CFF776E95FB8}"/>
    <cellStyle name="40% - Énfasis4 2 2 2 2 4" xfId="7792" xr:uid="{88EEC356-9071-4201-A7E8-B54D28219CB7}"/>
    <cellStyle name="40% - Énfasis4 2 2 2 2 4 10" xfId="7793" xr:uid="{7A919742-152C-4920-940A-85353C14BA7E}"/>
    <cellStyle name="40% - Énfasis4 2 2 2 2 4 11" xfId="7794" xr:uid="{EDEA31BF-9B5E-437D-BA76-A92E15CFB74C}"/>
    <cellStyle name="40% - Énfasis4 2 2 2 2 4 2" xfId="7795" xr:uid="{6B0949D0-1369-4F8F-AC47-F8A13B502FCD}"/>
    <cellStyle name="40% - Énfasis4 2 2 2 2 4 2 10" xfId="7796" xr:uid="{A53FBB08-DADB-46C9-9626-DD38E0A5A53B}"/>
    <cellStyle name="40% - Énfasis4 2 2 2 2 4 2 11" xfId="7797" xr:uid="{8BB42EA0-6055-4956-9C46-EDCB159A3470}"/>
    <cellStyle name="40% - Énfasis4 2 2 2 2 4 2 2" xfId="7798" xr:uid="{79A49A82-2816-48FB-A7FE-266EB00D49AE}"/>
    <cellStyle name="40% - Énfasis4 2 2 2 2 4 2 2 2" xfId="7799" xr:uid="{F79665A8-0130-4157-8F80-E2756B9D224D}"/>
    <cellStyle name="40% - Énfasis4 2 2 2 2 4 2 2 2 2" xfId="7800" xr:uid="{859F6114-CC28-4652-86A8-354CD152BA81}"/>
    <cellStyle name="40% - Énfasis4 2 2 2 2 4 2 2 2 3" xfId="7801" xr:uid="{06A7AE8D-62AA-4970-8C47-51F1551452A6}"/>
    <cellStyle name="40% - Énfasis4 2 2 2 2 4 2 2 2 4" xfId="7802" xr:uid="{52D2F19A-D8F8-4812-9A43-465D5B6994C7}"/>
    <cellStyle name="40% - Énfasis4 2 2 2 2 4 2 2 2 5" xfId="7803" xr:uid="{D0684F35-0BA1-443F-87FB-FF8C68FA3D34}"/>
    <cellStyle name="40% - Énfasis4 2 2 2 2 4 2 2 3" xfId="7804" xr:uid="{8A832456-F0C4-4139-A6AC-D7748E97F7B9}"/>
    <cellStyle name="40% - Énfasis4 2 2 2 2 4 2 2 4" xfId="7805" xr:uid="{41CCBDE6-5345-4FAB-84E7-43C495780708}"/>
    <cellStyle name="40% - Énfasis4 2 2 2 2 4 2 2 5" xfId="7806" xr:uid="{2EBBD7C1-551F-4FB9-B629-D5559DD3E4D4}"/>
    <cellStyle name="40% - Énfasis4 2 2 2 2 4 2 3" xfId="7807" xr:uid="{33AD0B1A-1AE9-48D3-B028-BB56EB5AF71B}"/>
    <cellStyle name="40% - Énfasis4 2 2 2 2 4 2 4" xfId="7808" xr:uid="{F0682423-5FF8-446D-83B3-CA5B254A2FE9}"/>
    <cellStyle name="40% - Énfasis4 2 2 2 2 4 2 5" xfId="7809" xr:uid="{3D71FAC3-B1F9-4590-B1F5-93D40B528640}"/>
    <cellStyle name="40% - Énfasis4 2 2 2 2 4 2 6" xfId="7810" xr:uid="{1E464FC8-6680-49CB-BBB6-45A27D28F4AF}"/>
    <cellStyle name="40% - Énfasis4 2 2 2 2 4 2 7" xfId="7811" xr:uid="{6B72FAAB-7325-46C2-A557-5AF0E034D251}"/>
    <cellStyle name="40% - Énfasis4 2 2 2 2 4 2 8" xfId="7812" xr:uid="{869C03EB-3BC9-43F8-9AF8-73A9FB74CB16}"/>
    <cellStyle name="40% - Énfasis4 2 2 2 2 4 2 9" xfId="7813" xr:uid="{B2A90C6B-8622-4EC0-BF92-2983AF1CA8EF}"/>
    <cellStyle name="40% - Énfasis4 2 2 2 2 4 3" xfId="7814" xr:uid="{56858EB4-F0E8-4EF1-B4E8-877218E07825}"/>
    <cellStyle name="40% - Énfasis4 2 2 2 2 4 3 2" xfId="7815" xr:uid="{DE92693A-855E-4DD3-AD6D-80B8A49A3371}"/>
    <cellStyle name="40% - Énfasis4 2 2 2 2 4 3 2 2" xfId="7816" xr:uid="{A475EE53-C065-403E-B988-BD57A06D5D5C}"/>
    <cellStyle name="40% - Énfasis4 2 2 2 2 4 3 2 3" xfId="7817" xr:uid="{865193BD-77F2-48C9-B53F-9943865E33CE}"/>
    <cellStyle name="40% - Énfasis4 2 2 2 2 4 3 2 4" xfId="7818" xr:uid="{18EC4EEF-3CDD-42C8-9942-2D6CE1D2ACB9}"/>
    <cellStyle name="40% - Énfasis4 2 2 2 2 4 3 2 5" xfId="7819" xr:uid="{172F4297-B6C0-40FF-B3C8-49B4F2729E0D}"/>
    <cellStyle name="40% - Énfasis4 2 2 2 2 4 3 3" xfId="7820" xr:uid="{4C456D04-CF79-41C1-807D-7AE8DA6A2F55}"/>
    <cellStyle name="40% - Énfasis4 2 2 2 2 4 3 4" xfId="7821" xr:uid="{14B9F53F-29D9-46A4-9390-6C66C993F579}"/>
    <cellStyle name="40% - Énfasis4 2 2 2 2 4 3 5" xfId="7822" xr:uid="{AFF5F8DE-E029-412A-9B8E-31364243A4E5}"/>
    <cellStyle name="40% - Énfasis4 2 2 2 2 4 4" xfId="7823" xr:uid="{81B5E949-87C9-498B-863F-BFBC6EDE0204}"/>
    <cellStyle name="40% - Énfasis4 2 2 2 2 4 5" xfId="7824" xr:uid="{5AC20E86-524B-466D-A99F-68BCFB68F012}"/>
    <cellStyle name="40% - Énfasis4 2 2 2 2 4 6" xfId="7825" xr:uid="{CF1D6114-98E9-43D8-B886-113D1CFC57A4}"/>
    <cellStyle name="40% - Énfasis4 2 2 2 2 4 7" xfId="7826" xr:uid="{95CAF4A1-DC59-4CEF-99A2-5B1E7DF36D75}"/>
    <cellStyle name="40% - Énfasis4 2 2 2 2 4 8" xfId="7827" xr:uid="{25136D33-9671-4238-AFE5-C941B4B2B2BE}"/>
    <cellStyle name="40% - Énfasis4 2 2 2 2 4 9" xfId="7828" xr:uid="{AD69BCA3-2611-493B-AA0D-0F6D10BAEAAE}"/>
    <cellStyle name="40% - Énfasis4 2 2 2 2 5" xfId="7829" xr:uid="{47C2822B-C1DC-45D4-8FAF-71A82D4DFC4E}"/>
    <cellStyle name="40% - Énfasis4 2 2 2 2 6" xfId="7830" xr:uid="{87CBE243-7DB0-471B-A12C-962DA03FC2A9}"/>
    <cellStyle name="40% - Énfasis4 2 2 2 2 7" xfId="7831" xr:uid="{DED20633-CDC5-43A3-847C-81FCFA6E9906}"/>
    <cellStyle name="40% - Énfasis4 2 2 2 2 8" xfId="44212" xr:uid="{D5E11762-DA2D-4152-B51D-E083E2B5C14E}"/>
    <cellStyle name="40% - Énfasis4 2 2 2 3" xfId="7832" xr:uid="{68A042E7-DFCD-4295-96B0-75E20D24DF59}"/>
    <cellStyle name="40% - Énfasis4 2 2 2 3 2" xfId="7833" xr:uid="{6FE71472-E3B4-4BE6-A172-746A455A25FD}"/>
    <cellStyle name="40% - Énfasis4 2 2 2 3 2 2" xfId="44217" xr:uid="{A72A7856-D4D2-4CDF-8312-C7BF8324FDF3}"/>
    <cellStyle name="40% - Énfasis4 2 2 2 3 3" xfId="44216" xr:uid="{609BFB6A-2EFA-48B5-8BE3-99156A00E7C3}"/>
    <cellStyle name="40% - Énfasis4 2 2 2 4" xfId="7834" xr:uid="{4976D7EF-6097-47D8-B8AD-3768F92968BA}"/>
    <cellStyle name="40% - Énfasis4 2 2 2 4 2" xfId="7835" xr:uid="{89A8F6BE-BBA3-49BC-B1A4-7FED0F6DC552}"/>
    <cellStyle name="40% - Énfasis4 2 2 2 4 3" xfId="44218" xr:uid="{39FA9903-8D49-42F2-90DD-5CE24E38F7FE}"/>
    <cellStyle name="40% - Énfasis4 2 2 2 5" xfId="7836" xr:uid="{317FAED1-14DF-40BB-B03D-D20EC306A0A2}"/>
    <cellStyle name="40% - Énfasis4 2 2 2 5 10" xfId="7837" xr:uid="{2669FAE9-1002-4CA5-836F-B4ED5D024551}"/>
    <cellStyle name="40% - Énfasis4 2 2 2 5 11" xfId="7838" xr:uid="{0D938A9E-B755-4926-81C9-C3F7AF511642}"/>
    <cellStyle name="40% - Énfasis4 2 2 2 5 2" xfId="7839" xr:uid="{20A94217-FE3C-4F4B-B0EC-A15698BC168C}"/>
    <cellStyle name="40% - Énfasis4 2 2 2 5 2 10" xfId="7840" xr:uid="{7327AA96-F5DA-4792-A14B-8CF4D218648F}"/>
    <cellStyle name="40% - Énfasis4 2 2 2 5 2 11" xfId="7841" xr:uid="{81FF4BE5-7B26-42F5-94A4-4100CEDD7B03}"/>
    <cellStyle name="40% - Énfasis4 2 2 2 5 2 2" xfId="7842" xr:uid="{F5A569B3-F90A-49CD-A5DB-1FEACE928EF4}"/>
    <cellStyle name="40% - Énfasis4 2 2 2 5 2 2 2" xfId="7843" xr:uid="{58BAFCE1-7FB4-491A-B965-114C3ED59DC6}"/>
    <cellStyle name="40% - Énfasis4 2 2 2 5 2 2 2 2" xfId="7844" xr:uid="{3D7C0BCD-519E-4C27-87EC-195157031EA8}"/>
    <cellStyle name="40% - Énfasis4 2 2 2 5 2 2 2 3" xfId="7845" xr:uid="{FE877121-7CA8-4B68-8C2A-C0EA655C9220}"/>
    <cellStyle name="40% - Énfasis4 2 2 2 5 2 2 2 4" xfId="7846" xr:uid="{F43C2EA3-313F-471B-B54B-05AE6753CC52}"/>
    <cellStyle name="40% - Énfasis4 2 2 2 5 2 2 2 5" xfId="7847" xr:uid="{3A853047-190A-4CB5-957A-77E42F0C0043}"/>
    <cellStyle name="40% - Énfasis4 2 2 2 5 2 2 3" xfId="7848" xr:uid="{1E9B3AED-ED69-49AD-ADD1-9C40FDB4A573}"/>
    <cellStyle name="40% - Énfasis4 2 2 2 5 2 2 4" xfId="7849" xr:uid="{B990FBB1-EAA5-4E38-9E95-FFE1CF7D8E90}"/>
    <cellStyle name="40% - Énfasis4 2 2 2 5 2 2 5" xfId="7850" xr:uid="{CD57FCC0-FD8D-4F10-BDD8-72AB3352EFC7}"/>
    <cellStyle name="40% - Énfasis4 2 2 2 5 2 3" xfId="7851" xr:uid="{2C7B8686-5A41-4F6D-ADAF-B3301AC4BF84}"/>
    <cellStyle name="40% - Énfasis4 2 2 2 5 2 4" xfId="7852" xr:uid="{D39BC2D9-6029-44A0-9E44-244C3C1B3792}"/>
    <cellStyle name="40% - Énfasis4 2 2 2 5 2 5" xfId="7853" xr:uid="{23C7CE5E-1D3A-4105-9640-70E8C95B6745}"/>
    <cellStyle name="40% - Énfasis4 2 2 2 5 2 6" xfId="7854" xr:uid="{EEE35D1A-FFAE-4274-B134-B587A2E957C2}"/>
    <cellStyle name="40% - Énfasis4 2 2 2 5 2 7" xfId="7855" xr:uid="{4C2AA2BE-DD9B-41FC-877B-3D57F8C56FB8}"/>
    <cellStyle name="40% - Énfasis4 2 2 2 5 2 8" xfId="7856" xr:uid="{E48F33AB-486A-445D-9AAC-168BB338A8F6}"/>
    <cellStyle name="40% - Énfasis4 2 2 2 5 2 9" xfId="7857" xr:uid="{5E01A0AA-9F51-426F-8BC4-584D6FCDE206}"/>
    <cellStyle name="40% - Énfasis4 2 2 2 5 3" xfId="7858" xr:uid="{3B59BA13-533E-40A6-BFC2-132FC985872C}"/>
    <cellStyle name="40% - Énfasis4 2 2 2 5 3 2" xfId="7859" xr:uid="{C7470E9D-1E82-4AC3-A214-12284FE236A4}"/>
    <cellStyle name="40% - Énfasis4 2 2 2 5 3 2 2" xfId="7860" xr:uid="{1715E4DE-E940-49AB-A3F3-614F0B91E4D7}"/>
    <cellStyle name="40% - Énfasis4 2 2 2 5 3 2 3" xfId="7861" xr:uid="{1CFC58F2-5909-4D6B-97D4-DEA5B720BD40}"/>
    <cellStyle name="40% - Énfasis4 2 2 2 5 3 2 4" xfId="7862" xr:uid="{9E4B9A27-E8AE-4EC3-BB34-EF4114641CBA}"/>
    <cellStyle name="40% - Énfasis4 2 2 2 5 3 2 5" xfId="7863" xr:uid="{3FE13312-97BB-4CAD-B1EF-C6814FCB604C}"/>
    <cellStyle name="40% - Énfasis4 2 2 2 5 3 3" xfId="7864" xr:uid="{C57F2C44-C471-44A7-9235-16B82FA65C9D}"/>
    <cellStyle name="40% - Énfasis4 2 2 2 5 3 4" xfId="7865" xr:uid="{2DA6085D-FA1F-461C-8A1F-CCC1615B17EF}"/>
    <cellStyle name="40% - Énfasis4 2 2 2 5 3 5" xfId="7866" xr:uid="{94E81E1D-2130-4CC9-82D4-27275796901F}"/>
    <cellStyle name="40% - Énfasis4 2 2 2 5 4" xfId="7867" xr:uid="{130700FC-B659-44A8-B20F-304AA3F4DDC2}"/>
    <cellStyle name="40% - Énfasis4 2 2 2 5 5" xfId="7868" xr:uid="{D9B6464D-8ACC-4086-996C-84FA93EACCB9}"/>
    <cellStyle name="40% - Énfasis4 2 2 2 5 6" xfId="7869" xr:uid="{CEC7FB01-60FB-4602-B1B3-496ED77EF11C}"/>
    <cellStyle name="40% - Énfasis4 2 2 2 5 7" xfId="7870" xr:uid="{FB0445CB-A1CE-43C8-9A44-C0AD0F114666}"/>
    <cellStyle name="40% - Énfasis4 2 2 2 5 8" xfId="7871" xr:uid="{8ADE0D47-B8AC-4F00-891A-2159DF08802A}"/>
    <cellStyle name="40% - Énfasis4 2 2 2 5 9" xfId="7872" xr:uid="{29C28C2F-B905-4C7D-8535-5D3B6CD4F639}"/>
    <cellStyle name="40% - Énfasis4 2 2 2 6" xfId="7873" xr:uid="{6B9502A9-CF2C-4D0F-BF4B-DE0C37EE9F83}"/>
    <cellStyle name="40% - Énfasis4 2 2 2 7" xfId="7874" xr:uid="{01B74101-D61B-48D2-AD44-66268E7F1ADA}"/>
    <cellStyle name="40% - Énfasis4 2 2 2 8" xfId="7875" xr:uid="{376B58FB-3C03-4AAD-A117-45B7B9143EA1}"/>
    <cellStyle name="40% - Énfasis4 2 2 2 9" xfId="44211" xr:uid="{0E2965DE-2612-4404-B830-52A2B2B03AB4}"/>
    <cellStyle name="40% - Énfasis4 2 2 3" xfId="7876" xr:uid="{2F62B492-D200-4636-95D2-9B28F13468CD}"/>
    <cellStyle name="40% - Énfasis4 2 2 3 2" xfId="7877" xr:uid="{D59690F4-3EF6-47C3-BDEE-16E01C290A21}"/>
    <cellStyle name="40% - Énfasis4 2 2 3 2 2" xfId="44221" xr:uid="{957B80F1-4CA4-45A9-AACF-042B7AAA740F}"/>
    <cellStyle name="40% - Énfasis4 2 2 3 2 3" xfId="44220" xr:uid="{80875804-7D62-43BE-941D-9F82EA9D3F39}"/>
    <cellStyle name="40% - Énfasis4 2 2 3 3" xfId="44222" xr:uid="{386318C2-DD67-4278-9F1F-D56A7CD21DE3}"/>
    <cellStyle name="40% - Énfasis4 2 2 3 4" xfId="44219" xr:uid="{A20CEC4F-4E3B-4E4C-8478-2AF35445D27F}"/>
    <cellStyle name="40% - Énfasis4 2 2 4" xfId="7878" xr:uid="{9118101F-5AAA-46E4-88B1-91A16C58ED15}"/>
    <cellStyle name="40% - Énfasis4 2 2 4 2" xfId="7879" xr:uid="{3195AAE7-CB7D-47E2-8FC6-80CFA4C10B7C}"/>
    <cellStyle name="40% - Énfasis4 2 2 4 2 2" xfId="44224" xr:uid="{1EF52E7D-A66F-4C08-8075-18BCFCC8EF4B}"/>
    <cellStyle name="40% - Énfasis4 2 2 4 3" xfId="44223" xr:uid="{51FB4E69-170A-4AD3-AA8B-51E47F5F6342}"/>
    <cellStyle name="40% - Énfasis4 2 2 5" xfId="7880" xr:uid="{29FDE129-1343-485A-BCB6-4C1E6F3174E5}"/>
    <cellStyle name="40% - Énfasis4 2 2 5 2" xfId="7881" xr:uid="{2A88B022-9BAD-4EE7-802A-287C831E693F}"/>
    <cellStyle name="40% - Énfasis4 2 2 5 3" xfId="44225" xr:uid="{51D75EC1-49AC-4BFB-8C30-D0E257E54546}"/>
    <cellStyle name="40% - Énfasis4 2 2 6" xfId="7882" xr:uid="{9B1782B3-A1FF-4C77-B28C-10C14D3BC3E9}"/>
    <cellStyle name="40% - Énfasis4 2 2 6 2" xfId="7883" xr:uid="{84596953-3E85-4002-877A-2BFE9C7EFC24}"/>
    <cellStyle name="40% - Énfasis4 2 2 7" xfId="7884" xr:uid="{9C97911C-0C82-4A51-BA6F-169B7F686E77}"/>
    <cellStyle name="40% - Énfasis4 2 2 7 2" xfId="7885" xr:uid="{7F963AA2-3CBF-4C06-9AE1-06766B80975F}"/>
    <cellStyle name="40% - Énfasis4 2 2 8" xfId="7886" xr:uid="{0D1E7CFC-D209-4FA5-9510-3E1CCAEF7B62}"/>
    <cellStyle name="40% - Énfasis4 2 2 8 2" xfId="7887" xr:uid="{40D9044F-2ACE-465A-99AD-2DDA46D899C5}"/>
    <cellStyle name="40% - Énfasis4 2 2 8 2 2" xfId="7888" xr:uid="{1986FD79-2756-4393-80D7-6FEF47C506AE}"/>
    <cellStyle name="40% - Énfasis4 2 2 8 3" xfId="7889" xr:uid="{9C131090-840B-40CB-A79A-D82B3FEBAC55}"/>
    <cellStyle name="40% - Énfasis4 2 2 9" xfId="7890" xr:uid="{27AF9469-CEFF-4817-B617-CCFB02A62BB8}"/>
    <cellStyle name="40% - Énfasis4 2 2 9 2" xfId="7891" xr:uid="{146CD2D7-584C-4BAD-9BC7-1379D3736425}"/>
    <cellStyle name="40% - Énfasis4 2 3" xfId="7892" xr:uid="{9D148365-AB83-4749-B308-1B535706F314}"/>
    <cellStyle name="40% - Énfasis4 2 3 2" xfId="7893" xr:uid="{37B82713-2370-4280-A4BA-0DDE3EAAB910}"/>
    <cellStyle name="40% - Énfasis4 2 3 2 2" xfId="44228" xr:uid="{9533BDDD-D55C-4281-B73A-AC53DD2C9FD0}"/>
    <cellStyle name="40% - Énfasis4 2 3 2 2 2" xfId="44229" xr:uid="{078ECE43-022D-43BB-B3F5-D036A7FDFE44}"/>
    <cellStyle name="40% - Énfasis4 2 3 2 3" xfId="44230" xr:uid="{CE55BE32-4AF2-4612-86A6-2A220ECD5A3A}"/>
    <cellStyle name="40% - Énfasis4 2 3 2 4" xfId="44227" xr:uid="{E6B21767-9A6B-457F-B864-C86A48178859}"/>
    <cellStyle name="40% - Énfasis4 2 3 3" xfId="44231" xr:uid="{F14A5F1B-ACDC-4351-9F96-F762415BE1AA}"/>
    <cellStyle name="40% - Énfasis4 2 3 3 2" xfId="44232" xr:uid="{45F7DDFF-F813-4552-B896-576EA9A90E29}"/>
    <cellStyle name="40% - Énfasis4 2 3 4" xfId="44233" xr:uid="{785ABAFC-45B5-45A0-87C8-888D71CE7745}"/>
    <cellStyle name="40% - Énfasis4 2 3 5" xfId="44226" xr:uid="{5549478C-27EA-48FC-AC10-96075D8E81E8}"/>
    <cellStyle name="40% - Énfasis4 2 4" xfId="7894" xr:uid="{A13FB3F8-2FEA-40F6-B146-1372121C5DB4}"/>
    <cellStyle name="40% - Énfasis4 2 4 10" xfId="7895" xr:uid="{C0C8009B-694A-455C-8A9C-D4F17576A415}"/>
    <cellStyle name="40% - Énfasis4 2 4 11" xfId="7896" xr:uid="{77993382-C140-49F3-BDE2-F67F1A3B59E7}"/>
    <cellStyle name="40% - Énfasis4 2 4 12" xfId="7897" xr:uid="{673D77F8-34D6-4230-8B61-CB1AE8B3DAF4}"/>
    <cellStyle name="40% - Énfasis4 2 4 13" xfId="44234" xr:uid="{0C6D4684-EEB7-4800-95FD-FD27EB1EB632}"/>
    <cellStyle name="40% - Énfasis4 2 4 2" xfId="7898" xr:uid="{2C043C44-41AC-4827-9467-FC77556C4CEB}"/>
    <cellStyle name="40% - Énfasis4 2 4 2 10" xfId="7899" xr:uid="{DE8EE9FD-4530-4AFD-B923-A51790E4F56D}"/>
    <cellStyle name="40% - Énfasis4 2 4 2 11" xfId="7900" xr:uid="{FC0C2407-E9FF-48FA-8C25-37FC88720563}"/>
    <cellStyle name="40% - Énfasis4 2 4 2 12" xfId="7901" xr:uid="{072C4DA7-3391-4077-B83A-F4F22619038A}"/>
    <cellStyle name="40% - Énfasis4 2 4 2 13" xfId="44235" xr:uid="{D51FFA26-18D7-414C-B989-33A10DEA70E0}"/>
    <cellStyle name="40% - Énfasis4 2 4 2 2" xfId="7902" xr:uid="{86E0A352-93A5-4E74-AFF3-565959754A5A}"/>
    <cellStyle name="40% - Énfasis4 2 4 2 2 10" xfId="7903" xr:uid="{D2265E4E-062B-4B3E-9441-1ED6A9F5D801}"/>
    <cellStyle name="40% - Énfasis4 2 4 2 2 11" xfId="7904" xr:uid="{52F3A447-1E50-4461-95A7-0D66723D7CE3}"/>
    <cellStyle name="40% - Énfasis4 2 4 2 2 12" xfId="44236" xr:uid="{9CB8F814-ED7D-430B-907F-DC92AD878D9F}"/>
    <cellStyle name="40% - Énfasis4 2 4 2 2 2" xfId="7905" xr:uid="{F1A99C4F-4B74-49A9-A4E8-578104DBD4A9}"/>
    <cellStyle name="40% - Énfasis4 2 4 2 2 2 10" xfId="7906" xr:uid="{C65ABEBC-DD89-4BCB-B1A2-CDD42012FC21}"/>
    <cellStyle name="40% - Énfasis4 2 4 2 2 2 11" xfId="7907" xr:uid="{0E9AAD26-0435-42A9-A771-675EF110A64D}"/>
    <cellStyle name="40% - Énfasis4 2 4 2 2 2 2" xfId="7908" xr:uid="{1D4B30CB-22A9-4D0A-907D-D10D45F7CEB5}"/>
    <cellStyle name="40% - Énfasis4 2 4 2 2 2 2 2" xfId="7909" xr:uid="{F3268663-B0A9-4744-AE0E-3E9F6CC44180}"/>
    <cellStyle name="40% - Énfasis4 2 4 2 2 2 2 2 2" xfId="7910" xr:uid="{448DE32B-9B9B-4948-941B-F03230FDCDA9}"/>
    <cellStyle name="40% - Énfasis4 2 4 2 2 2 2 2 3" xfId="7911" xr:uid="{733B1EC4-0F14-4AEF-8331-4CEDAD14EBDF}"/>
    <cellStyle name="40% - Énfasis4 2 4 2 2 2 2 2 4" xfId="7912" xr:uid="{F658F22E-CBDA-414C-A686-BDABE1A1FFC3}"/>
    <cellStyle name="40% - Énfasis4 2 4 2 2 2 2 2 5" xfId="7913" xr:uid="{5EF01A8E-4FC4-4020-8353-FA17009731D3}"/>
    <cellStyle name="40% - Énfasis4 2 4 2 2 2 2 3" xfId="7914" xr:uid="{449D4105-528D-43AF-9F1B-B6ACFD61A58A}"/>
    <cellStyle name="40% - Énfasis4 2 4 2 2 2 2 4" xfId="7915" xr:uid="{3D62FC25-3959-42EF-9353-5143BA78B747}"/>
    <cellStyle name="40% - Énfasis4 2 4 2 2 2 2 5" xfId="7916" xr:uid="{6F8369FC-255F-42C6-9F28-1F148F5622DE}"/>
    <cellStyle name="40% - Énfasis4 2 4 2 2 2 3" xfId="7917" xr:uid="{A2DCE7F4-4BA2-46D6-A449-2B41CF3E1140}"/>
    <cellStyle name="40% - Énfasis4 2 4 2 2 2 4" xfId="7918" xr:uid="{5ABC01EB-0C40-4F69-87A1-0C2436A32186}"/>
    <cellStyle name="40% - Énfasis4 2 4 2 2 2 5" xfId="7919" xr:uid="{81CA2FD8-BF6F-477F-8380-CC24F2A300C0}"/>
    <cellStyle name="40% - Énfasis4 2 4 2 2 2 6" xfId="7920" xr:uid="{1703C512-01A0-417D-A656-4BF40B754434}"/>
    <cellStyle name="40% - Énfasis4 2 4 2 2 2 7" xfId="7921" xr:uid="{891A3746-0803-471D-A840-D6947D7D0962}"/>
    <cellStyle name="40% - Énfasis4 2 4 2 2 2 8" xfId="7922" xr:uid="{33451B14-744F-46B3-B2EB-4F3D00E03CF2}"/>
    <cellStyle name="40% - Énfasis4 2 4 2 2 2 9" xfId="7923" xr:uid="{70A466A6-64A0-4272-A935-F9EE34402B68}"/>
    <cellStyle name="40% - Énfasis4 2 4 2 2 3" xfId="7924" xr:uid="{A688F159-AB54-40E0-A1B3-A3C738124E0C}"/>
    <cellStyle name="40% - Énfasis4 2 4 2 2 3 2" xfId="7925" xr:uid="{02F5FB54-1B68-4139-8465-2CA7349058F9}"/>
    <cellStyle name="40% - Énfasis4 2 4 2 2 3 2 2" xfId="7926" xr:uid="{D7A598F1-DA89-40B0-AC8D-257015F5AA99}"/>
    <cellStyle name="40% - Énfasis4 2 4 2 2 3 2 3" xfId="7927" xr:uid="{E7474E86-5586-43BB-A5EA-D94903002ECE}"/>
    <cellStyle name="40% - Énfasis4 2 4 2 2 3 2 4" xfId="7928" xr:uid="{83278822-C9F2-40F3-956E-6C38360D756C}"/>
    <cellStyle name="40% - Énfasis4 2 4 2 2 3 2 5" xfId="7929" xr:uid="{F88EA79E-3769-476F-BBD0-AB635BDE2823}"/>
    <cellStyle name="40% - Énfasis4 2 4 2 2 3 3" xfId="7930" xr:uid="{383D9280-D79B-497D-80F2-8C0CB1A4DCBC}"/>
    <cellStyle name="40% - Énfasis4 2 4 2 2 3 4" xfId="7931" xr:uid="{E1D0812D-4FB7-432C-B930-1E78CB50FBC9}"/>
    <cellStyle name="40% - Énfasis4 2 4 2 2 3 5" xfId="7932" xr:uid="{424BD298-8A38-4CAA-AF72-03EAD2BFC21B}"/>
    <cellStyle name="40% - Énfasis4 2 4 2 2 4" xfId="7933" xr:uid="{8218B5B2-1351-48BE-96E6-55EE89CEC109}"/>
    <cellStyle name="40% - Énfasis4 2 4 2 2 5" xfId="7934" xr:uid="{BC7274E8-E917-4B75-8CA0-B5BF6CAAEBB0}"/>
    <cellStyle name="40% - Énfasis4 2 4 2 2 6" xfId="7935" xr:uid="{1FC51293-058C-4994-8BD3-D688858A1389}"/>
    <cellStyle name="40% - Énfasis4 2 4 2 2 7" xfId="7936" xr:uid="{BAF92F4F-20B7-4E74-AD96-707B4FC8A234}"/>
    <cellStyle name="40% - Énfasis4 2 4 2 2 8" xfId="7937" xr:uid="{DC61D81F-B27F-47F8-9A20-5ABA893661B5}"/>
    <cellStyle name="40% - Énfasis4 2 4 2 2 9" xfId="7938" xr:uid="{C7683A94-2D59-4D62-9C20-582B8FF5F413}"/>
    <cellStyle name="40% - Énfasis4 2 4 2 3" xfId="7939" xr:uid="{847B6BD3-79A5-4ECF-A291-DD55078734E0}"/>
    <cellStyle name="40% - Énfasis4 2 4 2 3 2" xfId="7940" xr:uid="{E0AE1E4E-D89A-43D8-9CCC-6C2510D8880C}"/>
    <cellStyle name="40% - Énfasis4 2 4 2 3 2 2" xfId="7941" xr:uid="{5A1D9B3B-3BF2-4D76-8358-60E701FA6209}"/>
    <cellStyle name="40% - Énfasis4 2 4 2 3 2 3" xfId="7942" xr:uid="{4F36A7E5-69C1-4F1C-A56E-07E6A5DC225E}"/>
    <cellStyle name="40% - Énfasis4 2 4 2 3 2 4" xfId="7943" xr:uid="{A52B5A18-58EF-4247-BB84-4399FEC8BB34}"/>
    <cellStyle name="40% - Énfasis4 2 4 2 3 2 5" xfId="7944" xr:uid="{17807C55-37C0-4BB9-A5F0-573829C3CF80}"/>
    <cellStyle name="40% - Énfasis4 2 4 2 3 3" xfId="7945" xr:uid="{4392AFC6-C806-4FD0-80A2-81A19056A967}"/>
    <cellStyle name="40% - Énfasis4 2 4 2 3 4" xfId="7946" xr:uid="{FFB2E19C-D82A-409F-BAC5-7298142DF956}"/>
    <cellStyle name="40% - Énfasis4 2 4 2 3 5" xfId="7947" xr:uid="{1CC1198C-344A-445E-84A8-3A606F65CE7D}"/>
    <cellStyle name="40% - Énfasis4 2 4 2 4" xfId="7948" xr:uid="{5A07A312-1AD1-4CB2-9625-443166CBD2D9}"/>
    <cellStyle name="40% - Énfasis4 2 4 2 5" xfId="7949" xr:uid="{4939BC52-0825-4F61-BD95-3F34660FE2F9}"/>
    <cellStyle name="40% - Énfasis4 2 4 2 6" xfId="7950" xr:uid="{C45C17D4-B834-44F6-B51C-3111DBD1EF7E}"/>
    <cellStyle name="40% - Énfasis4 2 4 2 7" xfId="7951" xr:uid="{A95067AA-6F68-428E-ACC3-7DFB629F0C6C}"/>
    <cellStyle name="40% - Énfasis4 2 4 2 8" xfId="7952" xr:uid="{2DE51E40-2636-4D77-BF1D-25FF5E6A7962}"/>
    <cellStyle name="40% - Énfasis4 2 4 2 9" xfId="7953" xr:uid="{1806B795-319D-4AC3-9AA2-3BA2AF55B842}"/>
    <cellStyle name="40% - Énfasis4 2 4 3" xfId="7954" xr:uid="{3716F4FF-281B-44DD-A640-E0510FCB7C0E}"/>
    <cellStyle name="40% - Énfasis4 2 4 3 10" xfId="7955" xr:uid="{1A5D9B00-4271-428A-AE09-308BB0F041EC}"/>
    <cellStyle name="40% - Énfasis4 2 4 3 11" xfId="7956" xr:uid="{F05501F7-D7A4-48FE-8145-7D2F9103C466}"/>
    <cellStyle name="40% - Énfasis4 2 4 3 12" xfId="44237" xr:uid="{C0463ED6-F263-4253-ACC4-0C84FFF157BA}"/>
    <cellStyle name="40% - Énfasis4 2 4 3 2" xfId="7957" xr:uid="{88F9B837-7555-4402-BBEF-1C3AE0C1E3E4}"/>
    <cellStyle name="40% - Énfasis4 2 4 3 2 2" xfId="7958" xr:uid="{BC41A126-33B2-48AB-9883-113808977E3C}"/>
    <cellStyle name="40% - Énfasis4 2 4 3 2 2 2" xfId="7959" xr:uid="{C678823F-5B00-4E47-AF5F-70D4B20BC5D2}"/>
    <cellStyle name="40% - Énfasis4 2 4 3 2 2 3" xfId="7960" xr:uid="{06A1B0C3-60A6-4E4E-9131-7958557884F6}"/>
    <cellStyle name="40% - Énfasis4 2 4 3 2 2 4" xfId="7961" xr:uid="{F17C5CDB-103C-4CC6-82C7-75A6FBD1F851}"/>
    <cellStyle name="40% - Énfasis4 2 4 3 2 2 5" xfId="7962" xr:uid="{AFEF59B9-F1F1-4F46-A3F9-43569BDF5014}"/>
    <cellStyle name="40% - Énfasis4 2 4 3 2 3" xfId="7963" xr:uid="{C02A0646-429B-4E23-8A20-C6AEE081CC5E}"/>
    <cellStyle name="40% - Énfasis4 2 4 3 2 4" xfId="7964" xr:uid="{C69A065F-0A03-402B-B8A5-EA21006E01C4}"/>
    <cellStyle name="40% - Énfasis4 2 4 3 2 5" xfId="7965" xr:uid="{B82FA2A3-7752-4CA1-9151-282A96C79547}"/>
    <cellStyle name="40% - Énfasis4 2 4 3 3" xfId="7966" xr:uid="{66F4484D-DE3F-4A19-B1E5-7215711A2E0F}"/>
    <cellStyle name="40% - Énfasis4 2 4 3 4" xfId="7967" xr:uid="{336D47AD-4F82-4816-94CC-37BD54ABB458}"/>
    <cellStyle name="40% - Énfasis4 2 4 3 5" xfId="7968" xr:uid="{33D38527-0D8B-4C14-B6CA-DB5B1408B9A9}"/>
    <cellStyle name="40% - Énfasis4 2 4 3 6" xfId="7969" xr:uid="{2CDFD642-D1D4-4C01-8E31-B87BF3DEAC25}"/>
    <cellStyle name="40% - Énfasis4 2 4 3 7" xfId="7970" xr:uid="{791DBAB0-6596-4A70-9A55-DCA3A0339B0A}"/>
    <cellStyle name="40% - Énfasis4 2 4 3 8" xfId="7971" xr:uid="{45D419B3-ABF2-4EB8-8CDF-E2DA4EF6C976}"/>
    <cellStyle name="40% - Énfasis4 2 4 3 9" xfId="7972" xr:uid="{FE4BD3EC-DEBA-405D-B8C0-9BF2AC396F9B}"/>
    <cellStyle name="40% - Énfasis4 2 4 4" xfId="7973" xr:uid="{09008C00-A86F-467A-BBBC-17D49B9F7D26}"/>
    <cellStyle name="40% - Énfasis4 2 4 4 2" xfId="7974" xr:uid="{442E72B9-11BB-4F11-BA26-EDDA6C486CCD}"/>
    <cellStyle name="40% - Énfasis4 2 4 4 2 2" xfId="7975" xr:uid="{178ECC14-E5F0-4499-B4E3-11703F5A77A4}"/>
    <cellStyle name="40% - Énfasis4 2 4 4 2 3" xfId="7976" xr:uid="{A1A11E42-F5B0-49AA-865D-3C9175F0EB31}"/>
    <cellStyle name="40% - Énfasis4 2 4 4 2 4" xfId="7977" xr:uid="{B8C4F6E8-040F-49BC-A49D-434D3791D1D4}"/>
    <cellStyle name="40% - Énfasis4 2 4 4 2 5" xfId="7978" xr:uid="{3B75BF14-9BD3-47E8-B461-85A7D4E79C5E}"/>
    <cellStyle name="40% - Énfasis4 2 4 4 3" xfId="7979" xr:uid="{58852E14-A866-4872-9E55-27F162F648D2}"/>
    <cellStyle name="40% - Énfasis4 2 4 4 4" xfId="7980" xr:uid="{19C4CC2D-B8CF-4891-ADD9-1E5342646E4C}"/>
    <cellStyle name="40% - Énfasis4 2 4 4 5" xfId="7981" xr:uid="{9094BFEE-A732-4E65-B53A-636A4936EDA7}"/>
    <cellStyle name="40% - Énfasis4 2 4 5" xfId="7982" xr:uid="{210EE718-83A6-4209-B6F0-5DE7BD570779}"/>
    <cellStyle name="40% - Énfasis4 2 4 6" xfId="7983" xr:uid="{30BBB59D-969D-465B-B346-67467A802482}"/>
    <cellStyle name="40% - Énfasis4 2 4 7" xfId="7984" xr:uid="{503058A5-4AD3-480F-A05F-A5C3FC38D3EF}"/>
    <cellStyle name="40% - Énfasis4 2 4 8" xfId="7985" xr:uid="{FB917901-87EF-4283-8692-624C02534289}"/>
    <cellStyle name="40% - Énfasis4 2 4 9" xfId="7986" xr:uid="{68CC581B-1661-4EA4-B1B8-DBCADF571E62}"/>
    <cellStyle name="40% - Énfasis4 2 5" xfId="7987" xr:uid="{C16D39A8-FF5F-44BE-A0BC-36EE05377764}"/>
    <cellStyle name="40% - Énfasis4 2 5 2" xfId="7988" xr:uid="{719D1E1B-C1C4-4CE7-9963-AE32434D7438}"/>
    <cellStyle name="40% - Énfasis4 2 5 2 2" xfId="44239" xr:uid="{6C06B781-8AFE-4FB9-8F1E-7C871BE5E9EE}"/>
    <cellStyle name="40% - Énfasis4 2 5 3" xfId="44238" xr:uid="{FF70AA4D-22DE-4AB9-8A6F-38294D4B4740}"/>
    <cellStyle name="40% - Énfasis4 2 6" xfId="7989" xr:uid="{CBC41752-1C2A-4E37-B804-174B73C3D2B6}"/>
    <cellStyle name="40% - Énfasis4 2 6 2" xfId="7990" xr:uid="{34C57EDC-68B3-4248-ABAD-6F7FD25082D7}"/>
    <cellStyle name="40% - Énfasis4 2 6 3" xfId="44240" xr:uid="{64DD95C7-E00D-4ABC-985B-A5667A8758C5}"/>
    <cellStyle name="40% - Énfasis4 2 7" xfId="7991" xr:uid="{7C275D48-4FD3-4E5E-8E5B-698F2D0EC699}"/>
    <cellStyle name="40% - Énfasis4 2 7 2" xfId="7992" xr:uid="{4E8F2BE5-3105-4E65-BD63-9FA16C59CC07}"/>
    <cellStyle name="40% - Énfasis4 2 8" xfId="7993" xr:uid="{B95ECD51-C5C0-4624-B89E-54F9793D38DD}"/>
    <cellStyle name="40% - Énfasis4 2 8 2" xfId="7994" xr:uid="{6762AE18-6EA3-4C2D-B7D2-8BA3282B1F03}"/>
    <cellStyle name="40% - Énfasis4 2 8 2 2" xfId="7995" xr:uid="{53744A3C-A475-40A7-B847-2A2F119AEC62}"/>
    <cellStyle name="40% - Énfasis4 2 8 3" xfId="7996" xr:uid="{D5373F58-EFA8-434A-9CAB-0A1719BFBFAA}"/>
    <cellStyle name="40% - Énfasis4 2 9" xfId="7997" xr:uid="{0FEF8EAA-99C5-4E2E-A4D8-B95129C7C9C3}"/>
    <cellStyle name="40% - Énfasis4 2 9 2" xfId="7998" xr:uid="{1FC29027-241E-4E2A-8DF5-1ADB0401B1E6}"/>
    <cellStyle name="40% - Énfasis4 3" xfId="7999" xr:uid="{3C6802F9-0DC2-40E4-BC1E-AF9950B64C69}"/>
    <cellStyle name="40% - Énfasis4 3 2" xfId="8000" xr:uid="{5960B793-3DAF-4AAE-BCB7-3DC7277609C2}"/>
    <cellStyle name="40% - Énfasis4 3 2 2" xfId="8001" xr:uid="{F75C94D1-33F8-46F2-9B9A-8A7E6BD2FFD0}"/>
    <cellStyle name="40% - Énfasis4 3 2 2 2" xfId="44244" xr:uid="{47EC7600-D01D-49E5-AAA4-0F47673C6357}"/>
    <cellStyle name="40% - Énfasis4 3 2 2 2 2" xfId="44245" xr:uid="{84FB84AD-5BAC-4082-BEA4-17FEED05111F}"/>
    <cellStyle name="40% - Énfasis4 3 2 2 3" xfId="44246" xr:uid="{3015D650-8346-4162-838E-17EE0A95E5AF}"/>
    <cellStyle name="40% - Énfasis4 3 2 2 4" xfId="44243" xr:uid="{BAEE0888-548B-4897-BDAC-867D48BF384C}"/>
    <cellStyle name="40% - Énfasis4 3 2 3" xfId="44247" xr:uid="{61EF4C0A-EF86-44A3-AFEB-277489D4F518}"/>
    <cellStyle name="40% - Énfasis4 3 2 3 2" xfId="44248" xr:uid="{B6144F58-C09C-4DB9-B6A0-3D12E98580A4}"/>
    <cellStyle name="40% - Énfasis4 3 2 4" xfId="44249" xr:uid="{33155513-0D00-4EDA-B552-4BCB70D7ACCA}"/>
    <cellStyle name="40% - Énfasis4 3 2 5" xfId="44242" xr:uid="{FF9B7353-B4C1-4DFB-AFFF-C96276003793}"/>
    <cellStyle name="40% - Énfasis4 3 3" xfId="8002" xr:uid="{5A6C3EAB-7491-4465-B042-3A46B6C49CFE}"/>
    <cellStyle name="40% - Énfasis4 3 3 2" xfId="8003" xr:uid="{45571619-CD4B-4C9C-82B6-70F83AFC2628}"/>
    <cellStyle name="40% - Énfasis4 3 3 2 2" xfId="44252" xr:uid="{1AAAD0FC-08C8-4EE5-AD85-1166376A259D}"/>
    <cellStyle name="40% - Énfasis4 3 3 2 3" xfId="44251" xr:uid="{15692503-3F5D-42ED-A87A-3EC82778AEA1}"/>
    <cellStyle name="40% - Énfasis4 3 3 3" xfId="44253" xr:uid="{9ABA03EE-8499-4644-9FBB-A29294FFD3A6}"/>
    <cellStyle name="40% - Énfasis4 3 3 4" xfId="44250" xr:uid="{B5BDD792-502B-438E-898B-2C1EBED4297E}"/>
    <cellStyle name="40% - Énfasis4 3 4" xfId="8004" xr:uid="{44A2ABC7-AE74-409F-AF8E-3C4385340A8F}"/>
    <cellStyle name="40% - Énfasis4 3 4 2" xfId="44255" xr:uid="{34CA13CD-A075-4ABE-A0C6-EFE052F5D5C6}"/>
    <cellStyle name="40% - Énfasis4 3 4 3" xfId="44254" xr:uid="{5A653A26-7A72-48F7-A651-23DB8C62BABA}"/>
    <cellStyle name="40% - Énfasis4 3 5" xfId="44256" xr:uid="{3DA02700-EB5E-4E02-A387-A0B23FEE76BF}"/>
    <cellStyle name="40% - Énfasis4 3 6" xfId="44241" xr:uid="{5460953B-13D0-4B79-8BE0-8431B19ADB46}"/>
    <cellStyle name="40% - Énfasis4 4" xfId="8005" xr:uid="{9A4ECEB0-4F1B-4788-8C6E-0C6FFE58908B}"/>
    <cellStyle name="40% - Énfasis4 4 2" xfId="8006" xr:uid="{6082FEA6-1B96-4E0A-BCD5-E59B2C3FD89D}"/>
    <cellStyle name="40% - Énfasis4 4 2 2" xfId="44259" xr:uid="{B287DECF-54DA-4B64-B407-C9E9CEEB1692}"/>
    <cellStyle name="40% - Énfasis4 4 2 2 2" xfId="44260" xr:uid="{02374BB5-31B8-4BFD-B9FD-78B8641C7DB0}"/>
    <cellStyle name="40% - Énfasis4 4 2 3" xfId="44261" xr:uid="{E85A4410-3CD2-4CC1-AE9F-6C2258BFFF78}"/>
    <cellStyle name="40% - Énfasis4 4 2 4" xfId="44258" xr:uid="{59CC1B6B-C9D4-4383-8DA8-49FC2AEDF49E}"/>
    <cellStyle name="40% - Énfasis4 4 3" xfId="44262" xr:uid="{8F1B6020-5B92-439F-B7AE-CFCF71039B0C}"/>
    <cellStyle name="40% - Énfasis4 4 3 2" xfId="44263" xr:uid="{1BA575C6-C9FA-4C8F-B21B-EC46FE70D586}"/>
    <cellStyle name="40% - Énfasis4 4 4" xfId="44264" xr:uid="{99F4B570-01FE-41D0-828E-4E349CA4EAE3}"/>
    <cellStyle name="40% - Énfasis4 4 5" xfId="44257" xr:uid="{7E0AB148-957F-48A3-8C5C-EBD006A77233}"/>
    <cellStyle name="40% - Énfasis4 5" xfId="44265" xr:uid="{9A65F6DA-54A2-462F-8B25-6C2C7912E65F}"/>
    <cellStyle name="40% - Énfasis4 5 2" xfId="44266" xr:uid="{6AA91F21-1E6B-4980-AF20-9653ACE0C302}"/>
    <cellStyle name="40% - Énfasis4 5 2 2" xfId="44267" xr:uid="{FE275243-A8DB-4798-B156-E4E3C437D225}"/>
    <cellStyle name="40% - Énfasis4 5 2 2 2" xfId="44268" xr:uid="{AC076F7B-D756-4527-94A2-491BA738224B}"/>
    <cellStyle name="40% - Énfasis4 5 2 3" xfId="44269" xr:uid="{8151A7C2-A7BE-4B30-AF75-DA37AAA9810B}"/>
    <cellStyle name="40% - Énfasis4 5 3" xfId="44270" xr:uid="{8C4EB50B-A565-4E3C-9BF8-23F377A6870A}"/>
    <cellStyle name="40% - Énfasis4 5 3 2" xfId="44271" xr:uid="{E9A72421-E012-4EDE-BE3D-0307D79B5B0C}"/>
    <cellStyle name="40% - Énfasis4 5 4" xfId="44272" xr:uid="{2CD8A81D-0F13-48A2-AFE7-1B717B4F6107}"/>
    <cellStyle name="40% - Énfasis4 6" xfId="44273" xr:uid="{6BF6E4FA-B187-47D7-845C-DD11410FF9DC}"/>
    <cellStyle name="40% - Énfasis4 6 2" xfId="44274" xr:uid="{05AB7636-F552-4B60-B373-DE247262B01D}"/>
    <cellStyle name="40% - Énfasis4 6 2 2" xfId="44275" xr:uid="{461FA724-FF08-468E-BC26-64A5C74C8803}"/>
    <cellStyle name="40% - Énfasis4 6 3" xfId="44276" xr:uid="{2AA4F4BB-E96E-4696-BFB1-2D078F0BCFA2}"/>
    <cellStyle name="40% - Énfasis4 7" xfId="44277" xr:uid="{5377AE92-9001-4666-A945-66958ADF4481}"/>
    <cellStyle name="40% - Énfasis4 7 2" xfId="44278" xr:uid="{C826D75F-A4B1-49F6-858A-A762589BD01F}"/>
    <cellStyle name="40% - Énfasis4 8" xfId="44279" xr:uid="{FEC64897-9C7A-449F-9974-E41F2BAC7404}"/>
    <cellStyle name="40% - Énfasis5" xfId="37" builtinId="47" customBuiltin="1"/>
    <cellStyle name="40% - Énfasis5 2" xfId="8007" xr:uid="{CBA6019C-058F-43C9-B3C7-DC54A2D72CF6}"/>
    <cellStyle name="40% - Énfasis5 2 10" xfId="8008" xr:uid="{17342BE5-9361-47FE-AFE3-08205B8F14CE}"/>
    <cellStyle name="40% - Énfasis5 2 10 10" xfId="8009" xr:uid="{635444F4-5E05-4079-9D35-BC0FB041E1A1}"/>
    <cellStyle name="40% - Énfasis5 2 10 11" xfId="8010" xr:uid="{3F114FD7-CAD1-4661-95ED-22161C300C64}"/>
    <cellStyle name="40% - Énfasis5 2 10 2" xfId="8011" xr:uid="{E84AFA44-58BD-4B29-83B1-A8BB261F41D9}"/>
    <cellStyle name="40% - Énfasis5 2 10 2 10" xfId="8012" xr:uid="{3F5EFD40-6198-41C2-9DAC-B85D1ED50A15}"/>
    <cellStyle name="40% - Énfasis5 2 10 2 11" xfId="8013" xr:uid="{D882327F-471C-48EC-913A-0697B3D629DE}"/>
    <cellStyle name="40% - Énfasis5 2 10 2 2" xfId="8014" xr:uid="{6F29DF18-1BDC-4F36-870E-092DEC2E83B1}"/>
    <cellStyle name="40% - Énfasis5 2 10 2 2 2" xfId="8015" xr:uid="{54122F97-62AE-45CF-81D3-2474F76861DD}"/>
    <cellStyle name="40% - Énfasis5 2 10 2 2 2 2" xfId="8016" xr:uid="{C0007432-FB4E-4FFA-9D4B-C8C02FEE939E}"/>
    <cellStyle name="40% - Énfasis5 2 10 2 2 2 3" xfId="8017" xr:uid="{B1D03500-4E9F-4D89-A2AB-9DDF8A6525A0}"/>
    <cellStyle name="40% - Énfasis5 2 10 2 2 2 4" xfId="8018" xr:uid="{5E8D9E19-B8CA-4442-9262-70458774CA58}"/>
    <cellStyle name="40% - Énfasis5 2 10 2 2 2 5" xfId="8019" xr:uid="{B73741DA-FC6B-48D1-A287-C588E841C331}"/>
    <cellStyle name="40% - Énfasis5 2 10 2 2 3" xfId="8020" xr:uid="{11C384E4-FEB7-49BE-B4C4-19037479B3BB}"/>
    <cellStyle name="40% - Énfasis5 2 10 2 2 4" xfId="8021" xr:uid="{46280545-CC69-4BF1-A9FD-84022477161F}"/>
    <cellStyle name="40% - Énfasis5 2 10 2 2 5" xfId="8022" xr:uid="{15C2FE42-4082-4A92-93A2-41192A0E8CD6}"/>
    <cellStyle name="40% - Énfasis5 2 10 2 3" xfId="8023" xr:uid="{5FFD8F10-02E5-41D0-AF7A-D75428B8C761}"/>
    <cellStyle name="40% - Énfasis5 2 10 2 4" xfId="8024" xr:uid="{4513DD3F-632C-4514-9107-3E366A3F81AA}"/>
    <cellStyle name="40% - Énfasis5 2 10 2 5" xfId="8025" xr:uid="{0FACFF90-DB88-4F4F-8FE7-5BF8A44691C2}"/>
    <cellStyle name="40% - Énfasis5 2 10 2 6" xfId="8026" xr:uid="{20AC1DD2-3DFF-4908-891D-17428ED56008}"/>
    <cellStyle name="40% - Énfasis5 2 10 2 7" xfId="8027" xr:uid="{D1627146-A4C0-4C4E-8A83-6A1E66290C7E}"/>
    <cellStyle name="40% - Énfasis5 2 10 2 8" xfId="8028" xr:uid="{CEED95CD-F054-4EA8-A277-4C3B7EED7BAF}"/>
    <cellStyle name="40% - Énfasis5 2 10 2 9" xfId="8029" xr:uid="{3D709E3C-F136-417D-B6A7-B40C941ABF94}"/>
    <cellStyle name="40% - Énfasis5 2 10 3" xfId="8030" xr:uid="{9B465E19-EB2B-4BD6-8DE4-D2FC71977E26}"/>
    <cellStyle name="40% - Énfasis5 2 10 3 2" xfId="8031" xr:uid="{09C63E68-46EC-4B94-8337-80BB678B48BB}"/>
    <cellStyle name="40% - Énfasis5 2 10 3 2 2" xfId="8032" xr:uid="{A654D211-5717-4983-81DF-827A303C1D3D}"/>
    <cellStyle name="40% - Énfasis5 2 10 3 2 3" xfId="8033" xr:uid="{535CA5E6-2B2C-45C7-9C5E-C9572AB07DFB}"/>
    <cellStyle name="40% - Énfasis5 2 10 3 2 4" xfId="8034" xr:uid="{A9C1D997-77B4-4C88-BF6A-4B631CFBD6E0}"/>
    <cellStyle name="40% - Énfasis5 2 10 3 2 5" xfId="8035" xr:uid="{31B84225-4CCC-4106-B728-5CC8A27FABCB}"/>
    <cellStyle name="40% - Énfasis5 2 10 3 3" xfId="8036" xr:uid="{EE990AD4-A05E-496A-9B3D-BBA290901A0D}"/>
    <cellStyle name="40% - Énfasis5 2 10 3 4" xfId="8037" xr:uid="{ACB1EA33-A428-48B0-A688-EA3CD087CA4A}"/>
    <cellStyle name="40% - Énfasis5 2 10 3 5" xfId="8038" xr:uid="{6E881D3F-66B4-477A-8D99-A780CAABFA3D}"/>
    <cellStyle name="40% - Énfasis5 2 10 4" xfId="8039" xr:uid="{E7C7ABFF-2B77-47C8-903D-7942B4124738}"/>
    <cellStyle name="40% - Énfasis5 2 10 5" xfId="8040" xr:uid="{788354DB-01E9-4585-87EB-EB27664FD3C8}"/>
    <cellStyle name="40% - Énfasis5 2 10 6" xfId="8041" xr:uid="{848A0BD2-7315-48E1-9BBF-7820FB2E362D}"/>
    <cellStyle name="40% - Énfasis5 2 10 7" xfId="8042" xr:uid="{116A0628-E78C-48D5-9747-29B1EDEB032F}"/>
    <cellStyle name="40% - Énfasis5 2 10 8" xfId="8043" xr:uid="{F10C3FC4-7404-4FCF-9736-923A77A95929}"/>
    <cellStyle name="40% - Énfasis5 2 10 9" xfId="8044" xr:uid="{C7AD5B88-5E7B-45B1-9E2E-7D5AC3958768}"/>
    <cellStyle name="40% - Énfasis5 2 11" xfId="8045" xr:uid="{47ACB755-4EC0-4405-948E-F4DA12DDF358}"/>
    <cellStyle name="40% - Énfasis5 2 12" xfId="8046" xr:uid="{82A07BBC-12F3-4CF6-82D4-672DA1CC323F}"/>
    <cellStyle name="40% - Énfasis5 2 13" xfId="8047" xr:uid="{E5B7F0EE-4B14-418E-B4D1-CD273A6488DD}"/>
    <cellStyle name="40% - Énfasis5 2 14" xfId="44280" xr:uid="{9EE85788-6F6D-4F9F-93DF-0C45DFDBAF82}"/>
    <cellStyle name="40% - Énfasis5 2 2" xfId="8048" xr:uid="{939120A9-9659-4BA3-BDC1-38C11F56B1AE}"/>
    <cellStyle name="40% - Énfasis5 2 2 10" xfId="8049" xr:uid="{7C07A1AE-E912-4CBF-BA22-AD4EF4448DFC}"/>
    <cellStyle name="40% - Énfasis5 2 2 10 10" xfId="8050" xr:uid="{DAB162DA-8111-4916-9BE5-AC416FFCF178}"/>
    <cellStyle name="40% - Énfasis5 2 2 10 11" xfId="8051" xr:uid="{9B815BE8-519E-423C-BB4A-58B1319AF2B6}"/>
    <cellStyle name="40% - Énfasis5 2 2 10 2" xfId="8052" xr:uid="{1E281612-DDA7-43F0-A122-BB777366B148}"/>
    <cellStyle name="40% - Énfasis5 2 2 10 2 10" xfId="8053" xr:uid="{D9C22445-6BEF-4F87-9F4E-E72D427301E0}"/>
    <cellStyle name="40% - Énfasis5 2 2 10 2 11" xfId="8054" xr:uid="{78CFB760-B12F-4E81-BFD3-696B58763CBE}"/>
    <cellStyle name="40% - Énfasis5 2 2 10 2 2" xfId="8055" xr:uid="{17B3DB6E-DDA9-46D1-8E25-2D8667C4C0A9}"/>
    <cellStyle name="40% - Énfasis5 2 2 10 2 2 2" xfId="8056" xr:uid="{C41A27D0-024F-42C6-8F43-27F4E20BC250}"/>
    <cellStyle name="40% - Énfasis5 2 2 10 2 2 2 2" xfId="8057" xr:uid="{7A9594A6-BCBA-4A73-AF75-F1BE80E17BE7}"/>
    <cellStyle name="40% - Énfasis5 2 2 10 2 2 2 3" xfId="8058" xr:uid="{CD43A06F-30A6-44CE-9C3B-CA490F97F813}"/>
    <cellStyle name="40% - Énfasis5 2 2 10 2 2 2 4" xfId="8059" xr:uid="{3C5BF300-6B3E-4176-9FC5-24ED13ECC331}"/>
    <cellStyle name="40% - Énfasis5 2 2 10 2 2 2 5" xfId="8060" xr:uid="{B72AF682-84FB-4591-9B97-B009EE32CBE3}"/>
    <cellStyle name="40% - Énfasis5 2 2 10 2 2 3" xfId="8061" xr:uid="{3286092B-DCC7-4C76-AD3B-D124D985E9B4}"/>
    <cellStyle name="40% - Énfasis5 2 2 10 2 2 4" xfId="8062" xr:uid="{C744EB08-D350-494E-8AFC-EB6981BC211B}"/>
    <cellStyle name="40% - Énfasis5 2 2 10 2 2 5" xfId="8063" xr:uid="{8FA85119-D56E-4CC5-8D90-3F5C55E218AC}"/>
    <cellStyle name="40% - Énfasis5 2 2 10 2 3" xfId="8064" xr:uid="{331F7519-1EA1-4E11-B332-8A24D8C4DFAB}"/>
    <cellStyle name="40% - Énfasis5 2 2 10 2 4" xfId="8065" xr:uid="{5C5E2443-D7A1-4AC7-9175-5F5E7824EC0B}"/>
    <cellStyle name="40% - Énfasis5 2 2 10 2 5" xfId="8066" xr:uid="{1082DEC5-C997-4223-946C-7459210D0EB3}"/>
    <cellStyle name="40% - Énfasis5 2 2 10 2 6" xfId="8067" xr:uid="{B60CBA09-3DFE-4A8B-BC0F-00C2AB264D9E}"/>
    <cellStyle name="40% - Énfasis5 2 2 10 2 7" xfId="8068" xr:uid="{4C523E36-9289-4C1F-A92E-350885AFD56C}"/>
    <cellStyle name="40% - Énfasis5 2 2 10 2 8" xfId="8069" xr:uid="{47469E21-D427-48A4-831B-8312548E8446}"/>
    <cellStyle name="40% - Énfasis5 2 2 10 2 9" xfId="8070" xr:uid="{9008E6E4-81B9-4203-BF00-E35A9A235B12}"/>
    <cellStyle name="40% - Énfasis5 2 2 10 3" xfId="8071" xr:uid="{D7852417-EA2E-4048-BDC2-99F3EC122CA0}"/>
    <cellStyle name="40% - Énfasis5 2 2 10 3 2" xfId="8072" xr:uid="{9579F5ED-2B95-46E9-A5F8-AC20DD0C48C5}"/>
    <cellStyle name="40% - Énfasis5 2 2 10 3 2 2" xfId="8073" xr:uid="{1D0FD122-B638-495C-8D36-65736A5F0B41}"/>
    <cellStyle name="40% - Énfasis5 2 2 10 3 2 3" xfId="8074" xr:uid="{CED96489-D40B-4257-9DC4-1449C09215C0}"/>
    <cellStyle name="40% - Énfasis5 2 2 10 3 2 4" xfId="8075" xr:uid="{E28541FC-1DAF-4C69-93A2-DFA07A483700}"/>
    <cellStyle name="40% - Énfasis5 2 2 10 3 2 5" xfId="8076" xr:uid="{126974CA-C1A8-45A7-99BB-D39EA8D71917}"/>
    <cellStyle name="40% - Énfasis5 2 2 10 3 3" xfId="8077" xr:uid="{427B59FC-D2FE-48CF-9871-D49B28F8D284}"/>
    <cellStyle name="40% - Énfasis5 2 2 10 3 4" xfId="8078" xr:uid="{2863F583-D5E9-4633-B0B1-D3333D60D923}"/>
    <cellStyle name="40% - Énfasis5 2 2 10 3 5" xfId="8079" xr:uid="{E96E50D9-844B-4E33-A987-470F2F76743F}"/>
    <cellStyle name="40% - Énfasis5 2 2 10 4" xfId="8080" xr:uid="{8B86D030-498C-4B5C-A13B-19AF4BD96B9C}"/>
    <cellStyle name="40% - Énfasis5 2 2 10 5" xfId="8081" xr:uid="{99B4F95F-6D63-48C2-8978-984D9DB7D1A2}"/>
    <cellStyle name="40% - Énfasis5 2 2 10 6" xfId="8082" xr:uid="{2E2B3DD3-A3BF-445E-B202-D2C43E012B1F}"/>
    <cellStyle name="40% - Énfasis5 2 2 10 7" xfId="8083" xr:uid="{2110E66B-CE13-4ECA-A602-5CEC7B3A0483}"/>
    <cellStyle name="40% - Énfasis5 2 2 10 8" xfId="8084" xr:uid="{784E3885-107B-4A51-BD86-B66BB5BBA0C7}"/>
    <cellStyle name="40% - Énfasis5 2 2 10 9" xfId="8085" xr:uid="{24F4E08E-A29D-42DE-A692-B1D20CAFCB5F}"/>
    <cellStyle name="40% - Énfasis5 2 2 11" xfId="8086" xr:uid="{03783415-FA4F-4243-884C-ADA1BD251CBB}"/>
    <cellStyle name="40% - Énfasis5 2 2 12" xfId="8087" xr:uid="{5FE4F6FE-BCD3-4D93-8FAB-D4797A01ED66}"/>
    <cellStyle name="40% - Énfasis5 2 2 13" xfId="8088" xr:uid="{88677A79-E2A1-4594-AC45-CBE9685FDFDD}"/>
    <cellStyle name="40% - Énfasis5 2 2 14" xfId="44281" xr:uid="{DF7B13D5-E48F-4F11-A132-20DF8DFC1357}"/>
    <cellStyle name="40% - Énfasis5 2 2 2" xfId="8089" xr:uid="{80E8BA1E-B1E9-4A98-92AA-E050F595AC2D}"/>
    <cellStyle name="40% - Énfasis5 2 2 2 2" xfId="8090" xr:uid="{376FA7DC-0D1C-4807-ADC2-251B37F67687}"/>
    <cellStyle name="40% - Énfasis5 2 2 2 2 2" xfId="8091" xr:uid="{2B2AD40A-58F2-4AB5-9C6F-1DC6803EF0E8}"/>
    <cellStyle name="40% - Énfasis5 2 2 2 2 2 2" xfId="8092" xr:uid="{B3221F22-4256-4C38-843C-14D39A86323A}"/>
    <cellStyle name="40% - Énfasis5 2 2 2 2 2 2 2" xfId="8093" xr:uid="{38E64FC8-D7C0-4007-B6F3-F42AFD8B09DA}"/>
    <cellStyle name="40% - Énfasis5 2 2 2 2 2 2 2 2" xfId="8094" xr:uid="{3CAA2830-50F2-489D-ACB7-5AAD2A1FC1F4}"/>
    <cellStyle name="40% - Énfasis5 2 2 2 2 2 2 2 2 2" xfId="8095" xr:uid="{D856137A-397E-4CD1-BF4B-BE2C0F88383A}"/>
    <cellStyle name="40% - Énfasis5 2 2 2 2 2 2 2 2 2 2" xfId="8096" xr:uid="{A82AC213-5284-4C66-9416-AAD5EE60903F}"/>
    <cellStyle name="40% - Énfasis5 2 2 2 2 2 2 2 2 2 2 2" xfId="8097" xr:uid="{19B104C4-D370-4728-8F43-BB709212620C}"/>
    <cellStyle name="40% - Énfasis5 2 2 2 2 2 2 2 2 2 2 2 2" xfId="8098" xr:uid="{9703C1A5-83F4-4330-BF79-1C51866D44B2}"/>
    <cellStyle name="40% - Énfasis5 2 2 2 2 2 2 2 2 2 2 2 2 2" xfId="8099" xr:uid="{D9565B63-F8B1-4CD9-AF6B-1CF118F3754D}"/>
    <cellStyle name="40% - Énfasis5 2 2 2 2 2 2 2 2 2 2 2 2 2 2" xfId="8100" xr:uid="{1E6DDCA8-0509-46BC-AB3D-C5786D8A51C4}"/>
    <cellStyle name="40% - Énfasis5 2 2 2 2 2 2 2 2 2 2 2 2 2 3" xfId="8101" xr:uid="{D8A5318D-AC74-4152-980C-C0A948BD7F17}"/>
    <cellStyle name="40% - Énfasis5 2 2 2 2 2 2 2 2 2 2 2 2 2 4" xfId="8102" xr:uid="{1C05F33B-796E-4FF1-80C1-038D12BB11F9}"/>
    <cellStyle name="40% - Énfasis5 2 2 2 2 2 2 2 2 2 2 2 2 2 5" xfId="8103" xr:uid="{B39C6282-899A-4558-9852-BE893716F163}"/>
    <cellStyle name="40% - Énfasis5 2 2 2 2 2 2 2 2 2 2 2 2 3" xfId="8104" xr:uid="{662EC6D1-AD49-4575-A1C7-33610BCB8EEF}"/>
    <cellStyle name="40% - Énfasis5 2 2 2 2 2 2 2 2 2 2 2 2 4" xfId="8105" xr:uid="{7198A58A-E8DA-42B0-8D6B-052DB5C2D687}"/>
    <cellStyle name="40% - Énfasis5 2 2 2 2 2 2 2 2 2 2 2 2 5" xfId="8106" xr:uid="{F47B454C-51BB-448D-BEC9-C22C323178A5}"/>
    <cellStyle name="40% - Énfasis5 2 2 2 2 2 2 2 2 2 2 2 3" xfId="8107" xr:uid="{CC77D328-523C-490D-8A8D-AF1AACA8F171}"/>
    <cellStyle name="40% - Énfasis5 2 2 2 2 2 2 2 2 2 2 2 4" xfId="8108" xr:uid="{1460109A-3175-484C-B248-2E4980D94833}"/>
    <cellStyle name="40% - Énfasis5 2 2 2 2 2 2 2 2 2 2 2 5" xfId="8109" xr:uid="{F7478134-A0E8-40C0-BDF5-222D3D744DFC}"/>
    <cellStyle name="40% - Énfasis5 2 2 2 2 2 2 2 2 2 2 2 6" xfId="8110" xr:uid="{9BEA507E-D7C5-48D9-B729-20F1E3D88E4F}"/>
    <cellStyle name="40% - Énfasis5 2 2 2 2 2 2 2 2 2 2 3" xfId="8111" xr:uid="{4D66470F-37C7-4FAF-812D-B0B976B131EF}"/>
    <cellStyle name="40% - Énfasis5 2 2 2 2 2 2 2 2 2 2 4" xfId="8112" xr:uid="{D763135F-4523-4564-80EE-5918BD2BB7AA}"/>
    <cellStyle name="40% - Énfasis5 2 2 2 2 2 2 2 2 2 3" xfId="8113" xr:uid="{D7446D9A-EE4B-4E80-BE57-BBD2ADC82E3C}"/>
    <cellStyle name="40% - Énfasis5 2 2 2 2 2 2 2 2 2 4" xfId="8114" xr:uid="{7B9A7889-A95A-4AE3-96D4-C9DB70B128FD}"/>
    <cellStyle name="40% - Énfasis5 2 2 2 2 2 2 2 2 3" xfId="8115" xr:uid="{0684938B-6DC9-4298-843C-8C0F0C8E3767}"/>
    <cellStyle name="40% - Énfasis5 2 2 2 2 2 2 2 2 4" xfId="8116" xr:uid="{351290A6-BF0A-43B4-8382-93E119F18BD2}"/>
    <cellStyle name="40% - Énfasis5 2 2 2 2 2 2 2 2 5" xfId="8117" xr:uid="{A17BAD95-4470-4A33-BB9D-D4ACBAEECAA4}"/>
    <cellStyle name="40% - Énfasis5 2 2 2 2 2 2 2 3" xfId="8118" xr:uid="{CC3FAA09-19C5-4C18-A8C5-F49FA5C6A4D6}"/>
    <cellStyle name="40% - Énfasis5 2 2 2 2 2 2 2 3 10" xfId="8119" xr:uid="{826719E5-1465-4AC1-87A2-BEB266F6FE8E}"/>
    <cellStyle name="40% - Énfasis5 2 2 2 2 2 2 2 3 11" xfId="8120" xr:uid="{04066E57-7187-46F1-9790-1250F9D80D28}"/>
    <cellStyle name="40% - Énfasis5 2 2 2 2 2 2 2 3 2" xfId="8121" xr:uid="{6F7840CE-5949-41E0-83D1-944BFFC55F90}"/>
    <cellStyle name="40% - Énfasis5 2 2 2 2 2 2 2 3 2 2" xfId="8122" xr:uid="{9771D1CE-2C4C-4A3B-BA46-E7E730AAB96E}"/>
    <cellStyle name="40% - Énfasis5 2 2 2 2 2 2 2 3 2 2 2" xfId="8123" xr:uid="{5AAEB431-4CD6-4A73-8AB3-350C2A957B19}"/>
    <cellStyle name="40% - Énfasis5 2 2 2 2 2 2 2 3 2 2 3" xfId="8124" xr:uid="{6DC8B80E-E193-49F7-834E-8DCF65E0362E}"/>
    <cellStyle name="40% - Énfasis5 2 2 2 2 2 2 2 3 2 2 4" xfId="8125" xr:uid="{A3FD5649-7A6D-4836-B06B-5EFCC400463E}"/>
    <cellStyle name="40% - Énfasis5 2 2 2 2 2 2 2 3 2 2 5" xfId="8126" xr:uid="{0451D305-CB0A-4009-BCA9-AC8943ADE4E4}"/>
    <cellStyle name="40% - Énfasis5 2 2 2 2 2 2 2 3 2 3" xfId="8127" xr:uid="{90CF6ADC-C597-4AD1-9AD7-FE3B7BBB52B7}"/>
    <cellStyle name="40% - Énfasis5 2 2 2 2 2 2 2 3 2 4" xfId="8128" xr:uid="{3377BABD-4E1D-44CB-82FC-6F9032B8F7F9}"/>
    <cellStyle name="40% - Énfasis5 2 2 2 2 2 2 2 3 2 5" xfId="8129" xr:uid="{F1C3A260-AC6D-47D7-9EC3-59828613D0FB}"/>
    <cellStyle name="40% - Énfasis5 2 2 2 2 2 2 2 3 3" xfId="8130" xr:uid="{CC8341B2-BE27-4092-AF56-DF70E72092B4}"/>
    <cellStyle name="40% - Énfasis5 2 2 2 2 2 2 2 3 4" xfId="8131" xr:uid="{79025E78-DB2C-46C0-BEA9-654D49F7F6F3}"/>
    <cellStyle name="40% - Énfasis5 2 2 2 2 2 2 2 3 5" xfId="8132" xr:uid="{669048CD-5F3A-4165-B56C-F2ACAB3232BB}"/>
    <cellStyle name="40% - Énfasis5 2 2 2 2 2 2 2 3 6" xfId="8133" xr:uid="{3D94109A-3373-4D99-8AE7-81038724E2B7}"/>
    <cellStyle name="40% - Énfasis5 2 2 2 2 2 2 2 3 7" xfId="8134" xr:uid="{5BCA4E07-8CB3-4EEE-855F-B214272CF5D4}"/>
    <cellStyle name="40% - Énfasis5 2 2 2 2 2 2 2 3 8" xfId="8135" xr:uid="{087487F7-65C4-48E4-9B0D-FDFEC19446F3}"/>
    <cellStyle name="40% - Énfasis5 2 2 2 2 2 2 2 3 9" xfId="8136" xr:uid="{1F02E969-8F68-4A2E-9307-2A48A4154828}"/>
    <cellStyle name="40% - Énfasis5 2 2 2 2 2 2 2 4" xfId="8137" xr:uid="{0E1ABDF3-7EB6-4A46-9B42-6FC5321CDEF1}"/>
    <cellStyle name="40% - Énfasis5 2 2 2 2 2 2 2 5" xfId="8138" xr:uid="{7B16A662-D420-4AEC-94D1-65156B438722}"/>
    <cellStyle name="40% - Énfasis5 2 2 2 2 2 2 3" xfId="8139" xr:uid="{437CBFE3-7BD8-40F6-BBC7-D0A5BDA888FA}"/>
    <cellStyle name="40% - Énfasis5 2 2 2 2 2 2 3 10" xfId="8140" xr:uid="{9DA4EFF0-D08F-4DC2-969D-1A05BFBEDE2A}"/>
    <cellStyle name="40% - Énfasis5 2 2 2 2 2 2 3 11" xfId="8141" xr:uid="{F0C86368-E33D-40E2-B333-D4C126219040}"/>
    <cellStyle name="40% - Énfasis5 2 2 2 2 2 2 3 2" xfId="8142" xr:uid="{05793B9B-1AA9-4E2C-BA36-E927B3163471}"/>
    <cellStyle name="40% - Énfasis5 2 2 2 2 2 2 3 2 10" xfId="8143" xr:uid="{51ACF9F5-C2A7-48D9-B42E-8499472CCBE3}"/>
    <cellStyle name="40% - Énfasis5 2 2 2 2 2 2 3 2 11" xfId="8144" xr:uid="{0E366BC8-B009-4B32-8AE0-986C40BDA620}"/>
    <cellStyle name="40% - Énfasis5 2 2 2 2 2 2 3 2 2" xfId="8145" xr:uid="{13F6D4D1-963D-4A16-93DB-42DC8B491016}"/>
    <cellStyle name="40% - Énfasis5 2 2 2 2 2 2 3 2 2 2" xfId="8146" xr:uid="{0A01599C-5C94-425E-960B-2EAD1EC6EAB6}"/>
    <cellStyle name="40% - Énfasis5 2 2 2 2 2 2 3 2 2 2 2" xfId="8147" xr:uid="{85AF62A8-F7F9-40C8-8114-3445F68EA758}"/>
    <cellStyle name="40% - Énfasis5 2 2 2 2 2 2 3 2 2 2 3" xfId="8148" xr:uid="{EE2FF29F-F0E5-4967-9B32-9FD3C180AA52}"/>
    <cellStyle name="40% - Énfasis5 2 2 2 2 2 2 3 2 2 2 4" xfId="8149" xr:uid="{BF9DA968-A8F0-4E58-8DF5-02B2EEDEAE94}"/>
    <cellStyle name="40% - Énfasis5 2 2 2 2 2 2 3 2 2 2 5" xfId="8150" xr:uid="{294F1554-5053-4A2C-B2BA-5DDF2415A388}"/>
    <cellStyle name="40% - Énfasis5 2 2 2 2 2 2 3 2 2 3" xfId="8151" xr:uid="{36D20825-1EF9-4E40-9816-F9F77BC5BCD7}"/>
    <cellStyle name="40% - Énfasis5 2 2 2 2 2 2 3 2 2 4" xfId="8152" xr:uid="{DE0A36FE-4ADB-4564-8950-E84AC2BCAB5B}"/>
    <cellStyle name="40% - Énfasis5 2 2 2 2 2 2 3 2 2 5" xfId="8153" xr:uid="{F93256E7-21E1-4C06-942A-06FA9E5FD686}"/>
    <cellStyle name="40% - Énfasis5 2 2 2 2 2 2 3 2 3" xfId="8154" xr:uid="{E4C80D64-F7D3-4A9C-A137-0D912977C451}"/>
    <cellStyle name="40% - Énfasis5 2 2 2 2 2 2 3 2 4" xfId="8155" xr:uid="{4FAE63CC-C1A6-420D-91DC-CB9B997C14F5}"/>
    <cellStyle name="40% - Énfasis5 2 2 2 2 2 2 3 2 5" xfId="8156" xr:uid="{396E0C40-F927-4C41-961D-8A026E93D22E}"/>
    <cellStyle name="40% - Énfasis5 2 2 2 2 2 2 3 2 6" xfId="8157" xr:uid="{72268621-BC1D-4D37-9C36-ED8FD2B01244}"/>
    <cellStyle name="40% - Énfasis5 2 2 2 2 2 2 3 2 7" xfId="8158" xr:uid="{90625F5C-3D2C-4183-8534-271F42E38690}"/>
    <cellStyle name="40% - Énfasis5 2 2 2 2 2 2 3 2 8" xfId="8159" xr:uid="{AD956CEC-CFE0-4CE8-A67D-A6D444D9FDE9}"/>
    <cellStyle name="40% - Énfasis5 2 2 2 2 2 2 3 2 9" xfId="8160" xr:uid="{3A47940A-E7A1-43D4-A2C9-AFC11333C5F4}"/>
    <cellStyle name="40% - Énfasis5 2 2 2 2 2 2 3 3" xfId="8161" xr:uid="{CC4A4F46-B2F7-4F25-8118-AE69C61B27AB}"/>
    <cellStyle name="40% - Énfasis5 2 2 2 2 2 2 3 3 2" xfId="8162" xr:uid="{D9B99F33-97D7-4176-8E06-45E7E2A43583}"/>
    <cellStyle name="40% - Énfasis5 2 2 2 2 2 2 3 3 2 2" xfId="8163" xr:uid="{11A25E80-3478-4EE7-8937-A11F1E6166E8}"/>
    <cellStyle name="40% - Énfasis5 2 2 2 2 2 2 3 3 2 3" xfId="8164" xr:uid="{FC2719FD-7182-4EA6-83C3-7DE4A418D0D2}"/>
    <cellStyle name="40% - Énfasis5 2 2 2 2 2 2 3 3 2 4" xfId="8165" xr:uid="{2C35BB61-1A7A-4C27-A6AC-E559D3DC000C}"/>
    <cellStyle name="40% - Énfasis5 2 2 2 2 2 2 3 3 2 5" xfId="8166" xr:uid="{4D0E2980-AC10-440A-AE9F-60F581B9DC14}"/>
    <cellStyle name="40% - Énfasis5 2 2 2 2 2 2 3 3 3" xfId="8167" xr:uid="{9EA95F85-E68D-449A-8232-960341A1F9D0}"/>
    <cellStyle name="40% - Énfasis5 2 2 2 2 2 2 3 3 4" xfId="8168" xr:uid="{B7B7D45A-7152-46D9-8CCA-D330B12B1C8A}"/>
    <cellStyle name="40% - Énfasis5 2 2 2 2 2 2 3 3 5" xfId="8169" xr:uid="{8E08534D-2AFD-4C7E-AC62-99A8C7C8544C}"/>
    <cellStyle name="40% - Énfasis5 2 2 2 2 2 2 3 4" xfId="8170" xr:uid="{989CD84C-8B00-49BD-9A7E-32E2DF504741}"/>
    <cellStyle name="40% - Énfasis5 2 2 2 2 2 2 3 5" xfId="8171" xr:uid="{B73233F0-D926-467C-86CB-BB0B734B3D46}"/>
    <cellStyle name="40% - Énfasis5 2 2 2 2 2 2 3 6" xfId="8172" xr:uid="{A97D192B-C6DF-4776-B7D7-3E89599AAE72}"/>
    <cellStyle name="40% - Énfasis5 2 2 2 2 2 2 3 7" xfId="8173" xr:uid="{721351D4-83DA-45EA-928B-2F4C478615D4}"/>
    <cellStyle name="40% - Énfasis5 2 2 2 2 2 2 3 8" xfId="8174" xr:uid="{376B8984-F5F7-499F-A312-86607C220DD6}"/>
    <cellStyle name="40% - Énfasis5 2 2 2 2 2 2 3 9" xfId="8175" xr:uid="{80167AD5-7C7D-4691-A3FA-6473A4D63560}"/>
    <cellStyle name="40% - Énfasis5 2 2 2 2 2 2 4" xfId="8176" xr:uid="{2D4C7E8E-9B8C-4EEF-959E-2E7DF860F66E}"/>
    <cellStyle name="40% - Énfasis5 2 2 2 2 2 2 5" xfId="8177" xr:uid="{E3FCD0F3-6659-4957-AE7E-5BD065BCEC47}"/>
    <cellStyle name="40% - Énfasis5 2 2 2 2 2 2 6" xfId="8178" xr:uid="{C00A3C78-BB82-464D-82D6-E2D68E94C920}"/>
    <cellStyle name="40% - Énfasis5 2 2 2 2 2 2 7" xfId="44285" xr:uid="{203D5007-15B2-409E-B263-18539AA5031C}"/>
    <cellStyle name="40% - Énfasis5 2 2 2 2 2 3" xfId="8179" xr:uid="{F2B2A1C9-18C5-4134-B297-C2961E88B5AB}"/>
    <cellStyle name="40% - Énfasis5 2 2 2 2 2 3 10" xfId="8180" xr:uid="{A5AE0DB0-38A5-4E76-B7C6-108B9778E8A7}"/>
    <cellStyle name="40% - Énfasis5 2 2 2 2 2 3 11" xfId="8181" xr:uid="{8D5EC62D-C9EF-4F5E-9E97-17B0481A4A65}"/>
    <cellStyle name="40% - Énfasis5 2 2 2 2 2 3 2" xfId="8182" xr:uid="{524DD30B-2253-4BE1-A8D6-EE987039F469}"/>
    <cellStyle name="40% - Énfasis5 2 2 2 2 2 3 2 10" xfId="8183" xr:uid="{9D57DDA0-F3D9-4471-99FF-8649FE6F2DC0}"/>
    <cellStyle name="40% - Énfasis5 2 2 2 2 2 3 2 11" xfId="8184" xr:uid="{6956B1B8-8DD0-462E-972D-546564AF1635}"/>
    <cellStyle name="40% - Énfasis5 2 2 2 2 2 3 2 2" xfId="8185" xr:uid="{7D64B2B8-974E-498A-A521-838CA6149F1E}"/>
    <cellStyle name="40% - Énfasis5 2 2 2 2 2 3 2 2 2" xfId="8186" xr:uid="{893E0F42-4DA8-424D-B54F-02D3E6C99E64}"/>
    <cellStyle name="40% - Énfasis5 2 2 2 2 2 3 2 2 2 2" xfId="8187" xr:uid="{66B6645F-8691-47F8-91D4-A1960F85AC81}"/>
    <cellStyle name="40% - Énfasis5 2 2 2 2 2 3 2 2 2 3" xfId="8188" xr:uid="{3FE41386-859F-4003-91D0-CECB6F7C1596}"/>
    <cellStyle name="40% - Énfasis5 2 2 2 2 2 3 2 2 2 4" xfId="8189" xr:uid="{2F9E7BE5-D8FE-41FD-8D14-8FF10BA7B3F9}"/>
    <cellStyle name="40% - Énfasis5 2 2 2 2 2 3 2 2 2 5" xfId="8190" xr:uid="{9CB858D3-5DBC-4FE4-8D43-DA4BE2387661}"/>
    <cellStyle name="40% - Énfasis5 2 2 2 2 2 3 2 2 3" xfId="8191" xr:uid="{7EBCFB20-76EE-42C0-B66A-80CFB0BB75A8}"/>
    <cellStyle name="40% - Énfasis5 2 2 2 2 2 3 2 2 4" xfId="8192" xr:uid="{19E26AC0-68DE-4978-8603-28983C330394}"/>
    <cellStyle name="40% - Énfasis5 2 2 2 2 2 3 2 2 5" xfId="8193" xr:uid="{C6180D58-8ABB-4924-A309-5F73E991AF2C}"/>
    <cellStyle name="40% - Énfasis5 2 2 2 2 2 3 2 3" xfId="8194" xr:uid="{D497A2F7-3B8A-49B1-8503-173451175DA7}"/>
    <cellStyle name="40% - Énfasis5 2 2 2 2 2 3 2 4" xfId="8195" xr:uid="{6FB901FC-551B-4623-90FD-2633A86B3A96}"/>
    <cellStyle name="40% - Énfasis5 2 2 2 2 2 3 2 5" xfId="8196" xr:uid="{30029813-DB37-4EE5-A5E3-E002A432018D}"/>
    <cellStyle name="40% - Énfasis5 2 2 2 2 2 3 2 6" xfId="8197" xr:uid="{93CFF8E4-231B-43DF-B568-3CFBEDC58E15}"/>
    <cellStyle name="40% - Énfasis5 2 2 2 2 2 3 2 7" xfId="8198" xr:uid="{F3968499-CFA4-4ECB-8CF2-5E95CE2FEA94}"/>
    <cellStyle name="40% - Énfasis5 2 2 2 2 2 3 2 8" xfId="8199" xr:uid="{38E06C3D-389E-4B8E-A9AD-3E4D2E5D576E}"/>
    <cellStyle name="40% - Énfasis5 2 2 2 2 2 3 2 9" xfId="8200" xr:uid="{F19960AF-C727-4E65-949D-C0895F82EDB6}"/>
    <cellStyle name="40% - Énfasis5 2 2 2 2 2 3 3" xfId="8201" xr:uid="{9EE78CA6-1EF2-4432-BE16-3E48B78A9CF0}"/>
    <cellStyle name="40% - Énfasis5 2 2 2 2 2 3 3 2" xfId="8202" xr:uid="{48035BB8-3808-49B9-89B0-80DB777902E4}"/>
    <cellStyle name="40% - Énfasis5 2 2 2 2 2 3 3 2 2" xfId="8203" xr:uid="{776B4154-5665-4065-8467-04F91F87FDCA}"/>
    <cellStyle name="40% - Énfasis5 2 2 2 2 2 3 3 2 3" xfId="8204" xr:uid="{151F5832-DAE7-4713-93D9-DEDEE350C732}"/>
    <cellStyle name="40% - Énfasis5 2 2 2 2 2 3 3 2 4" xfId="8205" xr:uid="{5FBDDD96-C880-4D35-9DCB-83DA56FECF8D}"/>
    <cellStyle name="40% - Énfasis5 2 2 2 2 2 3 3 2 5" xfId="8206" xr:uid="{87214A3E-020F-4E94-B06B-1EDD1A0E20FD}"/>
    <cellStyle name="40% - Énfasis5 2 2 2 2 2 3 3 3" xfId="8207" xr:uid="{79AE9C16-43C9-488F-8237-C83BF1E65A0C}"/>
    <cellStyle name="40% - Énfasis5 2 2 2 2 2 3 3 4" xfId="8208" xr:uid="{0A31CB24-288C-4348-8630-6DE998EC6F94}"/>
    <cellStyle name="40% - Énfasis5 2 2 2 2 2 3 3 5" xfId="8209" xr:uid="{394B84AE-8E26-4E83-89F0-7CF485743D32}"/>
    <cellStyle name="40% - Énfasis5 2 2 2 2 2 3 4" xfId="8210" xr:uid="{9B4F9264-54C1-4C8E-821F-6C042E8EC40C}"/>
    <cellStyle name="40% - Énfasis5 2 2 2 2 2 3 5" xfId="8211" xr:uid="{45FC60F9-FA3C-412D-9069-AE379DB412FC}"/>
    <cellStyle name="40% - Énfasis5 2 2 2 2 2 3 6" xfId="8212" xr:uid="{A752F6E4-5F6A-44E7-AA45-61DA2D12D0F6}"/>
    <cellStyle name="40% - Énfasis5 2 2 2 2 2 3 7" xfId="8213" xr:uid="{1AE3DB16-2762-4240-8BE3-7AE01785EA41}"/>
    <cellStyle name="40% - Énfasis5 2 2 2 2 2 3 8" xfId="8214" xr:uid="{584437C9-AB3D-4BF0-A385-8B026048ADDF}"/>
    <cellStyle name="40% - Énfasis5 2 2 2 2 2 3 9" xfId="8215" xr:uid="{DC5392E4-8CB2-4A47-9DF2-C8C27B7B5137}"/>
    <cellStyle name="40% - Énfasis5 2 2 2 2 2 4" xfId="8216" xr:uid="{2D27B3C9-9187-4B62-A2A1-6D8BCB80E34C}"/>
    <cellStyle name="40% - Énfasis5 2 2 2 2 2 5" xfId="8217" xr:uid="{A8A87CA4-769F-488E-8ED9-C687483B3543}"/>
    <cellStyle name="40% - Énfasis5 2 2 2 2 2 6" xfId="8218" xr:uid="{931852D7-EF43-4358-B7C7-2A8926C78422}"/>
    <cellStyle name="40% - Énfasis5 2 2 2 2 2 7" xfId="44284" xr:uid="{5609CAA4-62B8-4ED1-85C6-1A1F3FA3195A}"/>
    <cellStyle name="40% - Énfasis5 2 2 2 2 3" xfId="8219" xr:uid="{10E112E8-FD9C-420C-9584-9A9193695126}"/>
    <cellStyle name="40% - Énfasis5 2 2 2 2 3 2" xfId="8220" xr:uid="{36C0D047-0822-4B2F-908E-C9381BDF85AC}"/>
    <cellStyle name="40% - Énfasis5 2 2 2 2 3 3" xfId="44286" xr:uid="{FF165A0D-A052-4D6B-B89A-EC2512D11969}"/>
    <cellStyle name="40% - Énfasis5 2 2 2 2 4" xfId="8221" xr:uid="{26794AC5-DD84-4C26-BCDD-086A751E5050}"/>
    <cellStyle name="40% - Énfasis5 2 2 2 2 4 10" xfId="8222" xr:uid="{EAC4AA06-4172-4E95-AA4E-4EAEB54053D6}"/>
    <cellStyle name="40% - Énfasis5 2 2 2 2 4 11" xfId="8223" xr:uid="{2A6504EC-DAD0-44A2-AEDA-AF5E885F7CA0}"/>
    <cellStyle name="40% - Énfasis5 2 2 2 2 4 2" xfId="8224" xr:uid="{2880CE5F-A295-4D79-A60B-51D4DC371DAC}"/>
    <cellStyle name="40% - Énfasis5 2 2 2 2 4 2 10" xfId="8225" xr:uid="{6751B85A-6CC3-4519-A6B0-EC1E983C3F2A}"/>
    <cellStyle name="40% - Énfasis5 2 2 2 2 4 2 11" xfId="8226" xr:uid="{A8692879-1EF4-456C-9BFF-7A71505FA38B}"/>
    <cellStyle name="40% - Énfasis5 2 2 2 2 4 2 2" xfId="8227" xr:uid="{AC547740-D9FA-4F3F-AE34-0E12D728E7D3}"/>
    <cellStyle name="40% - Énfasis5 2 2 2 2 4 2 2 2" xfId="8228" xr:uid="{74AD5368-D207-4CA4-A8EB-8F3B5D872C1E}"/>
    <cellStyle name="40% - Énfasis5 2 2 2 2 4 2 2 2 2" xfId="8229" xr:uid="{06A8D38B-8609-4F16-84CE-58FECC09CDFA}"/>
    <cellStyle name="40% - Énfasis5 2 2 2 2 4 2 2 2 3" xfId="8230" xr:uid="{0CF20250-0BEA-46BD-9A2A-D67FA347A6EF}"/>
    <cellStyle name="40% - Énfasis5 2 2 2 2 4 2 2 2 4" xfId="8231" xr:uid="{683F91F8-98DF-4E90-93B7-5C252D98D0BE}"/>
    <cellStyle name="40% - Énfasis5 2 2 2 2 4 2 2 2 5" xfId="8232" xr:uid="{83ED0849-9C64-44C9-B092-6D4D8E2B0C85}"/>
    <cellStyle name="40% - Énfasis5 2 2 2 2 4 2 2 3" xfId="8233" xr:uid="{257ABF61-7FE2-44C2-B290-EE576634DA78}"/>
    <cellStyle name="40% - Énfasis5 2 2 2 2 4 2 2 4" xfId="8234" xr:uid="{3F3E2065-DBDC-4869-AFFB-91E5202072F4}"/>
    <cellStyle name="40% - Énfasis5 2 2 2 2 4 2 2 5" xfId="8235" xr:uid="{21311651-6638-4A23-B47C-4D62ACA5492C}"/>
    <cellStyle name="40% - Énfasis5 2 2 2 2 4 2 3" xfId="8236" xr:uid="{E86E922E-D7B1-4971-810F-521DD2E536FB}"/>
    <cellStyle name="40% - Énfasis5 2 2 2 2 4 2 4" xfId="8237" xr:uid="{5AD1E786-9CCF-485B-8B6C-E74E81DC416D}"/>
    <cellStyle name="40% - Énfasis5 2 2 2 2 4 2 5" xfId="8238" xr:uid="{DB57808A-F121-4D20-A74D-8F8BEC160FC3}"/>
    <cellStyle name="40% - Énfasis5 2 2 2 2 4 2 6" xfId="8239" xr:uid="{9D929B72-D060-4A4E-B445-0E61BFF6D91B}"/>
    <cellStyle name="40% - Énfasis5 2 2 2 2 4 2 7" xfId="8240" xr:uid="{AB102356-3F62-411C-9A4C-38DC6CCA98A1}"/>
    <cellStyle name="40% - Énfasis5 2 2 2 2 4 2 8" xfId="8241" xr:uid="{63F3E298-7116-4EB5-8407-A2022DFEA711}"/>
    <cellStyle name="40% - Énfasis5 2 2 2 2 4 2 9" xfId="8242" xr:uid="{0A80BB26-72FB-4FE2-8A2B-675159ACCF31}"/>
    <cellStyle name="40% - Énfasis5 2 2 2 2 4 3" xfId="8243" xr:uid="{379A95E5-F5AF-4BC9-A050-910FB9951EEE}"/>
    <cellStyle name="40% - Énfasis5 2 2 2 2 4 3 2" xfId="8244" xr:uid="{002B4AC2-12E7-46DB-B1DC-166B284EAFA3}"/>
    <cellStyle name="40% - Énfasis5 2 2 2 2 4 3 2 2" xfId="8245" xr:uid="{7B28B36C-BABA-493E-8E01-1763A4D22550}"/>
    <cellStyle name="40% - Énfasis5 2 2 2 2 4 3 2 3" xfId="8246" xr:uid="{FC0AFBCA-53E9-4495-9BC4-0563FFA37722}"/>
    <cellStyle name="40% - Énfasis5 2 2 2 2 4 3 2 4" xfId="8247" xr:uid="{E9D96ADE-51CB-4687-A567-0074C664B12F}"/>
    <cellStyle name="40% - Énfasis5 2 2 2 2 4 3 2 5" xfId="8248" xr:uid="{00EBDF64-5DC3-4D29-B014-B031FC3EEE6C}"/>
    <cellStyle name="40% - Énfasis5 2 2 2 2 4 3 3" xfId="8249" xr:uid="{A519635F-7A3E-4A0F-BB1E-22481285EC11}"/>
    <cellStyle name="40% - Énfasis5 2 2 2 2 4 3 4" xfId="8250" xr:uid="{5701950F-5C07-4BBC-AEA7-0B1015041BC8}"/>
    <cellStyle name="40% - Énfasis5 2 2 2 2 4 3 5" xfId="8251" xr:uid="{93013087-99F7-44AA-84FA-ADD91E7D7AB8}"/>
    <cellStyle name="40% - Énfasis5 2 2 2 2 4 4" xfId="8252" xr:uid="{731DA10E-E3AD-450E-83F0-E63E954989CA}"/>
    <cellStyle name="40% - Énfasis5 2 2 2 2 4 5" xfId="8253" xr:uid="{55F8E7E7-93C1-4346-B474-3FA47366CCAC}"/>
    <cellStyle name="40% - Énfasis5 2 2 2 2 4 6" xfId="8254" xr:uid="{8F6979BD-22B8-4946-BCE1-233F4FDB4D03}"/>
    <cellStyle name="40% - Énfasis5 2 2 2 2 4 7" xfId="8255" xr:uid="{A17C706D-ED8F-4AEF-9B1B-2865A7E0AF7F}"/>
    <cellStyle name="40% - Énfasis5 2 2 2 2 4 8" xfId="8256" xr:uid="{9EF3A83C-B1A6-4846-9A8D-4E35543B9175}"/>
    <cellStyle name="40% - Énfasis5 2 2 2 2 4 9" xfId="8257" xr:uid="{8DFD09B8-17D7-44FB-8DCD-A68E85DF71B6}"/>
    <cellStyle name="40% - Énfasis5 2 2 2 2 5" xfId="8258" xr:uid="{AA5EFE1E-FED9-4196-9109-4739CA27AB33}"/>
    <cellStyle name="40% - Énfasis5 2 2 2 2 6" xfId="8259" xr:uid="{B944BBCD-D142-4DAD-9824-922E0AD9EF3B}"/>
    <cellStyle name="40% - Énfasis5 2 2 2 2 7" xfId="8260" xr:uid="{A2A8B27E-AA26-4D14-AF99-BE1416B5ED30}"/>
    <cellStyle name="40% - Énfasis5 2 2 2 2 8" xfId="44283" xr:uid="{3EF15876-3083-4021-A1EA-DBBFC8409AB0}"/>
    <cellStyle name="40% - Énfasis5 2 2 2 3" xfId="8261" xr:uid="{DB351161-9501-4D04-8B29-CE687D04701D}"/>
    <cellStyle name="40% - Énfasis5 2 2 2 3 2" xfId="8262" xr:uid="{98844284-1EB1-4597-8CCC-CE07082ACE6C}"/>
    <cellStyle name="40% - Énfasis5 2 2 2 3 2 2" xfId="44288" xr:uid="{8A98BC69-AA72-49D4-8E62-48C54559F57B}"/>
    <cellStyle name="40% - Énfasis5 2 2 2 3 3" xfId="44287" xr:uid="{72C49213-26CC-4957-93B4-1E53925137C5}"/>
    <cellStyle name="40% - Énfasis5 2 2 2 4" xfId="8263" xr:uid="{9940D915-BB61-48C0-AF7F-099E5017FEE7}"/>
    <cellStyle name="40% - Énfasis5 2 2 2 4 2" xfId="8264" xr:uid="{EBDEB070-CD3D-42BB-8ED4-82E59BA2D737}"/>
    <cellStyle name="40% - Énfasis5 2 2 2 4 3" xfId="44289" xr:uid="{A7661227-AB3C-4D4A-8C81-F6DBADC44008}"/>
    <cellStyle name="40% - Énfasis5 2 2 2 5" xfId="8265" xr:uid="{A55CBACC-E4C7-4615-9D38-B7C151279C53}"/>
    <cellStyle name="40% - Énfasis5 2 2 2 5 10" xfId="8266" xr:uid="{4B704760-BF51-498F-B8FF-33624922C33A}"/>
    <cellStyle name="40% - Énfasis5 2 2 2 5 11" xfId="8267" xr:uid="{6A53548A-1450-4DA5-863D-22E14AB26405}"/>
    <cellStyle name="40% - Énfasis5 2 2 2 5 2" xfId="8268" xr:uid="{AC7F2755-9B34-4F53-9F12-E500A7E63109}"/>
    <cellStyle name="40% - Énfasis5 2 2 2 5 2 10" xfId="8269" xr:uid="{5487799E-3D7B-42D7-B4D5-F87328A325AA}"/>
    <cellStyle name="40% - Énfasis5 2 2 2 5 2 11" xfId="8270" xr:uid="{76D4A554-0D75-4838-A803-38B605AC4DE2}"/>
    <cellStyle name="40% - Énfasis5 2 2 2 5 2 2" xfId="8271" xr:uid="{59D6DE02-C3BA-4003-8A85-84722A039E22}"/>
    <cellStyle name="40% - Énfasis5 2 2 2 5 2 2 2" xfId="8272" xr:uid="{56622B0A-9704-4406-A922-9ACF66D8FE9B}"/>
    <cellStyle name="40% - Énfasis5 2 2 2 5 2 2 2 2" xfId="8273" xr:uid="{05E7F117-27CE-47F1-B3BB-59AAB3A68CBB}"/>
    <cellStyle name="40% - Énfasis5 2 2 2 5 2 2 2 3" xfId="8274" xr:uid="{71510CB0-F705-466E-B2FB-58AD95471035}"/>
    <cellStyle name="40% - Énfasis5 2 2 2 5 2 2 2 4" xfId="8275" xr:uid="{19E50396-C60C-4E38-ACA0-0C4E1FDBC96D}"/>
    <cellStyle name="40% - Énfasis5 2 2 2 5 2 2 2 5" xfId="8276" xr:uid="{9E907970-2A67-4ADC-9620-63049C336EB0}"/>
    <cellStyle name="40% - Énfasis5 2 2 2 5 2 2 3" xfId="8277" xr:uid="{7C40FFA3-154D-40A1-A6E6-3E317693FBE8}"/>
    <cellStyle name="40% - Énfasis5 2 2 2 5 2 2 4" xfId="8278" xr:uid="{62133574-DA16-4321-BCC7-5471E25F89DA}"/>
    <cellStyle name="40% - Énfasis5 2 2 2 5 2 2 5" xfId="8279" xr:uid="{77ED4B30-D821-48CC-9F9C-54A7BFB7C47C}"/>
    <cellStyle name="40% - Énfasis5 2 2 2 5 2 3" xfId="8280" xr:uid="{62F3D85E-6EF1-40FF-835B-BE078E672B1D}"/>
    <cellStyle name="40% - Énfasis5 2 2 2 5 2 4" xfId="8281" xr:uid="{7A4BF6C5-D8A8-4E8D-8225-0D6A7E30C163}"/>
    <cellStyle name="40% - Énfasis5 2 2 2 5 2 5" xfId="8282" xr:uid="{F9ACC226-C873-49B7-BD61-A0D99653A6C0}"/>
    <cellStyle name="40% - Énfasis5 2 2 2 5 2 6" xfId="8283" xr:uid="{1FAEA1E1-0C85-4599-A847-2F3878F57878}"/>
    <cellStyle name="40% - Énfasis5 2 2 2 5 2 7" xfId="8284" xr:uid="{7D75F5A2-8BB1-4C53-9B70-5C0AFC9B218C}"/>
    <cellStyle name="40% - Énfasis5 2 2 2 5 2 8" xfId="8285" xr:uid="{AD1F9360-BD90-40A1-A3CF-D3262BF14F28}"/>
    <cellStyle name="40% - Énfasis5 2 2 2 5 2 9" xfId="8286" xr:uid="{EB6D79F0-EFD5-468E-8E38-560179959C26}"/>
    <cellStyle name="40% - Énfasis5 2 2 2 5 3" xfId="8287" xr:uid="{510DD372-1F4C-4D6F-980F-6C056A6D6095}"/>
    <cellStyle name="40% - Énfasis5 2 2 2 5 3 2" xfId="8288" xr:uid="{3E79CC6A-7B55-4546-8B74-56FD09A6CF6A}"/>
    <cellStyle name="40% - Énfasis5 2 2 2 5 3 2 2" xfId="8289" xr:uid="{20EB1AB2-5C10-47C7-9637-A04635CEAB21}"/>
    <cellStyle name="40% - Énfasis5 2 2 2 5 3 2 3" xfId="8290" xr:uid="{24319C9E-59E4-4B7E-BDD5-3EF251D6FBBA}"/>
    <cellStyle name="40% - Énfasis5 2 2 2 5 3 2 4" xfId="8291" xr:uid="{ECF503F3-4371-4B6D-99BF-A97224B13F2B}"/>
    <cellStyle name="40% - Énfasis5 2 2 2 5 3 2 5" xfId="8292" xr:uid="{B4147184-A768-4B63-B219-DB8F5C0D283B}"/>
    <cellStyle name="40% - Énfasis5 2 2 2 5 3 3" xfId="8293" xr:uid="{173E1DBC-7DBF-49B7-A611-54FEE2357DB1}"/>
    <cellStyle name="40% - Énfasis5 2 2 2 5 3 4" xfId="8294" xr:uid="{616C8B2F-1EC7-4ED3-97E0-51387D7C49FD}"/>
    <cellStyle name="40% - Énfasis5 2 2 2 5 3 5" xfId="8295" xr:uid="{2BD62675-F352-44FE-87C5-61BA446F3A9C}"/>
    <cellStyle name="40% - Énfasis5 2 2 2 5 4" xfId="8296" xr:uid="{68F91DD5-AA90-4E0F-AEF6-B029285AA696}"/>
    <cellStyle name="40% - Énfasis5 2 2 2 5 5" xfId="8297" xr:uid="{89C90FED-9E92-46D7-A27A-21C02ED6C496}"/>
    <cellStyle name="40% - Énfasis5 2 2 2 5 6" xfId="8298" xr:uid="{4F9AC7C9-EA3D-4C83-B1F7-82F04E7B5539}"/>
    <cellStyle name="40% - Énfasis5 2 2 2 5 7" xfId="8299" xr:uid="{A4BCC66D-A8BC-46D2-B282-240E1213CCEE}"/>
    <cellStyle name="40% - Énfasis5 2 2 2 5 8" xfId="8300" xr:uid="{7562E843-1FE2-4415-ACC1-83F1A38ACEDB}"/>
    <cellStyle name="40% - Énfasis5 2 2 2 5 9" xfId="8301" xr:uid="{E4B216C6-CA13-4FBE-A6CE-F7DBE5E3027A}"/>
    <cellStyle name="40% - Énfasis5 2 2 2 6" xfId="8302" xr:uid="{8FA48D49-969F-443F-A5B3-5EC3F570A4A3}"/>
    <cellStyle name="40% - Énfasis5 2 2 2 7" xfId="8303" xr:uid="{6D0C2330-1B4B-422D-B857-0F74CBF123EE}"/>
    <cellStyle name="40% - Énfasis5 2 2 2 8" xfId="8304" xr:uid="{B7399C68-9E9F-4808-88E7-FAB7904D9F7C}"/>
    <cellStyle name="40% - Énfasis5 2 2 2 9" xfId="44282" xr:uid="{39DFAACB-9396-4B94-8099-DDA33AE4C5BD}"/>
    <cellStyle name="40% - Énfasis5 2 2 3" xfId="8305" xr:uid="{BC8BB86D-9281-4FEC-B907-0E382FC48917}"/>
    <cellStyle name="40% - Énfasis5 2 2 3 2" xfId="8306" xr:uid="{2D967D22-2F43-47BB-920C-D03ADC004332}"/>
    <cellStyle name="40% - Énfasis5 2 2 3 2 2" xfId="44292" xr:uid="{D9F8B762-9409-4E95-9423-56D3B7DCC161}"/>
    <cellStyle name="40% - Énfasis5 2 2 3 2 3" xfId="44291" xr:uid="{706AAD6D-BE7E-4EC4-ADC7-F046936F9ECA}"/>
    <cellStyle name="40% - Énfasis5 2 2 3 3" xfId="44293" xr:uid="{04E761A6-67B1-4A90-BF46-9388524C185C}"/>
    <cellStyle name="40% - Énfasis5 2 2 3 4" xfId="44290" xr:uid="{FC0404FF-0F0D-4E50-8742-A0990924D3CE}"/>
    <cellStyle name="40% - Énfasis5 2 2 4" xfId="8307" xr:uid="{60BCA653-4399-4EAC-AAF6-33EFFF7688F4}"/>
    <cellStyle name="40% - Énfasis5 2 2 4 2" xfId="8308" xr:uid="{5879A720-994C-43E1-A17D-CC5705C51514}"/>
    <cellStyle name="40% - Énfasis5 2 2 4 2 2" xfId="44295" xr:uid="{5113B700-C5EF-42BA-AE9D-04A6201B63DE}"/>
    <cellStyle name="40% - Énfasis5 2 2 4 3" xfId="44294" xr:uid="{69430BF0-08DE-4C5C-8CF2-DB218523DC22}"/>
    <cellStyle name="40% - Énfasis5 2 2 5" xfId="8309" xr:uid="{14050405-39CC-4B56-98C9-69E539CD9B3F}"/>
    <cellStyle name="40% - Énfasis5 2 2 5 2" xfId="8310" xr:uid="{BA06744A-93AE-46BA-9EBC-94D074524770}"/>
    <cellStyle name="40% - Énfasis5 2 2 5 3" xfId="44296" xr:uid="{2B6DCBCB-D49A-4E98-AFFC-DA1570AC2367}"/>
    <cellStyle name="40% - Énfasis5 2 2 6" xfId="8311" xr:uid="{E5BA9AE5-BE28-4205-A3CC-F1186780D816}"/>
    <cellStyle name="40% - Énfasis5 2 2 6 2" xfId="8312" xr:uid="{9F094EC5-8686-4DF0-9D1F-BDEB77708240}"/>
    <cellStyle name="40% - Énfasis5 2 2 7" xfId="8313" xr:uid="{42E18013-B36E-4E7C-BB4A-57BB5F635262}"/>
    <cellStyle name="40% - Énfasis5 2 2 7 2" xfId="8314" xr:uid="{007D20D1-8B5D-4F55-A114-8493CA951285}"/>
    <cellStyle name="40% - Énfasis5 2 2 8" xfId="8315" xr:uid="{3B2CB3BC-1E32-4954-A05E-06B46D1B6F0B}"/>
    <cellStyle name="40% - Énfasis5 2 2 8 2" xfId="8316" xr:uid="{80B06CD4-D022-4B49-92BB-39BC7BA2117A}"/>
    <cellStyle name="40% - Énfasis5 2 2 8 2 2" xfId="8317" xr:uid="{202CD2AC-E74E-4D89-B690-8C76E5ADC509}"/>
    <cellStyle name="40% - Énfasis5 2 2 8 3" xfId="8318" xr:uid="{C3107023-C8D6-49B0-8F41-6BB92A637402}"/>
    <cellStyle name="40% - Énfasis5 2 2 9" xfId="8319" xr:uid="{5AF27D18-6576-437E-B349-4C5E818AAF0A}"/>
    <cellStyle name="40% - Énfasis5 2 2 9 2" xfId="8320" xr:uid="{E507D212-D47D-40B6-B471-0CBB451906F5}"/>
    <cellStyle name="40% - Énfasis5 2 3" xfId="8321" xr:uid="{573AD991-B0C9-4DB4-A1EA-F5BC5ECC12B1}"/>
    <cellStyle name="40% - Énfasis5 2 3 2" xfId="8322" xr:uid="{F1E7D034-13CC-407A-846A-C134088D436E}"/>
    <cellStyle name="40% - Énfasis5 2 3 2 2" xfId="44299" xr:uid="{4854458B-DB66-4BB5-967C-63224E556B4B}"/>
    <cellStyle name="40% - Énfasis5 2 3 2 2 2" xfId="44300" xr:uid="{7748A4BC-7845-4360-A5C0-D9C4CF7561D5}"/>
    <cellStyle name="40% - Énfasis5 2 3 2 3" xfId="44301" xr:uid="{47C99FAF-02A9-4A8F-B41A-3C5CB6B3989D}"/>
    <cellStyle name="40% - Énfasis5 2 3 2 4" xfId="44298" xr:uid="{C5D8B857-B670-4947-BA26-4D45D5298DF5}"/>
    <cellStyle name="40% - Énfasis5 2 3 3" xfId="44302" xr:uid="{E53FD90A-05C6-47AC-BC7E-6444D24F4699}"/>
    <cellStyle name="40% - Énfasis5 2 3 3 2" xfId="44303" xr:uid="{0FA7A773-DBF4-4ADB-B319-F16543FF2550}"/>
    <cellStyle name="40% - Énfasis5 2 3 4" xfId="44304" xr:uid="{67634CEC-4B33-4B5C-9FB2-D9A7305FA8F0}"/>
    <cellStyle name="40% - Énfasis5 2 3 5" xfId="44297" xr:uid="{C2800E88-EEA8-43AD-95B4-78E292158C46}"/>
    <cellStyle name="40% - Énfasis5 2 4" xfId="8323" xr:uid="{AD82F4CF-9D7E-4359-916D-53617ECD3228}"/>
    <cellStyle name="40% - Énfasis5 2 4 10" xfId="8324" xr:uid="{7CD51841-D214-469A-82CC-7F6463FC6613}"/>
    <cellStyle name="40% - Énfasis5 2 4 11" xfId="8325" xr:uid="{7E7DAA2F-7BB8-442E-B9C7-9E276D42819A}"/>
    <cellStyle name="40% - Énfasis5 2 4 12" xfId="8326" xr:uid="{F98ED775-3470-4FA9-9E0B-36FDFBDAB368}"/>
    <cellStyle name="40% - Énfasis5 2 4 13" xfId="44305" xr:uid="{1FBDB5A8-15B6-40CD-9879-2594BA7A2EFF}"/>
    <cellStyle name="40% - Énfasis5 2 4 2" xfId="8327" xr:uid="{9D46F961-7A63-4E2B-A7E9-B20C10797F4A}"/>
    <cellStyle name="40% - Énfasis5 2 4 2 10" xfId="8328" xr:uid="{D697720C-7FD7-4174-8F59-7BE8CCDCA7B6}"/>
    <cellStyle name="40% - Énfasis5 2 4 2 11" xfId="8329" xr:uid="{E63EA09B-CB00-463F-86F2-8CE9D426E269}"/>
    <cellStyle name="40% - Énfasis5 2 4 2 12" xfId="8330" xr:uid="{9D380D94-96C5-4D23-AE8B-BF1054BE17B9}"/>
    <cellStyle name="40% - Énfasis5 2 4 2 13" xfId="44306" xr:uid="{F6B218C1-74BC-46F4-AAFA-33BF5783A9A8}"/>
    <cellStyle name="40% - Énfasis5 2 4 2 2" xfId="8331" xr:uid="{1B8EB4ED-0D0A-4F41-8E90-5B7A5C6CEEBF}"/>
    <cellStyle name="40% - Énfasis5 2 4 2 2 10" xfId="8332" xr:uid="{FC9D952A-E9F6-42DE-B135-BF863DF30E41}"/>
    <cellStyle name="40% - Énfasis5 2 4 2 2 11" xfId="8333" xr:uid="{4769A6D7-2A9B-40AB-AA21-55CFD4028147}"/>
    <cellStyle name="40% - Énfasis5 2 4 2 2 12" xfId="44307" xr:uid="{53DFE9F6-C324-42F9-8DA3-1B87A5084661}"/>
    <cellStyle name="40% - Énfasis5 2 4 2 2 2" xfId="8334" xr:uid="{6DF3D8A2-90CC-4C4D-AC6B-1B3217EF0A6F}"/>
    <cellStyle name="40% - Énfasis5 2 4 2 2 2 10" xfId="8335" xr:uid="{59FFF399-D2D8-4CCB-824C-15502CC3C242}"/>
    <cellStyle name="40% - Énfasis5 2 4 2 2 2 11" xfId="8336" xr:uid="{44161112-CE4A-4EF4-A866-D7B16BBF90A1}"/>
    <cellStyle name="40% - Énfasis5 2 4 2 2 2 2" xfId="8337" xr:uid="{B13B17B2-724E-4765-8393-2B3CEE59619F}"/>
    <cellStyle name="40% - Énfasis5 2 4 2 2 2 2 2" xfId="8338" xr:uid="{102E4FC9-12A7-4B9B-8D7D-29B33DA2BF9E}"/>
    <cellStyle name="40% - Énfasis5 2 4 2 2 2 2 2 2" xfId="8339" xr:uid="{B7C96CF7-25F6-474C-BAE8-E9FDD4220C62}"/>
    <cellStyle name="40% - Énfasis5 2 4 2 2 2 2 2 3" xfId="8340" xr:uid="{45306BA3-205F-4A5D-8AB5-4D55773AD63D}"/>
    <cellStyle name="40% - Énfasis5 2 4 2 2 2 2 2 4" xfId="8341" xr:uid="{F961BC8C-B49B-4272-B466-942DC1799020}"/>
    <cellStyle name="40% - Énfasis5 2 4 2 2 2 2 2 5" xfId="8342" xr:uid="{D3A0AEA2-A2EA-43B5-AF97-2DE65BA0FC55}"/>
    <cellStyle name="40% - Énfasis5 2 4 2 2 2 2 3" xfId="8343" xr:uid="{A67F09EE-23E0-4EEC-905F-18007BAE2B2F}"/>
    <cellStyle name="40% - Énfasis5 2 4 2 2 2 2 4" xfId="8344" xr:uid="{94F0ECE4-2B86-4F25-9577-79B69B3A0553}"/>
    <cellStyle name="40% - Énfasis5 2 4 2 2 2 2 5" xfId="8345" xr:uid="{431CF76A-60A0-4EEF-A135-1C20A60D3F72}"/>
    <cellStyle name="40% - Énfasis5 2 4 2 2 2 3" xfId="8346" xr:uid="{0E682514-262F-4067-B601-6301D1253686}"/>
    <cellStyle name="40% - Énfasis5 2 4 2 2 2 4" xfId="8347" xr:uid="{F1583CC4-29B2-4C00-8819-D48DB6503887}"/>
    <cellStyle name="40% - Énfasis5 2 4 2 2 2 5" xfId="8348" xr:uid="{FBE2D7EE-DCC4-41E2-ADF6-5BEA1BAF1055}"/>
    <cellStyle name="40% - Énfasis5 2 4 2 2 2 6" xfId="8349" xr:uid="{796654C0-AB16-4755-8196-CCA15BB11D06}"/>
    <cellStyle name="40% - Énfasis5 2 4 2 2 2 7" xfId="8350" xr:uid="{12EE1845-10C0-4CB0-978B-B8162EBE60AB}"/>
    <cellStyle name="40% - Énfasis5 2 4 2 2 2 8" xfId="8351" xr:uid="{ADD734DA-55C5-4656-96C2-4F05B3DAD1CD}"/>
    <cellStyle name="40% - Énfasis5 2 4 2 2 2 9" xfId="8352" xr:uid="{6BCD4553-DD02-424A-8B4F-34B7E6A3528D}"/>
    <cellStyle name="40% - Énfasis5 2 4 2 2 3" xfId="8353" xr:uid="{209377FC-3917-4FF2-96A6-1925888C015E}"/>
    <cellStyle name="40% - Énfasis5 2 4 2 2 3 2" xfId="8354" xr:uid="{79B113FC-53C1-47DC-A157-3B5EA93290BA}"/>
    <cellStyle name="40% - Énfasis5 2 4 2 2 3 2 2" xfId="8355" xr:uid="{610C6F6E-4882-47A0-B7F6-4F36363A6724}"/>
    <cellStyle name="40% - Énfasis5 2 4 2 2 3 2 3" xfId="8356" xr:uid="{F9134170-9C81-4EE5-8395-FDB74FE2BBD2}"/>
    <cellStyle name="40% - Énfasis5 2 4 2 2 3 2 4" xfId="8357" xr:uid="{DBE611F2-60DA-42E3-9E70-38B08383A7B8}"/>
    <cellStyle name="40% - Énfasis5 2 4 2 2 3 2 5" xfId="8358" xr:uid="{8E02CB40-F516-40DD-8C98-2DCDD9AFFC75}"/>
    <cellStyle name="40% - Énfasis5 2 4 2 2 3 3" xfId="8359" xr:uid="{468B0BC1-0596-41DC-8AA9-662838364BCE}"/>
    <cellStyle name="40% - Énfasis5 2 4 2 2 3 4" xfId="8360" xr:uid="{FC9AAB41-CEB3-4D2C-962B-3FAD120F129D}"/>
    <cellStyle name="40% - Énfasis5 2 4 2 2 3 5" xfId="8361" xr:uid="{B642453D-A343-4813-9746-B3172974CDE2}"/>
    <cellStyle name="40% - Énfasis5 2 4 2 2 4" xfId="8362" xr:uid="{E52C8918-C4AF-41FE-889F-77000EABEC6E}"/>
    <cellStyle name="40% - Énfasis5 2 4 2 2 5" xfId="8363" xr:uid="{C98D9642-F1BC-4B31-86E8-44C0EC2B8494}"/>
    <cellStyle name="40% - Énfasis5 2 4 2 2 6" xfId="8364" xr:uid="{4804C287-1C50-46FC-B804-6014E30CF818}"/>
    <cellStyle name="40% - Énfasis5 2 4 2 2 7" xfId="8365" xr:uid="{044290D3-A01C-4CC5-B23C-A51147253AD3}"/>
    <cellStyle name="40% - Énfasis5 2 4 2 2 8" xfId="8366" xr:uid="{5DBD8D36-A5BC-43D8-9F68-73AC53560D4E}"/>
    <cellStyle name="40% - Énfasis5 2 4 2 2 9" xfId="8367" xr:uid="{407A8C84-387C-42CA-A7D5-350FB4F8DA56}"/>
    <cellStyle name="40% - Énfasis5 2 4 2 3" xfId="8368" xr:uid="{6A409D81-92BD-45EC-9441-13DAEED2DDB3}"/>
    <cellStyle name="40% - Énfasis5 2 4 2 3 2" xfId="8369" xr:uid="{44D7675A-5C06-484F-9D66-5CC5D649316C}"/>
    <cellStyle name="40% - Énfasis5 2 4 2 3 2 2" xfId="8370" xr:uid="{593F36EB-D219-4C9C-944C-80CD69A332AB}"/>
    <cellStyle name="40% - Énfasis5 2 4 2 3 2 3" xfId="8371" xr:uid="{41FE760D-F461-4BC7-A661-3AEFEB4D0CFC}"/>
    <cellStyle name="40% - Énfasis5 2 4 2 3 2 4" xfId="8372" xr:uid="{6577AB6E-6799-423D-B5BB-739DF4F91ECB}"/>
    <cellStyle name="40% - Énfasis5 2 4 2 3 2 5" xfId="8373" xr:uid="{825331A3-AE55-42E1-B1E6-A63A8AFBA341}"/>
    <cellStyle name="40% - Énfasis5 2 4 2 3 3" xfId="8374" xr:uid="{52571773-D0C1-4577-8FEF-09B3F5E7D148}"/>
    <cellStyle name="40% - Énfasis5 2 4 2 3 4" xfId="8375" xr:uid="{3A7FEE18-E509-40FF-B3ED-2DEAD90C3BC8}"/>
    <cellStyle name="40% - Énfasis5 2 4 2 3 5" xfId="8376" xr:uid="{DEFFBAAE-520E-48E7-9FCB-43112B25C64B}"/>
    <cellStyle name="40% - Énfasis5 2 4 2 4" xfId="8377" xr:uid="{F111AAEC-4521-4814-A751-10304BA5C300}"/>
    <cellStyle name="40% - Énfasis5 2 4 2 5" xfId="8378" xr:uid="{DC735E84-7B46-40DA-93FE-FCA629A5B2A2}"/>
    <cellStyle name="40% - Énfasis5 2 4 2 6" xfId="8379" xr:uid="{42AE25C1-9041-4048-94EC-B7382FEB1CD2}"/>
    <cellStyle name="40% - Énfasis5 2 4 2 7" xfId="8380" xr:uid="{3115FE00-8E26-4E0B-9341-A66EAC23B521}"/>
    <cellStyle name="40% - Énfasis5 2 4 2 8" xfId="8381" xr:uid="{9B4AADAA-0B55-4167-BEAD-952B2A6509BC}"/>
    <cellStyle name="40% - Énfasis5 2 4 2 9" xfId="8382" xr:uid="{89B3A0A7-BDC8-4554-92D0-BD13AD98031B}"/>
    <cellStyle name="40% - Énfasis5 2 4 3" xfId="8383" xr:uid="{DA543247-0392-40B9-B5C5-FE9E9AAAF480}"/>
    <cellStyle name="40% - Énfasis5 2 4 3 10" xfId="8384" xr:uid="{FA89D4D2-9EB6-4C07-A7D6-F41BB6AF5A29}"/>
    <cellStyle name="40% - Énfasis5 2 4 3 11" xfId="8385" xr:uid="{482E312F-3DB3-405D-B761-1B1C247F7F42}"/>
    <cellStyle name="40% - Énfasis5 2 4 3 12" xfId="44308" xr:uid="{48C2D680-6784-4EF1-AA5C-AEA3201CF275}"/>
    <cellStyle name="40% - Énfasis5 2 4 3 2" xfId="8386" xr:uid="{7A2509A4-3A3B-4978-AA99-AD2BF113E6D5}"/>
    <cellStyle name="40% - Énfasis5 2 4 3 2 2" xfId="8387" xr:uid="{2AF9FC7E-375A-4231-B0CF-5DABE0901B5C}"/>
    <cellStyle name="40% - Énfasis5 2 4 3 2 2 2" xfId="8388" xr:uid="{A40AAD83-617B-4788-946F-73694754AE3A}"/>
    <cellStyle name="40% - Énfasis5 2 4 3 2 2 3" xfId="8389" xr:uid="{112F62D4-2966-44D2-BA6C-F13D6D6F9BA7}"/>
    <cellStyle name="40% - Énfasis5 2 4 3 2 2 4" xfId="8390" xr:uid="{DA2F0969-E581-441D-9655-4C7F73CD737D}"/>
    <cellStyle name="40% - Énfasis5 2 4 3 2 2 5" xfId="8391" xr:uid="{35CE5B29-02F3-478F-93EC-6728C760F8A0}"/>
    <cellStyle name="40% - Énfasis5 2 4 3 2 3" xfId="8392" xr:uid="{B55B167F-CFCE-4E66-809A-82644A0B9B3B}"/>
    <cellStyle name="40% - Énfasis5 2 4 3 2 4" xfId="8393" xr:uid="{296FDE8E-4A09-4449-9794-7A828824DC3D}"/>
    <cellStyle name="40% - Énfasis5 2 4 3 2 5" xfId="8394" xr:uid="{1F4F606D-ABA4-495F-996A-46BBB608D956}"/>
    <cellStyle name="40% - Énfasis5 2 4 3 3" xfId="8395" xr:uid="{F9C4390A-9132-41B3-992E-95EEDBDE3E6A}"/>
    <cellStyle name="40% - Énfasis5 2 4 3 4" xfId="8396" xr:uid="{D2918457-51AA-4B93-8D4F-8E505F692CCC}"/>
    <cellStyle name="40% - Énfasis5 2 4 3 5" xfId="8397" xr:uid="{254CD31C-9B5A-450B-B0F8-837BC0898BF2}"/>
    <cellStyle name="40% - Énfasis5 2 4 3 6" xfId="8398" xr:uid="{8D321EE3-8A06-4907-8809-64EAEF173D01}"/>
    <cellStyle name="40% - Énfasis5 2 4 3 7" xfId="8399" xr:uid="{ACD1A3C9-379E-495A-8280-2657BDC04C83}"/>
    <cellStyle name="40% - Énfasis5 2 4 3 8" xfId="8400" xr:uid="{5F7AFEC3-91A5-4D3F-915D-CC2EC018A39B}"/>
    <cellStyle name="40% - Énfasis5 2 4 3 9" xfId="8401" xr:uid="{7015CCBB-18E6-40FC-AA7B-831FB5D9D1AF}"/>
    <cellStyle name="40% - Énfasis5 2 4 4" xfId="8402" xr:uid="{2724889A-CB44-4B13-BD6A-5F8547359C86}"/>
    <cellStyle name="40% - Énfasis5 2 4 4 2" xfId="8403" xr:uid="{8E765D6C-AD3E-478B-A6B1-8C22CC36BA7D}"/>
    <cellStyle name="40% - Énfasis5 2 4 4 2 2" xfId="8404" xr:uid="{F6F0286E-9D18-4CD5-960C-DACC284BD910}"/>
    <cellStyle name="40% - Énfasis5 2 4 4 2 3" xfId="8405" xr:uid="{90675001-EF1A-4569-98CB-4C75DD4F8327}"/>
    <cellStyle name="40% - Énfasis5 2 4 4 2 4" xfId="8406" xr:uid="{C1889A5A-0399-4414-AD24-5A8F005639E6}"/>
    <cellStyle name="40% - Énfasis5 2 4 4 2 5" xfId="8407" xr:uid="{A8154A98-B0A3-4B66-B334-D5FA0D0BE225}"/>
    <cellStyle name="40% - Énfasis5 2 4 4 3" xfId="8408" xr:uid="{B575F1A2-BE2E-484A-B338-09A354D3AB44}"/>
    <cellStyle name="40% - Énfasis5 2 4 4 4" xfId="8409" xr:uid="{B288C67E-A482-4A44-99DD-A2EBE5B53EEA}"/>
    <cellStyle name="40% - Énfasis5 2 4 4 5" xfId="8410" xr:uid="{C5A6715D-BFB6-4A85-ABB4-7B85A212A991}"/>
    <cellStyle name="40% - Énfasis5 2 4 5" xfId="8411" xr:uid="{82D2AB91-4CBA-4063-9E40-715AC5F50032}"/>
    <cellStyle name="40% - Énfasis5 2 4 6" xfId="8412" xr:uid="{F5037ACA-62E5-4672-9FAF-3C9F2E06C8D2}"/>
    <cellStyle name="40% - Énfasis5 2 4 7" xfId="8413" xr:uid="{A83C451A-6972-488B-A084-3C1C162ECA14}"/>
    <cellStyle name="40% - Énfasis5 2 4 8" xfId="8414" xr:uid="{BCA9DD8C-38C0-4AE8-8E4C-D93793DBA752}"/>
    <cellStyle name="40% - Énfasis5 2 4 9" xfId="8415" xr:uid="{D4007842-A57C-47BD-8748-715C873B4305}"/>
    <cellStyle name="40% - Énfasis5 2 5" xfId="8416" xr:uid="{8C16DBDF-D356-4016-97C1-6EC5739A5670}"/>
    <cellStyle name="40% - Énfasis5 2 5 2" xfId="8417" xr:uid="{771EDDD5-EA66-45D7-8734-219C791BCB4C}"/>
    <cellStyle name="40% - Énfasis5 2 5 2 2" xfId="44310" xr:uid="{202DA76D-2DA6-4703-A1B4-E58098C30C46}"/>
    <cellStyle name="40% - Énfasis5 2 5 3" xfId="44309" xr:uid="{6D8E82AC-B13D-44CE-B476-D5C41F2660D5}"/>
    <cellStyle name="40% - Énfasis5 2 6" xfId="8418" xr:uid="{A87999CE-C1C3-48D4-A74F-A21D7A0D40C2}"/>
    <cellStyle name="40% - Énfasis5 2 6 2" xfId="8419" xr:uid="{2AF65366-E437-4A6E-8348-15F30D11CA9F}"/>
    <cellStyle name="40% - Énfasis5 2 6 3" xfId="44311" xr:uid="{175060E3-3D6D-4161-A082-800EA16F3D37}"/>
    <cellStyle name="40% - Énfasis5 2 7" xfId="8420" xr:uid="{7C45F2A4-1E4F-4073-BCDC-52C7ECEBA854}"/>
    <cellStyle name="40% - Énfasis5 2 7 2" xfId="8421" xr:uid="{7FD275B1-0FBC-4199-8E32-616FA54D20EB}"/>
    <cellStyle name="40% - Énfasis5 2 8" xfId="8422" xr:uid="{59CC7CFC-7A06-48AF-B508-B01821E639B6}"/>
    <cellStyle name="40% - Énfasis5 2 8 2" xfId="8423" xr:uid="{5BAC2EC0-FE6F-4D3B-9DAB-A2D1275D618B}"/>
    <cellStyle name="40% - Énfasis5 2 8 2 2" xfId="8424" xr:uid="{B864832A-7626-4AA9-9369-656686B4A4AA}"/>
    <cellStyle name="40% - Énfasis5 2 8 3" xfId="8425" xr:uid="{21B60D88-35DD-4C22-A334-07EAE199AAAA}"/>
    <cellStyle name="40% - Énfasis5 2 9" xfId="8426" xr:uid="{6F0994ED-4380-4C0A-A60C-18545E907100}"/>
    <cellStyle name="40% - Énfasis5 2 9 2" xfId="8427" xr:uid="{2707DC49-7944-41E8-9395-28B14358BF88}"/>
    <cellStyle name="40% - Énfasis5 3" xfId="8428" xr:uid="{1376F491-B918-4EBF-A049-48EE8713DDCE}"/>
    <cellStyle name="40% - Énfasis5 3 2" xfId="8429" xr:uid="{4A122935-D037-47A3-A381-7B3BE00F5A1E}"/>
    <cellStyle name="40% - Énfasis5 3 2 2" xfId="8430" xr:uid="{BD8F7C34-E3AB-4B23-AD9A-9546F762BE34}"/>
    <cellStyle name="40% - Énfasis5 3 2 2 2" xfId="44315" xr:uid="{39036248-B2F3-4961-8CF8-B6AC4D9312F8}"/>
    <cellStyle name="40% - Énfasis5 3 2 2 2 2" xfId="44316" xr:uid="{0CAC4A14-0806-4F2B-989D-E5CF8D50316D}"/>
    <cellStyle name="40% - Énfasis5 3 2 2 3" xfId="44317" xr:uid="{6CC97C34-B240-44B2-BA7E-D13A8B5D88F9}"/>
    <cellStyle name="40% - Énfasis5 3 2 2 4" xfId="44314" xr:uid="{B396CBA5-8CC1-4A59-9E1B-2BB0131C66F6}"/>
    <cellStyle name="40% - Énfasis5 3 2 3" xfId="44318" xr:uid="{B6B7DBBF-5393-4956-88CE-B6F67BF7D80C}"/>
    <cellStyle name="40% - Énfasis5 3 2 3 2" xfId="44319" xr:uid="{C0EF5C04-DBAE-4C1F-931B-6A1C5D59CEF4}"/>
    <cellStyle name="40% - Énfasis5 3 2 4" xfId="44320" xr:uid="{E4384D86-3AEE-45C0-A920-A6932541029A}"/>
    <cellStyle name="40% - Énfasis5 3 2 5" xfId="44313" xr:uid="{A7D02F89-3FBF-434B-AE9F-C17666C596F4}"/>
    <cellStyle name="40% - Énfasis5 3 3" xfId="8431" xr:uid="{2D6FE89B-7614-4D15-8EBC-D7FF4553FB60}"/>
    <cellStyle name="40% - Énfasis5 3 3 2" xfId="8432" xr:uid="{1606D6E7-A402-4848-8A57-301A85DDA5A3}"/>
    <cellStyle name="40% - Énfasis5 3 3 2 2" xfId="44323" xr:uid="{58F17CEF-04F9-48EB-AF2B-17BB8A2A4D8F}"/>
    <cellStyle name="40% - Énfasis5 3 3 2 3" xfId="44322" xr:uid="{DE69082A-C087-4EEF-8848-06827509192B}"/>
    <cellStyle name="40% - Énfasis5 3 3 3" xfId="44324" xr:uid="{D3F25458-FECC-4301-9C8E-D696C8D30B03}"/>
    <cellStyle name="40% - Énfasis5 3 3 4" xfId="44321" xr:uid="{53608182-BFC0-48B5-A1E6-81E828F0C62A}"/>
    <cellStyle name="40% - Énfasis5 3 4" xfId="8433" xr:uid="{67CF1FD4-F710-4369-8B83-82CD0A606C71}"/>
    <cellStyle name="40% - Énfasis5 3 4 2" xfId="44326" xr:uid="{6B31F48B-3691-4653-9E22-3793CE235EEF}"/>
    <cellStyle name="40% - Énfasis5 3 4 3" xfId="44325" xr:uid="{42EB70D5-17E5-4E02-A6D0-340DC84F8D3C}"/>
    <cellStyle name="40% - Énfasis5 3 5" xfId="44327" xr:uid="{698FECCD-B054-4201-B298-9385E7CA49B9}"/>
    <cellStyle name="40% - Énfasis5 3 6" xfId="44312" xr:uid="{EC7AB16D-5EF4-4D62-8F07-16C37C927FE7}"/>
    <cellStyle name="40% - Énfasis5 4" xfId="8434" xr:uid="{15F52F65-50FF-4B50-B38E-4041DCDC947F}"/>
    <cellStyle name="40% - Énfasis5 4 2" xfId="8435" xr:uid="{0270F921-2ED2-4B0D-B3D8-93D544A3084C}"/>
    <cellStyle name="40% - Énfasis5 4 2 2" xfId="44330" xr:uid="{BF5C9AFA-EE5C-49F9-962D-C8491D761864}"/>
    <cellStyle name="40% - Énfasis5 4 2 2 2" xfId="44331" xr:uid="{3081473F-6E35-4A80-9917-BF9D1BA7F579}"/>
    <cellStyle name="40% - Énfasis5 4 2 3" xfId="44332" xr:uid="{99A7A892-A116-4DD0-A840-23F91D2711BD}"/>
    <cellStyle name="40% - Énfasis5 4 2 4" xfId="44329" xr:uid="{779C55F9-FFBB-4C18-88BB-E392D0DC093E}"/>
    <cellStyle name="40% - Énfasis5 4 3" xfId="44333" xr:uid="{89358CA3-BDF9-4616-B3DD-C6E8ECBF4E93}"/>
    <cellStyle name="40% - Énfasis5 4 3 2" xfId="44334" xr:uid="{2EC35A71-B369-4C70-9CCA-D08777AAF1C9}"/>
    <cellStyle name="40% - Énfasis5 4 4" xfId="44335" xr:uid="{4890F414-51F0-49E8-98D3-779E4A3B45E9}"/>
    <cellStyle name="40% - Énfasis5 4 5" xfId="44328" xr:uid="{1AD7BA7F-1E66-4F5B-B536-0CFB544652C5}"/>
    <cellStyle name="40% - Énfasis5 5" xfId="44336" xr:uid="{F405DFBD-A1F5-4FB1-95F1-AC968BAF8A75}"/>
    <cellStyle name="40% - Énfasis5 5 2" xfId="44337" xr:uid="{FFE2FAE4-E13A-48E2-91C6-7EFA91AC85BC}"/>
    <cellStyle name="40% - Énfasis5 5 2 2" xfId="44338" xr:uid="{48C446EF-1E4C-4130-B3AD-BE1C3D6B25F0}"/>
    <cellStyle name="40% - Énfasis5 5 2 2 2" xfId="44339" xr:uid="{532A580E-8DA3-40E6-8517-118B3B241E8E}"/>
    <cellStyle name="40% - Énfasis5 5 2 3" xfId="44340" xr:uid="{315911DE-DB7C-4839-BFC1-D690FD376BCB}"/>
    <cellStyle name="40% - Énfasis5 5 3" xfId="44341" xr:uid="{29A854F1-BFF4-418D-9464-B4D43D69AB14}"/>
    <cellStyle name="40% - Énfasis5 5 3 2" xfId="44342" xr:uid="{3E8F096B-EC78-42FE-B32C-8B9F2F3EB660}"/>
    <cellStyle name="40% - Énfasis5 5 4" xfId="44343" xr:uid="{63146E9C-856C-4164-B129-5164052BE771}"/>
    <cellStyle name="40% - Énfasis5 6" xfId="44344" xr:uid="{D3D3FBDC-9639-4A5A-84C5-CE5870FB6E5E}"/>
    <cellStyle name="40% - Énfasis5 6 2" xfId="44345" xr:uid="{8D0A9D49-AB5C-4616-B244-E3B6A31D18CF}"/>
    <cellStyle name="40% - Énfasis5 6 2 2" xfId="44346" xr:uid="{FC9B3A47-CA99-4671-B3AD-4C50EDCC857F}"/>
    <cellStyle name="40% - Énfasis5 6 3" xfId="44347" xr:uid="{C666D8B3-D088-4348-863B-57E154B62619}"/>
    <cellStyle name="40% - Énfasis5 7" xfId="44348" xr:uid="{F85C6726-D1B8-41F8-A9DD-66135A8D1E69}"/>
    <cellStyle name="40% - Énfasis5 7 2" xfId="44349" xr:uid="{0A48A4C4-A755-4028-98CF-19BCD992BE2D}"/>
    <cellStyle name="40% - Énfasis5 8" xfId="44350" xr:uid="{4C84F2AC-D2A8-4C88-8552-7B56AD25CE8A}"/>
    <cellStyle name="40% - Énfasis6" xfId="40" builtinId="51" customBuiltin="1"/>
    <cellStyle name="40% - Énfasis6 2" xfId="8436" xr:uid="{982EACCE-305B-4EF7-904B-15C4A3CD61A7}"/>
    <cellStyle name="40% - Énfasis6 2 10" xfId="8437" xr:uid="{6DA7E828-AC5C-4027-8DEF-B59DA56FD678}"/>
    <cellStyle name="40% - Énfasis6 2 10 10" xfId="8438" xr:uid="{EE45D7DF-2462-4E95-9819-B238F086A2DE}"/>
    <cellStyle name="40% - Énfasis6 2 10 11" xfId="8439" xr:uid="{BE3F2D4E-62D1-43FD-B3D9-20ECBD9D40D2}"/>
    <cellStyle name="40% - Énfasis6 2 10 2" xfId="8440" xr:uid="{0BF64965-A553-45D0-9C58-E43D05B27940}"/>
    <cellStyle name="40% - Énfasis6 2 10 2 10" xfId="8441" xr:uid="{6721169D-CB07-4CFA-AA00-C16E632D7286}"/>
    <cellStyle name="40% - Énfasis6 2 10 2 11" xfId="8442" xr:uid="{9A81C7AF-9069-4D2F-B4CC-7B3EC9F195CD}"/>
    <cellStyle name="40% - Énfasis6 2 10 2 2" xfId="8443" xr:uid="{DF488B11-869D-495C-A3D3-CAD988F78FB8}"/>
    <cellStyle name="40% - Énfasis6 2 10 2 2 2" xfId="8444" xr:uid="{E2A74E15-6CC7-42AF-B6D3-809BE02DFEFA}"/>
    <cellStyle name="40% - Énfasis6 2 10 2 2 2 2" xfId="8445" xr:uid="{17793096-DCA3-41FF-9CE6-8AD5FEF99DD4}"/>
    <cellStyle name="40% - Énfasis6 2 10 2 2 2 3" xfId="8446" xr:uid="{603B5142-87D0-4C53-8FA0-19D78693E183}"/>
    <cellStyle name="40% - Énfasis6 2 10 2 2 2 4" xfId="8447" xr:uid="{EAB6299B-65C7-4E23-A1DB-22128910C7A2}"/>
    <cellStyle name="40% - Énfasis6 2 10 2 2 2 5" xfId="8448" xr:uid="{36D3F83A-0B49-4D60-BB50-0E33915ADD4E}"/>
    <cellStyle name="40% - Énfasis6 2 10 2 2 3" xfId="8449" xr:uid="{326094DB-F798-4861-A07F-03928DEF289C}"/>
    <cellStyle name="40% - Énfasis6 2 10 2 2 4" xfId="8450" xr:uid="{223F068B-7F7E-488D-90F2-FAD029FA974D}"/>
    <cellStyle name="40% - Énfasis6 2 10 2 2 5" xfId="8451" xr:uid="{253DE0DA-3905-4677-8BE1-25FD016F48F3}"/>
    <cellStyle name="40% - Énfasis6 2 10 2 3" xfId="8452" xr:uid="{9310CE86-7D06-4817-A990-10025CA8881E}"/>
    <cellStyle name="40% - Énfasis6 2 10 2 4" xfId="8453" xr:uid="{98659D77-F73F-41CE-A80D-2D47AD304819}"/>
    <cellStyle name="40% - Énfasis6 2 10 2 5" xfId="8454" xr:uid="{E9E416D5-DA51-4CDB-8155-A261E7F2CE58}"/>
    <cellStyle name="40% - Énfasis6 2 10 2 6" xfId="8455" xr:uid="{0F3B7695-AD3D-47ED-98D2-9F6370DB469B}"/>
    <cellStyle name="40% - Énfasis6 2 10 2 7" xfId="8456" xr:uid="{C3F8EB11-3098-4ECA-BD93-682333A9D5E8}"/>
    <cellStyle name="40% - Énfasis6 2 10 2 8" xfId="8457" xr:uid="{B97E9FB3-C118-45AD-8488-E63FB1D86604}"/>
    <cellStyle name="40% - Énfasis6 2 10 2 9" xfId="8458" xr:uid="{BA0CFA86-F583-492A-A1EE-CAB0624DBC64}"/>
    <cellStyle name="40% - Énfasis6 2 10 3" xfId="8459" xr:uid="{24987F81-04A6-4D87-8607-FFC3C9F7638D}"/>
    <cellStyle name="40% - Énfasis6 2 10 3 2" xfId="8460" xr:uid="{C68F1F29-F527-4962-B30B-954A589D280F}"/>
    <cellStyle name="40% - Énfasis6 2 10 3 2 2" xfId="8461" xr:uid="{3828811C-6918-4443-AAEB-D02DB07D3A48}"/>
    <cellStyle name="40% - Énfasis6 2 10 3 2 3" xfId="8462" xr:uid="{B333BBFD-6EA3-4F6F-987F-E2A175267C6C}"/>
    <cellStyle name="40% - Énfasis6 2 10 3 2 4" xfId="8463" xr:uid="{52B59DBA-D4A5-403D-8124-D37C2A78D929}"/>
    <cellStyle name="40% - Énfasis6 2 10 3 2 5" xfId="8464" xr:uid="{61BC6CBF-629C-4596-9AA7-371C9546907C}"/>
    <cellStyle name="40% - Énfasis6 2 10 3 3" xfId="8465" xr:uid="{9A353677-02F1-4AA0-91A2-FA2790D5A5A3}"/>
    <cellStyle name="40% - Énfasis6 2 10 3 4" xfId="8466" xr:uid="{A45E6D0D-5E68-4CD2-B10B-EC77DD3770F1}"/>
    <cellStyle name="40% - Énfasis6 2 10 3 5" xfId="8467" xr:uid="{C908144A-FB94-43D2-8E21-B12819B594E8}"/>
    <cellStyle name="40% - Énfasis6 2 10 4" xfId="8468" xr:uid="{DE8A4783-6E9F-4B3D-877B-C7B773488AAD}"/>
    <cellStyle name="40% - Énfasis6 2 10 5" xfId="8469" xr:uid="{A455497B-5944-4DAC-8AAD-57680120DDD5}"/>
    <cellStyle name="40% - Énfasis6 2 10 6" xfId="8470" xr:uid="{625AFBB1-5896-414B-A781-09D0197DA493}"/>
    <cellStyle name="40% - Énfasis6 2 10 7" xfId="8471" xr:uid="{2A213EF9-260B-46C6-BB36-6F64B00F6E54}"/>
    <cellStyle name="40% - Énfasis6 2 10 8" xfId="8472" xr:uid="{04AF4285-1550-4694-90B9-2F626EB436E2}"/>
    <cellStyle name="40% - Énfasis6 2 10 9" xfId="8473" xr:uid="{941F4F5B-F5F8-4813-AB03-78F3138397E0}"/>
    <cellStyle name="40% - Énfasis6 2 11" xfId="8474" xr:uid="{953FA592-A3AE-434C-B42E-ADEBA7D60A22}"/>
    <cellStyle name="40% - Énfasis6 2 12" xfId="8475" xr:uid="{A90822E9-6B90-4A85-9E0E-FCC1C65A3954}"/>
    <cellStyle name="40% - Énfasis6 2 13" xfId="8476" xr:uid="{75418B46-8956-4F57-9D74-C1C3D035E78C}"/>
    <cellStyle name="40% - Énfasis6 2 14" xfId="44351" xr:uid="{450E211D-FDF0-40DB-832E-26919E2EFA49}"/>
    <cellStyle name="40% - Énfasis6 2 2" xfId="8477" xr:uid="{CAB5DA08-F4BA-45E6-A0B0-FDECD1C8048A}"/>
    <cellStyle name="40% - Énfasis6 2 2 10" xfId="8478" xr:uid="{0D3B5F35-3161-4EAB-B970-FA0C452543A4}"/>
    <cellStyle name="40% - Énfasis6 2 2 10 10" xfId="8479" xr:uid="{8129D1A4-65EB-4960-96E9-F17020F609BC}"/>
    <cellStyle name="40% - Énfasis6 2 2 10 11" xfId="8480" xr:uid="{B87EA6A0-9967-48F0-9B5A-C54055E27234}"/>
    <cellStyle name="40% - Énfasis6 2 2 10 2" xfId="8481" xr:uid="{A3C0427C-4753-45FA-98E6-D4E0D4B97F29}"/>
    <cellStyle name="40% - Énfasis6 2 2 10 2 10" xfId="8482" xr:uid="{3D4C813E-6D68-4EE2-9342-A8456037B9A2}"/>
    <cellStyle name="40% - Énfasis6 2 2 10 2 11" xfId="8483" xr:uid="{70BA2626-041E-49B7-8AD1-5D29A9515D9E}"/>
    <cellStyle name="40% - Énfasis6 2 2 10 2 2" xfId="8484" xr:uid="{05AEFA67-544D-4B98-B945-A20677A6EE9F}"/>
    <cellStyle name="40% - Énfasis6 2 2 10 2 2 2" xfId="8485" xr:uid="{CE544911-C50F-4FB9-AE56-4B254F1A2D50}"/>
    <cellStyle name="40% - Énfasis6 2 2 10 2 2 2 2" xfId="8486" xr:uid="{2D28C6FF-561A-44E7-B09B-0B5E306A52C4}"/>
    <cellStyle name="40% - Énfasis6 2 2 10 2 2 2 3" xfId="8487" xr:uid="{5769C42D-6C65-4421-B51B-9DA1DFAFCAAE}"/>
    <cellStyle name="40% - Énfasis6 2 2 10 2 2 2 4" xfId="8488" xr:uid="{CA954F11-E4E5-4F8C-A59E-232EE263A26D}"/>
    <cellStyle name="40% - Énfasis6 2 2 10 2 2 2 5" xfId="8489" xr:uid="{1BADBA04-58C5-48A9-ADE4-6BA01B67C295}"/>
    <cellStyle name="40% - Énfasis6 2 2 10 2 2 3" xfId="8490" xr:uid="{80DF9811-B132-4BBF-8426-46C665765526}"/>
    <cellStyle name="40% - Énfasis6 2 2 10 2 2 4" xfId="8491" xr:uid="{054B7AF2-8896-4F45-A6C1-F0F5C0657769}"/>
    <cellStyle name="40% - Énfasis6 2 2 10 2 2 5" xfId="8492" xr:uid="{A07DBF86-AADD-422C-8C11-069CA2CB1CF1}"/>
    <cellStyle name="40% - Énfasis6 2 2 10 2 3" xfId="8493" xr:uid="{D89AA175-E8DB-4622-B2ED-E1BDF981449E}"/>
    <cellStyle name="40% - Énfasis6 2 2 10 2 4" xfId="8494" xr:uid="{415039D9-AA45-4E3E-B590-587951EEBB3D}"/>
    <cellStyle name="40% - Énfasis6 2 2 10 2 5" xfId="8495" xr:uid="{669A9BAF-5FB8-44F7-BE85-DE06764A95C5}"/>
    <cellStyle name="40% - Énfasis6 2 2 10 2 6" xfId="8496" xr:uid="{CD718980-72DA-4B75-8FE8-E00812D0E22F}"/>
    <cellStyle name="40% - Énfasis6 2 2 10 2 7" xfId="8497" xr:uid="{765D36E4-BCBB-4F2D-BEDA-EFB492C423AC}"/>
    <cellStyle name="40% - Énfasis6 2 2 10 2 8" xfId="8498" xr:uid="{B8F448F5-1533-4F38-882F-740273FB80BF}"/>
    <cellStyle name="40% - Énfasis6 2 2 10 2 9" xfId="8499" xr:uid="{5555FAFC-B8C1-4A97-A134-978B4DDE78D1}"/>
    <cellStyle name="40% - Énfasis6 2 2 10 3" xfId="8500" xr:uid="{1E43D2F8-8A42-4BFE-B711-9D5366F06BA7}"/>
    <cellStyle name="40% - Énfasis6 2 2 10 3 2" xfId="8501" xr:uid="{0B5096E3-94E6-4D7D-80BF-0A466C3BDBDD}"/>
    <cellStyle name="40% - Énfasis6 2 2 10 3 2 2" xfId="8502" xr:uid="{15F6ED9A-CE03-4B15-9451-13535437B55C}"/>
    <cellStyle name="40% - Énfasis6 2 2 10 3 2 3" xfId="8503" xr:uid="{256B8D4B-2B22-48FF-97CD-EBEC949C6139}"/>
    <cellStyle name="40% - Énfasis6 2 2 10 3 2 4" xfId="8504" xr:uid="{8703DDC4-AB19-42FA-8F7F-31494B0D9826}"/>
    <cellStyle name="40% - Énfasis6 2 2 10 3 2 5" xfId="8505" xr:uid="{E0CE5D5E-561E-44D9-A5C0-06387A5DADB5}"/>
    <cellStyle name="40% - Énfasis6 2 2 10 3 3" xfId="8506" xr:uid="{5B4444E8-DDAF-42E5-9BFF-2B8F898414AA}"/>
    <cellStyle name="40% - Énfasis6 2 2 10 3 4" xfId="8507" xr:uid="{2788D7B3-61B9-4A50-8D08-EE42FEF77F3C}"/>
    <cellStyle name="40% - Énfasis6 2 2 10 3 5" xfId="8508" xr:uid="{DA148626-0DDF-45DC-9590-55AE5E28DD5B}"/>
    <cellStyle name="40% - Énfasis6 2 2 10 4" xfId="8509" xr:uid="{D196E549-25B5-4E3A-B0BD-224288C0E901}"/>
    <cellStyle name="40% - Énfasis6 2 2 10 5" xfId="8510" xr:uid="{6F30B2B9-C56E-4B47-B1EE-F4DD829D790A}"/>
    <cellStyle name="40% - Énfasis6 2 2 10 6" xfId="8511" xr:uid="{4C1075A8-3F98-47B0-805E-C62452F82326}"/>
    <cellStyle name="40% - Énfasis6 2 2 10 7" xfId="8512" xr:uid="{20243E90-8277-4D55-A44F-A183921887F2}"/>
    <cellStyle name="40% - Énfasis6 2 2 10 8" xfId="8513" xr:uid="{49369B8A-6067-478E-BCF7-3E25431BC7CB}"/>
    <cellStyle name="40% - Énfasis6 2 2 10 9" xfId="8514" xr:uid="{E022646F-41FA-4A65-822B-75F7D9E8A033}"/>
    <cellStyle name="40% - Énfasis6 2 2 11" xfId="8515" xr:uid="{388B4028-A3DB-4790-9F4E-63B0170BB34E}"/>
    <cellStyle name="40% - Énfasis6 2 2 12" xfId="8516" xr:uid="{A3254D05-5AB5-4B15-9867-75A0DE3EDD1B}"/>
    <cellStyle name="40% - Énfasis6 2 2 13" xfId="8517" xr:uid="{DB4FBB26-AA76-4098-965B-917CA1B0A6F1}"/>
    <cellStyle name="40% - Énfasis6 2 2 14" xfId="44352" xr:uid="{40D0442F-6ED2-431F-9752-25267B1732B9}"/>
    <cellStyle name="40% - Énfasis6 2 2 2" xfId="8518" xr:uid="{2F8379E1-737A-4241-A985-CABAF8C173D2}"/>
    <cellStyle name="40% - Énfasis6 2 2 2 2" xfId="8519" xr:uid="{2CC37CBC-E844-4A93-A49B-F671D8FC7704}"/>
    <cellStyle name="40% - Énfasis6 2 2 2 2 2" xfId="8520" xr:uid="{D9923339-A231-425C-A49F-8B570DC168E2}"/>
    <cellStyle name="40% - Énfasis6 2 2 2 2 2 2" xfId="8521" xr:uid="{A1737793-8918-4A50-8F00-AB789924A821}"/>
    <cellStyle name="40% - Énfasis6 2 2 2 2 2 2 2" xfId="8522" xr:uid="{7A29EA10-9A96-43D9-80B4-8557A5C102E7}"/>
    <cellStyle name="40% - Énfasis6 2 2 2 2 2 2 2 2" xfId="8523" xr:uid="{71BEB9A4-5D4A-4D65-A5A8-654CCF76016C}"/>
    <cellStyle name="40% - Énfasis6 2 2 2 2 2 2 2 2 2" xfId="8524" xr:uid="{B2806E5A-E004-4BF7-BDBB-9FA91EB15250}"/>
    <cellStyle name="40% - Énfasis6 2 2 2 2 2 2 2 2 2 2" xfId="8525" xr:uid="{B20F69E8-02F1-48F3-82C0-3FB41170CAC7}"/>
    <cellStyle name="40% - Énfasis6 2 2 2 2 2 2 2 2 2 2 2" xfId="8526" xr:uid="{951AF0EA-E7A9-47DA-B82A-DA6117E5E98F}"/>
    <cellStyle name="40% - Énfasis6 2 2 2 2 2 2 2 2 2 2 2 2" xfId="8527" xr:uid="{E587246B-BFA0-41C4-9865-D4B621AA060C}"/>
    <cellStyle name="40% - Énfasis6 2 2 2 2 2 2 2 2 2 2 2 2 2" xfId="8528" xr:uid="{FAB73A29-040F-4729-87AA-8811D89DE10A}"/>
    <cellStyle name="40% - Énfasis6 2 2 2 2 2 2 2 2 2 2 2 2 2 2" xfId="8529" xr:uid="{7093D5B6-AA08-4F8E-AE13-FB4BC92C9B42}"/>
    <cellStyle name="40% - Énfasis6 2 2 2 2 2 2 2 2 2 2 2 2 2 3" xfId="8530" xr:uid="{22B9D5F9-075E-44A2-A907-5D998E9C8093}"/>
    <cellStyle name="40% - Énfasis6 2 2 2 2 2 2 2 2 2 2 2 2 2 4" xfId="8531" xr:uid="{A63F6F70-0024-425F-9247-70CA5D1FAE82}"/>
    <cellStyle name="40% - Énfasis6 2 2 2 2 2 2 2 2 2 2 2 2 2 5" xfId="8532" xr:uid="{5C01B076-3E32-4826-85B3-AB439F82D5FA}"/>
    <cellStyle name="40% - Énfasis6 2 2 2 2 2 2 2 2 2 2 2 2 3" xfId="8533" xr:uid="{F1268E17-C1AA-405D-8872-2704D38CFD90}"/>
    <cellStyle name="40% - Énfasis6 2 2 2 2 2 2 2 2 2 2 2 2 4" xfId="8534" xr:uid="{BC52F44C-4A09-41C0-A9B8-07E78BD9BB13}"/>
    <cellStyle name="40% - Énfasis6 2 2 2 2 2 2 2 2 2 2 2 2 5" xfId="8535" xr:uid="{8337898D-F48A-4C47-821E-E373CC412D5D}"/>
    <cellStyle name="40% - Énfasis6 2 2 2 2 2 2 2 2 2 2 2 3" xfId="8536" xr:uid="{1212EBB7-E4E4-48DE-ADB1-2C8A624DECA3}"/>
    <cellStyle name="40% - Énfasis6 2 2 2 2 2 2 2 2 2 2 2 4" xfId="8537" xr:uid="{92DDECD6-4F03-4AA5-AD7B-52D2FE12ECA1}"/>
    <cellStyle name="40% - Énfasis6 2 2 2 2 2 2 2 2 2 2 2 5" xfId="8538" xr:uid="{1BC54513-846F-4165-A851-48B67CFCE8C0}"/>
    <cellStyle name="40% - Énfasis6 2 2 2 2 2 2 2 2 2 2 2 6" xfId="8539" xr:uid="{CA71BEFC-78C1-40BC-8E7C-0B3AAF23FEF2}"/>
    <cellStyle name="40% - Énfasis6 2 2 2 2 2 2 2 2 2 2 3" xfId="8540" xr:uid="{E3CF6025-1384-4A93-8010-E556ED444C39}"/>
    <cellStyle name="40% - Énfasis6 2 2 2 2 2 2 2 2 2 2 4" xfId="8541" xr:uid="{5EE016B7-A3E2-42D1-823C-B2BD95FE98F3}"/>
    <cellStyle name="40% - Énfasis6 2 2 2 2 2 2 2 2 2 3" xfId="8542" xr:uid="{19FAD098-FA7A-4ACA-94FA-4C1C7D97F046}"/>
    <cellStyle name="40% - Énfasis6 2 2 2 2 2 2 2 2 2 4" xfId="8543" xr:uid="{DD83B0F0-F483-42B7-A080-C23CAC9C4306}"/>
    <cellStyle name="40% - Énfasis6 2 2 2 2 2 2 2 2 3" xfId="8544" xr:uid="{EA77FECA-E832-4445-B547-B007CC294904}"/>
    <cellStyle name="40% - Énfasis6 2 2 2 2 2 2 2 2 4" xfId="8545" xr:uid="{EF3610D9-DF7A-4903-BABC-78215F55E5EE}"/>
    <cellStyle name="40% - Énfasis6 2 2 2 2 2 2 2 2 5" xfId="8546" xr:uid="{D1FA30F9-8E7D-49B3-8207-73D385D6FAFA}"/>
    <cellStyle name="40% - Énfasis6 2 2 2 2 2 2 2 3" xfId="8547" xr:uid="{28046743-792F-4A3F-8099-E95B974FB94A}"/>
    <cellStyle name="40% - Énfasis6 2 2 2 2 2 2 2 3 10" xfId="8548" xr:uid="{AB572BA4-0A92-442A-8E6C-3827B592DC81}"/>
    <cellStyle name="40% - Énfasis6 2 2 2 2 2 2 2 3 11" xfId="8549" xr:uid="{D59A22BA-5DF4-4883-BF09-5A7B87E74865}"/>
    <cellStyle name="40% - Énfasis6 2 2 2 2 2 2 2 3 2" xfId="8550" xr:uid="{36652338-2DAA-4078-8509-45CEEE20B3D5}"/>
    <cellStyle name="40% - Énfasis6 2 2 2 2 2 2 2 3 2 2" xfId="8551" xr:uid="{32CD1BD3-F99B-4908-9E85-9E70057ABE47}"/>
    <cellStyle name="40% - Énfasis6 2 2 2 2 2 2 2 3 2 2 2" xfId="8552" xr:uid="{EA21D919-A155-4C1D-AA0A-ADF118BEDF34}"/>
    <cellStyle name="40% - Énfasis6 2 2 2 2 2 2 2 3 2 2 3" xfId="8553" xr:uid="{8834C7A6-C659-4050-9603-E44211EBE4B7}"/>
    <cellStyle name="40% - Énfasis6 2 2 2 2 2 2 2 3 2 2 4" xfId="8554" xr:uid="{2D2E9DA5-D8B3-4558-B0E0-75484FB09810}"/>
    <cellStyle name="40% - Énfasis6 2 2 2 2 2 2 2 3 2 2 5" xfId="8555" xr:uid="{C3BCDEFF-0F29-47EE-93A7-1FA86AA9F326}"/>
    <cellStyle name="40% - Énfasis6 2 2 2 2 2 2 2 3 2 3" xfId="8556" xr:uid="{B9ECCCC2-4B1D-4AAC-96CC-80CAC738BE76}"/>
    <cellStyle name="40% - Énfasis6 2 2 2 2 2 2 2 3 2 4" xfId="8557" xr:uid="{1240299E-0174-414F-8711-FE5018BDDBB7}"/>
    <cellStyle name="40% - Énfasis6 2 2 2 2 2 2 2 3 2 5" xfId="8558" xr:uid="{58BDFA54-93F8-40C0-A07B-C406CA9A1B1F}"/>
    <cellStyle name="40% - Énfasis6 2 2 2 2 2 2 2 3 3" xfId="8559" xr:uid="{8873BE7C-044B-47DD-BD17-19F415C840A2}"/>
    <cellStyle name="40% - Énfasis6 2 2 2 2 2 2 2 3 4" xfId="8560" xr:uid="{1735C090-E6F9-4BAA-AD09-DE708FDC17B7}"/>
    <cellStyle name="40% - Énfasis6 2 2 2 2 2 2 2 3 5" xfId="8561" xr:uid="{68654D3F-251E-4E55-A97D-9473E8CA5DE6}"/>
    <cellStyle name="40% - Énfasis6 2 2 2 2 2 2 2 3 6" xfId="8562" xr:uid="{220361ED-C835-470D-9A64-2440626A7C55}"/>
    <cellStyle name="40% - Énfasis6 2 2 2 2 2 2 2 3 7" xfId="8563" xr:uid="{8DA2F795-42F1-4D36-86BF-9CFE9384D671}"/>
    <cellStyle name="40% - Énfasis6 2 2 2 2 2 2 2 3 8" xfId="8564" xr:uid="{8D008B2E-6134-41E5-A23A-5EABC58011BF}"/>
    <cellStyle name="40% - Énfasis6 2 2 2 2 2 2 2 3 9" xfId="8565" xr:uid="{A3D26090-1A48-438C-A536-A9E63E1604EB}"/>
    <cellStyle name="40% - Énfasis6 2 2 2 2 2 2 2 4" xfId="8566" xr:uid="{9139206D-F532-4E5D-90F3-0E729DDB0482}"/>
    <cellStyle name="40% - Énfasis6 2 2 2 2 2 2 2 5" xfId="8567" xr:uid="{796773C4-DE61-40C4-A9A8-4A177B1AE1C8}"/>
    <cellStyle name="40% - Énfasis6 2 2 2 2 2 2 3" xfId="8568" xr:uid="{7855CBE5-4792-4D32-89A5-4932E5825895}"/>
    <cellStyle name="40% - Énfasis6 2 2 2 2 2 2 3 10" xfId="8569" xr:uid="{2AC4AAE6-939D-44FC-BD26-A49CBE07D727}"/>
    <cellStyle name="40% - Énfasis6 2 2 2 2 2 2 3 11" xfId="8570" xr:uid="{02A11414-81CD-46E8-BD80-B3A6D85132F2}"/>
    <cellStyle name="40% - Énfasis6 2 2 2 2 2 2 3 2" xfId="8571" xr:uid="{EFFD316F-EC45-46C6-9FD5-FEAD5CD5A00E}"/>
    <cellStyle name="40% - Énfasis6 2 2 2 2 2 2 3 2 10" xfId="8572" xr:uid="{55F57C44-74F4-40CA-A032-A02046456DA9}"/>
    <cellStyle name="40% - Énfasis6 2 2 2 2 2 2 3 2 11" xfId="8573" xr:uid="{DFC86DF5-025D-420A-95B7-EAA9EBC04BA1}"/>
    <cellStyle name="40% - Énfasis6 2 2 2 2 2 2 3 2 2" xfId="8574" xr:uid="{EBD8B995-5BA8-4BC0-8215-5AEF32393834}"/>
    <cellStyle name="40% - Énfasis6 2 2 2 2 2 2 3 2 2 2" xfId="8575" xr:uid="{07A86ECA-A089-4E78-A391-8FE8479DCCA2}"/>
    <cellStyle name="40% - Énfasis6 2 2 2 2 2 2 3 2 2 2 2" xfId="8576" xr:uid="{EB757398-6D51-4822-821C-9A59C09E2944}"/>
    <cellStyle name="40% - Énfasis6 2 2 2 2 2 2 3 2 2 2 3" xfId="8577" xr:uid="{4115DC52-FFD9-42DC-A685-8A5DAD11DB00}"/>
    <cellStyle name="40% - Énfasis6 2 2 2 2 2 2 3 2 2 2 4" xfId="8578" xr:uid="{C160419B-2D39-412B-91A7-54CD1076958A}"/>
    <cellStyle name="40% - Énfasis6 2 2 2 2 2 2 3 2 2 2 5" xfId="8579" xr:uid="{37751A1B-2F65-4181-9A48-AB302CC20251}"/>
    <cellStyle name="40% - Énfasis6 2 2 2 2 2 2 3 2 2 3" xfId="8580" xr:uid="{D41B3BD4-0313-4CE8-ACEB-5763F4A48E75}"/>
    <cellStyle name="40% - Énfasis6 2 2 2 2 2 2 3 2 2 4" xfId="8581" xr:uid="{30EF524D-8A71-434E-9DB0-D4711AD50133}"/>
    <cellStyle name="40% - Énfasis6 2 2 2 2 2 2 3 2 2 5" xfId="8582" xr:uid="{9949F4F8-68B2-4E41-B8AA-47F6371363F3}"/>
    <cellStyle name="40% - Énfasis6 2 2 2 2 2 2 3 2 3" xfId="8583" xr:uid="{7276A6D9-5416-4356-A229-4AD078ED6816}"/>
    <cellStyle name="40% - Énfasis6 2 2 2 2 2 2 3 2 4" xfId="8584" xr:uid="{E40AE085-A3C9-408F-A0A0-6490193FD967}"/>
    <cellStyle name="40% - Énfasis6 2 2 2 2 2 2 3 2 5" xfId="8585" xr:uid="{F6E029FE-CE04-4086-B9C6-C57C4ECA2738}"/>
    <cellStyle name="40% - Énfasis6 2 2 2 2 2 2 3 2 6" xfId="8586" xr:uid="{817DB0C2-DD2A-4DE4-82E8-B91754A1CA99}"/>
    <cellStyle name="40% - Énfasis6 2 2 2 2 2 2 3 2 7" xfId="8587" xr:uid="{C982B626-6A38-46DB-9698-EA530FAAA588}"/>
    <cellStyle name="40% - Énfasis6 2 2 2 2 2 2 3 2 8" xfId="8588" xr:uid="{D12E8B5B-DB54-4C39-B2BB-12C692F31AA1}"/>
    <cellStyle name="40% - Énfasis6 2 2 2 2 2 2 3 2 9" xfId="8589" xr:uid="{0CCB2F04-B705-4904-BB68-CE2AED42654E}"/>
    <cellStyle name="40% - Énfasis6 2 2 2 2 2 2 3 3" xfId="8590" xr:uid="{F57DC074-A82E-4CF5-8BAC-3E35843E3F06}"/>
    <cellStyle name="40% - Énfasis6 2 2 2 2 2 2 3 3 2" xfId="8591" xr:uid="{1E9680EE-2048-4DA2-9451-07826EF07C7D}"/>
    <cellStyle name="40% - Énfasis6 2 2 2 2 2 2 3 3 2 2" xfId="8592" xr:uid="{A2BCCE2D-7276-469C-8FC8-7785150DB904}"/>
    <cellStyle name="40% - Énfasis6 2 2 2 2 2 2 3 3 2 3" xfId="8593" xr:uid="{88996FD5-7676-462E-90A1-6ED3565D2A86}"/>
    <cellStyle name="40% - Énfasis6 2 2 2 2 2 2 3 3 2 4" xfId="8594" xr:uid="{657F9513-698E-4C62-BCE3-1D7867FC6567}"/>
    <cellStyle name="40% - Énfasis6 2 2 2 2 2 2 3 3 2 5" xfId="8595" xr:uid="{7B540E74-FCFC-4122-824C-AC83CD557EE6}"/>
    <cellStyle name="40% - Énfasis6 2 2 2 2 2 2 3 3 3" xfId="8596" xr:uid="{25B02311-5586-4A90-A53C-C28766DB68B5}"/>
    <cellStyle name="40% - Énfasis6 2 2 2 2 2 2 3 3 4" xfId="8597" xr:uid="{E89B7AA1-9539-412D-86EA-4F243A3D7B9D}"/>
    <cellStyle name="40% - Énfasis6 2 2 2 2 2 2 3 3 5" xfId="8598" xr:uid="{27CE38DB-03AB-48D9-9547-B0F222854762}"/>
    <cellStyle name="40% - Énfasis6 2 2 2 2 2 2 3 4" xfId="8599" xr:uid="{43F963D4-C52C-458C-B3B3-802D5F75DCA6}"/>
    <cellStyle name="40% - Énfasis6 2 2 2 2 2 2 3 5" xfId="8600" xr:uid="{F713F0F5-D33D-4137-8DC0-19B578CAE3C1}"/>
    <cellStyle name="40% - Énfasis6 2 2 2 2 2 2 3 6" xfId="8601" xr:uid="{9ED224E3-7C18-4599-889E-4F1D3B51A85D}"/>
    <cellStyle name="40% - Énfasis6 2 2 2 2 2 2 3 7" xfId="8602" xr:uid="{C2002CB8-9FF6-42F1-BCE4-4DF7C2167AAB}"/>
    <cellStyle name="40% - Énfasis6 2 2 2 2 2 2 3 8" xfId="8603" xr:uid="{D4D011D9-4954-4772-92E6-AE4874B047EF}"/>
    <cellStyle name="40% - Énfasis6 2 2 2 2 2 2 3 9" xfId="8604" xr:uid="{3C041E8F-0688-4F2F-A374-26F04FAD85EE}"/>
    <cellStyle name="40% - Énfasis6 2 2 2 2 2 2 4" xfId="8605" xr:uid="{813C90DC-02E2-49A3-BEE7-6731C78C6668}"/>
    <cellStyle name="40% - Énfasis6 2 2 2 2 2 2 5" xfId="8606" xr:uid="{8AF4E652-F784-4001-BABF-448D49846C0F}"/>
    <cellStyle name="40% - Énfasis6 2 2 2 2 2 2 6" xfId="8607" xr:uid="{2F290916-B454-499D-94AC-5D3BB99D3F1F}"/>
    <cellStyle name="40% - Énfasis6 2 2 2 2 2 2 7" xfId="44356" xr:uid="{391C6E87-443A-46D7-908D-7F15EFE61E0E}"/>
    <cellStyle name="40% - Énfasis6 2 2 2 2 2 3" xfId="8608" xr:uid="{453F206A-F789-4483-BA23-BE52DCCFAEA6}"/>
    <cellStyle name="40% - Énfasis6 2 2 2 2 2 3 10" xfId="8609" xr:uid="{E12BE556-ACCF-4185-A1CF-62BABD568025}"/>
    <cellStyle name="40% - Énfasis6 2 2 2 2 2 3 11" xfId="8610" xr:uid="{02591CEE-B4E2-44E5-8035-F150261DA657}"/>
    <cellStyle name="40% - Énfasis6 2 2 2 2 2 3 2" xfId="8611" xr:uid="{B96DFEBE-7C79-42FA-9F25-DB212F607A5F}"/>
    <cellStyle name="40% - Énfasis6 2 2 2 2 2 3 2 10" xfId="8612" xr:uid="{5E2A4701-8EB2-49AF-A6E3-48074B0DFB1A}"/>
    <cellStyle name="40% - Énfasis6 2 2 2 2 2 3 2 11" xfId="8613" xr:uid="{BC2C1A99-F4B5-4EE7-9EAB-579DC0327C88}"/>
    <cellStyle name="40% - Énfasis6 2 2 2 2 2 3 2 2" xfId="8614" xr:uid="{03131CCF-6A92-43FC-9D5D-80FDDA3A98AC}"/>
    <cellStyle name="40% - Énfasis6 2 2 2 2 2 3 2 2 2" xfId="8615" xr:uid="{2DF2E413-B86F-4D8B-982E-0AA309AA52FC}"/>
    <cellStyle name="40% - Énfasis6 2 2 2 2 2 3 2 2 2 2" xfId="8616" xr:uid="{2C20E869-6CB1-4D4A-BFC9-07D2A4E2B877}"/>
    <cellStyle name="40% - Énfasis6 2 2 2 2 2 3 2 2 2 3" xfId="8617" xr:uid="{23C59617-8641-4EC1-80A9-878CC0A3190D}"/>
    <cellStyle name="40% - Énfasis6 2 2 2 2 2 3 2 2 2 4" xfId="8618" xr:uid="{F5139B96-AAB8-448A-8A00-42C976F0AEFB}"/>
    <cellStyle name="40% - Énfasis6 2 2 2 2 2 3 2 2 2 5" xfId="8619" xr:uid="{03924268-54AB-4327-8028-314F36CFBDE5}"/>
    <cellStyle name="40% - Énfasis6 2 2 2 2 2 3 2 2 3" xfId="8620" xr:uid="{32B4258B-EA97-460B-AE1E-7EBC937318CD}"/>
    <cellStyle name="40% - Énfasis6 2 2 2 2 2 3 2 2 4" xfId="8621" xr:uid="{131017F7-6D99-46AA-9BB3-23963D27DCED}"/>
    <cellStyle name="40% - Énfasis6 2 2 2 2 2 3 2 2 5" xfId="8622" xr:uid="{A20D005E-02C8-4024-A046-049DFE6922CD}"/>
    <cellStyle name="40% - Énfasis6 2 2 2 2 2 3 2 3" xfId="8623" xr:uid="{DFA5664D-2973-4DF0-879A-118905D29E77}"/>
    <cellStyle name="40% - Énfasis6 2 2 2 2 2 3 2 4" xfId="8624" xr:uid="{4426B898-3466-4371-B6D8-7A1CD4280530}"/>
    <cellStyle name="40% - Énfasis6 2 2 2 2 2 3 2 5" xfId="8625" xr:uid="{FB29A234-09F3-45D3-9C8B-4ED56B312526}"/>
    <cellStyle name="40% - Énfasis6 2 2 2 2 2 3 2 6" xfId="8626" xr:uid="{9034FB88-91E2-42DD-8506-7741199A932A}"/>
    <cellStyle name="40% - Énfasis6 2 2 2 2 2 3 2 7" xfId="8627" xr:uid="{EE814296-0BFD-4F71-B07C-AF226E41F693}"/>
    <cellStyle name="40% - Énfasis6 2 2 2 2 2 3 2 8" xfId="8628" xr:uid="{602294DD-2294-41FC-A1FD-30E9E907304D}"/>
    <cellStyle name="40% - Énfasis6 2 2 2 2 2 3 2 9" xfId="8629" xr:uid="{9CD445BE-1AE5-48CE-8024-F20B377B46CF}"/>
    <cellStyle name="40% - Énfasis6 2 2 2 2 2 3 3" xfId="8630" xr:uid="{56374EBD-CAE4-435D-9BA3-F959153E87DC}"/>
    <cellStyle name="40% - Énfasis6 2 2 2 2 2 3 3 2" xfId="8631" xr:uid="{4C76774D-6B1F-45F9-BB78-2A188D49C2FA}"/>
    <cellStyle name="40% - Énfasis6 2 2 2 2 2 3 3 2 2" xfId="8632" xr:uid="{F2EDE183-1AFB-425E-9F6B-F6C18B2D453C}"/>
    <cellStyle name="40% - Énfasis6 2 2 2 2 2 3 3 2 3" xfId="8633" xr:uid="{A3ED7471-1038-4E55-BA44-F9152F282C84}"/>
    <cellStyle name="40% - Énfasis6 2 2 2 2 2 3 3 2 4" xfId="8634" xr:uid="{D19BBFEC-6A9E-4D2C-B336-F1DBAE0936CA}"/>
    <cellStyle name="40% - Énfasis6 2 2 2 2 2 3 3 2 5" xfId="8635" xr:uid="{1B7D954A-7055-472D-972F-C702867FDFB2}"/>
    <cellStyle name="40% - Énfasis6 2 2 2 2 2 3 3 3" xfId="8636" xr:uid="{8F92CBBD-BB72-40F8-990D-4E3333D4B5BA}"/>
    <cellStyle name="40% - Énfasis6 2 2 2 2 2 3 3 4" xfId="8637" xr:uid="{01F4CED0-F185-41E5-A563-9895C0AA6698}"/>
    <cellStyle name="40% - Énfasis6 2 2 2 2 2 3 3 5" xfId="8638" xr:uid="{DD0517BA-D386-49FD-B187-43D624A67D10}"/>
    <cellStyle name="40% - Énfasis6 2 2 2 2 2 3 4" xfId="8639" xr:uid="{0768F413-20D4-4C03-91FD-E0F5FECDEBAB}"/>
    <cellStyle name="40% - Énfasis6 2 2 2 2 2 3 5" xfId="8640" xr:uid="{85C559FB-8489-4878-A4A1-7FD49E976E97}"/>
    <cellStyle name="40% - Énfasis6 2 2 2 2 2 3 6" xfId="8641" xr:uid="{A22963A9-6AAD-421C-8B8B-E2B0F2943480}"/>
    <cellStyle name="40% - Énfasis6 2 2 2 2 2 3 7" xfId="8642" xr:uid="{9F4AADC2-0519-42FD-8530-4744F94B10FA}"/>
    <cellStyle name="40% - Énfasis6 2 2 2 2 2 3 8" xfId="8643" xr:uid="{E7579D8A-DF18-47C6-90E7-33EA62CEC94E}"/>
    <cellStyle name="40% - Énfasis6 2 2 2 2 2 3 9" xfId="8644" xr:uid="{A6CA02CA-4EAA-4D41-9A27-56EBDD75564A}"/>
    <cellStyle name="40% - Énfasis6 2 2 2 2 2 4" xfId="8645" xr:uid="{BFEDCDDB-41D6-4BE1-8DDC-DA2D6FBAFC10}"/>
    <cellStyle name="40% - Énfasis6 2 2 2 2 2 5" xfId="8646" xr:uid="{3E32E8B6-0E3F-4FD0-B3EA-B28F91612C78}"/>
    <cellStyle name="40% - Énfasis6 2 2 2 2 2 6" xfId="8647" xr:uid="{94C0228B-6A84-43DB-AFD6-8DBB1D4022B2}"/>
    <cellStyle name="40% - Énfasis6 2 2 2 2 2 7" xfId="44355" xr:uid="{6D86F5BB-8C80-445D-BD49-77A4558A7D49}"/>
    <cellStyle name="40% - Énfasis6 2 2 2 2 3" xfId="8648" xr:uid="{DEECB2FE-F9B0-4724-8095-09AFDA01244C}"/>
    <cellStyle name="40% - Énfasis6 2 2 2 2 3 2" xfId="8649" xr:uid="{FBF81ECD-AA65-42E9-AF47-E4677133A18D}"/>
    <cellStyle name="40% - Énfasis6 2 2 2 2 3 3" xfId="44357" xr:uid="{61A401E5-6F6A-488C-B3DD-C435E9B9C737}"/>
    <cellStyle name="40% - Énfasis6 2 2 2 2 4" xfId="8650" xr:uid="{0AA58F2B-1F3F-4013-9666-7B8D94F15812}"/>
    <cellStyle name="40% - Énfasis6 2 2 2 2 4 10" xfId="8651" xr:uid="{FE36F9D3-0D58-4817-9B4C-EE4ABEC882F9}"/>
    <cellStyle name="40% - Énfasis6 2 2 2 2 4 11" xfId="8652" xr:uid="{2DE863D2-86A5-4C02-8C45-F3A5E9D17818}"/>
    <cellStyle name="40% - Énfasis6 2 2 2 2 4 2" xfId="8653" xr:uid="{2B6125D1-B41D-4E64-850D-33999870270F}"/>
    <cellStyle name="40% - Énfasis6 2 2 2 2 4 2 10" xfId="8654" xr:uid="{4F3E861C-4BD4-4EFD-8955-6F962D9B3888}"/>
    <cellStyle name="40% - Énfasis6 2 2 2 2 4 2 11" xfId="8655" xr:uid="{70E8E66F-FEBE-4DFF-AA5D-96504840ED04}"/>
    <cellStyle name="40% - Énfasis6 2 2 2 2 4 2 2" xfId="8656" xr:uid="{FFB38C53-EAA2-4428-B6D1-90276EA8A1D5}"/>
    <cellStyle name="40% - Énfasis6 2 2 2 2 4 2 2 2" xfId="8657" xr:uid="{6AE8307B-4A0B-43BC-902B-AB6F81A9B958}"/>
    <cellStyle name="40% - Énfasis6 2 2 2 2 4 2 2 2 2" xfId="8658" xr:uid="{C5354799-4727-40A0-A186-2D536104F92E}"/>
    <cellStyle name="40% - Énfasis6 2 2 2 2 4 2 2 2 3" xfId="8659" xr:uid="{398DFEDE-FF88-4304-A6AB-7DDA1E018DCD}"/>
    <cellStyle name="40% - Énfasis6 2 2 2 2 4 2 2 2 4" xfId="8660" xr:uid="{6F33DF7E-8271-4D0B-9D50-3CB9975CBA2D}"/>
    <cellStyle name="40% - Énfasis6 2 2 2 2 4 2 2 2 5" xfId="8661" xr:uid="{7EAFC8B1-7FF3-4109-A20D-DD61BB860D91}"/>
    <cellStyle name="40% - Énfasis6 2 2 2 2 4 2 2 3" xfId="8662" xr:uid="{0410D97D-C37D-40FE-9B86-3765168B0EB2}"/>
    <cellStyle name="40% - Énfasis6 2 2 2 2 4 2 2 4" xfId="8663" xr:uid="{7AD8B80F-EDF9-4869-9569-1F6AD0578846}"/>
    <cellStyle name="40% - Énfasis6 2 2 2 2 4 2 2 5" xfId="8664" xr:uid="{C7FFD2A7-14F2-4177-A8FE-DD47FC617E75}"/>
    <cellStyle name="40% - Énfasis6 2 2 2 2 4 2 3" xfId="8665" xr:uid="{6206D376-5F8C-4AB2-B555-B31947494807}"/>
    <cellStyle name="40% - Énfasis6 2 2 2 2 4 2 4" xfId="8666" xr:uid="{E6EF33EF-9A20-49B7-BD11-B24E3A5BFE3C}"/>
    <cellStyle name="40% - Énfasis6 2 2 2 2 4 2 5" xfId="8667" xr:uid="{31FE0137-1F36-41ED-9B6B-60E2AC041AFC}"/>
    <cellStyle name="40% - Énfasis6 2 2 2 2 4 2 6" xfId="8668" xr:uid="{3CDCD51C-020C-41A5-91A2-004C448C453C}"/>
    <cellStyle name="40% - Énfasis6 2 2 2 2 4 2 7" xfId="8669" xr:uid="{F2494311-0CA2-4E2A-957B-CCFB9EDFF35F}"/>
    <cellStyle name="40% - Énfasis6 2 2 2 2 4 2 8" xfId="8670" xr:uid="{E195D642-ACBE-48BB-9AA5-B66BE481220B}"/>
    <cellStyle name="40% - Énfasis6 2 2 2 2 4 2 9" xfId="8671" xr:uid="{3E4B1F4B-DB10-401A-87A9-B0D79872E634}"/>
    <cellStyle name="40% - Énfasis6 2 2 2 2 4 3" xfId="8672" xr:uid="{4A5D9A0C-BFCD-4869-B331-467AE00BAD78}"/>
    <cellStyle name="40% - Énfasis6 2 2 2 2 4 3 2" xfId="8673" xr:uid="{5635AF8F-1F65-418F-AC75-9BF48339D411}"/>
    <cellStyle name="40% - Énfasis6 2 2 2 2 4 3 2 2" xfId="8674" xr:uid="{417481EA-0758-4386-9A6C-3F153B37E9F5}"/>
    <cellStyle name="40% - Énfasis6 2 2 2 2 4 3 2 3" xfId="8675" xr:uid="{B29DF2CC-3579-4A16-91CD-9AAC179B45F4}"/>
    <cellStyle name="40% - Énfasis6 2 2 2 2 4 3 2 4" xfId="8676" xr:uid="{EA158845-88B5-4817-87F5-6760E581A438}"/>
    <cellStyle name="40% - Énfasis6 2 2 2 2 4 3 2 5" xfId="8677" xr:uid="{B481457B-4079-4991-A6BE-3D0EDEEB6CBE}"/>
    <cellStyle name="40% - Énfasis6 2 2 2 2 4 3 3" xfId="8678" xr:uid="{79958D1B-57D6-40B4-B13D-851EB02E1717}"/>
    <cellStyle name="40% - Énfasis6 2 2 2 2 4 3 4" xfId="8679" xr:uid="{93DE37DA-9862-4C15-AF21-68C47F41C43C}"/>
    <cellStyle name="40% - Énfasis6 2 2 2 2 4 3 5" xfId="8680" xr:uid="{E88A342B-485F-4607-9DC8-BC9BFCE04BD6}"/>
    <cellStyle name="40% - Énfasis6 2 2 2 2 4 4" xfId="8681" xr:uid="{E622C0A5-FE6F-45F3-99D9-309DB85415FA}"/>
    <cellStyle name="40% - Énfasis6 2 2 2 2 4 5" xfId="8682" xr:uid="{97868FFD-4ED0-4613-8043-0704CD7A598A}"/>
    <cellStyle name="40% - Énfasis6 2 2 2 2 4 6" xfId="8683" xr:uid="{F3259108-828D-4A87-92C9-724019B44312}"/>
    <cellStyle name="40% - Énfasis6 2 2 2 2 4 7" xfId="8684" xr:uid="{32910D68-B32E-43B4-94F7-929D2246DD20}"/>
    <cellStyle name="40% - Énfasis6 2 2 2 2 4 8" xfId="8685" xr:uid="{D71D1CE0-6506-45F7-914C-F0CB26AD4CC9}"/>
    <cellStyle name="40% - Énfasis6 2 2 2 2 4 9" xfId="8686" xr:uid="{71C6AA94-C239-409D-994F-61B8AA17F8EA}"/>
    <cellStyle name="40% - Énfasis6 2 2 2 2 5" xfId="8687" xr:uid="{D2C3CD40-89B1-415A-BFE4-4657D4A07A6C}"/>
    <cellStyle name="40% - Énfasis6 2 2 2 2 6" xfId="8688" xr:uid="{84D3CC05-1FBE-41EF-8C6C-CB961C9B549A}"/>
    <cellStyle name="40% - Énfasis6 2 2 2 2 7" xfId="8689" xr:uid="{8C6BD3B3-FFD0-465C-96BF-26859DB0C2AB}"/>
    <cellStyle name="40% - Énfasis6 2 2 2 2 8" xfId="44354" xr:uid="{772D4D21-D0CC-43D4-A01E-248331ECB5AC}"/>
    <cellStyle name="40% - Énfasis6 2 2 2 3" xfId="8690" xr:uid="{58AD9FD6-C940-41C0-986A-2E214A10E617}"/>
    <cellStyle name="40% - Énfasis6 2 2 2 3 2" xfId="8691" xr:uid="{9157D3C6-2A29-47EA-881D-716AA1F255B7}"/>
    <cellStyle name="40% - Énfasis6 2 2 2 3 2 2" xfId="44359" xr:uid="{6E63E649-4EB4-4C5A-85B5-0DB2D1FAA912}"/>
    <cellStyle name="40% - Énfasis6 2 2 2 3 3" xfId="44358" xr:uid="{C0E61367-0271-4D2B-AC13-5C2CF600EF55}"/>
    <cellStyle name="40% - Énfasis6 2 2 2 4" xfId="8692" xr:uid="{D8C1E121-0123-4B0F-8D70-B8DDAAFA22CF}"/>
    <cellStyle name="40% - Énfasis6 2 2 2 4 2" xfId="8693" xr:uid="{3F334120-1CA7-4444-B288-BCA6329AAA71}"/>
    <cellStyle name="40% - Énfasis6 2 2 2 4 3" xfId="44360" xr:uid="{74DC9EDA-299F-40CC-A4CC-F9DC31E62FBA}"/>
    <cellStyle name="40% - Énfasis6 2 2 2 5" xfId="8694" xr:uid="{F526C3B0-5F7C-440D-99FC-0840ED43410E}"/>
    <cellStyle name="40% - Énfasis6 2 2 2 5 10" xfId="8695" xr:uid="{3AE64C1C-7D22-41BB-9D31-2AAB93B74BC2}"/>
    <cellStyle name="40% - Énfasis6 2 2 2 5 11" xfId="8696" xr:uid="{B607B9A1-2AEA-4B51-9A8F-7C9E9ED612B8}"/>
    <cellStyle name="40% - Énfasis6 2 2 2 5 2" xfId="8697" xr:uid="{B9AFCFE6-8C23-4E39-9B43-1330BEAA3A5C}"/>
    <cellStyle name="40% - Énfasis6 2 2 2 5 2 10" xfId="8698" xr:uid="{04E759DA-6C08-4FE2-9B2F-6CD4F84E7610}"/>
    <cellStyle name="40% - Énfasis6 2 2 2 5 2 11" xfId="8699" xr:uid="{8FED0C63-5349-4921-9E78-26F5987C6ABC}"/>
    <cellStyle name="40% - Énfasis6 2 2 2 5 2 2" xfId="8700" xr:uid="{48E1C60A-2FBB-49E4-A1BD-4341839DDF92}"/>
    <cellStyle name="40% - Énfasis6 2 2 2 5 2 2 2" xfId="8701" xr:uid="{BAFD4E76-1D1C-44E7-ABBC-FCB2EEFE0118}"/>
    <cellStyle name="40% - Énfasis6 2 2 2 5 2 2 2 2" xfId="8702" xr:uid="{58211C9A-DB00-4BC3-9569-5E9CEA6F7345}"/>
    <cellStyle name="40% - Énfasis6 2 2 2 5 2 2 2 3" xfId="8703" xr:uid="{67416A49-D256-42F7-A44E-A1B4A3F771AE}"/>
    <cellStyle name="40% - Énfasis6 2 2 2 5 2 2 2 4" xfId="8704" xr:uid="{532A639F-3381-46AF-8529-D307E5B2A10C}"/>
    <cellStyle name="40% - Énfasis6 2 2 2 5 2 2 2 5" xfId="8705" xr:uid="{9DB24CE7-DEEC-454E-AADA-0F75B52B8E4D}"/>
    <cellStyle name="40% - Énfasis6 2 2 2 5 2 2 3" xfId="8706" xr:uid="{617E255F-EF21-4E3E-AF6D-4AD9C6725A19}"/>
    <cellStyle name="40% - Énfasis6 2 2 2 5 2 2 4" xfId="8707" xr:uid="{778ABA86-BF52-48F0-9F10-A79ADDE85A1F}"/>
    <cellStyle name="40% - Énfasis6 2 2 2 5 2 2 5" xfId="8708" xr:uid="{10D2F272-3B0A-4B74-9EBF-1E249F55B2B8}"/>
    <cellStyle name="40% - Énfasis6 2 2 2 5 2 3" xfId="8709" xr:uid="{6433665C-97C0-4256-A4F9-80DD39F4502A}"/>
    <cellStyle name="40% - Énfasis6 2 2 2 5 2 4" xfId="8710" xr:uid="{D7024279-826B-48C1-B921-DB3F08C59988}"/>
    <cellStyle name="40% - Énfasis6 2 2 2 5 2 5" xfId="8711" xr:uid="{C8368E77-1CB2-4BEC-939A-FF7FDCB85082}"/>
    <cellStyle name="40% - Énfasis6 2 2 2 5 2 6" xfId="8712" xr:uid="{093D68BC-C209-4A44-BF5E-72697D812CB1}"/>
    <cellStyle name="40% - Énfasis6 2 2 2 5 2 7" xfId="8713" xr:uid="{D23FDDDA-1CFD-447E-A8FC-DAF26603D5F8}"/>
    <cellStyle name="40% - Énfasis6 2 2 2 5 2 8" xfId="8714" xr:uid="{4B9FF26B-2EF8-47CD-940E-FD2A55F0CB34}"/>
    <cellStyle name="40% - Énfasis6 2 2 2 5 2 9" xfId="8715" xr:uid="{835B8599-1332-4981-AB60-730F950DB5F4}"/>
    <cellStyle name="40% - Énfasis6 2 2 2 5 3" xfId="8716" xr:uid="{E97857F1-485C-4F61-8EF6-3CFD9452D386}"/>
    <cellStyle name="40% - Énfasis6 2 2 2 5 3 2" xfId="8717" xr:uid="{58787B2F-85DD-4D04-B11E-D8CFBC5C9952}"/>
    <cellStyle name="40% - Énfasis6 2 2 2 5 3 2 2" xfId="8718" xr:uid="{852470D2-09C5-4E7B-B97D-B97C33F789F3}"/>
    <cellStyle name="40% - Énfasis6 2 2 2 5 3 2 3" xfId="8719" xr:uid="{DE4AE9A2-A338-4338-B0C1-93BD2DAF87A0}"/>
    <cellStyle name="40% - Énfasis6 2 2 2 5 3 2 4" xfId="8720" xr:uid="{3CDC24C3-4D50-43FC-8335-22907689B0C0}"/>
    <cellStyle name="40% - Énfasis6 2 2 2 5 3 2 5" xfId="8721" xr:uid="{FB10DFA5-CE01-4484-84BB-EDF979D8BAD6}"/>
    <cellStyle name="40% - Énfasis6 2 2 2 5 3 3" xfId="8722" xr:uid="{273306F8-5E7D-4577-BBC6-54F7A3359774}"/>
    <cellStyle name="40% - Énfasis6 2 2 2 5 3 4" xfId="8723" xr:uid="{30B634E8-64C3-4C0A-86A0-03F7F6B8A2B0}"/>
    <cellStyle name="40% - Énfasis6 2 2 2 5 3 5" xfId="8724" xr:uid="{7AACFE0B-1912-4095-9F2D-E429E1A0DCE6}"/>
    <cellStyle name="40% - Énfasis6 2 2 2 5 4" xfId="8725" xr:uid="{1E1D3E55-2C8B-4A65-AE89-E7584CF4CA12}"/>
    <cellStyle name="40% - Énfasis6 2 2 2 5 5" xfId="8726" xr:uid="{365058AF-345E-4D25-93EB-FB853705A65C}"/>
    <cellStyle name="40% - Énfasis6 2 2 2 5 6" xfId="8727" xr:uid="{B0698638-608A-4D32-BEFB-C757CEA08572}"/>
    <cellStyle name="40% - Énfasis6 2 2 2 5 7" xfId="8728" xr:uid="{17347487-B837-441B-AA4F-2D25F7D9A0EA}"/>
    <cellStyle name="40% - Énfasis6 2 2 2 5 8" xfId="8729" xr:uid="{6A676844-6507-42B5-BEAB-3FB0291F5158}"/>
    <cellStyle name="40% - Énfasis6 2 2 2 5 9" xfId="8730" xr:uid="{D4EF5AA8-5D93-4B21-A946-A15C86D297E5}"/>
    <cellStyle name="40% - Énfasis6 2 2 2 6" xfId="8731" xr:uid="{CD3F6510-FCCB-49A5-B96D-8E23B9225546}"/>
    <cellStyle name="40% - Énfasis6 2 2 2 7" xfId="8732" xr:uid="{D75B89A5-BB16-4B69-A0BF-2C52A0F46F3D}"/>
    <cellStyle name="40% - Énfasis6 2 2 2 8" xfId="8733" xr:uid="{9F500E97-67F7-4F5A-A0DC-FEBBD4995FBE}"/>
    <cellStyle name="40% - Énfasis6 2 2 2 9" xfId="44353" xr:uid="{546B04E1-ADF9-4D94-9D75-04C0C96CAE59}"/>
    <cellStyle name="40% - Énfasis6 2 2 3" xfId="8734" xr:uid="{8CC7EBC1-4540-43AE-B790-F89B24C90F42}"/>
    <cellStyle name="40% - Énfasis6 2 2 3 2" xfId="8735" xr:uid="{45ACA2DA-76E4-4E42-9B76-F7BCA87FAE41}"/>
    <cellStyle name="40% - Énfasis6 2 2 3 2 2" xfId="44363" xr:uid="{63DFDBF6-020F-42A8-896F-BFC42E1540B1}"/>
    <cellStyle name="40% - Énfasis6 2 2 3 2 3" xfId="44362" xr:uid="{1322FA74-99AC-4F32-9DEB-5291EF035FC5}"/>
    <cellStyle name="40% - Énfasis6 2 2 3 3" xfId="44364" xr:uid="{7CD568C7-5E15-49CB-8776-F155BD0FE79E}"/>
    <cellStyle name="40% - Énfasis6 2 2 3 4" xfId="44361" xr:uid="{DC5F16C7-AED2-4075-855C-A2C3A07FF682}"/>
    <cellStyle name="40% - Énfasis6 2 2 4" xfId="8736" xr:uid="{9732375F-A586-4BB7-9425-DD0C2339776A}"/>
    <cellStyle name="40% - Énfasis6 2 2 4 2" xfId="8737" xr:uid="{097710F3-D544-4F70-9B23-ED36C57777D2}"/>
    <cellStyle name="40% - Énfasis6 2 2 4 2 2" xfId="44366" xr:uid="{12133BD1-11C5-435E-8A40-5B6DA05B5E6D}"/>
    <cellStyle name="40% - Énfasis6 2 2 4 3" xfId="44365" xr:uid="{B679C85B-5ECA-4CDF-AB70-0356E67AA1F1}"/>
    <cellStyle name="40% - Énfasis6 2 2 5" xfId="8738" xr:uid="{490BA022-8479-4DD9-A5AD-9C2A81DB04FB}"/>
    <cellStyle name="40% - Énfasis6 2 2 5 2" xfId="8739" xr:uid="{4E63A499-1F9E-4C4B-8983-10A69CB2B017}"/>
    <cellStyle name="40% - Énfasis6 2 2 5 3" xfId="44367" xr:uid="{F864A32E-3841-42D7-8133-1F4D8B5EBCAF}"/>
    <cellStyle name="40% - Énfasis6 2 2 6" xfId="8740" xr:uid="{25176F6F-85E1-4D40-A9FB-1057E2F1385C}"/>
    <cellStyle name="40% - Énfasis6 2 2 6 2" xfId="8741" xr:uid="{4E8CA66D-8580-483E-BD5C-9AE2D9E53782}"/>
    <cellStyle name="40% - Énfasis6 2 2 7" xfId="8742" xr:uid="{904559E2-454C-4B48-A8B7-C5E64EC215A8}"/>
    <cellStyle name="40% - Énfasis6 2 2 7 2" xfId="8743" xr:uid="{4AACB3F4-C3EF-4E86-BCB5-B848D5AF0755}"/>
    <cellStyle name="40% - Énfasis6 2 2 8" xfId="8744" xr:uid="{EE4746D6-A810-4B62-9745-138449B5F985}"/>
    <cellStyle name="40% - Énfasis6 2 2 8 2" xfId="8745" xr:uid="{5365D562-B454-4AB9-9622-52EC10CE85F5}"/>
    <cellStyle name="40% - Énfasis6 2 2 8 2 2" xfId="8746" xr:uid="{6BD12EC6-4840-4511-BE81-88DF563FE5C2}"/>
    <cellStyle name="40% - Énfasis6 2 2 8 3" xfId="8747" xr:uid="{5282DAB2-3D72-42E0-83FC-B4081F4E612A}"/>
    <cellStyle name="40% - Énfasis6 2 2 9" xfId="8748" xr:uid="{98FC8230-8913-4200-89CB-BAC4F92286A0}"/>
    <cellStyle name="40% - Énfasis6 2 2 9 2" xfId="8749" xr:uid="{88AEE530-89BC-4EFC-85FC-FA16D05B6540}"/>
    <cellStyle name="40% - Énfasis6 2 3" xfId="8750" xr:uid="{BFD50C60-54F2-4A4F-9D81-35F4DE56B757}"/>
    <cellStyle name="40% - Énfasis6 2 3 2" xfId="8751" xr:uid="{C68D5747-933F-485C-8124-84DA751083F8}"/>
    <cellStyle name="40% - Énfasis6 2 3 2 2" xfId="44370" xr:uid="{2B560242-EC1D-4587-9134-634501E6F075}"/>
    <cellStyle name="40% - Énfasis6 2 3 2 2 2" xfId="44371" xr:uid="{11CB6034-A18E-4350-8F18-B7EBDA4565B9}"/>
    <cellStyle name="40% - Énfasis6 2 3 2 3" xfId="44372" xr:uid="{2585ED0E-3C46-47AC-8903-DAD6007762B4}"/>
    <cellStyle name="40% - Énfasis6 2 3 2 4" xfId="44369" xr:uid="{B0205583-CABB-446A-B709-1AB97A4B42DE}"/>
    <cellStyle name="40% - Énfasis6 2 3 3" xfId="44373" xr:uid="{FD524335-0E55-4EE0-805C-AC9E34A96C51}"/>
    <cellStyle name="40% - Énfasis6 2 3 3 2" xfId="44374" xr:uid="{D2567614-C395-475E-B3AA-E04A50694853}"/>
    <cellStyle name="40% - Énfasis6 2 3 4" xfId="44375" xr:uid="{D0522CD9-CEDB-4BE7-A48E-13BAE81C9400}"/>
    <cellStyle name="40% - Énfasis6 2 3 5" xfId="44368" xr:uid="{ED5EE5CE-B678-4349-919C-E0950EB86D31}"/>
    <cellStyle name="40% - Énfasis6 2 4" xfId="8752" xr:uid="{E9D2B390-B3BA-412A-BE93-84248EEA1FA4}"/>
    <cellStyle name="40% - Énfasis6 2 4 10" xfId="8753" xr:uid="{DE628ACC-9E27-4D1E-AF26-AC731B8AE17D}"/>
    <cellStyle name="40% - Énfasis6 2 4 11" xfId="8754" xr:uid="{C6BE2805-9D5B-4671-B19E-54C86D7954D4}"/>
    <cellStyle name="40% - Énfasis6 2 4 12" xfId="8755" xr:uid="{2D20028C-B0B6-4CAF-8A96-698758913F74}"/>
    <cellStyle name="40% - Énfasis6 2 4 13" xfId="44376" xr:uid="{D787E9E7-A501-41BD-8070-DA7B89A4307C}"/>
    <cellStyle name="40% - Énfasis6 2 4 2" xfId="8756" xr:uid="{F604F3D7-C09B-4492-8FC9-B160F03B44F2}"/>
    <cellStyle name="40% - Énfasis6 2 4 2 10" xfId="8757" xr:uid="{E1706316-C5AF-4601-B986-DF8FBC01E1E9}"/>
    <cellStyle name="40% - Énfasis6 2 4 2 11" xfId="8758" xr:uid="{0845E83D-C79E-406B-A904-DBAC717AC845}"/>
    <cellStyle name="40% - Énfasis6 2 4 2 12" xfId="8759" xr:uid="{13177A70-5312-4D85-A338-6AA62408EB6A}"/>
    <cellStyle name="40% - Énfasis6 2 4 2 13" xfId="44377" xr:uid="{790F2672-D1B6-4059-A9F5-232BCF90E6F1}"/>
    <cellStyle name="40% - Énfasis6 2 4 2 2" xfId="8760" xr:uid="{55B5358B-D1A1-4E8A-B6E1-3081A432C688}"/>
    <cellStyle name="40% - Énfasis6 2 4 2 2 10" xfId="8761" xr:uid="{6B393F7A-BCE8-45CD-9826-D754D40648C7}"/>
    <cellStyle name="40% - Énfasis6 2 4 2 2 11" xfId="8762" xr:uid="{A74DAA09-BD77-4B93-8F5E-6C0779C975EB}"/>
    <cellStyle name="40% - Énfasis6 2 4 2 2 12" xfId="44378" xr:uid="{5E6B3CFE-B0D6-44F1-9AFC-C2E85E5E6132}"/>
    <cellStyle name="40% - Énfasis6 2 4 2 2 2" xfId="8763" xr:uid="{62116C95-3F64-4720-89F2-4A8578C40553}"/>
    <cellStyle name="40% - Énfasis6 2 4 2 2 2 10" xfId="8764" xr:uid="{7EA1BD65-E1A0-4952-8705-C59680B89A51}"/>
    <cellStyle name="40% - Énfasis6 2 4 2 2 2 11" xfId="8765" xr:uid="{CE3E005D-6F09-4887-B91C-37F43CD47982}"/>
    <cellStyle name="40% - Énfasis6 2 4 2 2 2 2" xfId="8766" xr:uid="{697EFE26-6ED0-4251-B308-7DF7055BC0D0}"/>
    <cellStyle name="40% - Énfasis6 2 4 2 2 2 2 2" xfId="8767" xr:uid="{44A45F12-F864-45B2-8A1E-8D51794728C3}"/>
    <cellStyle name="40% - Énfasis6 2 4 2 2 2 2 2 2" xfId="8768" xr:uid="{DB259A50-1A74-4C49-B19F-AE51C4D5863D}"/>
    <cellStyle name="40% - Énfasis6 2 4 2 2 2 2 2 3" xfId="8769" xr:uid="{5DCF93FB-E7F8-439B-A3CC-C9F6A6C325C0}"/>
    <cellStyle name="40% - Énfasis6 2 4 2 2 2 2 2 4" xfId="8770" xr:uid="{9C9651EB-2584-4D60-83D5-A232BD16D88D}"/>
    <cellStyle name="40% - Énfasis6 2 4 2 2 2 2 2 5" xfId="8771" xr:uid="{E8EE35F9-492A-43C5-A4B2-D8768D08A940}"/>
    <cellStyle name="40% - Énfasis6 2 4 2 2 2 2 3" xfId="8772" xr:uid="{EE552981-D40C-4FC6-878D-A16219485D1F}"/>
    <cellStyle name="40% - Énfasis6 2 4 2 2 2 2 4" xfId="8773" xr:uid="{49FE1D50-3CB4-4561-821B-944E8E9AFB17}"/>
    <cellStyle name="40% - Énfasis6 2 4 2 2 2 2 5" xfId="8774" xr:uid="{602CBA41-59E4-441A-B8E0-1C7F04A60852}"/>
    <cellStyle name="40% - Énfasis6 2 4 2 2 2 3" xfId="8775" xr:uid="{2C7BECDF-0C3E-4E35-B293-836A86F1D0C2}"/>
    <cellStyle name="40% - Énfasis6 2 4 2 2 2 4" xfId="8776" xr:uid="{B6ABDBB1-462A-47F0-9709-D58F678224F6}"/>
    <cellStyle name="40% - Énfasis6 2 4 2 2 2 5" xfId="8777" xr:uid="{E7DBB346-E018-4C59-880A-4197D5E13C26}"/>
    <cellStyle name="40% - Énfasis6 2 4 2 2 2 6" xfId="8778" xr:uid="{D67CE5A5-62E6-4E9D-BBDC-F24298BFC3B7}"/>
    <cellStyle name="40% - Énfasis6 2 4 2 2 2 7" xfId="8779" xr:uid="{D7FF5940-8858-44D7-AF73-02859DE089B4}"/>
    <cellStyle name="40% - Énfasis6 2 4 2 2 2 8" xfId="8780" xr:uid="{B877CDCD-4C99-489B-9112-AE1ED47CB8AF}"/>
    <cellStyle name="40% - Énfasis6 2 4 2 2 2 9" xfId="8781" xr:uid="{63B45CC6-120E-453D-AF00-6B19B12EC0C0}"/>
    <cellStyle name="40% - Énfasis6 2 4 2 2 3" xfId="8782" xr:uid="{94068EEF-B314-4717-A6FF-0A274E4FD4B1}"/>
    <cellStyle name="40% - Énfasis6 2 4 2 2 3 2" xfId="8783" xr:uid="{BE34DD5E-C12A-4E7D-826F-DBBD0C7B82CA}"/>
    <cellStyle name="40% - Énfasis6 2 4 2 2 3 2 2" xfId="8784" xr:uid="{CB0FF846-21B1-473B-81E8-BEF22ED052B7}"/>
    <cellStyle name="40% - Énfasis6 2 4 2 2 3 2 3" xfId="8785" xr:uid="{A1C04686-13EC-44C2-9E5E-9BE8620A0B4E}"/>
    <cellStyle name="40% - Énfasis6 2 4 2 2 3 2 4" xfId="8786" xr:uid="{FDF7BC2A-A285-435A-BD4D-611B6AEBD5C8}"/>
    <cellStyle name="40% - Énfasis6 2 4 2 2 3 2 5" xfId="8787" xr:uid="{41D065F7-58DF-475C-8E41-2B82F27B340D}"/>
    <cellStyle name="40% - Énfasis6 2 4 2 2 3 3" xfId="8788" xr:uid="{02040BE9-7271-4527-891D-EB6E91711A25}"/>
    <cellStyle name="40% - Énfasis6 2 4 2 2 3 4" xfId="8789" xr:uid="{52764A72-999B-4611-A7FF-2D82E97655F3}"/>
    <cellStyle name="40% - Énfasis6 2 4 2 2 3 5" xfId="8790" xr:uid="{E285FFCB-7E08-410A-9FA3-F6BA44324D26}"/>
    <cellStyle name="40% - Énfasis6 2 4 2 2 4" xfId="8791" xr:uid="{ADE009AE-73C4-45DA-9F5B-F45FF98A7470}"/>
    <cellStyle name="40% - Énfasis6 2 4 2 2 5" xfId="8792" xr:uid="{D92A9148-4111-43F2-8F7B-78C3C43CB102}"/>
    <cellStyle name="40% - Énfasis6 2 4 2 2 6" xfId="8793" xr:uid="{CFB95CDC-49C9-4A65-AED8-0F0DFD2DED61}"/>
    <cellStyle name="40% - Énfasis6 2 4 2 2 7" xfId="8794" xr:uid="{B81D3D44-2814-4DBC-A522-F7E94C8B33FC}"/>
    <cellStyle name="40% - Énfasis6 2 4 2 2 8" xfId="8795" xr:uid="{2A6DF8F9-435D-4115-A966-186C3B11A84B}"/>
    <cellStyle name="40% - Énfasis6 2 4 2 2 9" xfId="8796" xr:uid="{22FB3D07-D358-41EF-B8FA-5F56790E6F04}"/>
    <cellStyle name="40% - Énfasis6 2 4 2 3" xfId="8797" xr:uid="{E835FCFB-1C91-4900-8270-B1D2EBB69932}"/>
    <cellStyle name="40% - Énfasis6 2 4 2 3 2" xfId="8798" xr:uid="{23F73492-2543-4913-B0DD-BB0AB8B86F61}"/>
    <cellStyle name="40% - Énfasis6 2 4 2 3 2 2" xfId="8799" xr:uid="{54B874D6-F15A-49B8-AAB4-DC8C84070069}"/>
    <cellStyle name="40% - Énfasis6 2 4 2 3 2 3" xfId="8800" xr:uid="{3A2156F8-CC80-4C91-AF73-4901A2BC27D2}"/>
    <cellStyle name="40% - Énfasis6 2 4 2 3 2 4" xfId="8801" xr:uid="{4EE692A0-BF88-415F-8278-77A219CD6CE8}"/>
    <cellStyle name="40% - Énfasis6 2 4 2 3 2 5" xfId="8802" xr:uid="{B1A890F6-580F-4142-BDF2-1FE23DC8924B}"/>
    <cellStyle name="40% - Énfasis6 2 4 2 3 3" xfId="8803" xr:uid="{DAA804E1-36ED-487C-A85F-F94DE9FD65B7}"/>
    <cellStyle name="40% - Énfasis6 2 4 2 3 4" xfId="8804" xr:uid="{BC5DE8DA-EC42-4541-844B-066E2D42706D}"/>
    <cellStyle name="40% - Énfasis6 2 4 2 3 5" xfId="8805" xr:uid="{5AFF9557-8C24-4CAC-871E-3288C333AF6F}"/>
    <cellStyle name="40% - Énfasis6 2 4 2 4" xfId="8806" xr:uid="{6E2E77CD-DB17-4AEA-9382-86EAD180268C}"/>
    <cellStyle name="40% - Énfasis6 2 4 2 5" xfId="8807" xr:uid="{A2FEA4BD-FCC7-44F5-BF8B-64C1131B3016}"/>
    <cellStyle name="40% - Énfasis6 2 4 2 6" xfId="8808" xr:uid="{9C190B43-4A5E-4879-B5CF-FE1C0B7F266B}"/>
    <cellStyle name="40% - Énfasis6 2 4 2 7" xfId="8809" xr:uid="{DE76EB38-81A5-41B6-9EF5-FC8559162F07}"/>
    <cellStyle name="40% - Énfasis6 2 4 2 8" xfId="8810" xr:uid="{B77BA0B6-7423-41F6-85B5-46C602C4E95B}"/>
    <cellStyle name="40% - Énfasis6 2 4 2 9" xfId="8811" xr:uid="{A4F3B430-12DE-42D4-AD77-33E020B94FA9}"/>
    <cellStyle name="40% - Énfasis6 2 4 3" xfId="8812" xr:uid="{7A3AA2E3-25A8-476C-8F09-56884A10C8F3}"/>
    <cellStyle name="40% - Énfasis6 2 4 3 10" xfId="8813" xr:uid="{EC8247D3-CF7B-4AE1-80DD-2884F93D3C79}"/>
    <cellStyle name="40% - Énfasis6 2 4 3 11" xfId="8814" xr:uid="{5BC1496D-240A-4F4B-AF64-632E8838D2BD}"/>
    <cellStyle name="40% - Énfasis6 2 4 3 12" xfId="44379" xr:uid="{A0252852-7599-4081-808F-25D00CA3C43C}"/>
    <cellStyle name="40% - Énfasis6 2 4 3 2" xfId="8815" xr:uid="{15D341C5-EF31-457A-9DF5-4E0208138DBE}"/>
    <cellStyle name="40% - Énfasis6 2 4 3 2 2" xfId="8816" xr:uid="{1D5BD884-A581-4727-9A34-7E633A791558}"/>
    <cellStyle name="40% - Énfasis6 2 4 3 2 2 2" xfId="8817" xr:uid="{1F36A071-002B-4A87-A0E4-F368AB75B0A0}"/>
    <cellStyle name="40% - Énfasis6 2 4 3 2 2 3" xfId="8818" xr:uid="{8AD92847-184D-4423-93EB-4885ABA83507}"/>
    <cellStyle name="40% - Énfasis6 2 4 3 2 2 4" xfId="8819" xr:uid="{2DD60ADD-731F-47B7-8DA9-F48DFCF760B0}"/>
    <cellStyle name="40% - Énfasis6 2 4 3 2 2 5" xfId="8820" xr:uid="{E2CC8D1D-9D83-4513-A9E0-AFCD0B5D2552}"/>
    <cellStyle name="40% - Énfasis6 2 4 3 2 3" xfId="8821" xr:uid="{23D629B9-8E1F-428A-AABB-31A0EBA960E8}"/>
    <cellStyle name="40% - Énfasis6 2 4 3 2 4" xfId="8822" xr:uid="{8050C0CA-0E14-4B4D-90A0-B76CC8684B5E}"/>
    <cellStyle name="40% - Énfasis6 2 4 3 2 5" xfId="8823" xr:uid="{F53A43C0-04A7-4C16-ADF1-01AFD9A76B7A}"/>
    <cellStyle name="40% - Énfasis6 2 4 3 3" xfId="8824" xr:uid="{4D0497BA-58F9-4389-A69B-E9A5B604BB12}"/>
    <cellStyle name="40% - Énfasis6 2 4 3 4" xfId="8825" xr:uid="{0AC77257-C3F6-4D5C-B024-16050DBB1493}"/>
    <cellStyle name="40% - Énfasis6 2 4 3 5" xfId="8826" xr:uid="{B2EA1950-D880-4F39-A250-6A0CF5A61984}"/>
    <cellStyle name="40% - Énfasis6 2 4 3 6" xfId="8827" xr:uid="{A68145B7-8DC7-411C-8B73-6BCABF264754}"/>
    <cellStyle name="40% - Énfasis6 2 4 3 7" xfId="8828" xr:uid="{68BE1D88-FD3D-4FDB-9DD6-54EE3CD35960}"/>
    <cellStyle name="40% - Énfasis6 2 4 3 8" xfId="8829" xr:uid="{60A828B8-27D1-4324-B43C-D396D6D80F41}"/>
    <cellStyle name="40% - Énfasis6 2 4 3 9" xfId="8830" xr:uid="{06A46CA5-A9B4-45C0-8CE5-519DA2886FC2}"/>
    <cellStyle name="40% - Énfasis6 2 4 4" xfId="8831" xr:uid="{5C19AA10-7CDD-4482-B509-67D3C220B8AC}"/>
    <cellStyle name="40% - Énfasis6 2 4 4 2" xfId="8832" xr:uid="{37DF95C5-B216-47C0-AA66-89D8D431F51E}"/>
    <cellStyle name="40% - Énfasis6 2 4 4 2 2" xfId="8833" xr:uid="{B21400A3-E61B-400A-B128-229D51CB7650}"/>
    <cellStyle name="40% - Énfasis6 2 4 4 2 3" xfId="8834" xr:uid="{B168D4B4-B9D9-4A02-B1C5-1EACBB610E44}"/>
    <cellStyle name="40% - Énfasis6 2 4 4 2 4" xfId="8835" xr:uid="{F51101D1-877D-484F-95DE-05B5605700C3}"/>
    <cellStyle name="40% - Énfasis6 2 4 4 2 5" xfId="8836" xr:uid="{832730BC-52AD-4C8E-B733-599C8FEE6B0C}"/>
    <cellStyle name="40% - Énfasis6 2 4 4 3" xfId="8837" xr:uid="{0F9FDEA5-663F-4E0B-8647-1C4009625C96}"/>
    <cellStyle name="40% - Énfasis6 2 4 4 4" xfId="8838" xr:uid="{0302E233-E3EA-431D-95CE-4B889D529649}"/>
    <cellStyle name="40% - Énfasis6 2 4 4 5" xfId="8839" xr:uid="{8C5C92F2-B4E9-4A6E-91B7-D5623711977C}"/>
    <cellStyle name="40% - Énfasis6 2 4 5" xfId="8840" xr:uid="{262E8257-1813-4996-8779-3996FC8CE4AA}"/>
    <cellStyle name="40% - Énfasis6 2 4 6" xfId="8841" xr:uid="{10623A33-BCF5-4EFA-8D2A-E589BB625B8F}"/>
    <cellStyle name="40% - Énfasis6 2 4 7" xfId="8842" xr:uid="{37B49A7D-9CEA-4168-882F-5E2959A7E020}"/>
    <cellStyle name="40% - Énfasis6 2 4 8" xfId="8843" xr:uid="{AC610C92-1A4C-4E28-85AB-6425A24A4944}"/>
    <cellStyle name="40% - Énfasis6 2 4 9" xfId="8844" xr:uid="{D7AE6637-540B-449A-947E-1E01124D6EE6}"/>
    <cellStyle name="40% - Énfasis6 2 5" xfId="8845" xr:uid="{E230009C-4A9F-4A0B-9291-85013D277B46}"/>
    <cellStyle name="40% - Énfasis6 2 5 2" xfId="8846" xr:uid="{1E611749-3013-407A-A809-B3CEDF31813A}"/>
    <cellStyle name="40% - Énfasis6 2 5 2 2" xfId="44381" xr:uid="{BE80B124-A01A-46B1-8338-946A37BBF01D}"/>
    <cellStyle name="40% - Énfasis6 2 5 3" xfId="44380" xr:uid="{1F524ABB-7C81-49BC-AD89-C27658DBA6C9}"/>
    <cellStyle name="40% - Énfasis6 2 6" xfId="8847" xr:uid="{3C7AC2B2-3602-4864-8805-4EF668FBC0E5}"/>
    <cellStyle name="40% - Énfasis6 2 6 2" xfId="8848" xr:uid="{B612DB67-44C4-42E4-97F8-FA7BF7F8A93D}"/>
    <cellStyle name="40% - Énfasis6 2 6 3" xfId="44382" xr:uid="{3C052061-44FC-4BBB-A57B-9D0C4EE1441C}"/>
    <cellStyle name="40% - Énfasis6 2 7" xfId="8849" xr:uid="{2D41D85D-6A11-4574-AC39-623724498340}"/>
    <cellStyle name="40% - Énfasis6 2 7 2" xfId="8850" xr:uid="{459E72BD-19CC-4E1B-B882-187267CAA24B}"/>
    <cellStyle name="40% - Énfasis6 2 8" xfId="8851" xr:uid="{14DBBADE-363D-45D4-A1E4-745B1B3BA2E0}"/>
    <cellStyle name="40% - Énfasis6 2 8 2" xfId="8852" xr:uid="{BB542DDB-6562-4B02-BC5E-77C6EDCAF25C}"/>
    <cellStyle name="40% - Énfasis6 2 8 2 2" xfId="8853" xr:uid="{DB093FAB-97FC-40EF-A435-B2272C45E33F}"/>
    <cellStyle name="40% - Énfasis6 2 8 3" xfId="8854" xr:uid="{A95D0513-D494-4D35-825E-D8293F4D68C1}"/>
    <cellStyle name="40% - Énfasis6 2 9" xfId="8855" xr:uid="{74D6DF38-409C-434C-A04C-0C1C02F23AA7}"/>
    <cellStyle name="40% - Énfasis6 2 9 2" xfId="8856" xr:uid="{348ADB02-5193-414C-8E0F-4418B9F19BD6}"/>
    <cellStyle name="40% - Énfasis6 3" xfId="8857" xr:uid="{43BC6021-1246-425D-BFE8-31B56673AE31}"/>
    <cellStyle name="40% - Énfasis6 3 2" xfId="8858" xr:uid="{B153CCFC-555D-47C5-ADB4-47B0D6098374}"/>
    <cellStyle name="40% - Énfasis6 3 2 2" xfId="8859" xr:uid="{83C9716D-DAD1-4BA2-9CE5-9FEA71D76EA9}"/>
    <cellStyle name="40% - Énfasis6 3 2 2 2" xfId="44386" xr:uid="{968EBD57-201B-4920-A10A-095514FC18F8}"/>
    <cellStyle name="40% - Énfasis6 3 2 2 2 2" xfId="44387" xr:uid="{B6CE6843-8AE5-44F8-AB73-A8D61DC6DD87}"/>
    <cellStyle name="40% - Énfasis6 3 2 2 3" xfId="44388" xr:uid="{C3B1C998-E900-407D-A22E-8D7BF740FB91}"/>
    <cellStyle name="40% - Énfasis6 3 2 2 4" xfId="44385" xr:uid="{228C91EC-9068-43E1-A255-23A4C3EE9533}"/>
    <cellStyle name="40% - Énfasis6 3 2 3" xfId="44389" xr:uid="{DEB3D661-7739-4AE1-A268-A3A351E1E867}"/>
    <cellStyle name="40% - Énfasis6 3 2 3 2" xfId="44390" xr:uid="{7D054087-23AF-413C-9D5D-D743CD30360D}"/>
    <cellStyle name="40% - Énfasis6 3 2 4" xfId="44391" xr:uid="{AA007E56-5B2C-4A00-90B5-ECA82E8C88E6}"/>
    <cellStyle name="40% - Énfasis6 3 2 5" xfId="44384" xr:uid="{72C2E432-F67A-4814-9FA5-B2002AEA198C}"/>
    <cellStyle name="40% - Énfasis6 3 3" xfId="8860" xr:uid="{7FE6E766-4B51-44A3-8A19-BA4524D03E3E}"/>
    <cellStyle name="40% - Énfasis6 3 3 2" xfId="8861" xr:uid="{32CD55D6-5293-4434-AAC9-9E2F140A84A2}"/>
    <cellStyle name="40% - Énfasis6 3 3 2 2" xfId="44394" xr:uid="{6AAB6D5F-5B93-4203-BE6F-F1F5A1E06624}"/>
    <cellStyle name="40% - Énfasis6 3 3 2 3" xfId="44393" xr:uid="{0E5D8828-A050-4B5B-8C11-8A1B06E7A6C4}"/>
    <cellStyle name="40% - Énfasis6 3 3 3" xfId="44395" xr:uid="{4CCEFD57-60B8-4A15-8F91-53E6199C2C5A}"/>
    <cellStyle name="40% - Énfasis6 3 3 4" xfId="44392" xr:uid="{A8F4A15B-B615-428F-BC45-95BEE28066E1}"/>
    <cellStyle name="40% - Énfasis6 3 4" xfId="8862" xr:uid="{10681EEA-CE46-46FB-B87D-4E917148798A}"/>
    <cellStyle name="40% - Énfasis6 3 4 2" xfId="44397" xr:uid="{5D9D0627-80C3-4127-A8FA-332D6757ED77}"/>
    <cellStyle name="40% - Énfasis6 3 4 3" xfId="44396" xr:uid="{E08A11D6-5F69-47E5-979E-0B8E59844328}"/>
    <cellStyle name="40% - Énfasis6 3 5" xfId="44398" xr:uid="{28F85DB4-0D3A-4103-A86C-2161E5E8259C}"/>
    <cellStyle name="40% - Énfasis6 3 6" xfId="44383" xr:uid="{76A5A0C3-DDC1-4D12-ABA3-1C66BE759CA4}"/>
    <cellStyle name="40% - Énfasis6 4" xfId="8863" xr:uid="{F30A0988-95B6-436E-BA5B-22BCDFE14316}"/>
    <cellStyle name="40% - Énfasis6 4 2" xfId="8864" xr:uid="{660BF200-1B43-4E97-BA65-7B70D18407FC}"/>
    <cellStyle name="40% - Énfasis6 4 2 2" xfId="44401" xr:uid="{7BEA3436-7822-4BC8-B258-62397F44E272}"/>
    <cellStyle name="40% - Énfasis6 4 2 2 2" xfId="44402" xr:uid="{C54DF107-D7FE-4F01-A087-14613081138E}"/>
    <cellStyle name="40% - Énfasis6 4 2 3" xfId="44403" xr:uid="{8B909D95-B0D9-43F0-B37E-1FA5E9FB2886}"/>
    <cellStyle name="40% - Énfasis6 4 2 4" xfId="44400" xr:uid="{BB225584-AC5E-45EB-953A-881081706E99}"/>
    <cellStyle name="40% - Énfasis6 4 3" xfId="44404" xr:uid="{7B65D784-7391-4DD7-A84D-E6777C45F99E}"/>
    <cellStyle name="40% - Énfasis6 4 3 2" xfId="44405" xr:uid="{A0995B7D-561C-43CB-8DF1-60E9B86DA200}"/>
    <cellStyle name="40% - Énfasis6 4 4" xfId="44406" xr:uid="{1D2998DE-60CF-402E-9265-725848055D11}"/>
    <cellStyle name="40% - Énfasis6 4 5" xfId="44399" xr:uid="{375908E8-E4A2-4280-A8FA-00FF85DAAD58}"/>
    <cellStyle name="40% - Énfasis6 5" xfId="44407" xr:uid="{021F5606-8019-4B2B-B45D-84E7568961F8}"/>
    <cellStyle name="40% - Énfasis6 5 2" xfId="44408" xr:uid="{0E8AB51C-9758-474E-8585-488F1807F4AC}"/>
    <cellStyle name="40% - Énfasis6 5 2 2" xfId="44409" xr:uid="{524C5B5C-5965-4092-B8C2-1C84897F5C40}"/>
    <cellStyle name="40% - Énfasis6 5 2 2 2" xfId="44410" xr:uid="{6005AA5D-2BA8-416F-97AD-1F90B634A741}"/>
    <cellStyle name="40% - Énfasis6 5 2 3" xfId="44411" xr:uid="{DB164797-F0A0-43B9-BDC7-D68978883B11}"/>
    <cellStyle name="40% - Énfasis6 5 3" xfId="44412" xr:uid="{CAEE8772-6AA5-4A49-8289-2095DFD43D10}"/>
    <cellStyle name="40% - Énfasis6 5 3 2" xfId="44413" xr:uid="{F76B076D-15CF-4964-BEF0-940A883D1E3C}"/>
    <cellStyle name="40% - Énfasis6 5 4" xfId="44414" xr:uid="{01947E57-1BBD-45D1-875B-24AC1FF62ABB}"/>
    <cellStyle name="40% - Énfasis6 6" xfId="44415" xr:uid="{D5D09F8D-532D-4436-9545-4CE03AC5AC25}"/>
    <cellStyle name="40% - Énfasis6 6 2" xfId="44416" xr:uid="{FEAB3F71-4C86-4131-A5AA-68F899F9F26C}"/>
    <cellStyle name="40% - Énfasis6 6 2 2" xfId="44417" xr:uid="{6E5FDC96-C142-41DA-BABD-AF37D44F9E9D}"/>
    <cellStyle name="40% - Énfasis6 6 3" xfId="44418" xr:uid="{FB1CAE60-AF3C-4834-99C6-9014AB6F578E}"/>
    <cellStyle name="40% - Énfasis6 7" xfId="44419" xr:uid="{0D38E6A6-E0E0-4B7E-BA7A-1F35BEBEEA6A}"/>
    <cellStyle name="40% - Énfasis6 7 2" xfId="44420" xr:uid="{C40277ED-08FB-4286-9DDC-AAF73E575422}"/>
    <cellStyle name="40% - Énfasis6 8" xfId="44421" xr:uid="{EB41FD68-C889-41A4-92F6-4FA9A154325B}"/>
    <cellStyle name="60% - Énfasis1 2" xfId="8865" xr:uid="{E834BBD5-2BC4-4B93-B5C1-9314933D6E27}"/>
    <cellStyle name="60% - Énfasis1 2 10" xfId="8866" xr:uid="{EA0A53AF-8EC4-46B7-AA8E-16082367A6EC}"/>
    <cellStyle name="60% - Énfasis1 2 10 10" xfId="8867" xr:uid="{02C96F5A-60F0-4687-BCD1-B87C0BEF43AF}"/>
    <cellStyle name="60% - Énfasis1 2 10 11" xfId="8868" xr:uid="{E2B5E685-9353-481A-AF7F-B25953BAEBAB}"/>
    <cellStyle name="60% - Énfasis1 2 10 2" xfId="8869" xr:uid="{A812061D-9B49-4497-8512-5024ED74740A}"/>
    <cellStyle name="60% - Énfasis1 2 10 2 10" xfId="8870" xr:uid="{C91AAD7E-8F00-4281-A969-FCF90DD7734F}"/>
    <cellStyle name="60% - Énfasis1 2 10 2 11" xfId="8871" xr:uid="{FD017AE4-5C12-41D0-9F0F-423D57E71521}"/>
    <cellStyle name="60% - Énfasis1 2 10 2 2" xfId="8872" xr:uid="{0312FC44-FA86-4BC1-B832-AFC0A1E1803A}"/>
    <cellStyle name="60% - Énfasis1 2 10 2 2 2" xfId="8873" xr:uid="{F9628AD6-3499-49D4-9D18-729325130B22}"/>
    <cellStyle name="60% - Énfasis1 2 10 2 2 2 2" xfId="8874" xr:uid="{6C53ECC1-4CAA-46E5-91D9-E9B514339131}"/>
    <cellStyle name="60% - Énfasis1 2 10 2 2 2 3" xfId="8875" xr:uid="{FBDDCB5E-E77C-4740-B23A-A716BE6CB713}"/>
    <cellStyle name="60% - Énfasis1 2 10 2 2 2 4" xfId="8876" xr:uid="{68EBB912-2A55-469F-B313-D2964A900C74}"/>
    <cellStyle name="60% - Énfasis1 2 10 2 2 2 5" xfId="8877" xr:uid="{AACD80FD-D440-4371-A528-0076B1DEF712}"/>
    <cellStyle name="60% - Énfasis1 2 10 2 2 3" xfId="8878" xr:uid="{D27046EF-9D51-44A7-B2D9-9C0869147F71}"/>
    <cellStyle name="60% - Énfasis1 2 10 2 2 4" xfId="8879" xr:uid="{CBCD86C0-FEB1-4035-848C-5D53B5DEC511}"/>
    <cellStyle name="60% - Énfasis1 2 10 2 2 5" xfId="8880" xr:uid="{BE2F5040-4B64-459F-9741-E888EFA111F4}"/>
    <cellStyle name="60% - Énfasis1 2 10 2 3" xfId="8881" xr:uid="{597F893B-E0C0-4DF5-8544-725E14CD652D}"/>
    <cellStyle name="60% - Énfasis1 2 10 2 4" xfId="8882" xr:uid="{2404046B-3C03-4079-8860-BCEFAB6D9FF9}"/>
    <cellStyle name="60% - Énfasis1 2 10 2 5" xfId="8883" xr:uid="{85FDD83B-EC47-4328-9566-4A0F1542DE7B}"/>
    <cellStyle name="60% - Énfasis1 2 10 2 6" xfId="8884" xr:uid="{F7E755A3-CD25-4625-95BB-2378E33A8EC6}"/>
    <cellStyle name="60% - Énfasis1 2 10 2 7" xfId="8885" xr:uid="{A9986E8D-42D5-4F54-8F58-643E06D8C5F8}"/>
    <cellStyle name="60% - Énfasis1 2 10 2 8" xfId="8886" xr:uid="{912FFBFF-2B1C-49A0-9362-5AC2285737F5}"/>
    <cellStyle name="60% - Énfasis1 2 10 2 9" xfId="8887" xr:uid="{9F23C2D7-C767-4613-9369-923329E81D37}"/>
    <cellStyle name="60% - Énfasis1 2 10 3" xfId="8888" xr:uid="{6DD9B795-68F5-4004-892C-D7CF2D7A418F}"/>
    <cellStyle name="60% - Énfasis1 2 10 3 2" xfId="8889" xr:uid="{F87181EF-86E8-44C4-90B1-852DF5F5999B}"/>
    <cellStyle name="60% - Énfasis1 2 10 3 2 2" xfId="8890" xr:uid="{0CE610EA-2E2E-490D-BADA-C499A10EBA90}"/>
    <cellStyle name="60% - Énfasis1 2 10 3 2 3" xfId="8891" xr:uid="{21921267-7DF8-43B8-9957-FCD3F3E78024}"/>
    <cellStyle name="60% - Énfasis1 2 10 3 2 4" xfId="8892" xr:uid="{A599C465-1557-405B-A067-24200BEE955C}"/>
    <cellStyle name="60% - Énfasis1 2 10 3 2 5" xfId="8893" xr:uid="{2035A197-6E92-4280-8973-1FF6440B37EF}"/>
    <cellStyle name="60% - Énfasis1 2 10 3 3" xfId="8894" xr:uid="{07EFE49C-5CBE-49AE-AC74-109AEF895410}"/>
    <cellStyle name="60% - Énfasis1 2 10 3 4" xfId="8895" xr:uid="{C9C580F9-E335-4806-B4DF-ABD391028E75}"/>
    <cellStyle name="60% - Énfasis1 2 10 3 5" xfId="8896" xr:uid="{2249ABAF-5373-429A-9D45-1498A62A093A}"/>
    <cellStyle name="60% - Énfasis1 2 10 4" xfId="8897" xr:uid="{751AE02F-2C94-429D-A147-11B2317A60A2}"/>
    <cellStyle name="60% - Énfasis1 2 10 5" xfId="8898" xr:uid="{2B425251-F428-4B43-9416-4CF527998B87}"/>
    <cellStyle name="60% - Énfasis1 2 10 6" xfId="8899" xr:uid="{24549448-0B18-473C-A543-D9E1D8870F0A}"/>
    <cellStyle name="60% - Énfasis1 2 10 7" xfId="8900" xr:uid="{8281E01D-947C-4949-8323-5E7892AE93E8}"/>
    <cellStyle name="60% - Énfasis1 2 10 8" xfId="8901" xr:uid="{CD4A73BC-412B-4DE9-9900-83A494CCBEFC}"/>
    <cellStyle name="60% - Énfasis1 2 10 9" xfId="8902" xr:uid="{E42F9EF9-8E18-4B2D-8488-702660626B2E}"/>
    <cellStyle name="60% - Énfasis1 2 11" xfId="8903" xr:uid="{93F3FF6E-E50B-41E8-96E4-A0653BBB4FC9}"/>
    <cellStyle name="60% - Énfasis1 2 12" xfId="8904" xr:uid="{A216242E-66BC-41F7-9BF4-6BAF834D097E}"/>
    <cellStyle name="60% - Énfasis1 2 13" xfId="8905" xr:uid="{59D0B336-A27B-4B84-A38A-45D17F4B5651}"/>
    <cellStyle name="60% - Énfasis1 2 14" xfId="43487" xr:uid="{4E870232-68ED-4C04-959B-335F8E4EB64F}"/>
    <cellStyle name="60% - Énfasis1 2 2" xfId="8906" xr:uid="{2D779F51-1C4B-421F-B508-EA13B709A346}"/>
    <cellStyle name="60% - Énfasis1 2 2 10" xfId="8907" xr:uid="{4B14BCB0-42D9-4C13-ADF3-50B486A61ED7}"/>
    <cellStyle name="60% - Énfasis1 2 2 10 10" xfId="8908" xr:uid="{34EAC96D-9E31-4207-AC5C-4B34E0091D0B}"/>
    <cellStyle name="60% - Énfasis1 2 2 10 11" xfId="8909" xr:uid="{38D54361-3E8B-4245-85DF-95EEEB7539AD}"/>
    <cellStyle name="60% - Énfasis1 2 2 10 2" xfId="8910" xr:uid="{8B6BAA13-E002-42B4-8D77-9EC8B3DDE65A}"/>
    <cellStyle name="60% - Énfasis1 2 2 10 2 10" xfId="8911" xr:uid="{1CA2D788-1D07-4FEB-B642-990A81BA9E76}"/>
    <cellStyle name="60% - Énfasis1 2 2 10 2 11" xfId="8912" xr:uid="{2A4F9A19-C9DC-423E-B8C9-37DDB5B50B71}"/>
    <cellStyle name="60% - Énfasis1 2 2 10 2 2" xfId="8913" xr:uid="{7DE1A5C5-7CD0-4F4C-8816-5EACFDFB7839}"/>
    <cellStyle name="60% - Énfasis1 2 2 10 2 2 2" xfId="8914" xr:uid="{C29BC264-27EE-4DD4-8D63-FE8A77C1D190}"/>
    <cellStyle name="60% - Énfasis1 2 2 10 2 2 2 2" xfId="8915" xr:uid="{BD155459-FF1D-44F2-914C-5B06C603433B}"/>
    <cellStyle name="60% - Énfasis1 2 2 10 2 2 2 3" xfId="8916" xr:uid="{1CC4FFEC-9382-4692-BA6B-2ED63B85B1DC}"/>
    <cellStyle name="60% - Énfasis1 2 2 10 2 2 2 4" xfId="8917" xr:uid="{AA5E30DC-EEC1-4002-9ABD-C71E5657C81B}"/>
    <cellStyle name="60% - Énfasis1 2 2 10 2 2 2 5" xfId="8918" xr:uid="{E43456F6-ECC9-4D87-A69A-6DB5DDCEE6BA}"/>
    <cellStyle name="60% - Énfasis1 2 2 10 2 2 3" xfId="8919" xr:uid="{A09B9D43-475A-4153-B241-4C74FCCC334E}"/>
    <cellStyle name="60% - Énfasis1 2 2 10 2 2 4" xfId="8920" xr:uid="{2D2F1B96-D9E4-4D7D-9972-0301660E68B6}"/>
    <cellStyle name="60% - Énfasis1 2 2 10 2 2 5" xfId="8921" xr:uid="{9CC28A7C-AB6F-4E58-B7E3-F51EEE291347}"/>
    <cellStyle name="60% - Énfasis1 2 2 10 2 3" xfId="8922" xr:uid="{2C757769-D8FB-4F28-B560-E983086CA38D}"/>
    <cellStyle name="60% - Énfasis1 2 2 10 2 4" xfId="8923" xr:uid="{9AE1B2EB-5B66-44D1-87DA-16AE5B9E373C}"/>
    <cellStyle name="60% - Énfasis1 2 2 10 2 5" xfId="8924" xr:uid="{3EFAD1FB-F16E-4B6C-840C-808AFC463D02}"/>
    <cellStyle name="60% - Énfasis1 2 2 10 2 6" xfId="8925" xr:uid="{EFC0EFD4-B0A5-4DEC-B63D-3B4426851BC5}"/>
    <cellStyle name="60% - Énfasis1 2 2 10 2 7" xfId="8926" xr:uid="{581FF76D-DEA4-4D50-B218-1967DE0E5802}"/>
    <cellStyle name="60% - Énfasis1 2 2 10 2 8" xfId="8927" xr:uid="{4388C345-B3B4-494E-80C0-658D749DB1F0}"/>
    <cellStyle name="60% - Énfasis1 2 2 10 2 9" xfId="8928" xr:uid="{4987311A-6E11-46B6-AAAD-D0021821A398}"/>
    <cellStyle name="60% - Énfasis1 2 2 10 3" xfId="8929" xr:uid="{503802D8-6053-4FA7-8A37-9578B24279E6}"/>
    <cellStyle name="60% - Énfasis1 2 2 10 3 2" xfId="8930" xr:uid="{D810981F-2A3D-45AF-BC75-6703AB67AC08}"/>
    <cellStyle name="60% - Énfasis1 2 2 10 3 2 2" xfId="8931" xr:uid="{D6C429B6-69CC-4773-BE56-35AD124004DB}"/>
    <cellStyle name="60% - Énfasis1 2 2 10 3 2 3" xfId="8932" xr:uid="{8E480D67-E827-4F9F-9AD4-3970559454AF}"/>
    <cellStyle name="60% - Énfasis1 2 2 10 3 2 4" xfId="8933" xr:uid="{6AA1F700-613F-4CC4-9FA2-7F9019E73418}"/>
    <cellStyle name="60% - Énfasis1 2 2 10 3 2 5" xfId="8934" xr:uid="{5E932A5E-508A-4D80-B3BD-192605FDDB52}"/>
    <cellStyle name="60% - Énfasis1 2 2 10 3 3" xfId="8935" xr:uid="{9190D0AA-DD18-43B9-8970-E4E65559F931}"/>
    <cellStyle name="60% - Énfasis1 2 2 10 3 4" xfId="8936" xr:uid="{69B4B885-3606-465D-BEB2-48EB72960C4C}"/>
    <cellStyle name="60% - Énfasis1 2 2 10 3 5" xfId="8937" xr:uid="{B2B25EF0-2E14-4C2E-B0F2-1A235227DD29}"/>
    <cellStyle name="60% - Énfasis1 2 2 10 4" xfId="8938" xr:uid="{BA7DF49A-1E83-49A6-B262-67E2301818DB}"/>
    <cellStyle name="60% - Énfasis1 2 2 10 5" xfId="8939" xr:uid="{21130E19-3CE5-4ED3-AF6A-E297E35B95B6}"/>
    <cellStyle name="60% - Énfasis1 2 2 10 6" xfId="8940" xr:uid="{8E854F56-C3CD-4CB9-B893-DBC801803A1E}"/>
    <cellStyle name="60% - Énfasis1 2 2 10 7" xfId="8941" xr:uid="{7AF59A2A-7BAC-4B1B-9DBD-71B603ED5A12}"/>
    <cellStyle name="60% - Énfasis1 2 2 10 8" xfId="8942" xr:uid="{A642CA79-EC15-41C0-AB2B-47A1042AC9B2}"/>
    <cellStyle name="60% - Énfasis1 2 2 10 9" xfId="8943" xr:uid="{8AAF1454-EBAD-4058-AACD-5A15CC57C49D}"/>
    <cellStyle name="60% - Énfasis1 2 2 11" xfId="8944" xr:uid="{8105F7F6-5CDE-42F8-B5B0-455E4835BC34}"/>
    <cellStyle name="60% - Énfasis1 2 2 12" xfId="8945" xr:uid="{DEE05E90-61C0-4F3B-AB62-7930B3200F98}"/>
    <cellStyle name="60% - Énfasis1 2 2 13" xfId="8946" xr:uid="{0F38D6BA-144F-45D6-B2FF-3110DB114605}"/>
    <cellStyle name="60% - Énfasis1 2 2 2" xfId="8947" xr:uid="{BAB39B78-E012-4D8A-8057-7BDCB8296C84}"/>
    <cellStyle name="60% - Énfasis1 2 2 2 2" xfId="8948" xr:uid="{80E94C02-0575-4081-8B8A-E2B16BFE520A}"/>
    <cellStyle name="60% - Énfasis1 2 2 2 2 2" xfId="8949" xr:uid="{5229A56B-5003-42F3-AA80-8545C0178FE7}"/>
    <cellStyle name="60% - Énfasis1 2 2 2 2 2 2" xfId="8950" xr:uid="{2DBC10B3-42CC-4A15-86E4-9CAE754150BD}"/>
    <cellStyle name="60% - Énfasis1 2 2 2 2 2 2 2" xfId="8951" xr:uid="{5773EC3B-FE96-4C14-A7F7-B755E5781807}"/>
    <cellStyle name="60% - Énfasis1 2 2 2 2 2 2 2 2" xfId="8952" xr:uid="{1DB4E0B8-7802-4D84-BF28-50093916ED76}"/>
    <cellStyle name="60% - Énfasis1 2 2 2 2 2 2 2 2 2" xfId="8953" xr:uid="{7BD61EDC-901F-4E96-A352-0AD2E36371E9}"/>
    <cellStyle name="60% - Énfasis1 2 2 2 2 2 2 2 2 2 2" xfId="8954" xr:uid="{3054C4A1-F398-47CE-B62B-B978D81FFD6D}"/>
    <cellStyle name="60% - Énfasis1 2 2 2 2 2 2 2 2 2 2 2" xfId="8955" xr:uid="{87468601-3553-4B26-8106-CC45EB76CFF3}"/>
    <cellStyle name="60% - Énfasis1 2 2 2 2 2 2 2 2 2 2 2 2" xfId="8956" xr:uid="{C8F45875-E225-40B5-B57E-23DA75C4510F}"/>
    <cellStyle name="60% - Énfasis1 2 2 2 2 2 2 2 2 2 2 3" xfId="8957" xr:uid="{6A150631-9F00-485E-9A84-51394CA1CF84}"/>
    <cellStyle name="60% - Énfasis1 2 2 2 2 2 2 2 2 2 2 4" xfId="8958" xr:uid="{6558E1E8-D26D-4709-853B-9EC644ED50DA}"/>
    <cellStyle name="60% - Énfasis1 2 2 2 2 2 2 2 2 2 3" xfId="8959" xr:uid="{D4760931-2E15-4FF7-B91D-B0CE060E1D5B}"/>
    <cellStyle name="60% - Énfasis1 2 2 2 2 2 2 2 2 2 4" xfId="8960" xr:uid="{A1BB7A20-413E-4D87-9015-40114C644C01}"/>
    <cellStyle name="60% - Énfasis1 2 2 2 2 2 2 2 2 3" xfId="8961" xr:uid="{FE16E670-DF77-4387-A734-6E6FD94EEA09}"/>
    <cellStyle name="60% - Énfasis1 2 2 2 2 2 2 2 2 4" xfId="8962" xr:uid="{79F2EC7D-1859-4FD8-9DE6-5BA1B40FE2D3}"/>
    <cellStyle name="60% - Énfasis1 2 2 2 2 2 2 2 2 5" xfId="8963" xr:uid="{CBCF16FE-DC8B-4DAF-AE5C-304F89A5D296}"/>
    <cellStyle name="60% - Énfasis1 2 2 2 2 2 2 2 3" xfId="8964" xr:uid="{6666743B-14E5-43A4-BE13-CA129ECDC17B}"/>
    <cellStyle name="60% - Énfasis1 2 2 2 2 2 2 2 3 10" xfId="8965" xr:uid="{D7F82706-2209-4E0F-A6D9-28BE25282D1A}"/>
    <cellStyle name="60% - Énfasis1 2 2 2 2 2 2 2 3 11" xfId="8966" xr:uid="{2DF3D9DA-92D8-43E6-8B05-E5434CE01AA2}"/>
    <cellStyle name="60% - Énfasis1 2 2 2 2 2 2 2 3 2" xfId="8967" xr:uid="{540589FE-99B0-4E5E-A6F1-FD58A582CECD}"/>
    <cellStyle name="60% - Énfasis1 2 2 2 2 2 2 2 3 2 2" xfId="8968" xr:uid="{84C30115-FAD1-4288-BF3E-C758AA30E93F}"/>
    <cellStyle name="60% - Énfasis1 2 2 2 2 2 2 2 3 2 2 2" xfId="8969" xr:uid="{AD688D0A-71E2-4657-9A02-E5C46D64DF94}"/>
    <cellStyle name="60% - Énfasis1 2 2 2 2 2 2 2 3 2 2 3" xfId="8970" xr:uid="{58257679-257C-47C2-A248-861305AAA58A}"/>
    <cellStyle name="60% - Énfasis1 2 2 2 2 2 2 2 3 2 2 4" xfId="8971" xr:uid="{D8D46AC0-4CF9-4F19-A8F9-F4243DF6902D}"/>
    <cellStyle name="60% - Énfasis1 2 2 2 2 2 2 2 3 2 2 5" xfId="8972" xr:uid="{5B3F4D1D-C827-4358-8703-ABFC83D58B81}"/>
    <cellStyle name="60% - Énfasis1 2 2 2 2 2 2 2 3 2 3" xfId="8973" xr:uid="{0E6CA967-544A-40D7-B822-B056DEEDC94D}"/>
    <cellStyle name="60% - Énfasis1 2 2 2 2 2 2 2 3 2 4" xfId="8974" xr:uid="{7C135C08-E3FF-48FF-9C46-64191F01343D}"/>
    <cellStyle name="60% - Énfasis1 2 2 2 2 2 2 2 3 2 5" xfId="8975" xr:uid="{FFB64154-3674-4851-B639-5B868D951D9E}"/>
    <cellStyle name="60% - Énfasis1 2 2 2 2 2 2 2 3 3" xfId="8976" xr:uid="{AFC71952-74DD-4C7D-A8A9-7BD5D077A506}"/>
    <cellStyle name="60% - Énfasis1 2 2 2 2 2 2 2 3 4" xfId="8977" xr:uid="{19949AB8-E73D-400C-AF27-8C5C20D16828}"/>
    <cellStyle name="60% - Énfasis1 2 2 2 2 2 2 2 3 5" xfId="8978" xr:uid="{32BF129B-99F9-41AF-829A-27F2FD9E70C6}"/>
    <cellStyle name="60% - Énfasis1 2 2 2 2 2 2 2 3 6" xfId="8979" xr:uid="{9F0408DC-F539-471C-8BEE-5F2EE292C055}"/>
    <cellStyle name="60% - Énfasis1 2 2 2 2 2 2 2 3 7" xfId="8980" xr:uid="{167F4EB0-97DD-46CA-802A-31C3E009D227}"/>
    <cellStyle name="60% - Énfasis1 2 2 2 2 2 2 2 3 8" xfId="8981" xr:uid="{858A2BF2-D2E4-40EB-B706-BF05F87DDE53}"/>
    <cellStyle name="60% - Énfasis1 2 2 2 2 2 2 2 3 9" xfId="8982" xr:uid="{E91BEB83-352C-4694-9320-858FC5B3E1EB}"/>
    <cellStyle name="60% - Énfasis1 2 2 2 2 2 2 2 4" xfId="8983" xr:uid="{174C0C14-8A49-45F9-9239-FE5F5A289105}"/>
    <cellStyle name="60% - Énfasis1 2 2 2 2 2 2 2 5" xfId="8984" xr:uid="{118F3E4C-E3E2-4138-A04C-F18840ED21DD}"/>
    <cellStyle name="60% - Énfasis1 2 2 2 2 2 2 3" xfId="8985" xr:uid="{C971A350-7E44-4361-9233-86CE4A78242F}"/>
    <cellStyle name="60% - Énfasis1 2 2 2 2 2 2 3 10" xfId="8986" xr:uid="{4645DF7B-D88F-4467-9CA8-316E59CC6522}"/>
    <cellStyle name="60% - Énfasis1 2 2 2 2 2 2 3 11" xfId="8987" xr:uid="{BCC73298-6F9A-46FD-A836-09AB6A217241}"/>
    <cellStyle name="60% - Énfasis1 2 2 2 2 2 2 3 2" xfId="8988" xr:uid="{5780273C-A15E-406B-BBEE-8C37A1CE8711}"/>
    <cellStyle name="60% - Énfasis1 2 2 2 2 2 2 3 2 10" xfId="8989" xr:uid="{DD554712-7B7C-4C13-BFCE-3F5BEB9D32DE}"/>
    <cellStyle name="60% - Énfasis1 2 2 2 2 2 2 3 2 11" xfId="8990" xr:uid="{AAB82AE1-DC39-4B03-89D2-345B5E7E63AB}"/>
    <cellStyle name="60% - Énfasis1 2 2 2 2 2 2 3 2 2" xfId="8991" xr:uid="{E196840E-4B54-4223-95C0-3CA3A2E0EE5E}"/>
    <cellStyle name="60% - Énfasis1 2 2 2 2 2 2 3 2 2 2" xfId="8992" xr:uid="{848662E5-6D82-41A2-A10A-68459A5A2210}"/>
    <cellStyle name="60% - Énfasis1 2 2 2 2 2 2 3 2 2 2 2" xfId="8993" xr:uid="{F4BC6EFC-C766-45A4-BC09-DA2271B0E51F}"/>
    <cellStyle name="60% - Énfasis1 2 2 2 2 2 2 3 2 2 2 3" xfId="8994" xr:uid="{ED442813-FA28-46A5-8978-1462124F5B58}"/>
    <cellStyle name="60% - Énfasis1 2 2 2 2 2 2 3 2 2 2 4" xfId="8995" xr:uid="{A57A6C14-98C1-45C2-9DD3-DFCBC070598E}"/>
    <cellStyle name="60% - Énfasis1 2 2 2 2 2 2 3 2 2 2 5" xfId="8996" xr:uid="{A0437239-ED2D-4A54-9233-BE6546812311}"/>
    <cellStyle name="60% - Énfasis1 2 2 2 2 2 2 3 2 2 3" xfId="8997" xr:uid="{A3B4EE5B-AEE3-4371-9834-6AAD53076F58}"/>
    <cellStyle name="60% - Énfasis1 2 2 2 2 2 2 3 2 2 4" xfId="8998" xr:uid="{DCD9F0F9-9084-463C-94CD-A8CE4F0132E7}"/>
    <cellStyle name="60% - Énfasis1 2 2 2 2 2 2 3 2 2 5" xfId="8999" xr:uid="{ED63F27F-0C10-44D7-BEBB-3E06B5E24A7A}"/>
    <cellStyle name="60% - Énfasis1 2 2 2 2 2 2 3 2 3" xfId="9000" xr:uid="{F9B4FB5C-93B6-4D9F-99E1-B77896E63805}"/>
    <cellStyle name="60% - Énfasis1 2 2 2 2 2 2 3 2 4" xfId="9001" xr:uid="{2D93917D-F400-475B-A2FD-B234968866B7}"/>
    <cellStyle name="60% - Énfasis1 2 2 2 2 2 2 3 2 5" xfId="9002" xr:uid="{1FA34DEC-404A-412B-A5D9-E6DE39D2C402}"/>
    <cellStyle name="60% - Énfasis1 2 2 2 2 2 2 3 2 6" xfId="9003" xr:uid="{3DE93126-5F95-442B-80DB-5E09957C000B}"/>
    <cellStyle name="60% - Énfasis1 2 2 2 2 2 2 3 2 7" xfId="9004" xr:uid="{ED06CC53-2D72-4D33-82D3-621C4BAAF982}"/>
    <cellStyle name="60% - Énfasis1 2 2 2 2 2 2 3 2 8" xfId="9005" xr:uid="{C5085324-E962-40F5-8489-A6D99CA462A3}"/>
    <cellStyle name="60% - Énfasis1 2 2 2 2 2 2 3 2 9" xfId="9006" xr:uid="{F2806DA9-387C-45C8-BBFA-82EAEC79BDE5}"/>
    <cellStyle name="60% - Énfasis1 2 2 2 2 2 2 3 3" xfId="9007" xr:uid="{FF9F66B8-80F5-4523-BCD2-A60C7B67C138}"/>
    <cellStyle name="60% - Énfasis1 2 2 2 2 2 2 3 3 2" xfId="9008" xr:uid="{F16B3365-3188-436B-A790-2CB372DECFC4}"/>
    <cellStyle name="60% - Énfasis1 2 2 2 2 2 2 3 3 2 2" xfId="9009" xr:uid="{BCBD9335-F60F-4DD5-A169-2BF80E79705D}"/>
    <cellStyle name="60% - Énfasis1 2 2 2 2 2 2 3 3 2 3" xfId="9010" xr:uid="{971F3CD8-CDE2-4AC5-8C26-CBB4371C375E}"/>
    <cellStyle name="60% - Énfasis1 2 2 2 2 2 2 3 3 2 4" xfId="9011" xr:uid="{CBD3382D-84FD-4392-8456-175E4E9A9F14}"/>
    <cellStyle name="60% - Énfasis1 2 2 2 2 2 2 3 3 2 5" xfId="9012" xr:uid="{E777CFEF-8E53-4FF9-8B6C-03E93341B826}"/>
    <cellStyle name="60% - Énfasis1 2 2 2 2 2 2 3 3 3" xfId="9013" xr:uid="{FFFC6D33-46C3-4E52-9458-81605DCBA24B}"/>
    <cellStyle name="60% - Énfasis1 2 2 2 2 2 2 3 3 4" xfId="9014" xr:uid="{75DF3DAC-6094-422C-950C-40AF8C1167D3}"/>
    <cellStyle name="60% - Énfasis1 2 2 2 2 2 2 3 3 5" xfId="9015" xr:uid="{D37B8532-CBE6-4A80-96D5-305A3B347CCA}"/>
    <cellStyle name="60% - Énfasis1 2 2 2 2 2 2 3 4" xfId="9016" xr:uid="{BFCBB15F-FD56-4F66-8CE5-17F4D7767900}"/>
    <cellStyle name="60% - Énfasis1 2 2 2 2 2 2 3 5" xfId="9017" xr:uid="{ACAAF2B2-4B16-4CCE-A30A-9B9AD75F0B3B}"/>
    <cellStyle name="60% - Énfasis1 2 2 2 2 2 2 3 6" xfId="9018" xr:uid="{BE606044-8987-48C3-B267-8206F23E3210}"/>
    <cellStyle name="60% - Énfasis1 2 2 2 2 2 2 3 7" xfId="9019" xr:uid="{651C2094-634C-45B4-95ED-6662C6C404B2}"/>
    <cellStyle name="60% - Énfasis1 2 2 2 2 2 2 3 8" xfId="9020" xr:uid="{05A3B937-D557-4BC2-BEBE-30FE94885D62}"/>
    <cellStyle name="60% - Énfasis1 2 2 2 2 2 2 3 9" xfId="9021" xr:uid="{577F66C0-E3D7-451F-82A3-59927F9E227C}"/>
    <cellStyle name="60% - Énfasis1 2 2 2 2 2 2 4" xfId="9022" xr:uid="{1EEAC3A3-AED1-4792-9EDD-3E8E50396821}"/>
    <cellStyle name="60% - Énfasis1 2 2 2 2 2 2 5" xfId="9023" xr:uid="{71F1A37D-0007-4F4E-A5B6-81866DDA40E4}"/>
    <cellStyle name="60% - Énfasis1 2 2 2 2 2 2 6" xfId="9024" xr:uid="{0B7706DB-878D-4062-AAFF-F74A666C2134}"/>
    <cellStyle name="60% - Énfasis1 2 2 2 2 2 3" xfId="9025" xr:uid="{41BA68F1-A360-4549-9F43-B69F5E71C4DB}"/>
    <cellStyle name="60% - Énfasis1 2 2 2 2 2 3 10" xfId="9026" xr:uid="{58FEEAFF-4103-456B-8996-35009DB8D518}"/>
    <cellStyle name="60% - Énfasis1 2 2 2 2 2 3 11" xfId="9027" xr:uid="{EF17D97A-B4C0-4A17-A064-58474D43A5E6}"/>
    <cellStyle name="60% - Énfasis1 2 2 2 2 2 3 2" xfId="9028" xr:uid="{4511BB37-4726-494A-9E61-A1207E6548E8}"/>
    <cellStyle name="60% - Énfasis1 2 2 2 2 2 3 2 10" xfId="9029" xr:uid="{266DFB88-0756-48C9-8344-BC6976AD979B}"/>
    <cellStyle name="60% - Énfasis1 2 2 2 2 2 3 2 11" xfId="9030" xr:uid="{23106DB1-2253-4330-85B8-255B61E74A4F}"/>
    <cellStyle name="60% - Énfasis1 2 2 2 2 2 3 2 2" xfId="9031" xr:uid="{2234B471-32FF-4B7A-947B-35B9D45DC2F5}"/>
    <cellStyle name="60% - Énfasis1 2 2 2 2 2 3 2 2 2" xfId="9032" xr:uid="{0B7675E6-6299-4FC7-940E-C504E5366B16}"/>
    <cellStyle name="60% - Énfasis1 2 2 2 2 2 3 2 2 2 2" xfId="9033" xr:uid="{C046E1A8-FAC3-46B0-97A9-22156E3FD20C}"/>
    <cellStyle name="60% - Énfasis1 2 2 2 2 2 3 2 2 2 3" xfId="9034" xr:uid="{E4848B8F-72F7-4D8F-B69A-1100A166A28D}"/>
    <cellStyle name="60% - Énfasis1 2 2 2 2 2 3 2 2 2 4" xfId="9035" xr:uid="{EFFED100-F64E-4370-A715-2C36A6480605}"/>
    <cellStyle name="60% - Énfasis1 2 2 2 2 2 3 2 2 2 5" xfId="9036" xr:uid="{6FD33340-C07F-4406-8F90-23E5C76F14E6}"/>
    <cellStyle name="60% - Énfasis1 2 2 2 2 2 3 2 2 3" xfId="9037" xr:uid="{E33A9684-BB99-494C-8409-786CBDE89D97}"/>
    <cellStyle name="60% - Énfasis1 2 2 2 2 2 3 2 2 4" xfId="9038" xr:uid="{4E4C4A97-68DD-4AA0-9EE8-1C2FC504DBAA}"/>
    <cellStyle name="60% - Énfasis1 2 2 2 2 2 3 2 2 5" xfId="9039" xr:uid="{65E014AC-C23A-48A3-A503-BBE3E178984F}"/>
    <cellStyle name="60% - Énfasis1 2 2 2 2 2 3 2 3" xfId="9040" xr:uid="{3CA6EBFD-ADC9-4506-ACB3-B5AF5B83F133}"/>
    <cellStyle name="60% - Énfasis1 2 2 2 2 2 3 2 4" xfId="9041" xr:uid="{E4EB2565-AE8C-4AB1-B6F8-969C9C46F941}"/>
    <cellStyle name="60% - Énfasis1 2 2 2 2 2 3 2 5" xfId="9042" xr:uid="{42574B1C-226F-4638-B138-C3D2C86D8974}"/>
    <cellStyle name="60% - Énfasis1 2 2 2 2 2 3 2 6" xfId="9043" xr:uid="{0718BB94-2F04-4F52-BEFA-BF7CBAE7291E}"/>
    <cellStyle name="60% - Énfasis1 2 2 2 2 2 3 2 7" xfId="9044" xr:uid="{8A659027-965D-4DB7-86CA-2C6B53ACFFEA}"/>
    <cellStyle name="60% - Énfasis1 2 2 2 2 2 3 2 8" xfId="9045" xr:uid="{BCAFB043-DCA8-4AEE-9B78-928BB5FD25A7}"/>
    <cellStyle name="60% - Énfasis1 2 2 2 2 2 3 2 9" xfId="9046" xr:uid="{01E94868-749F-4432-87D1-36C1C95BF64A}"/>
    <cellStyle name="60% - Énfasis1 2 2 2 2 2 3 3" xfId="9047" xr:uid="{1549970A-F21A-483B-935C-E9A73FBB4ED4}"/>
    <cellStyle name="60% - Énfasis1 2 2 2 2 2 3 3 2" xfId="9048" xr:uid="{1E789142-9483-4962-A1E7-1665F55B978D}"/>
    <cellStyle name="60% - Énfasis1 2 2 2 2 2 3 3 2 2" xfId="9049" xr:uid="{F294A691-2799-4F3C-98EA-CA09A1CCB3E6}"/>
    <cellStyle name="60% - Énfasis1 2 2 2 2 2 3 3 2 3" xfId="9050" xr:uid="{D47DAF30-7213-4478-8E54-0B7436A2796E}"/>
    <cellStyle name="60% - Énfasis1 2 2 2 2 2 3 3 2 4" xfId="9051" xr:uid="{04E0BABC-566D-4F18-B100-F498EA097946}"/>
    <cellStyle name="60% - Énfasis1 2 2 2 2 2 3 3 2 5" xfId="9052" xr:uid="{C29BB51D-E1D8-4F65-A098-D6FF8A67C8E9}"/>
    <cellStyle name="60% - Énfasis1 2 2 2 2 2 3 3 3" xfId="9053" xr:uid="{30947458-481D-4174-A093-5939C803E598}"/>
    <cellStyle name="60% - Énfasis1 2 2 2 2 2 3 3 4" xfId="9054" xr:uid="{484B08E1-5E3C-4A48-B4F1-2593BF519A3A}"/>
    <cellStyle name="60% - Énfasis1 2 2 2 2 2 3 3 5" xfId="9055" xr:uid="{94B159A2-B75A-4F55-81CE-CC6578CD19F6}"/>
    <cellStyle name="60% - Énfasis1 2 2 2 2 2 3 4" xfId="9056" xr:uid="{9B02E463-DC88-4FBE-8D1F-143BFFEC4D97}"/>
    <cellStyle name="60% - Énfasis1 2 2 2 2 2 3 5" xfId="9057" xr:uid="{E68A0EC9-F4F1-4657-A32E-5C7D6CCFD8C0}"/>
    <cellStyle name="60% - Énfasis1 2 2 2 2 2 3 6" xfId="9058" xr:uid="{C80DF347-B684-48F1-B241-B5A0B4FF3D32}"/>
    <cellStyle name="60% - Énfasis1 2 2 2 2 2 3 7" xfId="9059" xr:uid="{71A9223B-A05E-41E2-937A-BF352848C429}"/>
    <cellStyle name="60% - Énfasis1 2 2 2 2 2 3 8" xfId="9060" xr:uid="{D5E3C0F7-6A47-4319-BE91-E5BD5E41D97C}"/>
    <cellStyle name="60% - Énfasis1 2 2 2 2 2 3 9" xfId="9061" xr:uid="{1DE44622-5B01-4A1A-B556-0189AF6249D2}"/>
    <cellStyle name="60% - Énfasis1 2 2 2 2 2 4" xfId="9062" xr:uid="{FE1A4C4B-F8AF-4F4A-9EB3-0373D64F0FD7}"/>
    <cellStyle name="60% - Énfasis1 2 2 2 2 2 5" xfId="9063" xr:uid="{2CC52171-F95C-4E94-9FB5-CCB9E68C989D}"/>
    <cellStyle name="60% - Énfasis1 2 2 2 2 2 6" xfId="9064" xr:uid="{66A0BABB-E6B4-43A3-BBB0-E7A60CA3FE03}"/>
    <cellStyle name="60% - Énfasis1 2 2 2 2 3" xfId="9065" xr:uid="{55F20280-081D-43C8-B5C4-6DFF7F9E3D7F}"/>
    <cellStyle name="60% - Énfasis1 2 2 2 2 4" xfId="9066" xr:uid="{65C5C7DF-9FA3-459A-A673-CB21FC9B658C}"/>
    <cellStyle name="60% - Énfasis1 2 2 2 2 4 10" xfId="9067" xr:uid="{19DC7FF7-1341-4163-8E0F-87E896FAC0D9}"/>
    <cellStyle name="60% - Énfasis1 2 2 2 2 4 11" xfId="9068" xr:uid="{286BE041-2E8F-4074-A54D-830AC0F5EDA0}"/>
    <cellStyle name="60% - Énfasis1 2 2 2 2 4 2" xfId="9069" xr:uid="{55B91BDA-8839-432D-8A86-8AFE0D227A01}"/>
    <cellStyle name="60% - Énfasis1 2 2 2 2 4 2 10" xfId="9070" xr:uid="{0D05C16E-4726-47C9-8CA7-A8696E3B92F6}"/>
    <cellStyle name="60% - Énfasis1 2 2 2 2 4 2 11" xfId="9071" xr:uid="{FF31FD03-F80C-45CD-8575-30F136B811C1}"/>
    <cellStyle name="60% - Énfasis1 2 2 2 2 4 2 2" xfId="9072" xr:uid="{32DA73A3-B6DB-46AA-8878-C38A6A307985}"/>
    <cellStyle name="60% - Énfasis1 2 2 2 2 4 2 2 2" xfId="9073" xr:uid="{4A0D38DE-B3DF-409B-9C41-5FE6866D6A86}"/>
    <cellStyle name="60% - Énfasis1 2 2 2 2 4 2 2 2 2" xfId="9074" xr:uid="{F84510D6-0CAD-4EB1-9876-7F34A8F710FE}"/>
    <cellStyle name="60% - Énfasis1 2 2 2 2 4 2 2 2 3" xfId="9075" xr:uid="{D559D1B6-6B3A-4F5E-9071-13CFCB80EE0C}"/>
    <cellStyle name="60% - Énfasis1 2 2 2 2 4 2 2 2 4" xfId="9076" xr:uid="{047AA155-48D8-4438-BB4F-40DC71E9D53A}"/>
    <cellStyle name="60% - Énfasis1 2 2 2 2 4 2 2 2 5" xfId="9077" xr:uid="{264BD042-954E-47C9-A1AF-839806DC8769}"/>
    <cellStyle name="60% - Énfasis1 2 2 2 2 4 2 2 3" xfId="9078" xr:uid="{B824714B-E234-4CF3-9987-8BE1933E782A}"/>
    <cellStyle name="60% - Énfasis1 2 2 2 2 4 2 2 4" xfId="9079" xr:uid="{84C2F4BB-0D03-40B8-AA3A-793DFC1146F7}"/>
    <cellStyle name="60% - Énfasis1 2 2 2 2 4 2 2 5" xfId="9080" xr:uid="{115C3095-F375-442E-AE58-6C7F12CB1D77}"/>
    <cellStyle name="60% - Énfasis1 2 2 2 2 4 2 3" xfId="9081" xr:uid="{BA53662E-397B-4A92-AAD2-8E4B6480C246}"/>
    <cellStyle name="60% - Énfasis1 2 2 2 2 4 2 4" xfId="9082" xr:uid="{8DD41A7B-5E2D-4519-A81E-C69E61B1417C}"/>
    <cellStyle name="60% - Énfasis1 2 2 2 2 4 2 5" xfId="9083" xr:uid="{13D70A20-0FAC-4968-A750-CDD16C127B3D}"/>
    <cellStyle name="60% - Énfasis1 2 2 2 2 4 2 6" xfId="9084" xr:uid="{A72B7EF6-71C2-4E51-91DA-1A145B30D74C}"/>
    <cellStyle name="60% - Énfasis1 2 2 2 2 4 2 7" xfId="9085" xr:uid="{7AE6A5C5-E3B1-4DF7-8BA6-F74514DCBAA0}"/>
    <cellStyle name="60% - Énfasis1 2 2 2 2 4 2 8" xfId="9086" xr:uid="{B3910F0C-42A8-4D94-B241-B28896E34872}"/>
    <cellStyle name="60% - Énfasis1 2 2 2 2 4 2 9" xfId="9087" xr:uid="{DBD3C04E-5FCF-4681-8C3C-1FD53C00E120}"/>
    <cellStyle name="60% - Énfasis1 2 2 2 2 4 3" xfId="9088" xr:uid="{4C841536-55E0-4807-A441-32B162256956}"/>
    <cellStyle name="60% - Énfasis1 2 2 2 2 4 3 2" xfId="9089" xr:uid="{09DA40BA-C5C1-4B13-B1C9-33C268F0F746}"/>
    <cellStyle name="60% - Énfasis1 2 2 2 2 4 3 2 2" xfId="9090" xr:uid="{FA46C5AA-09EC-46CA-A1CF-679F40583162}"/>
    <cellStyle name="60% - Énfasis1 2 2 2 2 4 3 2 3" xfId="9091" xr:uid="{1677CEDE-AF07-40F8-A4EF-0BE1DCA9B4DB}"/>
    <cellStyle name="60% - Énfasis1 2 2 2 2 4 3 2 4" xfId="9092" xr:uid="{D3643833-192F-4750-BA54-A889301BC9A9}"/>
    <cellStyle name="60% - Énfasis1 2 2 2 2 4 3 2 5" xfId="9093" xr:uid="{825A54B8-49EB-4A24-9420-CB6CDE63B396}"/>
    <cellStyle name="60% - Énfasis1 2 2 2 2 4 3 3" xfId="9094" xr:uid="{D7CAE709-2A56-41EE-82F3-608FF30D125F}"/>
    <cellStyle name="60% - Énfasis1 2 2 2 2 4 3 4" xfId="9095" xr:uid="{1C58F7ED-549C-4E31-8B3C-4E6C3D03E776}"/>
    <cellStyle name="60% - Énfasis1 2 2 2 2 4 3 5" xfId="9096" xr:uid="{68171DCA-30E1-4978-B30F-52822FAD40D4}"/>
    <cellStyle name="60% - Énfasis1 2 2 2 2 4 4" xfId="9097" xr:uid="{BB626526-6BB0-422D-8D9A-5F61F29E9F2A}"/>
    <cellStyle name="60% - Énfasis1 2 2 2 2 4 5" xfId="9098" xr:uid="{B1D5ABA7-88E2-4198-B4C1-E9987C45FD00}"/>
    <cellStyle name="60% - Énfasis1 2 2 2 2 4 6" xfId="9099" xr:uid="{463BDB04-948A-4641-A7D9-B005A65C6A70}"/>
    <cellStyle name="60% - Énfasis1 2 2 2 2 4 7" xfId="9100" xr:uid="{FC2AB373-2B3A-4B7E-899A-69B7AE53C99E}"/>
    <cellStyle name="60% - Énfasis1 2 2 2 2 4 8" xfId="9101" xr:uid="{F373A155-9CD2-4814-BDD8-72548EA49F09}"/>
    <cellStyle name="60% - Énfasis1 2 2 2 2 4 9" xfId="9102" xr:uid="{1E616718-EF1C-4B5D-92FA-F1BFFFD2EB42}"/>
    <cellStyle name="60% - Énfasis1 2 2 2 2 5" xfId="9103" xr:uid="{C7AB15C5-F287-4C89-9894-F4D41AD969C6}"/>
    <cellStyle name="60% - Énfasis1 2 2 2 2 6" xfId="9104" xr:uid="{EB6A7D1E-B894-4DF0-AFA7-7C1E6B19ACE4}"/>
    <cellStyle name="60% - Énfasis1 2 2 2 2 7" xfId="9105" xr:uid="{FC1803D2-6DAA-4530-B406-BE903A9C3069}"/>
    <cellStyle name="60% - Énfasis1 2 2 2 3" xfId="9106" xr:uid="{8E7F4AEC-BD6C-4A6F-BB52-9E27CFA3ED5A}"/>
    <cellStyle name="60% - Énfasis1 2 2 2 4" xfId="9107" xr:uid="{6EA3FFFA-0C97-4B68-9EE9-330ACC82FB7F}"/>
    <cellStyle name="60% - Énfasis1 2 2 2 5" xfId="9108" xr:uid="{5397E8F1-017F-4C75-AC99-A7D38F2CEE49}"/>
    <cellStyle name="60% - Énfasis1 2 2 2 5 10" xfId="9109" xr:uid="{38075FBB-09AE-4844-A822-DD79F3544020}"/>
    <cellStyle name="60% - Énfasis1 2 2 2 5 11" xfId="9110" xr:uid="{B133F355-8CF5-40E3-A1A3-609F4A25FB62}"/>
    <cellStyle name="60% - Énfasis1 2 2 2 5 2" xfId="9111" xr:uid="{356C041F-2306-454D-855D-3BF8AA6511F3}"/>
    <cellStyle name="60% - Énfasis1 2 2 2 5 2 10" xfId="9112" xr:uid="{A58FF388-056B-407A-BBBE-4FBA9A8190EB}"/>
    <cellStyle name="60% - Énfasis1 2 2 2 5 2 11" xfId="9113" xr:uid="{2C64381A-A305-4084-BCA8-78DF0A81FB56}"/>
    <cellStyle name="60% - Énfasis1 2 2 2 5 2 2" xfId="9114" xr:uid="{71CD3104-89B5-4F80-A22E-B71483A1EEBA}"/>
    <cellStyle name="60% - Énfasis1 2 2 2 5 2 2 2" xfId="9115" xr:uid="{2D74F032-4CE9-45F2-9818-2CAB2FF51BC1}"/>
    <cellStyle name="60% - Énfasis1 2 2 2 5 2 2 2 2" xfId="9116" xr:uid="{F7FA2570-A4C5-4C6C-AFCA-95FBA0AE7430}"/>
    <cellStyle name="60% - Énfasis1 2 2 2 5 2 2 2 3" xfId="9117" xr:uid="{734D4972-54F1-40F7-ADC3-2CD620352D1C}"/>
    <cellStyle name="60% - Énfasis1 2 2 2 5 2 2 2 4" xfId="9118" xr:uid="{48A2F8D7-E518-4CBF-B7A1-41CD9407091A}"/>
    <cellStyle name="60% - Énfasis1 2 2 2 5 2 2 2 5" xfId="9119" xr:uid="{ED71AF80-B14E-4654-8947-29493C7E1C24}"/>
    <cellStyle name="60% - Énfasis1 2 2 2 5 2 2 3" xfId="9120" xr:uid="{B12D03C5-9029-4730-B67A-BF1F05E64FA3}"/>
    <cellStyle name="60% - Énfasis1 2 2 2 5 2 2 4" xfId="9121" xr:uid="{394371E9-FD6D-417B-9EC3-25B2184249EA}"/>
    <cellStyle name="60% - Énfasis1 2 2 2 5 2 2 5" xfId="9122" xr:uid="{764BAE38-3DAE-43E3-81E3-B5DC19E52E6E}"/>
    <cellStyle name="60% - Énfasis1 2 2 2 5 2 3" xfId="9123" xr:uid="{7A37A8B9-3CC1-4DDF-8118-F25D3A6493D3}"/>
    <cellStyle name="60% - Énfasis1 2 2 2 5 2 4" xfId="9124" xr:uid="{286DC855-B347-479C-A7B4-A3BADD20B415}"/>
    <cellStyle name="60% - Énfasis1 2 2 2 5 2 5" xfId="9125" xr:uid="{2CDAE8A6-A385-4815-8A3D-77A793716941}"/>
    <cellStyle name="60% - Énfasis1 2 2 2 5 2 6" xfId="9126" xr:uid="{7ECC74F4-45B9-48CA-9B46-C56B5682AB7E}"/>
    <cellStyle name="60% - Énfasis1 2 2 2 5 2 7" xfId="9127" xr:uid="{BA851B64-8FFE-44F2-AA32-77CCA1856567}"/>
    <cellStyle name="60% - Énfasis1 2 2 2 5 2 8" xfId="9128" xr:uid="{BDA754B0-A74C-401E-9AE5-88BA559750BB}"/>
    <cellStyle name="60% - Énfasis1 2 2 2 5 2 9" xfId="9129" xr:uid="{D58A95BE-229A-4C0A-9A96-1E311DB321EF}"/>
    <cellStyle name="60% - Énfasis1 2 2 2 5 3" xfId="9130" xr:uid="{49753210-AD07-4889-BFF8-3F694219F82B}"/>
    <cellStyle name="60% - Énfasis1 2 2 2 5 3 2" xfId="9131" xr:uid="{05891DE7-C695-4762-A020-F14CADA8C35B}"/>
    <cellStyle name="60% - Énfasis1 2 2 2 5 3 2 2" xfId="9132" xr:uid="{70667D76-4BFD-4C31-A0B9-26D5A59B2B99}"/>
    <cellStyle name="60% - Énfasis1 2 2 2 5 3 2 3" xfId="9133" xr:uid="{7961D454-8377-477C-89A4-73D837647692}"/>
    <cellStyle name="60% - Énfasis1 2 2 2 5 3 2 4" xfId="9134" xr:uid="{E2CF16A9-135C-4738-8779-C3FAA49EDC30}"/>
    <cellStyle name="60% - Énfasis1 2 2 2 5 3 2 5" xfId="9135" xr:uid="{AE8289E4-ACDE-48FB-A0F2-6AE697927025}"/>
    <cellStyle name="60% - Énfasis1 2 2 2 5 3 3" xfId="9136" xr:uid="{0639B082-5F8E-4F10-B5AC-5062717F0B93}"/>
    <cellStyle name="60% - Énfasis1 2 2 2 5 3 4" xfId="9137" xr:uid="{98B34688-7C23-4424-9B64-F7AB865FBF79}"/>
    <cellStyle name="60% - Énfasis1 2 2 2 5 3 5" xfId="9138" xr:uid="{B46E8ABF-67FF-4718-BB2E-CC1263F3797D}"/>
    <cellStyle name="60% - Énfasis1 2 2 2 5 4" xfId="9139" xr:uid="{F42F4611-EDF0-448D-A63F-FFE80D177C71}"/>
    <cellStyle name="60% - Énfasis1 2 2 2 5 5" xfId="9140" xr:uid="{ECC9F945-CB42-4CD4-8CC7-E64C60E5032E}"/>
    <cellStyle name="60% - Énfasis1 2 2 2 5 6" xfId="9141" xr:uid="{F303C968-2696-402C-9BA3-3C44938635D4}"/>
    <cellStyle name="60% - Énfasis1 2 2 2 5 7" xfId="9142" xr:uid="{92FC7C81-A218-4028-B173-721B437EC2AB}"/>
    <cellStyle name="60% - Énfasis1 2 2 2 5 8" xfId="9143" xr:uid="{6EE6B3AD-A5B8-45EF-89D0-C4DFBB64BD5C}"/>
    <cellStyle name="60% - Énfasis1 2 2 2 5 9" xfId="9144" xr:uid="{B91C53AD-4C85-4CEE-96BC-C5AF384F4785}"/>
    <cellStyle name="60% - Énfasis1 2 2 2 6" xfId="9145" xr:uid="{4F952238-31F6-43A6-BEAD-2D8811FB3823}"/>
    <cellStyle name="60% - Énfasis1 2 2 2 7" xfId="9146" xr:uid="{1AB59413-073E-4064-B5CE-2BCFBF034867}"/>
    <cellStyle name="60% - Énfasis1 2 2 2 8" xfId="9147" xr:uid="{5C8E8878-2D07-45B0-908A-0A4A1E3C1F3C}"/>
    <cellStyle name="60% - Énfasis1 2 2 3" xfId="9148" xr:uid="{C03472D3-D4D0-48D6-B297-708FECFE0A96}"/>
    <cellStyle name="60% - Énfasis1 2 2 4" xfId="9149" xr:uid="{2461EC08-8472-4803-A584-C52501A5FE80}"/>
    <cellStyle name="60% - Énfasis1 2 2 5" xfId="9150" xr:uid="{F0F5C6F3-2BA1-4F28-A6DD-6F8B56A9D664}"/>
    <cellStyle name="60% - Énfasis1 2 2 6" xfId="9151" xr:uid="{E7174435-06A9-4755-8078-BDD5A7230958}"/>
    <cellStyle name="60% - Énfasis1 2 2 7" xfId="9152" xr:uid="{B7B85F2E-2093-4FA0-B47E-D0F0ACE812CF}"/>
    <cellStyle name="60% - Énfasis1 2 2 8" xfId="9153" xr:uid="{3B8C5549-A416-4752-8089-E5A2B3B34915}"/>
    <cellStyle name="60% - Énfasis1 2 2 8 2" xfId="9154" xr:uid="{B0F734B6-4754-418D-9F15-9DA02FA3EA44}"/>
    <cellStyle name="60% - Énfasis1 2 2 9" xfId="9155" xr:uid="{AD0CCE09-1D72-43CD-9753-D6BFEB06D740}"/>
    <cellStyle name="60% - Énfasis1 2 3" xfId="9156" xr:uid="{7A9DD5DE-9E1C-45D0-AE0F-893B3D04654C}"/>
    <cellStyle name="60% - Énfasis1 2 4" xfId="9157" xr:uid="{EAE48D88-EEFA-4F2A-9C77-88E15585CC0F}"/>
    <cellStyle name="60% - Énfasis1 2 4 10" xfId="9158" xr:uid="{1ABF8B2F-A952-45BC-AEDA-E27ACE944022}"/>
    <cellStyle name="60% - Énfasis1 2 4 11" xfId="9159" xr:uid="{162F53C8-E2EA-4D62-8861-2FB057900FAF}"/>
    <cellStyle name="60% - Énfasis1 2 4 12" xfId="9160" xr:uid="{FCD26C2F-73C2-4D03-923B-61C6F0E25F94}"/>
    <cellStyle name="60% - Énfasis1 2 4 2" xfId="9161" xr:uid="{24EFBD2A-7A20-4877-90F5-2A402758BDAD}"/>
    <cellStyle name="60% - Énfasis1 2 4 2 10" xfId="9162" xr:uid="{F4EF7F3E-65FD-4674-A152-34EC28932DE9}"/>
    <cellStyle name="60% - Énfasis1 2 4 2 11" xfId="9163" xr:uid="{68015266-0ADB-41FC-8EA2-2EE055C52B1C}"/>
    <cellStyle name="60% - Énfasis1 2 4 2 12" xfId="9164" xr:uid="{A557F23B-3748-4FD7-BE7D-510CCC96588D}"/>
    <cellStyle name="60% - Énfasis1 2 4 2 2" xfId="9165" xr:uid="{75C44CB7-52FE-4D6F-B466-12D7839E1C34}"/>
    <cellStyle name="60% - Énfasis1 2 4 2 2 10" xfId="9166" xr:uid="{79166138-4FC2-484D-B2EB-8055524271BF}"/>
    <cellStyle name="60% - Énfasis1 2 4 2 2 11" xfId="9167" xr:uid="{819FAD19-4A94-4F8C-8462-887C5CD7AEAF}"/>
    <cellStyle name="60% - Énfasis1 2 4 2 2 2" xfId="9168" xr:uid="{DDEC12E6-04E8-44DD-A8F6-52ED48F7CDFF}"/>
    <cellStyle name="60% - Énfasis1 2 4 2 2 2 10" xfId="9169" xr:uid="{F0E49D6B-4B78-4F9A-94A8-59335DEC63A4}"/>
    <cellStyle name="60% - Énfasis1 2 4 2 2 2 11" xfId="9170" xr:uid="{5FC1EAAE-FDF2-43D8-A2B4-9FB748455591}"/>
    <cellStyle name="60% - Énfasis1 2 4 2 2 2 2" xfId="9171" xr:uid="{C31FADAC-416C-4F9E-958C-2ACC5802B839}"/>
    <cellStyle name="60% - Énfasis1 2 4 2 2 2 2 2" xfId="9172" xr:uid="{6FA60CBD-3E60-4A30-AE5E-6A6C976CD8DC}"/>
    <cellStyle name="60% - Énfasis1 2 4 2 2 2 2 2 2" xfId="9173" xr:uid="{C75F8CD2-94C0-4F1E-A5D3-FEEB57E767A4}"/>
    <cellStyle name="60% - Énfasis1 2 4 2 2 2 2 2 3" xfId="9174" xr:uid="{B10E2B03-9984-44F9-9C5B-46BCF1A927EE}"/>
    <cellStyle name="60% - Énfasis1 2 4 2 2 2 2 2 4" xfId="9175" xr:uid="{E9A7DBA6-2497-468F-930D-9948AA27E1E9}"/>
    <cellStyle name="60% - Énfasis1 2 4 2 2 2 2 2 5" xfId="9176" xr:uid="{C55028A7-509C-44EC-808B-3C9FD34C7CF3}"/>
    <cellStyle name="60% - Énfasis1 2 4 2 2 2 2 3" xfId="9177" xr:uid="{617A7BAF-77B9-4D15-AD22-CF2AEBE7D2E8}"/>
    <cellStyle name="60% - Énfasis1 2 4 2 2 2 2 4" xfId="9178" xr:uid="{F7C691CA-25CA-407C-B3FF-B4FF975920B9}"/>
    <cellStyle name="60% - Énfasis1 2 4 2 2 2 2 5" xfId="9179" xr:uid="{C676FD39-F4F4-47E0-B9D2-9C1DF99082B2}"/>
    <cellStyle name="60% - Énfasis1 2 4 2 2 2 3" xfId="9180" xr:uid="{6DE320F8-8ADA-4131-81B3-1495DA25AF09}"/>
    <cellStyle name="60% - Énfasis1 2 4 2 2 2 4" xfId="9181" xr:uid="{A0C8F45E-6264-4969-898A-6E0BE4A6F85E}"/>
    <cellStyle name="60% - Énfasis1 2 4 2 2 2 5" xfId="9182" xr:uid="{080A99D7-BCC8-4B6B-9552-3A5784B33366}"/>
    <cellStyle name="60% - Énfasis1 2 4 2 2 2 6" xfId="9183" xr:uid="{10149CBA-1DDB-4828-BB7B-1D816AF086E0}"/>
    <cellStyle name="60% - Énfasis1 2 4 2 2 2 7" xfId="9184" xr:uid="{CA809A2E-B37D-48B1-91DA-2F147E604734}"/>
    <cellStyle name="60% - Énfasis1 2 4 2 2 2 8" xfId="9185" xr:uid="{FFF1D1A0-6C35-49BE-B31A-3ECEED38F203}"/>
    <cellStyle name="60% - Énfasis1 2 4 2 2 2 9" xfId="9186" xr:uid="{3032E4EA-41C1-4013-BE97-3ADF92B65C8E}"/>
    <cellStyle name="60% - Énfasis1 2 4 2 2 3" xfId="9187" xr:uid="{446FF2BB-3B6B-4D86-8CC0-828DFD6CD459}"/>
    <cellStyle name="60% - Énfasis1 2 4 2 2 3 2" xfId="9188" xr:uid="{4F91D4D0-A9AB-4101-8975-98B82A055FD6}"/>
    <cellStyle name="60% - Énfasis1 2 4 2 2 3 2 2" xfId="9189" xr:uid="{9A0BD3BF-0B4D-47FC-B8D8-7FEB89C36C87}"/>
    <cellStyle name="60% - Énfasis1 2 4 2 2 3 2 3" xfId="9190" xr:uid="{4CC1DF72-4BDE-4258-AF2E-A02BE25ECBD3}"/>
    <cellStyle name="60% - Énfasis1 2 4 2 2 3 2 4" xfId="9191" xr:uid="{1DEF88E9-792B-44C7-BBC1-05C11F97635C}"/>
    <cellStyle name="60% - Énfasis1 2 4 2 2 3 2 5" xfId="9192" xr:uid="{A9F9ABA9-E1FE-43F6-ADEE-FD2E365C65F1}"/>
    <cellStyle name="60% - Énfasis1 2 4 2 2 3 3" xfId="9193" xr:uid="{8B94E07E-E67E-4621-8798-D6F150C5A130}"/>
    <cellStyle name="60% - Énfasis1 2 4 2 2 3 4" xfId="9194" xr:uid="{A44697AC-A4E5-4016-9E6C-72F0E6DD4F43}"/>
    <cellStyle name="60% - Énfasis1 2 4 2 2 3 5" xfId="9195" xr:uid="{9A6DBC6E-FB95-4455-A6C3-C3F9F5F213F5}"/>
    <cellStyle name="60% - Énfasis1 2 4 2 2 4" xfId="9196" xr:uid="{3EB0D24F-1C28-4935-9D11-58D782F1A823}"/>
    <cellStyle name="60% - Énfasis1 2 4 2 2 5" xfId="9197" xr:uid="{A2826186-348A-4E00-BB33-CA6EF2A3833F}"/>
    <cellStyle name="60% - Énfasis1 2 4 2 2 6" xfId="9198" xr:uid="{DFF9CDE3-F3ED-400A-94EB-047198B04D64}"/>
    <cellStyle name="60% - Énfasis1 2 4 2 2 7" xfId="9199" xr:uid="{CC20417B-7692-4AEA-8CAB-426E877D6D9C}"/>
    <cellStyle name="60% - Énfasis1 2 4 2 2 8" xfId="9200" xr:uid="{F40D2135-093C-41D0-80CB-69EA7D7A8407}"/>
    <cellStyle name="60% - Énfasis1 2 4 2 2 9" xfId="9201" xr:uid="{8A927B47-063A-4ED4-BA8A-41300B022410}"/>
    <cellStyle name="60% - Énfasis1 2 4 2 3" xfId="9202" xr:uid="{6C0D78B0-1339-4C1D-85A4-F7ED89EBF163}"/>
    <cellStyle name="60% - Énfasis1 2 4 2 3 2" xfId="9203" xr:uid="{CDCF97FE-C0FE-4CE3-AA3D-206E0ED33485}"/>
    <cellStyle name="60% - Énfasis1 2 4 2 3 2 2" xfId="9204" xr:uid="{E28DB8DF-06E7-44BE-BB9C-569073D1DA58}"/>
    <cellStyle name="60% - Énfasis1 2 4 2 3 2 3" xfId="9205" xr:uid="{7F0D79DC-4A37-4F25-929B-95D1FB79B2B9}"/>
    <cellStyle name="60% - Énfasis1 2 4 2 3 2 4" xfId="9206" xr:uid="{F81F12EA-4EE3-4931-B109-3805C6E17DFA}"/>
    <cellStyle name="60% - Énfasis1 2 4 2 3 2 5" xfId="9207" xr:uid="{465D0895-5FC9-49A8-93F2-BDC24CC00584}"/>
    <cellStyle name="60% - Énfasis1 2 4 2 3 3" xfId="9208" xr:uid="{891EC45D-C3AD-4700-ADE6-A4AEE75D417F}"/>
    <cellStyle name="60% - Énfasis1 2 4 2 3 4" xfId="9209" xr:uid="{B9544397-C148-46F2-B42E-4B753B3AA9C4}"/>
    <cellStyle name="60% - Énfasis1 2 4 2 3 5" xfId="9210" xr:uid="{1119AF90-8A0E-4ABF-B196-07DABE980B54}"/>
    <cellStyle name="60% - Énfasis1 2 4 2 4" xfId="9211" xr:uid="{89C2F33A-A7E1-4584-9B7E-432AE6CC6508}"/>
    <cellStyle name="60% - Énfasis1 2 4 2 5" xfId="9212" xr:uid="{6EDB55AA-8EA9-4098-A34A-E01B14350A0B}"/>
    <cellStyle name="60% - Énfasis1 2 4 2 6" xfId="9213" xr:uid="{5F8E9226-C0A5-4DCC-8C1B-459C67E7B7A8}"/>
    <cellStyle name="60% - Énfasis1 2 4 2 7" xfId="9214" xr:uid="{AD82191D-091F-4B60-9FC2-03D75B7876A7}"/>
    <cellStyle name="60% - Énfasis1 2 4 2 8" xfId="9215" xr:uid="{D5757625-5CC4-4B26-8846-A0F0948D93D6}"/>
    <cellStyle name="60% - Énfasis1 2 4 2 9" xfId="9216" xr:uid="{ECC1F268-6026-49BA-9F5E-6D20479D4AEC}"/>
    <cellStyle name="60% - Énfasis1 2 4 3" xfId="9217" xr:uid="{DEA342B8-67D8-427F-A288-82D352179795}"/>
    <cellStyle name="60% - Énfasis1 2 4 3 10" xfId="9218" xr:uid="{E4756F1B-9295-4714-85B8-23BE78A192B6}"/>
    <cellStyle name="60% - Énfasis1 2 4 3 11" xfId="9219" xr:uid="{2EFD33ED-B92A-496F-BCF3-8D732E98A380}"/>
    <cellStyle name="60% - Énfasis1 2 4 3 2" xfId="9220" xr:uid="{A4035D1B-BE5A-451C-A3F8-0C17B61AAB30}"/>
    <cellStyle name="60% - Énfasis1 2 4 3 2 2" xfId="9221" xr:uid="{7AE054E2-7E51-41BC-B79E-F0404069954D}"/>
    <cellStyle name="60% - Énfasis1 2 4 3 2 2 2" xfId="9222" xr:uid="{7E6F6C31-91F8-4216-BA12-9DAE20326D7D}"/>
    <cellStyle name="60% - Énfasis1 2 4 3 2 2 3" xfId="9223" xr:uid="{15A8110A-F8E2-42E6-8381-ABEA4F32915C}"/>
    <cellStyle name="60% - Énfasis1 2 4 3 2 2 4" xfId="9224" xr:uid="{6EA2C4F6-90C5-4497-AAA6-49B90B893AD2}"/>
    <cellStyle name="60% - Énfasis1 2 4 3 2 2 5" xfId="9225" xr:uid="{6F482F10-D681-4947-8EFE-A89208106AEE}"/>
    <cellStyle name="60% - Énfasis1 2 4 3 2 3" xfId="9226" xr:uid="{2ECAA84E-C8B9-44DE-9BB8-C88ACB2F8052}"/>
    <cellStyle name="60% - Énfasis1 2 4 3 2 4" xfId="9227" xr:uid="{B8ED885F-15F3-4516-A7D2-3004C9FADEF1}"/>
    <cellStyle name="60% - Énfasis1 2 4 3 2 5" xfId="9228" xr:uid="{C8E8BDA6-D5B0-407E-B27E-7BF3A40A9217}"/>
    <cellStyle name="60% - Énfasis1 2 4 3 3" xfId="9229" xr:uid="{D0828CC8-0CA6-4DFC-9E53-3DCB3137AFA5}"/>
    <cellStyle name="60% - Énfasis1 2 4 3 4" xfId="9230" xr:uid="{889632EA-442D-4773-8687-88F2FEF000DE}"/>
    <cellStyle name="60% - Énfasis1 2 4 3 5" xfId="9231" xr:uid="{DB0059D4-47ED-4259-BD6F-6FDB2DD41C31}"/>
    <cellStyle name="60% - Énfasis1 2 4 3 6" xfId="9232" xr:uid="{3F1EEB42-109C-4B95-AC12-4DC2CA02004F}"/>
    <cellStyle name="60% - Énfasis1 2 4 3 7" xfId="9233" xr:uid="{F7C77074-0B96-412E-BEDE-B7B54CE583C4}"/>
    <cellStyle name="60% - Énfasis1 2 4 3 8" xfId="9234" xr:uid="{EA4205C1-5139-4BED-8164-57A0EAF7DDD7}"/>
    <cellStyle name="60% - Énfasis1 2 4 3 9" xfId="9235" xr:uid="{43EB22BE-2B13-402C-BE2C-B94293646BCA}"/>
    <cellStyle name="60% - Énfasis1 2 4 4" xfId="9236" xr:uid="{33630F21-9FE8-4162-B27A-6CF42E6CFB40}"/>
    <cellStyle name="60% - Énfasis1 2 4 4 2" xfId="9237" xr:uid="{52A9D3F1-BB49-4067-BF77-367F2C756751}"/>
    <cellStyle name="60% - Énfasis1 2 4 4 2 2" xfId="9238" xr:uid="{5888A648-DCCC-41BF-856C-45106E610213}"/>
    <cellStyle name="60% - Énfasis1 2 4 4 2 3" xfId="9239" xr:uid="{8DD3763B-8BFF-4B50-B0B4-BF05C066300F}"/>
    <cellStyle name="60% - Énfasis1 2 4 4 2 4" xfId="9240" xr:uid="{E7DEC1B1-9084-4880-B6CF-FB91E1F41F32}"/>
    <cellStyle name="60% - Énfasis1 2 4 4 2 5" xfId="9241" xr:uid="{C9D0C459-053F-40E9-87FE-35574B3E9DEF}"/>
    <cellStyle name="60% - Énfasis1 2 4 4 3" xfId="9242" xr:uid="{212D4878-8FB4-43D9-8D02-932FE172AC10}"/>
    <cellStyle name="60% - Énfasis1 2 4 4 4" xfId="9243" xr:uid="{F03E16FA-F0CC-4377-80D8-591AE563B5E5}"/>
    <cellStyle name="60% - Énfasis1 2 4 4 5" xfId="9244" xr:uid="{F14CCD44-C778-4034-AA57-E67BDEA1C99D}"/>
    <cellStyle name="60% - Énfasis1 2 4 5" xfId="9245" xr:uid="{96EE3B11-E582-4461-AF8C-6986636587C5}"/>
    <cellStyle name="60% - Énfasis1 2 4 6" xfId="9246" xr:uid="{42549622-C9CA-4EE7-B108-0327C66E6E7D}"/>
    <cellStyle name="60% - Énfasis1 2 4 7" xfId="9247" xr:uid="{578B1521-F633-4007-9B26-EFB4C97794D9}"/>
    <cellStyle name="60% - Énfasis1 2 4 8" xfId="9248" xr:uid="{B831C173-ADFD-4C9D-9A76-125DD09B83D6}"/>
    <cellStyle name="60% - Énfasis1 2 4 9" xfId="9249" xr:uid="{94CCFD3B-7ED1-4E14-8249-98BCB230C5F3}"/>
    <cellStyle name="60% - Énfasis1 2 5" xfId="9250" xr:uid="{521C2DE7-DCCE-4685-B463-FE5B54690B27}"/>
    <cellStyle name="60% - Énfasis1 2 6" xfId="9251" xr:uid="{B509F74B-61FE-448B-9E7B-EBDEF4F9D709}"/>
    <cellStyle name="60% - Énfasis1 2 7" xfId="9252" xr:uid="{60789457-A2F9-4770-80D9-C7D584FDF2AF}"/>
    <cellStyle name="60% - Énfasis1 2 8" xfId="9253" xr:uid="{7BD17134-B22E-49EF-B908-54F2DAAECFDC}"/>
    <cellStyle name="60% - Énfasis1 2 8 2" xfId="9254" xr:uid="{9B774CD4-72F5-4C61-8723-EC2F56F6FB80}"/>
    <cellStyle name="60% - Énfasis1 2 9" xfId="9255" xr:uid="{BF6F8EEA-FB20-4D8E-9D0A-94F3AE6E4376}"/>
    <cellStyle name="60% - Énfasis1 3" xfId="9256" xr:uid="{D57C7C4F-FCCC-47A2-9887-F915236D23D7}"/>
    <cellStyle name="60% - Énfasis1 3 2" xfId="9257" xr:uid="{11582A58-3C32-48B0-8D92-F50AD75CEF60}"/>
    <cellStyle name="60% - Énfasis1 3 3" xfId="9258" xr:uid="{9741A6F2-6A02-452B-88E5-78C99C1B33DF}"/>
    <cellStyle name="60% - Énfasis1 4" xfId="9259" xr:uid="{8EC9A957-9401-4F49-A8DF-A535BB994952}"/>
    <cellStyle name="60% - Énfasis1 5" xfId="43480" xr:uid="{BFEBD027-771B-4190-9B25-93EF14366096}"/>
    <cellStyle name="60% - Énfasis2 2" xfId="9260" xr:uid="{C303ACAC-AA3C-4C74-800C-30506266D5B8}"/>
    <cellStyle name="60% - Énfasis2 2 10" xfId="9261" xr:uid="{91B4BEB9-E052-448D-A4B0-89C753704393}"/>
    <cellStyle name="60% - Énfasis2 2 10 10" xfId="9262" xr:uid="{4E8B907C-41D6-4F7B-B2E5-760EB94F9BEB}"/>
    <cellStyle name="60% - Énfasis2 2 10 11" xfId="9263" xr:uid="{41ADDB34-3275-4FD6-A0AE-60EF0ED06B8E}"/>
    <cellStyle name="60% - Énfasis2 2 10 2" xfId="9264" xr:uid="{6AEC94A5-3AC0-40B0-B10C-A779380A1C52}"/>
    <cellStyle name="60% - Énfasis2 2 10 2 10" xfId="9265" xr:uid="{F612E61F-3170-46E1-B25C-E0819ACB6520}"/>
    <cellStyle name="60% - Énfasis2 2 10 2 11" xfId="9266" xr:uid="{B43CCACD-3606-4014-8C87-CC0F396FFFB1}"/>
    <cellStyle name="60% - Énfasis2 2 10 2 2" xfId="9267" xr:uid="{8F22D243-1899-4E53-9019-C4C29679C7F5}"/>
    <cellStyle name="60% - Énfasis2 2 10 2 2 2" xfId="9268" xr:uid="{75889B8A-05BD-4356-A061-13A469D8B398}"/>
    <cellStyle name="60% - Énfasis2 2 10 2 2 2 2" xfId="9269" xr:uid="{35FC03B5-A867-42F9-B4B5-3BA206AC72A2}"/>
    <cellStyle name="60% - Énfasis2 2 10 2 2 2 3" xfId="9270" xr:uid="{6B32BFF3-C418-4232-BC7F-81CD13181416}"/>
    <cellStyle name="60% - Énfasis2 2 10 2 2 2 4" xfId="9271" xr:uid="{15873F51-4814-444F-9FF1-B27FCD49AAD2}"/>
    <cellStyle name="60% - Énfasis2 2 10 2 2 2 5" xfId="9272" xr:uid="{49A75F7E-8347-4BB6-9985-DBD4CEF27B25}"/>
    <cellStyle name="60% - Énfasis2 2 10 2 2 3" xfId="9273" xr:uid="{74AE687F-882C-4161-BAB3-37ADB179CF62}"/>
    <cellStyle name="60% - Énfasis2 2 10 2 2 4" xfId="9274" xr:uid="{B3D6F173-DBD3-4C8D-8D6A-EA410F6C6424}"/>
    <cellStyle name="60% - Énfasis2 2 10 2 2 5" xfId="9275" xr:uid="{6F74500D-95B0-4BB5-BEC2-F6316B9FE1A0}"/>
    <cellStyle name="60% - Énfasis2 2 10 2 3" xfId="9276" xr:uid="{C4064761-1C72-4F94-8FE4-C0D7DBBE24E1}"/>
    <cellStyle name="60% - Énfasis2 2 10 2 4" xfId="9277" xr:uid="{33F947BA-D40C-4743-9349-1DE59D0E5BFF}"/>
    <cellStyle name="60% - Énfasis2 2 10 2 5" xfId="9278" xr:uid="{EEA65474-DA4C-4481-94EB-BF291C704E29}"/>
    <cellStyle name="60% - Énfasis2 2 10 2 6" xfId="9279" xr:uid="{CEFBD22D-2A67-481E-8D7E-C5EC401145C8}"/>
    <cellStyle name="60% - Énfasis2 2 10 2 7" xfId="9280" xr:uid="{B4EE92EE-15DC-4998-A046-726AED727A46}"/>
    <cellStyle name="60% - Énfasis2 2 10 2 8" xfId="9281" xr:uid="{EB477C9C-073E-4272-A9D8-A60537965633}"/>
    <cellStyle name="60% - Énfasis2 2 10 2 9" xfId="9282" xr:uid="{5B12E3DA-D9A0-41C2-B18B-9F092B61EA8B}"/>
    <cellStyle name="60% - Énfasis2 2 10 3" xfId="9283" xr:uid="{FFB8B721-2B66-45F5-81EC-826F9429E28E}"/>
    <cellStyle name="60% - Énfasis2 2 10 3 2" xfId="9284" xr:uid="{D24C0C19-3758-464E-97F7-110DF8A2041E}"/>
    <cellStyle name="60% - Énfasis2 2 10 3 2 2" xfId="9285" xr:uid="{361972EF-C2E8-48CF-8412-1AE1BC0417DF}"/>
    <cellStyle name="60% - Énfasis2 2 10 3 2 3" xfId="9286" xr:uid="{D7016813-6C32-4A3D-A1CD-148D816526F3}"/>
    <cellStyle name="60% - Énfasis2 2 10 3 2 4" xfId="9287" xr:uid="{CB70FD9E-C182-4852-BBC2-E12709915CE5}"/>
    <cellStyle name="60% - Énfasis2 2 10 3 2 5" xfId="9288" xr:uid="{94881EE0-C059-4768-A003-63FBEED02AD6}"/>
    <cellStyle name="60% - Énfasis2 2 10 3 3" xfId="9289" xr:uid="{45527CF3-0117-48C2-9220-9650173F252B}"/>
    <cellStyle name="60% - Énfasis2 2 10 3 4" xfId="9290" xr:uid="{3B7C07F0-1EFD-4BC9-92A8-1FFA048DAAC1}"/>
    <cellStyle name="60% - Énfasis2 2 10 3 5" xfId="9291" xr:uid="{4727D37B-1CFA-4C4B-9DF8-3570B3CB2431}"/>
    <cellStyle name="60% - Énfasis2 2 10 4" xfId="9292" xr:uid="{8EE3FA2E-327F-440E-B232-FBDAD7922B4A}"/>
    <cellStyle name="60% - Énfasis2 2 10 5" xfId="9293" xr:uid="{6E7EF664-1006-4AEC-9CC2-8346CA2C5CE9}"/>
    <cellStyle name="60% - Énfasis2 2 10 6" xfId="9294" xr:uid="{2E7E7402-F551-4E18-B13A-8BBAE156AABF}"/>
    <cellStyle name="60% - Énfasis2 2 10 7" xfId="9295" xr:uid="{71655506-25A6-4127-B954-CEB9A5844FBE}"/>
    <cellStyle name="60% - Énfasis2 2 10 8" xfId="9296" xr:uid="{75338C72-235B-4216-A592-7B71FEFF2310}"/>
    <cellStyle name="60% - Énfasis2 2 10 9" xfId="9297" xr:uid="{4E6167E4-BA3C-4498-AC47-B731D9B17CD3}"/>
    <cellStyle name="60% - Énfasis2 2 11" xfId="9298" xr:uid="{2F87B2F7-7D06-4181-A1C9-56A6779F15F2}"/>
    <cellStyle name="60% - Énfasis2 2 12" xfId="9299" xr:uid="{0A1AAA82-5874-4CA5-8C4A-53BE3F0321C9}"/>
    <cellStyle name="60% - Énfasis2 2 13" xfId="9300" xr:uid="{6B48C3B6-5B5F-4968-8F7C-A3939CDF2652}"/>
    <cellStyle name="60% - Énfasis2 2 14" xfId="43488" xr:uid="{86FEAE6B-1F8C-473F-A8DE-D03C4E9F5141}"/>
    <cellStyle name="60% - Énfasis2 2 2" xfId="9301" xr:uid="{417E0CBB-C55F-4379-9777-B70C03AFA466}"/>
    <cellStyle name="60% - Énfasis2 2 2 10" xfId="9302" xr:uid="{62C6EF36-788C-41B0-A697-7687FB67BD6F}"/>
    <cellStyle name="60% - Énfasis2 2 2 10 10" xfId="9303" xr:uid="{7BD5BBB7-1AAB-476B-91B9-D070F9535AF5}"/>
    <cellStyle name="60% - Énfasis2 2 2 10 11" xfId="9304" xr:uid="{6828A9C0-92EE-41D2-9AD9-15AB177CFCA5}"/>
    <cellStyle name="60% - Énfasis2 2 2 10 2" xfId="9305" xr:uid="{5B863AC9-BAA4-498C-BDB7-677FC9AE6770}"/>
    <cellStyle name="60% - Énfasis2 2 2 10 2 10" xfId="9306" xr:uid="{0776BD79-B0BA-4440-81F4-0E150F56F591}"/>
    <cellStyle name="60% - Énfasis2 2 2 10 2 11" xfId="9307" xr:uid="{0BBAA68F-319B-42E3-BBF3-5A120ED6D0D8}"/>
    <cellStyle name="60% - Énfasis2 2 2 10 2 2" xfId="9308" xr:uid="{D07C11B8-49BC-4BBD-AD49-120A7D58984D}"/>
    <cellStyle name="60% - Énfasis2 2 2 10 2 2 2" xfId="9309" xr:uid="{15B8CB46-C650-4B7D-B0B4-0932505550E6}"/>
    <cellStyle name="60% - Énfasis2 2 2 10 2 2 2 2" xfId="9310" xr:uid="{ADF1D03E-D0EB-46C1-B47D-C9CD7F061853}"/>
    <cellStyle name="60% - Énfasis2 2 2 10 2 2 2 3" xfId="9311" xr:uid="{D34B6DA4-AE31-4273-BB32-291BACD0D5CF}"/>
    <cellStyle name="60% - Énfasis2 2 2 10 2 2 2 4" xfId="9312" xr:uid="{C5A0A57C-5C5C-464A-8388-B433C9E03553}"/>
    <cellStyle name="60% - Énfasis2 2 2 10 2 2 2 5" xfId="9313" xr:uid="{D243F4F5-3BF6-4152-88B0-491EEA9B8D51}"/>
    <cellStyle name="60% - Énfasis2 2 2 10 2 2 3" xfId="9314" xr:uid="{5F0427B3-51CF-4C7D-BB13-3FE988935190}"/>
    <cellStyle name="60% - Énfasis2 2 2 10 2 2 4" xfId="9315" xr:uid="{B75EADA7-0BED-4B8B-900F-3C9EC4D559C5}"/>
    <cellStyle name="60% - Énfasis2 2 2 10 2 2 5" xfId="9316" xr:uid="{84FD1EF5-2201-4E15-92D1-A8C59E0BFE6D}"/>
    <cellStyle name="60% - Énfasis2 2 2 10 2 3" xfId="9317" xr:uid="{C5CC959E-CD16-466D-8356-3286BD8E8435}"/>
    <cellStyle name="60% - Énfasis2 2 2 10 2 4" xfId="9318" xr:uid="{D9111A95-BA75-4E25-9142-415381D0CC0B}"/>
    <cellStyle name="60% - Énfasis2 2 2 10 2 5" xfId="9319" xr:uid="{B99FA367-E38D-461A-BE54-5B103D0E92C3}"/>
    <cellStyle name="60% - Énfasis2 2 2 10 2 6" xfId="9320" xr:uid="{03254B5F-AD1F-4CD3-A141-7D8F89726A04}"/>
    <cellStyle name="60% - Énfasis2 2 2 10 2 7" xfId="9321" xr:uid="{717AE996-BF8D-4FAB-90D0-A1FB6EA2406B}"/>
    <cellStyle name="60% - Énfasis2 2 2 10 2 8" xfId="9322" xr:uid="{96C2B052-D3AD-4ED5-AAED-E499E5B4C384}"/>
    <cellStyle name="60% - Énfasis2 2 2 10 2 9" xfId="9323" xr:uid="{A3AFF49E-458E-4CD9-AAAA-BA7CA0E8D58C}"/>
    <cellStyle name="60% - Énfasis2 2 2 10 3" xfId="9324" xr:uid="{B16186B2-15F9-4F16-9C2D-D9AB52B9EADC}"/>
    <cellStyle name="60% - Énfasis2 2 2 10 3 2" xfId="9325" xr:uid="{DBD25261-CFD2-4F10-A35E-6C15867F507E}"/>
    <cellStyle name="60% - Énfasis2 2 2 10 3 2 2" xfId="9326" xr:uid="{906B306B-9C3B-47C8-97D9-4DC63B88DB2E}"/>
    <cellStyle name="60% - Énfasis2 2 2 10 3 2 3" xfId="9327" xr:uid="{0BE3A217-047A-4509-9BBF-3D41516D88F2}"/>
    <cellStyle name="60% - Énfasis2 2 2 10 3 2 4" xfId="9328" xr:uid="{618B9C62-1203-424B-A0B7-35C7250EED70}"/>
    <cellStyle name="60% - Énfasis2 2 2 10 3 2 5" xfId="9329" xr:uid="{34F270C0-BC2A-4102-A980-0BE9C7F73E25}"/>
    <cellStyle name="60% - Énfasis2 2 2 10 3 3" xfId="9330" xr:uid="{5C8B88B8-E499-4748-B864-51F5D740D0A7}"/>
    <cellStyle name="60% - Énfasis2 2 2 10 3 4" xfId="9331" xr:uid="{160309BF-313A-4152-A5BD-AB632C79DF83}"/>
    <cellStyle name="60% - Énfasis2 2 2 10 3 5" xfId="9332" xr:uid="{1D047F5F-1AA1-412D-A984-FE2AE3A76952}"/>
    <cellStyle name="60% - Énfasis2 2 2 10 4" xfId="9333" xr:uid="{9003616E-C4E9-4CCB-981B-8836564F32AE}"/>
    <cellStyle name="60% - Énfasis2 2 2 10 5" xfId="9334" xr:uid="{E2D3ADE6-F80D-4A28-AC23-13D4CA850EBA}"/>
    <cellStyle name="60% - Énfasis2 2 2 10 6" xfId="9335" xr:uid="{FE4F698E-DB64-4853-8428-0680AA47F968}"/>
    <cellStyle name="60% - Énfasis2 2 2 10 7" xfId="9336" xr:uid="{18200BCC-DB45-4854-92C7-2536D0DEC92D}"/>
    <cellStyle name="60% - Énfasis2 2 2 10 8" xfId="9337" xr:uid="{AA9333DE-7D87-47F7-BD1C-E9F187CC9510}"/>
    <cellStyle name="60% - Énfasis2 2 2 10 9" xfId="9338" xr:uid="{6F88F59A-D156-466D-A635-E11AE67C7F40}"/>
    <cellStyle name="60% - Énfasis2 2 2 11" xfId="9339" xr:uid="{7EF19376-A778-44A9-A85B-E8FD4EC96FA7}"/>
    <cellStyle name="60% - Énfasis2 2 2 12" xfId="9340" xr:uid="{88AA0C97-FB88-415D-ACFC-07DC6C7A03DB}"/>
    <cellStyle name="60% - Énfasis2 2 2 13" xfId="9341" xr:uid="{4722884D-724E-42E6-9D31-BBD77F33976B}"/>
    <cellStyle name="60% - Énfasis2 2 2 2" xfId="9342" xr:uid="{E366CADA-3405-44C0-B168-3957E2482C3D}"/>
    <cellStyle name="60% - Énfasis2 2 2 2 2" xfId="9343" xr:uid="{3E44A91E-18BD-452C-8A13-81DEF827A832}"/>
    <cellStyle name="60% - Énfasis2 2 2 2 2 2" xfId="9344" xr:uid="{3927D2AC-4E94-40FD-8F74-679674BEC3BD}"/>
    <cellStyle name="60% - Énfasis2 2 2 2 2 2 2" xfId="9345" xr:uid="{F9CC0068-1830-4B94-9744-749E93E9DCED}"/>
    <cellStyle name="60% - Énfasis2 2 2 2 2 2 2 2" xfId="9346" xr:uid="{BE729AA2-C74C-4931-A8C6-68A1CDF8E0FF}"/>
    <cellStyle name="60% - Énfasis2 2 2 2 2 2 2 2 2" xfId="9347" xr:uid="{E366B52A-8E00-4347-BA29-2566616C9CD1}"/>
    <cellStyle name="60% - Énfasis2 2 2 2 2 2 2 2 2 2" xfId="9348" xr:uid="{105A97D3-85B2-4007-9C0F-BF06E64838E5}"/>
    <cellStyle name="60% - Énfasis2 2 2 2 2 2 2 2 2 2 2" xfId="9349" xr:uid="{95A7F141-294E-4324-88D1-0494CD4E7C24}"/>
    <cellStyle name="60% - Énfasis2 2 2 2 2 2 2 2 2 2 2 2" xfId="9350" xr:uid="{33206A3E-0B82-4B97-82CB-CB910EF651F3}"/>
    <cellStyle name="60% - Énfasis2 2 2 2 2 2 2 2 2 2 2 2 2" xfId="9351" xr:uid="{38BD82F6-A7FC-4AF6-9F05-6F5C0BFE182D}"/>
    <cellStyle name="60% - Énfasis2 2 2 2 2 2 2 2 2 2 2 3" xfId="9352" xr:uid="{5A022D3B-F408-467C-B2B1-CE247441DDB3}"/>
    <cellStyle name="60% - Énfasis2 2 2 2 2 2 2 2 2 2 2 4" xfId="9353" xr:uid="{247907A9-8B24-42C3-932B-611CCD88ED61}"/>
    <cellStyle name="60% - Énfasis2 2 2 2 2 2 2 2 2 2 3" xfId="9354" xr:uid="{E1ACEA68-44EE-482D-AE53-1D31A32BF7CD}"/>
    <cellStyle name="60% - Énfasis2 2 2 2 2 2 2 2 2 2 4" xfId="9355" xr:uid="{90EA0954-A618-4D86-9548-EFA2AFB1D43D}"/>
    <cellStyle name="60% - Énfasis2 2 2 2 2 2 2 2 2 3" xfId="9356" xr:uid="{5042E5E9-95B6-4626-AFCE-7AEA0FA2B1FC}"/>
    <cellStyle name="60% - Énfasis2 2 2 2 2 2 2 2 2 4" xfId="9357" xr:uid="{FDADAF83-FCBA-4E8A-B6A2-84C7E67C0667}"/>
    <cellStyle name="60% - Énfasis2 2 2 2 2 2 2 2 2 5" xfId="9358" xr:uid="{7D40AE89-7BB4-4DA2-98A7-EB7406D18088}"/>
    <cellStyle name="60% - Énfasis2 2 2 2 2 2 2 2 3" xfId="9359" xr:uid="{5BFCBCF4-294C-4E94-9B55-8AE172ACE24B}"/>
    <cellStyle name="60% - Énfasis2 2 2 2 2 2 2 2 3 10" xfId="9360" xr:uid="{EB97372A-0033-4F3B-BB78-C9504F7BF97C}"/>
    <cellStyle name="60% - Énfasis2 2 2 2 2 2 2 2 3 11" xfId="9361" xr:uid="{168239B8-5AD9-49A2-B189-FAF90491531D}"/>
    <cellStyle name="60% - Énfasis2 2 2 2 2 2 2 2 3 2" xfId="9362" xr:uid="{03D404FB-3039-4D2C-A204-D7E866441E2E}"/>
    <cellStyle name="60% - Énfasis2 2 2 2 2 2 2 2 3 2 2" xfId="9363" xr:uid="{34A31F34-46D2-4DDC-B1B4-8699EBD41E13}"/>
    <cellStyle name="60% - Énfasis2 2 2 2 2 2 2 2 3 2 2 2" xfId="9364" xr:uid="{EA2FCDFD-2EDB-416A-AAD5-D1EB5B98B608}"/>
    <cellStyle name="60% - Énfasis2 2 2 2 2 2 2 2 3 2 2 3" xfId="9365" xr:uid="{A053ABB1-A7A9-4E12-84B3-128D4CD2AEC2}"/>
    <cellStyle name="60% - Énfasis2 2 2 2 2 2 2 2 3 2 2 4" xfId="9366" xr:uid="{E1084647-5298-4FC3-ACE9-3534AF29D036}"/>
    <cellStyle name="60% - Énfasis2 2 2 2 2 2 2 2 3 2 2 5" xfId="9367" xr:uid="{8736964C-CCC6-48A8-B72A-5E076B759E9C}"/>
    <cellStyle name="60% - Énfasis2 2 2 2 2 2 2 2 3 2 3" xfId="9368" xr:uid="{913ADE9A-ED65-44EC-B4EA-D5095EBD3F4C}"/>
    <cellStyle name="60% - Énfasis2 2 2 2 2 2 2 2 3 2 4" xfId="9369" xr:uid="{F74A8EDD-9567-4A8B-B846-3DA38EF59FB2}"/>
    <cellStyle name="60% - Énfasis2 2 2 2 2 2 2 2 3 2 5" xfId="9370" xr:uid="{4925FEBE-5386-48D6-9488-41BEAA7C49A5}"/>
    <cellStyle name="60% - Énfasis2 2 2 2 2 2 2 2 3 3" xfId="9371" xr:uid="{78E3DCA7-9F4B-46F4-AD07-8D9794A379A5}"/>
    <cellStyle name="60% - Énfasis2 2 2 2 2 2 2 2 3 4" xfId="9372" xr:uid="{291628A9-3AB8-4223-8FBB-FBD26B8CCA60}"/>
    <cellStyle name="60% - Énfasis2 2 2 2 2 2 2 2 3 5" xfId="9373" xr:uid="{90F4E1C4-993D-41A6-A825-E873CEDB13A3}"/>
    <cellStyle name="60% - Énfasis2 2 2 2 2 2 2 2 3 6" xfId="9374" xr:uid="{E7E5A87F-09FB-4934-938A-DCD791BCC9E8}"/>
    <cellStyle name="60% - Énfasis2 2 2 2 2 2 2 2 3 7" xfId="9375" xr:uid="{16DF1082-1AC5-4035-AB83-4B17365972E6}"/>
    <cellStyle name="60% - Énfasis2 2 2 2 2 2 2 2 3 8" xfId="9376" xr:uid="{6EAD6804-FAC1-4185-B1B3-91B88960AE01}"/>
    <cellStyle name="60% - Énfasis2 2 2 2 2 2 2 2 3 9" xfId="9377" xr:uid="{0EAC4624-9C87-4795-976D-59F64692FA3B}"/>
    <cellStyle name="60% - Énfasis2 2 2 2 2 2 2 2 4" xfId="9378" xr:uid="{B0257994-5140-40EB-AD62-64E4ABD82B3B}"/>
    <cellStyle name="60% - Énfasis2 2 2 2 2 2 2 2 5" xfId="9379" xr:uid="{145B6AC4-7F65-4E6C-AD02-1F5DBC9B58DE}"/>
    <cellStyle name="60% - Énfasis2 2 2 2 2 2 2 3" xfId="9380" xr:uid="{32841470-05B4-4ABF-910C-B90507995FBB}"/>
    <cellStyle name="60% - Énfasis2 2 2 2 2 2 2 3 10" xfId="9381" xr:uid="{627CE605-E067-4611-AAD8-F2DF3EEF0278}"/>
    <cellStyle name="60% - Énfasis2 2 2 2 2 2 2 3 11" xfId="9382" xr:uid="{ACBE43CE-5F3E-41EC-9841-118214F9CD23}"/>
    <cellStyle name="60% - Énfasis2 2 2 2 2 2 2 3 2" xfId="9383" xr:uid="{AD40DD4F-8F45-4511-8CF7-1A4AB91C3801}"/>
    <cellStyle name="60% - Énfasis2 2 2 2 2 2 2 3 2 10" xfId="9384" xr:uid="{EA69964F-34C2-4A1F-9FF6-963A63D7B117}"/>
    <cellStyle name="60% - Énfasis2 2 2 2 2 2 2 3 2 11" xfId="9385" xr:uid="{F2DD74BD-27F9-493C-B74A-9280499B4035}"/>
    <cellStyle name="60% - Énfasis2 2 2 2 2 2 2 3 2 2" xfId="9386" xr:uid="{0A04F444-2D27-4DCF-AB12-DD6F7A6227AE}"/>
    <cellStyle name="60% - Énfasis2 2 2 2 2 2 2 3 2 2 2" xfId="9387" xr:uid="{8C46324C-CCBE-497E-B9CB-91E417B21BC9}"/>
    <cellStyle name="60% - Énfasis2 2 2 2 2 2 2 3 2 2 2 2" xfId="9388" xr:uid="{10A8250F-C43C-4CB6-923F-344F173F28AD}"/>
    <cellStyle name="60% - Énfasis2 2 2 2 2 2 2 3 2 2 2 3" xfId="9389" xr:uid="{37062126-52BF-4B54-914E-EA19C155A548}"/>
    <cellStyle name="60% - Énfasis2 2 2 2 2 2 2 3 2 2 2 4" xfId="9390" xr:uid="{46994ADE-BA57-4EEE-BCE6-CC7BA1CE926D}"/>
    <cellStyle name="60% - Énfasis2 2 2 2 2 2 2 3 2 2 2 5" xfId="9391" xr:uid="{49257E9B-9F8B-44E8-A94F-D548B273E886}"/>
    <cellStyle name="60% - Énfasis2 2 2 2 2 2 2 3 2 2 3" xfId="9392" xr:uid="{7D33A31A-EF47-4E73-9A7D-92DD4EBC3DF4}"/>
    <cellStyle name="60% - Énfasis2 2 2 2 2 2 2 3 2 2 4" xfId="9393" xr:uid="{D1882570-CAC6-4417-9693-A916D926680D}"/>
    <cellStyle name="60% - Énfasis2 2 2 2 2 2 2 3 2 2 5" xfId="9394" xr:uid="{592BEF6D-E263-49AA-8189-A3149CDA9583}"/>
    <cellStyle name="60% - Énfasis2 2 2 2 2 2 2 3 2 3" xfId="9395" xr:uid="{CE5143A9-E1C8-4137-888C-8726810B9DA1}"/>
    <cellStyle name="60% - Énfasis2 2 2 2 2 2 2 3 2 4" xfId="9396" xr:uid="{0D525309-9C32-49EC-B596-786DE6C4E63D}"/>
    <cellStyle name="60% - Énfasis2 2 2 2 2 2 2 3 2 5" xfId="9397" xr:uid="{17E2E52C-4079-4E89-8847-3E4010F58871}"/>
    <cellStyle name="60% - Énfasis2 2 2 2 2 2 2 3 2 6" xfId="9398" xr:uid="{1A991DA1-17FD-4693-9872-F03425D3E89E}"/>
    <cellStyle name="60% - Énfasis2 2 2 2 2 2 2 3 2 7" xfId="9399" xr:uid="{F96910FC-B670-4F0E-A855-8287A22DD345}"/>
    <cellStyle name="60% - Énfasis2 2 2 2 2 2 2 3 2 8" xfId="9400" xr:uid="{54250E4B-9669-433E-9A73-B2FFA4B563F1}"/>
    <cellStyle name="60% - Énfasis2 2 2 2 2 2 2 3 2 9" xfId="9401" xr:uid="{DBF2DFAA-AF7C-4B11-A8A7-6F9B88F66E38}"/>
    <cellStyle name="60% - Énfasis2 2 2 2 2 2 2 3 3" xfId="9402" xr:uid="{06CE9735-0ADB-4470-9D95-5F22823A1E95}"/>
    <cellStyle name="60% - Énfasis2 2 2 2 2 2 2 3 3 2" xfId="9403" xr:uid="{7AC06CC1-6FFC-4AA2-BA56-687FC8ECEBC3}"/>
    <cellStyle name="60% - Énfasis2 2 2 2 2 2 2 3 3 2 2" xfId="9404" xr:uid="{F28DB345-88A6-46D8-81A0-C14B24297483}"/>
    <cellStyle name="60% - Énfasis2 2 2 2 2 2 2 3 3 2 3" xfId="9405" xr:uid="{09DD94D5-178D-4D21-8A7D-BC5F21BC082C}"/>
    <cellStyle name="60% - Énfasis2 2 2 2 2 2 2 3 3 2 4" xfId="9406" xr:uid="{2FC5B185-3419-4F24-B053-2214582DA61D}"/>
    <cellStyle name="60% - Énfasis2 2 2 2 2 2 2 3 3 2 5" xfId="9407" xr:uid="{414621F4-2B23-4271-A3BD-323FDAC09E0E}"/>
    <cellStyle name="60% - Énfasis2 2 2 2 2 2 2 3 3 3" xfId="9408" xr:uid="{E30C4EB0-752D-464B-B31B-F78CA33B22CF}"/>
    <cellStyle name="60% - Énfasis2 2 2 2 2 2 2 3 3 4" xfId="9409" xr:uid="{F849E0A5-5B37-4448-B99F-B241BDF1C05D}"/>
    <cellStyle name="60% - Énfasis2 2 2 2 2 2 2 3 3 5" xfId="9410" xr:uid="{52AF6E7E-ADB0-4670-8D00-BCCCCE8F0A6D}"/>
    <cellStyle name="60% - Énfasis2 2 2 2 2 2 2 3 4" xfId="9411" xr:uid="{7F57E07F-1E10-4A94-950A-96A37767126A}"/>
    <cellStyle name="60% - Énfasis2 2 2 2 2 2 2 3 5" xfId="9412" xr:uid="{088C1983-F133-4B6E-A2C8-C5C379A28725}"/>
    <cellStyle name="60% - Énfasis2 2 2 2 2 2 2 3 6" xfId="9413" xr:uid="{3A52EC30-9F4B-4E60-A1C4-09C6059F9267}"/>
    <cellStyle name="60% - Énfasis2 2 2 2 2 2 2 3 7" xfId="9414" xr:uid="{E6235297-95D5-4010-BFF2-AAB0AE3B759B}"/>
    <cellStyle name="60% - Énfasis2 2 2 2 2 2 2 3 8" xfId="9415" xr:uid="{A379041D-54E9-4A32-9003-2FDAA47DFB5C}"/>
    <cellStyle name="60% - Énfasis2 2 2 2 2 2 2 3 9" xfId="9416" xr:uid="{AC4C0C47-36FD-48F7-BE3D-63C94EC3FC96}"/>
    <cellStyle name="60% - Énfasis2 2 2 2 2 2 2 4" xfId="9417" xr:uid="{4365C952-7002-4F3B-9168-61D6D1D8E467}"/>
    <cellStyle name="60% - Énfasis2 2 2 2 2 2 2 5" xfId="9418" xr:uid="{74F6350A-F063-47EF-8C35-F6E3FA981C12}"/>
    <cellStyle name="60% - Énfasis2 2 2 2 2 2 2 6" xfId="9419" xr:uid="{85C3A19A-0C51-463B-890B-323A13A2396E}"/>
    <cellStyle name="60% - Énfasis2 2 2 2 2 2 3" xfId="9420" xr:uid="{AFA8C23D-9B10-4678-BF94-EFA0CFCE946D}"/>
    <cellStyle name="60% - Énfasis2 2 2 2 2 2 3 10" xfId="9421" xr:uid="{AA9AB65B-9C26-4E60-A868-9817D487799E}"/>
    <cellStyle name="60% - Énfasis2 2 2 2 2 2 3 11" xfId="9422" xr:uid="{8A42C099-FA16-4128-9B2D-D7FA24444B94}"/>
    <cellStyle name="60% - Énfasis2 2 2 2 2 2 3 2" xfId="9423" xr:uid="{461FBEE8-7801-4225-93AF-3E15B5F5DA70}"/>
    <cellStyle name="60% - Énfasis2 2 2 2 2 2 3 2 10" xfId="9424" xr:uid="{D02E0EF5-9F24-4379-A485-FBCAC5F11B69}"/>
    <cellStyle name="60% - Énfasis2 2 2 2 2 2 3 2 11" xfId="9425" xr:uid="{36AA83BD-4ADE-42A3-AA95-577BBE3B0D3D}"/>
    <cellStyle name="60% - Énfasis2 2 2 2 2 2 3 2 2" xfId="9426" xr:uid="{FC998E9D-F485-43E8-A30D-9D3686BCF774}"/>
    <cellStyle name="60% - Énfasis2 2 2 2 2 2 3 2 2 2" xfId="9427" xr:uid="{7443E4A1-38C1-4E10-A114-D6A2F29D4DC4}"/>
    <cellStyle name="60% - Énfasis2 2 2 2 2 2 3 2 2 2 2" xfId="9428" xr:uid="{E593F7F6-4263-4D1F-AE23-A922ECE43F6D}"/>
    <cellStyle name="60% - Énfasis2 2 2 2 2 2 3 2 2 2 3" xfId="9429" xr:uid="{EF003DF9-8C3E-42C7-926D-3ABDA8F0BC57}"/>
    <cellStyle name="60% - Énfasis2 2 2 2 2 2 3 2 2 2 4" xfId="9430" xr:uid="{A8D5D0E2-7FBE-4DA0-980B-786CF45905AE}"/>
    <cellStyle name="60% - Énfasis2 2 2 2 2 2 3 2 2 2 5" xfId="9431" xr:uid="{F2055D38-E2F5-4CB1-9782-0268F206162F}"/>
    <cellStyle name="60% - Énfasis2 2 2 2 2 2 3 2 2 3" xfId="9432" xr:uid="{E36A3A4C-895A-464B-8222-87A47CFE765A}"/>
    <cellStyle name="60% - Énfasis2 2 2 2 2 2 3 2 2 4" xfId="9433" xr:uid="{5DECD0E5-E960-424B-888A-96CBEB4A807D}"/>
    <cellStyle name="60% - Énfasis2 2 2 2 2 2 3 2 2 5" xfId="9434" xr:uid="{E4C5DEB0-8D9B-4DAD-9DF9-AB79FCC6D37E}"/>
    <cellStyle name="60% - Énfasis2 2 2 2 2 2 3 2 3" xfId="9435" xr:uid="{B87CE9FF-130F-46A5-A64A-D7240B6C5965}"/>
    <cellStyle name="60% - Énfasis2 2 2 2 2 2 3 2 4" xfId="9436" xr:uid="{7D9908FB-25F7-4873-AFCB-E158B3353668}"/>
    <cellStyle name="60% - Énfasis2 2 2 2 2 2 3 2 5" xfId="9437" xr:uid="{528EC49A-2BED-4EAF-BDC3-902FA1AA80E8}"/>
    <cellStyle name="60% - Énfasis2 2 2 2 2 2 3 2 6" xfId="9438" xr:uid="{F8DFD98E-F826-454B-BFBF-299427605EB2}"/>
    <cellStyle name="60% - Énfasis2 2 2 2 2 2 3 2 7" xfId="9439" xr:uid="{F888CC71-EB30-4260-B914-6F140C2ECA85}"/>
    <cellStyle name="60% - Énfasis2 2 2 2 2 2 3 2 8" xfId="9440" xr:uid="{511B1B64-089F-4931-AB8F-C7619407E661}"/>
    <cellStyle name="60% - Énfasis2 2 2 2 2 2 3 2 9" xfId="9441" xr:uid="{F92E23D5-A289-4362-9AE3-B13475BCC744}"/>
    <cellStyle name="60% - Énfasis2 2 2 2 2 2 3 3" xfId="9442" xr:uid="{07E7D091-769A-4CF8-ABA4-361C84EC3FF8}"/>
    <cellStyle name="60% - Énfasis2 2 2 2 2 2 3 3 2" xfId="9443" xr:uid="{2D26B113-525A-429D-B4AB-F433DAB95D9B}"/>
    <cellStyle name="60% - Énfasis2 2 2 2 2 2 3 3 2 2" xfId="9444" xr:uid="{A0C74787-7581-4E66-96F3-4A9FEA7ACEFD}"/>
    <cellStyle name="60% - Énfasis2 2 2 2 2 2 3 3 2 3" xfId="9445" xr:uid="{59E18DA4-5F58-479E-AE3E-C00A24FB8576}"/>
    <cellStyle name="60% - Énfasis2 2 2 2 2 2 3 3 2 4" xfId="9446" xr:uid="{F26FA0FF-E199-47C7-827C-E0AA814697CD}"/>
    <cellStyle name="60% - Énfasis2 2 2 2 2 2 3 3 2 5" xfId="9447" xr:uid="{3FBB19A4-C61F-4871-A3A7-97EF6E47CF06}"/>
    <cellStyle name="60% - Énfasis2 2 2 2 2 2 3 3 3" xfId="9448" xr:uid="{C7008A55-D70A-45F9-9E26-01D521937FFA}"/>
    <cellStyle name="60% - Énfasis2 2 2 2 2 2 3 3 4" xfId="9449" xr:uid="{F5B0D268-648F-4FAC-8909-8ECCB5F5F309}"/>
    <cellStyle name="60% - Énfasis2 2 2 2 2 2 3 3 5" xfId="9450" xr:uid="{1F5DAD5C-B501-48A1-8CF7-1FF5D51BA010}"/>
    <cellStyle name="60% - Énfasis2 2 2 2 2 2 3 4" xfId="9451" xr:uid="{286B91CF-943B-4CB5-9271-9B535089B6D1}"/>
    <cellStyle name="60% - Énfasis2 2 2 2 2 2 3 5" xfId="9452" xr:uid="{20488F6D-549B-4C72-9ED8-0B29D53BF003}"/>
    <cellStyle name="60% - Énfasis2 2 2 2 2 2 3 6" xfId="9453" xr:uid="{BA2A2FC4-3F32-4BFA-BCC1-7A0790B7F688}"/>
    <cellStyle name="60% - Énfasis2 2 2 2 2 2 3 7" xfId="9454" xr:uid="{E17103BF-9658-4280-9F89-F9704257EFC9}"/>
    <cellStyle name="60% - Énfasis2 2 2 2 2 2 3 8" xfId="9455" xr:uid="{71E22689-E7C2-4AC7-A50B-D1D94996BAAA}"/>
    <cellStyle name="60% - Énfasis2 2 2 2 2 2 3 9" xfId="9456" xr:uid="{B4524A1E-94C1-4924-8AE8-B16342F01768}"/>
    <cellStyle name="60% - Énfasis2 2 2 2 2 2 4" xfId="9457" xr:uid="{5D421ED9-933F-4992-A16F-A4734735D430}"/>
    <cellStyle name="60% - Énfasis2 2 2 2 2 2 5" xfId="9458" xr:uid="{1D85B463-719A-42AB-8E06-A970C7551100}"/>
    <cellStyle name="60% - Énfasis2 2 2 2 2 2 6" xfId="9459" xr:uid="{01DF077E-F130-4D8F-BCE2-F520ADDED9B7}"/>
    <cellStyle name="60% - Énfasis2 2 2 2 2 3" xfId="9460" xr:uid="{2469D87F-510F-4105-8756-1CB34014A7A4}"/>
    <cellStyle name="60% - Énfasis2 2 2 2 2 4" xfId="9461" xr:uid="{6D0C633B-1FAD-48A2-9999-3163C63A755C}"/>
    <cellStyle name="60% - Énfasis2 2 2 2 2 4 10" xfId="9462" xr:uid="{FD1CC224-56FF-4CF7-9A14-989B1C42186D}"/>
    <cellStyle name="60% - Énfasis2 2 2 2 2 4 11" xfId="9463" xr:uid="{F923A409-63E6-41AC-841E-4BB048AE3DEE}"/>
    <cellStyle name="60% - Énfasis2 2 2 2 2 4 2" xfId="9464" xr:uid="{F6753BBC-3D54-4F0E-9373-7F5E3E26883B}"/>
    <cellStyle name="60% - Énfasis2 2 2 2 2 4 2 10" xfId="9465" xr:uid="{DA5CF587-BB1F-409E-84A1-FB75BB761F72}"/>
    <cellStyle name="60% - Énfasis2 2 2 2 2 4 2 11" xfId="9466" xr:uid="{46DD4F13-5586-4FB5-95CA-DC9081132052}"/>
    <cellStyle name="60% - Énfasis2 2 2 2 2 4 2 2" xfId="9467" xr:uid="{D7759A2D-F0D3-4D56-83A9-5850ABCE99C0}"/>
    <cellStyle name="60% - Énfasis2 2 2 2 2 4 2 2 2" xfId="9468" xr:uid="{6D425DC5-1BF5-4B95-BF96-78B355E4D142}"/>
    <cellStyle name="60% - Énfasis2 2 2 2 2 4 2 2 2 2" xfId="9469" xr:uid="{C3D44531-5A59-4FF5-BF2F-A61B4525F610}"/>
    <cellStyle name="60% - Énfasis2 2 2 2 2 4 2 2 2 3" xfId="9470" xr:uid="{B595F4DD-AFB4-4B0C-910D-9A4F2571AA9C}"/>
    <cellStyle name="60% - Énfasis2 2 2 2 2 4 2 2 2 4" xfId="9471" xr:uid="{5199AFCE-F978-4165-9613-3B8B05157DE4}"/>
    <cellStyle name="60% - Énfasis2 2 2 2 2 4 2 2 2 5" xfId="9472" xr:uid="{DE44CC92-9579-4B34-9D0E-03076BB43C03}"/>
    <cellStyle name="60% - Énfasis2 2 2 2 2 4 2 2 3" xfId="9473" xr:uid="{747300F5-0F6A-436E-944F-AB23CE50E1AA}"/>
    <cellStyle name="60% - Énfasis2 2 2 2 2 4 2 2 4" xfId="9474" xr:uid="{DE4AA4A1-84CE-47FE-B69F-2A69AB6B9407}"/>
    <cellStyle name="60% - Énfasis2 2 2 2 2 4 2 2 5" xfId="9475" xr:uid="{398446C5-B32A-4A69-BB9F-336EA31D41DF}"/>
    <cellStyle name="60% - Énfasis2 2 2 2 2 4 2 3" xfId="9476" xr:uid="{06F839A8-74DF-4BD2-8FB6-BFDEDBCF074B}"/>
    <cellStyle name="60% - Énfasis2 2 2 2 2 4 2 4" xfId="9477" xr:uid="{868856A8-0AB3-40D7-B4E3-0E5E24820516}"/>
    <cellStyle name="60% - Énfasis2 2 2 2 2 4 2 5" xfId="9478" xr:uid="{A846EFA2-00EE-4118-96A0-6C0D06B03C04}"/>
    <cellStyle name="60% - Énfasis2 2 2 2 2 4 2 6" xfId="9479" xr:uid="{23B25BFD-8153-4DE4-8D99-9DB711CF44BB}"/>
    <cellStyle name="60% - Énfasis2 2 2 2 2 4 2 7" xfId="9480" xr:uid="{945277D7-F9DA-4B69-9913-13DBB9F6E9D3}"/>
    <cellStyle name="60% - Énfasis2 2 2 2 2 4 2 8" xfId="9481" xr:uid="{EC458F39-097C-462B-9D5D-7B15637F3D1A}"/>
    <cellStyle name="60% - Énfasis2 2 2 2 2 4 2 9" xfId="9482" xr:uid="{04C5B2FB-DCCE-4FA9-B95F-5E120BFEFDED}"/>
    <cellStyle name="60% - Énfasis2 2 2 2 2 4 3" xfId="9483" xr:uid="{2EC21DE5-CD7A-4AB8-8C34-F326F34B7ED2}"/>
    <cellStyle name="60% - Énfasis2 2 2 2 2 4 3 2" xfId="9484" xr:uid="{F2758143-FB68-4F73-9316-593E9495FC39}"/>
    <cellStyle name="60% - Énfasis2 2 2 2 2 4 3 2 2" xfId="9485" xr:uid="{E28B8E44-0AF9-4FE6-BE55-EC09B770E7D6}"/>
    <cellStyle name="60% - Énfasis2 2 2 2 2 4 3 2 3" xfId="9486" xr:uid="{887C4D50-E527-47E1-9868-9D781962149B}"/>
    <cellStyle name="60% - Énfasis2 2 2 2 2 4 3 2 4" xfId="9487" xr:uid="{B7C6C56C-52AA-4E83-B51F-A604D482E73C}"/>
    <cellStyle name="60% - Énfasis2 2 2 2 2 4 3 2 5" xfId="9488" xr:uid="{1AC0FD86-8397-4944-A603-9F3149879F86}"/>
    <cellStyle name="60% - Énfasis2 2 2 2 2 4 3 3" xfId="9489" xr:uid="{3168C735-DBAF-4468-83B0-6A553DC958B0}"/>
    <cellStyle name="60% - Énfasis2 2 2 2 2 4 3 4" xfId="9490" xr:uid="{02A08035-36BD-434A-B997-5A6A8475DF9E}"/>
    <cellStyle name="60% - Énfasis2 2 2 2 2 4 3 5" xfId="9491" xr:uid="{E25781D2-5C10-4326-A896-B2DF25F39FA6}"/>
    <cellStyle name="60% - Énfasis2 2 2 2 2 4 4" xfId="9492" xr:uid="{446D190B-54B5-47F5-BD99-07A376EF9DBF}"/>
    <cellStyle name="60% - Énfasis2 2 2 2 2 4 5" xfId="9493" xr:uid="{16ED7F5F-057A-454B-B921-1D9980426346}"/>
    <cellStyle name="60% - Énfasis2 2 2 2 2 4 6" xfId="9494" xr:uid="{34EA03F4-5FCA-44BC-A8A8-BC4BD24C7CC7}"/>
    <cellStyle name="60% - Énfasis2 2 2 2 2 4 7" xfId="9495" xr:uid="{98E3A726-F0F0-4E86-9E51-2F370ED83432}"/>
    <cellStyle name="60% - Énfasis2 2 2 2 2 4 8" xfId="9496" xr:uid="{B18B04DD-4524-4A39-9706-54842E326EFA}"/>
    <cellStyle name="60% - Énfasis2 2 2 2 2 4 9" xfId="9497" xr:uid="{8654F741-FF51-4B11-AC25-AAB0CC4EFDDC}"/>
    <cellStyle name="60% - Énfasis2 2 2 2 2 5" xfId="9498" xr:uid="{B7ADB8E0-C60C-4263-96A6-BD8BC5391416}"/>
    <cellStyle name="60% - Énfasis2 2 2 2 2 6" xfId="9499" xr:uid="{840C74BE-678C-46E6-8E25-F0FC178EEF00}"/>
    <cellStyle name="60% - Énfasis2 2 2 2 2 7" xfId="9500" xr:uid="{0845C4A2-8C52-4C4C-BDB5-629BBFC65E2E}"/>
    <cellStyle name="60% - Énfasis2 2 2 2 3" xfId="9501" xr:uid="{93873CAD-FF79-42D9-B6BF-524FE2D9E66A}"/>
    <cellStyle name="60% - Énfasis2 2 2 2 4" xfId="9502" xr:uid="{80E55AB0-A534-4868-B2EC-5171A4628FC4}"/>
    <cellStyle name="60% - Énfasis2 2 2 2 5" xfId="9503" xr:uid="{6097A992-4FDA-4C3E-AFCC-7D0E9C33621F}"/>
    <cellStyle name="60% - Énfasis2 2 2 2 5 10" xfId="9504" xr:uid="{6B9A9B91-1BB8-4EE4-96FB-0EC48E058E02}"/>
    <cellStyle name="60% - Énfasis2 2 2 2 5 11" xfId="9505" xr:uid="{411161F9-0BA5-4EBD-AA74-CCBDDA0438A4}"/>
    <cellStyle name="60% - Énfasis2 2 2 2 5 2" xfId="9506" xr:uid="{3C4645A1-071E-404C-9E8A-3195A9179F9E}"/>
    <cellStyle name="60% - Énfasis2 2 2 2 5 2 10" xfId="9507" xr:uid="{7911A877-9B1E-4A3F-A6C8-965F05CEC83C}"/>
    <cellStyle name="60% - Énfasis2 2 2 2 5 2 11" xfId="9508" xr:uid="{F5766D22-AFB0-4F2A-B5E5-57BA7A124253}"/>
    <cellStyle name="60% - Énfasis2 2 2 2 5 2 2" xfId="9509" xr:uid="{1E8D31B8-83B2-4A60-B54A-AC4FC9730027}"/>
    <cellStyle name="60% - Énfasis2 2 2 2 5 2 2 2" xfId="9510" xr:uid="{5C77488A-2A99-433B-99CE-BE7533883F87}"/>
    <cellStyle name="60% - Énfasis2 2 2 2 5 2 2 2 2" xfId="9511" xr:uid="{A87F7E21-E873-41F6-A8FC-9EFBDA18F3BD}"/>
    <cellStyle name="60% - Énfasis2 2 2 2 5 2 2 2 3" xfId="9512" xr:uid="{17644AD7-4DAC-43AF-891D-D61563CD1C99}"/>
    <cellStyle name="60% - Énfasis2 2 2 2 5 2 2 2 4" xfId="9513" xr:uid="{F8984C8F-A0E9-4D6D-A19C-A2D28A9E4B41}"/>
    <cellStyle name="60% - Énfasis2 2 2 2 5 2 2 2 5" xfId="9514" xr:uid="{203ADFF1-50E6-4223-9968-FF3B442D4D70}"/>
    <cellStyle name="60% - Énfasis2 2 2 2 5 2 2 3" xfId="9515" xr:uid="{96FC615F-4C1F-4F48-9ED7-AB15EF1DEE8D}"/>
    <cellStyle name="60% - Énfasis2 2 2 2 5 2 2 4" xfId="9516" xr:uid="{83D9A259-0924-4DD8-A27B-AF657B5ABB4F}"/>
    <cellStyle name="60% - Énfasis2 2 2 2 5 2 2 5" xfId="9517" xr:uid="{A439FB81-150F-48DD-8C0C-0D7B9D873FF1}"/>
    <cellStyle name="60% - Énfasis2 2 2 2 5 2 3" xfId="9518" xr:uid="{78AF5812-E95E-4F1D-891A-334420E7A6DC}"/>
    <cellStyle name="60% - Énfasis2 2 2 2 5 2 4" xfId="9519" xr:uid="{3B024BFA-5EBD-4267-B797-763ED2D0CDD0}"/>
    <cellStyle name="60% - Énfasis2 2 2 2 5 2 5" xfId="9520" xr:uid="{E7A9BB41-3D48-4442-81E2-0FC37F12AD23}"/>
    <cellStyle name="60% - Énfasis2 2 2 2 5 2 6" xfId="9521" xr:uid="{5055A066-8F63-4D0D-BFFA-BF376DF8C948}"/>
    <cellStyle name="60% - Énfasis2 2 2 2 5 2 7" xfId="9522" xr:uid="{34635308-1CE1-44B9-991F-DB6399F2ABED}"/>
    <cellStyle name="60% - Énfasis2 2 2 2 5 2 8" xfId="9523" xr:uid="{59CCC0B3-1739-431C-A06D-2336F4324B08}"/>
    <cellStyle name="60% - Énfasis2 2 2 2 5 2 9" xfId="9524" xr:uid="{745643B1-BB6F-4FFE-B6AB-FA9CB1DDE230}"/>
    <cellStyle name="60% - Énfasis2 2 2 2 5 3" xfId="9525" xr:uid="{158FE35D-2E66-414A-A33E-2B3053ED5F7B}"/>
    <cellStyle name="60% - Énfasis2 2 2 2 5 3 2" xfId="9526" xr:uid="{75F2BECB-F9BE-43FA-8623-64830332F4D0}"/>
    <cellStyle name="60% - Énfasis2 2 2 2 5 3 2 2" xfId="9527" xr:uid="{FA6CA167-76C5-4EC2-B4E7-067CD63D8C1A}"/>
    <cellStyle name="60% - Énfasis2 2 2 2 5 3 2 3" xfId="9528" xr:uid="{32D52F3C-F853-400F-B7E1-D7C0012D7673}"/>
    <cellStyle name="60% - Énfasis2 2 2 2 5 3 2 4" xfId="9529" xr:uid="{5A59D4DC-6256-470F-9FE9-065339A43553}"/>
    <cellStyle name="60% - Énfasis2 2 2 2 5 3 2 5" xfId="9530" xr:uid="{4B167B6F-E264-415A-A514-C8781E95CBF0}"/>
    <cellStyle name="60% - Énfasis2 2 2 2 5 3 3" xfId="9531" xr:uid="{22F1AA38-8448-45A4-B035-D790F0DCB3E6}"/>
    <cellStyle name="60% - Énfasis2 2 2 2 5 3 4" xfId="9532" xr:uid="{99C7D32B-5764-4386-9C30-954A98586FA7}"/>
    <cellStyle name="60% - Énfasis2 2 2 2 5 3 5" xfId="9533" xr:uid="{AF8127D4-37F5-4C4E-AB1B-1C527FEE3931}"/>
    <cellStyle name="60% - Énfasis2 2 2 2 5 4" xfId="9534" xr:uid="{6AA02016-8E7C-448B-8908-972DA64D098C}"/>
    <cellStyle name="60% - Énfasis2 2 2 2 5 5" xfId="9535" xr:uid="{B2965FC4-2E99-4C5F-A151-942A20CF1CC4}"/>
    <cellStyle name="60% - Énfasis2 2 2 2 5 6" xfId="9536" xr:uid="{3A659C94-5E2A-41C7-8870-2CDFF60CE339}"/>
    <cellStyle name="60% - Énfasis2 2 2 2 5 7" xfId="9537" xr:uid="{A78F0BFA-CA55-4616-9948-7A7108E99B00}"/>
    <cellStyle name="60% - Énfasis2 2 2 2 5 8" xfId="9538" xr:uid="{42CF9D3B-EE03-4787-92BC-A4E66F8152D7}"/>
    <cellStyle name="60% - Énfasis2 2 2 2 5 9" xfId="9539" xr:uid="{0DBB615F-6ECF-4E8A-91EB-B5B8BEB56F3C}"/>
    <cellStyle name="60% - Énfasis2 2 2 2 6" xfId="9540" xr:uid="{7998BC17-0183-4302-9530-AA68D77750CE}"/>
    <cellStyle name="60% - Énfasis2 2 2 2 7" xfId="9541" xr:uid="{02EDB7B6-9241-470C-B3BC-0AABA103FBBE}"/>
    <cellStyle name="60% - Énfasis2 2 2 2 8" xfId="9542" xr:uid="{976C01B0-B2E1-4CAA-B674-48E69380A35F}"/>
    <cellStyle name="60% - Énfasis2 2 2 3" xfId="9543" xr:uid="{FA848A33-E2CB-4B8F-A3C5-29729B091B0F}"/>
    <cellStyle name="60% - Énfasis2 2 2 4" xfId="9544" xr:uid="{634651E5-6601-4CA0-AE65-43F8301D17ED}"/>
    <cellStyle name="60% - Énfasis2 2 2 5" xfId="9545" xr:uid="{37DF02AA-41F8-4AED-BB15-F6A3D966F628}"/>
    <cellStyle name="60% - Énfasis2 2 2 6" xfId="9546" xr:uid="{BCC7D3C5-1146-4C90-B857-09109969F602}"/>
    <cellStyle name="60% - Énfasis2 2 2 7" xfId="9547" xr:uid="{2E83DC4D-322C-49B6-A676-B277C3F4B8F0}"/>
    <cellStyle name="60% - Énfasis2 2 2 8" xfId="9548" xr:uid="{17C59B0D-F3E3-4417-8D00-5F8675034DFD}"/>
    <cellStyle name="60% - Énfasis2 2 2 8 2" xfId="9549" xr:uid="{AEF8ABB4-D1AE-44CE-8AC9-2FFEBDFD9866}"/>
    <cellStyle name="60% - Énfasis2 2 2 9" xfId="9550" xr:uid="{63407568-B895-4487-A9D4-056D442C8046}"/>
    <cellStyle name="60% - Énfasis2 2 3" xfId="9551" xr:uid="{0DB51752-2C2A-4F10-A180-768F8588B242}"/>
    <cellStyle name="60% - Énfasis2 2 4" xfId="9552" xr:uid="{E6CDB8C1-5235-46C1-BEE6-7A8443708D37}"/>
    <cellStyle name="60% - Énfasis2 2 4 10" xfId="9553" xr:uid="{122C201E-F776-4C7A-8A27-F72BAB68C785}"/>
    <cellStyle name="60% - Énfasis2 2 4 11" xfId="9554" xr:uid="{4DFEED04-56BA-4DC6-90D1-D25573A1793E}"/>
    <cellStyle name="60% - Énfasis2 2 4 12" xfId="9555" xr:uid="{B3C41AD4-2544-4C0F-8220-868DC968D54B}"/>
    <cellStyle name="60% - Énfasis2 2 4 2" xfId="9556" xr:uid="{D22222C6-1DEA-4A70-A427-98D2D4D71355}"/>
    <cellStyle name="60% - Énfasis2 2 4 2 10" xfId="9557" xr:uid="{E3A12CFA-49FB-40F9-B5E1-4A7916293708}"/>
    <cellStyle name="60% - Énfasis2 2 4 2 11" xfId="9558" xr:uid="{EB580473-D12C-4013-91C2-15EADB93B428}"/>
    <cellStyle name="60% - Énfasis2 2 4 2 12" xfId="9559" xr:uid="{702D00D3-DE35-4A69-9ADD-031E6121E0A7}"/>
    <cellStyle name="60% - Énfasis2 2 4 2 2" xfId="9560" xr:uid="{7C8047B4-8425-4F3B-9A23-D54BDE5E6378}"/>
    <cellStyle name="60% - Énfasis2 2 4 2 2 10" xfId="9561" xr:uid="{08E09A2B-40F2-45E5-A18C-979733F0E221}"/>
    <cellStyle name="60% - Énfasis2 2 4 2 2 11" xfId="9562" xr:uid="{FC89E4A0-0B0D-4386-97F7-BC9FAC14942A}"/>
    <cellStyle name="60% - Énfasis2 2 4 2 2 2" xfId="9563" xr:uid="{FEE0FD55-637B-489D-ABE7-738BFB9B5588}"/>
    <cellStyle name="60% - Énfasis2 2 4 2 2 2 10" xfId="9564" xr:uid="{7CEDE9D5-B4E5-49FA-80F7-945424278844}"/>
    <cellStyle name="60% - Énfasis2 2 4 2 2 2 11" xfId="9565" xr:uid="{5DA02663-A562-4788-972A-254A0CA0FF3C}"/>
    <cellStyle name="60% - Énfasis2 2 4 2 2 2 2" xfId="9566" xr:uid="{4C869BA8-74A9-4D79-A740-60C60A1B646E}"/>
    <cellStyle name="60% - Énfasis2 2 4 2 2 2 2 2" xfId="9567" xr:uid="{86D19940-49DC-4DFD-A9E7-C4DC2645A688}"/>
    <cellStyle name="60% - Énfasis2 2 4 2 2 2 2 2 2" xfId="9568" xr:uid="{6AC596E5-27BC-43DB-964B-EAF8A46E703C}"/>
    <cellStyle name="60% - Énfasis2 2 4 2 2 2 2 2 3" xfId="9569" xr:uid="{897D0BF0-F587-4EE6-B14A-AA696FC4A7E1}"/>
    <cellStyle name="60% - Énfasis2 2 4 2 2 2 2 2 4" xfId="9570" xr:uid="{E442B457-CB78-4D10-9BF5-3B4588A57E82}"/>
    <cellStyle name="60% - Énfasis2 2 4 2 2 2 2 2 5" xfId="9571" xr:uid="{DC4041C7-A7A8-4DB9-A979-85346938ACCB}"/>
    <cellStyle name="60% - Énfasis2 2 4 2 2 2 2 3" xfId="9572" xr:uid="{AD08567D-27E2-4BE1-AB2B-1B1E706FFF98}"/>
    <cellStyle name="60% - Énfasis2 2 4 2 2 2 2 4" xfId="9573" xr:uid="{67798979-7C10-4618-9D75-71A5E5845F05}"/>
    <cellStyle name="60% - Énfasis2 2 4 2 2 2 2 5" xfId="9574" xr:uid="{D697A76D-D5AE-47F6-A0FD-956A387CAB80}"/>
    <cellStyle name="60% - Énfasis2 2 4 2 2 2 3" xfId="9575" xr:uid="{F9C8649E-4E8C-47CE-B568-5254CC39C807}"/>
    <cellStyle name="60% - Énfasis2 2 4 2 2 2 4" xfId="9576" xr:uid="{28D4A05C-D4A9-4242-915D-5B4830CA673E}"/>
    <cellStyle name="60% - Énfasis2 2 4 2 2 2 5" xfId="9577" xr:uid="{D5E2884B-75A9-4F61-8747-983F8DCC1D2A}"/>
    <cellStyle name="60% - Énfasis2 2 4 2 2 2 6" xfId="9578" xr:uid="{D58EA40A-0454-41D1-9DCD-6F0D3635B5ED}"/>
    <cellStyle name="60% - Énfasis2 2 4 2 2 2 7" xfId="9579" xr:uid="{7E5274FB-3E79-4D7E-8B7E-CCCA2C70E539}"/>
    <cellStyle name="60% - Énfasis2 2 4 2 2 2 8" xfId="9580" xr:uid="{4DD8835D-F751-48CA-8A79-D72352C51F78}"/>
    <cellStyle name="60% - Énfasis2 2 4 2 2 2 9" xfId="9581" xr:uid="{C625CFF4-C569-44C8-832F-0BA6AAC473DB}"/>
    <cellStyle name="60% - Énfasis2 2 4 2 2 3" xfId="9582" xr:uid="{08E67BA7-591F-43C6-BEFC-1C4D67D67E8B}"/>
    <cellStyle name="60% - Énfasis2 2 4 2 2 3 2" xfId="9583" xr:uid="{3EE2F0E9-0D61-4D26-BBBB-8179259835E6}"/>
    <cellStyle name="60% - Énfasis2 2 4 2 2 3 2 2" xfId="9584" xr:uid="{5601C930-2ADD-4193-B9AF-C836A56A99D3}"/>
    <cellStyle name="60% - Énfasis2 2 4 2 2 3 2 3" xfId="9585" xr:uid="{34E41F3E-8150-414C-8FBC-1895D65F4ECA}"/>
    <cellStyle name="60% - Énfasis2 2 4 2 2 3 2 4" xfId="9586" xr:uid="{C47850A0-AA13-4B98-A762-E7368EA18797}"/>
    <cellStyle name="60% - Énfasis2 2 4 2 2 3 2 5" xfId="9587" xr:uid="{ABF8D2AA-6247-4F0A-B320-7C3CF9A6E4E3}"/>
    <cellStyle name="60% - Énfasis2 2 4 2 2 3 3" xfId="9588" xr:uid="{55D501C6-5412-46D2-9EAB-54C24CDCF315}"/>
    <cellStyle name="60% - Énfasis2 2 4 2 2 3 4" xfId="9589" xr:uid="{D233ACFA-11F4-470A-AB72-0427CC2C32FD}"/>
    <cellStyle name="60% - Énfasis2 2 4 2 2 3 5" xfId="9590" xr:uid="{F5E18D41-5338-42EF-8233-CD7F5E21F8EE}"/>
    <cellStyle name="60% - Énfasis2 2 4 2 2 4" xfId="9591" xr:uid="{C073AE28-5F1B-4066-A1F9-637628333B5B}"/>
    <cellStyle name="60% - Énfasis2 2 4 2 2 5" xfId="9592" xr:uid="{D5F476C9-A73C-4842-9ADA-537E15113CB9}"/>
    <cellStyle name="60% - Énfasis2 2 4 2 2 6" xfId="9593" xr:uid="{8305BC81-4A65-4663-AB00-E8FD2B31C978}"/>
    <cellStyle name="60% - Énfasis2 2 4 2 2 7" xfId="9594" xr:uid="{F54A7480-4F3F-4D57-AA49-593D66518A13}"/>
    <cellStyle name="60% - Énfasis2 2 4 2 2 8" xfId="9595" xr:uid="{3894B733-3BDD-4C74-959C-58715EC4633C}"/>
    <cellStyle name="60% - Énfasis2 2 4 2 2 9" xfId="9596" xr:uid="{098C5BAE-BC93-43D8-AD74-CA006F0DCB18}"/>
    <cellStyle name="60% - Énfasis2 2 4 2 3" xfId="9597" xr:uid="{3BC3EB46-885A-4381-9CFB-EEF7F80F306D}"/>
    <cellStyle name="60% - Énfasis2 2 4 2 3 2" xfId="9598" xr:uid="{ACE87C67-9194-456A-843C-3FD310DF76E5}"/>
    <cellStyle name="60% - Énfasis2 2 4 2 3 2 2" xfId="9599" xr:uid="{27A1C858-40BB-4C9D-9748-1DCD325D6DC2}"/>
    <cellStyle name="60% - Énfasis2 2 4 2 3 2 3" xfId="9600" xr:uid="{76306427-105E-4065-9B5F-EB553F6236BE}"/>
    <cellStyle name="60% - Énfasis2 2 4 2 3 2 4" xfId="9601" xr:uid="{45F8DB84-8230-4496-AE40-7C945D439068}"/>
    <cellStyle name="60% - Énfasis2 2 4 2 3 2 5" xfId="9602" xr:uid="{783130DF-BEBF-4916-B885-A34242247AB5}"/>
    <cellStyle name="60% - Énfasis2 2 4 2 3 3" xfId="9603" xr:uid="{6B15E402-A63F-43C7-87B5-73984ABD9BF6}"/>
    <cellStyle name="60% - Énfasis2 2 4 2 3 4" xfId="9604" xr:uid="{72F87DED-DF4F-4AD8-A96C-2E2AD69B154E}"/>
    <cellStyle name="60% - Énfasis2 2 4 2 3 5" xfId="9605" xr:uid="{12EBA4A9-96B5-425E-86DF-6AD8C2CAA8DD}"/>
    <cellStyle name="60% - Énfasis2 2 4 2 4" xfId="9606" xr:uid="{41D1FAC2-2EE8-400F-9AD7-9599AFB8FD91}"/>
    <cellStyle name="60% - Énfasis2 2 4 2 5" xfId="9607" xr:uid="{2BA4ACB3-CEF3-4CE2-8715-DCAB44DC8502}"/>
    <cellStyle name="60% - Énfasis2 2 4 2 6" xfId="9608" xr:uid="{D0A389F9-C74F-4D8B-BC4F-9D0B754204DE}"/>
    <cellStyle name="60% - Énfasis2 2 4 2 7" xfId="9609" xr:uid="{97643F74-A86F-4D3C-9488-BFF8E23CF2D6}"/>
    <cellStyle name="60% - Énfasis2 2 4 2 8" xfId="9610" xr:uid="{F631132A-9BBE-4E36-84A4-18C87F0ACC1F}"/>
    <cellStyle name="60% - Énfasis2 2 4 2 9" xfId="9611" xr:uid="{3FAC25EB-E38D-493E-BC93-BBB4F7C35B35}"/>
    <cellStyle name="60% - Énfasis2 2 4 3" xfId="9612" xr:uid="{E3BCF1E7-A004-4F4D-B2C0-4FC15896DA84}"/>
    <cellStyle name="60% - Énfasis2 2 4 3 10" xfId="9613" xr:uid="{39194528-45F0-4334-893C-3D11577107AC}"/>
    <cellStyle name="60% - Énfasis2 2 4 3 11" xfId="9614" xr:uid="{7564C92F-9217-4128-9048-556B01EC0133}"/>
    <cellStyle name="60% - Énfasis2 2 4 3 2" xfId="9615" xr:uid="{B0B5C65E-DCCA-4CE0-8D23-7DDA94618033}"/>
    <cellStyle name="60% - Énfasis2 2 4 3 2 2" xfId="9616" xr:uid="{18053659-D741-486A-80A2-74F251CB6E14}"/>
    <cellStyle name="60% - Énfasis2 2 4 3 2 2 2" xfId="9617" xr:uid="{8F264D47-E14A-4C3C-90F1-8B98604EB541}"/>
    <cellStyle name="60% - Énfasis2 2 4 3 2 2 3" xfId="9618" xr:uid="{59FDF9CE-823E-4064-A2FF-F72FB7865721}"/>
    <cellStyle name="60% - Énfasis2 2 4 3 2 2 4" xfId="9619" xr:uid="{EA6329A5-79F3-4375-9E7D-E889DF33E85A}"/>
    <cellStyle name="60% - Énfasis2 2 4 3 2 2 5" xfId="9620" xr:uid="{3D06F5A4-8B7F-4960-995F-71C7F679F9D1}"/>
    <cellStyle name="60% - Énfasis2 2 4 3 2 3" xfId="9621" xr:uid="{D5B1815E-AE17-44DA-89E3-9FB0C1A099D4}"/>
    <cellStyle name="60% - Énfasis2 2 4 3 2 4" xfId="9622" xr:uid="{CE3CDDA1-5A8D-4440-B5F7-1BBD1A1DEAFA}"/>
    <cellStyle name="60% - Énfasis2 2 4 3 2 5" xfId="9623" xr:uid="{9605122C-996F-4CDD-81AB-D7A332322C6B}"/>
    <cellStyle name="60% - Énfasis2 2 4 3 3" xfId="9624" xr:uid="{58954FB7-0BB9-4783-970D-0B1E1930E36B}"/>
    <cellStyle name="60% - Énfasis2 2 4 3 4" xfId="9625" xr:uid="{A5858B34-2FDE-4FB1-9530-E72013F02C2B}"/>
    <cellStyle name="60% - Énfasis2 2 4 3 5" xfId="9626" xr:uid="{DD0CDC9D-5E7C-4F76-B09B-F8BA08303672}"/>
    <cellStyle name="60% - Énfasis2 2 4 3 6" xfId="9627" xr:uid="{DC9E008D-B6C0-4EFB-969C-76615DE4CD69}"/>
    <cellStyle name="60% - Énfasis2 2 4 3 7" xfId="9628" xr:uid="{CF272B6A-D0F5-42D6-94E4-CD67B4EA1430}"/>
    <cellStyle name="60% - Énfasis2 2 4 3 8" xfId="9629" xr:uid="{4FBF006B-01C8-4375-BE55-75A770B19849}"/>
    <cellStyle name="60% - Énfasis2 2 4 3 9" xfId="9630" xr:uid="{1FB18FE9-DEC2-4B31-8C9F-F369F046BB4A}"/>
    <cellStyle name="60% - Énfasis2 2 4 4" xfId="9631" xr:uid="{D16DF5C1-8A43-4AA4-82ED-643B7E7CDFAB}"/>
    <cellStyle name="60% - Énfasis2 2 4 4 2" xfId="9632" xr:uid="{3260CE12-3897-4B47-9B8C-6DF767E67B1A}"/>
    <cellStyle name="60% - Énfasis2 2 4 4 2 2" xfId="9633" xr:uid="{C2B6156D-EB5F-48EF-A364-AC478D2A4DFA}"/>
    <cellStyle name="60% - Énfasis2 2 4 4 2 3" xfId="9634" xr:uid="{73DA8F3D-D786-4069-9373-F97372A97C9E}"/>
    <cellStyle name="60% - Énfasis2 2 4 4 2 4" xfId="9635" xr:uid="{230673EB-813D-40D2-A792-46825EE8216F}"/>
    <cellStyle name="60% - Énfasis2 2 4 4 2 5" xfId="9636" xr:uid="{66FB5C7A-0146-4035-A83E-B46FDC9361DB}"/>
    <cellStyle name="60% - Énfasis2 2 4 4 3" xfId="9637" xr:uid="{7DA09EC5-6345-426E-889E-8D183860AF2B}"/>
    <cellStyle name="60% - Énfasis2 2 4 4 4" xfId="9638" xr:uid="{07AC9833-66B8-4E2F-A206-F64D8DA4726A}"/>
    <cellStyle name="60% - Énfasis2 2 4 4 5" xfId="9639" xr:uid="{8E434B8B-D898-4475-9890-4EF6399A8482}"/>
    <cellStyle name="60% - Énfasis2 2 4 5" xfId="9640" xr:uid="{5580EFD0-DB39-4D3E-B0A3-7E0EAD078F8D}"/>
    <cellStyle name="60% - Énfasis2 2 4 6" xfId="9641" xr:uid="{CD39406D-34E7-4CC9-BF03-F3A4214F27A6}"/>
    <cellStyle name="60% - Énfasis2 2 4 7" xfId="9642" xr:uid="{C3764F39-E763-4BAA-AADA-73AE90B0D3C2}"/>
    <cellStyle name="60% - Énfasis2 2 4 8" xfId="9643" xr:uid="{73B66A02-9C5A-4763-B060-48CB9414894D}"/>
    <cellStyle name="60% - Énfasis2 2 4 9" xfId="9644" xr:uid="{5E0E8220-87AE-4EDE-8AD1-1D1C1265B95E}"/>
    <cellStyle name="60% - Énfasis2 2 5" xfId="9645" xr:uid="{D20985F4-FB96-472C-8D33-E4693397784C}"/>
    <cellStyle name="60% - Énfasis2 2 6" xfId="9646" xr:uid="{B11F4EEC-B3EA-44AE-AF95-EFCBB454A019}"/>
    <cellStyle name="60% - Énfasis2 2 7" xfId="9647" xr:uid="{BA8C48C7-8C35-4F1E-9882-7795057C9892}"/>
    <cellStyle name="60% - Énfasis2 2 8" xfId="9648" xr:uid="{5C4ACC90-1234-4477-90BA-A510E869AB51}"/>
    <cellStyle name="60% - Énfasis2 2 8 2" xfId="9649" xr:uid="{19472307-2D47-439F-B2A3-336BCDF5D74A}"/>
    <cellStyle name="60% - Énfasis2 2 9" xfId="9650" xr:uid="{A647A446-F03F-4458-892A-8C080C9451D7}"/>
    <cellStyle name="60% - Énfasis2 3" xfId="9651" xr:uid="{9DA60602-0BCB-49DF-9E5D-D83067F4253A}"/>
    <cellStyle name="60% - Énfasis2 3 2" xfId="9652" xr:uid="{07E33C9F-7F73-4EB5-BFDB-3239D71A5542}"/>
    <cellStyle name="60% - Énfasis2 3 3" xfId="9653" xr:uid="{99C9FAD2-5F79-48DD-A200-22A031025769}"/>
    <cellStyle name="60% - Énfasis2 4" xfId="9654" xr:uid="{23B9F6F4-EC28-48D0-AE6D-5622B72C8482}"/>
    <cellStyle name="60% - Énfasis2 5" xfId="43481" xr:uid="{69B4E286-8147-4FF1-9497-077B52AC08DF}"/>
    <cellStyle name="60% - Énfasis3 2" xfId="9655" xr:uid="{6D5D65BB-0329-4D71-8580-03547FD0EACF}"/>
    <cellStyle name="60% - Énfasis3 2 10" xfId="9656" xr:uid="{3576CAC9-AB04-47ED-B5F8-3C833324E1B1}"/>
    <cellStyle name="60% - Énfasis3 2 10 10" xfId="9657" xr:uid="{FD27E935-1C80-4CAA-A335-465927124303}"/>
    <cellStyle name="60% - Énfasis3 2 10 11" xfId="9658" xr:uid="{62797828-781D-4073-9D89-2EEA319CC6A9}"/>
    <cellStyle name="60% - Énfasis3 2 10 2" xfId="9659" xr:uid="{0EB88813-7CC7-41A7-8590-BDD7290A8A37}"/>
    <cellStyle name="60% - Énfasis3 2 10 2 10" xfId="9660" xr:uid="{67E47C98-B3D2-49CD-B7F3-BD298F7CFD60}"/>
    <cellStyle name="60% - Énfasis3 2 10 2 11" xfId="9661" xr:uid="{230D3D3D-67BE-4F27-ACF2-663F081BF3BC}"/>
    <cellStyle name="60% - Énfasis3 2 10 2 2" xfId="9662" xr:uid="{B85D85A6-31CA-48C6-A754-682B9562B5D9}"/>
    <cellStyle name="60% - Énfasis3 2 10 2 2 2" xfId="9663" xr:uid="{0FB22F6A-5086-4C47-96AE-DFCC200042A3}"/>
    <cellStyle name="60% - Énfasis3 2 10 2 2 2 2" xfId="9664" xr:uid="{6FC50970-143E-4B00-9E28-6F46EB3B9A3F}"/>
    <cellStyle name="60% - Énfasis3 2 10 2 2 2 3" xfId="9665" xr:uid="{6445D98E-9142-4921-87ED-D2FA393FBB71}"/>
    <cellStyle name="60% - Énfasis3 2 10 2 2 2 4" xfId="9666" xr:uid="{B9034109-4296-40DB-A7A9-3495BF5CABC4}"/>
    <cellStyle name="60% - Énfasis3 2 10 2 2 2 5" xfId="9667" xr:uid="{8FE245D5-2F1E-4A5C-BDD9-277627A9AD35}"/>
    <cellStyle name="60% - Énfasis3 2 10 2 2 3" xfId="9668" xr:uid="{62F3E79E-3B6A-4528-B770-BAB34601326F}"/>
    <cellStyle name="60% - Énfasis3 2 10 2 2 4" xfId="9669" xr:uid="{9C5A9BA0-7635-4452-AF62-5B619ECD2C6B}"/>
    <cellStyle name="60% - Énfasis3 2 10 2 2 5" xfId="9670" xr:uid="{1ACDA650-0F9B-45B7-BA99-8E909A444781}"/>
    <cellStyle name="60% - Énfasis3 2 10 2 3" xfId="9671" xr:uid="{828A5F65-05DD-4C7E-B1BD-689AF7923A81}"/>
    <cellStyle name="60% - Énfasis3 2 10 2 4" xfId="9672" xr:uid="{A8C5F8CB-1C77-4305-9FD6-D77973277544}"/>
    <cellStyle name="60% - Énfasis3 2 10 2 5" xfId="9673" xr:uid="{84EE907E-41CF-4BDB-B32B-8C08644D37CC}"/>
    <cellStyle name="60% - Énfasis3 2 10 2 6" xfId="9674" xr:uid="{B65EE951-F35E-4CAB-9922-63343A87DB14}"/>
    <cellStyle name="60% - Énfasis3 2 10 2 7" xfId="9675" xr:uid="{540E8B92-2B15-4CD5-B535-65CA7AAC0AC1}"/>
    <cellStyle name="60% - Énfasis3 2 10 2 8" xfId="9676" xr:uid="{8DBF71CC-52F9-4A0A-98AE-2AA48C0C4150}"/>
    <cellStyle name="60% - Énfasis3 2 10 2 9" xfId="9677" xr:uid="{4C2D5D21-FDFC-4A35-AE53-A2176CC41FF5}"/>
    <cellStyle name="60% - Énfasis3 2 10 3" xfId="9678" xr:uid="{BD5100F5-B141-4620-9F91-038F729100A2}"/>
    <cellStyle name="60% - Énfasis3 2 10 3 2" xfId="9679" xr:uid="{0EBAC077-8AF4-4E04-886F-67962E3054E9}"/>
    <cellStyle name="60% - Énfasis3 2 10 3 2 2" xfId="9680" xr:uid="{7F04D5CA-2342-41C8-B437-ADFF2B7CDB97}"/>
    <cellStyle name="60% - Énfasis3 2 10 3 2 3" xfId="9681" xr:uid="{D296790F-ED77-4DAC-A519-66CD2558CD05}"/>
    <cellStyle name="60% - Énfasis3 2 10 3 2 4" xfId="9682" xr:uid="{9E6108A0-46B5-48E9-AB75-D55EACFD6740}"/>
    <cellStyle name="60% - Énfasis3 2 10 3 2 5" xfId="9683" xr:uid="{FD206E60-551F-4614-A6A5-87433EC8A3D5}"/>
    <cellStyle name="60% - Énfasis3 2 10 3 3" xfId="9684" xr:uid="{51C80535-9FE8-417A-B7F6-18E3A61E3FA9}"/>
    <cellStyle name="60% - Énfasis3 2 10 3 4" xfId="9685" xr:uid="{DB9B892B-4A42-40C1-B244-EA40F85EFDA9}"/>
    <cellStyle name="60% - Énfasis3 2 10 3 5" xfId="9686" xr:uid="{BF2752BB-6720-4C49-9EE0-EFDE4169871E}"/>
    <cellStyle name="60% - Énfasis3 2 10 4" xfId="9687" xr:uid="{17B6FB4A-5C3E-47C4-A8F4-F6C2C6C47F18}"/>
    <cellStyle name="60% - Énfasis3 2 10 5" xfId="9688" xr:uid="{DA4EAA13-295E-465D-8390-A437CAE13C92}"/>
    <cellStyle name="60% - Énfasis3 2 10 6" xfId="9689" xr:uid="{4DC206F2-D4BD-410E-8E3D-ABAE3C062D5D}"/>
    <cellStyle name="60% - Énfasis3 2 10 7" xfId="9690" xr:uid="{F544D03F-60D9-4F99-844E-F54ED08D0074}"/>
    <cellStyle name="60% - Énfasis3 2 10 8" xfId="9691" xr:uid="{3BE0C55F-2732-4996-B597-363CA7F7107B}"/>
    <cellStyle name="60% - Énfasis3 2 10 9" xfId="9692" xr:uid="{9EB482A4-0A76-4C15-8641-514AA0FA4ADE}"/>
    <cellStyle name="60% - Énfasis3 2 11" xfId="9693" xr:uid="{CA76EB39-2C20-42F9-802E-635FD49238CE}"/>
    <cellStyle name="60% - Énfasis3 2 12" xfId="9694" xr:uid="{EBC5CB90-B0A3-440A-81E0-249B507D9343}"/>
    <cellStyle name="60% - Énfasis3 2 13" xfId="9695" xr:uid="{BB4537F4-AC61-4498-A536-BA5066442314}"/>
    <cellStyle name="60% - Énfasis3 2 14" xfId="43489" xr:uid="{3C6EB962-F8C7-4E91-96FF-F73F5C1D34B3}"/>
    <cellStyle name="60% - Énfasis3 2 2" xfId="9696" xr:uid="{B90FFEE6-BA91-456A-B884-FEF2DFC03CD9}"/>
    <cellStyle name="60% - Énfasis3 2 2 10" xfId="9697" xr:uid="{42246FD4-9289-4E7C-96EB-DFDF8FD9AFCA}"/>
    <cellStyle name="60% - Énfasis3 2 2 10 10" xfId="9698" xr:uid="{3757F1A5-43FF-465F-AB51-AF28B2AB1DB0}"/>
    <cellStyle name="60% - Énfasis3 2 2 10 11" xfId="9699" xr:uid="{B0429254-2DBB-4CA3-8DE5-641817CC984D}"/>
    <cellStyle name="60% - Énfasis3 2 2 10 2" xfId="9700" xr:uid="{5EBEE8A7-73E4-40AC-BC54-716A4A30BF54}"/>
    <cellStyle name="60% - Énfasis3 2 2 10 2 10" xfId="9701" xr:uid="{47AD7FB1-9899-4EBD-85D8-565FEDA89700}"/>
    <cellStyle name="60% - Énfasis3 2 2 10 2 11" xfId="9702" xr:uid="{DD7D8715-F8DA-4FDA-8714-BD1BDE5008AE}"/>
    <cellStyle name="60% - Énfasis3 2 2 10 2 2" xfId="9703" xr:uid="{59AACD2D-28FD-416D-BFDD-4A0A9FE092E7}"/>
    <cellStyle name="60% - Énfasis3 2 2 10 2 2 2" xfId="9704" xr:uid="{909153E1-5DC8-4976-B98A-7A83906407A0}"/>
    <cellStyle name="60% - Énfasis3 2 2 10 2 2 2 2" xfId="9705" xr:uid="{3528108A-C0FE-45A4-9084-4A0B0D5C7716}"/>
    <cellStyle name="60% - Énfasis3 2 2 10 2 2 2 3" xfId="9706" xr:uid="{ECDE46C5-6665-4700-8D5E-96281444415C}"/>
    <cellStyle name="60% - Énfasis3 2 2 10 2 2 2 4" xfId="9707" xr:uid="{C151D841-AEEF-42BC-8FC3-8EE931AFA454}"/>
    <cellStyle name="60% - Énfasis3 2 2 10 2 2 2 5" xfId="9708" xr:uid="{F1C6CAA0-F604-4336-9B73-EE8FFD53F64A}"/>
    <cellStyle name="60% - Énfasis3 2 2 10 2 2 3" xfId="9709" xr:uid="{2F8AB215-F1D6-44B4-885E-8B5B2F11BCC4}"/>
    <cellStyle name="60% - Énfasis3 2 2 10 2 2 4" xfId="9710" xr:uid="{A935E10F-F879-4863-972D-0371C201993C}"/>
    <cellStyle name="60% - Énfasis3 2 2 10 2 2 5" xfId="9711" xr:uid="{5B9F0B88-0463-4482-9028-C31F843D6008}"/>
    <cellStyle name="60% - Énfasis3 2 2 10 2 3" xfId="9712" xr:uid="{5ABF9F1B-A7DD-42B5-A723-BEBEFAD3C75D}"/>
    <cellStyle name="60% - Énfasis3 2 2 10 2 4" xfId="9713" xr:uid="{0840F927-3088-47D9-8AF8-D061656DE7BC}"/>
    <cellStyle name="60% - Énfasis3 2 2 10 2 5" xfId="9714" xr:uid="{E4814DA7-E755-411F-AFFF-64A1DC5CE622}"/>
    <cellStyle name="60% - Énfasis3 2 2 10 2 6" xfId="9715" xr:uid="{F168ACB1-29C4-4B41-9295-EDFB0758C56D}"/>
    <cellStyle name="60% - Énfasis3 2 2 10 2 7" xfId="9716" xr:uid="{44C7212D-109F-4B7D-9083-E3B673E80249}"/>
    <cellStyle name="60% - Énfasis3 2 2 10 2 8" xfId="9717" xr:uid="{1EE0E8B2-ABD2-4A87-83BE-FD665BE4724D}"/>
    <cellStyle name="60% - Énfasis3 2 2 10 2 9" xfId="9718" xr:uid="{0FC72AE1-99DF-4806-BC82-314D29BF1E89}"/>
    <cellStyle name="60% - Énfasis3 2 2 10 3" xfId="9719" xr:uid="{4A048DB8-25A0-43EE-9439-849DA125C908}"/>
    <cellStyle name="60% - Énfasis3 2 2 10 3 2" xfId="9720" xr:uid="{61BF5DEB-6653-47C6-BCA5-CA3B8E9C12B9}"/>
    <cellStyle name="60% - Énfasis3 2 2 10 3 2 2" xfId="9721" xr:uid="{4EFE5D8F-5B74-4503-951E-367E7196831B}"/>
    <cellStyle name="60% - Énfasis3 2 2 10 3 2 3" xfId="9722" xr:uid="{D956BF50-B4C8-47E4-8CE1-BEB2BD9F9369}"/>
    <cellStyle name="60% - Énfasis3 2 2 10 3 2 4" xfId="9723" xr:uid="{46521DC6-1591-44D9-9A7F-1A848EA98E7E}"/>
    <cellStyle name="60% - Énfasis3 2 2 10 3 2 5" xfId="9724" xr:uid="{C5204E5C-AC11-4EC6-8E12-2145BB676E57}"/>
    <cellStyle name="60% - Énfasis3 2 2 10 3 3" xfId="9725" xr:uid="{1C5E6EBB-84DE-472D-BCEB-741F7E9714D6}"/>
    <cellStyle name="60% - Énfasis3 2 2 10 3 4" xfId="9726" xr:uid="{ECF35589-2517-44AC-AA2B-204B053C846C}"/>
    <cellStyle name="60% - Énfasis3 2 2 10 3 5" xfId="9727" xr:uid="{E9FEA556-92BA-498D-8A09-7E439807BAAF}"/>
    <cellStyle name="60% - Énfasis3 2 2 10 4" xfId="9728" xr:uid="{A2507DCF-2785-43DD-9B59-F38DB04AB720}"/>
    <cellStyle name="60% - Énfasis3 2 2 10 5" xfId="9729" xr:uid="{97511963-1E50-4293-B115-F8032F1527C8}"/>
    <cellStyle name="60% - Énfasis3 2 2 10 6" xfId="9730" xr:uid="{EF836368-5570-4A8D-9FF1-8E0157B84BEA}"/>
    <cellStyle name="60% - Énfasis3 2 2 10 7" xfId="9731" xr:uid="{C7B3E5EA-1A70-4109-B001-AB8F4B27C5E0}"/>
    <cellStyle name="60% - Énfasis3 2 2 10 8" xfId="9732" xr:uid="{D1927374-13C2-4C12-A80C-9249FE3F74A1}"/>
    <cellStyle name="60% - Énfasis3 2 2 10 9" xfId="9733" xr:uid="{7C75A1B2-64AA-4F72-BC96-F764A19AC5BC}"/>
    <cellStyle name="60% - Énfasis3 2 2 11" xfId="9734" xr:uid="{162C9FE7-72CE-4BF2-B584-5220147CE2F7}"/>
    <cellStyle name="60% - Énfasis3 2 2 12" xfId="9735" xr:uid="{1348D0BD-3842-43C4-9626-36FFDED4A2A5}"/>
    <cellStyle name="60% - Énfasis3 2 2 13" xfId="9736" xr:uid="{C5F18195-EBAA-40C3-946B-F58AA0224829}"/>
    <cellStyle name="60% - Énfasis3 2 2 2" xfId="9737" xr:uid="{C29A327A-FE2F-4041-A666-B9432E8E466D}"/>
    <cellStyle name="60% - Énfasis3 2 2 2 2" xfId="9738" xr:uid="{938FA894-79FF-4A97-B6AA-0AD45A7A459E}"/>
    <cellStyle name="60% - Énfasis3 2 2 2 2 2" xfId="9739" xr:uid="{2DC9F087-0FEC-4A93-B627-9C5375A531EA}"/>
    <cellStyle name="60% - Énfasis3 2 2 2 2 2 2" xfId="9740" xr:uid="{13D987C9-B452-4C4D-A67C-C02A664EF301}"/>
    <cellStyle name="60% - Énfasis3 2 2 2 2 2 2 2" xfId="9741" xr:uid="{11A1D5D1-7C38-4107-A46E-DEEF3A295823}"/>
    <cellStyle name="60% - Énfasis3 2 2 2 2 2 2 2 2" xfId="9742" xr:uid="{FA96D886-1B55-4C63-AAF9-E1A6C60135B1}"/>
    <cellStyle name="60% - Énfasis3 2 2 2 2 2 2 2 2 2" xfId="9743" xr:uid="{1AD3E1AA-0F9F-41F2-9F07-CB8F5F47B232}"/>
    <cellStyle name="60% - Énfasis3 2 2 2 2 2 2 2 2 2 2" xfId="9744" xr:uid="{6CCB3E1E-13C3-4C9C-BF2F-D77F179BDC9C}"/>
    <cellStyle name="60% - Énfasis3 2 2 2 2 2 2 2 2 2 2 2" xfId="9745" xr:uid="{496C4461-4B35-4422-9394-C249AADE1D06}"/>
    <cellStyle name="60% - Énfasis3 2 2 2 2 2 2 2 2 2 2 2 2" xfId="9746" xr:uid="{184C9D8C-2586-4851-95F6-2C39EBE07B21}"/>
    <cellStyle name="60% - Énfasis3 2 2 2 2 2 2 2 2 2 2 3" xfId="9747" xr:uid="{23AD827F-C45D-4078-BE65-6215B922B416}"/>
    <cellStyle name="60% - Énfasis3 2 2 2 2 2 2 2 2 2 2 4" xfId="9748" xr:uid="{B2A06C98-7140-4E32-B7B8-56D4EFF389F1}"/>
    <cellStyle name="60% - Énfasis3 2 2 2 2 2 2 2 2 2 3" xfId="9749" xr:uid="{48456284-97BD-49CD-A27E-6C845C236064}"/>
    <cellStyle name="60% - Énfasis3 2 2 2 2 2 2 2 2 2 4" xfId="9750" xr:uid="{4D4E9D59-A8EE-4233-99AE-21D9E5F8BBCE}"/>
    <cellStyle name="60% - Énfasis3 2 2 2 2 2 2 2 2 3" xfId="9751" xr:uid="{12BB2211-E96E-4378-A946-95F320E60288}"/>
    <cellStyle name="60% - Énfasis3 2 2 2 2 2 2 2 2 4" xfId="9752" xr:uid="{A9749DD5-3C61-4540-882F-4A29D5033C3E}"/>
    <cellStyle name="60% - Énfasis3 2 2 2 2 2 2 2 2 5" xfId="9753" xr:uid="{4A723E4D-AC91-49F3-BFF3-75C151152C75}"/>
    <cellStyle name="60% - Énfasis3 2 2 2 2 2 2 2 3" xfId="9754" xr:uid="{B55B1E7A-FD60-470C-BA0C-915B1DAAB951}"/>
    <cellStyle name="60% - Énfasis3 2 2 2 2 2 2 2 3 10" xfId="9755" xr:uid="{1EEB39A5-1D0E-4175-8978-39C507DDEBAB}"/>
    <cellStyle name="60% - Énfasis3 2 2 2 2 2 2 2 3 11" xfId="9756" xr:uid="{3D2F0DD6-A560-4159-9A3B-7F9EF06B34DE}"/>
    <cellStyle name="60% - Énfasis3 2 2 2 2 2 2 2 3 2" xfId="9757" xr:uid="{67F7CDCA-880D-4994-80B5-27E3216194AA}"/>
    <cellStyle name="60% - Énfasis3 2 2 2 2 2 2 2 3 2 2" xfId="9758" xr:uid="{B7DE5E97-3A54-4F7F-8D3E-EA22190B2F26}"/>
    <cellStyle name="60% - Énfasis3 2 2 2 2 2 2 2 3 2 2 2" xfId="9759" xr:uid="{CC65BF71-0FC8-4DDD-B843-552CAAA4B634}"/>
    <cellStyle name="60% - Énfasis3 2 2 2 2 2 2 2 3 2 2 3" xfId="9760" xr:uid="{CD60DBCD-884E-4CB2-81E5-EB82F27BBA1A}"/>
    <cellStyle name="60% - Énfasis3 2 2 2 2 2 2 2 3 2 2 4" xfId="9761" xr:uid="{C0748FDE-64DB-4621-AF43-D35ED158555C}"/>
    <cellStyle name="60% - Énfasis3 2 2 2 2 2 2 2 3 2 2 5" xfId="9762" xr:uid="{A6A3079A-2B7F-461F-86BB-BE3BD50080AC}"/>
    <cellStyle name="60% - Énfasis3 2 2 2 2 2 2 2 3 2 3" xfId="9763" xr:uid="{7E404482-E7AC-4D4F-BF24-D967F666D85A}"/>
    <cellStyle name="60% - Énfasis3 2 2 2 2 2 2 2 3 2 4" xfId="9764" xr:uid="{CBEC52D5-EFD8-47D2-BC19-13BB402C0B9A}"/>
    <cellStyle name="60% - Énfasis3 2 2 2 2 2 2 2 3 2 5" xfId="9765" xr:uid="{8257C30E-E253-4ED0-8D53-468AB741A046}"/>
    <cellStyle name="60% - Énfasis3 2 2 2 2 2 2 2 3 3" xfId="9766" xr:uid="{53BC13CD-8C5A-495E-A300-AE0E301386BC}"/>
    <cellStyle name="60% - Énfasis3 2 2 2 2 2 2 2 3 4" xfId="9767" xr:uid="{8015370D-01F0-40D1-B1F7-32C0C94B2C8F}"/>
    <cellStyle name="60% - Énfasis3 2 2 2 2 2 2 2 3 5" xfId="9768" xr:uid="{CF9C73DF-A86C-4712-BE2B-E9B228133453}"/>
    <cellStyle name="60% - Énfasis3 2 2 2 2 2 2 2 3 6" xfId="9769" xr:uid="{54DFFAA6-008C-4E18-9B1F-0097457B66FB}"/>
    <cellStyle name="60% - Énfasis3 2 2 2 2 2 2 2 3 7" xfId="9770" xr:uid="{7C655864-4A8F-4F1B-8723-B1441C2A01BB}"/>
    <cellStyle name="60% - Énfasis3 2 2 2 2 2 2 2 3 8" xfId="9771" xr:uid="{22FB9640-5A4F-4E85-875F-A755303CC14B}"/>
    <cellStyle name="60% - Énfasis3 2 2 2 2 2 2 2 3 9" xfId="9772" xr:uid="{4A8CA64E-4BDB-479C-B6F4-B4745604F3F9}"/>
    <cellStyle name="60% - Énfasis3 2 2 2 2 2 2 2 4" xfId="9773" xr:uid="{3FBD71FC-5539-4059-8E8B-643457AF5D79}"/>
    <cellStyle name="60% - Énfasis3 2 2 2 2 2 2 2 5" xfId="9774" xr:uid="{2A094414-C72B-4DB7-B23C-40B6DBB7D33A}"/>
    <cellStyle name="60% - Énfasis3 2 2 2 2 2 2 3" xfId="9775" xr:uid="{0C8B2C74-FECE-4F6B-AD75-CE5FA4CED89A}"/>
    <cellStyle name="60% - Énfasis3 2 2 2 2 2 2 3 10" xfId="9776" xr:uid="{01A5DBFA-BED9-44F1-ABBD-CD0BD1BFE145}"/>
    <cellStyle name="60% - Énfasis3 2 2 2 2 2 2 3 11" xfId="9777" xr:uid="{B966A652-3F77-43DF-B879-F62BBF7E6436}"/>
    <cellStyle name="60% - Énfasis3 2 2 2 2 2 2 3 2" xfId="9778" xr:uid="{FC3B9DA2-9439-4207-911F-8313FFCA0D17}"/>
    <cellStyle name="60% - Énfasis3 2 2 2 2 2 2 3 2 10" xfId="9779" xr:uid="{D2942086-449E-4A8D-B57E-68619A6816E7}"/>
    <cellStyle name="60% - Énfasis3 2 2 2 2 2 2 3 2 11" xfId="9780" xr:uid="{DA7E4B9A-E835-4AD3-934F-C96EFE47171A}"/>
    <cellStyle name="60% - Énfasis3 2 2 2 2 2 2 3 2 2" xfId="9781" xr:uid="{ECF83794-890A-4278-8099-F85057A2A771}"/>
    <cellStyle name="60% - Énfasis3 2 2 2 2 2 2 3 2 2 2" xfId="9782" xr:uid="{20B2DBAB-0370-42D5-A50C-FADB094EF331}"/>
    <cellStyle name="60% - Énfasis3 2 2 2 2 2 2 3 2 2 2 2" xfId="9783" xr:uid="{AF67D5E4-1119-481F-98A4-9D1967FE819B}"/>
    <cellStyle name="60% - Énfasis3 2 2 2 2 2 2 3 2 2 2 3" xfId="9784" xr:uid="{21CC5D47-E688-424C-855C-7A5F14C57F61}"/>
    <cellStyle name="60% - Énfasis3 2 2 2 2 2 2 3 2 2 2 4" xfId="9785" xr:uid="{B88F960A-2502-41C3-A25E-D92B1A600EFB}"/>
    <cellStyle name="60% - Énfasis3 2 2 2 2 2 2 3 2 2 2 5" xfId="9786" xr:uid="{B9D592AB-70C4-4AED-8299-D2E1FA97E3B5}"/>
    <cellStyle name="60% - Énfasis3 2 2 2 2 2 2 3 2 2 3" xfId="9787" xr:uid="{1434F9DD-6AA3-47F6-AE90-3AE378447926}"/>
    <cellStyle name="60% - Énfasis3 2 2 2 2 2 2 3 2 2 4" xfId="9788" xr:uid="{E17C6F93-370B-4CFA-B56A-A3DB564B974E}"/>
    <cellStyle name="60% - Énfasis3 2 2 2 2 2 2 3 2 2 5" xfId="9789" xr:uid="{6040A8AF-8BDC-4834-90F7-41350A1DE4D4}"/>
    <cellStyle name="60% - Énfasis3 2 2 2 2 2 2 3 2 3" xfId="9790" xr:uid="{E537EA64-0EDE-47B7-B299-E966DB4FE6DC}"/>
    <cellStyle name="60% - Énfasis3 2 2 2 2 2 2 3 2 4" xfId="9791" xr:uid="{5E4D8BAD-B751-497A-9F59-3053BDD6E9D0}"/>
    <cellStyle name="60% - Énfasis3 2 2 2 2 2 2 3 2 5" xfId="9792" xr:uid="{35A23B08-0CF5-47B0-9897-98293AB0864F}"/>
    <cellStyle name="60% - Énfasis3 2 2 2 2 2 2 3 2 6" xfId="9793" xr:uid="{DB30982B-AD16-4E79-83FF-A37A6705C773}"/>
    <cellStyle name="60% - Énfasis3 2 2 2 2 2 2 3 2 7" xfId="9794" xr:uid="{1744ADE5-7392-49DC-B0AE-A14E42C52658}"/>
    <cellStyle name="60% - Énfasis3 2 2 2 2 2 2 3 2 8" xfId="9795" xr:uid="{004FBDA2-D3D4-47E0-B510-46A4F1DB4393}"/>
    <cellStyle name="60% - Énfasis3 2 2 2 2 2 2 3 2 9" xfId="9796" xr:uid="{E757C90E-3265-4890-9843-3F2F597DCFE1}"/>
    <cellStyle name="60% - Énfasis3 2 2 2 2 2 2 3 3" xfId="9797" xr:uid="{51D0AF0D-EE5A-4D17-BCD0-4786FFC5F26F}"/>
    <cellStyle name="60% - Énfasis3 2 2 2 2 2 2 3 3 2" xfId="9798" xr:uid="{F033DEC1-F970-4D0A-8B2E-0C426744A196}"/>
    <cellStyle name="60% - Énfasis3 2 2 2 2 2 2 3 3 2 2" xfId="9799" xr:uid="{A945F988-B699-4460-92A9-FB1D1B28630E}"/>
    <cellStyle name="60% - Énfasis3 2 2 2 2 2 2 3 3 2 3" xfId="9800" xr:uid="{412B9301-9C3F-4F3F-A350-1EF2DE564EA4}"/>
    <cellStyle name="60% - Énfasis3 2 2 2 2 2 2 3 3 2 4" xfId="9801" xr:uid="{9D30FF48-261A-48FF-AB6C-2F12E87B7E9D}"/>
    <cellStyle name="60% - Énfasis3 2 2 2 2 2 2 3 3 2 5" xfId="9802" xr:uid="{06644627-832F-439E-98F1-712404606551}"/>
    <cellStyle name="60% - Énfasis3 2 2 2 2 2 2 3 3 3" xfId="9803" xr:uid="{FCB48199-B4E8-48A3-B50B-D29FD05E68F4}"/>
    <cellStyle name="60% - Énfasis3 2 2 2 2 2 2 3 3 4" xfId="9804" xr:uid="{B003EC87-4DB1-49E1-AC7E-A30547021B9C}"/>
    <cellStyle name="60% - Énfasis3 2 2 2 2 2 2 3 3 5" xfId="9805" xr:uid="{F0B998EA-F182-40E5-97EC-DFFDF7930F21}"/>
    <cellStyle name="60% - Énfasis3 2 2 2 2 2 2 3 4" xfId="9806" xr:uid="{AFB91396-DF5A-48D8-A17F-777AD57EE166}"/>
    <cellStyle name="60% - Énfasis3 2 2 2 2 2 2 3 5" xfId="9807" xr:uid="{7A9BA65B-97DC-48F9-ADDA-14D0070D7938}"/>
    <cellStyle name="60% - Énfasis3 2 2 2 2 2 2 3 6" xfId="9808" xr:uid="{C4B39016-83FA-414E-B150-5AC95C58886C}"/>
    <cellStyle name="60% - Énfasis3 2 2 2 2 2 2 3 7" xfId="9809" xr:uid="{1E7D84A8-E79E-4155-A5A7-C255383E28AB}"/>
    <cellStyle name="60% - Énfasis3 2 2 2 2 2 2 3 8" xfId="9810" xr:uid="{8FB2A3F6-CF8E-4481-B69F-31B04461C05B}"/>
    <cellStyle name="60% - Énfasis3 2 2 2 2 2 2 3 9" xfId="9811" xr:uid="{65EDD264-04D1-4928-B93D-D27A0CE0815F}"/>
    <cellStyle name="60% - Énfasis3 2 2 2 2 2 2 4" xfId="9812" xr:uid="{DFB7BBFE-ADC6-4E2F-A025-11E1BE2989BF}"/>
    <cellStyle name="60% - Énfasis3 2 2 2 2 2 2 5" xfId="9813" xr:uid="{79AF5F77-A7A1-45F1-85BF-A323DBEB059B}"/>
    <cellStyle name="60% - Énfasis3 2 2 2 2 2 2 6" xfId="9814" xr:uid="{43DA675E-952D-4CA4-8598-B7A84D1D0030}"/>
    <cellStyle name="60% - Énfasis3 2 2 2 2 2 3" xfId="9815" xr:uid="{1AFCBFAA-722C-46A2-BF8F-31FECB82C532}"/>
    <cellStyle name="60% - Énfasis3 2 2 2 2 2 3 10" xfId="9816" xr:uid="{9114BE32-37C1-4929-AAFD-8FB2DB53050B}"/>
    <cellStyle name="60% - Énfasis3 2 2 2 2 2 3 11" xfId="9817" xr:uid="{5797986C-198A-414B-9E2D-CFA7DAAAF170}"/>
    <cellStyle name="60% - Énfasis3 2 2 2 2 2 3 2" xfId="9818" xr:uid="{C45681C7-DB63-4348-8EA0-EEBC8A398E34}"/>
    <cellStyle name="60% - Énfasis3 2 2 2 2 2 3 2 10" xfId="9819" xr:uid="{1E57206E-DEC4-490D-ACE3-E03359090F0B}"/>
    <cellStyle name="60% - Énfasis3 2 2 2 2 2 3 2 11" xfId="9820" xr:uid="{EFE259A6-3BBF-45DC-BDB6-FC0C0EEEE91C}"/>
    <cellStyle name="60% - Énfasis3 2 2 2 2 2 3 2 2" xfId="9821" xr:uid="{A46A23F1-03A0-4F43-8BEC-E4FC206AF4DC}"/>
    <cellStyle name="60% - Énfasis3 2 2 2 2 2 3 2 2 2" xfId="9822" xr:uid="{91C60949-EE3B-486D-A95D-7A9D55CBDA55}"/>
    <cellStyle name="60% - Énfasis3 2 2 2 2 2 3 2 2 2 2" xfId="9823" xr:uid="{1EA2B630-5CD2-48F9-AEE9-3DA995C193D9}"/>
    <cellStyle name="60% - Énfasis3 2 2 2 2 2 3 2 2 2 3" xfId="9824" xr:uid="{F8BBF95E-1397-4CD5-B756-3DA9F136A6FF}"/>
    <cellStyle name="60% - Énfasis3 2 2 2 2 2 3 2 2 2 4" xfId="9825" xr:uid="{FB72C345-3071-4F0B-BAEC-904976EEE0CA}"/>
    <cellStyle name="60% - Énfasis3 2 2 2 2 2 3 2 2 2 5" xfId="9826" xr:uid="{92E84E56-EE6B-4839-B963-93A32ECDA68B}"/>
    <cellStyle name="60% - Énfasis3 2 2 2 2 2 3 2 2 3" xfId="9827" xr:uid="{2E456B91-33D2-47BF-B793-2143D8A0BB85}"/>
    <cellStyle name="60% - Énfasis3 2 2 2 2 2 3 2 2 4" xfId="9828" xr:uid="{5AC25CD6-4695-4F96-8575-F38329B1656D}"/>
    <cellStyle name="60% - Énfasis3 2 2 2 2 2 3 2 2 5" xfId="9829" xr:uid="{9CC92894-68DC-4151-B197-254D38107823}"/>
    <cellStyle name="60% - Énfasis3 2 2 2 2 2 3 2 3" xfId="9830" xr:uid="{E7984049-20C0-48F5-851D-DFC396958F64}"/>
    <cellStyle name="60% - Énfasis3 2 2 2 2 2 3 2 4" xfId="9831" xr:uid="{0777DBF2-1534-4770-A396-1611965F8C10}"/>
    <cellStyle name="60% - Énfasis3 2 2 2 2 2 3 2 5" xfId="9832" xr:uid="{D9DF10E1-DA0D-4899-920A-24ABADB9B24B}"/>
    <cellStyle name="60% - Énfasis3 2 2 2 2 2 3 2 6" xfId="9833" xr:uid="{79ADB4B3-C899-4B16-A430-2C65E422EC68}"/>
    <cellStyle name="60% - Énfasis3 2 2 2 2 2 3 2 7" xfId="9834" xr:uid="{A5EAB7A0-F5F1-4ADA-9F8A-BD8C72BBB1A4}"/>
    <cellStyle name="60% - Énfasis3 2 2 2 2 2 3 2 8" xfId="9835" xr:uid="{D8D11101-FB37-4CE3-AE08-DC585DF4335F}"/>
    <cellStyle name="60% - Énfasis3 2 2 2 2 2 3 2 9" xfId="9836" xr:uid="{91D4B4C1-3AB3-4313-BF49-17F86F8D1525}"/>
    <cellStyle name="60% - Énfasis3 2 2 2 2 2 3 3" xfId="9837" xr:uid="{9E1D128A-5BFE-445F-9A92-0DB6AADE74BC}"/>
    <cellStyle name="60% - Énfasis3 2 2 2 2 2 3 3 2" xfId="9838" xr:uid="{3D4A38D6-3BE0-429F-88F5-7FD5A6BF9614}"/>
    <cellStyle name="60% - Énfasis3 2 2 2 2 2 3 3 2 2" xfId="9839" xr:uid="{1F6A0C3C-86A8-4DB2-9FE6-82E73598C08C}"/>
    <cellStyle name="60% - Énfasis3 2 2 2 2 2 3 3 2 3" xfId="9840" xr:uid="{20442BF2-8579-4850-B317-387439C5A2C9}"/>
    <cellStyle name="60% - Énfasis3 2 2 2 2 2 3 3 2 4" xfId="9841" xr:uid="{8F9BA8EA-B5D6-493B-8F40-4840AF15BADD}"/>
    <cellStyle name="60% - Énfasis3 2 2 2 2 2 3 3 2 5" xfId="9842" xr:uid="{3167C9DE-4945-4547-ADD9-F9D99083AE7D}"/>
    <cellStyle name="60% - Énfasis3 2 2 2 2 2 3 3 3" xfId="9843" xr:uid="{D3C11789-5656-487B-B218-118BC8ED0643}"/>
    <cellStyle name="60% - Énfasis3 2 2 2 2 2 3 3 4" xfId="9844" xr:uid="{52B0142D-1B5B-4C9C-BC07-2CED4298A987}"/>
    <cellStyle name="60% - Énfasis3 2 2 2 2 2 3 3 5" xfId="9845" xr:uid="{68D8FC68-4B1D-44B7-8B73-771129519ACC}"/>
    <cellStyle name="60% - Énfasis3 2 2 2 2 2 3 4" xfId="9846" xr:uid="{3606C193-68C5-4444-84CC-A4409C24D100}"/>
    <cellStyle name="60% - Énfasis3 2 2 2 2 2 3 5" xfId="9847" xr:uid="{542200C0-E5CB-4DFD-893A-9A24B5E0F176}"/>
    <cellStyle name="60% - Énfasis3 2 2 2 2 2 3 6" xfId="9848" xr:uid="{09E6EBAE-8A33-43EE-BC2A-BC448015F081}"/>
    <cellStyle name="60% - Énfasis3 2 2 2 2 2 3 7" xfId="9849" xr:uid="{B3F56BD2-4EFE-4450-AC05-31BD973DA150}"/>
    <cellStyle name="60% - Énfasis3 2 2 2 2 2 3 8" xfId="9850" xr:uid="{6A75A3A3-AEAF-48D3-8C76-25A8669100BB}"/>
    <cellStyle name="60% - Énfasis3 2 2 2 2 2 3 9" xfId="9851" xr:uid="{ABDE37AC-FEAE-4931-8603-C24358303E07}"/>
    <cellStyle name="60% - Énfasis3 2 2 2 2 2 4" xfId="9852" xr:uid="{F62D3935-2CE1-42C3-BE53-1592DF9A56B7}"/>
    <cellStyle name="60% - Énfasis3 2 2 2 2 2 5" xfId="9853" xr:uid="{7151CE6A-0B3B-4D58-BDD4-C96372CD1988}"/>
    <cellStyle name="60% - Énfasis3 2 2 2 2 2 6" xfId="9854" xr:uid="{703E3083-9250-4074-B4D6-725592E1C8A7}"/>
    <cellStyle name="60% - Énfasis3 2 2 2 2 3" xfId="9855" xr:uid="{59F2E546-61C3-4AD4-99D0-3BE18304E8A5}"/>
    <cellStyle name="60% - Énfasis3 2 2 2 2 4" xfId="9856" xr:uid="{DC4C4F36-0CAF-40BD-BC02-5278DC67DAEF}"/>
    <cellStyle name="60% - Énfasis3 2 2 2 2 4 10" xfId="9857" xr:uid="{4526FE2B-7A73-40C0-A610-33540FACDDB8}"/>
    <cellStyle name="60% - Énfasis3 2 2 2 2 4 11" xfId="9858" xr:uid="{F7459E41-32E3-48F2-A79C-E0A546BE5196}"/>
    <cellStyle name="60% - Énfasis3 2 2 2 2 4 2" xfId="9859" xr:uid="{A6D61752-1559-4C66-A082-69595035EF4E}"/>
    <cellStyle name="60% - Énfasis3 2 2 2 2 4 2 10" xfId="9860" xr:uid="{9A462636-89F6-4602-A1B9-4E1F21589F0B}"/>
    <cellStyle name="60% - Énfasis3 2 2 2 2 4 2 11" xfId="9861" xr:uid="{AD1CC204-43D2-4635-82D3-58B67E62F9F4}"/>
    <cellStyle name="60% - Énfasis3 2 2 2 2 4 2 2" xfId="9862" xr:uid="{D983FD1E-75B5-4812-A683-DC0F7A3EEC85}"/>
    <cellStyle name="60% - Énfasis3 2 2 2 2 4 2 2 2" xfId="9863" xr:uid="{F3093FC6-AD4A-4986-B50F-6B09E5731CCA}"/>
    <cellStyle name="60% - Énfasis3 2 2 2 2 4 2 2 2 2" xfId="9864" xr:uid="{21EDDAC0-FD9E-4997-8BEE-2B3F3DDADA5A}"/>
    <cellStyle name="60% - Énfasis3 2 2 2 2 4 2 2 2 3" xfId="9865" xr:uid="{37953BC3-4E14-4313-942E-6C4676F54AED}"/>
    <cellStyle name="60% - Énfasis3 2 2 2 2 4 2 2 2 4" xfId="9866" xr:uid="{BB96754F-14B0-4620-BC65-16EF4E07AFFC}"/>
    <cellStyle name="60% - Énfasis3 2 2 2 2 4 2 2 2 5" xfId="9867" xr:uid="{B9E9C9F6-32A6-460F-A052-033A6C932D93}"/>
    <cellStyle name="60% - Énfasis3 2 2 2 2 4 2 2 3" xfId="9868" xr:uid="{256BFF65-9B5D-45E5-9922-DC3B49579793}"/>
    <cellStyle name="60% - Énfasis3 2 2 2 2 4 2 2 4" xfId="9869" xr:uid="{8CDB94FB-9FAE-489A-A452-89491E6EACBD}"/>
    <cellStyle name="60% - Énfasis3 2 2 2 2 4 2 2 5" xfId="9870" xr:uid="{660D4C9F-CA9F-4442-83C0-802D5837FECE}"/>
    <cellStyle name="60% - Énfasis3 2 2 2 2 4 2 3" xfId="9871" xr:uid="{AC868CE9-7ABA-4ACE-B906-C6A1967FAB0F}"/>
    <cellStyle name="60% - Énfasis3 2 2 2 2 4 2 4" xfId="9872" xr:uid="{A6D7A3C9-9B26-40ED-B1D5-95A9297D89E3}"/>
    <cellStyle name="60% - Énfasis3 2 2 2 2 4 2 5" xfId="9873" xr:uid="{941D5EFB-6AE0-4FC1-B67E-88433D825498}"/>
    <cellStyle name="60% - Énfasis3 2 2 2 2 4 2 6" xfId="9874" xr:uid="{74E96217-F51D-415D-9565-BAF8919913EC}"/>
    <cellStyle name="60% - Énfasis3 2 2 2 2 4 2 7" xfId="9875" xr:uid="{5287C22E-1CF7-4475-AF7C-FF77C39BFD80}"/>
    <cellStyle name="60% - Énfasis3 2 2 2 2 4 2 8" xfId="9876" xr:uid="{E7FF40F7-6E19-4178-AF63-5698CE16328D}"/>
    <cellStyle name="60% - Énfasis3 2 2 2 2 4 2 9" xfId="9877" xr:uid="{AF22FC1F-478B-4868-9690-D048ADB20138}"/>
    <cellStyle name="60% - Énfasis3 2 2 2 2 4 3" xfId="9878" xr:uid="{3EF612D3-ED00-4AB1-9E96-244000DD76D5}"/>
    <cellStyle name="60% - Énfasis3 2 2 2 2 4 3 2" xfId="9879" xr:uid="{7922A9A6-36CA-4FEE-ADE3-0F07ED3583CA}"/>
    <cellStyle name="60% - Énfasis3 2 2 2 2 4 3 2 2" xfId="9880" xr:uid="{D87F88F3-E187-48C2-881A-DCBECF3EB591}"/>
    <cellStyle name="60% - Énfasis3 2 2 2 2 4 3 2 3" xfId="9881" xr:uid="{1EEB2A5B-B8CD-4842-B6A0-85648E2B6BE4}"/>
    <cellStyle name="60% - Énfasis3 2 2 2 2 4 3 2 4" xfId="9882" xr:uid="{C2C53434-236E-41D9-B74B-D708AE77211B}"/>
    <cellStyle name="60% - Énfasis3 2 2 2 2 4 3 2 5" xfId="9883" xr:uid="{15166D9A-315C-488C-A2B7-E2244292CF53}"/>
    <cellStyle name="60% - Énfasis3 2 2 2 2 4 3 3" xfId="9884" xr:uid="{5C9F9D23-FB26-4890-B6E7-848F8E3285F3}"/>
    <cellStyle name="60% - Énfasis3 2 2 2 2 4 3 4" xfId="9885" xr:uid="{96016EB4-5D72-4CF7-88A4-8213108C5115}"/>
    <cellStyle name="60% - Énfasis3 2 2 2 2 4 3 5" xfId="9886" xr:uid="{40667A40-88A6-48D1-A9AD-23C41D74D4C4}"/>
    <cellStyle name="60% - Énfasis3 2 2 2 2 4 4" xfId="9887" xr:uid="{6F523E95-9D0B-49D2-B251-B0FBAFD2790D}"/>
    <cellStyle name="60% - Énfasis3 2 2 2 2 4 5" xfId="9888" xr:uid="{7453B83A-5F80-4CAA-B818-11143179A081}"/>
    <cellStyle name="60% - Énfasis3 2 2 2 2 4 6" xfId="9889" xr:uid="{F039A6DE-1B69-4A10-874F-9838C84BFE57}"/>
    <cellStyle name="60% - Énfasis3 2 2 2 2 4 7" xfId="9890" xr:uid="{18B77322-8D67-49F8-8788-463F94FFFD6F}"/>
    <cellStyle name="60% - Énfasis3 2 2 2 2 4 8" xfId="9891" xr:uid="{2176D770-7902-4AF3-AC8E-83D81947B9C8}"/>
    <cellStyle name="60% - Énfasis3 2 2 2 2 4 9" xfId="9892" xr:uid="{28B414EC-B39E-46D1-AF08-F18D4337D0C3}"/>
    <cellStyle name="60% - Énfasis3 2 2 2 2 5" xfId="9893" xr:uid="{0350E6BB-BDBD-45EE-BD6F-245725DA6864}"/>
    <cellStyle name="60% - Énfasis3 2 2 2 2 6" xfId="9894" xr:uid="{C322B314-B7D3-4B56-8F3D-D0EDCF910353}"/>
    <cellStyle name="60% - Énfasis3 2 2 2 2 7" xfId="9895" xr:uid="{03D3F291-4AA3-429B-BBDE-84CF3893B0B3}"/>
    <cellStyle name="60% - Énfasis3 2 2 2 3" xfId="9896" xr:uid="{2256A651-FE71-473E-825C-288DD1892359}"/>
    <cellStyle name="60% - Énfasis3 2 2 2 4" xfId="9897" xr:uid="{B793831D-7B27-4008-92B0-FE99B852A3BC}"/>
    <cellStyle name="60% - Énfasis3 2 2 2 5" xfId="9898" xr:uid="{3021D655-FF8A-40B4-BB27-41EFD0E6540F}"/>
    <cellStyle name="60% - Énfasis3 2 2 2 5 10" xfId="9899" xr:uid="{E2E0B803-6A8D-4636-BB8F-2CD16E397B2B}"/>
    <cellStyle name="60% - Énfasis3 2 2 2 5 11" xfId="9900" xr:uid="{33F52D09-1D37-426B-B207-329578A38AAF}"/>
    <cellStyle name="60% - Énfasis3 2 2 2 5 2" xfId="9901" xr:uid="{3895287D-18CE-4B10-AE54-971E2AF41E5E}"/>
    <cellStyle name="60% - Énfasis3 2 2 2 5 2 10" xfId="9902" xr:uid="{4A555154-8D25-4C41-8E89-13258FD16EE1}"/>
    <cellStyle name="60% - Énfasis3 2 2 2 5 2 11" xfId="9903" xr:uid="{17527319-AA42-4314-ACE4-20ADF764A547}"/>
    <cellStyle name="60% - Énfasis3 2 2 2 5 2 2" xfId="9904" xr:uid="{963D4331-6DC8-46C3-B13C-FD999077D802}"/>
    <cellStyle name="60% - Énfasis3 2 2 2 5 2 2 2" xfId="9905" xr:uid="{328E0BA2-219B-4EA0-A521-3AEF83DF9E4D}"/>
    <cellStyle name="60% - Énfasis3 2 2 2 5 2 2 2 2" xfId="9906" xr:uid="{1234A0C4-88DB-47A2-B219-14D02C0B4E97}"/>
    <cellStyle name="60% - Énfasis3 2 2 2 5 2 2 2 3" xfId="9907" xr:uid="{28F84963-5168-4E60-9362-4CFBAD689CB8}"/>
    <cellStyle name="60% - Énfasis3 2 2 2 5 2 2 2 4" xfId="9908" xr:uid="{EFD32277-701C-4ACC-AD18-53D356B35FEA}"/>
    <cellStyle name="60% - Énfasis3 2 2 2 5 2 2 2 5" xfId="9909" xr:uid="{6BE55F89-D402-40D7-AAA0-D14E90D0C7B0}"/>
    <cellStyle name="60% - Énfasis3 2 2 2 5 2 2 3" xfId="9910" xr:uid="{0034D7C7-31F3-459A-B2F1-809EBC9F6644}"/>
    <cellStyle name="60% - Énfasis3 2 2 2 5 2 2 4" xfId="9911" xr:uid="{ED05B9E9-E61D-49EE-AE41-D0BD33CC58C2}"/>
    <cellStyle name="60% - Énfasis3 2 2 2 5 2 2 5" xfId="9912" xr:uid="{4C2AE564-92DC-4800-B3C2-0EB3F415F2E0}"/>
    <cellStyle name="60% - Énfasis3 2 2 2 5 2 3" xfId="9913" xr:uid="{3900D926-C7B8-48CF-BC2E-4CD3767A9A9C}"/>
    <cellStyle name="60% - Énfasis3 2 2 2 5 2 4" xfId="9914" xr:uid="{DE59206D-ABC6-46F6-9F00-1791F0DBD3E4}"/>
    <cellStyle name="60% - Énfasis3 2 2 2 5 2 5" xfId="9915" xr:uid="{81291AF4-7A36-4864-B432-8CC24D38707B}"/>
    <cellStyle name="60% - Énfasis3 2 2 2 5 2 6" xfId="9916" xr:uid="{4E54984D-9F11-47ED-A384-31F10F3CF425}"/>
    <cellStyle name="60% - Énfasis3 2 2 2 5 2 7" xfId="9917" xr:uid="{1D955466-37CA-40F9-AE8E-E913FCF26E2C}"/>
    <cellStyle name="60% - Énfasis3 2 2 2 5 2 8" xfId="9918" xr:uid="{346244F7-0DE8-488B-BA9B-3388179D35D9}"/>
    <cellStyle name="60% - Énfasis3 2 2 2 5 2 9" xfId="9919" xr:uid="{7AA87F1D-2025-416C-B0DA-9B7F12C8119A}"/>
    <cellStyle name="60% - Énfasis3 2 2 2 5 3" xfId="9920" xr:uid="{3BF969E5-114E-4E9A-9D5F-C6589B3158C8}"/>
    <cellStyle name="60% - Énfasis3 2 2 2 5 3 2" xfId="9921" xr:uid="{1BD71856-FF1C-4336-BE08-C02627E23458}"/>
    <cellStyle name="60% - Énfasis3 2 2 2 5 3 2 2" xfId="9922" xr:uid="{9C717E1C-4A21-4BA7-9D07-976A4211CAC8}"/>
    <cellStyle name="60% - Énfasis3 2 2 2 5 3 2 3" xfId="9923" xr:uid="{F1AA7A14-12F7-46A0-8C02-36C3080B0310}"/>
    <cellStyle name="60% - Énfasis3 2 2 2 5 3 2 4" xfId="9924" xr:uid="{66BD26C7-AEDE-4895-8635-F001DE3D2221}"/>
    <cellStyle name="60% - Énfasis3 2 2 2 5 3 2 5" xfId="9925" xr:uid="{A714519B-2C0D-475D-A095-B3C8902FCB60}"/>
    <cellStyle name="60% - Énfasis3 2 2 2 5 3 3" xfId="9926" xr:uid="{18FD9CF2-A5F7-43B4-A663-EC08925C81D3}"/>
    <cellStyle name="60% - Énfasis3 2 2 2 5 3 4" xfId="9927" xr:uid="{37FEC9DD-D3B9-48E2-BA3F-9BF38D64A305}"/>
    <cellStyle name="60% - Énfasis3 2 2 2 5 3 5" xfId="9928" xr:uid="{CCBA2E48-B597-4D71-88DE-3BA29FB543EA}"/>
    <cellStyle name="60% - Énfasis3 2 2 2 5 4" xfId="9929" xr:uid="{6DBED33F-9154-418C-912D-42A07BF33A13}"/>
    <cellStyle name="60% - Énfasis3 2 2 2 5 5" xfId="9930" xr:uid="{20F04923-97E6-4CFF-9E63-8C9026564CAF}"/>
    <cellStyle name="60% - Énfasis3 2 2 2 5 6" xfId="9931" xr:uid="{A7FF2039-4BE5-44E0-8E96-370F5A0A249F}"/>
    <cellStyle name="60% - Énfasis3 2 2 2 5 7" xfId="9932" xr:uid="{CAA3D656-FD0D-42F2-925B-DCCC5609F064}"/>
    <cellStyle name="60% - Énfasis3 2 2 2 5 8" xfId="9933" xr:uid="{9CF81F8F-67B9-4D31-AFDD-ADC17752FFF3}"/>
    <cellStyle name="60% - Énfasis3 2 2 2 5 9" xfId="9934" xr:uid="{BA7E7A4F-88E2-4479-8C4A-CF90E10005F7}"/>
    <cellStyle name="60% - Énfasis3 2 2 2 6" xfId="9935" xr:uid="{177B1476-9A95-47D8-8F8B-E431CEA59C75}"/>
    <cellStyle name="60% - Énfasis3 2 2 2 7" xfId="9936" xr:uid="{AFBE9010-29F6-4175-8D79-CB2B7C717F91}"/>
    <cellStyle name="60% - Énfasis3 2 2 2 8" xfId="9937" xr:uid="{33188E93-EB8E-45D6-8FE3-E07C448B0A18}"/>
    <cellStyle name="60% - Énfasis3 2 2 3" xfId="9938" xr:uid="{34875AFE-5932-4599-9715-5A5EB93B7B5C}"/>
    <cellStyle name="60% - Énfasis3 2 2 4" xfId="9939" xr:uid="{10880998-B9EF-4024-9D64-91C3C15FE62D}"/>
    <cellStyle name="60% - Énfasis3 2 2 5" xfId="9940" xr:uid="{A72EE133-9C65-46B1-AD00-2D9757754925}"/>
    <cellStyle name="60% - Énfasis3 2 2 6" xfId="9941" xr:uid="{1C82B6A9-64DC-4247-9B71-6DFDBBF85493}"/>
    <cellStyle name="60% - Énfasis3 2 2 7" xfId="9942" xr:uid="{09DE881E-C723-4F0D-8B36-F3B7D6217A95}"/>
    <cellStyle name="60% - Énfasis3 2 2 8" xfId="9943" xr:uid="{B235A7CA-207D-4A9B-BE3B-6E060F35462D}"/>
    <cellStyle name="60% - Énfasis3 2 2 8 2" xfId="9944" xr:uid="{A7F02AE4-7574-4770-B9B1-BFEA7BFBB888}"/>
    <cellStyle name="60% - Énfasis3 2 2 9" xfId="9945" xr:uid="{6E81C183-0D52-4D2A-8A10-542A8A219D8D}"/>
    <cellStyle name="60% - Énfasis3 2 3" xfId="9946" xr:uid="{144A40BE-B31F-43B9-B585-BA5E714DE2D5}"/>
    <cellStyle name="60% - Énfasis3 2 4" xfId="9947" xr:uid="{E838BF6C-5859-4777-9991-701830667846}"/>
    <cellStyle name="60% - Énfasis3 2 4 10" xfId="9948" xr:uid="{CADC518E-5472-4C8B-8CB3-9236723FD531}"/>
    <cellStyle name="60% - Énfasis3 2 4 11" xfId="9949" xr:uid="{D7A5EBBD-68CC-48D4-A73C-A23DE2E8FD9F}"/>
    <cellStyle name="60% - Énfasis3 2 4 12" xfId="9950" xr:uid="{A733498A-550F-4105-8919-F24EA6860B5A}"/>
    <cellStyle name="60% - Énfasis3 2 4 2" xfId="9951" xr:uid="{EB06AE04-DD3E-46C6-A15D-F4E309200301}"/>
    <cellStyle name="60% - Énfasis3 2 4 2 10" xfId="9952" xr:uid="{7DE6BFE3-BE83-42C3-8726-09ED01A226E1}"/>
    <cellStyle name="60% - Énfasis3 2 4 2 11" xfId="9953" xr:uid="{2BDDD29F-96A7-42F2-B96B-7FAECCFED77D}"/>
    <cellStyle name="60% - Énfasis3 2 4 2 12" xfId="9954" xr:uid="{A4CACAFE-E92E-48AF-9110-6DFD608FC5B8}"/>
    <cellStyle name="60% - Énfasis3 2 4 2 2" xfId="9955" xr:uid="{93D13308-39D0-40E2-B329-C2AC087CCCAD}"/>
    <cellStyle name="60% - Énfasis3 2 4 2 2 10" xfId="9956" xr:uid="{7C9AA2F1-C63F-4E85-93FA-541C9FCCA44B}"/>
    <cellStyle name="60% - Énfasis3 2 4 2 2 11" xfId="9957" xr:uid="{35BB7794-8058-4606-AF21-ACD94E387859}"/>
    <cellStyle name="60% - Énfasis3 2 4 2 2 2" xfId="9958" xr:uid="{0E16AF36-FFC4-4F4B-9D54-782B2A4B398D}"/>
    <cellStyle name="60% - Énfasis3 2 4 2 2 2 10" xfId="9959" xr:uid="{E835932F-B9EF-461C-BB1F-9EBE1BA1A532}"/>
    <cellStyle name="60% - Énfasis3 2 4 2 2 2 11" xfId="9960" xr:uid="{A9BE62D3-EA1C-40C4-B6B8-3134A6C4C573}"/>
    <cellStyle name="60% - Énfasis3 2 4 2 2 2 2" xfId="9961" xr:uid="{7E58B378-DA40-49DA-8CC8-AB7080FD2CB6}"/>
    <cellStyle name="60% - Énfasis3 2 4 2 2 2 2 2" xfId="9962" xr:uid="{AECB6E1B-64B7-4DA7-A871-2F6509558838}"/>
    <cellStyle name="60% - Énfasis3 2 4 2 2 2 2 2 2" xfId="9963" xr:uid="{70C0D97E-E374-4208-A210-A5CB370AFFE0}"/>
    <cellStyle name="60% - Énfasis3 2 4 2 2 2 2 2 3" xfId="9964" xr:uid="{8AA4440A-D973-4980-AA9C-97F23D527AF5}"/>
    <cellStyle name="60% - Énfasis3 2 4 2 2 2 2 2 4" xfId="9965" xr:uid="{22258D2B-3253-4143-924F-33998A9F31DE}"/>
    <cellStyle name="60% - Énfasis3 2 4 2 2 2 2 2 5" xfId="9966" xr:uid="{60717F21-A230-4670-9064-62A6740F4235}"/>
    <cellStyle name="60% - Énfasis3 2 4 2 2 2 2 3" xfId="9967" xr:uid="{DE2D5743-A8C9-4F3A-A4C4-5A0A3F66593A}"/>
    <cellStyle name="60% - Énfasis3 2 4 2 2 2 2 4" xfId="9968" xr:uid="{E1C301F4-FD19-4379-945D-128F7D9233BE}"/>
    <cellStyle name="60% - Énfasis3 2 4 2 2 2 2 5" xfId="9969" xr:uid="{3C2707A7-439D-44E2-B0D8-51B36F6C4B4A}"/>
    <cellStyle name="60% - Énfasis3 2 4 2 2 2 3" xfId="9970" xr:uid="{E9CA3960-FD77-43FA-91E3-CC63B8DAB810}"/>
    <cellStyle name="60% - Énfasis3 2 4 2 2 2 4" xfId="9971" xr:uid="{4B208D46-14EF-429E-8A26-B25CB929F057}"/>
    <cellStyle name="60% - Énfasis3 2 4 2 2 2 5" xfId="9972" xr:uid="{D945B2C5-89DA-4023-B53C-BF1A7E0A5FF2}"/>
    <cellStyle name="60% - Énfasis3 2 4 2 2 2 6" xfId="9973" xr:uid="{2D4F88C5-D085-46E9-9B90-1B98C9B41A04}"/>
    <cellStyle name="60% - Énfasis3 2 4 2 2 2 7" xfId="9974" xr:uid="{E77FAA42-D808-4787-9D3D-30FD021B58F5}"/>
    <cellStyle name="60% - Énfasis3 2 4 2 2 2 8" xfId="9975" xr:uid="{CCDE4DFC-5B67-4DA7-8E57-4D0958F7A72F}"/>
    <cellStyle name="60% - Énfasis3 2 4 2 2 2 9" xfId="9976" xr:uid="{89B9F466-4513-4C6D-AB48-5604D967DBE6}"/>
    <cellStyle name="60% - Énfasis3 2 4 2 2 3" xfId="9977" xr:uid="{D79EB76D-D15E-421E-8343-11D150FC1F7D}"/>
    <cellStyle name="60% - Énfasis3 2 4 2 2 3 2" xfId="9978" xr:uid="{F58D20C6-73BC-4045-8015-4FC9B4E23654}"/>
    <cellStyle name="60% - Énfasis3 2 4 2 2 3 2 2" xfId="9979" xr:uid="{8D994FA5-E808-46CC-90DC-9B14D66E7E32}"/>
    <cellStyle name="60% - Énfasis3 2 4 2 2 3 2 3" xfId="9980" xr:uid="{065C11D3-B367-4413-BB9D-E7D2F5C0A2CE}"/>
    <cellStyle name="60% - Énfasis3 2 4 2 2 3 2 4" xfId="9981" xr:uid="{6F92820B-939F-4831-A59E-DDC9E9FEB31C}"/>
    <cellStyle name="60% - Énfasis3 2 4 2 2 3 2 5" xfId="9982" xr:uid="{5ED852EA-5245-4632-9EBF-818BFC40570F}"/>
    <cellStyle name="60% - Énfasis3 2 4 2 2 3 3" xfId="9983" xr:uid="{678F7196-B5B6-42C0-B97B-20778547EEE6}"/>
    <cellStyle name="60% - Énfasis3 2 4 2 2 3 4" xfId="9984" xr:uid="{412424B6-2E95-4B74-A97A-A16D9013149F}"/>
    <cellStyle name="60% - Énfasis3 2 4 2 2 3 5" xfId="9985" xr:uid="{872AB183-72A1-498C-8163-D03FF235D303}"/>
    <cellStyle name="60% - Énfasis3 2 4 2 2 4" xfId="9986" xr:uid="{3D16BB8B-4505-445A-9B95-1D7BC1A9656E}"/>
    <cellStyle name="60% - Énfasis3 2 4 2 2 5" xfId="9987" xr:uid="{FC0260A9-7B28-426E-9B1F-D9386FFF6247}"/>
    <cellStyle name="60% - Énfasis3 2 4 2 2 6" xfId="9988" xr:uid="{C4025233-14DA-49BA-9C10-911CB9354163}"/>
    <cellStyle name="60% - Énfasis3 2 4 2 2 7" xfId="9989" xr:uid="{34201BF4-3BAB-4B2C-9551-9D5838D3CA9F}"/>
    <cellStyle name="60% - Énfasis3 2 4 2 2 8" xfId="9990" xr:uid="{AC6B8C81-CA51-4C0F-A891-A2955DF72154}"/>
    <cellStyle name="60% - Énfasis3 2 4 2 2 9" xfId="9991" xr:uid="{57A87C5D-DFD7-437A-AE57-80635D41611C}"/>
    <cellStyle name="60% - Énfasis3 2 4 2 3" xfId="9992" xr:uid="{F78209EF-BC99-4647-BC24-3100B6DAA485}"/>
    <cellStyle name="60% - Énfasis3 2 4 2 3 2" xfId="9993" xr:uid="{09C8C764-40D0-4837-92A8-300DC41FE2B8}"/>
    <cellStyle name="60% - Énfasis3 2 4 2 3 2 2" xfId="9994" xr:uid="{A865059B-7368-4EB6-85FF-F197B05749F9}"/>
    <cellStyle name="60% - Énfasis3 2 4 2 3 2 3" xfId="9995" xr:uid="{BFC2D4CA-B83C-4FFA-923F-2B8F8872771D}"/>
    <cellStyle name="60% - Énfasis3 2 4 2 3 2 4" xfId="9996" xr:uid="{65B9746F-E75D-43E8-B035-71E636A7919A}"/>
    <cellStyle name="60% - Énfasis3 2 4 2 3 2 5" xfId="9997" xr:uid="{2A9A45A5-742B-4A9B-B797-A2A72C7B2682}"/>
    <cellStyle name="60% - Énfasis3 2 4 2 3 3" xfId="9998" xr:uid="{4EDC5550-7042-42C7-9E9E-FA2767E79EEB}"/>
    <cellStyle name="60% - Énfasis3 2 4 2 3 4" xfId="9999" xr:uid="{0090B123-B2D8-4946-A2AE-F3AD2728C628}"/>
    <cellStyle name="60% - Énfasis3 2 4 2 3 5" xfId="10000" xr:uid="{E2FE0024-C4EA-49E9-BE20-861B4BADA45F}"/>
    <cellStyle name="60% - Énfasis3 2 4 2 4" xfId="10001" xr:uid="{7CFF2453-316C-4AF8-9878-C5CD3885ECBA}"/>
    <cellStyle name="60% - Énfasis3 2 4 2 5" xfId="10002" xr:uid="{3A1EEAAA-2B05-4063-9E37-98765632A793}"/>
    <cellStyle name="60% - Énfasis3 2 4 2 6" xfId="10003" xr:uid="{4016CA3F-3DF8-4FEB-89EB-9DF18B256EA8}"/>
    <cellStyle name="60% - Énfasis3 2 4 2 7" xfId="10004" xr:uid="{61241A45-5671-4374-820C-84B71390981C}"/>
    <cellStyle name="60% - Énfasis3 2 4 2 8" xfId="10005" xr:uid="{3E556B62-A87A-4712-937B-62D46691D07D}"/>
    <cellStyle name="60% - Énfasis3 2 4 2 9" xfId="10006" xr:uid="{C9E0C54E-0EE3-475D-9C0A-889836521629}"/>
    <cellStyle name="60% - Énfasis3 2 4 3" xfId="10007" xr:uid="{80DF3FE9-2E27-44F3-8859-A5C889D45477}"/>
    <cellStyle name="60% - Énfasis3 2 4 3 10" xfId="10008" xr:uid="{34F41BEA-635C-4106-8487-C01F7607CC5F}"/>
    <cellStyle name="60% - Énfasis3 2 4 3 11" xfId="10009" xr:uid="{E4F8DB64-E5A0-41D2-B354-CC79DB94C2F8}"/>
    <cellStyle name="60% - Énfasis3 2 4 3 2" xfId="10010" xr:uid="{0AB7FA8A-202F-476E-974E-F6D3D1B4423A}"/>
    <cellStyle name="60% - Énfasis3 2 4 3 2 2" xfId="10011" xr:uid="{35D18D3C-92BC-4EF5-99BA-F3D4CD5592B5}"/>
    <cellStyle name="60% - Énfasis3 2 4 3 2 2 2" xfId="10012" xr:uid="{BCA45C92-0784-4F58-A0E5-1B498E783CFD}"/>
    <cellStyle name="60% - Énfasis3 2 4 3 2 2 3" xfId="10013" xr:uid="{DA55BAF8-0477-41AB-AC05-019EAF8B8BB2}"/>
    <cellStyle name="60% - Énfasis3 2 4 3 2 2 4" xfId="10014" xr:uid="{37615989-C4EB-4EAC-BC68-0B490A2F7ED5}"/>
    <cellStyle name="60% - Énfasis3 2 4 3 2 2 5" xfId="10015" xr:uid="{0D05DAD2-93DD-409D-B92E-F2EF298C4236}"/>
    <cellStyle name="60% - Énfasis3 2 4 3 2 3" xfId="10016" xr:uid="{43E12646-9B2E-4D3A-8BB9-6CCB61A145E3}"/>
    <cellStyle name="60% - Énfasis3 2 4 3 2 4" xfId="10017" xr:uid="{B8D80444-E463-4F0B-8C52-03DEF540409C}"/>
    <cellStyle name="60% - Énfasis3 2 4 3 2 5" xfId="10018" xr:uid="{107AC4D5-754B-4284-8971-72462091A51B}"/>
    <cellStyle name="60% - Énfasis3 2 4 3 3" xfId="10019" xr:uid="{9A06DB48-ADE9-4986-A661-E2BF75892E19}"/>
    <cellStyle name="60% - Énfasis3 2 4 3 4" xfId="10020" xr:uid="{18778E09-841D-4F25-B59D-ECEB619EAAE0}"/>
    <cellStyle name="60% - Énfasis3 2 4 3 5" xfId="10021" xr:uid="{108C8136-DA94-47DB-BDC2-7519F737478F}"/>
    <cellStyle name="60% - Énfasis3 2 4 3 6" xfId="10022" xr:uid="{F5A0074D-6B06-41E3-9404-ADD5C6D004C4}"/>
    <cellStyle name="60% - Énfasis3 2 4 3 7" xfId="10023" xr:uid="{EA4A4AD1-0F50-4220-B80B-0B31639B96B2}"/>
    <cellStyle name="60% - Énfasis3 2 4 3 8" xfId="10024" xr:uid="{71AFF210-62F8-4911-B6DB-FD6E507767CA}"/>
    <cellStyle name="60% - Énfasis3 2 4 3 9" xfId="10025" xr:uid="{88643559-2E2D-4025-A8B8-2C5C8A4FB5FE}"/>
    <cellStyle name="60% - Énfasis3 2 4 4" xfId="10026" xr:uid="{28CF941D-36A9-40F6-9B5B-A7080D9466EB}"/>
    <cellStyle name="60% - Énfasis3 2 4 4 2" xfId="10027" xr:uid="{ADD4176A-750E-4E52-AEB8-4501C6184EA1}"/>
    <cellStyle name="60% - Énfasis3 2 4 4 2 2" xfId="10028" xr:uid="{5B17ECDE-324D-42F3-A37F-D31FB9C08085}"/>
    <cellStyle name="60% - Énfasis3 2 4 4 2 3" xfId="10029" xr:uid="{26597D09-ED42-4667-B4E3-FEA98011D55B}"/>
    <cellStyle name="60% - Énfasis3 2 4 4 2 4" xfId="10030" xr:uid="{F704BA3A-EA74-4D41-BD18-5E2171A928C2}"/>
    <cellStyle name="60% - Énfasis3 2 4 4 2 5" xfId="10031" xr:uid="{217F7B96-DF91-4D6D-B78C-4069E1BACEE5}"/>
    <cellStyle name="60% - Énfasis3 2 4 4 3" xfId="10032" xr:uid="{D4C8DB81-C4AB-4C1F-946D-E66B577EB045}"/>
    <cellStyle name="60% - Énfasis3 2 4 4 4" xfId="10033" xr:uid="{5FEF9BCE-883D-4C77-B7DC-FB3F8F183224}"/>
    <cellStyle name="60% - Énfasis3 2 4 4 5" xfId="10034" xr:uid="{E7B0B162-F130-4E1C-8B2B-503C7122450E}"/>
    <cellStyle name="60% - Énfasis3 2 4 5" xfId="10035" xr:uid="{665F4BB5-4F07-4888-997E-AD6464D41AAA}"/>
    <cellStyle name="60% - Énfasis3 2 4 6" xfId="10036" xr:uid="{56C31205-A971-45A0-B865-6B065F9AEE61}"/>
    <cellStyle name="60% - Énfasis3 2 4 7" xfId="10037" xr:uid="{551DA472-4C4B-4909-B983-221670203FC6}"/>
    <cellStyle name="60% - Énfasis3 2 4 8" xfId="10038" xr:uid="{9E010287-A991-4D4A-B890-7060994000DC}"/>
    <cellStyle name="60% - Énfasis3 2 4 9" xfId="10039" xr:uid="{58DE57B9-A5AA-4EAF-8D36-4C7FCC212845}"/>
    <cellStyle name="60% - Énfasis3 2 5" xfId="10040" xr:uid="{32A6B05A-6FE6-4A37-A327-0A6DC24EC309}"/>
    <cellStyle name="60% - Énfasis3 2 6" xfId="10041" xr:uid="{DF6C8681-15AF-4EBD-AB1B-F91817DE6850}"/>
    <cellStyle name="60% - Énfasis3 2 7" xfId="10042" xr:uid="{05CA68F1-EBFA-4AD2-BA91-9378F2A72745}"/>
    <cellStyle name="60% - Énfasis3 2 8" xfId="10043" xr:uid="{76310238-1BB1-46F3-92EF-CE97146A6C31}"/>
    <cellStyle name="60% - Énfasis3 2 8 2" xfId="10044" xr:uid="{72730289-8DE7-4A1C-ABF0-4DA965764038}"/>
    <cellStyle name="60% - Énfasis3 2 9" xfId="10045" xr:uid="{63EAF6A7-AEDF-43B0-8D25-F33BEFF88880}"/>
    <cellStyle name="60% - Énfasis3 3" xfId="10046" xr:uid="{F1EAEA02-20F8-4923-B71F-E19A20EDC0F6}"/>
    <cellStyle name="60% - Énfasis3 3 2" xfId="10047" xr:uid="{10039F47-68E5-4D19-80A0-9097DBF4B1F2}"/>
    <cellStyle name="60% - Énfasis3 3 3" xfId="10048" xr:uid="{09BEA5B7-36D6-4678-9803-B4BA086E10BC}"/>
    <cellStyle name="60% - Énfasis3 4" xfId="10049" xr:uid="{4E1D8D28-3A8A-42B9-A69D-EE6F395B7D6F}"/>
    <cellStyle name="60% - Énfasis3 5" xfId="43482" xr:uid="{9A392256-138B-4A43-8997-E41BE601DBE2}"/>
    <cellStyle name="60% - Énfasis4 2" xfId="10050" xr:uid="{2F740F89-BC99-4CAC-91C2-75573D34E88D}"/>
    <cellStyle name="60% - Énfasis4 2 10" xfId="10051" xr:uid="{0C2AA681-34D0-4B2E-9618-6F9341639791}"/>
    <cellStyle name="60% - Énfasis4 2 10 10" xfId="10052" xr:uid="{5E84DF8F-EC56-421E-992A-B38B236D6B04}"/>
    <cellStyle name="60% - Énfasis4 2 10 11" xfId="10053" xr:uid="{9590AA9E-3725-4ECB-9A13-8ECD469E7E37}"/>
    <cellStyle name="60% - Énfasis4 2 10 2" xfId="10054" xr:uid="{B70B7B7C-AD2D-4AD6-A1A4-4C1333646E90}"/>
    <cellStyle name="60% - Énfasis4 2 10 2 10" xfId="10055" xr:uid="{81D430EC-268B-468C-91C8-8C2E52E6DED3}"/>
    <cellStyle name="60% - Énfasis4 2 10 2 11" xfId="10056" xr:uid="{55B57D2B-E5AB-4EA9-A5B7-3A568D1E8344}"/>
    <cellStyle name="60% - Énfasis4 2 10 2 2" xfId="10057" xr:uid="{3DF2B6E3-4CCC-45AE-927B-A3D0E2BD2B97}"/>
    <cellStyle name="60% - Énfasis4 2 10 2 2 2" xfId="10058" xr:uid="{E5FE465D-34B1-4290-81FE-FB14B9E00FD1}"/>
    <cellStyle name="60% - Énfasis4 2 10 2 2 2 2" xfId="10059" xr:uid="{8841FE23-D638-4C8F-ABD6-7E8CE889EBC0}"/>
    <cellStyle name="60% - Énfasis4 2 10 2 2 2 3" xfId="10060" xr:uid="{26BD76F1-C0A2-4828-98E0-C5B21DC2860D}"/>
    <cellStyle name="60% - Énfasis4 2 10 2 2 2 4" xfId="10061" xr:uid="{44D5DF0C-0AD9-437F-B82D-D1B27A76650A}"/>
    <cellStyle name="60% - Énfasis4 2 10 2 2 2 5" xfId="10062" xr:uid="{5416294B-98E7-4BF5-AD76-F70F9D23306C}"/>
    <cellStyle name="60% - Énfasis4 2 10 2 2 3" xfId="10063" xr:uid="{F7355CDF-8AF2-4D11-AC8E-95347A852A39}"/>
    <cellStyle name="60% - Énfasis4 2 10 2 2 4" xfId="10064" xr:uid="{1B2D6DD3-4566-4971-B8EF-4CFFFA05D0C0}"/>
    <cellStyle name="60% - Énfasis4 2 10 2 2 5" xfId="10065" xr:uid="{27676FAE-E2A7-4FFC-94FA-23C759AA3050}"/>
    <cellStyle name="60% - Énfasis4 2 10 2 3" xfId="10066" xr:uid="{EA5B5A8B-1376-4201-A938-42CCED36654C}"/>
    <cellStyle name="60% - Énfasis4 2 10 2 4" xfId="10067" xr:uid="{A544B6C1-6843-4E11-B388-5E41D84F14FE}"/>
    <cellStyle name="60% - Énfasis4 2 10 2 5" xfId="10068" xr:uid="{1EB3A2E5-24B6-4454-A4DB-CBA31CE2AD26}"/>
    <cellStyle name="60% - Énfasis4 2 10 2 6" xfId="10069" xr:uid="{A8DC0662-0A4C-4146-8426-C91D2A36021A}"/>
    <cellStyle name="60% - Énfasis4 2 10 2 7" xfId="10070" xr:uid="{18DA1551-523B-4240-9E24-B6BECD7EFD01}"/>
    <cellStyle name="60% - Énfasis4 2 10 2 8" xfId="10071" xr:uid="{067F1A43-EF63-45E3-AD05-9BD7198A9984}"/>
    <cellStyle name="60% - Énfasis4 2 10 2 9" xfId="10072" xr:uid="{5B5F5025-BAF8-4E30-9255-FA20F5D35F73}"/>
    <cellStyle name="60% - Énfasis4 2 10 3" xfId="10073" xr:uid="{349D263D-0E3A-4D4A-BA80-ADD570C59D96}"/>
    <cellStyle name="60% - Énfasis4 2 10 3 2" xfId="10074" xr:uid="{BB7F0D24-D694-4C8D-A5B2-31C434020BD3}"/>
    <cellStyle name="60% - Énfasis4 2 10 3 2 2" xfId="10075" xr:uid="{991E86EC-3AE1-4D84-9CA1-50D395045257}"/>
    <cellStyle name="60% - Énfasis4 2 10 3 2 3" xfId="10076" xr:uid="{8D2DDD34-7171-4B1F-BE91-9081D4F5DA1F}"/>
    <cellStyle name="60% - Énfasis4 2 10 3 2 4" xfId="10077" xr:uid="{B0117F7A-ED1E-4F58-9C95-360FB8DB7937}"/>
    <cellStyle name="60% - Énfasis4 2 10 3 2 5" xfId="10078" xr:uid="{449D5468-475F-4C88-BF48-A604D1A7FD07}"/>
    <cellStyle name="60% - Énfasis4 2 10 3 3" xfId="10079" xr:uid="{F30B5C89-B601-4849-B0D1-57397168E194}"/>
    <cellStyle name="60% - Énfasis4 2 10 3 4" xfId="10080" xr:uid="{DFD2A187-E778-4C97-A93C-9781640E6C9A}"/>
    <cellStyle name="60% - Énfasis4 2 10 3 5" xfId="10081" xr:uid="{90DA5FAA-F04A-420B-8A03-A15B8A0D028C}"/>
    <cellStyle name="60% - Énfasis4 2 10 4" xfId="10082" xr:uid="{62F12C26-9E2F-4A95-8DEC-80E964F9ADF4}"/>
    <cellStyle name="60% - Énfasis4 2 10 5" xfId="10083" xr:uid="{EB27C1DC-A25B-4DBD-AAD2-952B34AD4B0B}"/>
    <cellStyle name="60% - Énfasis4 2 10 6" xfId="10084" xr:uid="{CC2B0262-2657-40E1-AC79-B3118A532CB8}"/>
    <cellStyle name="60% - Énfasis4 2 10 7" xfId="10085" xr:uid="{609C8B6F-7FD4-4A74-9683-159B83CC2070}"/>
    <cellStyle name="60% - Énfasis4 2 10 8" xfId="10086" xr:uid="{68EA2D27-D64E-4B43-8EAB-DA7D900B256D}"/>
    <cellStyle name="60% - Énfasis4 2 10 9" xfId="10087" xr:uid="{AFF05B62-DE1F-4A19-A176-5D3B389BC652}"/>
    <cellStyle name="60% - Énfasis4 2 11" xfId="10088" xr:uid="{FF788299-9BAF-411C-AAFA-0549460E942C}"/>
    <cellStyle name="60% - Énfasis4 2 12" xfId="10089" xr:uid="{E1246E3D-7D28-4705-A3BD-3ED1333B4E66}"/>
    <cellStyle name="60% - Énfasis4 2 13" xfId="10090" xr:uid="{6B3D8EF4-FA4D-428C-BA27-BAC44FB54605}"/>
    <cellStyle name="60% - Énfasis4 2 14" xfId="43490" xr:uid="{E9F7D3CC-ECB6-4CE8-857C-D150C7B9F93C}"/>
    <cellStyle name="60% - Énfasis4 2 2" xfId="10091" xr:uid="{0B3E3FEB-D9EF-42E3-8AA5-4A4F46CA86B3}"/>
    <cellStyle name="60% - Énfasis4 2 2 10" xfId="10092" xr:uid="{A444F2EE-21A9-4B33-A9DC-84BC96F4ABF3}"/>
    <cellStyle name="60% - Énfasis4 2 2 10 10" xfId="10093" xr:uid="{D2668F73-B18C-4DFD-95B5-EF816DAEE1BA}"/>
    <cellStyle name="60% - Énfasis4 2 2 10 11" xfId="10094" xr:uid="{E37ACDF4-B3D3-43AF-ADAD-9EB2C58D73B1}"/>
    <cellStyle name="60% - Énfasis4 2 2 10 2" xfId="10095" xr:uid="{2D11FDF0-DC1A-49F2-AB5B-944BBDF2277D}"/>
    <cellStyle name="60% - Énfasis4 2 2 10 2 10" xfId="10096" xr:uid="{A54DE7D5-6C00-46BB-AE94-F2AD5B1CA124}"/>
    <cellStyle name="60% - Énfasis4 2 2 10 2 11" xfId="10097" xr:uid="{B96FEBED-616C-420E-AC4D-6E71449F6BEE}"/>
    <cellStyle name="60% - Énfasis4 2 2 10 2 2" xfId="10098" xr:uid="{E88BFCE7-ECDF-413E-9308-6E31DF9220A0}"/>
    <cellStyle name="60% - Énfasis4 2 2 10 2 2 2" xfId="10099" xr:uid="{567CC805-7AB2-4154-8BF1-883B499FFC0E}"/>
    <cellStyle name="60% - Énfasis4 2 2 10 2 2 2 2" xfId="10100" xr:uid="{80B0DBAC-7620-4E7F-B77E-886C90D809A7}"/>
    <cellStyle name="60% - Énfasis4 2 2 10 2 2 2 3" xfId="10101" xr:uid="{E40A76F3-0BAF-4ADE-847D-67EE73825ECA}"/>
    <cellStyle name="60% - Énfasis4 2 2 10 2 2 2 4" xfId="10102" xr:uid="{8FEC601B-139F-42EC-BA03-C686C68716C0}"/>
    <cellStyle name="60% - Énfasis4 2 2 10 2 2 2 5" xfId="10103" xr:uid="{F6E77FC3-3D4F-405B-AD82-717D26AA89EA}"/>
    <cellStyle name="60% - Énfasis4 2 2 10 2 2 3" xfId="10104" xr:uid="{4862BD66-779B-4BE0-A000-42FF019D6752}"/>
    <cellStyle name="60% - Énfasis4 2 2 10 2 2 4" xfId="10105" xr:uid="{7DCC3EBE-B5BA-4D44-A6F7-C302884219A7}"/>
    <cellStyle name="60% - Énfasis4 2 2 10 2 2 5" xfId="10106" xr:uid="{D26CDE70-D13A-41EA-BE83-62C3CA745641}"/>
    <cellStyle name="60% - Énfasis4 2 2 10 2 3" xfId="10107" xr:uid="{A5EA0319-35E9-41D3-8ED9-6607A729F7A6}"/>
    <cellStyle name="60% - Énfasis4 2 2 10 2 4" xfId="10108" xr:uid="{88FBA728-8193-4B77-B67C-F283023F76C1}"/>
    <cellStyle name="60% - Énfasis4 2 2 10 2 5" xfId="10109" xr:uid="{82A419B4-CD7A-4F6E-B26F-35A2E22A093C}"/>
    <cellStyle name="60% - Énfasis4 2 2 10 2 6" xfId="10110" xr:uid="{9D263D7B-134C-4D49-90C8-3DFAE55BBB09}"/>
    <cellStyle name="60% - Énfasis4 2 2 10 2 7" xfId="10111" xr:uid="{BEEAC331-CB31-4CCC-974A-CA41FC313BAD}"/>
    <cellStyle name="60% - Énfasis4 2 2 10 2 8" xfId="10112" xr:uid="{69E60715-2554-43CC-8D73-5260EA459CA4}"/>
    <cellStyle name="60% - Énfasis4 2 2 10 2 9" xfId="10113" xr:uid="{9FAE0553-C7AD-4A32-A919-DE6187A96B0F}"/>
    <cellStyle name="60% - Énfasis4 2 2 10 3" xfId="10114" xr:uid="{CFA3F269-0991-44EA-AABA-6CFF64D900A6}"/>
    <cellStyle name="60% - Énfasis4 2 2 10 3 2" xfId="10115" xr:uid="{45C4980F-2476-4A8A-A687-1E6948B75E52}"/>
    <cellStyle name="60% - Énfasis4 2 2 10 3 2 2" xfId="10116" xr:uid="{DE5BDC7D-BAD4-468F-A486-3B9EEE063BB0}"/>
    <cellStyle name="60% - Énfasis4 2 2 10 3 2 3" xfId="10117" xr:uid="{1D68B7CC-2BC4-42D4-9D0E-10B3B87DECB0}"/>
    <cellStyle name="60% - Énfasis4 2 2 10 3 2 4" xfId="10118" xr:uid="{C1EAD6EF-1292-409B-A796-E97A5F6E1104}"/>
    <cellStyle name="60% - Énfasis4 2 2 10 3 2 5" xfId="10119" xr:uid="{37DC62DB-9A9C-44D3-81A7-97598845F94C}"/>
    <cellStyle name="60% - Énfasis4 2 2 10 3 3" xfId="10120" xr:uid="{B8794517-AA86-4380-A2AF-EDAD1B711C77}"/>
    <cellStyle name="60% - Énfasis4 2 2 10 3 4" xfId="10121" xr:uid="{126A7C43-7E03-48A5-88CB-1F15FB320623}"/>
    <cellStyle name="60% - Énfasis4 2 2 10 3 5" xfId="10122" xr:uid="{3DA89629-AB20-42BB-AB3F-93F314447704}"/>
    <cellStyle name="60% - Énfasis4 2 2 10 4" xfId="10123" xr:uid="{1CDFD634-8B65-4A76-BA1E-92A74E6C5ED8}"/>
    <cellStyle name="60% - Énfasis4 2 2 10 5" xfId="10124" xr:uid="{7A0BB0D1-A060-4401-9C63-30583C631C43}"/>
    <cellStyle name="60% - Énfasis4 2 2 10 6" xfId="10125" xr:uid="{9251C84D-C430-4A7D-9C7A-F5E203A81F70}"/>
    <cellStyle name="60% - Énfasis4 2 2 10 7" xfId="10126" xr:uid="{2BFBEB23-CF11-49FA-AB22-D8BE8191FB27}"/>
    <cellStyle name="60% - Énfasis4 2 2 10 8" xfId="10127" xr:uid="{F23828BF-DD57-4588-880F-CB886C44EDF4}"/>
    <cellStyle name="60% - Énfasis4 2 2 10 9" xfId="10128" xr:uid="{F7858A51-DC7D-4ED0-8402-A4D0A57BA3FA}"/>
    <cellStyle name="60% - Énfasis4 2 2 11" xfId="10129" xr:uid="{A0CC16AB-C74A-468E-894F-FC1B80A38745}"/>
    <cellStyle name="60% - Énfasis4 2 2 12" xfId="10130" xr:uid="{0C589D01-DBA8-4E07-B64E-829E021FFF2A}"/>
    <cellStyle name="60% - Énfasis4 2 2 13" xfId="10131" xr:uid="{F571F328-3A82-4325-A8E9-21AA10CB4CF2}"/>
    <cellStyle name="60% - Énfasis4 2 2 2" xfId="10132" xr:uid="{21FF6C66-4377-484D-9CE1-29BFF1DFCF51}"/>
    <cellStyle name="60% - Énfasis4 2 2 2 2" xfId="10133" xr:uid="{4FB7E40E-23EB-42DA-89FB-AB7946CAD158}"/>
    <cellStyle name="60% - Énfasis4 2 2 2 2 2" xfId="10134" xr:uid="{726DBE19-532A-4826-AC83-A287D16DA761}"/>
    <cellStyle name="60% - Énfasis4 2 2 2 2 2 2" xfId="10135" xr:uid="{F38AB582-E26F-42BE-9D92-3B814D0C47D9}"/>
    <cellStyle name="60% - Énfasis4 2 2 2 2 2 2 2" xfId="10136" xr:uid="{DB51A64B-97C4-4371-8D6A-0AD7EA48DE97}"/>
    <cellStyle name="60% - Énfasis4 2 2 2 2 2 2 2 2" xfId="10137" xr:uid="{8D04EE4C-D788-40B0-B5AC-2052301D2BEE}"/>
    <cellStyle name="60% - Énfasis4 2 2 2 2 2 2 2 2 2" xfId="10138" xr:uid="{3199C268-ADD4-4A41-82C4-6E3163280804}"/>
    <cellStyle name="60% - Énfasis4 2 2 2 2 2 2 2 2 2 2" xfId="10139" xr:uid="{C9C8B9F1-4E9A-402E-8300-5E44706F83C5}"/>
    <cellStyle name="60% - Énfasis4 2 2 2 2 2 2 2 2 2 2 2" xfId="10140" xr:uid="{3A6C65A4-1D22-4B1C-B663-01F194A53DF5}"/>
    <cellStyle name="60% - Énfasis4 2 2 2 2 2 2 2 2 2 2 2 2" xfId="10141" xr:uid="{807D6BAD-7B7D-4076-8659-28D85075E2BA}"/>
    <cellStyle name="60% - Énfasis4 2 2 2 2 2 2 2 2 2 2 3" xfId="10142" xr:uid="{B8BBF64D-3398-4258-9EC7-9E513590DC16}"/>
    <cellStyle name="60% - Énfasis4 2 2 2 2 2 2 2 2 2 2 4" xfId="10143" xr:uid="{6CAA070F-68CF-4614-842E-29A6943867DD}"/>
    <cellStyle name="60% - Énfasis4 2 2 2 2 2 2 2 2 2 3" xfId="10144" xr:uid="{63EC9EC1-962B-4834-BE69-F2D09E546E09}"/>
    <cellStyle name="60% - Énfasis4 2 2 2 2 2 2 2 2 2 4" xfId="10145" xr:uid="{80902DBB-EB43-4415-AA4E-4DEFCF4B0B09}"/>
    <cellStyle name="60% - Énfasis4 2 2 2 2 2 2 2 2 3" xfId="10146" xr:uid="{D3FA7D0A-E71F-46B5-B313-5AA962E6DCEB}"/>
    <cellStyle name="60% - Énfasis4 2 2 2 2 2 2 2 2 4" xfId="10147" xr:uid="{88E37AED-2C67-4C7A-9A29-93FF190B2B22}"/>
    <cellStyle name="60% - Énfasis4 2 2 2 2 2 2 2 2 5" xfId="10148" xr:uid="{8D561524-4EC9-4480-BB69-DE05FE2D5032}"/>
    <cellStyle name="60% - Énfasis4 2 2 2 2 2 2 2 3" xfId="10149" xr:uid="{2CF506FA-4A14-4F6F-B1D0-6607156371C7}"/>
    <cellStyle name="60% - Énfasis4 2 2 2 2 2 2 2 3 10" xfId="10150" xr:uid="{8B56CABF-8511-4E0D-AF9D-A94DC489AEE3}"/>
    <cellStyle name="60% - Énfasis4 2 2 2 2 2 2 2 3 11" xfId="10151" xr:uid="{5A8833D7-F44E-4417-A683-EEAC31193260}"/>
    <cellStyle name="60% - Énfasis4 2 2 2 2 2 2 2 3 2" xfId="10152" xr:uid="{AF14D5E1-6041-43B9-8879-FA551CF032B8}"/>
    <cellStyle name="60% - Énfasis4 2 2 2 2 2 2 2 3 2 2" xfId="10153" xr:uid="{389E4935-FC60-4932-81F8-398D5F314465}"/>
    <cellStyle name="60% - Énfasis4 2 2 2 2 2 2 2 3 2 2 2" xfId="10154" xr:uid="{92C4FF92-CF43-4D45-A1F3-029CF886F9D0}"/>
    <cellStyle name="60% - Énfasis4 2 2 2 2 2 2 2 3 2 2 3" xfId="10155" xr:uid="{58F4BE00-3195-4FC5-8223-EF73D17C7520}"/>
    <cellStyle name="60% - Énfasis4 2 2 2 2 2 2 2 3 2 2 4" xfId="10156" xr:uid="{A310C7A9-9616-49CE-AD09-FFBCD1890516}"/>
    <cellStyle name="60% - Énfasis4 2 2 2 2 2 2 2 3 2 2 5" xfId="10157" xr:uid="{C65406D0-26C3-4336-86AE-488F17E17DAE}"/>
    <cellStyle name="60% - Énfasis4 2 2 2 2 2 2 2 3 2 3" xfId="10158" xr:uid="{AFD6712A-C3BD-43BB-8EE8-C96396DC6685}"/>
    <cellStyle name="60% - Énfasis4 2 2 2 2 2 2 2 3 2 4" xfId="10159" xr:uid="{E206658C-6761-4032-875F-79569646E010}"/>
    <cellStyle name="60% - Énfasis4 2 2 2 2 2 2 2 3 2 5" xfId="10160" xr:uid="{2C6EB782-F8C8-48F6-B4FE-736C5640679B}"/>
    <cellStyle name="60% - Énfasis4 2 2 2 2 2 2 2 3 3" xfId="10161" xr:uid="{4579FE22-FC8F-4150-BC1C-B2EAE6D91EF0}"/>
    <cellStyle name="60% - Énfasis4 2 2 2 2 2 2 2 3 4" xfId="10162" xr:uid="{D6FA5310-2389-4217-80B9-142AD10DB5C9}"/>
    <cellStyle name="60% - Énfasis4 2 2 2 2 2 2 2 3 5" xfId="10163" xr:uid="{D1BB94A2-1F30-4469-A0E6-4FD987B78389}"/>
    <cellStyle name="60% - Énfasis4 2 2 2 2 2 2 2 3 6" xfId="10164" xr:uid="{E93AD7B3-E527-4354-B6F1-DB3F80B87FF9}"/>
    <cellStyle name="60% - Énfasis4 2 2 2 2 2 2 2 3 7" xfId="10165" xr:uid="{A0FB0F85-74B0-450A-88FB-7C146CCB7606}"/>
    <cellStyle name="60% - Énfasis4 2 2 2 2 2 2 2 3 8" xfId="10166" xr:uid="{EFB6FA08-AFB9-41D7-A385-0108DD15F388}"/>
    <cellStyle name="60% - Énfasis4 2 2 2 2 2 2 2 3 9" xfId="10167" xr:uid="{CED05C1D-30D1-4DFA-95D2-436458FE71DE}"/>
    <cellStyle name="60% - Énfasis4 2 2 2 2 2 2 2 4" xfId="10168" xr:uid="{7B23D837-6A8A-468B-8DFE-8800145F1A17}"/>
    <cellStyle name="60% - Énfasis4 2 2 2 2 2 2 2 5" xfId="10169" xr:uid="{0F57C2E5-5A5E-46AC-BB65-91C9CB164746}"/>
    <cellStyle name="60% - Énfasis4 2 2 2 2 2 2 3" xfId="10170" xr:uid="{1A84024A-38AF-4031-8145-2ABA775990C9}"/>
    <cellStyle name="60% - Énfasis4 2 2 2 2 2 2 3 10" xfId="10171" xr:uid="{49059A4C-AB5D-483C-85C3-252F0C1AA5F0}"/>
    <cellStyle name="60% - Énfasis4 2 2 2 2 2 2 3 11" xfId="10172" xr:uid="{8542C46B-9F96-417D-B9F4-60F14C5AEB9A}"/>
    <cellStyle name="60% - Énfasis4 2 2 2 2 2 2 3 2" xfId="10173" xr:uid="{C6325CFC-227D-4C74-8F02-DE0B1B3B1552}"/>
    <cellStyle name="60% - Énfasis4 2 2 2 2 2 2 3 2 10" xfId="10174" xr:uid="{93903A90-04EB-461C-A976-F005B0379F09}"/>
    <cellStyle name="60% - Énfasis4 2 2 2 2 2 2 3 2 11" xfId="10175" xr:uid="{2D704F71-7981-45CA-80F8-8BC722121F06}"/>
    <cellStyle name="60% - Énfasis4 2 2 2 2 2 2 3 2 2" xfId="10176" xr:uid="{C3EA97F5-BC91-49F9-8F33-AA673C3F3CE3}"/>
    <cellStyle name="60% - Énfasis4 2 2 2 2 2 2 3 2 2 2" xfId="10177" xr:uid="{A7D8B499-C59D-45BD-A9F5-152709E234E8}"/>
    <cellStyle name="60% - Énfasis4 2 2 2 2 2 2 3 2 2 2 2" xfId="10178" xr:uid="{0F5DB1FE-52A8-4F69-B6B4-C1305C77C2C4}"/>
    <cellStyle name="60% - Énfasis4 2 2 2 2 2 2 3 2 2 2 3" xfId="10179" xr:uid="{C4E4CCAF-769D-47DD-8922-6AAC68C4CA9C}"/>
    <cellStyle name="60% - Énfasis4 2 2 2 2 2 2 3 2 2 2 4" xfId="10180" xr:uid="{96553D27-94EA-4E4B-89C0-AB610FA05969}"/>
    <cellStyle name="60% - Énfasis4 2 2 2 2 2 2 3 2 2 2 5" xfId="10181" xr:uid="{32DC75FA-2EE6-44DF-A237-5032908ABE1D}"/>
    <cellStyle name="60% - Énfasis4 2 2 2 2 2 2 3 2 2 3" xfId="10182" xr:uid="{2BBA1E8D-245D-4E8F-8B12-DA6516AF1367}"/>
    <cellStyle name="60% - Énfasis4 2 2 2 2 2 2 3 2 2 4" xfId="10183" xr:uid="{01E651DC-8DC7-47B0-84C7-1DF77953D0CF}"/>
    <cellStyle name="60% - Énfasis4 2 2 2 2 2 2 3 2 2 5" xfId="10184" xr:uid="{3CA6E048-0D86-41B3-8549-70A52E46442D}"/>
    <cellStyle name="60% - Énfasis4 2 2 2 2 2 2 3 2 3" xfId="10185" xr:uid="{1E062B73-171C-4162-8F76-63B66B23C949}"/>
    <cellStyle name="60% - Énfasis4 2 2 2 2 2 2 3 2 4" xfId="10186" xr:uid="{0061AC6D-A022-48C2-95B3-03C71C1E0DFC}"/>
    <cellStyle name="60% - Énfasis4 2 2 2 2 2 2 3 2 5" xfId="10187" xr:uid="{01D121B5-18DD-4F0E-ACB2-BE7ADA40123B}"/>
    <cellStyle name="60% - Énfasis4 2 2 2 2 2 2 3 2 6" xfId="10188" xr:uid="{237D33B5-ACB5-4805-9736-027855047754}"/>
    <cellStyle name="60% - Énfasis4 2 2 2 2 2 2 3 2 7" xfId="10189" xr:uid="{4C5D1F00-6AB5-41E3-9AE9-CE501DEC3CBA}"/>
    <cellStyle name="60% - Énfasis4 2 2 2 2 2 2 3 2 8" xfId="10190" xr:uid="{C9DA4633-4C3B-48C1-A9FA-17460391F185}"/>
    <cellStyle name="60% - Énfasis4 2 2 2 2 2 2 3 2 9" xfId="10191" xr:uid="{6E22BE73-5262-4F87-95E9-747455DC3CAA}"/>
    <cellStyle name="60% - Énfasis4 2 2 2 2 2 2 3 3" xfId="10192" xr:uid="{F4F306CF-5D96-4ACF-B1D8-EFE55DF99B41}"/>
    <cellStyle name="60% - Énfasis4 2 2 2 2 2 2 3 3 2" xfId="10193" xr:uid="{43FBDE3A-B68C-4843-B262-A55F8F363149}"/>
    <cellStyle name="60% - Énfasis4 2 2 2 2 2 2 3 3 2 2" xfId="10194" xr:uid="{EF81531A-8316-46BF-8CB1-5D015C159091}"/>
    <cellStyle name="60% - Énfasis4 2 2 2 2 2 2 3 3 2 3" xfId="10195" xr:uid="{C9835496-2716-4F6E-9DD7-CA67A5E95216}"/>
    <cellStyle name="60% - Énfasis4 2 2 2 2 2 2 3 3 2 4" xfId="10196" xr:uid="{4A80DC13-A534-4C1F-BA66-8DB2A643DA68}"/>
    <cellStyle name="60% - Énfasis4 2 2 2 2 2 2 3 3 2 5" xfId="10197" xr:uid="{20B0BDC0-8258-4142-BAF0-66331487E62B}"/>
    <cellStyle name="60% - Énfasis4 2 2 2 2 2 2 3 3 3" xfId="10198" xr:uid="{55C1F64A-1A2C-455A-B84E-7AE3A1B0655E}"/>
    <cellStyle name="60% - Énfasis4 2 2 2 2 2 2 3 3 4" xfId="10199" xr:uid="{7326F526-622D-4DC1-935D-D802EA507EBC}"/>
    <cellStyle name="60% - Énfasis4 2 2 2 2 2 2 3 3 5" xfId="10200" xr:uid="{BB69677D-8C62-40CC-8756-7B3745F07A47}"/>
    <cellStyle name="60% - Énfasis4 2 2 2 2 2 2 3 4" xfId="10201" xr:uid="{499E4FCB-F4A9-41B0-BBB8-08990D97002F}"/>
    <cellStyle name="60% - Énfasis4 2 2 2 2 2 2 3 5" xfId="10202" xr:uid="{39BE1337-1756-459D-9969-95FF4B57775A}"/>
    <cellStyle name="60% - Énfasis4 2 2 2 2 2 2 3 6" xfId="10203" xr:uid="{26E7A60A-04A2-42A7-ADAD-B5D197BF22B7}"/>
    <cellStyle name="60% - Énfasis4 2 2 2 2 2 2 3 7" xfId="10204" xr:uid="{2BA41206-152B-418F-8EDE-D6457EB9004C}"/>
    <cellStyle name="60% - Énfasis4 2 2 2 2 2 2 3 8" xfId="10205" xr:uid="{56DCBECB-BEC7-4626-BA9F-5131EC06E3A4}"/>
    <cellStyle name="60% - Énfasis4 2 2 2 2 2 2 3 9" xfId="10206" xr:uid="{6A8A867E-8FBB-4D16-83DF-4439E9C2CCFB}"/>
    <cellStyle name="60% - Énfasis4 2 2 2 2 2 2 4" xfId="10207" xr:uid="{D04546F1-E312-4028-A777-58F21CC771AE}"/>
    <cellStyle name="60% - Énfasis4 2 2 2 2 2 2 5" xfId="10208" xr:uid="{648E6531-3F9E-4A37-9350-E3012A2D5987}"/>
    <cellStyle name="60% - Énfasis4 2 2 2 2 2 2 6" xfId="10209" xr:uid="{56D18EBB-1C31-4937-B827-80E7536A0AA8}"/>
    <cellStyle name="60% - Énfasis4 2 2 2 2 2 3" xfId="10210" xr:uid="{EAD24A15-755B-4C65-B67A-EE250D00EF71}"/>
    <cellStyle name="60% - Énfasis4 2 2 2 2 2 3 10" xfId="10211" xr:uid="{BC2E5235-D3C4-445D-ABB7-A62A2A64F1DF}"/>
    <cellStyle name="60% - Énfasis4 2 2 2 2 2 3 11" xfId="10212" xr:uid="{77ABF618-BA2C-4538-938A-080058621CA7}"/>
    <cellStyle name="60% - Énfasis4 2 2 2 2 2 3 2" xfId="10213" xr:uid="{D76B8117-F211-404B-A6DC-5A6719571089}"/>
    <cellStyle name="60% - Énfasis4 2 2 2 2 2 3 2 10" xfId="10214" xr:uid="{C31BF629-06B4-4151-AD92-0752A30AC26E}"/>
    <cellStyle name="60% - Énfasis4 2 2 2 2 2 3 2 11" xfId="10215" xr:uid="{A2787ABF-8179-4D38-B316-9BC2F6749678}"/>
    <cellStyle name="60% - Énfasis4 2 2 2 2 2 3 2 2" xfId="10216" xr:uid="{1B7A8A84-789D-48D7-B5E3-0E4A1B458BE8}"/>
    <cellStyle name="60% - Énfasis4 2 2 2 2 2 3 2 2 2" xfId="10217" xr:uid="{71AAC481-5892-4896-9334-976A632AE720}"/>
    <cellStyle name="60% - Énfasis4 2 2 2 2 2 3 2 2 2 2" xfId="10218" xr:uid="{B18EB396-4326-4496-9EDE-C68A0166EA62}"/>
    <cellStyle name="60% - Énfasis4 2 2 2 2 2 3 2 2 2 3" xfId="10219" xr:uid="{1894DAE8-762B-4682-BCE0-A78D66E02198}"/>
    <cellStyle name="60% - Énfasis4 2 2 2 2 2 3 2 2 2 4" xfId="10220" xr:uid="{27F484F6-AE7B-4EA8-848A-285539F90E7A}"/>
    <cellStyle name="60% - Énfasis4 2 2 2 2 2 3 2 2 2 5" xfId="10221" xr:uid="{3520A4E6-9751-4F1F-85BA-7C276A8FF70E}"/>
    <cellStyle name="60% - Énfasis4 2 2 2 2 2 3 2 2 3" xfId="10222" xr:uid="{9DFAB295-1ED1-44EF-A2E6-6B4D673DA45A}"/>
    <cellStyle name="60% - Énfasis4 2 2 2 2 2 3 2 2 4" xfId="10223" xr:uid="{FAF0F517-5259-40CA-8F30-D17F8EF8ACF9}"/>
    <cellStyle name="60% - Énfasis4 2 2 2 2 2 3 2 2 5" xfId="10224" xr:uid="{CEABD90E-00A5-4CA5-974D-DA5AE3F5A371}"/>
    <cellStyle name="60% - Énfasis4 2 2 2 2 2 3 2 3" xfId="10225" xr:uid="{9A1BC7B1-B126-47A2-B6BF-91D1B9D85051}"/>
    <cellStyle name="60% - Énfasis4 2 2 2 2 2 3 2 4" xfId="10226" xr:uid="{55CEF7F3-39A0-4F80-9768-9141DC8867A4}"/>
    <cellStyle name="60% - Énfasis4 2 2 2 2 2 3 2 5" xfId="10227" xr:uid="{98ACE3DE-4DE5-4886-90F8-03DEC3C23358}"/>
    <cellStyle name="60% - Énfasis4 2 2 2 2 2 3 2 6" xfId="10228" xr:uid="{9D90B715-29B7-48F6-AD95-39A13F17624B}"/>
    <cellStyle name="60% - Énfasis4 2 2 2 2 2 3 2 7" xfId="10229" xr:uid="{F4B26FDF-0709-4928-8539-E5911F102F69}"/>
    <cellStyle name="60% - Énfasis4 2 2 2 2 2 3 2 8" xfId="10230" xr:uid="{C149F3D2-EEF9-47E4-A1FB-DD3F3B2DB25B}"/>
    <cellStyle name="60% - Énfasis4 2 2 2 2 2 3 2 9" xfId="10231" xr:uid="{42475699-A46C-47C7-A71B-076D78CAA51D}"/>
    <cellStyle name="60% - Énfasis4 2 2 2 2 2 3 3" xfId="10232" xr:uid="{6E4854CD-B268-465C-82B9-05B82E6A6E66}"/>
    <cellStyle name="60% - Énfasis4 2 2 2 2 2 3 3 2" xfId="10233" xr:uid="{3925503C-4BC9-4FD2-A88F-F9156069C95E}"/>
    <cellStyle name="60% - Énfasis4 2 2 2 2 2 3 3 2 2" xfId="10234" xr:uid="{1F03DAA2-0D01-42D9-A087-14EAD2348EED}"/>
    <cellStyle name="60% - Énfasis4 2 2 2 2 2 3 3 2 3" xfId="10235" xr:uid="{8D79C992-6EC5-4EBC-9935-C672BB20A899}"/>
    <cellStyle name="60% - Énfasis4 2 2 2 2 2 3 3 2 4" xfId="10236" xr:uid="{E8EC8D44-33FA-4CAB-9841-A25DC0AA7753}"/>
    <cellStyle name="60% - Énfasis4 2 2 2 2 2 3 3 2 5" xfId="10237" xr:uid="{AF381A6C-DF61-4DFF-9784-7327C54D7538}"/>
    <cellStyle name="60% - Énfasis4 2 2 2 2 2 3 3 3" xfId="10238" xr:uid="{36C90DD9-9297-4115-B26D-5E38FEA98715}"/>
    <cellStyle name="60% - Énfasis4 2 2 2 2 2 3 3 4" xfId="10239" xr:uid="{762640CC-77D5-4F6B-AEDE-ABF489DE5CC7}"/>
    <cellStyle name="60% - Énfasis4 2 2 2 2 2 3 3 5" xfId="10240" xr:uid="{0159F7FB-066E-45B1-9C2C-4A2ED2F6CA1F}"/>
    <cellStyle name="60% - Énfasis4 2 2 2 2 2 3 4" xfId="10241" xr:uid="{28E311FC-C706-4509-957D-22ED2B13B66C}"/>
    <cellStyle name="60% - Énfasis4 2 2 2 2 2 3 5" xfId="10242" xr:uid="{C7A77C86-BB66-448A-9144-FB493F2DB1C9}"/>
    <cellStyle name="60% - Énfasis4 2 2 2 2 2 3 6" xfId="10243" xr:uid="{32C7964E-7883-4D65-96D1-8B81F71D9306}"/>
    <cellStyle name="60% - Énfasis4 2 2 2 2 2 3 7" xfId="10244" xr:uid="{F52BCD27-6499-4317-B8F6-15E55496F7DF}"/>
    <cellStyle name="60% - Énfasis4 2 2 2 2 2 3 8" xfId="10245" xr:uid="{E8BB9700-9514-4326-812F-874FD4BC2C7D}"/>
    <cellStyle name="60% - Énfasis4 2 2 2 2 2 3 9" xfId="10246" xr:uid="{E1FA5522-3752-4BDB-8E00-6E38852FB37C}"/>
    <cellStyle name="60% - Énfasis4 2 2 2 2 2 4" xfId="10247" xr:uid="{46B0DF93-C64A-4F1C-9639-468E4A9A6894}"/>
    <cellStyle name="60% - Énfasis4 2 2 2 2 2 5" xfId="10248" xr:uid="{9FB1F5F0-764F-4154-B4CA-FFC75E3ABD8B}"/>
    <cellStyle name="60% - Énfasis4 2 2 2 2 2 6" xfId="10249" xr:uid="{98956842-5370-4D0E-ADD7-1EB8B49D8104}"/>
    <cellStyle name="60% - Énfasis4 2 2 2 2 3" xfId="10250" xr:uid="{CB75834B-3632-41BA-9762-55BFB648B5B5}"/>
    <cellStyle name="60% - Énfasis4 2 2 2 2 4" xfId="10251" xr:uid="{E5736C26-9B8E-4AFA-9A15-102F15D87FB5}"/>
    <cellStyle name="60% - Énfasis4 2 2 2 2 4 10" xfId="10252" xr:uid="{4D347C41-77B2-43F7-98CC-AB97C7C9FD4C}"/>
    <cellStyle name="60% - Énfasis4 2 2 2 2 4 11" xfId="10253" xr:uid="{16449AD1-0B79-4C25-9609-70CFB220FCC9}"/>
    <cellStyle name="60% - Énfasis4 2 2 2 2 4 2" xfId="10254" xr:uid="{11A4B35A-9DEA-429D-8903-03476C1D9BEC}"/>
    <cellStyle name="60% - Énfasis4 2 2 2 2 4 2 10" xfId="10255" xr:uid="{233B554F-2D2A-4328-AF01-5A79B6AB21A8}"/>
    <cellStyle name="60% - Énfasis4 2 2 2 2 4 2 11" xfId="10256" xr:uid="{2CEF997C-7461-4FC2-AE5B-CF2542BBEF45}"/>
    <cellStyle name="60% - Énfasis4 2 2 2 2 4 2 2" xfId="10257" xr:uid="{701B89A0-BD71-41FA-9934-9B7BC5BE1F1D}"/>
    <cellStyle name="60% - Énfasis4 2 2 2 2 4 2 2 2" xfId="10258" xr:uid="{9ED02EA6-53FD-4AC4-81E6-989F4C795615}"/>
    <cellStyle name="60% - Énfasis4 2 2 2 2 4 2 2 2 2" xfId="10259" xr:uid="{7E927A4F-2F9F-4BEA-9777-72B4300985C8}"/>
    <cellStyle name="60% - Énfasis4 2 2 2 2 4 2 2 2 3" xfId="10260" xr:uid="{7DCE0940-D3DA-4B3A-81C8-B844997E71DC}"/>
    <cellStyle name="60% - Énfasis4 2 2 2 2 4 2 2 2 4" xfId="10261" xr:uid="{8FDA6673-B2C5-4EB6-8198-10ACF7D00A65}"/>
    <cellStyle name="60% - Énfasis4 2 2 2 2 4 2 2 2 5" xfId="10262" xr:uid="{EAA760DA-41BA-42A7-9721-7D36DE127C54}"/>
    <cellStyle name="60% - Énfasis4 2 2 2 2 4 2 2 3" xfId="10263" xr:uid="{69645053-070E-4B81-BFDC-C685C8505818}"/>
    <cellStyle name="60% - Énfasis4 2 2 2 2 4 2 2 4" xfId="10264" xr:uid="{3C064B8F-91C6-45B5-B331-1CBFB221142F}"/>
    <cellStyle name="60% - Énfasis4 2 2 2 2 4 2 2 5" xfId="10265" xr:uid="{8EDBD4D2-6FFC-4437-9CD5-F746F8C69BE7}"/>
    <cellStyle name="60% - Énfasis4 2 2 2 2 4 2 3" xfId="10266" xr:uid="{ABC79744-0D9B-48E6-98B2-D29704A687B3}"/>
    <cellStyle name="60% - Énfasis4 2 2 2 2 4 2 4" xfId="10267" xr:uid="{B2BCC555-0C14-4FFA-8A86-CC12EFC798ED}"/>
    <cellStyle name="60% - Énfasis4 2 2 2 2 4 2 5" xfId="10268" xr:uid="{CE141233-B0BB-4F5B-AB03-E97B90FD395C}"/>
    <cellStyle name="60% - Énfasis4 2 2 2 2 4 2 6" xfId="10269" xr:uid="{A0D4B646-D4EF-4403-8330-010428F12921}"/>
    <cellStyle name="60% - Énfasis4 2 2 2 2 4 2 7" xfId="10270" xr:uid="{3969F12A-20D1-495F-8D97-5D3F81786827}"/>
    <cellStyle name="60% - Énfasis4 2 2 2 2 4 2 8" xfId="10271" xr:uid="{D6619F3F-9D1E-445A-8023-9A464578F2B1}"/>
    <cellStyle name="60% - Énfasis4 2 2 2 2 4 2 9" xfId="10272" xr:uid="{55D28920-5E3C-43C3-8928-C12EF65537B1}"/>
    <cellStyle name="60% - Énfasis4 2 2 2 2 4 3" xfId="10273" xr:uid="{F4DD7D5C-A6C5-49BA-BDEA-C507E8806E49}"/>
    <cellStyle name="60% - Énfasis4 2 2 2 2 4 3 2" xfId="10274" xr:uid="{C6DA77D8-9838-4DF5-A620-955B4D301870}"/>
    <cellStyle name="60% - Énfasis4 2 2 2 2 4 3 2 2" xfId="10275" xr:uid="{CA20C02D-57DA-45BE-8503-4AC863BF3E17}"/>
    <cellStyle name="60% - Énfasis4 2 2 2 2 4 3 2 3" xfId="10276" xr:uid="{99503297-8C9E-4565-9A60-F6E774C5C55C}"/>
    <cellStyle name="60% - Énfasis4 2 2 2 2 4 3 2 4" xfId="10277" xr:uid="{028ECF76-5CD0-401D-B00B-FAFAF8488C4F}"/>
    <cellStyle name="60% - Énfasis4 2 2 2 2 4 3 2 5" xfId="10278" xr:uid="{F584277C-2306-4C13-97FD-CFDB943E44FB}"/>
    <cellStyle name="60% - Énfasis4 2 2 2 2 4 3 3" xfId="10279" xr:uid="{347177EA-E27D-4699-9805-B83EC858587C}"/>
    <cellStyle name="60% - Énfasis4 2 2 2 2 4 3 4" xfId="10280" xr:uid="{7251484D-D0B0-4C06-8D10-A859D1586CE8}"/>
    <cellStyle name="60% - Énfasis4 2 2 2 2 4 3 5" xfId="10281" xr:uid="{EC1FE791-8062-4F69-BA29-EBDD2217C303}"/>
    <cellStyle name="60% - Énfasis4 2 2 2 2 4 4" xfId="10282" xr:uid="{BE065550-F138-4D50-84C2-6E62A74B17A6}"/>
    <cellStyle name="60% - Énfasis4 2 2 2 2 4 5" xfId="10283" xr:uid="{3F8B3923-D70A-4B53-83A1-60953BFF2A6A}"/>
    <cellStyle name="60% - Énfasis4 2 2 2 2 4 6" xfId="10284" xr:uid="{B979E243-D9F1-446D-9B2F-1DD5D48C2690}"/>
    <cellStyle name="60% - Énfasis4 2 2 2 2 4 7" xfId="10285" xr:uid="{7773184E-A27F-4D8A-8DB1-36AB4DCD5CF9}"/>
    <cellStyle name="60% - Énfasis4 2 2 2 2 4 8" xfId="10286" xr:uid="{CE101C47-B609-4FC0-808A-D58577F9FFD5}"/>
    <cellStyle name="60% - Énfasis4 2 2 2 2 4 9" xfId="10287" xr:uid="{924B7E40-FF7A-47F1-9CFF-FBE225BC913D}"/>
    <cellStyle name="60% - Énfasis4 2 2 2 2 5" xfId="10288" xr:uid="{EEA137D9-86A7-481C-BA29-91B4BAEB319B}"/>
    <cellStyle name="60% - Énfasis4 2 2 2 2 6" xfId="10289" xr:uid="{5A70A48D-F985-4731-8BE6-7CCE548C621F}"/>
    <cellStyle name="60% - Énfasis4 2 2 2 2 7" xfId="10290" xr:uid="{7C2FBEF7-031A-4F00-B525-2F0EB5242CBF}"/>
    <cellStyle name="60% - Énfasis4 2 2 2 3" xfId="10291" xr:uid="{9CC102FB-BA12-4D8A-B90F-EB12DBD0473A}"/>
    <cellStyle name="60% - Énfasis4 2 2 2 4" xfId="10292" xr:uid="{CBC6FBA4-30DE-4AFB-9137-D6E80EC0ADCC}"/>
    <cellStyle name="60% - Énfasis4 2 2 2 5" xfId="10293" xr:uid="{620FD3B6-3793-495E-B0AF-69B400E8A0A1}"/>
    <cellStyle name="60% - Énfasis4 2 2 2 5 10" xfId="10294" xr:uid="{C632C7B8-3182-4BED-90F8-87D055C97D7D}"/>
    <cellStyle name="60% - Énfasis4 2 2 2 5 11" xfId="10295" xr:uid="{6C08EC7F-F5EE-461C-AE67-B82AC43D3E99}"/>
    <cellStyle name="60% - Énfasis4 2 2 2 5 2" xfId="10296" xr:uid="{A6F04921-22AA-4AFC-B017-4579B1C415E9}"/>
    <cellStyle name="60% - Énfasis4 2 2 2 5 2 10" xfId="10297" xr:uid="{1DD8D09B-BA34-4EF2-8758-7E92892A4592}"/>
    <cellStyle name="60% - Énfasis4 2 2 2 5 2 11" xfId="10298" xr:uid="{851835C9-C06D-4BB0-B7C5-C1A520727DEA}"/>
    <cellStyle name="60% - Énfasis4 2 2 2 5 2 2" xfId="10299" xr:uid="{6EAF8583-0ADB-46A3-97E9-CBA0D9A6E165}"/>
    <cellStyle name="60% - Énfasis4 2 2 2 5 2 2 2" xfId="10300" xr:uid="{B24C05FC-649E-42DC-A1BD-7C7E739F95F0}"/>
    <cellStyle name="60% - Énfasis4 2 2 2 5 2 2 2 2" xfId="10301" xr:uid="{E695C026-350B-49A6-B4C6-4246E4E570E3}"/>
    <cellStyle name="60% - Énfasis4 2 2 2 5 2 2 2 3" xfId="10302" xr:uid="{0F10C86C-72D4-457C-9651-800DB5313ED8}"/>
    <cellStyle name="60% - Énfasis4 2 2 2 5 2 2 2 4" xfId="10303" xr:uid="{84762475-3AF5-4868-A1A4-91C443D5D766}"/>
    <cellStyle name="60% - Énfasis4 2 2 2 5 2 2 2 5" xfId="10304" xr:uid="{927ECF4C-D8E5-4BED-B2D3-6DBF12B072FB}"/>
    <cellStyle name="60% - Énfasis4 2 2 2 5 2 2 3" xfId="10305" xr:uid="{1BCE3B64-47D4-4A75-9604-E8AE2425400B}"/>
    <cellStyle name="60% - Énfasis4 2 2 2 5 2 2 4" xfId="10306" xr:uid="{A2622FFF-6246-467A-A169-60AEEF1ECAE6}"/>
    <cellStyle name="60% - Énfasis4 2 2 2 5 2 2 5" xfId="10307" xr:uid="{A5A84AEC-C602-4703-BE82-7E749455F3FD}"/>
    <cellStyle name="60% - Énfasis4 2 2 2 5 2 3" xfId="10308" xr:uid="{0EB5978F-B5DA-4FC9-AA93-AA5D8826DBE8}"/>
    <cellStyle name="60% - Énfasis4 2 2 2 5 2 4" xfId="10309" xr:uid="{959565B6-CF41-4ECE-9784-6514A4B19436}"/>
    <cellStyle name="60% - Énfasis4 2 2 2 5 2 5" xfId="10310" xr:uid="{DAF59B78-B2CA-41C2-AB99-12B7631DD682}"/>
    <cellStyle name="60% - Énfasis4 2 2 2 5 2 6" xfId="10311" xr:uid="{B6C0D182-D4BD-40F2-9EB9-5641BA7BE82E}"/>
    <cellStyle name="60% - Énfasis4 2 2 2 5 2 7" xfId="10312" xr:uid="{4380F8D8-7985-4176-AC15-298EF021D817}"/>
    <cellStyle name="60% - Énfasis4 2 2 2 5 2 8" xfId="10313" xr:uid="{AE829F3E-3414-4E21-AC1D-69BA42637253}"/>
    <cellStyle name="60% - Énfasis4 2 2 2 5 2 9" xfId="10314" xr:uid="{F075E5C0-2161-4B44-8947-4F6FF5DE2C97}"/>
    <cellStyle name="60% - Énfasis4 2 2 2 5 3" xfId="10315" xr:uid="{DE42F770-4867-44EC-BB2F-1371FE8DF7DF}"/>
    <cellStyle name="60% - Énfasis4 2 2 2 5 3 2" xfId="10316" xr:uid="{0EB5787A-11DC-4913-A036-9377F1F9A189}"/>
    <cellStyle name="60% - Énfasis4 2 2 2 5 3 2 2" xfId="10317" xr:uid="{42A807C4-9BDC-40BE-BAA3-9B303B9FC31A}"/>
    <cellStyle name="60% - Énfasis4 2 2 2 5 3 2 3" xfId="10318" xr:uid="{5C177778-C56D-4A70-ACEB-C5C149515937}"/>
    <cellStyle name="60% - Énfasis4 2 2 2 5 3 2 4" xfId="10319" xr:uid="{4950C893-049C-439D-BA59-3C0673603A5C}"/>
    <cellStyle name="60% - Énfasis4 2 2 2 5 3 2 5" xfId="10320" xr:uid="{7408FF7D-CEB6-4E9E-9353-C00C877A5311}"/>
    <cellStyle name="60% - Énfasis4 2 2 2 5 3 3" xfId="10321" xr:uid="{E8666F35-F19D-4EE9-9A6C-F899D8D7E96F}"/>
    <cellStyle name="60% - Énfasis4 2 2 2 5 3 4" xfId="10322" xr:uid="{C14B0040-8BAB-468D-B28E-3BCD6ED4BA96}"/>
    <cellStyle name="60% - Énfasis4 2 2 2 5 3 5" xfId="10323" xr:uid="{B0B445C5-0B4F-4AC2-B432-E7F15E6AF7A9}"/>
    <cellStyle name="60% - Énfasis4 2 2 2 5 4" xfId="10324" xr:uid="{D5659274-AE0B-4807-ABF4-FECA976C80BB}"/>
    <cellStyle name="60% - Énfasis4 2 2 2 5 5" xfId="10325" xr:uid="{F3CE1C7C-3989-4895-BF93-32D5D7425732}"/>
    <cellStyle name="60% - Énfasis4 2 2 2 5 6" xfId="10326" xr:uid="{52841498-A1E0-428A-AFB9-8E09CDCA29A0}"/>
    <cellStyle name="60% - Énfasis4 2 2 2 5 7" xfId="10327" xr:uid="{5805D0D6-FD98-48F3-9A85-38F4A11C04B8}"/>
    <cellStyle name="60% - Énfasis4 2 2 2 5 8" xfId="10328" xr:uid="{10720329-C171-4428-85CB-4AC8798D8951}"/>
    <cellStyle name="60% - Énfasis4 2 2 2 5 9" xfId="10329" xr:uid="{A0FB12F3-158F-4D43-A17A-A6B3821A6048}"/>
    <cellStyle name="60% - Énfasis4 2 2 2 6" xfId="10330" xr:uid="{2D354943-B402-4BFE-9E7D-CDCEB7F9C93A}"/>
    <cellStyle name="60% - Énfasis4 2 2 2 7" xfId="10331" xr:uid="{60DB2063-F8E1-40AB-A327-570C1F8451EA}"/>
    <cellStyle name="60% - Énfasis4 2 2 2 8" xfId="10332" xr:uid="{85E1DB41-DFDF-4D1F-82AE-BC5C521E3574}"/>
    <cellStyle name="60% - Énfasis4 2 2 3" xfId="10333" xr:uid="{214B0997-024D-476B-9A4C-35ABA17F7628}"/>
    <cellStyle name="60% - Énfasis4 2 2 4" xfId="10334" xr:uid="{576252C9-55FD-4E69-AEB4-FC93A8144E12}"/>
    <cellStyle name="60% - Énfasis4 2 2 5" xfId="10335" xr:uid="{63922B10-A7C1-41D0-B281-D2658FE549D0}"/>
    <cellStyle name="60% - Énfasis4 2 2 6" xfId="10336" xr:uid="{F4966E5A-19B7-4673-A336-0FDBA4AFD2DE}"/>
    <cellStyle name="60% - Énfasis4 2 2 7" xfId="10337" xr:uid="{FAE6D5BF-CE4D-4D4D-9390-8D99C04013C7}"/>
    <cellStyle name="60% - Énfasis4 2 2 8" xfId="10338" xr:uid="{DE16D50A-6337-44BB-A500-DCBD749740FA}"/>
    <cellStyle name="60% - Énfasis4 2 2 8 2" xfId="10339" xr:uid="{76812BFD-91C7-47F9-8CF7-1118C12D43BD}"/>
    <cellStyle name="60% - Énfasis4 2 2 9" xfId="10340" xr:uid="{687F6FCE-65E1-4EF9-A41C-6479685B25B0}"/>
    <cellStyle name="60% - Énfasis4 2 3" xfId="10341" xr:uid="{96E3F0A7-C0EC-4A6E-ADBA-BFF8BE382C7A}"/>
    <cellStyle name="60% - Énfasis4 2 4" xfId="10342" xr:uid="{AC5E00BE-FF67-4F6F-A081-D50B7B4C713F}"/>
    <cellStyle name="60% - Énfasis4 2 4 10" xfId="10343" xr:uid="{F887F0D1-3633-47A1-A863-2A552B5B8F89}"/>
    <cellStyle name="60% - Énfasis4 2 4 11" xfId="10344" xr:uid="{CC23504A-0BF3-4A8C-BA26-66987EB368F8}"/>
    <cellStyle name="60% - Énfasis4 2 4 12" xfId="10345" xr:uid="{53316D90-F9DA-458E-976B-50DDAD5ACC80}"/>
    <cellStyle name="60% - Énfasis4 2 4 2" xfId="10346" xr:uid="{E8A44BD4-CB92-4AD6-B882-9FE750338E83}"/>
    <cellStyle name="60% - Énfasis4 2 4 2 10" xfId="10347" xr:uid="{2B2CD8F0-8226-46EE-9E34-04BFC158D236}"/>
    <cellStyle name="60% - Énfasis4 2 4 2 11" xfId="10348" xr:uid="{C68B875B-6DFC-487D-9AD4-6DA7CC2503E0}"/>
    <cellStyle name="60% - Énfasis4 2 4 2 12" xfId="10349" xr:uid="{DEB6C546-5B0B-4CC1-8592-6A57A1B202EA}"/>
    <cellStyle name="60% - Énfasis4 2 4 2 2" xfId="10350" xr:uid="{9B837C2D-892A-4181-AEE3-75D54E201F1D}"/>
    <cellStyle name="60% - Énfasis4 2 4 2 2 10" xfId="10351" xr:uid="{CA2EB4BD-382F-4846-A969-44F8965E54A8}"/>
    <cellStyle name="60% - Énfasis4 2 4 2 2 11" xfId="10352" xr:uid="{5C6DF84E-64CD-4591-9517-3090B1BD6F45}"/>
    <cellStyle name="60% - Énfasis4 2 4 2 2 2" xfId="10353" xr:uid="{13F0C437-4576-4ADF-948E-629A1C328B09}"/>
    <cellStyle name="60% - Énfasis4 2 4 2 2 2 10" xfId="10354" xr:uid="{A56BFA2C-CEE4-4AE1-9D27-2DA21F4D82FA}"/>
    <cellStyle name="60% - Énfasis4 2 4 2 2 2 11" xfId="10355" xr:uid="{AFF7952C-E338-4F1C-A03E-6E0EB625E3F1}"/>
    <cellStyle name="60% - Énfasis4 2 4 2 2 2 2" xfId="10356" xr:uid="{B2EEB778-6FA2-45E9-AC03-088A2B0FE6EF}"/>
    <cellStyle name="60% - Énfasis4 2 4 2 2 2 2 2" xfId="10357" xr:uid="{8CC2650A-327A-48A5-99F6-E299675E268B}"/>
    <cellStyle name="60% - Énfasis4 2 4 2 2 2 2 2 2" xfId="10358" xr:uid="{AB37786D-1F1E-447D-8313-BB214F66086E}"/>
    <cellStyle name="60% - Énfasis4 2 4 2 2 2 2 2 3" xfId="10359" xr:uid="{4E2AB044-3DA4-4199-8382-684B8DCE0FAE}"/>
    <cellStyle name="60% - Énfasis4 2 4 2 2 2 2 2 4" xfId="10360" xr:uid="{8E88C374-C39C-4EC3-9F8E-D7CB7C594B3B}"/>
    <cellStyle name="60% - Énfasis4 2 4 2 2 2 2 2 5" xfId="10361" xr:uid="{68AD01E7-AC93-4979-B656-7B03F6789916}"/>
    <cellStyle name="60% - Énfasis4 2 4 2 2 2 2 3" xfId="10362" xr:uid="{0D62A8AC-6E8A-438F-B47A-0624B3501D26}"/>
    <cellStyle name="60% - Énfasis4 2 4 2 2 2 2 4" xfId="10363" xr:uid="{8A86295A-C2BE-4CF5-BD7C-692534A35380}"/>
    <cellStyle name="60% - Énfasis4 2 4 2 2 2 2 5" xfId="10364" xr:uid="{C0336B23-2E1D-40C3-BF16-5DD404E83684}"/>
    <cellStyle name="60% - Énfasis4 2 4 2 2 2 3" xfId="10365" xr:uid="{4EB82041-35CE-4B2C-B88C-386369A3B436}"/>
    <cellStyle name="60% - Énfasis4 2 4 2 2 2 4" xfId="10366" xr:uid="{F47D4C32-A757-4946-A5F0-17B52D948301}"/>
    <cellStyle name="60% - Énfasis4 2 4 2 2 2 5" xfId="10367" xr:uid="{3EB6265B-BC7B-46B2-82F1-88CA36A5A46A}"/>
    <cellStyle name="60% - Énfasis4 2 4 2 2 2 6" xfId="10368" xr:uid="{533CBA1B-19A7-4972-BD0A-DAFD721F0ADA}"/>
    <cellStyle name="60% - Énfasis4 2 4 2 2 2 7" xfId="10369" xr:uid="{757FDE59-185F-46E7-89A4-B19AE1DCF257}"/>
    <cellStyle name="60% - Énfasis4 2 4 2 2 2 8" xfId="10370" xr:uid="{7766AEAA-CAC9-4883-9C8A-FA30514C5BEB}"/>
    <cellStyle name="60% - Énfasis4 2 4 2 2 2 9" xfId="10371" xr:uid="{58C32DAA-477B-4541-8CA9-643C13680816}"/>
    <cellStyle name="60% - Énfasis4 2 4 2 2 3" xfId="10372" xr:uid="{6E2FF6B6-EC9A-4217-886D-2CC1EA1B1A2A}"/>
    <cellStyle name="60% - Énfasis4 2 4 2 2 3 2" xfId="10373" xr:uid="{619571F8-66D4-4131-AAFB-9821ED307C73}"/>
    <cellStyle name="60% - Énfasis4 2 4 2 2 3 2 2" xfId="10374" xr:uid="{C77BFEC2-6316-48A9-BA6A-353B8E8D1715}"/>
    <cellStyle name="60% - Énfasis4 2 4 2 2 3 2 3" xfId="10375" xr:uid="{69665285-D4AB-4F58-90C7-45043F3E0B58}"/>
    <cellStyle name="60% - Énfasis4 2 4 2 2 3 2 4" xfId="10376" xr:uid="{4874F5A4-8B93-4AE6-BEF9-35E2A6FA0BBE}"/>
    <cellStyle name="60% - Énfasis4 2 4 2 2 3 2 5" xfId="10377" xr:uid="{D91B6745-0E1B-4070-8D75-A74A6C7B43C0}"/>
    <cellStyle name="60% - Énfasis4 2 4 2 2 3 3" xfId="10378" xr:uid="{35337E0C-08EC-44BE-9353-7F020879A186}"/>
    <cellStyle name="60% - Énfasis4 2 4 2 2 3 4" xfId="10379" xr:uid="{6EF41E5F-36EC-4FB3-9492-7763ABF446D2}"/>
    <cellStyle name="60% - Énfasis4 2 4 2 2 3 5" xfId="10380" xr:uid="{C4D293D9-0A11-4750-9000-B63621FCEF53}"/>
    <cellStyle name="60% - Énfasis4 2 4 2 2 4" xfId="10381" xr:uid="{97F32A95-D75C-4679-9318-5ADD18689458}"/>
    <cellStyle name="60% - Énfasis4 2 4 2 2 5" xfId="10382" xr:uid="{2DCBBDDF-5A49-406E-AF7F-214293189877}"/>
    <cellStyle name="60% - Énfasis4 2 4 2 2 6" xfId="10383" xr:uid="{923A923F-74F3-4F49-98EB-C81307370E18}"/>
    <cellStyle name="60% - Énfasis4 2 4 2 2 7" xfId="10384" xr:uid="{9A9E6762-6231-4B35-843F-9A5475579652}"/>
    <cellStyle name="60% - Énfasis4 2 4 2 2 8" xfId="10385" xr:uid="{F021057A-7A43-47E0-998A-1D7EC7673894}"/>
    <cellStyle name="60% - Énfasis4 2 4 2 2 9" xfId="10386" xr:uid="{21CB9C8B-BC5C-4CA1-A776-394EE2CC8F8B}"/>
    <cellStyle name="60% - Énfasis4 2 4 2 3" xfId="10387" xr:uid="{E4BD3867-B886-4FE4-BEEA-A90D498809AE}"/>
    <cellStyle name="60% - Énfasis4 2 4 2 3 2" xfId="10388" xr:uid="{F7E07B11-D7A7-4F88-BC87-A8A24FA882DD}"/>
    <cellStyle name="60% - Énfasis4 2 4 2 3 2 2" xfId="10389" xr:uid="{09696A51-9D45-48E3-AF9D-C59996B69AFC}"/>
    <cellStyle name="60% - Énfasis4 2 4 2 3 2 3" xfId="10390" xr:uid="{D193E696-1F90-43BC-AED1-83CBC7EEA280}"/>
    <cellStyle name="60% - Énfasis4 2 4 2 3 2 4" xfId="10391" xr:uid="{B7383A58-B056-4044-8F1B-F54FBAC6DC31}"/>
    <cellStyle name="60% - Énfasis4 2 4 2 3 2 5" xfId="10392" xr:uid="{38AFA638-5BBD-46DB-95A8-A91800F6978D}"/>
    <cellStyle name="60% - Énfasis4 2 4 2 3 3" xfId="10393" xr:uid="{FFB7448A-2E14-4595-8659-552C53D65B55}"/>
    <cellStyle name="60% - Énfasis4 2 4 2 3 4" xfId="10394" xr:uid="{52FA9DEE-6D6A-4C04-8C25-0FFA68F610E4}"/>
    <cellStyle name="60% - Énfasis4 2 4 2 3 5" xfId="10395" xr:uid="{DA65AAFC-269D-49D1-A0B5-740E86940C00}"/>
    <cellStyle name="60% - Énfasis4 2 4 2 4" xfId="10396" xr:uid="{A88E4145-7AF8-40B0-883C-2E668C79B389}"/>
    <cellStyle name="60% - Énfasis4 2 4 2 5" xfId="10397" xr:uid="{AE1F3FD0-880A-4A38-9990-6DB91C15C54C}"/>
    <cellStyle name="60% - Énfasis4 2 4 2 6" xfId="10398" xr:uid="{E83F1A17-9F81-4679-BB83-7ED57B105439}"/>
    <cellStyle name="60% - Énfasis4 2 4 2 7" xfId="10399" xr:uid="{E805BC72-584B-4534-A063-CE9A6659A83B}"/>
    <cellStyle name="60% - Énfasis4 2 4 2 8" xfId="10400" xr:uid="{FD342FB3-2209-41D5-9211-90C0ABA43BE0}"/>
    <cellStyle name="60% - Énfasis4 2 4 2 9" xfId="10401" xr:uid="{B2782810-C5DF-452C-BA12-F9FD19383D1C}"/>
    <cellStyle name="60% - Énfasis4 2 4 3" xfId="10402" xr:uid="{5518BB9B-7DCC-42E0-A03D-B3194D0076CD}"/>
    <cellStyle name="60% - Énfasis4 2 4 3 10" xfId="10403" xr:uid="{0F8F1ACB-3C9D-45BB-A9CC-A2E33B7B2195}"/>
    <cellStyle name="60% - Énfasis4 2 4 3 11" xfId="10404" xr:uid="{9142ED48-76BF-410E-BD2B-BB57B2E74CDE}"/>
    <cellStyle name="60% - Énfasis4 2 4 3 2" xfId="10405" xr:uid="{B894CAF4-3DA2-47C6-9B82-CB272ACC6B63}"/>
    <cellStyle name="60% - Énfasis4 2 4 3 2 2" xfId="10406" xr:uid="{57AEC60B-9BA3-4F52-8B50-90603D6E49C6}"/>
    <cellStyle name="60% - Énfasis4 2 4 3 2 2 2" xfId="10407" xr:uid="{501E88A0-3E13-4D91-8B7B-84AABC9FB5C3}"/>
    <cellStyle name="60% - Énfasis4 2 4 3 2 2 3" xfId="10408" xr:uid="{E3CEABBF-D325-473E-AC4A-DE629A3853E8}"/>
    <cellStyle name="60% - Énfasis4 2 4 3 2 2 4" xfId="10409" xr:uid="{CE60F4F2-7B54-434B-9904-B25BFBAF09AD}"/>
    <cellStyle name="60% - Énfasis4 2 4 3 2 2 5" xfId="10410" xr:uid="{4822207C-1771-49FB-9B2C-8F00C19DA13A}"/>
    <cellStyle name="60% - Énfasis4 2 4 3 2 3" xfId="10411" xr:uid="{D0A5421E-007D-426D-BC39-E0B694534B8A}"/>
    <cellStyle name="60% - Énfasis4 2 4 3 2 4" xfId="10412" xr:uid="{3AADAB88-218B-4D84-B1A6-8F8B5D23A561}"/>
    <cellStyle name="60% - Énfasis4 2 4 3 2 5" xfId="10413" xr:uid="{DE879113-C2DB-4548-A4FC-0D9A0CBC5E3C}"/>
    <cellStyle name="60% - Énfasis4 2 4 3 3" xfId="10414" xr:uid="{FAFB4879-0E7F-4DE0-B296-36C01B2A9359}"/>
    <cellStyle name="60% - Énfasis4 2 4 3 4" xfId="10415" xr:uid="{A5ACB384-B533-42BC-93F0-BC3E873A6210}"/>
    <cellStyle name="60% - Énfasis4 2 4 3 5" xfId="10416" xr:uid="{91F63BF7-CD34-4A55-A30E-F1536A5B8FE6}"/>
    <cellStyle name="60% - Énfasis4 2 4 3 6" xfId="10417" xr:uid="{250ED159-7223-4207-99A4-2F56BB2ACF9F}"/>
    <cellStyle name="60% - Énfasis4 2 4 3 7" xfId="10418" xr:uid="{B6F5F234-D5AC-4AA8-8DA0-6CEEFBA4AE4F}"/>
    <cellStyle name="60% - Énfasis4 2 4 3 8" xfId="10419" xr:uid="{197AA278-FB05-4284-BCAB-71451D691F48}"/>
    <cellStyle name="60% - Énfasis4 2 4 3 9" xfId="10420" xr:uid="{E803DE63-6E03-492F-A2B6-A091864C27C3}"/>
    <cellStyle name="60% - Énfasis4 2 4 4" xfId="10421" xr:uid="{E4497E60-C4E2-4FC9-91CE-056EEFA6555C}"/>
    <cellStyle name="60% - Énfasis4 2 4 4 2" xfId="10422" xr:uid="{A41E9A4A-61B5-4578-A8BF-4F58E984CD9F}"/>
    <cellStyle name="60% - Énfasis4 2 4 4 2 2" xfId="10423" xr:uid="{BA78B462-846B-447F-A06C-B653A106F28B}"/>
    <cellStyle name="60% - Énfasis4 2 4 4 2 3" xfId="10424" xr:uid="{4935E61B-B8F9-4505-8DC3-BA0B702EEBA1}"/>
    <cellStyle name="60% - Énfasis4 2 4 4 2 4" xfId="10425" xr:uid="{A2E9ACA1-9498-4757-A46A-83A77A5AA7A0}"/>
    <cellStyle name="60% - Énfasis4 2 4 4 2 5" xfId="10426" xr:uid="{21892FE5-60FF-496C-9F32-D6A5A6DF05FD}"/>
    <cellStyle name="60% - Énfasis4 2 4 4 3" xfId="10427" xr:uid="{8C3F366D-C510-4D45-B987-D92F122DF7CA}"/>
    <cellStyle name="60% - Énfasis4 2 4 4 4" xfId="10428" xr:uid="{90280D17-C2E0-494B-B46F-B9B7A688CE95}"/>
    <cellStyle name="60% - Énfasis4 2 4 4 5" xfId="10429" xr:uid="{812491B1-4982-4A99-9515-F09A34AF5321}"/>
    <cellStyle name="60% - Énfasis4 2 4 5" xfId="10430" xr:uid="{09D3AEBA-228B-40DB-9F98-114FD8C51210}"/>
    <cellStyle name="60% - Énfasis4 2 4 6" xfId="10431" xr:uid="{9C6A5749-7D7C-4CD3-A0E2-BE84DEC9943E}"/>
    <cellStyle name="60% - Énfasis4 2 4 7" xfId="10432" xr:uid="{0A3EDB4D-E833-435C-9EB8-8580700B0762}"/>
    <cellStyle name="60% - Énfasis4 2 4 8" xfId="10433" xr:uid="{C8946477-4650-48A0-8F1C-4DD2A2505B57}"/>
    <cellStyle name="60% - Énfasis4 2 4 9" xfId="10434" xr:uid="{5E88D017-BB8A-4D78-B624-92E48345A629}"/>
    <cellStyle name="60% - Énfasis4 2 5" xfId="10435" xr:uid="{0C9D5D5D-EB5E-481B-B123-1132AC43EE35}"/>
    <cellStyle name="60% - Énfasis4 2 6" xfId="10436" xr:uid="{AAC00259-61EE-4610-A0EA-75E59D2321A3}"/>
    <cellStyle name="60% - Énfasis4 2 7" xfId="10437" xr:uid="{7E170E09-EC37-4D89-A66B-0481FB460122}"/>
    <cellStyle name="60% - Énfasis4 2 8" xfId="10438" xr:uid="{FAF9B79A-8C6B-4555-93DF-C2C79A96FF6A}"/>
    <cellStyle name="60% - Énfasis4 2 8 2" xfId="10439" xr:uid="{6E6EE351-CE88-42C4-BF22-26970BCD22B4}"/>
    <cellStyle name="60% - Énfasis4 2 9" xfId="10440" xr:uid="{24A57C2E-1275-454D-86F0-BF3F01C41203}"/>
    <cellStyle name="60% - Énfasis4 3" xfId="10441" xr:uid="{621198C2-ADCE-42EA-BC65-BDEC686ADF67}"/>
    <cellStyle name="60% - Énfasis4 3 2" xfId="10442" xr:uid="{D22F3370-818A-4BED-AA52-DBBFBCDEBAFA}"/>
    <cellStyle name="60% - Énfasis4 3 3" xfId="10443" xr:uid="{49813666-E454-444D-B0AB-E21D8D4B0364}"/>
    <cellStyle name="60% - Énfasis4 4" xfId="10444" xr:uid="{9D622ACE-CCC5-4B9D-A7FF-F1207B815172}"/>
    <cellStyle name="60% - Énfasis4 5" xfId="43483" xr:uid="{3CEAC2FC-44DA-4580-966C-3B9168B16D24}"/>
    <cellStyle name="60% - Énfasis5 2" xfId="10445" xr:uid="{FF69E387-6F85-464B-BCC9-893DE8BDE68D}"/>
    <cellStyle name="60% - Énfasis5 2 10" xfId="10446" xr:uid="{677B8822-3618-44D0-AF7E-03E9875CF284}"/>
    <cellStyle name="60% - Énfasis5 2 10 10" xfId="10447" xr:uid="{C60A3BEF-FF7E-4A3F-AB41-D71E3A960CC3}"/>
    <cellStyle name="60% - Énfasis5 2 10 11" xfId="10448" xr:uid="{452C9DBC-1641-496C-BB2C-C7E2C36C9390}"/>
    <cellStyle name="60% - Énfasis5 2 10 2" xfId="10449" xr:uid="{FF856EDF-4D50-4D6F-9FE2-05BF498327DF}"/>
    <cellStyle name="60% - Énfasis5 2 10 2 10" xfId="10450" xr:uid="{80790946-5F6B-4C68-A345-63DF84208367}"/>
    <cellStyle name="60% - Énfasis5 2 10 2 11" xfId="10451" xr:uid="{C9A35C51-54AF-43E3-9237-84DECF2ED732}"/>
    <cellStyle name="60% - Énfasis5 2 10 2 2" xfId="10452" xr:uid="{CE66F772-9794-414D-B25D-E46FAB198FBD}"/>
    <cellStyle name="60% - Énfasis5 2 10 2 2 2" xfId="10453" xr:uid="{C9E9BBD0-A8DC-4C2D-A152-916F5EF4D461}"/>
    <cellStyle name="60% - Énfasis5 2 10 2 2 2 2" xfId="10454" xr:uid="{C68C9B5B-B0F5-4C14-A078-66C817FF8588}"/>
    <cellStyle name="60% - Énfasis5 2 10 2 2 2 3" xfId="10455" xr:uid="{EDED18EE-E2A7-4C6C-B6DB-B0DD6102E1C4}"/>
    <cellStyle name="60% - Énfasis5 2 10 2 2 2 4" xfId="10456" xr:uid="{DD0F6176-11CB-484E-A8C4-D91355A199B4}"/>
    <cellStyle name="60% - Énfasis5 2 10 2 2 2 5" xfId="10457" xr:uid="{42CE003D-AF68-46D1-B030-65B6160CE441}"/>
    <cellStyle name="60% - Énfasis5 2 10 2 2 3" xfId="10458" xr:uid="{6D197548-3EF6-4C31-8FE6-C831813F554B}"/>
    <cellStyle name="60% - Énfasis5 2 10 2 2 4" xfId="10459" xr:uid="{AF4B9C46-5B9E-4614-89AF-06EDD14BD123}"/>
    <cellStyle name="60% - Énfasis5 2 10 2 2 5" xfId="10460" xr:uid="{3F3740CE-8445-4C75-802B-665C2003AB74}"/>
    <cellStyle name="60% - Énfasis5 2 10 2 3" xfId="10461" xr:uid="{F281CB00-A952-4291-93A2-B601CD1F6DD1}"/>
    <cellStyle name="60% - Énfasis5 2 10 2 4" xfId="10462" xr:uid="{FC3E2230-8ABB-4F58-BC60-887BD75257A5}"/>
    <cellStyle name="60% - Énfasis5 2 10 2 5" xfId="10463" xr:uid="{ED76A9B4-D58E-423F-BE52-4C6A9D2C37AD}"/>
    <cellStyle name="60% - Énfasis5 2 10 2 6" xfId="10464" xr:uid="{8CFA0261-CA1F-44E6-BB8A-A0A17FCE4791}"/>
    <cellStyle name="60% - Énfasis5 2 10 2 7" xfId="10465" xr:uid="{09EA8BED-1364-4B52-91CF-E5A25590FF63}"/>
    <cellStyle name="60% - Énfasis5 2 10 2 8" xfId="10466" xr:uid="{F766C8F0-1A85-4C97-A5B4-AD29F8D993FC}"/>
    <cellStyle name="60% - Énfasis5 2 10 2 9" xfId="10467" xr:uid="{0E23DBD8-63D8-4145-99CE-E422FE6A6AEB}"/>
    <cellStyle name="60% - Énfasis5 2 10 3" xfId="10468" xr:uid="{13B016F4-F082-4EC7-B264-C4D4E55428BE}"/>
    <cellStyle name="60% - Énfasis5 2 10 3 2" xfId="10469" xr:uid="{A61E6889-A988-4AB7-BBEC-910F70076AC5}"/>
    <cellStyle name="60% - Énfasis5 2 10 3 2 2" xfId="10470" xr:uid="{9A066836-EA85-4D0E-BB67-535140B1AC50}"/>
    <cellStyle name="60% - Énfasis5 2 10 3 2 3" xfId="10471" xr:uid="{7CE912D0-B65A-464F-8366-4DBF780185D5}"/>
    <cellStyle name="60% - Énfasis5 2 10 3 2 4" xfId="10472" xr:uid="{14A3F339-BC88-476A-B37E-6766B3F61BFF}"/>
    <cellStyle name="60% - Énfasis5 2 10 3 2 5" xfId="10473" xr:uid="{5D0A3D36-CD38-4B14-99FB-A558F1A486EB}"/>
    <cellStyle name="60% - Énfasis5 2 10 3 3" xfId="10474" xr:uid="{EF76F318-820F-4B5E-B038-2A488D4B6E1E}"/>
    <cellStyle name="60% - Énfasis5 2 10 3 4" xfId="10475" xr:uid="{06F6B918-9A3B-499B-BEF8-0F47C06E2306}"/>
    <cellStyle name="60% - Énfasis5 2 10 3 5" xfId="10476" xr:uid="{C9D793A3-3096-446D-9FDE-ED15E9FBCF3D}"/>
    <cellStyle name="60% - Énfasis5 2 10 4" xfId="10477" xr:uid="{0461B8FD-9AFF-4DC4-BAE0-63DA63743569}"/>
    <cellStyle name="60% - Énfasis5 2 10 5" xfId="10478" xr:uid="{C984C9F2-68B1-437D-966F-5C59FE20A6AC}"/>
    <cellStyle name="60% - Énfasis5 2 10 6" xfId="10479" xr:uid="{F26E22B9-6E27-489B-A376-99D3904F57AD}"/>
    <cellStyle name="60% - Énfasis5 2 10 7" xfId="10480" xr:uid="{A0848F88-1BC9-47E7-9535-5FCAF5E9C077}"/>
    <cellStyle name="60% - Énfasis5 2 10 8" xfId="10481" xr:uid="{09ABF4E7-F8F9-47E6-9699-47CCF49B3F63}"/>
    <cellStyle name="60% - Énfasis5 2 10 9" xfId="10482" xr:uid="{48FA9D7E-7F73-419F-AB1F-D3C762250C92}"/>
    <cellStyle name="60% - Énfasis5 2 11" xfId="10483" xr:uid="{22E7E753-BD8C-4E44-B08D-E903D0D08478}"/>
    <cellStyle name="60% - Énfasis5 2 12" xfId="10484" xr:uid="{008D12B3-9608-487A-9533-28DFD31D8978}"/>
    <cellStyle name="60% - Énfasis5 2 13" xfId="10485" xr:uid="{4F1A1900-52F7-4E55-AD0F-0E06F9C54257}"/>
    <cellStyle name="60% - Énfasis5 2 14" xfId="43491" xr:uid="{816785A2-E3ED-4621-BEC6-671184D8E844}"/>
    <cellStyle name="60% - Énfasis5 2 2" xfId="10486" xr:uid="{9D2C63E2-6BAD-4711-8748-78C21A6C3105}"/>
    <cellStyle name="60% - Énfasis5 2 2 10" xfId="10487" xr:uid="{449A63D1-8965-4A46-9FC6-6E656B2099D9}"/>
    <cellStyle name="60% - Énfasis5 2 2 10 10" xfId="10488" xr:uid="{7CC98410-441A-49CD-90D9-C0EA4C8DC345}"/>
    <cellStyle name="60% - Énfasis5 2 2 10 11" xfId="10489" xr:uid="{2E1A60F1-76AD-4CEE-A6DD-B49E212738FB}"/>
    <cellStyle name="60% - Énfasis5 2 2 10 2" xfId="10490" xr:uid="{C5125EA8-EC45-4AD9-95C0-F2F9FC82C3C6}"/>
    <cellStyle name="60% - Énfasis5 2 2 10 2 10" xfId="10491" xr:uid="{FB766AFA-60F4-42FB-886C-A8A1D858C334}"/>
    <cellStyle name="60% - Énfasis5 2 2 10 2 11" xfId="10492" xr:uid="{CAB83B53-0AC3-4510-B555-44C22B84132A}"/>
    <cellStyle name="60% - Énfasis5 2 2 10 2 2" xfId="10493" xr:uid="{821883F9-41E8-49E7-A280-E9E5B51790E8}"/>
    <cellStyle name="60% - Énfasis5 2 2 10 2 2 2" xfId="10494" xr:uid="{8F0A3A3A-25F2-4567-80E3-F2696B8B73AE}"/>
    <cellStyle name="60% - Énfasis5 2 2 10 2 2 2 2" xfId="10495" xr:uid="{5A96F81D-5343-4680-BF32-E07A4904C4ED}"/>
    <cellStyle name="60% - Énfasis5 2 2 10 2 2 2 3" xfId="10496" xr:uid="{4BE17E94-49F9-4A64-95E7-6A05BA090277}"/>
    <cellStyle name="60% - Énfasis5 2 2 10 2 2 2 4" xfId="10497" xr:uid="{AADE1A2C-AD2D-4661-A289-68CF03F73425}"/>
    <cellStyle name="60% - Énfasis5 2 2 10 2 2 2 5" xfId="10498" xr:uid="{5BF4BA1A-6C35-4B80-A2FA-EE7635A4F5E3}"/>
    <cellStyle name="60% - Énfasis5 2 2 10 2 2 3" xfId="10499" xr:uid="{EEACA7EA-871E-4B2D-94E0-98CFC50144B5}"/>
    <cellStyle name="60% - Énfasis5 2 2 10 2 2 4" xfId="10500" xr:uid="{4C17C2A7-DC6C-4425-8229-E94D0AA669D3}"/>
    <cellStyle name="60% - Énfasis5 2 2 10 2 2 5" xfId="10501" xr:uid="{CE0FAEB3-DB9A-4C30-B08D-E7C6293D509D}"/>
    <cellStyle name="60% - Énfasis5 2 2 10 2 3" xfId="10502" xr:uid="{92EE506A-FC45-426A-A4F1-6D743B882D1E}"/>
    <cellStyle name="60% - Énfasis5 2 2 10 2 4" xfId="10503" xr:uid="{9BC0827D-BA70-44D9-BD91-835BF2662D40}"/>
    <cellStyle name="60% - Énfasis5 2 2 10 2 5" xfId="10504" xr:uid="{97231B14-9828-44C2-9F6E-D85928963293}"/>
    <cellStyle name="60% - Énfasis5 2 2 10 2 6" xfId="10505" xr:uid="{D911F3DA-CB82-4C56-9E5B-A640BB64A7F9}"/>
    <cellStyle name="60% - Énfasis5 2 2 10 2 7" xfId="10506" xr:uid="{6FD9D3AA-12CC-4A1F-8D7D-908EAABC25E6}"/>
    <cellStyle name="60% - Énfasis5 2 2 10 2 8" xfId="10507" xr:uid="{F5946CC1-712C-4EA8-B2CB-3ECA7E4B7107}"/>
    <cellStyle name="60% - Énfasis5 2 2 10 2 9" xfId="10508" xr:uid="{AE3BDECE-1F0F-4F8F-991A-4E14B8CEF852}"/>
    <cellStyle name="60% - Énfasis5 2 2 10 3" xfId="10509" xr:uid="{CBF3E7BE-9927-44D8-8F19-912757800581}"/>
    <cellStyle name="60% - Énfasis5 2 2 10 3 2" xfId="10510" xr:uid="{B5D45679-BF79-4016-AABB-29EEC1DA6D15}"/>
    <cellStyle name="60% - Énfasis5 2 2 10 3 2 2" xfId="10511" xr:uid="{895F755E-51B3-44FC-9F22-6490201DB3B2}"/>
    <cellStyle name="60% - Énfasis5 2 2 10 3 2 3" xfId="10512" xr:uid="{FE2A88DA-CC53-4086-B9B0-54EE570BD5F3}"/>
    <cellStyle name="60% - Énfasis5 2 2 10 3 2 4" xfId="10513" xr:uid="{15E4FF7B-9D8C-4071-A417-73F7976981F7}"/>
    <cellStyle name="60% - Énfasis5 2 2 10 3 2 5" xfId="10514" xr:uid="{9287BBD5-B4AE-4BCD-8652-A525C9F93CAD}"/>
    <cellStyle name="60% - Énfasis5 2 2 10 3 3" xfId="10515" xr:uid="{25644BC7-F895-4A40-B854-6E25E286079C}"/>
    <cellStyle name="60% - Énfasis5 2 2 10 3 4" xfId="10516" xr:uid="{4E168733-A983-469A-83F5-32C3D674D05E}"/>
    <cellStyle name="60% - Énfasis5 2 2 10 3 5" xfId="10517" xr:uid="{F18B3CEF-EECF-4A7E-A2C0-2A48FE5179A7}"/>
    <cellStyle name="60% - Énfasis5 2 2 10 4" xfId="10518" xr:uid="{D59873CD-7814-47BA-B88D-B3767354694C}"/>
    <cellStyle name="60% - Énfasis5 2 2 10 5" xfId="10519" xr:uid="{802884B4-11F8-4D10-A53F-83196F5924F6}"/>
    <cellStyle name="60% - Énfasis5 2 2 10 6" xfId="10520" xr:uid="{3BAAC309-B92B-4FC4-8040-81028D4C49C1}"/>
    <cellStyle name="60% - Énfasis5 2 2 10 7" xfId="10521" xr:uid="{683357E7-E8FE-4547-82C4-0D293A1A7730}"/>
    <cellStyle name="60% - Énfasis5 2 2 10 8" xfId="10522" xr:uid="{E688B6C2-37D3-4A5D-9777-9C82E16FBDCA}"/>
    <cellStyle name="60% - Énfasis5 2 2 10 9" xfId="10523" xr:uid="{0800D03C-7471-4B3A-AB18-250B3137D8E2}"/>
    <cellStyle name="60% - Énfasis5 2 2 11" xfId="10524" xr:uid="{A25563D1-2D6C-4B87-B04D-5C5E518D9926}"/>
    <cellStyle name="60% - Énfasis5 2 2 12" xfId="10525" xr:uid="{E1833AD0-F57D-47D6-BB24-F4E589698786}"/>
    <cellStyle name="60% - Énfasis5 2 2 13" xfId="10526" xr:uid="{025682C7-5CE8-4543-B6C0-6AFB4F7C6DF2}"/>
    <cellStyle name="60% - Énfasis5 2 2 2" xfId="10527" xr:uid="{25CF6FC6-BAC4-42F7-97D9-5C9C1BD31F8B}"/>
    <cellStyle name="60% - Énfasis5 2 2 2 2" xfId="10528" xr:uid="{0E03A1DE-0E50-4584-AE43-EA2FDD0607E7}"/>
    <cellStyle name="60% - Énfasis5 2 2 2 2 2" xfId="10529" xr:uid="{E160526C-06C0-496B-A952-23E8198054DD}"/>
    <cellStyle name="60% - Énfasis5 2 2 2 2 2 2" xfId="10530" xr:uid="{724B76F2-0294-445D-ACC3-03E815123ACD}"/>
    <cellStyle name="60% - Énfasis5 2 2 2 2 2 2 2" xfId="10531" xr:uid="{F304CEE8-84C9-4F72-A4BD-3B7F32FF76E2}"/>
    <cellStyle name="60% - Énfasis5 2 2 2 2 2 2 2 2" xfId="10532" xr:uid="{519F3C25-0054-4262-9500-F0467CF00F21}"/>
    <cellStyle name="60% - Énfasis5 2 2 2 2 2 2 2 2 2" xfId="10533" xr:uid="{4BBFEE15-8367-4538-BD7C-5A8860207684}"/>
    <cellStyle name="60% - Énfasis5 2 2 2 2 2 2 2 2 2 2" xfId="10534" xr:uid="{30CCB912-B16E-4137-80F6-D6470074D877}"/>
    <cellStyle name="60% - Énfasis5 2 2 2 2 2 2 2 2 2 2 2" xfId="10535" xr:uid="{2E93F6D2-9B9D-434D-AA94-853043EA6784}"/>
    <cellStyle name="60% - Énfasis5 2 2 2 2 2 2 2 2 2 2 2 2" xfId="10536" xr:uid="{8AE21CDF-EAA1-49BA-9C55-4C534DE485B0}"/>
    <cellStyle name="60% - Énfasis5 2 2 2 2 2 2 2 2 2 2 3" xfId="10537" xr:uid="{FDC971FC-857C-4D30-9194-C71C9BD0498D}"/>
    <cellStyle name="60% - Énfasis5 2 2 2 2 2 2 2 2 2 2 4" xfId="10538" xr:uid="{17B5697F-F06E-4388-A7D0-ECC0F49C6EDF}"/>
    <cellStyle name="60% - Énfasis5 2 2 2 2 2 2 2 2 2 3" xfId="10539" xr:uid="{E2E5F6AA-3BAF-4BE4-BC17-3A2802F3329C}"/>
    <cellStyle name="60% - Énfasis5 2 2 2 2 2 2 2 2 2 4" xfId="10540" xr:uid="{97600EE5-1662-479F-B43B-FDD7D6370483}"/>
    <cellStyle name="60% - Énfasis5 2 2 2 2 2 2 2 2 3" xfId="10541" xr:uid="{199E3419-AAEA-4AA3-BA15-8177B5CA2ADD}"/>
    <cellStyle name="60% - Énfasis5 2 2 2 2 2 2 2 2 4" xfId="10542" xr:uid="{7C7548A0-DBD3-40CF-AB58-EC1114F6A9BF}"/>
    <cellStyle name="60% - Énfasis5 2 2 2 2 2 2 2 2 5" xfId="10543" xr:uid="{B7A1CDC1-DD16-460E-9130-2EF13B3358EF}"/>
    <cellStyle name="60% - Énfasis5 2 2 2 2 2 2 2 3" xfId="10544" xr:uid="{822F421F-38D1-4582-A6B9-0A0F8ECB0B8B}"/>
    <cellStyle name="60% - Énfasis5 2 2 2 2 2 2 2 3 10" xfId="10545" xr:uid="{0CD37D36-29C8-438F-8036-B29C4F5A04DD}"/>
    <cellStyle name="60% - Énfasis5 2 2 2 2 2 2 2 3 11" xfId="10546" xr:uid="{E35278B2-C267-4F74-8F16-921DEACDC7FF}"/>
    <cellStyle name="60% - Énfasis5 2 2 2 2 2 2 2 3 2" xfId="10547" xr:uid="{02B939EF-799F-4AD2-AC42-6E2736FF0FB2}"/>
    <cellStyle name="60% - Énfasis5 2 2 2 2 2 2 2 3 2 2" xfId="10548" xr:uid="{592DBC43-A573-4A0C-A956-1430AEA4B885}"/>
    <cellStyle name="60% - Énfasis5 2 2 2 2 2 2 2 3 2 2 2" xfId="10549" xr:uid="{20C9FF4A-CDAF-4D80-86F1-9C9AE6BC665E}"/>
    <cellStyle name="60% - Énfasis5 2 2 2 2 2 2 2 3 2 2 3" xfId="10550" xr:uid="{A90178BA-8C11-4265-B95C-A39076D4371E}"/>
    <cellStyle name="60% - Énfasis5 2 2 2 2 2 2 2 3 2 2 4" xfId="10551" xr:uid="{9AA2F696-DF6C-46D1-B0C4-864E46075B05}"/>
    <cellStyle name="60% - Énfasis5 2 2 2 2 2 2 2 3 2 2 5" xfId="10552" xr:uid="{5F95EC6E-0237-4C4D-A62D-40D0E0769CF9}"/>
    <cellStyle name="60% - Énfasis5 2 2 2 2 2 2 2 3 2 3" xfId="10553" xr:uid="{B3B59CB9-7E0F-4189-BB6D-4F21C278B56D}"/>
    <cellStyle name="60% - Énfasis5 2 2 2 2 2 2 2 3 2 4" xfId="10554" xr:uid="{10423C5A-8500-491C-9B34-498050EA98D0}"/>
    <cellStyle name="60% - Énfasis5 2 2 2 2 2 2 2 3 2 5" xfId="10555" xr:uid="{A4058CF3-C35C-42A5-90D0-ABBEA6819846}"/>
    <cellStyle name="60% - Énfasis5 2 2 2 2 2 2 2 3 3" xfId="10556" xr:uid="{8EC3BC70-48E0-4941-AD0F-9D2BAA1E4307}"/>
    <cellStyle name="60% - Énfasis5 2 2 2 2 2 2 2 3 4" xfId="10557" xr:uid="{48AEADAF-E925-4A33-A751-AF5E2EFD9002}"/>
    <cellStyle name="60% - Énfasis5 2 2 2 2 2 2 2 3 5" xfId="10558" xr:uid="{4BBCCA64-52A5-4D65-BADE-770BA1D6A984}"/>
    <cellStyle name="60% - Énfasis5 2 2 2 2 2 2 2 3 6" xfId="10559" xr:uid="{5FD9301C-8F46-4BCD-B2B7-F7EAF1F7D841}"/>
    <cellStyle name="60% - Énfasis5 2 2 2 2 2 2 2 3 7" xfId="10560" xr:uid="{FB7B5729-AA81-4072-A77D-C806F7E348DB}"/>
    <cellStyle name="60% - Énfasis5 2 2 2 2 2 2 2 3 8" xfId="10561" xr:uid="{7D90BCD7-25D9-45BB-9B2D-B9B69DC25A3C}"/>
    <cellStyle name="60% - Énfasis5 2 2 2 2 2 2 2 3 9" xfId="10562" xr:uid="{08F1EBB3-EB6F-4218-A49C-556CBDC607EA}"/>
    <cellStyle name="60% - Énfasis5 2 2 2 2 2 2 2 4" xfId="10563" xr:uid="{45B730F9-B843-4B02-B8B0-A746697851A4}"/>
    <cellStyle name="60% - Énfasis5 2 2 2 2 2 2 2 5" xfId="10564" xr:uid="{2534AF6A-D363-4672-AE1B-57D3354FF818}"/>
    <cellStyle name="60% - Énfasis5 2 2 2 2 2 2 3" xfId="10565" xr:uid="{6F496BFF-81B3-479A-B824-4C1411D83317}"/>
    <cellStyle name="60% - Énfasis5 2 2 2 2 2 2 3 10" xfId="10566" xr:uid="{65DEA6E6-B05E-448F-BB71-CA124F7368F3}"/>
    <cellStyle name="60% - Énfasis5 2 2 2 2 2 2 3 11" xfId="10567" xr:uid="{6B9626D0-7916-42B8-915F-9AA39BF5F879}"/>
    <cellStyle name="60% - Énfasis5 2 2 2 2 2 2 3 2" xfId="10568" xr:uid="{959C6143-DE1F-44E2-88FF-138BE999A68E}"/>
    <cellStyle name="60% - Énfasis5 2 2 2 2 2 2 3 2 10" xfId="10569" xr:uid="{1CBCA2A4-D846-41F2-95DF-2C94A99E2F28}"/>
    <cellStyle name="60% - Énfasis5 2 2 2 2 2 2 3 2 11" xfId="10570" xr:uid="{09055247-B835-4858-B8AB-3EA6C0B00389}"/>
    <cellStyle name="60% - Énfasis5 2 2 2 2 2 2 3 2 2" xfId="10571" xr:uid="{92753E36-3F78-4AA1-9141-CD817D5A29AA}"/>
    <cellStyle name="60% - Énfasis5 2 2 2 2 2 2 3 2 2 2" xfId="10572" xr:uid="{378A1E7E-A55B-4FE4-BA5F-FF9C4AB59506}"/>
    <cellStyle name="60% - Énfasis5 2 2 2 2 2 2 3 2 2 2 2" xfId="10573" xr:uid="{F7F1854E-253A-4E2D-93CE-3D1AAFF4CB9B}"/>
    <cellStyle name="60% - Énfasis5 2 2 2 2 2 2 3 2 2 2 3" xfId="10574" xr:uid="{4214CB93-F25A-4C22-9836-47AE237A56C5}"/>
    <cellStyle name="60% - Énfasis5 2 2 2 2 2 2 3 2 2 2 4" xfId="10575" xr:uid="{4832D4FA-7E2A-4AF8-BD2F-52D7E5361B36}"/>
    <cellStyle name="60% - Énfasis5 2 2 2 2 2 2 3 2 2 2 5" xfId="10576" xr:uid="{4476FD98-0F40-40B3-BF53-3320F0CD02B2}"/>
    <cellStyle name="60% - Énfasis5 2 2 2 2 2 2 3 2 2 3" xfId="10577" xr:uid="{F78BF13A-33B2-4A18-AE9D-4D7285EBAD55}"/>
    <cellStyle name="60% - Énfasis5 2 2 2 2 2 2 3 2 2 4" xfId="10578" xr:uid="{1AB25D33-5F6D-48AC-8435-11D00E920E1E}"/>
    <cellStyle name="60% - Énfasis5 2 2 2 2 2 2 3 2 2 5" xfId="10579" xr:uid="{BCA809D2-3E0A-4329-85D9-E70FC89F0C72}"/>
    <cellStyle name="60% - Énfasis5 2 2 2 2 2 2 3 2 3" xfId="10580" xr:uid="{96A3BF84-E267-4417-B494-8F95DAB1BF93}"/>
    <cellStyle name="60% - Énfasis5 2 2 2 2 2 2 3 2 4" xfId="10581" xr:uid="{7C2EA7BC-532F-4397-8F48-8E8F82B9F20C}"/>
    <cellStyle name="60% - Énfasis5 2 2 2 2 2 2 3 2 5" xfId="10582" xr:uid="{9557E2A9-2DB5-4CD2-9A1D-D760780F84CF}"/>
    <cellStyle name="60% - Énfasis5 2 2 2 2 2 2 3 2 6" xfId="10583" xr:uid="{954590C1-BDEE-4D4F-96F5-87D0CF5EDEBD}"/>
    <cellStyle name="60% - Énfasis5 2 2 2 2 2 2 3 2 7" xfId="10584" xr:uid="{BCA90120-3864-4D71-B80D-E82DC8470270}"/>
    <cellStyle name="60% - Énfasis5 2 2 2 2 2 2 3 2 8" xfId="10585" xr:uid="{0A6AC001-7D3A-4A0A-B9E7-E46E8A86090D}"/>
    <cellStyle name="60% - Énfasis5 2 2 2 2 2 2 3 2 9" xfId="10586" xr:uid="{F1B7A17A-E081-481C-83D9-23565C0B405D}"/>
    <cellStyle name="60% - Énfasis5 2 2 2 2 2 2 3 3" xfId="10587" xr:uid="{2D4DF127-479F-4A02-A3C2-EBAD84D17BDF}"/>
    <cellStyle name="60% - Énfasis5 2 2 2 2 2 2 3 3 2" xfId="10588" xr:uid="{FA18888F-6E13-4419-A949-D2789BC06A3F}"/>
    <cellStyle name="60% - Énfasis5 2 2 2 2 2 2 3 3 2 2" xfId="10589" xr:uid="{67417D4F-74F3-47DC-8679-9EC5E106EBC1}"/>
    <cellStyle name="60% - Énfasis5 2 2 2 2 2 2 3 3 2 3" xfId="10590" xr:uid="{684A7B34-EB55-413F-9C23-A1FF73321F45}"/>
    <cellStyle name="60% - Énfasis5 2 2 2 2 2 2 3 3 2 4" xfId="10591" xr:uid="{AB3A4132-137C-4711-B2CE-AFA045BEA33A}"/>
    <cellStyle name="60% - Énfasis5 2 2 2 2 2 2 3 3 2 5" xfId="10592" xr:uid="{12E1599C-4280-43DF-96D3-94D067EEFF25}"/>
    <cellStyle name="60% - Énfasis5 2 2 2 2 2 2 3 3 3" xfId="10593" xr:uid="{362A8B6A-7D35-447B-A560-4A86402C6ECA}"/>
    <cellStyle name="60% - Énfasis5 2 2 2 2 2 2 3 3 4" xfId="10594" xr:uid="{60DB84F8-BC59-43BD-B7BC-FC90E61334B0}"/>
    <cellStyle name="60% - Énfasis5 2 2 2 2 2 2 3 3 5" xfId="10595" xr:uid="{C709D5AC-7055-460D-98D9-E76C1AB80891}"/>
    <cellStyle name="60% - Énfasis5 2 2 2 2 2 2 3 4" xfId="10596" xr:uid="{D4E4B836-3D66-4CCD-ABD6-4B347E5C4628}"/>
    <cellStyle name="60% - Énfasis5 2 2 2 2 2 2 3 5" xfId="10597" xr:uid="{932BBA5E-C9A0-448C-A964-DB5988062C2C}"/>
    <cellStyle name="60% - Énfasis5 2 2 2 2 2 2 3 6" xfId="10598" xr:uid="{559299AC-0B43-4F71-B811-4CF40FD5E015}"/>
    <cellStyle name="60% - Énfasis5 2 2 2 2 2 2 3 7" xfId="10599" xr:uid="{CA5ABBB7-64CC-4AB5-BC08-52447C688013}"/>
    <cellStyle name="60% - Énfasis5 2 2 2 2 2 2 3 8" xfId="10600" xr:uid="{0226652D-27E1-4916-9485-E7FD1F1B8023}"/>
    <cellStyle name="60% - Énfasis5 2 2 2 2 2 2 3 9" xfId="10601" xr:uid="{F3C84B1C-2BAE-4782-A809-AF069654A648}"/>
    <cellStyle name="60% - Énfasis5 2 2 2 2 2 2 4" xfId="10602" xr:uid="{CDC9F2CB-3187-4871-8412-AA5E5C175E93}"/>
    <cellStyle name="60% - Énfasis5 2 2 2 2 2 2 5" xfId="10603" xr:uid="{225AF23D-2149-4E2F-83DA-5903A2EC0C03}"/>
    <cellStyle name="60% - Énfasis5 2 2 2 2 2 2 6" xfId="10604" xr:uid="{38661CD0-70FB-45BC-9FCA-B70C7E996847}"/>
    <cellStyle name="60% - Énfasis5 2 2 2 2 2 3" xfId="10605" xr:uid="{B17CAF20-D1ED-4925-8332-0A4964EA4D1E}"/>
    <cellStyle name="60% - Énfasis5 2 2 2 2 2 3 10" xfId="10606" xr:uid="{2FA79C72-BCA0-4427-80EF-A062472ED2D3}"/>
    <cellStyle name="60% - Énfasis5 2 2 2 2 2 3 11" xfId="10607" xr:uid="{0E544867-D8FB-4D89-A8B6-C80CE188DF36}"/>
    <cellStyle name="60% - Énfasis5 2 2 2 2 2 3 2" xfId="10608" xr:uid="{95D58084-349B-4A26-A01A-2C319655FD35}"/>
    <cellStyle name="60% - Énfasis5 2 2 2 2 2 3 2 10" xfId="10609" xr:uid="{2F327D69-B06D-4E42-90B1-7107FB802792}"/>
    <cellStyle name="60% - Énfasis5 2 2 2 2 2 3 2 11" xfId="10610" xr:uid="{1E935F64-0376-4AAB-975E-D76F6069542F}"/>
    <cellStyle name="60% - Énfasis5 2 2 2 2 2 3 2 2" xfId="10611" xr:uid="{ADF68B66-4092-4F3A-9065-4CF270C31FC0}"/>
    <cellStyle name="60% - Énfasis5 2 2 2 2 2 3 2 2 2" xfId="10612" xr:uid="{2F059D68-E6E3-4CCD-AAA2-9EB0F77A34FA}"/>
    <cellStyle name="60% - Énfasis5 2 2 2 2 2 3 2 2 2 2" xfId="10613" xr:uid="{6E73B533-0192-46ED-96C4-06943DD464A3}"/>
    <cellStyle name="60% - Énfasis5 2 2 2 2 2 3 2 2 2 3" xfId="10614" xr:uid="{3BC58AAD-6807-4B64-828F-9332C01CEF2B}"/>
    <cellStyle name="60% - Énfasis5 2 2 2 2 2 3 2 2 2 4" xfId="10615" xr:uid="{34E49D0A-F008-4F25-9A6E-62AFBC04D622}"/>
    <cellStyle name="60% - Énfasis5 2 2 2 2 2 3 2 2 2 5" xfId="10616" xr:uid="{292063D9-9FFB-4782-B678-28B4135CEB32}"/>
    <cellStyle name="60% - Énfasis5 2 2 2 2 2 3 2 2 3" xfId="10617" xr:uid="{D26C290C-C6E5-4E69-AAFE-D9692B1EEE96}"/>
    <cellStyle name="60% - Énfasis5 2 2 2 2 2 3 2 2 4" xfId="10618" xr:uid="{F7446B3A-06F5-47DF-9097-A57FA784647F}"/>
    <cellStyle name="60% - Énfasis5 2 2 2 2 2 3 2 2 5" xfId="10619" xr:uid="{A149CB31-575A-4E37-B7A6-E69B541F9632}"/>
    <cellStyle name="60% - Énfasis5 2 2 2 2 2 3 2 3" xfId="10620" xr:uid="{ED952043-7883-481D-946B-ABFA312ECCF3}"/>
    <cellStyle name="60% - Énfasis5 2 2 2 2 2 3 2 4" xfId="10621" xr:uid="{6B683921-EB34-48EB-AC86-23E1A35AC545}"/>
    <cellStyle name="60% - Énfasis5 2 2 2 2 2 3 2 5" xfId="10622" xr:uid="{4FDA810F-D54A-49DC-BC0F-12E730DEA561}"/>
    <cellStyle name="60% - Énfasis5 2 2 2 2 2 3 2 6" xfId="10623" xr:uid="{4035AF35-FFCA-4B30-8D66-6A76A19362BC}"/>
    <cellStyle name="60% - Énfasis5 2 2 2 2 2 3 2 7" xfId="10624" xr:uid="{9DC3B596-C1B2-4B06-93D0-4D3AB71F0FEB}"/>
    <cellStyle name="60% - Énfasis5 2 2 2 2 2 3 2 8" xfId="10625" xr:uid="{06616BF1-FA07-4CB7-B213-EE67DF18E725}"/>
    <cellStyle name="60% - Énfasis5 2 2 2 2 2 3 2 9" xfId="10626" xr:uid="{0F53543B-ED9E-467D-AF6C-7EC16E24F355}"/>
    <cellStyle name="60% - Énfasis5 2 2 2 2 2 3 3" xfId="10627" xr:uid="{60292CCF-673E-40E4-9C43-F19690318460}"/>
    <cellStyle name="60% - Énfasis5 2 2 2 2 2 3 3 2" xfId="10628" xr:uid="{176E7AD5-7B73-491A-97F1-C528BA4D2BED}"/>
    <cellStyle name="60% - Énfasis5 2 2 2 2 2 3 3 2 2" xfId="10629" xr:uid="{53C3D57C-8085-4FE6-AED8-CFA68A34716F}"/>
    <cellStyle name="60% - Énfasis5 2 2 2 2 2 3 3 2 3" xfId="10630" xr:uid="{E1B8D905-BCCB-4A37-9E34-9F8BB9555562}"/>
    <cellStyle name="60% - Énfasis5 2 2 2 2 2 3 3 2 4" xfId="10631" xr:uid="{4EA2BCF8-03DD-451D-BC20-41862E5927C3}"/>
    <cellStyle name="60% - Énfasis5 2 2 2 2 2 3 3 2 5" xfId="10632" xr:uid="{7675F1BA-1A0F-4458-8764-058078D5B5B5}"/>
    <cellStyle name="60% - Énfasis5 2 2 2 2 2 3 3 3" xfId="10633" xr:uid="{8C089274-0329-4C51-A71A-0E30192AB9E2}"/>
    <cellStyle name="60% - Énfasis5 2 2 2 2 2 3 3 4" xfId="10634" xr:uid="{7A34E9A9-C371-47EF-AC3B-0FC6722E9C29}"/>
    <cellStyle name="60% - Énfasis5 2 2 2 2 2 3 3 5" xfId="10635" xr:uid="{D8ACCDD5-7BFE-4A45-9CD4-F567DA0C8863}"/>
    <cellStyle name="60% - Énfasis5 2 2 2 2 2 3 4" xfId="10636" xr:uid="{C7A3A27D-E2E7-48D4-BC81-44511F69B73B}"/>
    <cellStyle name="60% - Énfasis5 2 2 2 2 2 3 5" xfId="10637" xr:uid="{37CED2CB-58AE-43BE-893B-32FCD94E9089}"/>
    <cellStyle name="60% - Énfasis5 2 2 2 2 2 3 6" xfId="10638" xr:uid="{D10A6CCC-937D-4D16-8C87-244EB0ECDAA3}"/>
    <cellStyle name="60% - Énfasis5 2 2 2 2 2 3 7" xfId="10639" xr:uid="{4CBCD59E-F59F-4B1E-8795-585969D1F132}"/>
    <cellStyle name="60% - Énfasis5 2 2 2 2 2 3 8" xfId="10640" xr:uid="{BA6B809D-EA2B-4409-885B-4DBFC42774E9}"/>
    <cellStyle name="60% - Énfasis5 2 2 2 2 2 3 9" xfId="10641" xr:uid="{DB2845F7-4450-4FF3-9C64-B84B402777A5}"/>
    <cellStyle name="60% - Énfasis5 2 2 2 2 2 4" xfId="10642" xr:uid="{CCC6CFCC-75AC-433F-B62B-C69F2FE72DF1}"/>
    <cellStyle name="60% - Énfasis5 2 2 2 2 2 5" xfId="10643" xr:uid="{5F9219A2-CE6D-43A1-ACC6-F79D1131A3B5}"/>
    <cellStyle name="60% - Énfasis5 2 2 2 2 2 6" xfId="10644" xr:uid="{9296388A-8329-4C74-BD2E-BA6C0023D9F1}"/>
    <cellStyle name="60% - Énfasis5 2 2 2 2 3" xfId="10645" xr:uid="{9DE0258F-D070-441F-BFAD-E9094A464180}"/>
    <cellStyle name="60% - Énfasis5 2 2 2 2 4" xfId="10646" xr:uid="{184E8C0D-5CA7-4D67-90B0-32DD2233BAB0}"/>
    <cellStyle name="60% - Énfasis5 2 2 2 2 4 10" xfId="10647" xr:uid="{CE6830F7-E0C4-44C6-BF97-E699140DFC33}"/>
    <cellStyle name="60% - Énfasis5 2 2 2 2 4 11" xfId="10648" xr:uid="{0537D4BA-71FD-4C73-8A63-AC0AEDBBE6DB}"/>
    <cellStyle name="60% - Énfasis5 2 2 2 2 4 2" xfId="10649" xr:uid="{A7AF0B04-4DB5-41E6-8C19-59752AF4045A}"/>
    <cellStyle name="60% - Énfasis5 2 2 2 2 4 2 10" xfId="10650" xr:uid="{7D3AE148-070D-40F4-BB0C-0A790B4E6182}"/>
    <cellStyle name="60% - Énfasis5 2 2 2 2 4 2 11" xfId="10651" xr:uid="{E57F1B50-953C-4948-AD18-32F052328A5A}"/>
    <cellStyle name="60% - Énfasis5 2 2 2 2 4 2 2" xfId="10652" xr:uid="{1EDA874E-7763-459F-9240-4924EFD8030B}"/>
    <cellStyle name="60% - Énfasis5 2 2 2 2 4 2 2 2" xfId="10653" xr:uid="{E1D3E132-C124-421C-9305-8E0269FA50D1}"/>
    <cellStyle name="60% - Énfasis5 2 2 2 2 4 2 2 2 2" xfId="10654" xr:uid="{169A8253-33D6-4568-B48B-9526C7AD73C3}"/>
    <cellStyle name="60% - Énfasis5 2 2 2 2 4 2 2 2 3" xfId="10655" xr:uid="{ACDE9D1F-61E9-4949-AF64-A409BA5BCE86}"/>
    <cellStyle name="60% - Énfasis5 2 2 2 2 4 2 2 2 4" xfId="10656" xr:uid="{3589798F-1133-43E3-A2FA-C31216E6F202}"/>
    <cellStyle name="60% - Énfasis5 2 2 2 2 4 2 2 2 5" xfId="10657" xr:uid="{2889FACC-E429-4CA4-B603-B951126E54C2}"/>
    <cellStyle name="60% - Énfasis5 2 2 2 2 4 2 2 3" xfId="10658" xr:uid="{A0998EFA-F6E4-4FEB-8AB9-D8F716192355}"/>
    <cellStyle name="60% - Énfasis5 2 2 2 2 4 2 2 4" xfId="10659" xr:uid="{34D129C5-5886-4230-859F-A2D3105D43EC}"/>
    <cellStyle name="60% - Énfasis5 2 2 2 2 4 2 2 5" xfId="10660" xr:uid="{83A4E7B1-C742-4480-B267-CB46D195848C}"/>
    <cellStyle name="60% - Énfasis5 2 2 2 2 4 2 3" xfId="10661" xr:uid="{F39D511C-712D-4C69-B0F9-35C52EB4BCA9}"/>
    <cellStyle name="60% - Énfasis5 2 2 2 2 4 2 4" xfId="10662" xr:uid="{2207F635-E06C-4018-9012-1CD086811F53}"/>
    <cellStyle name="60% - Énfasis5 2 2 2 2 4 2 5" xfId="10663" xr:uid="{67FD6F05-7730-4FFC-8732-ACC6E09EBE3E}"/>
    <cellStyle name="60% - Énfasis5 2 2 2 2 4 2 6" xfId="10664" xr:uid="{11EFC0E4-D5DA-456A-98B0-1BBAB054D1A8}"/>
    <cellStyle name="60% - Énfasis5 2 2 2 2 4 2 7" xfId="10665" xr:uid="{49107961-F3A5-4F8D-9FA5-7CFDFD4220A4}"/>
    <cellStyle name="60% - Énfasis5 2 2 2 2 4 2 8" xfId="10666" xr:uid="{AD899236-96B4-48FC-9A91-74AF8CC0600C}"/>
    <cellStyle name="60% - Énfasis5 2 2 2 2 4 2 9" xfId="10667" xr:uid="{74BE8517-163E-4AA1-8337-6B7893FA5074}"/>
    <cellStyle name="60% - Énfasis5 2 2 2 2 4 3" xfId="10668" xr:uid="{6C9BB3B0-4609-48F1-BCAB-2253E7D249DE}"/>
    <cellStyle name="60% - Énfasis5 2 2 2 2 4 3 2" xfId="10669" xr:uid="{F7B48646-36E3-404C-AB1D-5E76CFFE8C54}"/>
    <cellStyle name="60% - Énfasis5 2 2 2 2 4 3 2 2" xfId="10670" xr:uid="{3C7C5FDC-0A55-4424-9861-1FC62827623A}"/>
    <cellStyle name="60% - Énfasis5 2 2 2 2 4 3 2 3" xfId="10671" xr:uid="{BF155365-84C2-4C16-9ED3-68099240CD06}"/>
    <cellStyle name="60% - Énfasis5 2 2 2 2 4 3 2 4" xfId="10672" xr:uid="{351391A2-AC3E-4B01-8EA1-3D6CBF54C7D0}"/>
    <cellStyle name="60% - Énfasis5 2 2 2 2 4 3 2 5" xfId="10673" xr:uid="{109DC4D7-738A-435D-B2E7-A969E573580F}"/>
    <cellStyle name="60% - Énfasis5 2 2 2 2 4 3 3" xfId="10674" xr:uid="{D256CD98-2BC2-49DF-B81C-D50BFE0744B3}"/>
    <cellStyle name="60% - Énfasis5 2 2 2 2 4 3 4" xfId="10675" xr:uid="{2F2D4AAD-36A3-4FE3-B78E-A5C824BF606F}"/>
    <cellStyle name="60% - Énfasis5 2 2 2 2 4 3 5" xfId="10676" xr:uid="{EF3C24F0-A54F-4978-926F-9E30EE8F11CA}"/>
    <cellStyle name="60% - Énfasis5 2 2 2 2 4 4" xfId="10677" xr:uid="{A2D3F58E-7460-40FA-870F-6E8CE56BAD32}"/>
    <cellStyle name="60% - Énfasis5 2 2 2 2 4 5" xfId="10678" xr:uid="{B08CF422-6C80-49AC-94EE-DE47523A49F2}"/>
    <cellStyle name="60% - Énfasis5 2 2 2 2 4 6" xfId="10679" xr:uid="{6B1C14E2-C973-46EE-9D8E-AF7C655816EE}"/>
    <cellStyle name="60% - Énfasis5 2 2 2 2 4 7" xfId="10680" xr:uid="{46821A4B-DD4E-4DF2-8B56-17346E8BBDE3}"/>
    <cellStyle name="60% - Énfasis5 2 2 2 2 4 8" xfId="10681" xr:uid="{0F7FDF23-96EC-42AC-8C56-CA8F4E9AE72A}"/>
    <cellStyle name="60% - Énfasis5 2 2 2 2 4 9" xfId="10682" xr:uid="{AB9DF984-5E73-4E7A-9E38-AF7CC41F3616}"/>
    <cellStyle name="60% - Énfasis5 2 2 2 2 5" xfId="10683" xr:uid="{BDC95830-3BDA-463B-B322-63D353AFA31A}"/>
    <cellStyle name="60% - Énfasis5 2 2 2 2 6" xfId="10684" xr:uid="{9E1FD9A1-3CAA-4193-A4B9-677E385A4A53}"/>
    <cellStyle name="60% - Énfasis5 2 2 2 2 7" xfId="10685" xr:uid="{DF4B982B-3A38-44F0-BAA9-D2BE79ECD4EF}"/>
    <cellStyle name="60% - Énfasis5 2 2 2 3" xfId="10686" xr:uid="{D24E201A-7BC8-4CF7-B27E-470245117E5F}"/>
    <cellStyle name="60% - Énfasis5 2 2 2 4" xfId="10687" xr:uid="{1E1F41D8-6CB0-40E0-9EE1-667248116F98}"/>
    <cellStyle name="60% - Énfasis5 2 2 2 5" xfId="10688" xr:uid="{5C42A829-52A8-492A-B575-C28FFD7A2B30}"/>
    <cellStyle name="60% - Énfasis5 2 2 2 5 10" xfId="10689" xr:uid="{BC3C27E6-CBA0-4A2E-ABD2-06BF12C4394D}"/>
    <cellStyle name="60% - Énfasis5 2 2 2 5 11" xfId="10690" xr:uid="{39BB37BB-1463-4ED3-8BBB-FED8BB3C607C}"/>
    <cellStyle name="60% - Énfasis5 2 2 2 5 2" xfId="10691" xr:uid="{1266FD02-316B-4355-9440-B09EC6A19F88}"/>
    <cellStyle name="60% - Énfasis5 2 2 2 5 2 10" xfId="10692" xr:uid="{14AA8B10-CF35-40F0-87A7-92A2A8D8F1CA}"/>
    <cellStyle name="60% - Énfasis5 2 2 2 5 2 11" xfId="10693" xr:uid="{6C644344-14EB-4A07-B8D2-834612FF64F8}"/>
    <cellStyle name="60% - Énfasis5 2 2 2 5 2 2" xfId="10694" xr:uid="{E9361B1C-885F-4EDD-BDC5-1279C72E685A}"/>
    <cellStyle name="60% - Énfasis5 2 2 2 5 2 2 2" xfId="10695" xr:uid="{5D06296F-9806-488F-9A0E-D472534C0B06}"/>
    <cellStyle name="60% - Énfasis5 2 2 2 5 2 2 2 2" xfId="10696" xr:uid="{3F73B039-78E2-4B5A-B7E4-6A793DC0801E}"/>
    <cellStyle name="60% - Énfasis5 2 2 2 5 2 2 2 3" xfId="10697" xr:uid="{D05E0659-B2F3-415F-8193-30BE8FF3A44C}"/>
    <cellStyle name="60% - Énfasis5 2 2 2 5 2 2 2 4" xfId="10698" xr:uid="{BE0FDF2A-D6C8-446E-8090-FA02BD372BEC}"/>
    <cellStyle name="60% - Énfasis5 2 2 2 5 2 2 2 5" xfId="10699" xr:uid="{5C5A3D60-8BC8-49C3-B330-59E310279833}"/>
    <cellStyle name="60% - Énfasis5 2 2 2 5 2 2 3" xfId="10700" xr:uid="{F5134EF3-698B-46D3-A3A3-755ACCC3167F}"/>
    <cellStyle name="60% - Énfasis5 2 2 2 5 2 2 4" xfId="10701" xr:uid="{2B559D82-AAA0-4C6F-B52D-0C9FB7A7CAAA}"/>
    <cellStyle name="60% - Énfasis5 2 2 2 5 2 2 5" xfId="10702" xr:uid="{03993946-9639-4927-9DCE-12A724850DA0}"/>
    <cellStyle name="60% - Énfasis5 2 2 2 5 2 3" xfId="10703" xr:uid="{87065056-C098-49DC-ABBA-D5D84EDC985C}"/>
    <cellStyle name="60% - Énfasis5 2 2 2 5 2 4" xfId="10704" xr:uid="{0952541C-2ADC-4364-97F0-7571607E5F25}"/>
    <cellStyle name="60% - Énfasis5 2 2 2 5 2 5" xfId="10705" xr:uid="{33CB692E-6DD9-44AF-B33B-0054B21A3FC1}"/>
    <cellStyle name="60% - Énfasis5 2 2 2 5 2 6" xfId="10706" xr:uid="{00D3092D-4607-4675-819B-EE8490DB8B8F}"/>
    <cellStyle name="60% - Énfasis5 2 2 2 5 2 7" xfId="10707" xr:uid="{FE685A7A-593C-42B6-8F9B-C2C78D3A3532}"/>
    <cellStyle name="60% - Énfasis5 2 2 2 5 2 8" xfId="10708" xr:uid="{CB34F7D6-2CF1-4043-92E6-59A82B80A4D2}"/>
    <cellStyle name="60% - Énfasis5 2 2 2 5 2 9" xfId="10709" xr:uid="{2200EA71-4D13-43AD-A37C-538C1AAD4429}"/>
    <cellStyle name="60% - Énfasis5 2 2 2 5 3" xfId="10710" xr:uid="{341C0722-A08F-4B4F-97BF-6CE81BADCC0C}"/>
    <cellStyle name="60% - Énfasis5 2 2 2 5 3 2" xfId="10711" xr:uid="{3481A413-AEA1-4C66-BA3D-5DA6CD0F18E8}"/>
    <cellStyle name="60% - Énfasis5 2 2 2 5 3 2 2" xfId="10712" xr:uid="{A98BFABE-3CBF-43B0-A293-A9761E67B032}"/>
    <cellStyle name="60% - Énfasis5 2 2 2 5 3 2 3" xfId="10713" xr:uid="{AADD3B44-1984-4AB7-9FCC-85CEFB1FD0F7}"/>
    <cellStyle name="60% - Énfasis5 2 2 2 5 3 2 4" xfId="10714" xr:uid="{7917E40C-F2E3-467B-A176-5BDD7300578F}"/>
    <cellStyle name="60% - Énfasis5 2 2 2 5 3 2 5" xfId="10715" xr:uid="{69DC7980-E45E-4863-BC4E-3E00AEFB7A99}"/>
    <cellStyle name="60% - Énfasis5 2 2 2 5 3 3" xfId="10716" xr:uid="{38FBC174-AC02-4FF4-8ADB-3628C60F5475}"/>
    <cellStyle name="60% - Énfasis5 2 2 2 5 3 4" xfId="10717" xr:uid="{525214DD-2F5E-445E-A8D6-FC9201683731}"/>
    <cellStyle name="60% - Énfasis5 2 2 2 5 3 5" xfId="10718" xr:uid="{659F1C61-7FC6-4229-B83D-9894136772F2}"/>
    <cellStyle name="60% - Énfasis5 2 2 2 5 4" xfId="10719" xr:uid="{49552BB4-7C0F-4811-9A64-501FC0496D26}"/>
    <cellStyle name="60% - Énfasis5 2 2 2 5 5" xfId="10720" xr:uid="{1FEBB00D-110E-41DE-B7C8-EA257F1FDDD9}"/>
    <cellStyle name="60% - Énfasis5 2 2 2 5 6" xfId="10721" xr:uid="{1FF2E377-197E-48E5-8B07-5513D3A69F67}"/>
    <cellStyle name="60% - Énfasis5 2 2 2 5 7" xfId="10722" xr:uid="{1CD67436-A68F-4BE5-947D-4B2ADE32A3EB}"/>
    <cellStyle name="60% - Énfasis5 2 2 2 5 8" xfId="10723" xr:uid="{CEB04237-A2E8-49D3-A7EA-97B36044ADA9}"/>
    <cellStyle name="60% - Énfasis5 2 2 2 5 9" xfId="10724" xr:uid="{FF912DBC-875D-42A8-81CD-FD43145D290C}"/>
    <cellStyle name="60% - Énfasis5 2 2 2 6" xfId="10725" xr:uid="{EA170F37-0B1C-43B5-BF85-12B7D7B06B1F}"/>
    <cellStyle name="60% - Énfasis5 2 2 2 7" xfId="10726" xr:uid="{BBB55A39-AC47-4444-9556-B96F7B2ECCC5}"/>
    <cellStyle name="60% - Énfasis5 2 2 2 8" xfId="10727" xr:uid="{0AB4B528-9F9D-4A69-B962-827ECBBA0D61}"/>
    <cellStyle name="60% - Énfasis5 2 2 3" xfId="10728" xr:uid="{36A282AE-610B-41D9-83F3-9B1846A833BE}"/>
    <cellStyle name="60% - Énfasis5 2 2 4" xfId="10729" xr:uid="{283F72A1-0E92-4C6C-A533-0513C58EBA32}"/>
    <cellStyle name="60% - Énfasis5 2 2 5" xfId="10730" xr:uid="{EB619E57-86AA-42F1-8994-C9773DBDC9A5}"/>
    <cellStyle name="60% - Énfasis5 2 2 6" xfId="10731" xr:uid="{642E8957-03E8-4811-8E2A-4EEA3439738A}"/>
    <cellStyle name="60% - Énfasis5 2 2 7" xfId="10732" xr:uid="{7458CCD7-ED33-4CE7-B031-771D1D6F001D}"/>
    <cellStyle name="60% - Énfasis5 2 2 8" xfId="10733" xr:uid="{123EABE5-FB60-4035-B0A5-86A5E0630A1A}"/>
    <cellStyle name="60% - Énfasis5 2 2 8 2" xfId="10734" xr:uid="{5DBAA909-275F-408F-AC21-F4E59CFCDA0F}"/>
    <cellStyle name="60% - Énfasis5 2 2 9" xfId="10735" xr:uid="{9F1B0CCA-AC00-487B-AA0E-17F3CE438877}"/>
    <cellStyle name="60% - Énfasis5 2 3" xfId="10736" xr:uid="{9993A51A-5152-44D8-BBF1-172FA964E6B3}"/>
    <cellStyle name="60% - Énfasis5 2 4" xfId="10737" xr:uid="{7280CFC7-4005-42A6-AD51-411E5932AAD3}"/>
    <cellStyle name="60% - Énfasis5 2 4 10" xfId="10738" xr:uid="{64FC27F9-4891-452F-BE8E-0E303F0C242B}"/>
    <cellStyle name="60% - Énfasis5 2 4 11" xfId="10739" xr:uid="{840369F9-CD52-4A4A-B271-1A91C72B91BB}"/>
    <cellStyle name="60% - Énfasis5 2 4 12" xfId="10740" xr:uid="{4E79593F-22B9-415B-8543-51698DD08F1E}"/>
    <cellStyle name="60% - Énfasis5 2 4 2" xfId="10741" xr:uid="{83981F48-9266-4FDB-9E16-74742712FBB7}"/>
    <cellStyle name="60% - Énfasis5 2 4 2 10" xfId="10742" xr:uid="{EFB64EFD-AA86-43B3-B2E5-7D2DB2663FA8}"/>
    <cellStyle name="60% - Énfasis5 2 4 2 11" xfId="10743" xr:uid="{DD781870-6DE4-47AE-A41B-F0D2A6EA9770}"/>
    <cellStyle name="60% - Énfasis5 2 4 2 12" xfId="10744" xr:uid="{DDD88A0C-B041-4678-B25A-2387DFE3C41A}"/>
    <cellStyle name="60% - Énfasis5 2 4 2 2" xfId="10745" xr:uid="{9F2BC913-8933-40A8-A754-A5A97724F677}"/>
    <cellStyle name="60% - Énfasis5 2 4 2 2 10" xfId="10746" xr:uid="{282971B4-0AFB-4077-9AC1-F5C4B63C2368}"/>
    <cellStyle name="60% - Énfasis5 2 4 2 2 11" xfId="10747" xr:uid="{F3CA118D-7EC9-4060-9406-22E734D9875B}"/>
    <cellStyle name="60% - Énfasis5 2 4 2 2 2" xfId="10748" xr:uid="{D798B890-5252-4935-9EEA-AF5FE4AB4EA6}"/>
    <cellStyle name="60% - Énfasis5 2 4 2 2 2 10" xfId="10749" xr:uid="{80A45265-79C1-47C3-BF15-A5EE9D552C2F}"/>
    <cellStyle name="60% - Énfasis5 2 4 2 2 2 11" xfId="10750" xr:uid="{315D3363-9669-416B-9BE9-45A2214B2813}"/>
    <cellStyle name="60% - Énfasis5 2 4 2 2 2 2" xfId="10751" xr:uid="{7E23D15C-3F0F-4459-8C4E-DFD4CF68FBFE}"/>
    <cellStyle name="60% - Énfasis5 2 4 2 2 2 2 2" xfId="10752" xr:uid="{9B674DC0-8D52-453E-A0E5-21A184C32B14}"/>
    <cellStyle name="60% - Énfasis5 2 4 2 2 2 2 2 2" xfId="10753" xr:uid="{0C1A95F6-642C-4B52-B875-6CFB8E115D2E}"/>
    <cellStyle name="60% - Énfasis5 2 4 2 2 2 2 2 3" xfId="10754" xr:uid="{2CEA3E23-07F8-4311-84A4-85844BD4E258}"/>
    <cellStyle name="60% - Énfasis5 2 4 2 2 2 2 2 4" xfId="10755" xr:uid="{BAC52F7A-052A-416A-89A9-9B0AE63AD5F4}"/>
    <cellStyle name="60% - Énfasis5 2 4 2 2 2 2 2 5" xfId="10756" xr:uid="{89384EC0-CEB7-497C-86D1-B45B1C656D4F}"/>
    <cellStyle name="60% - Énfasis5 2 4 2 2 2 2 3" xfId="10757" xr:uid="{7A3DF61F-4B41-4E80-9E15-585A442888A2}"/>
    <cellStyle name="60% - Énfasis5 2 4 2 2 2 2 4" xfId="10758" xr:uid="{A33FEA8A-AD58-4BF8-B149-4A41156AE133}"/>
    <cellStyle name="60% - Énfasis5 2 4 2 2 2 2 5" xfId="10759" xr:uid="{F1E3BD72-2F17-450F-B0C4-E5593A5FC8D3}"/>
    <cellStyle name="60% - Énfasis5 2 4 2 2 2 3" xfId="10760" xr:uid="{1CCBE648-980D-45F9-9B50-41F299FA5147}"/>
    <cellStyle name="60% - Énfasis5 2 4 2 2 2 4" xfId="10761" xr:uid="{8E2D25D1-85F3-49DE-B4AE-1D31E667DB7A}"/>
    <cellStyle name="60% - Énfasis5 2 4 2 2 2 5" xfId="10762" xr:uid="{15D8A1F5-1F1B-49F1-8304-02633DB1C5AB}"/>
    <cellStyle name="60% - Énfasis5 2 4 2 2 2 6" xfId="10763" xr:uid="{D3C4845C-1A8B-4348-BE1F-B28F31C30E4B}"/>
    <cellStyle name="60% - Énfasis5 2 4 2 2 2 7" xfId="10764" xr:uid="{8E666131-3DB0-4903-9CED-F9D7F192AE60}"/>
    <cellStyle name="60% - Énfasis5 2 4 2 2 2 8" xfId="10765" xr:uid="{FC61FBDC-D10F-4EE1-96BE-891FF856E1E4}"/>
    <cellStyle name="60% - Énfasis5 2 4 2 2 2 9" xfId="10766" xr:uid="{887E6FF2-024E-4ED7-B455-94F47E6B9E28}"/>
    <cellStyle name="60% - Énfasis5 2 4 2 2 3" xfId="10767" xr:uid="{DB61C15F-2786-4386-8253-587812DBC77E}"/>
    <cellStyle name="60% - Énfasis5 2 4 2 2 3 2" xfId="10768" xr:uid="{9715882F-DFFB-49EC-8576-ACEB7B694891}"/>
    <cellStyle name="60% - Énfasis5 2 4 2 2 3 2 2" xfId="10769" xr:uid="{B3F89EB0-57AC-413D-9FDB-72C605AE97E1}"/>
    <cellStyle name="60% - Énfasis5 2 4 2 2 3 2 3" xfId="10770" xr:uid="{A1C608CB-6B68-4F1D-92CB-921A711B8994}"/>
    <cellStyle name="60% - Énfasis5 2 4 2 2 3 2 4" xfId="10771" xr:uid="{8386228B-04C5-479B-94F7-367140CBFF3E}"/>
    <cellStyle name="60% - Énfasis5 2 4 2 2 3 2 5" xfId="10772" xr:uid="{1D1E5256-5831-4A55-A856-EB65BEA0C5EC}"/>
    <cellStyle name="60% - Énfasis5 2 4 2 2 3 3" xfId="10773" xr:uid="{CEF6A256-ABD6-430C-8DF4-D83A8CC64912}"/>
    <cellStyle name="60% - Énfasis5 2 4 2 2 3 4" xfId="10774" xr:uid="{29360264-C347-4A37-ABE5-CC18827F2869}"/>
    <cellStyle name="60% - Énfasis5 2 4 2 2 3 5" xfId="10775" xr:uid="{978A456D-1F44-4219-8903-FED074A6F86C}"/>
    <cellStyle name="60% - Énfasis5 2 4 2 2 4" xfId="10776" xr:uid="{CF3A256B-FD1E-470B-8400-F07C22035464}"/>
    <cellStyle name="60% - Énfasis5 2 4 2 2 5" xfId="10777" xr:uid="{9287A4D2-7763-4AFF-910E-542CD47EEBAD}"/>
    <cellStyle name="60% - Énfasis5 2 4 2 2 6" xfId="10778" xr:uid="{1DA6FB59-FC72-4F45-BEE0-A6DF656D78A8}"/>
    <cellStyle name="60% - Énfasis5 2 4 2 2 7" xfId="10779" xr:uid="{01EC917A-8F13-4486-AE33-B3B026FFA0EB}"/>
    <cellStyle name="60% - Énfasis5 2 4 2 2 8" xfId="10780" xr:uid="{AB657E42-1003-4427-802E-3D8EE5BE1154}"/>
    <cellStyle name="60% - Énfasis5 2 4 2 2 9" xfId="10781" xr:uid="{C3A8D07C-4902-42B8-8235-4589D345E161}"/>
    <cellStyle name="60% - Énfasis5 2 4 2 3" xfId="10782" xr:uid="{1DB2E10D-BBB1-403A-9016-0A3E362ADB81}"/>
    <cellStyle name="60% - Énfasis5 2 4 2 3 2" xfId="10783" xr:uid="{901B2570-64D1-4912-BAA3-AD6BF31D405C}"/>
    <cellStyle name="60% - Énfasis5 2 4 2 3 2 2" xfId="10784" xr:uid="{B6D0901A-4AD8-4CBD-B928-D226EF9E2C37}"/>
    <cellStyle name="60% - Énfasis5 2 4 2 3 2 3" xfId="10785" xr:uid="{99691C62-C3DF-415B-A984-DFF30B8AE98D}"/>
    <cellStyle name="60% - Énfasis5 2 4 2 3 2 4" xfId="10786" xr:uid="{8C00A32E-B3FA-49E3-854B-4C614AB1E5B7}"/>
    <cellStyle name="60% - Énfasis5 2 4 2 3 2 5" xfId="10787" xr:uid="{B29B02CF-C865-42F4-A4F9-7A4DC3346AB3}"/>
    <cellStyle name="60% - Énfasis5 2 4 2 3 3" xfId="10788" xr:uid="{52168457-62AA-4D12-A683-492C4BF64A0D}"/>
    <cellStyle name="60% - Énfasis5 2 4 2 3 4" xfId="10789" xr:uid="{F16F3B4A-A862-4997-A221-1BD49F7A9BB8}"/>
    <cellStyle name="60% - Énfasis5 2 4 2 3 5" xfId="10790" xr:uid="{3CDCD859-BBF4-4D59-81E2-B89546AAFD10}"/>
    <cellStyle name="60% - Énfasis5 2 4 2 4" xfId="10791" xr:uid="{F40E1EA8-F10B-4048-8B08-9636F38DCD12}"/>
    <cellStyle name="60% - Énfasis5 2 4 2 5" xfId="10792" xr:uid="{433BC82C-3294-416E-A679-A5E7B99FE411}"/>
    <cellStyle name="60% - Énfasis5 2 4 2 6" xfId="10793" xr:uid="{CE965D0A-5565-4D75-8FF8-BF19D8EA2F84}"/>
    <cellStyle name="60% - Énfasis5 2 4 2 7" xfId="10794" xr:uid="{6618A2BD-C5E4-4506-9C82-96FCF3450F6A}"/>
    <cellStyle name="60% - Énfasis5 2 4 2 8" xfId="10795" xr:uid="{3D89AF2F-33E9-4B23-9C27-F73F977C5698}"/>
    <cellStyle name="60% - Énfasis5 2 4 2 9" xfId="10796" xr:uid="{E2C6621B-0654-45DA-BDC9-247C9C19DF09}"/>
    <cellStyle name="60% - Énfasis5 2 4 3" xfId="10797" xr:uid="{87A79D2A-0BBA-400D-BD24-6BABC517574E}"/>
    <cellStyle name="60% - Énfasis5 2 4 3 10" xfId="10798" xr:uid="{4E079B6F-F9D9-4691-A9D4-6C9D0D7149C4}"/>
    <cellStyle name="60% - Énfasis5 2 4 3 11" xfId="10799" xr:uid="{2E0DE2A0-EE06-43C1-B700-0C9836834308}"/>
    <cellStyle name="60% - Énfasis5 2 4 3 2" xfId="10800" xr:uid="{D0E6EAE6-6065-44CC-BA1C-B17F186E1E64}"/>
    <cellStyle name="60% - Énfasis5 2 4 3 2 2" xfId="10801" xr:uid="{04834014-B1CE-4F66-B101-40175C8676D8}"/>
    <cellStyle name="60% - Énfasis5 2 4 3 2 2 2" xfId="10802" xr:uid="{8ECEB6E0-A183-4AC6-A04A-DBD91058C9A6}"/>
    <cellStyle name="60% - Énfasis5 2 4 3 2 2 3" xfId="10803" xr:uid="{E87FD64A-2D04-4811-9DFA-C27006688610}"/>
    <cellStyle name="60% - Énfasis5 2 4 3 2 2 4" xfId="10804" xr:uid="{BF173FCD-BEE8-4B3B-8E36-8C7CCE6D84F9}"/>
    <cellStyle name="60% - Énfasis5 2 4 3 2 2 5" xfId="10805" xr:uid="{04B89A64-AF29-4A5C-A2E6-73F06B9FA72D}"/>
    <cellStyle name="60% - Énfasis5 2 4 3 2 3" xfId="10806" xr:uid="{B548D791-AD48-4EC3-B058-DA16BFFB74F6}"/>
    <cellStyle name="60% - Énfasis5 2 4 3 2 4" xfId="10807" xr:uid="{A2B9DA9F-7054-47FE-977D-21E5DD956089}"/>
    <cellStyle name="60% - Énfasis5 2 4 3 2 5" xfId="10808" xr:uid="{6FABD597-F9F2-4BF5-99BD-BF71791383DC}"/>
    <cellStyle name="60% - Énfasis5 2 4 3 3" xfId="10809" xr:uid="{4B494995-C54D-44F1-958D-B703450B3827}"/>
    <cellStyle name="60% - Énfasis5 2 4 3 4" xfId="10810" xr:uid="{AA0D2AE9-54FB-4565-A62B-56A7B2D80B45}"/>
    <cellStyle name="60% - Énfasis5 2 4 3 5" xfId="10811" xr:uid="{86C46985-FE67-4712-A1FF-F6E66A5F8AB8}"/>
    <cellStyle name="60% - Énfasis5 2 4 3 6" xfId="10812" xr:uid="{7C978E08-B2E6-4BC5-97D7-EBC46F72A2E5}"/>
    <cellStyle name="60% - Énfasis5 2 4 3 7" xfId="10813" xr:uid="{4532E3B9-0F5C-4AB7-9E2A-721B8E88DA2D}"/>
    <cellStyle name="60% - Énfasis5 2 4 3 8" xfId="10814" xr:uid="{82033E3F-82F9-4567-BCF5-1611C0E02E98}"/>
    <cellStyle name="60% - Énfasis5 2 4 3 9" xfId="10815" xr:uid="{B45A3A70-C7CB-4DD8-994F-4B9A4BF7A365}"/>
    <cellStyle name="60% - Énfasis5 2 4 4" xfId="10816" xr:uid="{FC420727-1C02-4EFE-AC89-C7A301748019}"/>
    <cellStyle name="60% - Énfasis5 2 4 4 2" xfId="10817" xr:uid="{6C309C54-FCCA-44EB-902C-AC43BF0DDDC2}"/>
    <cellStyle name="60% - Énfasis5 2 4 4 2 2" xfId="10818" xr:uid="{0CE18389-58B0-4A77-941F-5B0E67EB7753}"/>
    <cellStyle name="60% - Énfasis5 2 4 4 2 3" xfId="10819" xr:uid="{9971ED94-558B-45EE-97DB-8AF00DA54C1F}"/>
    <cellStyle name="60% - Énfasis5 2 4 4 2 4" xfId="10820" xr:uid="{E1BD31AF-F034-468E-93AC-23224041BBDD}"/>
    <cellStyle name="60% - Énfasis5 2 4 4 2 5" xfId="10821" xr:uid="{0A838A8E-22D7-4B46-97B7-12F2A6337685}"/>
    <cellStyle name="60% - Énfasis5 2 4 4 3" xfId="10822" xr:uid="{16A5F4DC-5C76-4308-9E7A-A5084F5AA802}"/>
    <cellStyle name="60% - Énfasis5 2 4 4 4" xfId="10823" xr:uid="{8A9E72D8-CCED-454E-851A-2D4A126A1DD5}"/>
    <cellStyle name="60% - Énfasis5 2 4 4 5" xfId="10824" xr:uid="{7DFC5624-A427-49F5-A3C7-98279CF618F4}"/>
    <cellStyle name="60% - Énfasis5 2 4 5" xfId="10825" xr:uid="{1595B1D2-6553-4350-BAD6-6E05A05D3A4C}"/>
    <cellStyle name="60% - Énfasis5 2 4 6" xfId="10826" xr:uid="{D429CCB2-4A3C-4DE0-927D-7A0C020FE989}"/>
    <cellStyle name="60% - Énfasis5 2 4 7" xfId="10827" xr:uid="{BE0B18C3-FCDF-4720-9B2A-46DCECF06CA4}"/>
    <cellStyle name="60% - Énfasis5 2 4 8" xfId="10828" xr:uid="{B99713F2-11BC-406A-ADEC-78FDDCBACCE3}"/>
    <cellStyle name="60% - Énfasis5 2 4 9" xfId="10829" xr:uid="{1D60EFAA-BC7A-4CF3-B9B8-38FA82AE9628}"/>
    <cellStyle name="60% - Énfasis5 2 5" xfId="10830" xr:uid="{A26A8435-280F-4D76-865D-7C035FB41A70}"/>
    <cellStyle name="60% - Énfasis5 2 6" xfId="10831" xr:uid="{024B6937-04A6-4085-99C1-EB309762F81E}"/>
    <cellStyle name="60% - Énfasis5 2 7" xfId="10832" xr:uid="{92BC89B9-5C9F-427B-AFAC-9359CA4DF0B0}"/>
    <cellStyle name="60% - Énfasis5 2 8" xfId="10833" xr:uid="{4B191ABD-D954-4E25-9C98-A6E79A476F53}"/>
    <cellStyle name="60% - Énfasis5 2 8 2" xfId="10834" xr:uid="{21283C24-5D8E-436C-9CC2-31DEAB640DD5}"/>
    <cellStyle name="60% - Énfasis5 2 9" xfId="10835" xr:uid="{83D5AF8D-F979-41BC-BDA3-F40964AD612A}"/>
    <cellStyle name="60% - Énfasis5 3" xfId="10836" xr:uid="{AE429FE2-C573-4C1B-AF84-20363E3FEE2B}"/>
    <cellStyle name="60% - Énfasis5 3 2" xfId="10837" xr:uid="{0E137D5F-D7A6-4B6C-89E5-029651AD9BC1}"/>
    <cellStyle name="60% - Énfasis5 3 3" xfId="10838" xr:uid="{623C2C16-A948-4D03-9239-92252EBDAC25}"/>
    <cellStyle name="60% - Énfasis5 4" xfId="10839" xr:uid="{10B2AEE1-EB8D-4732-8000-DD9DECF6162F}"/>
    <cellStyle name="60% - Énfasis5 5" xfId="43484" xr:uid="{D9A57600-F42E-48C7-ACF6-C913AC352E44}"/>
    <cellStyle name="60% - Énfasis6 2" xfId="10840" xr:uid="{1D0266D3-A813-4EA3-A6CF-0116D181473B}"/>
    <cellStyle name="60% - Énfasis6 2 10" xfId="10841" xr:uid="{B3D7CC94-D984-4371-BF91-D9846475F5FC}"/>
    <cellStyle name="60% - Énfasis6 2 10 10" xfId="10842" xr:uid="{CAA5440E-924C-4419-AEE5-7A4793741FA0}"/>
    <cellStyle name="60% - Énfasis6 2 10 11" xfId="10843" xr:uid="{88EC1CC7-9777-4955-B230-353D284EF573}"/>
    <cellStyle name="60% - Énfasis6 2 10 2" xfId="10844" xr:uid="{FD09364E-DFCE-4B4E-A126-D6A3ADF64F7F}"/>
    <cellStyle name="60% - Énfasis6 2 10 2 10" xfId="10845" xr:uid="{998B673C-516C-4F93-AE81-CE8CFDC8270A}"/>
    <cellStyle name="60% - Énfasis6 2 10 2 11" xfId="10846" xr:uid="{8ADB46E6-576D-43E5-9A43-67426896320C}"/>
    <cellStyle name="60% - Énfasis6 2 10 2 2" xfId="10847" xr:uid="{FDD1EBF2-7F0C-48BC-A5C4-99F42B6DAFA7}"/>
    <cellStyle name="60% - Énfasis6 2 10 2 2 2" xfId="10848" xr:uid="{3ED81C1F-F4CC-4DE2-9EB5-A3CBB647AA89}"/>
    <cellStyle name="60% - Énfasis6 2 10 2 2 2 2" xfId="10849" xr:uid="{2B2E0F1A-1FE6-47CD-B5CD-7A26802FE19D}"/>
    <cellStyle name="60% - Énfasis6 2 10 2 2 2 3" xfId="10850" xr:uid="{1269AADF-7F84-4276-9670-4F60348309D3}"/>
    <cellStyle name="60% - Énfasis6 2 10 2 2 2 4" xfId="10851" xr:uid="{5BB05A65-678E-45B1-9660-D42A5E65A18A}"/>
    <cellStyle name="60% - Énfasis6 2 10 2 2 2 5" xfId="10852" xr:uid="{0D554CFD-073A-4B9E-9C74-6CCB04B06727}"/>
    <cellStyle name="60% - Énfasis6 2 10 2 2 3" xfId="10853" xr:uid="{86DAE3BC-F15C-4BE6-A8C4-2AFFCA05A404}"/>
    <cellStyle name="60% - Énfasis6 2 10 2 2 4" xfId="10854" xr:uid="{1E4B57B9-1510-464B-9100-4D0B5CB74B42}"/>
    <cellStyle name="60% - Énfasis6 2 10 2 2 5" xfId="10855" xr:uid="{F86295B5-430B-4FB5-A84E-0D4D1AF66213}"/>
    <cellStyle name="60% - Énfasis6 2 10 2 3" xfId="10856" xr:uid="{5BECA39C-1C9B-42E8-AA94-0E0B35B7AB7D}"/>
    <cellStyle name="60% - Énfasis6 2 10 2 4" xfId="10857" xr:uid="{7838C404-F70A-47B4-8216-F220851B7B07}"/>
    <cellStyle name="60% - Énfasis6 2 10 2 5" xfId="10858" xr:uid="{AFF14ECF-2372-4DE1-B5BE-4684097B4278}"/>
    <cellStyle name="60% - Énfasis6 2 10 2 6" xfId="10859" xr:uid="{FEB58E94-0961-4652-A3D8-722C90FC0A1B}"/>
    <cellStyle name="60% - Énfasis6 2 10 2 7" xfId="10860" xr:uid="{8783CD8D-07E5-4978-8A3C-F3339292AA00}"/>
    <cellStyle name="60% - Énfasis6 2 10 2 8" xfId="10861" xr:uid="{CFA44A9B-4C02-468D-A48F-2E5CB37E78BA}"/>
    <cellStyle name="60% - Énfasis6 2 10 2 9" xfId="10862" xr:uid="{F6B01DDD-F652-421F-8297-007FF5079B9C}"/>
    <cellStyle name="60% - Énfasis6 2 10 3" xfId="10863" xr:uid="{049CD782-9217-49BA-8305-E7CB9404F7CA}"/>
    <cellStyle name="60% - Énfasis6 2 10 3 2" xfId="10864" xr:uid="{4813E5F4-F44A-44F9-A654-5B64DDF15CD1}"/>
    <cellStyle name="60% - Énfasis6 2 10 3 2 2" xfId="10865" xr:uid="{1F0A4315-8505-4B44-B1E4-CAEC3243EEED}"/>
    <cellStyle name="60% - Énfasis6 2 10 3 2 3" xfId="10866" xr:uid="{9A444B8E-7365-407A-A914-4E2322F1ECC1}"/>
    <cellStyle name="60% - Énfasis6 2 10 3 2 4" xfId="10867" xr:uid="{8D01DBCC-9786-4C17-AB6F-9FAB06C443E4}"/>
    <cellStyle name="60% - Énfasis6 2 10 3 2 5" xfId="10868" xr:uid="{632ECF84-6B4C-4BCD-85B0-D57C3040F596}"/>
    <cellStyle name="60% - Énfasis6 2 10 3 3" xfId="10869" xr:uid="{FF4DC212-3E65-4393-8506-F63FF523BBD8}"/>
    <cellStyle name="60% - Énfasis6 2 10 3 4" xfId="10870" xr:uid="{D44CD9A9-2ABB-4CEC-9CC9-CC2F7912F630}"/>
    <cellStyle name="60% - Énfasis6 2 10 3 5" xfId="10871" xr:uid="{A78C7397-2433-4B38-8893-CE6C63945B06}"/>
    <cellStyle name="60% - Énfasis6 2 10 4" xfId="10872" xr:uid="{EA63CF4B-DD02-4343-B39D-AF2C83B14FD3}"/>
    <cellStyle name="60% - Énfasis6 2 10 5" xfId="10873" xr:uid="{46B289E6-35F2-488D-B1BC-3B6F8F06A34C}"/>
    <cellStyle name="60% - Énfasis6 2 10 6" xfId="10874" xr:uid="{A54B9D4E-942C-439D-A498-7EFBFF85B6F1}"/>
    <cellStyle name="60% - Énfasis6 2 10 7" xfId="10875" xr:uid="{E55654AF-A082-47C3-88E1-D7D5948A1D56}"/>
    <cellStyle name="60% - Énfasis6 2 10 8" xfId="10876" xr:uid="{BC98020C-EF84-42DC-BAB8-3978C6AFAA92}"/>
    <cellStyle name="60% - Énfasis6 2 10 9" xfId="10877" xr:uid="{DDDC67C9-F310-4C67-9785-11FB17F358AB}"/>
    <cellStyle name="60% - Énfasis6 2 11" xfId="10878" xr:uid="{44DE9522-D203-4DD2-A3D0-DF6BD55206D4}"/>
    <cellStyle name="60% - Énfasis6 2 12" xfId="10879" xr:uid="{EC43C0E6-00A6-44FC-BDEA-0860849D4E9D}"/>
    <cellStyle name="60% - Énfasis6 2 13" xfId="10880" xr:uid="{87C5D979-DD6D-44A3-821B-D8DDA7AB2AE6}"/>
    <cellStyle name="60% - Énfasis6 2 14" xfId="43492" xr:uid="{CAB61AC5-354A-48CF-B80C-61612C18C633}"/>
    <cellStyle name="60% - Énfasis6 2 2" xfId="10881" xr:uid="{2E63CF5D-3A82-4D87-A593-48555E6C9EB2}"/>
    <cellStyle name="60% - Énfasis6 2 2 10" xfId="10882" xr:uid="{2ABEB954-8BE4-4BF5-926D-75EE785A2F0E}"/>
    <cellStyle name="60% - Énfasis6 2 2 10 10" xfId="10883" xr:uid="{6F0F3645-F61A-4420-8C12-E30C6CFB6437}"/>
    <cellStyle name="60% - Énfasis6 2 2 10 11" xfId="10884" xr:uid="{A17747A8-F47A-4FD7-A236-D11C5B2061E5}"/>
    <cellStyle name="60% - Énfasis6 2 2 10 2" xfId="10885" xr:uid="{8365A1C4-7BCD-4F7B-B6A5-F5CF9D48418A}"/>
    <cellStyle name="60% - Énfasis6 2 2 10 2 10" xfId="10886" xr:uid="{498FE6CF-1E7B-4917-845D-5A163794CD0F}"/>
    <cellStyle name="60% - Énfasis6 2 2 10 2 11" xfId="10887" xr:uid="{EB1436A1-B194-4970-B456-40298409AE5A}"/>
    <cellStyle name="60% - Énfasis6 2 2 10 2 2" xfId="10888" xr:uid="{095B6C64-5F79-4D96-A908-064F8E1B62F7}"/>
    <cellStyle name="60% - Énfasis6 2 2 10 2 2 2" xfId="10889" xr:uid="{6102C8D2-238C-435B-97CC-898DDC107E5D}"/>
    <cellStyle name="60% - Énfasis6 2 2 10 2 2 2 2" xfId="10890" xr:uid="{17C91708-B048-4B04-AEFE-E283F927474F}"/>
    <cellStyle name="60% - Énfasis6 2 2 10 2 2 2 3" xfId="10891" xr:uid="{3DB566CA-CFA9-44B2-9CA2-8F2FB1A2AA6B}"/>
    <cellStyle name="60% - Énfasis6 2 2 10 2 2 2 4" xfId="10892" xr:uid="{B3947146-5CBC-46D4-AC97-8E975EEB13D3}"/>
    <cellStyle name="60% - Énfasis6 2 2 10 2 2 2 5" xfId="10893" xr:uid="{2E7641BC-C39C-4012-B7EB-1D0E579F15EF}"/>
    <cellStyle name="60% - Énfasis6 2 2 10 2 2 3" xfId="10894" xr:uid="{8479FECE-2C5C-4F35-B2D1-10A0F64993E2}"/>
    <cellStyle name="60% - Énfasis6 2 2 10 2 2 4" xfId="10895" xr:uid="{86E33078-E5FA-45B4-B2CB-2251652FEACD}"/>
    <cellStyle name="60% - Énfasis6 2 2 10 2 2 5" xfId="10896" xr:uid="{775E4027-03D5-4113-A365-C885769669A4}"/>
    <cellStyle name="60% - Énfasis6 2 2 10 2 3" xfId="10897" xr:uid="{C2A65E0B-1100-49E0-B0A8-FFC2DE47DDD5}"/>
    <cellStyle name="60% - Énfasis6 2 2 10 2 4" xfId="10898" xr:uid="{D66D45E2-B35D-4A75-87BE-33E72359C2B1}"/>
    <cellStyle name="60% - Énfasis6 2 2 10 2 5" xfId="10899" xr:uid="{1B2C55F9-4D28-4552-BAEE-5B2951EF269E}"/>
    <cellStyle name="60% - Énfasis6 2 2 10 2 6" xfId="10900" xr:uid="{6BD4EBBB-441C-41AF-A821-7E33C9D1AEA7}"/>
    <cellStyle name="60% - Énfasis6 2 2 10 2 7" xfId="10901" xr:uid="{62008BDE-4C59-4FFB-8998-2D9829F07973}"/>
    <cellStyle name="60% - Énfasis6 2 2 10 2 8" xfId="10902" xr:uid="{09EA5D09-3696-4D18-A715-A2DD28CEF934}"/>
    <cellStyle name="60% - Énfasis6 2 2 10 2 9" xfId="10903" xr:uid="{0FE71DEB-D479-4189-A52C-31206E42664B}"/>
    <cellStyle name="60% - Énfasis6 2 2 10 3" xfId="10904" xr:uid="{89C48871-D327-4200-AF41-BFBC01373F5C}"/>
    <cellStyle name="60% - Énfasis6 2 2 10 3 2" xfId="10905" xr:uid="{75357D9B-934B-4544-8B04-1D36C7EC4195}"/>
    <cellStyle name="60% - Énfasis6 2 2 10 3 2 2" xfId="10906" xr:uid="{E28A0CD6-26EC-4A70-A277-F5E698C662D5}"/>
    <cellStyle name="60% - Énfasis6 2 2 10 3 2 3" xfId="10907" xr:uid="{E263D6E7-1308-4A41-8B44-D34C03E84A44}"/>
    <cellStyle name="60% - Énfasis6 2 2 10 3 2 4" xfId="10908" xr:uid="{26C98667-C6A2-4406-B63C-94443D26DAAB}"/>
    <cellStyle name="60% - Énfasis6 2 2 10 3 2 5" xfId="10909" xr:uid="{CCA8A755-627A-445B-9D77-ED858DD2FA01}"/>
    <cellStyle name="60% - Énfasis6 2 2 10 3 3" xfId="10910" xr:uid="{97FADFEA-20CA-4857-9989-294D40FA9553}"/>
    <cellStyle name="60% - Énfasis6 2 2 10 3 4" xfId="10911" xr:uid="{9CCE8F4E-20C0-4A99-ACEF-3DF32B448992}"/>
    <cellStyle name="60% - Énfasis6 2 2 10 3 5" xfId="10912" xr:uid="{0ECC9668-0435-4734-9DF0-006278A39109}"/>
    <cellStyle name="60% - Énfasis6 2 2 10 4" xfId="10913" xr:uid="{18FCA79D-1280-4FEA-99FC-30F01544CD04}"/>
    <cellStyle name="60% - Énfasis6 2 2 10 5" xfId="10914" xr:uid="{9D4D9BEE-AF13-4E11-A035-58FCF7F3FBA9}"/>
    <cellStyle name="60% - Énfasis6 2 2 10 6" xfId="10915" xr:uid="{D52FAB9F-663B-49FC-A7AF-9C95A2EC5284}"/>
    <cellStyle name="60% - Énfasis6 2 2 10 7" xfId="10916" xr:uid="{4E88ADA5-62E8-494C-91EE-FD9C76C54198}"/>
    <cellStyle name="60% - Énfasis6 2 2 10 8" xfId="10917" xr:uid="{FA6C414B-BF07-4934-BFA8-DEF212A74569}"/>
    <cellStyle name="60% - Énfasis6 2 2 10 9" xfId="10918" xr:uid="{6E8F6481-846C-4F27-AAF1-9DBDBE927679}"/>
    <cellStyle name="60% - Énfasis6 2 2 11" xfId="10919" xr:uid="{9B0CA6C2-B3C0-4EA8-9DA7-45DABCA0A26B}"/>
    <cellStyle name="60% - Énfasis6 2 2 12" xfId="10920" xr:uid="{C6B121DE-A0E0-44BB-B6DA-250C17A72A2C}"/>
    <cellStyle name="60% - Énfasis6 2 2 13" xfId="10921" xr:uid="{22D376FD-30F0-4B20-9F4F-47AE1E4BA1AF}"/>
    <cellStyle name="60% - Énfasis6 2 2 2" xfId="10922" xr:uid="{14EB103F-6CBA-42DC-9332-1E16864FE71C}"/>
    <cellStyle name="60% - Énfasis6 2 2 2 2" xfId="10923" xr:uid="{ED5E9713-8196-42A1-9369-8E3FC7694676}"/>
    <cellStyle name="60% - Énfasis6 2 2 2 2 2" xfId="10924" xr:uid="{19061A2A-357F-4C6F-AE65-CB55A45B5C15}"/>
    <cellStyle name="60% - Énfasis6 2 2 2 2 2 2" xfId="10925" xr:uid="{5D4605A4-E756-442D-9AD5-10C2AA90419F}"/>
    <cellStyle name="60% - Énfasis6 2 2 2 2 2 2 2" xfId="10926" xr:uid="{52D9C0F7-B2FD-48DA-8990-21AEACABF2F9}"/>
    <cellStyle name="60% - Énfasis6 2 2 2 2 2 2 2 2" xfId="10927" xr:uid="{F61A6E22-CD97-4C9C-A815-2E4AD82D22E9}"/>
    <cellStyle name="60% - Énfasis6 2 2 2 2 2 2 2 2 2" xfId="10928" xr:uid="{6FD1EC95-5BD5-449B-B166-0F95EFE0F5CA}"/>
    <cellStyle name="60% - Énfasis6 2 2 2 2 2 2 2 2 2 2" xfId="10929" xr:uid="{3A578C26-AB14-43FC-BF7C-53F3BB9C69C9}"/>
    <cellStyle name="60% - Énfasis6 2 2 2 2 2 2 2 2 2 2 2" xfId="10930" xr:uid="{CA454513-918A-4642-8AB2-7FBE84530A72}"/>
    <cellStyle name="60% - Énfasis6 2 2 2 2 2 2 2 2 2 2 2 2" xfId="10931" xr:uid="{8BE0CB53-DCF2-4964-B03F-55C97DDC85E8}"/>
    <cellStyle name="60% - Énfasis6 2 2 2 2 2 2 2 2 2 2 3" xfId="10932" xr:uid="{6F5365BA-E914-4E59-8723-68956D01501C}"/>
    <cellStyle name="60% - Énfasis6 2 2 2 2 2 2 2 2 2 2 4" xfId="10933" xr:uid="{22B98EAD-E673-448D-95FD-D435A13E1FD9}"/>
    <cellStyle name="60% - Énfasis6 2 2 2 2 2 2 2 2 2 3" xfId="10934" xr:uid="{8DA03DCF-F539-472E-AD5D-F84A3D631910}"/>
    <cellStyle name="60% - Énfasis6 2 2 2 2 2 2 2 2 2 4" xfId="10935" xr:uid="{5330F4C2-C336-48E8-AAD6-0F3AA70A5B82}"/>
    <cellStyle name="60% - Énfasis6 2 2 2 2 2 2 2 2 3" xfId="10936" xr:uid="{B6A906E4-CF77-47DC-85EF-AD9997B45343}"/>
    <cellStyle name="60% - Énfasis6 2 2 2 2 2 2 2 2 4" xfId="10937" xr:uid="{AE1AE776-EDC1-4A37-827D-5A39962AA5AF}"/>
    <cellStyle name="60% - Énfasis6 2 2 2 2 2 2 2 2 5" xfId="10938" xr:uid="{86BE3819-3123-473B-B5A3-39BD39DB3860}"/>
    <cellStyle name="60% - Énfasis6 2 2 2 2 2 2 2 3" xfId="10939" xr:uid="{343DA3BB-8494-46B4-8853-AC5B5D037BB2}"/>
    <cellStyle name="60% - Énfasis6 2 2 2 2 2 2 2 3 10" xfId="10940" xr:uid="{64139538-BD97-4126-8397-4E66339DEBE6}"/>
    <cellStyle name="60% - Énfasis6 2 2 2 2 2 2 2 3 11" xfId="10941" xr:uid="{AC140371-C963-40F2-92BB-D4B3DE41404D}"/>
    <cellStyle name="60% - Énfasis6 2 2 2 2 2 2 2 3 2" xfId="10942" xr:uid="{A49A7DA6-4CC2-492B-AB3D-00F5349838B3}"/>
    <cellStyle name="60% - Énfasis6 2 2 2 2 2 2 2 3 2 2" xfId="10943" xr:uid="{BAB58A6D-A54E-4D5A-8E04-FEC99BA7D36E}"/>
    <cellStyle name="60% - Énfasis6 2 2 2 2 2 2 2 3 2 2 2" xfId="10944" xr:uid="{2712BF9A-F29E-4FB1-9945-762E91EF32FC}"/>
    <cellStyle name="60% - Énfasis6 2 2 2 2 2 2 2 3 2 2 3" xfId="10945" xr:uid="{E4816A8F-DB37-403E-AC48-2CDF16822BCF}"/>
    <cellStyle name="60% - Énfasis6 2 2 2 2 2 2 2 3 2 2 4" xfId="10946" xr:uid="{4EC3A152-D99F-4C7E-A4AD-E01D359768CD}"/>
    <cellStyle name="60% - Énfasis6 2 2 2 2 2 2 2 3 2 2 5" xfId="10947" xr:uid="{A696B770-BF81-4C69-A78A-2FF7A7B68810}"/>
    <cellStyle name="60% - Énfasis6 2 2 2 2 2 2 2 3 2 3" xfId="10948" xr:uid="{4275FD37-7D60-4B23-87E1-644586D29C47}"/>
    <cellStyle name="60% - Énfasis6 2 2 2 2 2 2 2 3 2 4" xfId="10949" xr:uid="{3CC4955F-3432-4138-9705-A53F89B9DE28}"/>
    <cellStyle name="60% - Énfasis6 2 2 2 2 2 2 2 3 2 5" xfId="10950" xr:uid="{F51A91EE-2080-4B27-9952-3A978DC187A3}"/>
    <cellStyle name="60% - Énfasis6 2 2 2 2 2 2 2 3 3" xfId="10951" xr:uid="{7620D8F1-3AEA-43FA-8F07-E194B976F402}"/>
    <cellStyle name="60% - Énfasis6 2 2 2 2 2 2 2 3 4" xfId="10952" xr:uid="{B278A052-2331-41F6-A6BD-D2ECED4AFD62}"/>
    <cellStyle name="60% - Énfasis6 2 2 2 2 2 2 2 3 5" xfId="10953" xr:uid="{06E401C5-D875-4573-8863-A8D96DBB45B7}"/>
    <cellStyle name="60% - Énfasis6 2 2 2 2 2 2 2 3 6" xfId="10954" xr:uid="{8DB5204D-2EE3-4237-AC51-DF04AF2C834D}"/>
    <cellStyle name="60% - Énfasis6 2 2 2 2 2 2 2 3 7" xfId="10955" xr:uid="{E4438838-764E-441A-A4A0-CE9878ED3D81}"/>
    <cellStyle name="60% - Énfasis6 2 2 2 2 2 2 2 3 8" xfId="10956" xr:uid="{11BF7688-000E-435B-9BF7-41639A3CD900}"/>
    <cellStyle name="60% - Énfasis6 2 2 2 2 2 2 2 3 9" xfId="10957" xr:uid="{4EDE8319-C411-435D-80F4-A168CF06B952}"/>
    <cellStyle name="60% - Énfasis6 2 2 2 2 2 2 2 4" xfId="10958" xr:uid="{19CFA134-BF5A-4542-AE0D-80A88368AAF2}"/>
    <cellStyle name="60% - Énfasis6 2 2 2 2 2 2 2 5" xfId="10959" xr:uid="{21F756B8-4965-43E1-A612-F005C0162DF1}"/>
    <cellStyle name="60% - Énfasis6 2 2 2 2 2 2 3" xfId="10960" xr:uid="{A60C699D-05BD-4710-BBB0-5766C1C239FD}"/>
    <cellStyle name="60% - Énfasis6 2 2 2 2 2 2 3 10" xfId="10961" xr:uid="{13AD8D0E-F2DB-4FAA-BAAA-21E75C2F252B}"/>
    <cellStyle name="60% - Énfasis6 2 2 2 2 2 2 3 11" xfId="10962" xr:uid="{716C95C8-808A-4305-BFC9-482A1FE3B156}"/>
    <cellStyle name="60% - Énfasis6 2 2 2 2 2 2 3 2" xfId="10963" xr:uid="{C7916FF8-3BBF-45DE-9286-EC9D5C1F175D}"/>
    <cellStyle name="60% - Énfasis6 2 2 2 2 2 2 3 2 10" xfId="10964" xr:uid="{B5B94A7F-5CD0-421A-9848-0E3324B948E8}"/>
    <cellStyle name="60% - Énfasis6 2 2 2 2 2 2 3 2 11" xfId="10965" xr:uid="{00523AAC-2E19-41A5-86E7-AB545FD36A3C}"/>
    <cellStyle name="60% - Énfasis6 2 2 2 2 2 2 3 2 2" xfId="10966" xr:uid="{36A58D58-7E79-46AB-A59E-898A4565AD95}"/>
    <cellStyle name="60% - Énfasis6 2 2 2 2 2 2 3 2 2 2" xfId="10967" xr:uid="{C474E9A9-5172-49D8-BDA4-5FDFDD7BB381}"/>
    <cellStyle name="60% - Énfasis6 2 2 2 2 2 2 3 2 2 2 2" xfId="10968" xr:uid="{ADC6FD7A-4920-4C38-8BD8-183022511E8A}"/>
    <cellStyle name="60% - Énfasis6 2 2 2 2 2 2 3 2 2 2 3" xfId="10969" xr:uid="{A4BDB569-A84B-4903-9E53-6238F7E53109}"/>
    <cellStyle name="60% - Énfasis6 2 2 2 2 2 2 3 2 2 2 4" xfId="10970" xr:uid="{908AD4A8-E34D-41FA-BC7E-19C86F5AD623}"/>
    <cellStyle name="60% - Énfasis6 2 2 2 2 2 2 3 2 2 2 5" xfId="10971" xr:uid="{E82E4CEF-91AC-4E31-BFD3-26FEDEDED589}"/>
    <cellStyle name="60% - Énfasis6 2 2 2 2 2 2 3 2 2 3" xfId="10972" xr:uid="{AD0CA633-B901-4A96-A042-FD4672ECBAB5}"/>
    <cellStyle name="60% - Énfasis6 2 2 2 2 2 2 3 2 2 4" xfId="10973" xr:uid="{8118116F-84EF-445C-B0D1-BAE175070446}"/>
    <cellStyle name="60% - Énfasis6 2 2 2 2 2 2 3 2 2 5" xfId="10974" xr:uid="{AFECBBF9-83BB-49FE-8D39-71F7A0B7C905}"/>
    <cellStyle name="60% - Énfasis6 2 2 2 2 2 2 3 2 3" xfId="10975" xr:uid="{3BD6920E-AC3E-43B1-8D42-DEED1906356E}"/>
    <cellStyle name="60% - Énfasis6 2 2 2 2 2 2 3 2 4" xfId="10976" xr:uid="{5DAAAEFC-724D-4A94-BC35-33D2CE153539}"/>
    <cellStyle name="60% - Énfasis6 2 2 2 2 2 2 3 2 5" xfId="10977" xr:uid="{1E1B97D8-B1BE-4FA3-A721-81F2CB70DB0D}"/>
    <cellStyle name="60% - Énfasis6 2 2 2 2 2 2 3 2 6" xfId="10978" xr:uid="{3F7AC51C-71EE-4CCD-BEC1-E502E2D3111C}"/>
    <cellStyle name="60% - Énfasis6 2 2 2 2 2 2 3 2 7" xfId="10979" xr:uid="{716237B7-061E-4B1C-892C-748C4370C6D5}"/>
    <cellStyle name="60% - Énfasis6 2 2 2 2 2 2 3 2 8" xfId="10980" xr:uid="{EBF97E5C-A1BB-4AEC-9D02-C4417150A109}"/>
    <cellStyle name="60% - Énfasis6 2 2 2 2 2 2 3 2 9" xfId="10981" xr:uid="{E0E7DA30-035D-4BE2-80D4-307CA626BEE0}"/>
    <cellStyle name="60% - Énfasis6 2 2 2 2 2 2 3 3" xfId="10982" xr:uid="{89147D78-AEB2-4055-A6E9-4B0919EB0990}"/>
    <cellStyle name="60% - Énfasis6 2 2 2 2 2 2 3 3 2" xfId="10983" xr:uid="{0DCA2041-4D11-4753-B5C6-BBC76D3480C1}"/>
    <cellStyle name="60% - Énfasis6 2 2 2 2 2 2 3 3 2 2" xfId="10984" xr:uid="{D896E7C5-228B-4FA1-A95B-BAC6D0C1D6F5}"/>
    <cellStyle name="60% - Énfasis6 2 2 2 2 2 2 3 3 2 3" xfId="10985" xr:uid="{A31B158B-36A6-40BD-B287-E5C1A0739B08}"/>
    <cellStyle name="60% - Énfasis6 2 2 2 2 2 2 3 3 2 4" xfId="10986" xr:uid="{4B0C4C2B-85B3-4698-BC99-94AFA08C3E83}"/>
    <cellStyle name="60% - Énfasis6 2 2 2 2 2 2 3 3 2 5" xfId="10987" xr:uid="{D7B0B2D2-5B9A-4EAF-8527-77E08AB926FD}"/>
    <cellStyle name="60% - Énfasis6 2 2 2 2 2 2 3 3 3" xfId="10988" xr:uid="{C0DD3BCC-801A-423A-9F3E-C92BAF3201AF}"/>
    <cellStyle name="60% - Énfasis6 2 2 2 2 2 2 3 3 4" xfId="10989" xr:uid="{E1B001B5-6DBD-4D4D-9B25-0382E1DDC69B}"/>
    <cellStyle name="60% - Énfasis6 2 2 2 2 2 2 3 3 5" xfId="10990" xr:uid="{D8EE82F1-204E-45B9-8D88-9F7902D3A3B9}"/>
    <cellStyle name="60% - Énfasis6 2 2 2 2 2 2 3 4" xfId="10991" xr:uid="{746FBCC6-C94E-46B5-B7C3-0278769F61EF}"/>
    <cellStyle name="60% - Énfasis6 2 2 2 2 2 2 3 5" xfId="10992" xr:uid="{54927038-2E76-455B-AB19-8FC07C70B8D5}"/>
    <cellStyle name="60% - Énfasis6 2 2 2 2 2 2 3 6" xfId="10993" xr:uid="{9C43178F-BF9D-4570-A871-6BC020DDAC68}"/>
    <cellStyle name="60% - Énfasis6 2 2 2 2 2 2 3 7" xfId="10994" xr:uid="{697C4790-9E87-485B-BF04-0EE6862C231C}"/>
    <cellStyle name="60% - Énfasis6 2 2 2 2 2 2 3 8" xfId="10995" xr:uid="{E7CFA5DA-25D2-48FB-857D-A5BAB671EC74}"/>
    <cellStyle name="60% - Énfasis6 2 2 2 2 2 2 3 9" xfId="10996" xr:uid="{250266C4-FFE8-4B4E-A992-7FCD5A932895}"/>
    <cellStyle name="60% - Énfasis6 2 2 2 2 2 2 4" xfId="10997" xr:uid="{924E6C28-A1F9-4EF9-A9D4-F1F2179E02FC}"/>
    <cellStyle name="60% - Énfasis6 2 2 2 2 2 2 5" xfId="10998" xr:uid="{9DA13338-2785-4EFA-B64A-CD3FDFD3B152}"/>
    <cellStyle name="60% - Énfasis6 2 2 2 2 2 2 6" xfId="10999" xr:uid="{69CE06A4-48C7-48B1-8AFA-50B5B7657CC0}"/>
    <cellStyle name="60% - Énfasis6 2 2 2 2 2 3" xfId="11000" xr:uid="{75E110AB-7D91-4887-8B66-673F2056E71C}"/>
    <cellStyle name="60% - Énfasis6 2 2 2 2 2 3 10" xfId="11001" xr:uid="{6856BD1C-EEF7-4186-A750-F0BBA353F44C}"/>
    <cellStyle name="60% - Énfasis6 2 2 2 2 2 3 11" xfId="11002" xr:uid="{2DEA9304-2BB5-4502-83C8-A097297E3A60}"/>
    <cellStyle name="60% - Énfasis6 2 2 2 2 2 3 2" xfId="11003" xr:uid="{FE79A943-3784-4A12-BC80-A6282F083203}"/>
    <cellStyle name="60% - Énfasis6 2 2 2 2 2 3 2 10" xfId="11004" xr:uid="{06359A2D-DC81-48E1-A47E-ACF5773284E4}"/>
    <cellStyle name="60% - Énfasis6 2 2 2 2 2 3 2 11" xfId="11005" xr:uid="{AC7774B8-91C6-4ACA-95AA-38B920AF5CAB}"/>
    <cellStyle name="60% - Énfasis6 2 2 2 2 2 3 2 2" xfId="11006" xr:uid="{1C583B2C-A91A-46AB-BA0C-610AC387C7AD}"/>
    <cellStyle name="60% - Énfasis6 2 2 2 2 2 3 2 2 2" xfId="11007" xr:uid="{6CD94E99-AA23-474A-B294-5169046BE776}"/>
    <cellStyle name="60% - Énfasis6 2 2 2 2 2 3 2 2 2 2" xfId="11008" xr:uid="{F498751C-010C-4EF6-8E52-1D7A6125CE7B}"/>
    <cellStyle name="60% - Énfasis6 2 2 2 2 2 3 2 2 2 3" xfId="11009" xr:uid="{367E8DA9-184D-4F85-BD0B-0507C93359CD}"/>
    <cellStyle name="60% - Énfasis6 2 2 2 2 2 3 2 2 2 4" xfId="11010" xr:uid="{9B3927E5-5E0F-4475-A41E-F7B3ADD13622}"/>
    <cellStyle name="60% - Énfasis6 2 2 2 2 2 3 2 2 2 5" xfId="11011" xr:uid="{909716DF-092C-4AF5-9C3A-E4C829505D15}"/>
    <cellStyle name="60% - Énfasis6 2 2 2 2 2 3 2 2 3" xfId="11012" xr:uid="{4C2AFF0E-88AB-40C4-BAF3-CDF18D0C3819}"/>
    <cellStyle name="60% - Énfasis6 2 2 2 2 2 3 2 2 4" xfId="11013" xr:uid="{A057B7B5-F8C2-4F21-B0CB-92699A06E7F8}"/>
    <cellStyle name="60% - Énfasis6 2 2 2 2 2 3 2 2 5" xfId="11014" xr:uid="{F89D3C64-1AE2-4B3D-A455-D3571DC609D8}"/>
    <cellStyle name="60% - Énfasis6 2 2 2 2 2 3 2 3" xfId="11015" xr:uid="{DB787608-595B-4DC4-865F-8BC72BF83F0D}"/>
    <cellStyle name="60% - Énfasis6 2 2 2 2 2 3 2 4" xfId="11016" xr:uid="{3CE8EB64-2012-4D37-8CC1-EB7287C4DDE2}"/>
    <cellStyle name="60% - Énfasis6 2 2 2 2 2 3 2 5" xfId="11017" xr:uid="{704ECD9F-AD48-446C-AC48-43FCEDBA8BA9}"/>
    <cellStyle name="60% - Énfasis6 2 2 2 2 2 3 2 6" xfId="11018" xr:uid="{112E0F11-17B1-4F83-A8EC-B1FD190961FF}"/>
    <cellStyle name="60% - Énfasis6 2 2 2 2 2 3 2 7" xfId="11019" xr:uid="{C86069C2-2694-4C30-8747-30B78B9992F3}"/>
    <cellStyle name="60% - Énfasis6 2 2 2 2 2 3 2 8" xfId="11020" xr:uid="{B93CCF31-35DC-4E30-B584-F9023E3FFC4E}"/>
    <cellStyle name="60% - Énfasis6 2 2 2 2 2 3 2 9" xfId="11021" xr:uid="{7FDE5EAA-0726-4197-9902-DA0CD5DCDFAE}"/>
    <cellStyle name="60% - Énfasis6 2 2 2 2 2 3 3" xfId="11022" xr:uid="{D3199395-5A6F-43FF-9DBB-238C678E4E87}"/>
    <cellStyle name="60% - Énfasis6 2 2 2 2 2 3 3 2" xfId="11023" xr:uid="{6CBF4FD1-C511-4B77-AB77-EB818855B3B1}"/>
    <cellStyle name="60% - Énfasis6 2 2 2 2 2 3 3 2 2" xfId="11024" xr:uid="{82C7C233-26B7-4C2C-8BF5-E629EC6D8844}"/>
    <cellStyle name="60% - Énfasis6 2 2 2 2 2 3 3 2 3" xfId="11025" xr:uid="{95A16671-8B01-45DF-A335-35A0AFD4F440}"/>
    <cellStyle name="60% - Énfasis6 2 2 2 2 2 3 3 2 4" xfId="11026" xr:uid="{BB52D79D-5200-49EC-ACEB-66D3D03D3826}"/>
    <cellStyle name="60% - Énfasis6 2 2 2 2 2 3 3 2 5" xfId="11027" xr:uid="{A40700AC-1109-4898-BA81-501DBB877C58}"/>
    <cellStyle name="60% - Énfasis6 2 2 2 2 2 3 3 3" xfId="11028" xr:uid="{59B1A433-824A-4846-B35E-FBCE557E3551}"/>
    <cellStyle name="60% - Énfasis6 2 2 2 2 2 3 3 4" xfId="11029" xr:uid="{C2B52BB6-DDC2-42AC-B587-36CC295F0786}"/>
    <cellStyle name="60% - Énfasis6 2 2 2 2 2 3 3 5" xfId="11030" xr:uid="{2C21962C-DD64-496A-A56B-D47C2BF6B085}"/>
    <cellStyle name="60% - Énfasis6 2 2 2 2 2 3 4" xfId="11031" xr:uid="{4FE78B29-BAF2-462C-8A69-B14120E820E0}"/>
    <cellStyle name="60% - Énfasis6 2 2 2 2 2 3 5" xfId="11032" xr:uid="{09242950-F21E-4AFE-95E6-37913D0036A9}"/>
    <cellStyle name="60% - Énfasis6 2 2 2 2 2 3 6" xfId="11033" xr:uid="{FC285B8E-48EA-4184-8790-AB0C0B656DCB}"/>
    <cellStyle name="60% - Énfasis6 2 2 2 2 2 3 7" xfId="11034" xr:uid="{717026A2-3538-4216-96E3-0807101F3D42}"/>
    <cellStyle name="60% - Énfasis6 2 2 2 2 2 3 8" xfId="11035" xr:uid="{22795BE8-CD04-44AC-99EB-756B1A4735A8}"/>
    <cellStyle name="60% - Énfasis6 2 2 2 2 2 3 9" xfId="11036" xr:uid="{E02A5877-C33B-42BF-B7E4-FBCDB32EC3DA}"/>
    <cellStyle name="60% - Énfasis6 2 2 2 2 2 4" xfId="11037" xr:uid="{5DA05D5C-BF34-40DE-A54A-AC6B108FC301}"/>
    <cellStyle name="60% - Énfasis6 2 2 2 2 2 5" xfId="11038" xr:uid="{A8AF98A0-F1D5-4968-8903-E2D90026ECAB}"/>
    <cellStyle name="60% - Énfasis6 2 2 2 2 2 6" xfId="11039" xr:uid="{42A579E9-E26D-4B7A-8524-A6F689AC4CA6}"/>
    <cellStyle name="60% - Énfasis6 2 2 2 2 3" xfId="11040" xr:uid="{7F9B22F0-9D67-4F28-A6C2-AB985FA3CF14}"/>
    <cellStyle name="60% - Énfasis6 2 2 2 2 4" xfId="11041" xr:uid="{0D9D349B-0EC3-4680-942F-22D3C969315E}"/>
    <cellStyle name="60% - Énfasis6 2 2 2 2 4 10" xfId="11042" xr:uid="{1D5520A6-F4AE-4530-A313-E2ADD23A016F}"/>
    <cellStyle name="60% - Énfasis6 2 2 2 2 4 11" xfId="11043" xr:uid="{622095D8-5313-4AA9-A639-0768EFCB96C5}"/>
    <cellStyle name="60% - Énfasis6 2 2 2 2 4 2" xfId="11044" xr:uid="{3898BD1A-B6B9-44D0-8A60-B1CBA5797933}"/>
    <cellStyle name="60% - Énfasis6 2 2 2 2 4 2 10" xfId="11045" xr:uid="{2CBD3E55-844D-4F40-B670-E1CF82415453}"/>
    <cellStyle name="60% - Énfasis6 2 2 2 2 4 2 11" xfId="11046" xr:uid="{40A475DB-6C1B-4BF6-BD83-3EEEE0FC9864}"/>
    <cellStyle name="60% - Énfasis6 2 2 2 2 4 2 2" xfId="11047" xr:uid="{95D6BF9E-1A27-4B05-9A31-D95128DD7A92}"/>
    <cellStyle name="60% - Énfasis6 2 2 2 2 4 2 2 2" xfId="11048" xr:uid="{B03F8E86-5C52-4574-830B-A6041996557F}"/>
    <cellStyle name="60% - Énfasis6 2 2 2 2 4 2 2 2 2" xfId="11049" xr:uid="{8DBB6106-7D7B-44D5-99C5-1180191B32EE}"/>
    <cellStyle name="60% - Énfasis6 2 2 2 2 4 2 2 2 3" xfId="11050" xr:uid="{4FA9665E-3497-4583-8A28-BBBDEB900EE1}"/>
    <cellStyle name="60% - Énfasis6 2 2 2 2 4 2 2 2 4" xfId="11051" xr:uid="{BE1483D7-53C3-487B-A7AE-A031B58495D6}"/>
    <cellStyle name="60% - Énfasis6 2 2 2 2 4 2 2 2 5" xfId="11052" xr:uid="{58BDF7C0-5171-4BF5-8280-8CEBA5D7F1B9}"/>
    <cellStyle name="60% - Énfasis6 2 2 2 2 4 2 2 3" xfId="11053" xr:uid="{E2303FB8-66D8-4670-82C6-BA9CB91A94ED}"/>
    <cellStyle name="60% - Énfasis6 2 2 2 2 4 2 2 4" xfId="11054" xr:uid="{52A72EC0-607F-49A2-80A5-70F5B4089735}"/>
    <cellStyle name="60% - Énfasis6 2 2 2 2 4 2 2 5" xfId="11055" xr:uid="{DBE9D298-A345-4DA0-9920-4527E2C04958}"/>
    <cellStyle name="60% - Énfasis6 2 2 2 2 4 2 3" xfId="11056" xr:uid="{A005D9F5-FA04-4E8B-BDC3-435A6CECE0A3}"/>
    <cellStyle name="60% - Énfasis6 2 2 2 2 4 2 4" xfId="11057" xr:uid="{E33AE5E6-BB89-49A7-BB76-EC44A89F567D}"/>
    <cellStyle name="60% - Énfasis6 2 2 2 2 4 2 5" xfId="11058" xr:uid="{7CA686D4-E572-4E23-A274-D4845DECA2E5}"/>
    <cellStyle name="60% - Énfasis6 2 2 2 2 4 2 6" xfId="11059" xr:uid="{AEBE4D35-3EE7-4BBF-846E-4AFC61FF18F2}"/>
    <cellStyle name="60% - Énfasis6 2 2 2 2 4 2 7" xfId="11060" xr:uid="{D032290B-A265-4706-B026-087B4258CBEF}"/>
    <cellStyle name="60% - Énfasis6 2 2 2 2 4 2 8" xfId="11061" xr:uid="{7D496185-C587-4143-BE8E-E7434A48E2E8}"/>
    <cellStyle name="60% - Énfasis6 2 2 2 2 4 2 9" xfId="11062" xr:uid="{B8E1737C-9A0F-4C19-A8FB-7CF3D31AD315}"/>
    <cellStyle name="60% - Énfasis6 2 2 2 2 4 3" xfId="11063" xr:uid="{72E67837-0204-4922-99D3-21D5E4089E60}"/>
    <cellStyle name="60% - Énfasis6 2 2 2 2 4 3 2" xfId="11064" xr:uid="{EEE0C7C3-7DC1-41A6-A930-44E1A8891010}"/>
    <cellStyle name="60% - Énfasis6 2 2 2 2 4 3 2 2" xfId="11065" xr:uid="{CB487BFD-87AF-4366-9E8F-47D641722576}"/>
    <cellStyle name="60% - Énfasis6 2 2 2 2 4 3 2 3" xfId="11066" xr:uid="{CD4B52E2-3C06-4D44-BF90-CEF53A2554C5}"/>
    <cellStyle name="60% - Énfasis6 2 2 2 2 4 3 2 4" xfId="11067" xr:uid="{F4217060-F2C1-4C0E-8457-8272B57EC093}"/>
    <cellStyle name="60% - Énfasis6 2 2 2 2 4 3 2 5" xfId="11068" xr:uid="{3CC48D4F-8288-47B2-BF32-6B2948E714E1}"/>
    <cellStyle name="60% - Énfasis6 2 2 2 2 4 3 3" xfId="11069" xr:uid="{FB95A79A-9B7C-4AB5-AF3F-06085DEAF861}"/>
    <cellStyle name="60% - Énfasis6 2 2 2 2 4 3 4" xfId="11070" xr:uid="{DA7ABC0D-6AE7-4867-9F9F-CA7CFFDFB655}"/>
    <cellStyle name="60% - Énfasis6 2 2 2 2 4 3 5" xfId="11071" xr:uid="{70802DCB-AA42-499B-A099-6E7AF96D8D81}"/>
    <cellStyle name="60% - Énfasis6 2 2 2 2 4 4" xfId="11072" xr:uid="{9E8765BC-9D78-4144-8155-443DC9889047}"/>
    <cellStyle name="60% - Énfasis6 2 2 2 2 4 5" xfId="11073" xr:uid="{9E0940DD-BD17-49B1-ACD9-4125D04F0BDA}"/>
    <cellStyle name="60% - Énfasis6 2 2 2 2 4 6" xfId="11074" xr:uid="{B7F46437-1A83-40B1-B7CF-4A4393268CE6}"/>
    <cellStyle name="60% - Énfasis6 2 2 2 2 4 7" xfId="11075" xr:uid="{CDA3A4B6-2BD1-4DE1-9641-D0460E2CA70D}"/>
    <cellStyle name="60% - Énfasis6 2 2 2 2 4 8" xfId="11076" xr:uid="{5BD9D759-30E1-4EE3-8738-9CC89287DE7E}"/>
    <cellStyle name="60% - Énfasis6 2 2 2 2 4 9" xfId="11077" xr:uid="{A60F1CDA-DCE6-421B-8275-63626A58BB1F}"/>
    <cellStyle name="60% - Énfasis6 2 2 2 2 5" xfId="11078" xr:uid="{D0EFEA94-B2A9-409F-844C-371BACEA4A4E}"/>
    <cellStyle name="60% - Énfasis6 2 2 2 2 6" xfId="11079" xr:uid="{B711D8E6-8C5B-4DE3-9665-CC8BF60CD40F}"/>
    <cellStyle name="60% - Énfasis6 2 2 2 2 7" xfId="11080" xr:uid="{6C2E70AE-549B-407C-8810-CBE1B524162F}"/>
    <cellStyle name="60% - Énfasis6 2 2 2 3" xfId="11081" xr:uid="{73F567D0-0614-47D3-A906-B35F0A8E3210}"/>
    <cellStyle name="60% - Énfasis6 2 2 2 4" xfId="11082" xr:uid="{DD97A1A9-3DE9-4B9D-9523-58A7F64FD3C6}"/>
    <cellStyle name="60% - Énfasis6 2 2 2 5" xfId="11083" xr:uid="{A8DDAA10-6B48-4024-8D7D-C0681B27E6E4}"/>
    <cellStyle name="60% - Énfasis6 2 2 2 5 10" xfId="11084" xr:uid="{3ACC9DAC-30C4-47F7-8D18-D5F9063B361F}"/>
    <cellStyle name="60% - Énfasis6 2 2 2 5 11" xfId="11085" xr:uid="{C9097373-C8F1-439F-9AB1-FD37FEEB7BEE}"/>
    <cellStyle name="60% - Énfasis6 2 2 2 5 2" xfId="11086" xr:uid="{8A7850A5-81F9-49DD-B171-235B5D03C3B7}"/>
    <cellStyle name="60% - Énfasis6 2 2 2 5 2 10" xfId="11087" xr:uid="{A5359D09-4951-464F-923E-E507023B90FA}"/>
    <cellStyle name="60% - Énfasis6 2 2 2 5 2 11" xfId="11088" xr:uid="{AE2C5743-B2C3-4878-A548-CD01D33E4757}"/>
    <cellStyle name="60% - Énfasis6 2 2 2 5 2 2" xfId="11089" xr:uid="{97CDC705-3648-436D-8AF5-892EB0AFC09B}"/>
    <cellStyle name="60% - Énfasis6 2 2 2 5 2 2 2" xfId="11090" xr:uid="{0AC8D820-19EB-409D-BC27-9440F3BEF8D2}"/>
    <cellStyle name="60% - Énfasis6 2 2 2 5 2 2 2 2" xfId="11091" xr:uid="{39276DCA-0E90-40F8-9CD2-12AD571F5816}"/>
    <cellStyle name="60% - Énfasis6 2 2 2 5 2 2 2 3" xfId="11092" xr:uid="{802AAA72-735E-413D-9C74-CDC94D23F5B9}"/>
    <cellStyle name="60% - Énfasis6 2 2 2 5 2 2 2 4" xfId="11093" xr:uid="{09AE0BDC-02C0-4A36-8E79-75134CD64DF1}"/>
    <cellStyle name="60% - Énfasis6 2 2 2 5 2 2 2 5" xfId="11094" xr:uid="{3385F8F4-0802-4F0F-9E9A-951728F1F768}"/>
    <cellStyle name="60% - Énfasis6 2 2 2 5 2 2 3" xfId="11095" xr:uid="{6C4D4306-9AD4-4B2A-A895-A832812BFF70}"/>
    <cellStyle name="60% - Énfasis6 2 2 2 5 2 2 4" xfId="11096" xr:uid="{B8725149-DAC8-473C-B442-97E23563CAD6}"/>
    <cellStyle name="60% - Énfasis6 2 2 2 5 2 2 5" xfId="11097" xr:uid="{19D57947-AFF6-43CF-8CAA-33F08B1F7148}"/>
    <cellStyle name="60% - Énfasis6 2 2 2 5 2 3" xfId="11098" xr:uid="{22A342FD-2281-42BF-A6D8-D2C84867F0F7}"/>
    <cellStyle name="60% - Énfasis6 2 2 2 5 2 4" xfId="11099" xr:uid="{AA5E8354-9802-465A-AC4E-63180E825722}"/>
    <cellStyle name="60% - Énfasis6 2 2 2 5 2 5" xfId="11100" xr:uid="{B3F0AAC5-C431-458D-AF35-CB1A1776F742}"/>
    <cellStyle name="60% - Énfasis6 2 2 2 5 2 6" xfId="11101" xr:uid="{D60427BE-F23C-4ED6-90B8-662CEAF92C91}"/>
    <cellStyle name="60% - Énfasis6 2 2 2 5 2 7" xfId="11102" xr:uid="{27DABDA2-DF83-42F7-B16F-DE8EF482A4AA}"/>
    <cellStyle name="60% - Énfasis6 2 2 2 5 2 8" xfId="11103" xr:uid="{1F934393-C832-4309-9D88-CBEA4A2D19D5}"/>
    <cellStyle name="60% - Énfasis6 2 2 2 5 2 9" xfId="11104" xr:uid="{DC51E468-ACA2-42B3-9D8D-FFE0F30C6F66}"/>
    <cellStyle name="60% - Énfasis6 2 2 2 5 3" xfId="11105" xr:uid="{FD87E18D-79CE-40D3-9F42-FD9A1F810C3E}"/>
    <cellStyle name="60% - Énfasis6 2 2 2 5 3 2" xfId="11106" xr:uid="{FE7D686A-6F92-4C70-9442-34BEBF776790}"/>
    <cellStyle name="60% - Énfasis6 2 2 2 5 3 2 2" xfId="11107" xr:uid="{46FD185C-C525-41CA-A089-8D7599FAF171}"/>
    <cellStyle name="60% - Énfasis6 2 2 2 5 3 2 3" xfId="11108" xr:uid="{492E4350-3A43-4E1E-A568-3C54B8A811B4}"/>
    <cellStyle name="60% - Énfasis6 2 2 2 5 3 2 4" xfId="11109" xr:uid="{18EB0F11-71BB-4618-AB9E-F9045C96F4EC}"/>
    <cellStyle name="60% - Énfasis6 2 2 2 5 3 2 5" xfId="11110" xr:uid="{7E967B08-886A-46D7-99D2-83E080A7095D}"/>
    <cellStyle name="60% - Énfasis6 2 2 2 5 3 3" xfId="11111" xr:uid="{A15ECE46-76A6-4416-BC43-D98A86F87260}"/>
    <cellStyle name="60% - Énfasis6 2 2 2 5 3 4" xfId="11112" xr:uid="{814D412D-DE70-4006-A48A-045344852742}"/>
    <cellStyle name="60% - Énfasis6 2 2 2 5 3 5" xfId="11113" xr:uid="{18A2C74F-B4E3-4F88-B962-207041FD9F40}"/>
    <cellStyle name="60% - Énfasis6 2 2 2 5 4" xfId="11114" xr:uid="{8A1C8490-7DFD-4D37-B786-9FA333D5432A}"/>
    <cellStyle name="60% - Énfasis6 2 2 2 5 5" xfId="11115" xr:uid="{EA2D2C69-0BA0-4952-BAD0-4F722186B09A}"/>
    <cellStyle name="60% - Énfasis6 2 2 2 5 6" xfId="11116" xr:uid="{7D170B85-3E47-4990-93C9-585D2830EBA8}"/>
    <cellStyle name="60% - Énfasis6 2 2 2 5 7" xfId="11117" xr:uid="{4374D138-9E86-4DE2-90A8-B8AEDAACDA6D}"/>
    <cellStyle name="60% - Énfasis6 2 2 2 5 8" xfId="11118" xr:uid="{4916F2EE-7826-4E4E-BB0E-06E3328DCCF5}"/>
    <cellStyle name="60% - Énfasis6 2 2 2 5 9" xfId="11119" xr:uid="{BEE44AE5-2768-4B8E-91B2-CE435C678B8D}"/>
    <cellStyle name="60% - Énfasis6 2 2 2 6" xfId="11120" xr:uid="{39DCFF6F-7BD5-4F85-A194-0758EBAD1594}"/>
    <cellStyle name="60% - Énfasis6 2 2 2 7" xfId="11121" xr:uid="{73722CC3-86E5-466B-80E0-2E1884BF8ABF}"/>
    <cellStyle name="60% - Énfasis6 2 2 2 8" xfId="11122" xr:uid="{E9D51F36-1C97-4FED-A0F8-040572A897D1}"/>
    <cellStyle name="60% - Énfasis6 2 2 3" xfId="11123" xr:uid="{AA06F247-00AE-4321-8DA6-3B6AFCDB695B}"/>
    <cellStyle name="60% - Énfasis6 2 2 4" xfId="11124" xr:uid="{990FF99A-6D5C-4688-9AE0-1AE9FB6DB39A}"/>
    <cellStyle name="60% - Énfasis6 2 2 5" xfId="11125" xr:uid="{BB34F8E7-C35E-4D5D-9316-467FEF1BBC31}"/>
    <cellStyle name="60% - Énfasis6 2 2 6" xfId="11126" xr:uid="{1B787575-DEAE-4BAE-AE53-B836F4283CB1}"/>
    <cellStyle name="60% - Énfasis6 2 2 7" xfId="11127" xr:uid="{3BA703DA-6642-4D1B-80AD-AE3864C03BFD}"/>
    <cellStyle name="60% - Énfasis6 2 2 8" xfId="11128" xr:uid="{829E5786-A07E-4468-A9F1-6156149BDE60}"/>
    <cellStyle name="60% - Énfasis6 2 2 8 2" xfId="11129" xr:uid="{3988C1BE-7ED5-4EB8-8BEF-A5DD4ED2AD6A}"/>
    <cellStyle name="60% - Énfasis6 2 2 9" xfId="11130" xr:uid="{2044236E-1069-4EA7-A8E5-2CB4E971E103}"/>
    <cellStyle name="60% - Énfasis6 2 3" xfId="11131" xr:uid="{5DDE6B55-B813-4638-83EA-C1D91886CE3A}"/>
    <cellStyle name="60% - Énfasis6 2 4" xfId="11132" xr:uid="{4384CEE0-029B-49DC-A8AB-3E96167024F3}"/>
    <cellStyle name="60% - Énfasis6 2 4 10" xfId="11133" xr:uid="{A80998E0-3D12-4CD7-85AF-E855B170E1AC}"/>
    <cellStyle name="60% - Énfasis6 2 4 11" xfId="11134" xr:uid="{A92A032E-C677-4B71-8DF1-D5D26E7B6655}"/>
    <cellStyle name="60% - Énfasis6 2 4 12" xfId="11135" xr:uid="{D6DDE819-7018-4CA8-9CAD-CB4D2F566510}"/>
    <cellStyle name="60% - Énfasis6 2 4 2" xfId="11136" xr:uid="{7426763D-8805-4E23-9018-77CE421D06B7}"/>
    <cellStyle name="60% - Énfasis6 2 4 2 10" xfId="11137" xr:uid="{323A3B93-0FD9-4970-A8BF-ECFD743FAD90}"/>
    <cellStyle name="60% - Énfasis6 2 4 2 11" xfId="11138" xr:uid="{F0897F3F-AC1C-4871-8C5B-D0C50EC6BB9D}"/>
    <cellStyle name="60% - Énfasis6 2 4 2 12" xfId="11139" xr:uid="{409886B3-C7AF-4016-8D54-0932AF8548C8}"/>
    <cellStyle name="60% - Énfasis6 2 4 2 2" xfId="11140" xr:uid="{0D8ABE0B-3A61-45C5-A16D-CBFB4649EB11}"/>
    <cellStyle name="60% - Énfasis6 2 4 2 2 10" xfId="11141" xr:uid="{81FBA0D4-FC4A-49CA-9F99-5EDB96E81471}"/>
    <cellStyle name="60% - Énfasis6 2 4 2 2 11" xfId="11142" xr:uid="{606AB338-8A33-457D-B904-C0BE1F486B54}"/>
    <cellStyle name="60% - Énfasis6 2 4 2 2 2" xfId="11143" xr:uid="{698880CA-8A62-4C6A-9EF4-210000A5C00B}"/>
    <cellStyle name="60% - Énfasis6 2 4 2 2 2 10" xfId="11144" xr:uid="{C4BC85C0-0E53-4FB8-8EDB-CD38985E7145}"/>
    <cellStyle name="60% - Énfasis6 2 4 2 2 2 11" xfId="11145" xr:uid="{570E57E2-6B4B-4C84-941C-05CCBC38F18F}"/>
    <cellStyle name="60% - Énfasis6 2 4 2 2 2 2" xfId="11146" xr:uid="{46DB17CA-D624-4D96-8394-9A4B2BD5F7E2}"/>
    <cellStyle name="60% - Énfasis6 2 4 2 2 2 2 2" xfId="11147" xr:uid="{C84C0C0A-AF7A-4194-8EBB-825119D5F458}"/>
    <cellStyle name="60% - Énfasis6 2 4 2 2 2 2 2 2" xfId="11148" xr:uid="{F85ABDE2-E71F-4D45-8D13-63322F995C10}"/>
    <cellStyle name="60% - Énfasis6 2 4 2 2 2 2 2 3" xfId="11149" xr:uid="{F72E8A7E-37C0-45C8-ACDD-D156F3E607B2}"/>
    <cellStyle name="60% - Énfasis6 2 4 2 2 2 2 2 4" xfId="11150" xr:uid="{199358EC-2931-4998-9DD4-58FD4801147A}"/>
    <cellStyle name="60% - Énfasis6 2 4 2 2 2 2 2 5" xfId="11151" xr:uid="{E513BD39-D7DF-4DDF-9E8A-A8E19DFB5B2E}"/>
    <cellStyle name="60% - Énfasis6 2 4 2 2 2 2 3" xfId="11152" xr:uid="{6A0A62D3-9E5D-4BD6-8039-48802EDD8324}"/>
    <cellStyle name="60% - Énfasis6 2 4 2 2 2 2 4" xfId="11153" xr:uid="{F481439E-6DE7-451E-8F25-FEC8E573932F}"/>
    <cellStyle name="60% - Énfasis6 2 4 2 2 2 2 5" xfId="11154" xr:uid="{12533BDB-654A-4A6B-AD4A-13AF8D303B73}"/>
    <cellStyle name="60% - Énfasis6 2 4 2 2 2 3" xfId="11155" xr:uid="{E24369B0-CE63-42BF-A434-A953D4602313}"/>
    <cellStyle name="60% - Énfasis6 2 4 2 2 2 4" xfId="11156" xr:uid="{522B18A7-734A-466B-B37D-12AF9078680F}"/>
    <cellStyle name="60% - Énfasis6 2 4 2 2 2 5" xfId="11157" xr:uid="{C983C5B4-EE4F-4F7A-837F-A50FFCA9E794}"/>
    <cellStyle name="60% - Énfasis6 2 4 2 2 2 6" xfId="11158" xr:uid="{C4CC85CD-13C0-47BD-8B36-9B21BE6477BE}"/>
    <cellStyle name="60% - Énfasis6 2 4 2 2 2 7" xfId="11159" xr:uid="{9084B7CE-542E-4588-A4BB-75B9C22FA24B}"/>
    <cellStyle name="60% - Énfasis6 2 4 2 2 2 8" xfId="11160" xr:uid="{ACEAEC42-994E-4329-9FBB-817E2CE31E1F}"/>
    <cellStyle name="60% - Énfasis6 2 4 2 2 2 9" xfId="11161" xr:uid="{5A644E38-2932-498B-BB41-B4B57C9B5BD2}"/>
    <cellStyle name="60% - Énfasis6 2 4 2 2 3" xfId="11162" xr:uid="{1CAB3A01-9417-40BD-A70B-A9C74B1FE459}"/>
    <cellStyle name="60% - Énfasis6 2 4 2 2 3 2" xfId="11163" xr:uid="{9353E567-304F-41EF-BECB-25FD5FE9948B}"/>
    <cellStyle name="60% - Énfasis6 2 4 2 2 3 2 2" xfId="11164" xr:uid="{3F51D28D-4FBC-40AA-990B-2F8579497374}"/>
    <cellStyle name="60% - Énfasis6 2 4 2 2 3 2 3" xfId="11165" xr:uid="{830B7615-39BD-4EC8-AB5F-DE6B10ED8193}"/>
    <cellStyle name="60% - Énfasis6 2 4 2 2 3 2 4" xfId="11166" xr:uid="{71847F58-C092-4A35-994B-A0FA73B8E042}"/>
    <cellStyle name="60% - Énfasis6 2 4 2 2 3 2 5" xfId="11167" xr:uid="{105BA078-7157-43C9-B133-409DE932B156}"/>
    <cellStyle name="60% - Énfasis6 2 4 2 2 3 3" xfId="11168" xr:uid="{D6107054-3F3E-4BAA-A785-276E1CF930B8}"/>
    <cellStyle name="60% - Énfasis6 2 4 2 2 3 4" xfId="11169" xr:uid="{69F79ED8-33C9-48C3-9013-67C4DCAD8FEA}"/>
    <cellStyle name="60% - Énfasis6 2 4 2 2 3 5" xfId="11170" xr:uid="{FF308C5A-D603-485B-B07E-D524448E594B}"/>
    <cellStyle name="60% - Énfasis6 2 4 2 2 4" xfId="11171" xr:uid="{17F0C0EE-83B4-4C75-84AA-51436DF93EA8}"/>
    <cellStyle name="60% - Énfasis6 2 4 2 2 5" xfId="11172" xr:uid="{F7E36480-A68D-4D1D-9BF9-E1B149413C54}"/>
    <cellStyle name="60% - Énfasis6 2 4 2 2 6" xfId="11173" xr:uid="{1A2F96C7-DBF9-4077-8089-3D961AAE881E}"/>
    <cellStyle name="60% - Énfasis6 2 4 2 2 7" xfId="11174" xr:uid="{4AA2AA28-FC27-4FDE-9949-27AB3F129827}"/>
    <cellStyle name="60% - Énfasis6 2 4 2 2 8" xfId="11175" xr:uid="{D87108D0-7093-460E-BCF6-F31488A8F1BC}"/>
    <cellStyle name="60% - Énfasis6 2 4 2 2 9" xfId="11176" xr:uid="{FCA0B089-4160-4E73-9E0F-674ACA2AE5C4}"/>
    <cellStyle name="60% - Énfasis6 2 4 2 3" xfId="11177" xr:uid="{7D28FCEE-664C-4189-A82D-D93FC9703B0A}"/>
    <cellStyle name="60% - Énfasis6 2 4 2 3 2" xfId="11178" xr:uid="{CC4C9CD8-3F39-476F-B33E-79357E745EDB}"/>
    <cellStyle name="60% - Énfasis6 2 4 2 3 2 2" xfId="11179" xr:uid="{643DA292-79B2-46A9-8164-25221E92CD03}"/>
    <cellStyle name="60% - Énfasis6 2 4 2 3 2 3" xfId="11180" xr:uid="{72F511C3-210C-4F15-87F9-032522ADD0CC}"/>
    <cellStyle name="60% - Énfasis6 2 4 2 3 2 4" xfId="11181" xr:uid="{042F0D73-57AF-4D46-BFF3-8FA9293ECCEC}"/>
    <cellStyle name="60% - Énfasis6 2 4 2 3 2 5" xfId="11182" xr:uid="{E9464B94-CC8A-4BFF-ADD8-F403E1F22CDF}"/>
    <cellStyle name="60% - Énfasis6 2 4 2 3 3" xfId="11183" xr:uid="{0D133D3F-60DD-4823-BC3F-F073AF50EF64}"/>
    <cellStyle name="60% - Énfasis6 2 4 2 3 4" xfId="11184" xr:uid="{A1096BFE-5109-4B93-8291-934F272A2188}"/>
    <cellStyle name="60% - Énfasis6 2 4 2 3 5" xfId="11185" xr:uid="{0993AB4B-94A1-4498-8E74-86A88BB644EC}"/>
    <cellStyle name="60% - Énfasis6 2 4 2 4" xfId="11186" xr:uid="{5ABAC162-47A8-41AD-AF27-E4BE7D5D6EB9}"/>
    <cellStyle name="60% - Énfasis6 2 4 2 5" xfId="11187" xr:uid="{61AD5160-EA74-4F84-B339-28CB81C875E8}"/>
    <cellStyle name="60% - Énfasis6 2 4 2 6" xfId="11188" xr:uid="{78B255A3-85A1-4CAF-8AA5-3EE782762E5F}"/>
    <cellStyle name="60% - Énfasis6 2 4 2 7" xfId="11189" xr:uid="{6B35DD37-1A23-4AD5-B971-1F73B01FBBC9}"/>
    <cellStyle name="60% - Énfasis6 2 4 2 8" xfId="11190" xr:uid="{65E24154-7BD9-4A91-AD22-BA0E0EE27553}"/>
    <cellStyle name="60% - Énfasis6 2 4 2 9" xfId="11191" xr:uid="{44F08E05-7759-4D54-B479-ED13C0A2F084}"/>
    <cellStyle name="60% - Énfasis6 2 4 3" xfId="11192" xr:uid="{AE8741AB-DDA2-44D4-979E-4BFDDBEF423A}"/>
    <cellStyle name="60% - Énfasis6 2 4 3 10" xfId="11193" xr:uid="{3097D6E7-103F-4DF1-915C-CFDFCC9EE84B}"/>
    <cellStyle name="60% - Énfasis6 2 4 3 11" xfId="11194" xr:uid="{B7EDB546-6FB1-438F-B8EA-12004FB75AA7}"/>
    <cellStyle name="60% - Énfasis6 2 4 3 2" xfId="11195" xr:uid="{59A72636-914D-4056-845E-00DEA8EEF727}"/>
    <cellStyle name="60% - Énfasis6 2 4 3 2 2" xfId="11196" xr:uid="{75F95571-058B-48AC-AAD9-C5E253EB989B}"/>
    <cellStyle name="60% - Énfasis6 2 4 3 2 2 2" xfId="11197" xr:uid="{E64CA2B3-7322-42B6-AA10-DC2CBFA75CC7}"/>
    <cellStyle name="60% - Énfasis6 2 4 3 2 2 3" xfId="11198" xr:uid="{7B232C30-78C8-46C1-BD94-73D8CB597C99}"/>
    <cellStyle name="60% - Énfasis6 2 4 3 2 2 4" xfId="11199" xr:uid="{9C51C558-52EE-44BE-950B-C4198DDAF8D5}"/>
    <cellStyle name="60% - Énfasis6 2 4 3 2 2 5" xfId="11200" xr:uid="{967C1A33-C54C-4537-A358-323243361719}"/>
    <cellStyle name="60% - Énfasis6 2 4 3 2 3" xfId="11201" xr:uid="{6B02438B-37D0-4F44-9ADE-CFAB45B57DD5}"/>
    <cellStyle name="60% - Énfasis6 2 4 3 2 4" xfId="11202" xr:uid="{48421CE8-0DAB-450C-A155-CD4686011AD1}"/>
    <cellStyle name="60% - Énfasis6 2 4 3 2 5" xfId="11203" xr:uid="{BF6E2210-6AC6-412C-8D38-5E18A65C8500}"/>
    <cellStyle name="60% - Énfasis6 2 4 3 3" xfId="11204" xr:uid="{F39D4719-D504-476C-97A5-D5006E45446E}"/>
    <cellStyle name="60% - Énfasis6 2 4 3 4" xfId="11205" xr:uid="{161D1CD6-0DE8-4C6D-9B55-164892D6D2F1}"/>
    <cellStyle name="60% - Énfasis6 2 4 3 5" xfId="11206" xr:uid="{2393B407-5C2A-4FFE-9BEF-EE08825108F0}"/>
    <cellStyle name="60% - Énfasis6 2 4 3 6" xfId="11207" xr:uid="{30E89F81-0171-4D5D-9955-DD4B7557BDF4}"/>
    <cellStyle name="60% - Énfasis6 2 4 3 7" xfId="11208" xr:uid="{9C874F2F-DE4C-41C9-85A3-53C0B91F10FC}"/>
    <cellStyle name="60% - Énfasis6 2 4 3 8" xfId="11209" xr:uid="{BC9F0902-EE97-4676-9FAB-5B8DCC506FDF}"/>
    <cellStyle name="60% - Énfasis6 2 4 3 9" xfId="11210" xr:uid="{F2DF5FDD-C2DA-4341-B672-FDE59AAEBC6A}"/>
    <cellStyle name="60% - Énfasis6 2 4 4" xfId="11211" xr:uid="{D9948FFA-1994-4BAA-A3FC-20FC4673D7C1}"/>
    <cellStyle name="60% - Énfasis6 2 4 4 2" xfId="11212" xr:uid="{D508EBC0-C448-4BA7-AB87-0E062CE729DA}"/>
    <cellStyle name="60% - Énfasis6 2 4 4 2 2" xfId="11213" xr:uid="{4C073763-5A97-4178-B593-A8DFBBF0A63A}"/>
    <cellStyle name="60% - Énfasis6 2 4 4 2 3" xfId="11214" xr:uid="{CC5FDD54-50EA-4D01-8DDE-D38512A1866E}"/>
    <cellStyle name="60% - Énfasis6 2 4 4 2 4" xfId="11215" xr:uid="{D1233159-9EAB-427B-A039-817E9945E0FA}"/>
    <cellStyle name="60% - Énfasis6 2 4 4 2 5" xfId="11216" xr:uid="{28818415-B486-4835-99C9-9005832CF81D}"/>
    <cellStyle name="60% - Énfasis6 2 4 4 3" xfId="11217" xr:uid="{EE993748-1CCC-4456-996C-9FA26688D363}"/>
    <cellStyle name="60% - Énfasis6 2 4 4 4" xfId="11218" xr:uid="{3B900E2D-7B67-47A0-8C45-AC247C056C31}"/>
    <cellStyle name="60% - Énfasis6 2 4 4 5" xfId="11219" xr:uid="{D093D4DF-526D-47C6-9233-0D50CE28EF42}"/>
    <cellStyle name="60% - Énfasis6 2 4 5" xfId="11220" xr:uid="{47472F74-BB23-445B-9A7C-CF4B4FF4ABB9}"/>
    <cellStyle name="60% - Énfasis6 2 4 6" xfId="11221" xr:uid="{363A9871-128B-40B4-91E9-18638E2E69A1}"/>
    <cellStyle name="60% - Énfasis6 2 4 7" xfId="11222" xr:uid="{1F4D3E50-1C92-455F-993A-9C205E5F13BB}"/>
    <cellStyle name="60% - Énfasis6 2 4 8" xfId="11223" xr:uid="{BFF05FA7-3DB2-4685-9012-87925E8992F1}"/>
    <cellStyle name="60% - Énfasis6 2 4 9" xfId="11224" xr:uid="{581F54BB-CC58-4AC6-9E3A-0EEF3B374131}"/>
    <cellStyle name="60% - Énfasis6 2 5" xfId="11225" xr:uid="{083CBD29-D574-49D5-9265-A092D57AC9F9}"/>
    <cellStyle name="60% - Énfasis6 2 6" xfId="11226" xr:uid="{AC089F7D-914A-4567-A5EB-90207AAAB1D9}"/>
    <cellStyle name="60% - Énfasis6 2 7" xfId="11227" xr:uid="{10CF782C-DA8B-4E1A-B587-0740B661EE57}"/>
    <cellStyle name="60% - Énfasis6 2 8" xfId="11228" xr:uid="{1C4C7572-6FCE-4548-BFE2-F19B3CAD77EB}"/>
    <cellStyle name="60% - Énfasis6 2 8 2" xfId="11229" xr:uid="{30FF7766-976E-49F8-98AE-0FBD37CF44FC}"/>
    <cellStyle name="60% - Énfasis6 2 9" xfId="11230" xr:uid="{C5FC0DDB-2D56-4AE3-9354-BDFD67B58038}"/>
    <cellStyle name="60% - Énfasis6 3" xfId="11231" xr:uid="{B427A08E-FDE7-4E31-A0F1-B29BB9031FC2}"/>
    <cellStyle name="60% - Énfasis6 3 2" xfId="11232" xr:uid="{8F183011-282E-400A-8F58-A70E0E4B98BB}"/>
    <cellStyle name="60% - Énfasis6 3 3" xfId="11233" xr:uid="{1D82FAB0-1D8D-4B4C-93F8-6B01B4A9B348}"/>
    <cellStyle name="60% - Énfasis6 4" xfId="11234" xr:uid="{4C4C22A0-1F8D-4A26-B68D-80174BBEF953}"/>
    <cellStyle name="60% - Énfasis6 5" xfId="43485" xr:uid="{58CC0A36-63E0-4BFF-9435-79A8D93BA402}"/>
    <cellStyle name="75" xfId="11235" xr:uid="{358F340D-4734-4460-9647-239E55AC36E7}"/>
    <cellStyle name="ÅëÈ­ [0]_±âÅ¸" xfId="11236" xr:uid="{252ED3B7-C54C-46E0-AC7F-554AE257E4DF}"/>
    <cellStyle name="ÅëÈ­_±âÅ¸" xfId="11237" xr:uid="{0ADF9BDC-EC80-4AA1-B9B9-F2F5D95A266F}"/>
    <cellStyle name="args.style" xfId="11238" xr:uid="{D99C437D-20AD-41D7-97E3-78235DBF402B}"/>
    <cellStyle name="ÄÞ¸¶ [0]_±âÅ¸" xfId="11239" xr:uid="{B0D6AABD-463F-4D1F-8B54-A0225B7F38C6}"/>
    <cellStyle name="ÄÞ¸¶_±âÅ¸" xfId="11240" xr:uid="{AAD40007-4721-4E5E-BBA7-573F3907A9DD}"/>
    <cellStyle name="Buena 2" xfId="11241" xr:uid="{F160FA74-E88B-4DB8-9EDD-3866A042D5E0}"/>
    <cellStyle name="Buena 2 10" xfId="11242" xr:uid="{B8F6A3A6-1BC9-4741-B63D-BC5D13B720E7}"/>
    <cellStyle name="Buena 2 10 10" xfId="11243" xr:uid="{C94A78CD-AA85-4B7C-B717-B0BF90323206}"/>
    <cellStyle name="Buena 2 10 11" xfId="11244" xr:uid="{E31682A2-C9AE-4BD4-8412-939E2B6651C4}"/>
    <cellStyle name="Buena 2 10 2" xfId="11245" xr:uid="{EC196E83-B78C-4B80-9C17-864D803001A4}"/>
    <cellStyle name="Buena 2 10 2 10" xfId="11246" xr:uid="{159A3EE7-E2F3-451D-8312-087B38A56C43}"/>
    <cellStyle name="Buena 2 10 2 11" xfId="11247" xr:uid="{18F7E421-2104-4CB7-BFC9-D1F7FAA07117}"/>
    <cellStyle name="Buena 2 10 2 2" xfId="11248" xr:uid="{D28C037A-07AA-4880-9421-93CD6D31788D}"/>
    <cellStyle name="Buena 2 10 2 2 2" xfId="11249" xr:uid="{34B38975-BEAE-42E6-86A7-EAB3E914C715}"/>
    <cellStyle name="Buena 2 10 2 2 2 2" xfId="11250" xr:uid="{10234E58-AB3F-4C5E-8338-0E8B8E870AAF}"/>
    <cellStyle name="Buena 2 10 2 2 2 3" xfId="11251" xr:uid="{6D58E117-6741-45E1-8FE5-587AC6AB7080}"/>
    <cellStyle name="Buena 2 10 2 2 2 4" xfId="11252" xr:uid="{1BAF7FD8-FFB9-4DDE-A6A6-2E5DF6EF5358}"/>
    <cellStyle name="Buena 2 10 2 2 2 5" xfId="11253" xr:uid="{CEB3F6A2-2B2B-477A-836E-38CDA3F96510}"/>
    <cellStyle name="Buena 2 10 2 2 3" xfId="11254" xr:uid="{332A7417-571E-47DB-9F93-0AD61770FD67}"/>
    <cellStyle name="Buena 2 10 2 2 4" xfId="11255" xr:uid="{CD143DE1-735E-4118-97D1-C15816A486B7}"/>
    <cellStyle name="Buena 2 10 2 2 5" xfId="11256" xr:uid="{7C90A2DE-85FF-47B4-9D24-C42DA2308BF6}"/>
    <cellStyle name="Buena 2 10 2 3" xfId="11257" xr:uid="{8E6E0111-D016-4E65-91EA-230DF563F2D3}"/>
    <cellStyle name="Buena 2 10 2 4" xfId="11258" xr:uid="{E55F0D9C-C7FE-4356-8B95-7E814B4C6976}"/>
    <cellStyle name="Buena 2 10 2 5" xfId="11259" xr:uid="{C41B231B-FBAD-4C7E-B7C3-CBC089F35BDF}"/>
    <cellStyle name="Buena 2 10 2 6" xfId="11260" xr:uid="{E201CBCE-5758-4F5E-8E86-73E317515ECC}"/>
    <cellStyle name="Buena 2 10 2 7" xfId="11261" xr:uid="{ABC12FE1-42AF-4D9E-B549-D193824E9233}"/>
    <cellStyle name="Buena 2 10 2 8" xfId="11262" xr:uid="{83BCB60B-B2AE-433C-BDA0-6CD72D054F8D}"/>
    <cellStyle name="Buena 2 10 2 9" xfId="11263" xr:uid="{205C2C59-9E82-4149-8C09-749386279327}"/>
    <cellStyle name="Buena 2 10 3" xfId="11264" xr:uid="{1ADE6A65-4A87-4895-AC69-08204813FDC5}"/>
    <cellStyle name="Buena 2 10 3 2" xfId="11265" xr:uid="{0F784B3E-F379-4AD2-BEF9-E6F30CC2D925}"/>
    <cellStyle name="Buena 2 10 3 2 2" xfId="11266" xr:uid="{01A90235-74BA-4D25-8960-1E9CC0A46867}"/>
    <cellStyle name="Buena 2 10 3 2 3" xfId="11267" xr:uid="{9D2A99C1-DA2A-4A79-BD90-31FD8C2CC494}"/>
    <cellStyle name="Buena 2 10 3 2 4" xfId="11268" xr:uid="{9AB1E745-92E5-44DA-9BF9-46B989FA68E0}"/>
    <cellStyle name="Buena 2 10 3 2 5" xfId="11269" xr:uid="{DA98F952-2541-4763-BCFA-9FCEF8259501}"/>
    <cellStyle name="Buena 2 10 3 3" xfId="11270" xr:uid="{7615581B-A66A-49A1-BABF-7C50BE950BFE}"/>
    <cellStyle name="Buena 2 10 3 4" xfId="11271" xr:uid="{747D111D-BDFD-4BA5-851B-6E2022207727}"/>
    <cellStyle name="Buena 2 10 3 5" xfId="11272" xr:uid="{CCAA40AF-73B6-4455-8992-051FF3C6AEAB}"/>
    <cellStyle name="Buena 2 10 4" xfId="11273" xr:uid="{9D3B4CD4-6C14-4203-B16B-8DD87EE5D912}"/>
    <cellStyle name="Buena 2 10 5" xfId="11274" xr:uid="{1367CA59-9C4B-40F0-897C-2530183511E0}"/>
    <cellStyle name="Buena 2 10 6" xfId="11275" xr:uid="{7CDF7679-9679-483F-B3D2-1579691215E1}"/>
    <cellStyle name="Buena 2 10 7" xfId="11276" xr:uid="{ED445AC1-CB38-4B1A-AAB9-011974BD500A}"/>
    <cellStyle name="Buena 2 10 8" xfId="11277" xr:uid="{5B076EEA-D6F0-4C74-A8E1-BFA71052EE99}"/>
    <cellStyle name="Buena 2 10 9" xfId="11278" xr:uid="{7DC000BF-38B0-4F06-A15E-0FF971FDF57D}"/>
    <cellStyle name="Buena 2 11" xfId="11279" xr:uid="{4F7FA61C-827B-4F59-BA86-F97B12AC0603}"/>
    <cellStyle name="Buena 2 12" xfId="11280" xr:uid="{85B8D839-9CF7-4BDA-A567-34D8B450F090}"/>
    <cellStyle name="Buena 2 13" xfId="11281" xr:uid="{72728410-6BD0-47DA-BA69-0650D3CBA5B4}"/>
    <cellStyle name="Buena 2 2" xfId="11282" xr:uid="{FACBC894-6E59-4B9B-9281-3FE03D8208C4}"/>
    <cellStyle name="Buena 2 2 10" xfId="11283" xr:uid="{C972BC47-8EA7-45AE-B27A-A41BFB281600}"/>
    <cellStyle name="Buena 2 2 10 10" xfId="11284" xr:uid="{A530325F-D2DB-4659-B21B-E049E73CBE05}"/>
    <cellStyle name="Buena 2 2 10 11" xfId="11285" xr:uid="{32DBB993-37FE-4686-8B9F-5849C7089E2B}"/>
    <cellStyle name="Buena 2 2 10 2" xfId="11286" xr:uid="{BE3CA765-72E9-4FD2-B169-9DC4A2AD3973}"/>
    <cellStyle name="Buena 2 2 10 2 10" xfId="11287" xr:uid="{3D8151D9-1D11-48E6-BA97-78AFD87BAF17}"/>
    <cellStyle name="Buena 2 2 10 2 11" xfId="11288" xr:uid="{A838E1E4-5E05-4FDF-830F-5AF4F0BD2C0D}"/>
    <cellStyle name="Buena 2 2 10 2 2" xfId="11289" xr:uid="{BA680EDE-6FA6-4F93-8731-F143C2782F19}"/>
    <cellStyle name="Buena 2 2 10 2 2 2" xfId="11290" xr:uid="{5297623E-FDA1-4F1C-B07B-6CEC6E6DE21D}"/>
    <cellStyle name="Buena 2 2 10 2 2 2 2" xfId="11291" xr:uid="{6A7A8C3A-E57D-4200-88EE-69397A9F229B}"/>
    <cellStyle name="Buena 2 2 10 2 2 2 3" xfId="11292" xr:uid="{6BD8CEE5-7BCE-4190-9CF0-ADE5EE241C7E}"/>
    <cellStyle name="Buena 2 2 10 2 2 2 4" xfId="11293" xr:uid="{4B174E8A-73D9-4D7E-B6EB-0106779BF087}"/>
    <cellStyle name="Buena 2 2 10 2 2 2 5" xfId="11294" xr:uid="{3E30EE29-ED18-4DAA-B4B1-526F04405A5B}"/>
    <cellStyle name="Buena 2 2 10 2 2 3" xfId="11295" xr:uid="{473C1459-C19D-45E6-BA09-97EFB0520961}"/>
    <cellStyle name="Buena 2 2 10 2 2 4" xfId="11296" xr:uid="{3ABBCE3C-FD43-4616-97E8-53F23EC2D17D}"/>
    <cellStyle name="Buena 2 2 10 2 2 5" xfId="11297" xr:uid="{89D44EBA-D6B7-4601-9245-9471ADEB024D}"/>
    <cellStyle name="Buena 2 2 10 2 3" xfId="11298" xr:uid="{67E7D95D-AA1A-4A76-9BE8-DA5F98751E15}"/>
    <cellStyle name="Buena 2 2 10 2 4" xfId="11299" xr:uid="{D0E4AF51-1755-4BC3-874B-6F1218A10EF4}"/>
    <cellStyle name="Buena 2 2 10 2 5" xfId="11300" xr:uid="{0CC6FBE7-CD1F-491B-BE58-BD974F043DCF}"/>
    <cellStyle name="Buena 2 2 10 2 6" xfId="11301" xr:uid="{DB108D69-792E-4766-BE7E-B22BC681CE9E}"/>
    <cellStyle name="Buena 2 2 10 2 7" xfId="11302" xr:uid="{B99F2D1E-60DE-44F4-84E2-3E1AD8C47E38}"/>
    <cellStyle name="Buena 2 2 10 2 8" xfId="11303" xr:uid="{45B981AF-8199-4E06-A448-928D2F517357}"/>
    <cellStyle name="Buena 2 2 10 2 9" xfId="11304" xr:uid="{E493B1C8-8D0E-4E5D-B6F9-837C69AC6919}"/>
    <cellStyle name="Buena 2 2 10 3" xfId="11305" xr:uid="{CA5806CD-5407-44C1-BA0C-3D4903AE1B88}"/>
    <cellStyle name="Buena 2 2 10 3 2" xfId="11306" xr:uid="{040AF55F-206F-4BAA-B629-BE0A0941F65A}"/>
    <cellStyle name="Buena 2 2 10 3 2 2" xfId="11307" xr:uid="{5703D9F9-D6EC-499C-A0BD-A5E78A57F1E2}"/>
    <cellStyle name="Buena 2 2 10 3 2 3" xfId="11308" xr:uid="{C8FCB79A-5A9C-4412-8CC8-C00BDBAF9E78}"/>
    <cellStyle name="Buena 2 2 10 3 2 4" xfId="11309" xr:uid="{94066F24-7652-44BF-B156-31BCAFED306C}"/>
    <cellStyle name="Buena 2 2 10 3 2 5" xfId="11310" xr:uid="{2023BF9C-D201-4118-808B-F6C5B2E360E2}"/>
    <cellStyle name="Buena 2 2 10 3 3" xfId="11311" xr:uid="{4F34A99A-7DA9-485C-B85C-5C47173FDA85}"/>
    <cellStyle name="Buena 2 2 10 3 4" xfId="11312" xr:uid="{DC55F529-F7A8-4BE5-8F37-013BEB68F797}"/>
    <cellStyle name="Buena 2 2 10 3 5" xfId="11313" xr:uid="{62030D41-285D-463A-96F2-30724D79C56B}"/>
    <cellStyle name="Buena 2 2 10 4" xfId="11314" xr:uid="{D8CA309D-A86A-4317-A45D-D8F387A01B28}"/>
    <cellStyle name="Buena 2 2 10 5" xfId="11315" xr:uid="{51E642C9-6AF9-4A3B-A3AA-C9A07B679E74}"/>
    <cellStyle name="Buena 2 2 10 6" xfId="11316" xr:uid="{BB277CF2-C449-4E08-90A4-811C7359B400}"/>
    <cellStyle name="Buena 2 2 10 7" xfId="11317" xr:uid="{952034B9-9F8E-4790-8396-0A267001A39B}"/>
    <cellStyle name="Buena 2 2 10 8" xfId="11318" xr:uid="{DE6BB0F8-4E69-481A-935A-499EA4E13B54}"/>
    <cellStyle name="Buena 2 2 10 9" xfId="11319" xr:uid="{B326A7B6-36BA-45B1-877A-CD285BAF1879}"/>
    <cellStyle name="Buena 2 2 11" xfId="11320" xr:uid="{678F570C-C89F-4EA1-9769-3D625E2CC12B}"/>
    <cellStyle name="Buena 2 2 12" xfId="11321" xr:uid="{3C14D707-AD99-4447-B18B-BAA26B3E237B}"/>
    <cellStyle name="Buena 2 2 13" xfId="11322" xr:uid="{2781956E-ED17-4282-AC97-126AE871B1B2}"/>
    <cellStyle name="Buena 2 2 2" xfId="11323" xr:uid="{A18CC30A-A01A-44CA-93AF-F9386719D19C}"/>
    <cellStyle name="Buena 2 2 2 2" xfId="11324" xr:uid="{2F0274F2-A114-483C-81A3-3BD4B02007D7}"/>
    <cellStyle name="Buena 2 2 2 2 2" xfId="11325" xr:uid="{0647A97D-4464-4BED-A2C7-0236833C1066}"/>
    <cellStyle name="Buena 2 2 2 2 2 2" xfId="11326" xr:uid="{5672EC2C-4F16-4201-9DC5-0FA0FC9AE2B1}"/>
    <cellStyle name="Buena 2 2 2 2 2 2 2" xfId="11327" xr:uid="{12B490A4-6D80-4AEA-B7C5-AFF6B91E5811}"/>
    <cellStyle name="Buena 2 2 2 2 2 2 2 2" xfId="11328" xr:uid="{C05D97DD-2889-422D-B462-2509499AEAED}"/>
    <cellStyle name="Buena 2 2 2 2 2 2 2 2 2" xfId="11329" xr:uid="{828F030F-7E24-4088-81CD-C2B0224E9C94}"/>
    <cellStyle name="Buena 2 2 2 2 2 2 2 2 2 2" xfId="11330" xr:uid="{1236EC71-BBC6-4D56-8849-ABFEABE898C0}"/>
    <cellStyle name="Buena 2 2 2 2 2 2 2 2 2 2 2" xfId="11331" xr:uid="{A6118D64-FBF3-483C-B846-5896A7966228}"/>
    <cellStyle name="Buena 2 2 2 2 2 2 2 2 2 2 2 2" xfId="11332" xr:uid="{9BDF7F90-4020-4207-974D-2276EA08A808}"/>
    <cellStyle name="Buena 2 2 2 2 2 2 2 2 2 2 3" xfId="11333" xr:uid="{EDDAF579-0FB6-4357-89EA-6788806936C1}"/>
    <cellStyle name="Buena 2 2 2 2 2 2 2 2 2 2 4" xfId="11334" xr:uid="{D8B6ED51-6E6C-40D5-BDA4-FE7CE8828B43}"/>
    <cellStyle name="Buena 2 2 2 2 2 2 2 2 2 3" xfId="11335" xr:uid="{2DDD93A6-796C-4F17-9BAE-FC794A33E1DE}"/>
    <cellStyle name="Buena 2 2 2 2 2 2 2 2 2 4" xfId="11336" xr:uid="{FF78B0DB-6C3C-4436-B215-7741EE081D1A}"/>
    <cellStyle name="Buena 2 2 2 2 2 2 2 2 3" xfId="11337" xr:uid="{7854A2E8-10C2-49AE-B1E9-CD5A32D39ABD}"/>
    <cellStyle name="Buena 2 2 2 2 2 2 2 2 4" xfId="11338" xr:uid="{D8E91E0B-FC4D-43F9-8E8B-26854D2F8F93}"/>
    <cellStyle name="Buena 2 2 2 2 2 2 2 2 5" xfId="11339" xr:uid="{8EB5E6E5-CE3C-4761-9A48-6C29C7843E68}"/>
    <cellStyle name="Buena 2 2 2 2 2 2 2 3" xfId="11340" xr:uid="{135DB896-9B3F-42D1-A103-B810FA399FFF}"/>
    <cellStyle name="Buena 2 2 2 2 2 2 2 3 10" xfId="11341" xr:uid="{656CD82D-EA75-47E8-8309-3BC4EE9D38B5}"/>
    <cellStyle name="Buena 2 2 2 2 2 2 2 3 11" xfId="11342" xr:uid="{212F4ABF-5A84-4548-B13D-7988A0F7AA1F}"/>
    <cellStyle name="Buena 2 2 2 2 2 2 2 3 2" xfId="11343" xr:uid="{C9CF10A8-0248-47C0-B527-C0A6638A44A8}"/>
    <cellStyle name="Buena 2 2 2 2 2 2 2 3 2 2" xfId="11344" xr:uid="{22E207F3-AFA6-4993-9A3F-FB4F0C48CCCD}"/>
    <cellStyle name="Buena 2 2 2 2 2 2 2 3 2 2 2" xfId="11345" xr:uid="{2CD2AF44-764A-427C-902A-3102163CFCDC}"/>
    <cellStyle name="Buena 2 2 2 2 2 2 2 3 2 2 3" xfId="11346" xr:uid="{C34D4E85-B824-4DF9-8C89-8F13B09477CC}"/>
    <cellStyle name="Buena 2 2 2 2 2 2 2 3 2 2 4" xfId="11347" xr:uid="{39F4E16F-0034-465F-96B7-A4C6B2AC248C}"/>
    <cellStyle name="Buena 2 2 2 2 2 2 2 3 2 2 5" xfId="11348" xr:uid="{F72A07AB-A301-474B-A533-178B79E9C148}"/>
    <cellStyle name="Buena 2 2 2 2 2 2 2 3 2 3" xfId="11349" xr:uid="{18588AF7-02E3-43F2-8E03-2BF9750AF83A}"/>
    <cellStyle name="Buena 2 2 2 2 2 2 2 3 2 4" xfId="11350" xr:uid="{078A3EC6-0719-4121-AB9A-CBFB540DAC83}"/>
    <cellStyle name="Buena 2 2 2 2 2 2 2 3 2 5" xfId="11351" xr:uid="{429E3221-C13C-4952-AD14-70127E58EAC6}"/>
    <cellStyle name="Buena 2 2 2 2 2 2 2 3 3" xfId="11352" xr:uid="{CDA35AE7-FC0E-4EE4-9E4F-11F7A73CC9A2}"/>
    <cellStyle name="Buena 2 2 2 2 2 2 2 3 4" xfId="11353" xr:uid="{9EF10AB6-FB22-4B57-B939-F013D4F44156}"/>
    <cellStyle name="Buena 2 2 2 2 2 2 2 3 5" xfId="11354" xr:uid="{F55028DC-EBFD-4C9A-8F04-A2A081226767}"/>
    <cellStyle name="Buena 2 2 2 2 2 2 2 3 6" xfId="11355" xr:uid="{9F55E23A-0D96-4BFA-950B-28B6DAA1A67C}"/>
    <cellStyle name="Buena 2 2 2 2 2 2 2 3 7" xfId="11356" xr:uid="{2660A18A-211C-4CFF-9190-9F4DCDDEF0B9}"/>
    <cellStyle name="Buena 2 2 2 2 2 2 2 3 8" xfId="11357" xr:uid="{26FA3383-F6F5-48EC-926B-58145D537DAE}"/>
    <cellStyle name="Buena 2 2 2 2 2 2 2 3 9" xfId="11358" xr:uid="{C572FA72-898D-4E73-84F1-E7DC2ACE4932}"/>
    <cellStyle name="Buena 2 2 2 2 2 2 2 4" xfId="11359" xr:uid="{47CA9AFF-2A02-43F0-86D4-1D99DC6FBDB4}"/>
    <cellStyle name="Buena 2 2 2 2 2 2 2 5" xfId="11360" xr:uid="{B90C9C63-4D09-4013-A177-B36117404ECC}"/>
    <cellStyle name="Buena 2 2 2 2 2 2 3" xfId="11361" xr:uid="{C8A883BD-F3C7-4AA0-B21A-ACCED65E40F2}"/>
    <cellStyle name="Buena 2 2 2 2 2 2 3 10" xfId="11362" xr:uid="{3D9D00A2-8468-48A4-860D-441A63329612}"/>
    <cellStyle name="Buena 2 2 2 2 2 2 3 11" xfId="11363" xr:uid="{DA76A408-A11C-4204-9987-88953FE07629}"/>
    <cellStyle name="Buena 2 2 2 2 2 2 3 2" xfId="11364" xr:uid="{6E71E516-29F2-43F3-B2E4-56F3E7591CCA}"/>
    <cellStyle name="Buena 2 2 2 2 2 2 3 2 10" xfId="11365" xr:uid="{20E8C9FE-8C3B-4534-92C0-16519FF0513B}"/>
    <cellStyle name="Buena 2 2 2 2 2 2 3 2 11" xfId="11366" xr:uid="{E5D99A4F-758A-49A9-BA1E-6468F6D76F2A}"/>
    <cellStyle name="Buena 2 2 2 2 2 2 3 2 2" xfId="11367" xr:uid="{FC5E26C7-BEBF-4B2F-84F2-D4546F07B57D}"/>
    <cellStyle name="Buena 2 2 2 2 2 2 3 2 2 2" xfId="11368" xr:uid="{488FBABB-3AE1-4E18-A108-3A5D372858F0}"/>
    <cellStyle name="Buena 2 2 2 2 2 2 3 2 2 2 2" xfId="11369" xr:uid="{B4D49A56-956D-40C2-9D6F-35D3B66AF943}"/>
    <cellStyle name="Buena 2 2 2 2 2 2 3 2 2 2 3" xfId="11370" xr:uid="{AF6B7078-BE79-4B44-B73C-8A32BE74EC11}"/>
    <cellStyle name="Buena 2 2 2 2 2 2 3 2 2 2 4" xfId="11371" xr:uid="{30BC174C-C3EA-444A-93E4-B7D1BFC5F3C4}"/>
    <cellStyle name="Buena 2 2 2 2 2 2 3 2 2 2 5" xfId="11372" xr:uid="{84190E74-E356-4258-8BC0-484B7E878982}"/>
    <cellStyle name="Buena 2 2 2 2 2 2 3 2 2 3" xfId="11373" xr:uid="{79BEEE50-68F8-4120-BD8B-7488C00FF742}"/>
    <cellStyle name="Buena 2 2 2 2 2 2 3 2 2 4" xfId="11374" xr:uid="{ED72FE4E-C15B-4B24-888F-A0975F90DDC8}"/>
    <cellStyle name="Buena 2 2 2 2 2 2 3 2 2 5" xfId="11375" xr:uid="{2A5A4213-DC6C-40A9-9A93-5FA26D99752F}"/>
    <cellStyle name="Buena 2 2 2 2 2 2 3 2 3" xfId="11376" xr:uid="{07C2FAA5-B6B4-4C70-A616-7D5280E924BA}"/>
    <cellStyle name="Buena 2 2 2 2 2 2 3 2 4" xfId="11377" xr:uid="{DBED4B25-65AF-46BF-BF09-789B4657E3AE}"/>
    <cellStyle name="Buena 2 2 2 2 2 2 3 2 5" xfId="11378" xr:uid="{88C1581F-F997-4B10-97F5-389A32AE19F3}"/>
    <cellStyle name="Buena 2 2 2 2 2 2 3 2 6" xfId="11379" xr:uid="{0AEB4FA2-7F29-410F-8A97-396C7C36E038}"/>
    <cellStyle name="Buena 2 2 2 2 2 2 3 2 7" xfId="11380" xr:uid="{2538EC05-7826-4C68-B4ED-C735CB6B310F}"/>
    <cellStyle name="Buena 2 2 2 2 2 2 3 2 8" xfId="11381" xr:uid="{52E25A2C-33D2-4F6F-AA47-24F6F3208E75}"/>
    <cellStyle name="Buena 2 2 2 2 2 2 3 2 9" xfId="11382" xr:uid="{B7674898-E700-4461-81B6-352432EEAE24}"/>
    <cellStyle name="Buena 2 2 2 2 2 2 3 3" xfId="11383" xr:uid="{1C7B98A7-C9E5-46A2-B58C-1721DD2D6330}"/>
    <cellStyle name="Buena 2 2 2 2 2 2 3 3 2" xfId="11384" xr:uid="{A6459BBD-8775-422E-953E-6A0B64AC418F}"/>
    <cellStyle name="Buena 2 2 2 2 2 2 3 3 2 2" xfId="11385" xr:uid="{4DDFFA11-37ED-4AA2-93DA-1BFF732BDFB3}"/>
    <cellStyle name="Buena 2 2 2 2 2 2 3 3 2 3" xfId="11386" xr:uid="{1998DD0C-D197-4ED5-B0CE-0E146C04FA35}"/>
    <cellStyle name="Buena 2 2 2 2 2 2 3 3 2 4" xfId="11387" xr:uid="{B69DFB81-9459-4252-AD32-85A1FE20CEA9}"/>
    <cellStyle name="Buena 2 2 2 2 2 2 3 3 2 5" xfId="11388" xr:uid="{58FE5CAC-9B39-4C46-A1D1-43E7422D0A42}"/>
    <cellStyle name="Buena 2 2 2 2 2 2 3 3 3" xfId="11389" xr:uid="{DCBD30D7-141E-4B9A-9DDB-CDFC0A6458F5}"/>
    <cellStyle name="Buena 2 2 2 2 2 2 3 3 4" xfId="11390" xr:uid="{91E1913F-FE3A-458F-9593-60F360B3713F}"/>
    <cellStyle name="Buena 2 2 2 2 2 2 3 3 5" xfId="11391" xr:uid="{827558A5-191B-418B-863F-59FB9BC1D01E}"/>
    <cellStyle name="Buena 2 2 2 2 2 2 3 4" xfId="11392" xr:uid="{4693DFC7-217F-4D49-8F05-5D29324CB5FF}"/>
    <cellStyle name="Buena 2 2 2 2 2 2 3 5" xfId="11393" xr:uid="{7A12DC30-FD2B-4E62-8183-1279F2CB3E9A}"/>
    <cellStyle name="Buena 2 2 2 2 2 2 3 6" xfId="11394" xr:uid="{F7384D81-ECB6-41A6-B87D-C2D8B0FB222D}"/>
    <cellStyle name="Buena 2 2 2 2 2 2 3 7" xfId="11395" xr:uid="{C54D86B4-CC15-4BAA-B44C-6DD57BE58C04}"/>
    <cellStyle name="Buena 2 2 2 2 2 2 3 8" xfId="11396" xr:uid="{2DB88827-3F7E-4315-9FEA-1A6EF4B19D38}"/>
    <cellStyle name="Buena 2 2 2 2 2 2 3 9" xfId="11397" xr:uid="{706A6B6E-5DDC-4E14-9CEB-C0DA4D2B5263}"/>
    <cellStyle name="Buena 2 2 2 2 2 2 4" xfId="11398" xr:uid="{74D97C1B-5C1C-48A2-9A3A-F775CDFE178B}"/>
    <cellStyle name="Buena 2 2 2 2 2 2 5" xfId="11399" xr:uid="{AEF5DCBF-00FA-499F-92DE-6216D3027967}"/>
    <cellStyle name="Buena 2 2 2 2 2 2 6" xfId="11400" xr:uid="{B1AF3538-C37E-4B1C-9475-2186C8E3F3D5}"/>
    <cellStyle name="Buena 2 2 2 2 2 3" xfId="11401" xr:uid="{0B059BF7-61B1-4BA8-85C1-C67996C827BC}"/>
    <cellStyle name="Buena 2 2 2 2 2 3 10" xfId="11402" xr:uid="{29D847F3-F356-4442-B6C6-D172B3751725}"/>
    <cellStyle name="Buena 2 2 2 2 2 3 11" xfId="11403" xr:uid="{A33F4678-4133-42FA-B37D-535A64B3F5DA}"/>
    <cellStyle name="Buena 2 2 2 2 2 3 2" xfId="11404" xr:uid="{96952641-7EC3-4429-9484-7F621EE5DAE3}"/>
    <cellStyle name="Buena 2 2 2 2 2 3 2 10" xfId="11405" xr:uid="{3F092699-F9BD-4A60-8813-122621C0D04B}"/>
    <cellStyle name="Buena 2 2 2 2 2 3 2 11" xfId="11406" xr:uid="{F63FDEDB-8449-400C-A03D-789C65FF3B5C}"/>
    <cellStyle name="Buena 2 2 2 2 2 3 2 2" xfId="11407" xr:uid="{24697BB1-B8A7-4650-AF2E-2DE1C6B1AC28}"/>
    <cellStyle name="Buena 2 2 2 2 2 3 2 2 2" xfId="11408" xr:uid="{7BB3145B-A8A4-4263-A833-ECFAEF4E1529}"/>
    <cellStyle name="Buena 2 2 2 2 2 3 2 2 2 2" xfId="11409" xr:uid="{BB28EFB7-FD50-4409-85EF-994FA0B3737D}"/>
    <cellStyle name="Buena 2 2 2 2 2 3 2 2 2 3" xfId="11410" xr:uid="{01B0A053-DDB5-4210-B643-1E09D586D766}"/>
    <cellStyle name="Buena 2 2 2 2 2 3 2 2 2 4" xfId="11411" xr:uid="{1288277B-AB24-45E2-8293-14C265E060ED}"/>
    <cellStyle name="Buena 2 2 2 2 2 3 2 2 2 5" xfId="11412" xr:uid="{7A51AAA2-FDDB-47C9-94CA-11D586025E52}"/>
    <cellStyle name="Buena 2 2 2 2 2 3 2 2 3" xfId="11413" xr:uid="{ACC8782E-10B0-454B-B7B8-3DA0D2352279}"/>
    <cellStyle name="Buena 2 2 2 2 2 3 2 2 4" xfId="11414" xr:uid="{63B4606F-57CC-4C6A-B979-8A54EC251946}"/>
    <cellStyle name="Buena 2 2 2 2 2 3 2 2 5" xfId="11415" xr:uid="{807A443C-265F-4C83-9C78-6C2A92062114}"/>
    <cellStyle name="Buena 2 2 2 2 2 3 2 3" xfId="11416" xr:uid="{D96DD0EF-16E8-4DE8-A013-E619363B4005}"/>
    <cellStyle name="Buena 2 2 2 2 2 3 2 4" xfId="11417" xr:uid="{D5A2CA74-9DB7-43BB-B876-FC8E7B08422E}"/>
    <cellStyle name="Buena 2 2 2 2 2 3 2 5" xfId="11418" xr:uid="{8E858501-0BC3-493E-9611-E763C17AA758}"/>
    <cellStyle name="Buena 2 2 2 2 2 3 2 6" xfId="11419" xr:uid="{C63EE8E7-F9C9-411C-ACF3-53AB8C2D2CC2}"/>
    <cellStyle name="Buena 2 2 2 2 2 3 2 7" xfId="11420" xr:uid="{D3D8484C-5B13-4DAD-9231-DA3EDD4FA4CD}"/>
    <cellStyle name="Buena 2 2 2 2 2 3 2 8" xfId="11421" xr:uid="{847F867E-E428-4C95-A49F-28EF38C33FB8}"/>
    <cellStyle name="Buena 2 2 2 2 2 3 2 9" xfId="11422" xr:uid="{F8533DF6-79AC-4127-8DA7-C29EFE70CAE0}"/>
    <cellStyle name="Buena 2 2 2 2 2 3 3" xfId="11423" xr:uid="{03B215B3-031A-4900-8274-9481DAD253B5}"/>
    <cellStyle name="Buena 2 2 2 2 2 3 3 2" xfId="11424" xr:uid="{76051941-2665-4F41-8FBC-63C9F71636ED}"/>
    <cellStyle name="Buena 2 2 2 2 2 3 3 2 2" xfId="11425" xr:uid="{5AE52308-A152-4C99-B779-B1F6B65002A9}"/>
    <cellStyle name="Buena 2 2 2 2 2 3 3 2 3" xfId="11426" xr:uid="{8AF9E867-3C07-4875-A91C-A0880477F9B6}"/>
    <cellStyle name="Buena 2 2 2 2 2 3 3 2 4" xfId="11427" xr:uid="{CB15F382-DA77-477C-A5A1-2A672EBA74DC}"/>
    <cellStyle name="Buena 2 2 2 2 2 3 3 2 5" xfId="11428" xr:uid="{BBDB1673-ABDF-4D7A-885A-47565264DE8F}"/>
    <cellStyle name="Buena 2 2 2 2 2 3 3 3" xfId="11429" xr:uid="{495440D5-79C0-4EB3-902F-20C5462CF6FC}"/>
    <cellStyle name="Buena 2 2 2 2 2 3 3 4" xfId="11430" xr:uid="{2D96EF17-3E3A-43A1-8071-6879E4D62E5C}"/>
    <cellStyle name="Buena 2 2 2 2 2 3 3 5" xfId="11431" xr:uid="{A7EE891E-E88C-442B-B6DD-C7F2CE2BF098}"/>
    <cellStyle name="Buena 2 2 2 2 2 3 4" xfId="11432" xr:uid="{3200EC45-182D-4684-BD1B-3765582214E3}"/>
    <cellStyle name="Buena 2 2 2 2 2 3 5" xfId="11433" xr:uid="{645592D7-92EE-4CC6-A0AB-EE26125CB36C}"/>
    <cellStyle name="Buena 2 2 2 2 2 3 6" xfId="11434" xr:uid="{13FD1E79-8524-40B6-B120-00ED13C7A930}"/>
    <cellStyle name="Buena 2 2 2 2 2 3 7" xfId="11435" xr:uid="{42E07A20-97B9-4538-8464-99190BBBDF33}"/>
    <cellStyle name="Buena 2 2 2 2 2 3 8" xfId="11436" xr:uid="{9865108F-8B23-450A-8EDB-7F4767804630}"/>
    <cellStyle name="Buena 2 2 2 2 2 3 9" xfId="11437" xr:uid="{676407EC-EC75-439E-9CCF-2CB824B3B6B1}"/>
    <cellStyle name="Buena 2 2 2 2 2 4" xfId="11438" xr:uid="{298FF95F-F7D3-4311-B76C-81786C9CCD39}"/>
    <cellStyle name="Buena 2 2 2 2 2 5" xfId="11439" xr:uid="{234E38AB-EF0E-4373-B1DB-D0FD29EF36D0}"/>
    <cellStyle name="Buena 2 2 2 2 2 6" xfId="11440" xr:uid="{17E9A432-3FA1-4F60-9762-06C8C7032542}"/>
    <cellStyle name="Buena 2 2 2 2 3" xfId="11441" xr:uid="{034C4E29-0893-40CF-91B5-BD1C0F4AD6C4}"/>
    <cellStyle name="Buena 2 2 2 2 4" xfId="11442" xr:uid="{93B79A72-DFEA-448F-B42B-5BE7766A6488}"/>
    <cellStyle name="Buena 2 2 2 2 4 10" xfId="11443" xr:uid="{BBF9879C-FBBD-4D82-B3AF-079E15BE9A76}"/>
    <cellStyle name="Buena 2 2 2 2 4 11" xfId="11444" xr:uid="{CC797C5A-FF67-4831-96ED-EA301372B676}"/>
    <cellStyle name="Buena 2 2 2 2 4 2" xfId="11445" xr:uid="{FF23085B-4B96-4F83-9546-3241B8646FAB}"/>
    <cellStyle name="Buena 2 2 2 2 4 2 10" xfId="11446" xr:uid="{D9F12A58-96D6-4765-8827-519964D40297}"/>
    <cellStyle name="Buena 2 2 2 2 4 2 11" xfId="11447" xr:uid="{2448BB79-29A2-49C1-8DE5-86FE21855955}"/>
    <cellStyle name="Buena 2 2 2 2 4 2 2" xfId="11448" xr:uid="{617C75B5-FC16-4FC3-AC49-D7508E665970}"/>
    <cellStyle name="Buena 2 2 2 2 4 2 2 2" xfId="11449" xr:uid="{ECCA37A7-5A90-4BCA-9C15-8F264BC8D2BE}"/>
    <cellStyle name="Buena 2 2 2 2 4 2 2 2 2" xfId="11450" xr:uid="{A25135FE-5A06-4505-9CEB-B2B482F80154}"/>
    <cellStyle name="Buena 2 2 2 2 4 2 2 2 3" xfId="11451" xr:uid="{71441D80-145F-4443-B278-5703C9EB5E93}"/>
    <cellStyle name="Buena 2 2 2 2 4 2 2 2 4" xfId="11452" xr:uid="{280DE48E-CDBC-414B-8578-CD63DDA64F3F}"/>
    <cellStyle name="Buena 2 2 2 2 4 2 2 2 5" xfId="11453" xr:uid="{69BF0442-EE4C-4EB9-8B77-9AA96188E769}"/>
    <cellStyle name="Buena 2 2 2 2 4 2 2 3" xfId="11454" xr:uid="{AC26552E-59B9-44E6-B66C-A07CB3194492}"/>
    <cellStyle name="Buena 2 2 2 2 4 2 2 4" xfId="11455" xr:uid="{2E829DCA-21E4-4D9A-9C6F-89D5FF09FF8F}"/>
    <cellStyle name="Buena 2 2 2 2 4 2 2 5" xfId="11456" xr:uid="{CD0AE030-D034-4A55-B06B-E5C738DDACFB}"/>
    <cellStyle name="Buena 2 2 2 2 4 2 3" xfId="11457" xr:uid="{50882C00-D5B0-4449-BF7E-745590622D7D}"/>
    <cellStyle name="Buena 2 2 2 2 4 2 4" xfId="11458" xr:uid="{3147B199-043B-4B98-B8DD-D5D359509BDB}"/>
    <cellStyle name="Buena 2 2 2 2 4 2 5" xfId="11459" xr:uid="{9F8D29EB-DCA9-45D5-8DF9-1E0ABDB1A5FF}"/>
    <cellStyle name="Buena 2 2 2 2 4 2 6" xfId="11460" xr:uid="{93F729F6-0502-4736-AD5E-8CDF372602E4}"/>
    <cellStyle name="Buena 2 2 2 2 4 2 7" xfId="11461" xr:uid="{3C9F30E4-F0AE-4F48-9EAB-F14ECE546124}"/>
    <cellStyle name="Buena 2 2 2 2 4 2 8" xfId="11462" xr:uid="{9CA2975A-246A-43D4-869C-F2264889D10E}"/>
    <cellStyle name="Buena 2 2 2 2 4 2 9" xfId="11463" xr:uid="{4DDF8F05-9175-4A03-9D2B-3C64D0B486FD}"/>
    <cellStyle name="Buena 2 2 2 2 4 3" xfId="11464" xr:uid="{7B4FFFEA-F93E-4FBD-95D8-5CE3827CBCB6}"/>
    <cellStyle name="Buena 2 2 2 2 4 3 2" xfId="11465" xr:uid="{2F7364F0-256B-42B5-A8C3-A19D4832412B}"/>
    <cellStyle name="Buena 2 2 2 2 4 3 2 2" xfId="11466" xr:uid="{729DBD10-FEA8-4A71-A8B9-9FCC22668065}"/>
    <cellStyle name="Buena 2 2 2 2 4 3 2 3" xfId="11467" xr:uid="{B35B8BAB-D086-47D8-99EF-8F061CF7FC28}"/>
    <cellStyle name="Buena 2 2 2 2 4 3 2 4" xfId="11468" xr:uid="{F6442904-EC07-4076-835E-CC5B280727A9}"/>
    <cellStyle name="Buena 2 2 2 2 4 3 2 5" xfId="11469" xr:uid="{39870DAD-F829-48AD-8158-CBBB85B6ADA2}"/>
    <cellStyle name="Buena 2 2 2 2 4 3 3" xfId="11470" xr:uid="{55106685-49B9-430E-BD78-B7B7C4317798}"/>
    <cellStyle name="Buena 2 2 2 2 4 3 4" xfId="11471" xr:uid="{D3BE0E1B-B2D5-4DFD-B57A-7C9B5A4A4D21}"/>
    <cellStyle name="Buena 2 2 2 2 4 3 5" xfId="11472" xr:uid="{36A56A63-C7D9-497E-A454-8A00B9D3EBAD}"/>
    <cellStyle name="Buena 2 2 2 2 4 4" xfId="11473" xr:uid="{06BE5BD3-3A01-4076-B23D-A1C21CDE1BAC}"/>
    <cellStyle name="Buena 2 2 2 2 4 5" xfId="11474" xr:uid="{3BAC1858-A545-40DE-B523-0F59C83AA51B}"/>
    <cellStyle name="Buena 2 2 2 2 4 6" xfId="11475" xr:uid="{DF3905BC-7C7B-4FFC-8E5E-20B27131CF8D}"/>
    <cellStyle name="Buena 2 2 2 2 4 7" xfId="11476" xr:uid="{54A35248-CCEC-4607-9470-D192ACCCF9D4}"/>
    <cellStyle name="Buena 2 2 2 2 4 8" xfId="11477" xr:uid="{4EEF458D-A831-47D9-9A2F-BA0B99570060}"/>
    <cellStyle name="Buena 2 2 2 2 4 9" xfId="11478" xr:uid="{63D38261-BAC6-49F4-B0AF-91794DFD4E84}"/>
    <cellStyle name="Buena 2 2 2 2 5" xfId="11479" xr:uid="{B6BAB522-04DF-41A6-8F86-FD363D04806B}"/>
    <cellStyle name="Buena 2 2 2 2 6" xfId="11480" xr:uid="{74A9CFDF-B2AA-4B83-8637-7B9263DD5C14}"/>
    <cellStyle name="Buena 2 2 2 2 7" xfId="11481" xr:uid="{40A6DE0E-5085-403C-BAAD-8AB9D822109F}"/>
    <cellStyle name="Buena 2 2 2 3" xfId="11482" xr:uid="{F9006E32-1AE2-498C-A7EC-7E05C8DE04DE}"/>
    <cellStyle name="Buena 2 2 2 4" xfId="11483" xr:uid="{2585F296-0542-4C44-A01B-64156542B41E}"/>
    <cellStyle name="Buena 2 2 2 5" xfId="11484" xr:uid="{274B8385-3B52-4BDE-8E0D-32BB8D4FC8B0}"/>
    <cellStyle name="Buena 2 2 2 5 10" xfId="11485" xr:uid="{C9B1312B-9B03-409D-B0E6-54A54F4DE991}"/>
    <cellStyle name="Buena 2 2 2 5 11" xfId="11486" xr:uid="{51E1779B-125F-44C6-8531-E069BB5A41D3}"/>
    <cellStyle name="Buena 2 2 2 5 2" xfId="11487" xr:uid="{29D84D77-74A0-41A5-9DE0-8441ECB9897D}"/>
    <cellStyle name="Buena 2 2 2 5 2 10" xfId="11488" xr:uid="{D223B84F-C5DD-4B8A-92E2-FA8072E5CDA8}"/>
    <cellStyle name="Buena 2 2 2 5 2 11" xfId="11489" xr:uid="{4405DDB8-5CF1-46C6-9182-8407648E8070}"/>
    <cellStyle name="Buena 2 2 2 5 2 2" xfId="11490" xr:uid="{05B69672-017C-4AA3-921D-B28F7E8B4F42}"/>
    <cellStyle name="Buena 2 2 2 5 2 2 2" xfId="11491" xr:uid="{616DC991-463D-4EBC-BD72-31FF5F6E08ED}"/>
    <cellStyle name="Buena 2 2 2 5 2 2 2 2" xfId="11492" xr:uid="{E29F5CA6-8D38-46A6-9180-6494C98AFDEF}"/>
    <cellStyle name="Buena 2 2 2 5 2 2 2 3" xfId="11493" xr:uid="{2217238F-8039-42E8-B5E1-E266D69EFD22}"/>
    <cellStyle name="Buena 2 2 2 5 2 2 2 4" xfId="11494" xr:uid="{A60ABE67-C02C-4F8E-9B90-A5701FFD466A}"/>
    <cellStyle name="Buena 2 2 2 5 2 2 2 5" xfId="11495" xr:uid="{45C89CD1-118E-4114-8FDD-5010311B4DDE}"/>
    <cellStyle name="Buena 2 2 2 5 2 2 3" xfId="11496" xr:uid="{00EF888A-0F00-4264-BC2C-D541CBFD0C16}"/>
    <cellStyle name="Buena 2 2 2 5 2 2 4" xfId="11497" xr:uid="{166A12CB-F20C-47B0-A954-83837667A5ED}"/>
    <cellStyle name="Buena 2 2 2 5 2 2 5" xfId="11498" xr:uid="{1D15429F-86F9-4B76-AE1F-5A485B66ED77}"/>
    <cellStyle name="Buena 2 2 2 5 2 3" xfId="11499" xr:uid="{E020C1C8-F1C0-41BE-B1C5-92BE0F7873F5}"/>
    <cellStyle name="Buena 2 2 2 5 2 4" xfId="11500" xr:uid="{74D5D798-5077-45F8-B686-6BDD87F1929C}"/>
    <cellStyle name="Buena 2 2 2 5 2 5" xfId="11501" xr:uid="{DE2F2FAF-E132-45D0-89FE-6ADBA4DF4045}"/>
    <cellStyle name="Buena 2 2 2 5 2 6" xfId="11502" xr:uid="{FB46CE49-B880-46DC-B400-48711E8D8854}"/>
    <cellStyle name="Buena 2 2 2 5 2 7" xfId="11503" xr:uid="{FF286A68-DC44-49FF-9796-89939913661F}"/>
    <cellStyle name="Buena 2 2 2 5 2 8" xfId="11504" xr:uid="{3DD7372E-F69E-459B-95B5-461A80758331}"/>
    <cellStyle name="Buena 2 2 2 5 2 9" xfId="11505" xr:uid="{31A6F3AC-AD3B-473F-8D47-B765D33C451C}"/>
    <cellStyle name="Buena 2 2 2 5 3" xfId="11506" xr:uid="{DA3D436A-D6C1-4631-BDB1-3E999EED800B}"/>
    <cellStyle name="Buena 2 2 2 5 3 2" xfId="11507" xr:uid="{0A60A657-B91B-4A4F-9485-CC4F21139AA9}"/>
    <cellStyle name="Buena 2 2 2 5 3 2 2" xfId="11508" xr:uid="{7666474E-3BD9-4D7F-9DDC-2B3F993CE339}"/>
    <cellStyle name="Buena 2 2 2 5 3 2 3" xfId="11509" xr:uid="{B066446A-39D7-488D-A211-A8725B36BE2D}"/>
    <cellStyle name="Buena 2 2 2 5 3 2 4" xfId="11510" xr:uid="{1F09CF88-4B51-427A-A449-CFEDECA17D86}"/>
    <cellStyle name="Buena 2 2 2 5 3 2 5" xfId="11511" xr:uid="{A6AF5411-1D85-4207-979B-E78C764F973E}"/>
    <cellStyle name="Buena 2 2 2 5 3 3" xfId="11512" xr:uid="{5050016D-86C9-4116-AAE6-7D1DCFC10FCD}"/>
    <cellStyle name="Buena 2 2 2 5 3 4" xfId="11513" xr:uid="{CAE4E295-0E36-43E3-8C35-86CECBC095B8}"/>
    <cellStyle name="Buena 2 2 2 5 3 5" xfId="11514" xr:uid="{07FC079E-C07C-43A2-9B23-2F8524EF2A12}"/>
    <cellStyle name="Buena 2 2 2 5 4" xfId="11515" xr:uid="{6FFE6F1C-03C3-493F-A036-05BD02ED56E3}"/>
    <cellStyle name="Buena 2 2 2 5 5" xfId="11516" xr:uid="{007E8BEA-1F44-4726-B0E5-4FB42AD07DBA}"/>
    <cellStyle name="Buena 2 2 2 5 6" xfId="11517" xr:uid="{8C056061-1703-45A0-A10A-895FBF9AFC27}"/>
    <cellStyle name="Buena 2 2 2 5 7" xfId="11518" xr:uid="{AACFCE38-A9E7-4383-A089-AB7EB2B4B68D}"/>
    <cellStyle name="Buena 2 2 2 5 8" xfId="11519" xr:uid="{BD2ED8BD-2AF5-4B08-B41A-82D77CAAD318}"/>
    <cellStyle name="Buena 2 2 2 5 9" xfId="11520" xr:uid="{37FA0B1A-371D-4A7F-ACAB-3942DF804857}"/>
    <cellStyle name="Buena 2 2 2 6" xfId="11521" xr:uid="{B6E8FA96-B104-43A1-90D4-6BCAC13C2C8E}"/>
    <cellStyle name="Buena 2 2 2 7" xfId="11522" xr:uid="{6A0ED306-2686-4C58-A50C-CFD6EC660BF6}"/>
    <cellStyle name="Buena 2 2 2 8" xfId="11523" xr:uid="{CCBA3954-F26C-459E-8C19-5B46F423922F}"/>
    <cellStyle name="Buena 2 2 3" xfId="11524" xr:uid="{9BB19EEE-C101-4F77-9F31-9EEDEB84CAE6}"/>
    <cellStyle name="Buena 2 2 4" xfId="11525" xr:uid="{2290D444-3AD5-47AF-AE92-5E5821360C3E}"/>
    <cellStyle name="Buena 2 2 5" xfId="11526" xr:uid="{A505E753-D473-413D-8A37-18657A2FCBDB}"/>
    <cellStyle name="Buena 2 2 6" xfId="11527" xr:uid="{08903686-4012-4994-9A51-C2359546D5E5}"/>
    <cellStyle name="Buena 2 2 7" xfId="11528" xr:uid="{9EB56901-0EAB-4362-8C4E-016FFB548D55}"/>
    <cellStyle name="Buena 2 2 8" xfId="11529" xr:uid="{0DA56514-DDAE-4DD3-9DFD-4AC21C020F91}"/>
    <cellStyle name="Buena 2 2 8 2" xfId="11530" xr:uid="{B5C6A956-0507-4E94-980C-F1D6A69FC60A}"/>
    <cellStyle name="Buena 2 2 9" xfId="11531" xr:uid="{396A65E1-1D82-42F9-9066-0B5245A586BD}"/>
    <cellStyle name="Buena 2 3" xfId="11532" xr:uid="{873CF89B-B7FD-4D08-8501-67ACA6E9ED3A}"/>
    <cellStyle name="Buena 2 4" xfId="11533" xr:uid="{1ED003AF-7E80-479A-A595-14378A4221E7}"/>
    <cellStyle name="Buena 2 4 10" xfId="11534" xr:uid="{3ADD20B3-99D3-45DF-B991-048A47CEF5E1}"/>
    <cellStyle name="Buena 2 4 11" xfId="11535" xr:uid="{73E926A4-1A4D-4ED8-98E6-A1DF158DB330}"/>
    <cellStyle name="Buena 2 4 12" xfId="11536" xr:uid="{D052F43F-A095-4AB6-984D-D874D61D95D4}"/>
    <cellStyle name="Buena 2 4 2" xfId="11537" xr:uid="{96F94BCA-A32F-4D68-8302-4E01557BB231}"/>
    <cellStyle name="Buena 2 4 2 10" xfId="11538" xr:uid="{CF941C06-1A4C-49FC-9656-F31C5C7BF902}"/>
    <cellStyle name="Buena 2 4 2 11" xfId="11539" xr:uid="{C969F935-6BEA-4E62-A15E-88C6BD425E2A}"/>
    <cellStyle name="Buena 2 4 2 12" xfId="11540" xr:uid="{9E1E92A5-A98B-4E18-9D89-C507DE0152D5}"/>
    <cellStyle name="Buena 2 4 2 2" xfId="11541" xr:uid="{A57408D8-8017-442A-8F67-35E9047E730C}"/>
    <cellStyle name="Buena 2 4 2 2 10" xfId="11542" xr:uid="{472109BB-9E2B-43B1-9A80-9D3F6ADB5915}"/>
    <cellStyle name="Buena 2 4 2 2 11" xfId="11543" xr:uid="{6CB59A77-B69A-4D7A-ADD9-ECDE38DC88E4}"/>
    <cellStyle name="Buena 2 4 2 2 2" xfId="11544" xr:uid="{47F06C33-5809-4DA7-8CE4-367BC8D8B2F1}"/>
    <cellStyle name="Buena 2 4 2 2 2 10" xfId="11545" xr:uid="{002F2B3A-97BB-48B9-AD08-4F126A0BA48E}"/>
    <cellStyle name="Buena 2 4 2 2 2 11" xfId="11546" xr:uid="{6054D29D-7E3A-44CE-8009-F2BFE3BD2120}"/>
    <cellStyle name="Buena 2 4 2 2 2 2" xfId="11547" xr:uid="{E8273C25-B6D8-41AF-BFE0-853C69AC745F}"/>
    <cellStyle name="Buena 2 4 2 2 2 2 2" xfId="11548" xr:uid="{BF61F1F3-690D-40A5-872D-2DCB7EBEB910}"/>
    <cellStyle name="Buena 2 4 2 2 2 2 2 2" xfId="11549" xr:uid="{DC807BD8-62CE-4B58-BEB2-EBCB19C2D46B}"/>
    <cellStyle name="Buena 2 4 2 2 2 2 2 3" xfId="11550" xr:uid="{F035299C-9B7D-4B3E-BDC2-597D0D4B59C1}"/>
    <cellStyle name="Buena 2 4 2 2 2 2 2 4" xfId="11551" xr:uid="{F85DD0BA-EEE2-4E26-8E1E-391529C00E78}"/>
    <cellStyle name="Buena 2 4 2 2 2 2 2 5" xfId="11552" xr:uid="{734F2596-F82F-43A1-ABE3-61FA88D28B46}"/>
    <cellStyle name="Buena 2 4 2 2 2 2 3" xfId="11553" xr:uid="{97D400E0-8759-4AC5-B955-9AAF49C6680B}"/>
    <cellStyle name="Buena 2 4 2 2 2 2 4" xfId="11554" xr:uid="{8609E2AE-AC50-46AA-837A-CC8B8659F35C}"/>
    <cellStyle name="Buena 2 4 2 2 2 2 5" xfId="11555" xr:uid="{76F035C3-6D3C-4C01-AEE4-262B28525F89}"/>
    <cellStyle name="Buena 2 4 2 2 2 3" xfId="11556" xr:uid="{22C62BFD-146F-4C6A-B4CD-16B772D2137F}"/>
    <cellStyle name="Buena 2 4 2 2 2 4" xfId="11557" xr:uid="{9CC9691C-657F-4AA3-B6E8-F20784734AD3}"/>
    <cellStyle name="Buena 2 4 2 2 2 5" xfId="11558" xr:uid="{3A395EF0-D02B-4986-9C06-1C0429DC3642}"/>
    <cellStyle name="Buena 2 4 2 2 2 6" xfId="11559" xr:uid="{61586521-970D-45A1-84C8-02F19E9EE4D4}"/>
    <cellStyle name="Buena 2 4 2 2 2 7" xfId="11560" xr:uid="{682DBEE3-FA40-44D1-A8F8-0D84BC4EB449}"/>
    <cellStyle name="Buena 2 4 2 2 2 8" xfId="11561" xr:uid="{91F1D623-4F38-474F-9796-101353B50F76}"/>
    <cellStyle name="Buena 2 4 2 2 2 9" xfId="11562" xr:uid="{45588A4F-E993-489F-BA46-F2F65CA20600}"/>
    <cellStyle name="Buena 2 4 2 2 3" xfId="11563" xr:uid="{C8FD33E1-33A1-4A0A-9140-2E6644DB4489}"/>
    <cellStyle name="Buena 2 4 2 2 3 2" xfId="11564" xr:uid="{6FF05B63-AB69-4536-A919-B03A60D23558}"/>
    <cellStyle name="Buena 2 4 2 2 3 2 2" xfId="11565" xr:uid="{3EFD698E-4520-42A0-AB5F-8F38D2CA2507}"/>
    <cellStyle name="Buena 2 4 2 2 3 2 3" xfId="11566" xr:uid="{EEAF3F8F-7948-4E6B-816D-4FC16FD0A717}"/>
    <cellStyle name="Buena 2 4 2 2 3 2 4" xfId="11567" xr:uid="{03A7A92E-DECE-43DF-AB1B-96669B7F798E}"/>
    <cellStyle name="Buena 2 4 2 2 3 2 5" xfId="11568" xr:uid="{E5AD5742-1A59-4429-9416-822FCFF5B462}"/>
    <cellStyle name="Buena 2 4 2 2 3 3" xfId="11569" xr:uid="{8260A23D-36C5-4FD0-A734-ECD8D9BB4060}"/>
    <cellStyle name="Buena 2 4 2 2 3 4" xfId="11570" xr:uid="{181BD39D-06B1-468F-8E42-F1818115463B}"/>
    <cellStyle name="Buena 2 4 2 2 3 5" xfId="11571" xr:uid="{F9C95FDA-9350-4663-BC4D-EB77C8F33C76}"/>
    <cellStyle name="Buena 2 4 2 2 4" xfId="11572" xr:uid="{94A9B3E7-F0CF-49D2-93FC-4966CC3AE153}"/>
    <cellStyle name="Buena 2 4 2 2 5" xfId="11573" xr:uid="{9FE4795F-8F36-4F37-A40E-DAEAC0DA8A83}"/>
    <cellStyle name="Buena 2 4 2 2 6" xfId="11574" xr:uid="{5E984402-9968-482C-A75D-0649968FC248}"/>
    <cellStyle name="Buena 2 4 2 2 7" xfId="11575" xr:uid="{997F1F8A-090D-4952-A465-14A4D653405C}"/>
    <cellStyle name="Buena 2 4 2 2 8" xfId="11576" xr:uid="{8F887623-DD22-4428-8A15-FB12B95BF2D1}"/>
    <cellStyle name="Buena 2 4 2 2 9" xfId="11577" xr:uid="{5F9578D6-2C76-45F8-A179-2DBE523DC2B3}"/>
    <cellStyle name="Buena 2 4 2 3" xfId="11578" xr:uid="{D56058DD-A1C9-40F4-8B5C-AAB123DA18E9}"/>
    <cellStyle name="Buena 2 4 2 3 2" xfId="11579" xr:uid="{E0F01F6A-5E2F-4B19-8D7D-0E910CFDA01D}"/>
    <cellStyle name="Buena 2 4 2 3 2 2" xfId="11580" xr:uid="{43B96A03-AACC-46E2-8E2A-E725C56C486C}"/>
    <cellStyle name="Buena 2 4 2 3 2 3" xfId="11581" xr:uid="{A0EBDB2F-6B20-4981-8CC1-D6656586CF17}"/>
    <cellStyle name="Buena 2 4 2 3 2 4" xfId="11582" xr:uid="{C2AA83EA-F331-4A10-8FF5-1764F9404A6E}"/>
    <cellStyle name="Buena 2 4 2 3 2 5" xfId="11583" xr:uid="{2A117F3A-6FA2-4C2D-B425-4B014F6106DD}"/>
    <cellStyle name="Buena 2 4 2 3 3" xfId="11584" xr:uid="{54194E83-5379-4681-93E6-39BCEA6CEF58}"/>
    <cellStyle name="Buena 2 4 2 3 4" xfId="11585" xr:uid="{4DC503A5-1573-43B3-A4E1-51061601471F}"/>
    <cellStyle name="Buena 2 4 2 3 5" xfId="11586" xr:uid="{0DC0BF4F-E908-417B-B265-45BCBD508A69}"/>
    <cellStyle name="Buena 2 4 2 4" xfId="11587" xr:uid="{18DEC94F-6FE9-4AF9-B18E-B606CFF9F3D9}"/>
    <cellStyle name="Buena 2 4 2 5" xfId="11588" xr:uid="{6E563C6A-FBA1-4257-8943-6C77A7EDDF76}"/>
    <cellStyle name="Buena 2 4 2 6" xfId="11589" xr:uid="{EC95BD34-E6D3-4A29-96DE-1B5066347BF0}"/>
    <cellStyle name="Buena 2 4 2 7" xfId="11590" xr:uid="{B1EEBF98-1F85-4FA9-971B-776C87241DDC}"/>
    <cellStyle name="Buena 2 4 2 8" xfId="11591" xr:uid="{84C6B0EF-C8C6-4A08-ACFA-8B475E34A3C4}"/>
    <cellStyle name="Buena 2 4 2 9" xfId="11592" xr:uid="{1036B1BD-5107-43EE-BDB7-C49602A027E1}"/>
    <cellStyle name="Buena 2 4 3" xfId="11593" xr:uid="{F4AA048A-8DFB-4F28-9875-BBE8A2FD9819}"/>
    <cellStyle name="Buena 2 4 3 10" xfId="11594" xr:uid="{D8072326-DD11-4EF0-8DAD-6467FD6BAB31}"/>
    <cellStyle name="Buena 2 4 3 11" xfId="11595" xr:uid="{58E18275-CEDA-43CA-B3F6-B6C24EC06839}"/>
    <cellStyle name="Buena 2 4 3 2" xfId="11596" xr:uid="{C86B88FE-C8A8-484B-ABFA-33E28FD38829}"/>
    <cellStyle name="Buena 2 4 3 2 2" xfId="11597" xr:uid="{C4E8F7A0-5A23-4D4D-ADC8-6858BF2E2D85}"/>
    <cellStyle name="Buena 2 4 3 2 2 2" xfId="11598" xr:uid="{58340419-1B6E-482F-863F-2D491A806F48}"/>
    <cellStyle name="Buena 2 4 3 2 2 3" xfId="11599" xr:uid="{96298888-510F-4B0B-B207-CEC714782AA0}"/>
    <cellStyle name="Buena 2 4 3 2 2 4" xfId="11600" xr:uid="{E47B6DDF-72C7-47AB-8583-6EEACAB2D7BB}"/>
    <cellStyle name="Buena 2 4 3 2 2 5" xfId="11601" xr:uid="{37FBDA54-D612-44F3-872D-D4D50F653E30}"/>
    <cellStyle name="Buena 2 4 3 2 3" xfId="11602" xr:uid="{A099F769-D1E7-4689-A173-A15036E8085F}"/>
    <cellStyle name="Buena 2 4 3 2 4" xfId="11603" xr:uid="{4162F70F-554E-4898-9ECA-529C3C2C7259}"/>
    <cellStyle name="Buena 2 4 3 2 5" xfId="11604" xr:uid="{5E71FCCA-24CC-4360-B93B-9BA59D93BCFC}"/>
    <cellStyle name="Buena 2 4 3 3" xfId="11605" xr:uid="{0D0C2C50-E267-4FA1-B1FE-025E4567C661}"/>
    <cellStyle name="Buena 2 4 3 4" xfId="11606" xr:uid="{48A0D8D6-91FB-4F27-918B-AC0016CE995D}"/>
    <cellStyle name="Buena 2 4 3 5" xfId="11607" xr:uid="{CEF6B989-2B88-47C7-9052-2D22DF0FCA33}"/>
    <cellStyle name="Buena 2 4 3 6" xfId="11608" xr:uid="{6CD56A3F-B2E2-45BF-91C4-F5C0D539D8A2}"/>
    <cellStyle name="Buena 2 4 3 7" xfId="11609" xr:uid="{558C2563-3526-40D3-93C6-6534016B5AAE}"/>
    <cellStyle name="Buena 2 4 3 8" xfId="11610" xr:uid="{AA77C652-1E9D-486B-AB92-768C9311C20D}"/>
    <cellStyle name="Buena 2 4 3 9" xfId="11611" xr:uid="{B546D1D0-8CAB-469D-928B-01D50E10B2D1}"/>
    <cellStyle name="Buena 2 4 4" xfId="11612" xr:uid="{6E59579D-7A0A-4EE8-BAE1-76C97245AF75}"/>
    <cellStyle name="Buena 2 4 4 2" xfId="11613" xr:uid="{E5CCB2CF-3CB5-4CA7-9797-ADE3F8C66EDD}"/>
    <cellStyle name="Buena 2 4 4 2 2" xfId="11614" xr:uid="{5B65D028-8086-404C-8FC1-E115BBF49377}"/>
    <cellStyle name="Buena 2 4 4 2 3" xfId="11615" xr:uid="{E97ED98B-98B4-4B26-A639-8BD5F3EF5638}"/>
    <cellStyle name="Buena 2 4 4 2 4" xfId="11616" xr:uid="{1E0364C8-B787-4DFD-A9AF-54302A6A7311}"/>
    <cellStyle name="Buena 2 4 4 2 5" xfId="11617" xr:uid="{3245819F-3960-4CE4-AB57-B940056EC8DC}"/>
    <cellStyle name="Buena 2 4 4 3" xfId="11618" xr:uid="{563AF126-3B64-40DF-8BE6-81EEC9692019}"/>
    <cellStyle name="Buena 2 4 4 4" xfId="11619" xr:uid="{FD517BCF-9B0B-4BB4-BDF7-FED95FE38800}"/>
    <cellStyle name="Buena 2 4 4 5" xfId="11620" xr:uid="{B8753E52-13E5-4089-B085-7E35AFE980B8}"/>
    <cellStyle name="Buena 2 4 5" xfId="11621" xr:uid="{A2708029-681C-4A91-A2FB-50BF50AB1F2C}"/>
    <cellStyle name="Buena 2 4 6" xfId="11622" xr:uid="{BEB392FA-5176-4630-A0E7-2948BCEABCC1}"/>
    <cellStyle name="Buena 2 4 7" xfId="11623" xr:uid="{2455D41E-8497-425F-BBE2-4C9E91700C78}"/>
    <cellStyle name="Buena 2 4 8" xfId="11624" xr:uid="{F2F25D52-8F95-40E7-8F7C-D9D7E55E2458}"/>
    <cellStyle name="Buena 2 4 9" xfId="11625" xr:uid="{21DF47CC-F0E2-4B9E-8804-80FBC37D2ED5}"/>
    <cellStyle name="Buena 2 5" xfId="11626" xr:uid="{71F27A73-3838-4A0A-ACA5-2D75C4CF2C90}"/>
    <cellStyle name="Buena 2 6" xfId="11627" xr:uid="{D6164220-196D-477D-9329-4B7FF8975A5C}"/>
    <cellStyle name="Buena 2 7" xfId="11628" xr:uid="{DBA55A77-960E-4449-8668-FB005C517AAD}"/>
    <cellStyle name="Buena 2 8" xfId="11629" xr:uid="{B9C0F0A3-5335-4595-84AB-E3ABD2E69062}"/>
    <cellStyle name="Buena 2 8 2" xfId="11630" xr:uid="{BD3D993E-BB86-41B4-89C9-FE27B7D48B3B}"/>
    <cellStyle name="Buena 2 9" xfId="11631" xr:uid="{97F78066-26A9-4548-B34C-9005AE2DACF9}"/>
    <cellStyle name="Buena 3" xfId="11632" xr:uid="{96610798-1660-42A2-A62B-732151075473}"/>
    <cellStyle name="Buena 3 2" xfId="11633" xr:uid="{DD725DDD-89A3-446D-B7CA-D738B3DEB8A0}"/>
    <cellStyle name="Buena 3 3" xfId="11634" xr:uid="{2C670102-6774-4870-953E-36C3F371CD5B}"/>
    <cellStyle name="Buena 4" xfId="11635" xr:uid="{2AA01A92-551F-4BE1-B193-D2A0643E0A97}"/>
    <cellStyle name="Bueno" xfId="12" builtinId="26" customBuiltin="1"/>
    <cellStyle name="Ç¥ÁØ_¿¬°£´©°è¿¹»ó" xfId="11636" xr:uid="{61587D3E-ED35-48C0-A310-6F944A89339A}"/>
    <cellStyle name="Calc Currency (0)" xfId="11637" xr:uid="{FC658FE2-D993-4EF0-A17C-866BC80B621F}"/>
    <cellStyle name="Calc Currency (0) 2" xfId="43493" xr:uid="{B35FE7ED-7128-4E3E-9385-D31B93EC4CAB}"/>
    <cellStyle name="Cálculo" xfId="16" builtinId="22" customBuiltin="1"/>
    <cellStyle name="Cálculo 2" xfId="11638" xr:uid="{EA5C2207-7266-4D55-B09D-1DF21D023A90}"/>
    <cellStyle name="Cálculo 2 10" xfId="11639" xr:uid="{644CB204-AA02-487B-B6D8-1A5F6B926D6E}"/>
    <cellStyle name="Cálculo 2 10 10" xfId="11640" xr:uid="{64277DE8-1E67-4A3A-A6B9-78D1539DD0DD}"/>
    <cellStyle name="Cálculo 2 10 11" xfId="11641" xr:uid="{985FFAEE-B7AF-4EB9-AC4C-B588DD20F1CE}"/>
    <cellStyle name="Cálculo 2 10 12" xfId="11642" xr:uid="{97A0848C-5DD6-49E7-B837-A1E0F90FD49E}"/>
    <cellStyle name="Cálculo 2 10 2" xfId="11643" xr:uid="{95C1E51E-7BA9-43E2-89FD-B7609E58B675}"/>
    <cellStyle name="Cálculo 2 10 2 10" xfId="11644" xr:uid="{FC7A6966-F8FB-473F-94B1-F9C380A74C3F}"/>
    <cellStyle name="Cálculo 2 10 2 11" xfId="11645" xr:uid="{B541BF28-8A71-4BA4-8633-0597741B73DA}"/>
    <cellStyle name="Cálculo 2 10 2 12" xfId="11646" xr:uid="{5AB4698E-A009-4710-B6FF-30E097DB58C0}"/>
    <cellStyle name="Cálculo 2 10 2 2" xfId="11647" xr:uid="{1B56C032-2FB0-48F0-AB20-E3E1E13A0161}"/>
    <cellStyle name="Cálculo 2 10 2 2 2" xfId="11648" xr:uid="{771A569C-F120-49B1-8F60-4D215969D9DA}"/>
    <cellStyle name="Cálculo 2 10 2 2 2 2" xfId="11649" xr:uid="{3DBF32D1-0549-4DED-AEE7-D3A65262B518}"/>
    <cellStyle name="Cálculo 2 10 2 2 2 3" xfId="11650" xr:uid="{38312FC6-2366-4D56-BC14-2FF4F5C6181E}"/>
    <cellStyle name="Cálculo 2 10 2 2 2 4" xfId="11651" xr:uid="{4E484281-34DA-4F1E-843C-3EFA92C71609}"/>
    <cellStyle name="Cálculo 2 10 2 2 2 5" xfId="11652" xr:uid="{487FBE23-8AFE-4C03-A74A-A41FD9D34EB6}"/>
    <cellStyle name="Cálculo 2 10 2 2 3" xfId="11653" xr:uid="{66C26191-CCF6-4494-A4F2-C4F880D4184C}"/>
    <cellStyle name="Cálculo 2 10 2 2 4" xfId="11654" xr:uid="{59D0F956-59E0-4175-9B95-40BAC84BC8BC}"/>
    <cellStyle name="Cálculo 2 10 2 2 5" xfId="11655" xr:uid="{4965B606-325E-4138-8962-B68E33F022AE}"/>
    <cellStyle name="Cálculo 2 10 2 2 6" xfId="11656" xr:uid="{AEB1D1A7-78EC-47E4-A0A6-CDD4DA1A4E6D}"/>
    <cellStyle name="Cálculo 2 10 2 3" xfId="11657" xr:uid="{35E01E43-4729-42B3-BD05-1ADA22658342}"/>
    <cellStyle name="Cálculo 2 10 2 3 2" xfId="11658" xr:uid="{0151FD86-3272-4D22-A9F3-DE91FC6E9139}"/>
    <cellStyle name="Cálculo 2 10 2 3 2 2" xfId="11659" xr:uid="{3CC4E8B9-5606-4CEB-836C-EC255E2C1BE7}"/>
    <cellStyle name="Cálculo 2 10 2 3 2 3" xfId="11660" xr:uid="{F4BE7BA9-6862-40B7-BFA7-53D89C34FD11}"/>
    <cellStyle name="Cálculo 2 10 2 3 2 4" xfId="11661" xr:uid="{F25709C7-F59B-4CB0-B41A-5B7B6B96964A}"/>
    <cellStyle name="Cálculo 2 10 2 3 2 5" xfId="11662" xr:uid="{D8412505-B7FD-470E-ACC0-A93EC539A2B9}"/>
    <cellStyle name="Cálculo 2 10 2 3 3" xfId="11663" xr:uid="{8C80CF84-441B-492B-B2AA-BAE6A229AC2F}"/>
    <cellStyle name="Cálculo 2 10 2 3 4" xfId="11664" xr:uid="{2A95563C-E041-44B5-9487-0B07D6A6266A}"/>
    <cellStyle name="Cálculo 2 10 2 3 5" xfId="11665" xr:uid="{9CBD706C-F844-4555-863E-1ABBCD1A1662}"/>
    <cellStyle name="Cálculo 2 10 2 3 6" xfId="11666" xr:uid="{4CFB85C6-804D-4E4C-BD88-EDDE1F478D7D}"/>
    <cellStyle name="Cálculo 2 10 2 4" xfId="11667" xr:uid="{3FC0CBB9-5EF4-4E87-8685-AA92EBBFA698}"/>
    <cellStyle name="Cálculo 2 10 2 4 2" xfId="11668" xr:uid="{7F383DE1-1123-481D-923E-E86B96FDCA95}"/>
    <cellStyle name="Cálculo 2 10 2 4 2 2" xfId="11669" xr:uid="{62E30653-26E6-4769-8578-14F1E6B2A153}"/>
    <cellStyle name="Cálculo 2 10 2 4 2 3" xfId="11670" xr:uid="{021463B9-91BC-4A03-A17B-993E897BA5CD}"/>
    <cellStyle name="Cálculo 2 10 2 4 2 4" xfId="11671" xr:uid="{CF41F059-A8DA-4843-8E83-57F0D7DAE1CB}"/>
    <cellStyle name="Cálculo 2 10 2 4 2 5" xfId="11672" xr:uid="{B4F640BA-1431-4D07-A2B3-334730D326FB}"/>
    <cellStyle name="Cálculo 2 10 2 4 3" xfId="11673" xr:uid="{29CAD44D-1EAE-43B5-96D7-98DB6E9A4520}"/>
    <cellStyle name="Cálculo 2 10 2 4 4" xfId="11674" xr:uid="{3C08447D-A417-4843-AD3A-AC7A32D3EC7D}"/>
    <cellStyle name="Cálculo 2 10 2 4 5" xfId="11675" xr:uid="{F7CDD1C2-FFAA-467B-ABCD-C7852A13CC30}"/>
    <cellStyle name="Cálculo 2 10 2 4 6" xfId="11676" xr:uid="{7707A370-22AE-41F4-B05B-AD0C335AAC04}"/>
    <cellStyle name="Cálculo 2 10 2 5" xfId="11677" xr:uid="{99D627B1-2256-47CF-9F91-B553E5022CA5}"/>
    <cellStyle name="Cálculo 2 10 2 5 2" xfId="11678" xr:uid="{81C3BCF8-4F15-40A4-BC71-340E8DBE24C4}"/>
    <cellStyle name="Cálculo 2 10 2 5 3" xfId="11679" xr:uid="{3BE9F294-D8BB-4FA6-969E-0A5E7F0C117B}"/>
    <cellStyle name="Cálculo 2 10 2 5 4" xfId="11680" xr:uid="{7D32140E-3616-46F8-972E-9F8F7A0DA742}"/>
    <cellStyle name="Cálculo 2 10 2 5 5" xfId="11681" xr:uid="{63E7C522-D251-4F8B-A0E4-5312993268BA}"/>
    <cellStyle name="Cálculo 2 10 2 6" xfId="11682" xr:uid="{8DBDFBF9-FB29-4B05-8411-2B8BE73B3616}"/>
    <cellStyle name="Cálculo 2 10 2 7" xfId="11683" xr:uid="{47516C12-74E5-4029-B3AE-F6ADB485B32C}"/>
    <cellStyle name="Cálculo 2 10 2 8" xfId="11684" xr:uid="{170273E1-8633-4EE0-9BA9-954E5EBAE37B}"/>
    <cellStyle name="Cálculo 2 10 2 9" xfId="11685" xr:uid="{D6C1627A-ADCD-46A8-AFB4-EBA052BEFEEA}"/>
    <cellStyle name="Cálculo 2 10 3" xfId="11686" xr:uid="{6F9B7ED1-5742-454D-BE65-9DF43FCE7FF8}"/>
    <cellStyle name="Cálculo 2 10 3 2" xfId="11687" xr:uid="{8AA75498-F7F1-4A90-90DB-C3917AD44360}"/>
    <cellStyle name="Cálculo 2 10 3 2 2" xfId="11688" xr:uid="{D198D44D-A50C-44C3-8473-57010E2BE692}"/>
    <cellStyle name="Cálculo 2 10 3 2 3" xfId="11689" xr:uid="{495B678E-7A87-426E-8A4F-54BB8CD6595B}"/>
    <cellStyle name="Cálculo 2 10 3 2 4" xfId="11690" xr:uid="{E20B1364-A3DA-4AE6-88E3-BF4E39716803}"/>
    <cellStyle name="Cálculo 2 10 3 2 5" xfId="11691" xr:uid="{E68E60A7-CD30-4041-8A75-670069639E31}"/>
    <cellStyle name="Cálculo 2 10 3 3" xfId="11692" xr:uid="{80828E5C-5601-4F05-8FD5-4EE743D719BD}"/>
    <cellStyle name="Cálculo 2 10 3 4" xfId="11693" xr:uid="{E6BE62E2-11C1-4F56-93A1-4CB5C115A328}"/>
    <cellStyle name="Cálculo 2 10 3 5" xfId="11694" xr:uid="{9D6D1228-F59E-4D43-A587-A063B1F9FA8F}"/>
    <cellStyle name="Cálculo 2 10 3 6" xfId="11695" xr:uid="{3E2D41C2-1339-4718-B174-80F1613DFD83}"/>
    <cellStyle name="Cálculo 2 10 4" xfId="11696" xr:uid="{0CBF427E-0EDF-4105-A73F-9775E6D4B193}"/>
    <cellStyle name="Cálculo 2 10 4 2" xfId="11697" xr:uid="{2A4AE450-DB36-4571-B298-F398094C87B2}"/>
    <cellStyle name="Cálculo 2 10 4 2 2" xfId="11698" xr:uid="{DBE2BE55-30E0-4D92-AE09-CC90067C67B6}"/>
    <cellStyle name="Cálculo 2 10 4 2 3" xfId="11699" xr:uid="{AC4FA2F4-0284-44AA-B8A9-895EBC5F853C}"/>
    <cellStyle name="Cálculo 2 10 4 2 4" xfId="11700" xr:uid="{A0271D7D-A005-462D-BC61-54012EF1B09F}"/>
    <cellStyle name="Cálculo 2 10 4 2 5" xfId="11701" xr:uid="{3F945AC4-5B3D-46C1-A3AF-7354B674CAF8}"/>
    <cellStyle name="Cálculo 2 10 4 3" xfId="11702" xr:uid="{22E0A3F0-6237-47E9-9B38-D1578775F293}"/>
    <cellStyle name="Cálculo 2 10 4 4" xfId="11703" xr:uid="{1278FB9B-4CBF-4352-BC83-FFA746A0E537}"/>
    <cellStyle name="Cálculo 2 10 4 5" xfId="11704" xr:uid="{3B522F9A-EF9D-4936-B41E-8918106B3F33}"/>
    <cellStyle name="Cálculo 2 10 4 6" xfId="11705" xr:uid="{A038B6CC-C871-442A-85AF-6EFE603A8706}"/>
    <cellStyle name="Cálculo 2 10 5" xfId="11706" xr:uid="{701255D7-98DE-4461-81CA-417E0D9ADDF1}"/>
    <cellStyle name="Cálculo 2 10 5 2" xfId="11707" xr:uid="{BEE55519-DA99-4543-AA5B-E29BAEDC4E68}"/>
    <cellStyle name="Cálculo 2 10 5 3" xfId="11708" xr:uid="{1170ED16-0C28-415A-B63A-1891FEE5F088}"/>
    <cellStyle name="Cálculo 2 10 5 4" xfId="11709" xr:uid="{F9E9B4D8-5C70-4E0A-90C8-35DC94050451}"/>
    <cellStyle name="Cálculo 2 10 5 5" xfId="11710" xr:uid="{ADE89548-2BF1-49C9-BBC4-1ADC2584E2A8}"/>
    <cellStyle name="Cálculo 2 10 6" xfId="11711" xr:uid="{B290AA04-31C1-4255-8882-B9D7EB4E623A}"/>
    <cellStyle name="Cálculo 2 10 7" xfId="11712" xr:uid="{1B5A603F-ACEE-487E-83E0-E77DC58A579E}"/>
    <cellStyle name="Cálculo 2 10 8" xfId="11713" xr:uid="{79101C3C-7566-48A0-90DC-B179695C6D5F}"/>
    <cellStyle name="Cálculo 2 10 9" xfId="11714" xr:uid="{6C1C425D-379A-48DE-9162-F831A80C17E5}"/>
    <cellStyle name="Cálculo 2 11" xfId="11715" xr:uid="{9389C292-76E4-4F93-894A-25E285CD0A09}"/>
    <cellStyle name="Cálculo 2 11 2" xfId="11716" xr:uid="{1ACF3D27-C7FD-4A54-8024-D972D43C2EAE}"/>
    <cellStyle name="Cálculo 2 11 2 2" xfId="11717" xr:uid="{B3BAEB8A-BAF0-4258-AB85-07B112BD6526}"/>
    <cellStyle name="Cálculo 2 11 2 3" xfId="11718" xr:uid="{E93034BE-A92D-4476-896E-E1374926D9F0}"/>
    <cellStyle name="Cálculo 2 11 2 4" xfId="11719" xr:uid="{0870B3AF-0CE2-49D1-9427-AAEA22B2913F}"/>
    <cellStyle name="Cálculo 2 11 2 5" xfId="11720" xr:uid="{5F7C0704-8239-49CF-A5AF-AEEFD0E96C1D}"/>
    <cellStyle name="Cálculo 2 11 3" xfId="11721" xr:uid="{53866F24-2ED3-4146-B285-7F9DD9721DC1}"/>
    <cellStyle name="Cálculo 2 11 4" xfId="11722" xr:uid="{643E254F-17DE-4E9F-BF34-E16DF2D29491}"/>
    <cellStyle name="Cálculo 2 11 5" xfId="11723" xr:uid="{1EA5D16F-5417-473A-A02E-8DE44EBAB498}"/>
    <cellStyle name="Cálculo 2 11 6" xfId="11724" xr:uid="{0429F2E1-3466-4D99-9415-7A367B8BDD33}"/>
    <cellStyle name="Cálculo 2 12" xfId="11725" xr:uid="{43251EDF-F039-462D-86A9-5C8A02E635C7}"/>
    <cellStyle name="Cálculo 2 12 2" xfId="11726" xr:uid="{D6665DB7-E552-49C9-8778-048FAF70F4C6}"/>
    <cellStyle name="Cálculo 2 12 2 2" xfId="11727" xr:uid="{4E4B3235-D9DC-4BF3-93E3-6EC92FBBEB96}"/>
    <cellStyle name="Cálculo 2 12 2 3" xfId="11728" xr:uid="{3AF44E60-1594-4429-8342-045718A1DE7F}"/>
    <cellStyle name="Cálculo 2 12 2 4" xfId="11729" xr:uid="{A291FE7F-6EDC-4032-B365-6545EF142A7F}"/>
    <cellStyle name="Cálculo 2 12 2 5" xfId="11730" xr:uid="{8C94CE10-F0E5-48BD-B14E-5F554B39B4E2}"/>
    <cellStyle name="Cálculo 2 12 3" xfId="11731" xr:uid="{6D3B94C6-F81F-4C6B-AA8F-C25802926CAB}"/>
    <cellStyle name="Cálculo 2 12 4" xfId="11732" xr:uid="{C007B4F8-C2D0-442E-94B8-C4AFC2F6B613}"/>
    <cellStyle name="Cálculo 2 12 5" xfId="11733" xr:uid="{13E1DBD6-987A-4659-B960-033ECA3AF67C}"/>
    <cellStyle name="Cálculo 2 12 6" xfId="11734" xr:uid="{8A35E1DF-77D9-4B99-90F5-A4AE6327FC24}"/>
    <cellStyle name="Cálculo 2 13" xfId="11735" xr:uid="{2C2CA967-437B-47EA-9F91-80751F63B668}"/>
    <cellStyle name="Cálculo 2 13 2" xfId="11736" xr:uid="{CECE6676-98C0-4003-B595-B64BC8FA9A01}"/>
    <cellStyle name="Cálculo 2 13 2 2" xfId="11737" xr:uid="{A883695B-4087-4E58-834A-7F29868845CC}"/>
    <cellStyle name="Cálculo 2 13 2 3" xfId="11738" xr:uid="{26638147-41C2-46D6-805C-71511B8EB0DA}"/>
    <cellStyle name="Cálculo 2 13 2 4" xfId="11739" xr:uid="{190AAC3E-6DB5-491F-A5AB-CD38A1153DF7}"/>
    <cellStyle name="Cálculo 2 13 2 5" xfId="11740" xr:uid="{5862A6F9-D064-4172-9252-36EBE06B4B22}"/>
    <cellStyle name="Cálculo 2 13 3" xfId="11741" xr:uid="{DA56BE59-8DF8-460B-B613-83C981F6C4BE}"/>
    <cellStyle name="Cálculo 2 13 4" xfId="11742" xr:uid="{FD436FAA-C4AF-45CE-8EC4-3F5E783065C5}"/>
    <cellStyle name="Cálculo 2 13 5" xfId="11743" xr:uid="{D41F7CA3-5339-4CAF-9F7D-BA3BFCDC93B0}"/>
    <cellStyle name="Cálculo 2 13 6" xfId="11744" xr:uid="{7AC15004-58B6-41D3-8525-312591A882FF}"/>
    <cellStyle name="Cálculo 2 14" xfId="11745" xr:uid="{99AC7CB7-3931-4D18-8FC9-BA1AD70C0D83}"/>
    <cellStyle name="Cálculo 2 14 2" xfId="11746" xr:uid="{40B2DE0B-FA5E-4A94-AF41-35EB5EC331CD}"/>
    <cellStyle name="Cálculo 2 14 3" xfId="11747" xr:uid="{71D74051-2958-4B5F-9C36-40C7117DACCA}"/>
    <cellStyle name="Cálculo 2 14 4" xfId="11748" xr:uid="{1616A053-D6EA-4920-B87C-24783BCDDEA0}"/>
    <cellStyle name="Cálculo 2 14 5" xfId="11749" xr:uid="{36C08533-DA04-4A07-833E-4B6A758F12FB}"/>
    <cellStyle name="Cálculo 2 15" xfId="11750" xr:uid="{18155B14-27C8-429A-AACD-595E6FB9CDB7}"/>
    <cellStyle name="Cálculo 2 16" xfId="11751" xr:uid="{C1F045C2-99D4-42D8-B881-C00B77AF87D0}"/>
    <cellStyle name="Cálculo 2 17" xfId="11752" xr:uid="{159D1B65-E7B0-46F9-B250-EC1AF42BD387}"/>
    <cellStyle name="Cálculo 2 18" xfId="11753" xr:uid="{B4B75412-23C3-4BE3-92B6-C4CA0C68F8C1}"/>
    <cellStyle name="Cálculo 2 19" xfId="11754" xr:uid="{F768B785-B1F1-4BF4-A74B-516795574503}"/>
    <cellStyle name="Cálculo 2 2" xfId="11755" xr:uid="{F26217F9-ED05-4303-B516-88B5BF718018}"/>
    <cellStyle name="Cálculo 2 2 10" xfId="11756" xr:uid="{E970F0C6-1C20-4715-B7C4-DCF806DCCF68}"/>
    <cellStyle name="Cálculo 2 2 10 10" xfId="11757" xr:uid="{5F1BAEA4-17BE-4CF1-9EE8-6151C1F56AD3}"/>
    <cellStyle name="Cálculo 2 2 10 11" xfId="11758" xr:uid="{0205F2B2-15A5-4B74-8156-A00FD0329484}"/>
    <cellStyle name="Cálculo 2 2 10 12" xfId="11759" xr:uid="{BAA8804C-9978-49D7-823A-78AA1B73AA39}"/>
    <cellStyle name="Cálculo 2 2 10 2" xfId="11760" xr:uid="{00F77D00-E9D8-48BF-B0D1-260635E96AB0}"/>
    <cellStyle name="Cálculo 2 2 10 2 10" xfId="11761" xr:uid="{76EDC333-8FD7-4A00-9BF1-86681EDB22E1}"/>
    <cellStyle name="Cálculo 2 2 10 2 11" xfId="11762" xr:uid="{165C2646-70B5-4B4D-8F25-B673E13FCA95}"/>
    <cellStyle name="Cálculo 2 2 10 2 12" xfId="11763" xr:uid="{8B9FB09F-212E-4CFB-8B7D-D0D0B0EBF0E0}"/>
    <cellStyle name="Cálculo 2 2 10 2 2" xfId="11764" xr:uid="{0FC98014-2586-42E5-9442-5B6C73FD4E9A}"/>
    <cellStyle name="Cálculo 2 2 10 2 2 2" xfId="11765" xr:uid="{996281F6-3FA2-4DA6-8BB7-53AECBA8F055}"/>
    <cellStyle name="Cálculo 2 2 10 2 2 2 2" xfId="11766" xr:uid="{2F89C3F1-32E2-4197-9B3E-3D275872CDB6}"/>
    <cellStyle name="Cálculo 2 2 10 2 2 2 3" xfId="11767" xr:uid="{23571B44-FC45-495F-8F7E-F549B04CC507}"/>
    <cellStyle name="Cálculo 2 2 10 2 2 2 4" xfId="11768" xr:uid="{D9691656-C8DF-43CC-A721-60EA03DCED67}"/>
    <cellStyle name="Cálculo 2 2 10 2 2 2 5" xfId="11769" xr:uid="{4821CF20-EB97-4738-B4A7-E0F21E639201}"/>
    <cellStyle name="Cálculo 2 2 10 2 2 3" xfId="11770" xr:uid="{69BC3B10-7753-437B-B719-13678AC7D146}"/>
    <cellStyle name="Cálculo 2 2 10 2 2 4" xfId="11771" xr:uid="{BD8E3F81-1EF7-495A-9EE8-3FA57E28C5D2}"/>
    <cellStyle name="Cálculo 2 2 10 2 2 5" xfId="11772" xr:uid="{E700E022-5046-4F57-B50C-4F9DB8DAC218}"/>
    <cellStyle name="Cálculo 2 2 10 2 2 6" xfId="11773" xr:uid="{EFED8759-393B-48A4-92FC-391105C13CE3}"/>
    <cellStyle name="Cálculo 2 2 10 2 3" xfId="11774" xr:uid="{6E278974-643A-4A32-9DF0-1987AFC733F0}"/>
    <cellStyle name="Cálculo 2 2 10 2 3 2" xfId="11775" xr:uid="{E4B3B286-630F-4FBB-A213-2450D8D22827}"/>
    <cellStyle name="Cálculo 2 2 10 2 3 2 2" xfId="11776" xr:uid="{3A7DE91E-198D-44C6-BF78-93E9668E7396}"/>
    <cellStyle name="Cálculo 2 2 10 2 3 2 3" xfId="11777" xr:uid="{7D68880F-83C6-4EC6-A0D8-7D14F5A2F3C5}"/>
    <cellStyle name="Cálculo 2 2 10 2 3 2 4" xfId="11778" xr:uid="{A799DFC5-EC02-45AA-B36E-11F4EBCA1453}"/>
    <cellStyle name="Cálculo 2 2 10 2 3 2 5" xfId="11779" xr:uid="{3CA2CB00-9DE1-46F5-8C5A-75AF4B9DE759}"/>
    <cellStyle name="Cálculo 2 2 10 2 3 3" xfId="11780" xr:uid="{A4B141B7-2FE6-4061-99AF-D20D0BFB5A1F}"/>
    <cellStyle name="Cálculo 2 2 10 2 3 4" xfId="11781" xr:uid="{F9C1422E-A89C-4309-A63F-B8CEA942013E}"/>
    <cellStyle name="Cálculo 2 2 10 2 3 5" xfId="11782" xr:uid="{FAEEB109-EEAE-45A7-BDF4-D72AC9C3DAE4}"/>
    <cellStyle name="Cálculo 2 2 10 2 3 6" xfId="11783" xr:uid="{A7680DDD-DA20-45EB-AD05-93F5F7E134FF}"/>
    <cellStyle name="Cálculo 2 2 10 2 4" xfId="11784" xr:uid="{7270D78C-9D01-426B-9410-450CF31C8F36}"/>
    <cellStyle name="Cálculo 2 2 10 2 4 2" xfId="11785" xr:uid="{22BF0DB2-B1B4-49E4-AA29-C459BB372723}"/>
    <cellStyle name="Cálculo 2 2 10 2 4 2 2" xfId="11786" xr:uid="{9B8EEE23-A30D-4618-AF22-2314EEB8578F}"/>
    <cellStyle name="Cálculo 2 2 10 2 4 2 3" xfId="11787" xr:uid="{A6086DD7-8B07-4B29-B78A-0D2EC5C00180}"/>
    <cellStyle name="Cálculo 2 2 10 2 4 2 4" xfId="11788" xr:uid="{9CC0DE49-999A-422F-A414-7EB4503CEBF0}"/>
    <cellStyle name="Cálculo 2 2 10 2 4 2 5" xfId="11789" xr:uid="{5BEECA21-523D-4EF4-9A09-FF4FD0D71432}"/>
    <cellStyle name="Cálculo 2 2 10 2 4 3" xfId="11790" xr:uid="{633E59FE-817C-4869-BD71-7865389B11FB}"/>
    <cellStyle name="Cálculo 2 2 10 2 4 4" xfId="11791" xr:uid="{07F186DC-3202-4B6A-8039-7AC3741EC942}"/>
    <cellStyle name="Cálculo 2 2 10 2 4 5" xfId="11792" xr:uid="{EA629090-72EE-4EC6-8670-836BF06CEFFF}"/>
    <cellStyle name="Cálculo 2 2 10 2 4 6" xfId="11793" xr:uid="{17E771A4-7926-47AC-B24D-884BDF9434A2}"/>
    <cellStyle name="Cálculo 2 2 10 2 5" xfId="11794" xr:uid="{BE94D1C1-1D13-47FF-8AFA-564781C2204B}"/>
    <cellStyle name="Cálculo 2 2 10 2 5 2" xfId="11795" xr:uid="{C2280E8A-E0D1-4EBB-B7F2-17A960ED65FA}"/>
    <cellStyle name="Cálculo 2 2 10 2 5 3" xfId="11796" xr:uid="{B79F75C0-0987-45F6-B419-30DD553CDA8C}"/>
    <cellStyle name="Cálculo 2 2 10 2 5 4" xfId="11797" xr:uid="{02B9FBFA-9D72-42FD-8642-25225F028A05}"/>
    <cellStyle name="Cálculo 2 2 10 2 5 5" xfId="11798" xr:uid="{7A9B2BA8-5975-411E-9F76-DF27FB84DDEF}"/>
    <cellStyle name="Cálculo 2 2 10 2 6" xfId="11799" xr:uid="{EB75E2A5-9D1E-4C60-8D67-E26E677DF506}"/>
    <cellStyle name="Cálculo 2 2 10 2 7" xfId="11800" xr:uid="{B62481C4-1A28-4C7B-832A-457314C1CD5F}"/>
    <cellStyle name="Cálculo 2 2 10 2 8" xfId="11801" xr:uid="{D88C0453-7641-48ED-8169-D090523A5AAD}"/>
    <cellStyle name="Cálculo 2 2 10 2 9" xfId="11802" xr:uid="{3BBE7206-AAB9-4E84-BCC4-0CFC9AC9937A}"/>
    <cellStyle name="Cálculo 2 2 10 3" xfId="11803" xr:uid="{E6D063FD-19C1-4F07-8EF3-277861689B38}"/>
    <cellStyle name="Cálculo 2 2 10 3 2" xfId="11804" xr:uid="{7CAE63D6-9C7B-4D69-A76A-B8AFA4294582}"/>
    <cellStyle name="Cálculo 2 2 10 3 2 2" xfId="11805" xr:uid="{FD7413C9-14A7-482B-BADF-0354465C258D}"/>
    <cellStyle name="Cálculo 2 2 10 3 2 3" xfId="11806" xr:uid="{E85B14AA-81D7-49F1-95B9-584DEA54C83D}"/>
    <cellStyle name="Cálculo 2 2 10 3 2 4" xfId="11807" xr:uid="{E235B499-49BD-4777-8A8F-CC83FE939652}"/>
    <cellStyle name="Cálculo 2 2 10 3 2 5" xfId="11808" xr:uid="{9D1FB2F4-CB5B-4B29-8839-EBC426BA029F}"/>
    <cellStyle name="Cálculo 2 2 10 3 3" xfId="11809" xr:uid="{9EBAB841-9C85-447C-874A-6BE917136BB0}"/>
    <cellStyle name="Cálculo 2 2 10 3 4" xfId="11810" xr:uid="{0AB81FD8-42E7-41B1-A910-31F58EF6915D}"/>
    <cellStyle name="Cálculo 2 2 10 3 5" xfId="11811" xr:uid="{0478F872-CE80-45FA-877E-DAF98BFDC46B}"/>
    <cellStyle name="Cálculo 2 2 10 3 6" xfId="11812" xr:uid="{F27DC09C-429E-43BC-8069-14871D255E6B}"/>
    <cellStyle name="Cálculo 2 2 10 4" xfId="11813" xr:uid="{F997A373-C5DB-41F5-998B-D4A931D5ED1F}"/>
    <cellStyle name="Cálculo 2 2 10 4 2" xfId="11814" xr:uid="{FAEA3F1C-F316-46D6-8166-C4CC9CA68D45}"/>
    <cellStyle name="Cálculo 2 2 10 4 2 2" xfId="11815" xr:uid="{06CDA932-53A2-4584-A0D8-AC0E0EE4F92B}"/>
    <cellStyle name="Cálculo 2 2 10 4 2 3" xfId="11816" xr:uid="{F23317AB-789E-4FE0-93CE-0A457B078050}"/>
    <cellStyle name="Cálculo 2 2 10 4 2 4" xfId="11817" xr:uid="{5C51AE01-D089-46E4-A6E3-379CC459FEEA}"/>
    <cellStyle name="Cálculo 2 2 10 4 2 5" xfId="11818" xr:uid="{126FB9C1-534F-426D-8AD6-257D9B2A2212}"/>
    <cellStyle name="Cálculo 2 2 10 4 3" xfId="11819" xr:uid="{F30F53D9-8290-4C4A-981C-3B0E2FFBC00A}"/>
    <cellStyle name="Cálculo 2 2 10 4 4" xfId="11820" xr:uid="{B8937A40-D586-4429-A537-B090FE52B52F}"/>
    <cellStyle name="Cálculo 2 2 10 4 5" xfId="11821" xr:uid="{958176C1-29E3-418E-BE78-918D9D18E5EF}"/>
    <cellStyle name="Cálculo 2 2 10 4 6" xfId="11822" xr:uid="{F8426E4F-A2DB-40FD-B85B-4E3818DF42EF}"/>
    <cellStyle name="Cálculo 2 2 10 5" xfId="11823" xr:uid="{15F3A2B0-9D48-4D23-9E5B-896197FA6F26}"/>
    <cellStyle name="Cálculo 2 2 10 5 2" xfId="11824" xr:uid="{88F864A1-CDE2-4847-9E0C-548ACBBB24E5}"/>
    <cellStyle name="Cálculo 2 2 10 5 3" xfId="11825" xr:uid="{7F6B0C19-52D5-406F-94FE-35EE9D7FF805}"/>
    <cellStyle name="Cálculo 2 2 10 5 4" xfId="11826" xr:uid="{FD2110DF-B596-400C-9061-AC2370C519C7}"/>
    <cellStyle name="Cálculo 2 2 10 5 5" xfId="11827" xr:uid="{332D2A7F-D13F-44D2-BD0B-980711C69983}"/>
    <cellStyle name="Cálculo 2 2 10 6" xfId="11828" xr:uid="{DC8DDB5A-3C31-49F8-A01B-8883239EDBAA}"/>
    <cellStyle name="Cálculo 2 2 10 7" xfId="11829" xr:uid="{BED1790F-22B3-4E25-A2AA-66302ABAE991}"/>
    <cellStyle name="Cálculo 2 2 10 8" xfId="11830" xr:uid="{0490990B-9BD2-4B35-B439-06107EB56DEA}"/>
    <cellStyle name="Cálculo 2 2 10 9" xfId="11831" xr:uid="{F55F34AD-BFF4-4E56-BCA2-5F649A3E8E0D}"/>
    <cellStyle name="Cálculo 2 2 11" xfId="11832" xr:uid="{F2D0B096-9F6A-4B4D-8926-CB1DF34C57C7}"/>
    <cellStyle name="Cálculo 2 2 11 2" xfId="11833" xr:uid="{9D6CE71C-1100-44A3-8AA6-A0D29B7E5944}"/>
    <cellStyle name="Cálculo 2 2 11 2 2" xfId="11834" xr:uid="{7688E30D-0C8A-4C39-AE64-4562069A0100}"/>
    <cellStyle name="Cálculo 2 2 11 2 3" xfId="11835" xr:uid="{7F8D8243-19D0-4149-89E2-AD17A3E147A2}"/>
    <cellStyle name="Cálculo 2 2 11 2 4" xfId="11836" xr:uid="{F49595DF-3BBF-40E4-84F1-A5F8BAE7D3BF}"/>
    <cellStyle name="Cálculo 2 2 11 2 5" xfId="11837" xr:uid="{7F0731FA-AC99-4751-B3B2-99338FFE706E}"/>
    <cellStyle name="Cálculo 2 2 11 3" xfId="11838" xr:uid="{7E3653AF-5EFC-4FDE-BE2B-283A96EA08D6}"/>
    <cellStyle name="Cálculo 2 2 11 4" xfId="11839" xr:uid="{28362707-26D8-4003-B7D6-C0D6D471C7BC}"/>
    <cellStyle name="Cálculo 2 2 11 5" xfId="11840" xr:uid="{C60414A9-632E-4C1F-893F-BA725C702879}"/>
    <cellStyle name="Cálculo 2 2 11 6" xfId="11841" xr:uid="{078D9536-363E-4321-A067-AFBD0BA2F017}"/>
    <cellStyle name="Cálculo 2 2 12" xfId="11842" xr:uid="{BA649372-7E9C-46A1-A655-87D35841B311}"/>
    <cellStyle name="Cálculo 2 2 12 2" xfId="11843" xr:uid="{4F5A0BD3-020B-45A2-B244-29CF0D0801E4}"/>
    <cellStyle name="Cálculo 2 2 12 2 2" xfId="11844" xr:uid="{7EC84BF4-453F-479E-A0F0-200A50E9AF06}"/>
    <cellStyle name="Cálculo 2 2 12 2 3" xfId="11845" xr:uid="{98A3D5A3-D1FB-412F-A6C0-F2CF5B2C3818}"/>
    <cellStyle name="Cálculo 2 2 12 2 4" xfId="11846" xr:uid="{FE512F68-442E-418F-B2B5-F78B02EA9504}"/>
    <cellStyle name="Cálculo 2 2 12 2 5" xfId="11847" xr:uid="{9DCAD6B1-4171-4C77-95EC-A380B84F1109}"/>
    <cellStyle name="Cálculo 2 2 12 3" xfId="11848" xr:uid="{C41B668B-5F9F-4731-A376-714C94710F18}"/>
    <cellStyle name="Cálculo 2 2 12 4" xfId="11849" xr:uid="{E6B4C5E8-1163-4D5D-A415-28B311899FFC}"/>
    <cellStyle name="Cálculo 2 2 12 5" xfId="11850" xr:uid="{2F157455-9518-498D-BC51-1F26E1498F9D}"/>
    <cellStyle name="Cálculo 2 2 12 6" xfId="11851" xr:uid="{95548F00-218E-40BD-8F69-049A2AD2EF4A}"/>
    <cellStyle name="Cálculo 2 2 13" xfId="11852" xr:uid="{08C651DE-799E-4977-9D15-EFDE6EEDD7CC}"/>
    <cellStyle name="Cálculo 2 2 13 2" xfId="11853" xr:uid="{0968A0E7-78D0-4D61-92F2-73626DA28EB0}"/>
    <cellStyle name="Cálculo 2 2 13 2 2" xfId="11854" xr:uid="{7870DE96-2E6E-4E23-829D-9772B42AA243}"/>
    <cellStyle name="Cálculo 2 2 13 2 3" xfId="11855" xr:uid="{10C1DC96-0B9B-4EE2-ABAD-28B6DB61AFE8}"/>
    <cellStyle name="Cálculo 2 2 13 2 4" xfId="11856" xr:uid="{452EC638-0605-4FEF-A9BF-2D738992F17A}"/>
    <cellStyle name="Cálculo 2 2 13 2 5" xfId="11857" xr:uid="{B890CFFC-AB70-4703-895D-ADB06DD62928}"/>
    <cellStyle name="Cálculo 2 2 13 3" xfId="11858" xr:uid="{A48C1992-2E83-4BB1-BA2F-3FC552B8F094}"/>
    <cellStyle name="Cálculo 2 2 13 4" xfId="11859" xr:uid="{73BAF29C-34B9-4F1E-A5A1-C24041735085}"/>
    <cellStyle name="Cálculo 2 2 13 5" xfId="11860" xr:uid="{7420F3EC-D88E-49B5-9807-393CAB824ACD}"/>
    <cellStyle name="Cálculo 2 2 13 6" xfId="11861" xr:uid="{64A85A35-F58E-461A-BAAF-430F5B639ECA}"/>
    <cellStyle name="Cálculo 2 2 14" xfId="11862" xr:uid="{EA279624-3712-4F01-A7F6-CF06DA483D45}"/>
    <cellStyle name="Cálculo 2 2 14 2" xfId="11863" xr:uid="{6239861F-7A54-4FB4-B5F9-6A4FA8A6C2A1}"/>
    <cellStyle name="Cálculo 2 2 14 3" xfId="11864" xr:uid="{C4394456-7F14-426B-812A-5C54857BF3D1}"/>
    <cellStyle name="Cálculo 2 2 14 4" xfId="11865" xr:uid="{1E751CD3-7E8A-450E-8225-9C5997D18FED}"/>
    <cellStyle name="Cálculo 2 2 14 5" xfId="11866" xr:uid="{57425CD2-7B47-42E2-BDD8-3269790D8EAE}"/>
    <cellStyle name="Cálculo 2 2 15" xfId="11867" xr:uid="{E23F49AF-6AA7-41B3-81E1-98D2510A925D}"/>
    <cellStyle name="Cálculo 2 2 16" xfId="11868" xr:uid="{2B12C7CC-BD41-481C-B492-B9B782DC2052}"/>
    <cellStyle name="Cálculo 2 2 17" xfId="11869" xr:uid="{3C997715-A965-4D38-9ADB-8552511FFAF9}"/>
    <cellStyle name="Cálculo 2 2 18" xfId="11870" xr:uid="{1B593F1A-B1A7-42EF-BB9B-77E5E3213D55}"/>
    <cellStyle name="Cálculo 2 2 19" xfId="11871" xr:uid="{E0B625E6-4C89-4FB8-993A-36068BC63745}"/>
    <cellStyle name="Cálculo 2 2 2" xfId="11872" xr:uid="{AF18DCA2-8EE4-4C49-9EDF-36E6A90CC230}"/>
    <cellStyle name="Cálculo 2 2 2 10" xfId="11873" xr:uid="{43EA117E-483E-4B7E-8BFA-B7728B538CB7}"/>
    <cellStyle name="Cálculo 2 2 2 11" xfId="11874" xr:uid="{32E1E817-27E1-40CE-A40B-CB1695354F83}"/>
    <cellStyle name="Cálculo 2 2 2 12" xfId="11875" xr:uid="{1826BCC9-B2E7-44AC-87D4-CAD36D56C798}"/>
    <cellStyle name="Cálculo 2 2 2 13" xfId="11876" xr:uid="{CEB85A2D-412F-4320-8940-625078DBEDE0}"/>
    <cellStyle name="Cálculo 2 2 2 14" xfId="11877" xr:uid="{44BE9572-E473-46AA-BF3A-87D3C9BA3D0C}"/>
    <cellStyle name="Cálculo 2 2 2 15" xfId="11878" xr:uid="{AA94ABEA-6A7B-405D-A05D-C2C7C826BD1F}"/>
    <cellStyle name="Cálculo 2 2 2 16" xfId="11879" xr:uid="{2DE437D5-303A-4C20-95B8-D1E809307561}"/>
    <cellStyle name="Cálculo 2 2 2 2" xfId="11880" xr:uid="{2596167F-3162-42FD-8434-E50287DEAFE1}"/>
    <cellStyle name="Cálculo 2 2 2 2 10" xfId="11881" xr:uid="{0F104CC3-D244-4605-967C-DC25D213CEF5}"/>
    <cellStyle name="Cálculo 2 2 2 2 11" xfId="11882" xr:uid="{C5B759EA-0BFA-45BC-AC13-A5C03CF78734}"/>
    <cellStyle name="Cálculo 2 2 2 2 12" xfId="11883" xr:uid="{4605686B-BAE8-42BA-94F3-128C4C1EC479}"/>
    <cellStyle name="Cálculo 2 2 2 2 13" xfId="11884" xr:uid="{6229B444-16FF-4A96-A4E1-2D96BB33A8CF}"/>
    <cellStyle name="Cálculo 2 2 2 2 14" xfId="11885" xr:uid="{6C4F1628-FFD2-4C80-81C3-F5EFB7DD8FAC}"/>
    <cellStyle name="Cálculo 2 2 2 2 15" xfId="11886" xr:uid="{6204FFE1-C60B-45A7-8460-2DB0FE46FDB8}"/>
    <cellStyle name="Cálculo 2 2 2 2 2" xfId="11887" xr:uid="{71018E88-A028-481A-8435-79C62156D145}"/>
    <cellStyle name="Cálculo 2 2 2 2 2 10" xfId="11888" xr:uid="{65E886DF-07CF-4A13-A9C1-31856BDB6D64}"/>
    <cellStyle name="Cálculo 2 2 2 2 2 11" xfId="11889" xr:uid="{281381B8-1A84-45A9-B46C-F1AB713DF2B9}"/>
    <cellStyle name="Cálculo 2 2 2 2 2 12" xfId="11890" xr:uid="{6864F6E4-0422-4146-8155-6E9878334896}"/>
    <cellStyle name="Cálculo 2 2 2 2 2 13" xfId="11891" xr:uid="{C0E4E0A1-FE7A-4742-AC6F-EC26BF01B239}"/>
    <cellStyle name="Cálculo 2 2 2 2 2 14" xfId="11892" xr:uid="{DC76F244-9221-4CC3-B3D0-8BBBDABEB151}"/>
    <cellStyle name="Cálculo 2 2 2 2 2 2" xfId="11893" xr:uid="{59A72338-0646-4205-BE7F-9A0DB0C3E858}"/>
    <cellStyle name="Cálculo 2 2 2 2 2 2 10" xfId="11894" xr:uid="{DC4CF562-C5C5-4685-96FD-BBC7FD820903}"/>
    <cellStyle name="Cálculo 2 2 2 2 2 2 11" xfId="11895" xr:uid="{4BAD42FD-D607-4B0E-9CB0-92CA129B2C97}"/>
    <cellStyle name="Cálculo 2 2 2 2 2 2 12" xfId="11896" xr:uid="{06DEA1C7-A678-4215-8423-85A4BD63C5B6}"/>
    <cellStyle name="Cálculo 2 2 2 2 2 2 13" xfId="11897" xr:uid="{83534E49-18BD-4AB6-BD82-725C3FFC9D23}"/>
    <cellStyle name="Cálculo 2 2 2 2 2 2 14" xfId="11898" xr:uid="{EDEC2FA2-394B-41A1-925C-7E41ACCFF245}"/>
    <cellStyle name="Cálculo 2 2 2 2 2 2 2" xfId="11899" xr:uid="{4666D85B-F506-4A23-98C1-38F6461698F1}"/>
    <cellStyle name="Cálculo 2 2 2 2 2 2 2 10" xfId="11900" xr:uid="{9933AB10-FC32-449D-87A3-FD6EE8EC3368}"/>
    <cellStyle name="Cálculo 2 2 2 2 2 2 2 11" xfId="11901" xr:uid="{0C8B6DA3-0263-478E-9E70-4203D988F4F7}"/>
    <cellStyle name="Cálculo 2 2 2 2 2 2 2 12" xfId="11902" xr:uid="{CD96F383-3201-47CF-BE88-867E51809BF4}"/>
    <cellStyle name="Cálculo 2 2 2 2 2 2 2 13" xfId="11903" xr:uid="{1182EDBC-3FE5-4781-95B5-66B18C07E853}"/>
    <cellStyle name="Cálculo 2 2 2 2 2 2 2 2" xfId="11904" xr:uid="{B24E22A0-BFF5-49A4-98E3-5C800E87CB04}"/>
    <cellStyle name="Cálculo 2 2 2 2 2 2 2 2 10" xfId="11905" xr:uid="{1403ECC5-99EB-4646-A7F0-3BD573B3E215}"/>
    <cellStyle name="Cálculo 2 2 2 2 2 2 2 2 11" xfId="11906" xr:uid="{549F3004-16DE-472E-B5FC-983C8B9B4FA6}"/>
    <cellStyle name="Cálculo 2 2 2 2 2 2 2 2 12" xfId="11907" xr:uid="{9F2A3EE0-FF6B-4D44-8D0B-A35F26A17763}"/>
    <cellStyle name="Cálculo 2 2 2 2 2 2 2 2 13" xfId="11908" xr:uid="{EBA0D808-8562-4358-9EEB-0FF87ECE3272}"/>
    <cellStyle name="Cálculo 2 2 2 2 2 2 2 2 2" xfId="11909" xr:uid="{8BC4F2FF-E5A5-4E18-8B0E-403AA9E815F1}"/>
    <cellStyle name="Cálculo 2 2 2 2 2 2 2 2 2 10" xfId="11910" xr:uid="{9E7D9BA6-11E0-4AC4-8FC9-E2CF1B6E8C47}"/>
    <cellStyle name="Cálculo 2 2 2 2 2 2 2 2 2 11" xfId="11911" xr:uid="{AEDF0DA3-A500-4BE8-B129-9EBC40656B1F}"/>
    <cellStyle name="Cálculo 2 2 2 2 2 2 2 2 2 12" xfId="11912" xr:uid="{6A925AE6-5062-4A5B-A0AB-65464D3F1919}"/>
    <cellStyle name="Cálculo 2 2 2 2 2 2 2 2 2 2" xfId="11913" xr:uid="{1C2DD7F2-1410-46E9-85B8-DE49448CA310}"/>
    <cellStyle name="Cálculo 2 2 2 2 2 2 2 2 2 2 10" xfId="11914" xr:uid="{5A83900D-164C-450A-9EAC-0BA60A839D5E}"/>
    <cellStyle name="Cálculo 2 2 2 2 2 2 2 2 2 2 11" xfId="11915" xr:uid="{29725296-4BDB-491C-B969-F3AA799695EE}"/>
    <cellStyle name="Cálculo 2 2 2 2 2 2 2 2 2 2 12" xfId="11916" xr:uid="{FB8BB3AD-6D6A-418B-8639-1E9C7025243C}"/>
    <cellStyle name="Cálculo 2 2 2 2 2 2 2 2 2 2 2" xfId="11917" xr:uid="{A5E4BA16-BE0B-4A88-9A12-2F454AD13D25}"/>
    <cellStyle name="Cálculo 2 2 2 2 2 2 2 2 2 2 2 2" xfId="11918" xr:uid="{DDCA5F5A-9E3E-4AA9-A569-DB75C4B1D704}"/>
    <cellStyle name="Cálculo 2 2 2 2 2 2 2 2 2 2 2 2 2" xfId="11919" xr:uid="{0E1B7150-7636-407A-8B44-23C138D52E2E}"/>
    <cellStyle name="Cálculo 2 2 2 2 2 2 2 2 2 2 2 2 2 2" xfId="11920" xr:uid="{5033E488-9833-481B-87D0-72ECAF52ABDE}"/>
    <cellStyle name="Cálculo 2 2 2 2 2 2 2 2 2 2 2 2 2 3" xfId="11921" xr:uid="{A60CD9AD-C405-4C1B-8DF0-C53687B0F79D}"/>
    <cellStyle name="Cálculo 2 2 2 2 2 2 2 2 2 2 2 2 2 4" xfId="11922" xr:uid="{E0AB25A9-E071-45C4-98C0-AA89E9EFD894}"/>
    <cellStyle name="Cálculo 2 2 2 2 2 2 2 2 2 2 2 2 2 5" xfId="11923" xr:uid="{9203E4C0-B41E-423D-93DC-85C1D0A68328}"/>
    <cellStyle name="Cálculo 2 2 2 2 2 2 2 2 2 2 2 2 3" xfId="11924" xr:uid="{C619AB77-D743-4247-98F5-E9CFC4632B67}"/>
    <cellStyle name="Cálculo 2 2 2 2 2 2 2 2 2 2 2 2 4" xfId="11925" xr:uid="{98816BC1-3AEA-4ABE-9983-C7E661EB7CA2}"/>
    <cellStyle name="Cálculo 2 2 2 2 2 2 2 2 2 2 2 2 5" xfId="11926" xr:uid="{C4D98DCD-8C66-4C1B-B8D2-9DAD91284530}"/>
    <cellStyle name="Cálculo 2 2 2 2 2 2 2 2 2 2 2 2 6" xfId="11927" xr:uid="{4BE3BE4C-DDE3-4ACC-A413-90993379941E}"/>
    <cellStyle name="Cálculo 2 2 2 2 2 2 2 2 2 2 2 3" xfId="11928" xr:uid="{63A54598-ECE3-42DE-BC70-DE9069BC5E8D}"/>
    <cellStyle name="Cálculo 2 2 2 2 2 2 2 2 2 2 2 3 2" xfId="11929" xr:uid="{75FDD50F-F759-4AE8-A153-DAD9F61DE0D8}"/>
    <cellStyle name="Cálculo 2 2 2 2 2 2 2 2 2 2 2 3 3" xfId="11930" xr:uid="{C7E279D9-EF16-40A1-AF70-2592AFF29CAC}"/>
    <cellStyle name="Cálculo 2 2 2 2 2 2 2 2 2 2 2 3 4" xfId="11931" xr:uid="{BC807AC0-CD05-40D2-AB2B-6EA69ED4D5EC}"/>
    <cellStyle name="Cálculo 2 2 2 2 2 2 2 2 2 2 2 3 5" xfId="11932" xr:uid="{AAC3DE09-B020-4B17-AF83-94EE8A198DFC}"/>
    <cellStyle name="Cálculo 2 2 2 2 2 2 2 2 2 2 2 4" xfId="11933" xr:uid="{56B49C88-61AC-4DE1-B6E1-75A492EEE139}"/>
    <cellStyle name="Cálculo 2 2 2 2 2 2 2 2 2 2 2 5" xfId="11934" xr:uid="{4FDAFBBD-C6FC-435D-B492-B3BDE89814C6}"/>
    <cellStyle name="Cálculo 2 2 2 2 2 2 2 2 2 2 2 6" xfId="11935" xr:uid="{466FFB31-1219-4D12-B396-5E7766931F10}"/>
    <cellStyle name="Cálculo 2 2 2 2 2 2 2 2 2 2 2 7" xfId="11936" xr:uid="{1B63C845-BA26-47A5-B763-9FBE9FB0F38D}"/>
    <cellStyle name="Cálculo 2 2 2 2 2 2 2 2 2 2 3" xfId="11937" xr:uid="{2FFD4AC3-ECBA-4116-B216-924923882239}"/>
    <cellStyle name="Cálculo 2 2 2 2 2 2 2 2 2 2 3 2" xfId="11938" xr:uid="{6F517BC2-797E-43CF-A0B8-EAFCE059B0C9}"/>
    <cellStyle name="Cálculo 2 2 2 2 2 2 2 2 2 2 3 2 2" xfId="11939" xr:uid="{36C6901A-3685-47FE-AE0E-D7E7EAA1892E}"/>
    <cellStyle name="Cálculo 2 2 2 2 2 2 2 2 2 2 3 2 3" xfId="11940" xr:uid="{73921619-6C73-44EC-B674-32E3DA2D95BF}"/>
    <cellStyle name="Cálculo 2 2 2 2 2 2 2 2 2 2 3 2 4" xfId="11941" xr:uid="{5BA32786-D717-46AD-8E4D-DCAB3E654C8F}"/>
    <cellStyle name="Cálculo 2 2 2 2 2 2 2 2 2 2 3 2 5" xfId="11942" xr:uid="{90B93F7A-8B97-4163-A6B2-42426BF111A2}"/>
    <cellStyle name="Cálculo 2 2 2 2 2 2 2 2 2 2 3 3" xfId="11943" xr:uid="{DBBEB9F5-0805-44FE-B91D-194345C78F67}"/>
    <cellStyle name="Cálculo 2 2 2 2 2 2 2 2 2 2 3 4" xfId="11944" xr:uid="{1A8B3CAD-911A-4188-8E4B-42098A2249B3}"/>
    <cellStyle name="Cálculo 2 2 2 2 2 2 2 2 2 2 3 5" xfId="11945" xr:uid="{4128FD3C-96D6-4877-94B6-A5F4B4F33DB4}"/>
    <cellStyle name="Cálculo 2 2 2 2 2 2 2 2 2 2 3 6" xfId="11946" xr:uid="{2527A687-A5FE-4446-9CBC-F8CAD34CF5C1}"/>
    <cellStyle name="Cálculo 2 2 2 2 2 2 2 2 2 2 4" xfId="11947" xr:uid="{6B4608AC-0CBC-4B6C-BF06-6CF94907AEFD}"/>
    <cellStyle name="Cálculo 2 2 2 2 2 2 2 2 2 2 4 2" xfId="11948" xr:uid="{FBA74A13-2138-4420-BC53-0345832C9848}"/>
    <cellStyle name="Cálculo 2 2 2 2 2 2 2 2 2 2 4 2 2" xfId="11949" xr:uid="{3E4BCC0C-3629-427A-8BF4-EDB28E9FC4AE}"/>
    <cellStyle name="Cálculo 2 2 2 2 2 2 2 2 2 2 4 2 3" xfId="11950" xr:uid="{7314101E-1AD8-4600-8A6A-AC7A2037EC6A}"/>
    <cellStyle name="Cálculo 2 2 2 2 2 2 2 2 2 2 4 2 4" xfId="11951" xr:uid="{86998D89-CE18-4649-9210-F9F76025D888}"/>
    <cellStyle name="Cálculo 2 2 2 2 2 2 2 2 2 2 4 2 5" xfId="11952" xr:uid="{E9C8F297-E2D8-49C2-9F0D-C3D57F7D1AFD}"/>
    <cellStyle name="Cálculo 2 2 2 2 2 2 2 2 2 2 4 3" xfId="11953" xr:uid="{864B3636-14A2-443A-90AB-4DB07829DE6A}"/>
    <cellStyle name="Cálculo 2 2 2 2 2 2 2 2 2 2 4 4" xfId="11954" xr:uid="{92802CA3-F999-494D-91D0-8D06EDA78489}"/>
    <cellStyle name="Cálculo 2 2 2 2 2 2 2 2 2 2 4 5" xfId="11955" xr:uid="{87D45C04-E6CE-46B6-9860-28073D7FC064}"/>
    <cellStyle name="Cálculo 2 2 2 2 2 2 2 2 2 2 4 6" xfId="11956" xr:uid="{EECEE7AD-A4E0-4662-8E2B-DF80B56A4BA9}"/>
    <cellStyle name="Cálculo 2 2 2 2 2 2 2 2 2 2 5" xfId="11957" xr:uid="{D873A2D0-4030-46EE-9AF9-073766AAE50F}"/>
    <cellStyle name="Cálculo 2 2 2 2 2 2 2 2 2 2 5 2" xfId="11958" xr:uid="{0C62327C-8983-4664-9709-6C07965049EA}"/>
    <cellStyle name="Cálculo 2 2 2 2 2 2 2 2 2 2 5 3" xfId="11959" xr:uid="{500E59B1-D6BF-4602-B4D1-C31E360A372A}"/>
    <cellStyle name="Cálculo 2 2 2 2 2 2 2 2 2 2 5 4" xfId="11960" xr:uid="{72530161-6A29-4911-8F76-412459842456}"/>
    <cellStyle name="Cálculo 2 2 2 2 2 2 2 2 2 2 5 5" xfId="11961" xr:uid="{943FC890-0EA4-4847-A90F-C0AC8F710D07}"/>
    <cellStyle name="Cálculo 2 2 2 2 2 2 2 2 2 2 6" xfId="11962" xr:uid="{D6B4A1EC-528E-4CDE-B196-C20CFB207338}"/>
    <cellStyle name="Cálculo 2 2 2 2 2 2 2 2 2 2 7" xfId="11963" xr:uid="{5B3C7BE3-9218-4226-AAC8-2E5B76EDB1B9}"/>
    <cellStyle name="Cálculo 2 2 2 2 2 2 2 2 2 2 8" xfId="11964" xr:uid="{0A34F335-9049-4ECE-B562-308F7DE5ABFC}"/>
    <cellStyle name="Cálculo 2 2 2 2 2 2 2 2 2 2 9" xfId="11965" xr:uid="{451A908E-D9D5-42F9-AA39-A295EAF0C45C}"/>
    <cellStyle name="Cálculo 2 2 2 2 2 2 2 2 2 3" xfId="11966" xr:uid="{E3433023-B2E6-463E-9049-4E13BF2D8795}"/>
    <cellStyle name="Cálculo 2 2 2 2 2 2 2 2 2 3 2" xfId="11967" xr:uid="{DF97719D-F1BD-4005-964F-3905D9E59619}"/>
    <cellStyle name="Cálculo 2 2 2 2 2 2 2 2 2 3 2 2" xfId="11968" xr:uid="{DA2425D9-3322-454D-9609-58DDBB46EE84}"/>
    <cellStyle name="Cálculo 2 2 2 2 2 2 2 2 2 3 2 3" xfId="11969" xr:uid="{CF32D742-3505-44D0-BEFC-63152B6FF7D2}"/>
    <cellStyle name="Cálculo 2 2 2 2 2 2 2 2 2 3 2 4" xfId="11970" xr:uid="{3B21D614-3DDC-4E73-8B30-1A401988C6BD}"/>
    <cellStyle name="Cálculo 2 2 2 2 2 2 2 2 2 3 2 5" xfId="11971" xr:uid="{76DEE733-A140-4DCE-9A33-377521B40A9B}"/>
    <cellStyle name="Cálculo 2 2 2 2 2 2 2 2 2 3 3" xfId="11972" xr:uid="{594D743E-2A36-4B34-9633-6BDCBA9545EE}"/>
    <cellStyle name="Cálculo 2 2 2 2 2 2 2 2 2 3 4" xfId="11973" xr:uid="{B2D632FC-25E0-4D60-8781-49B15596EA0E}"/>
    <cellStyle name="Cálculo 2 2 2 2 2 2 2 2 2 3 5" xfId="11974" xr:uid="{85AE9BD5-A74F-45DE-98AC-452CCB5E13C3}"/>
    <cellStyle name="Cálculo 2 2 2 2 2 2 2 2 2 3 6" xfId="11975" xr:uid="{68E9FEB2-5EE3-4A6E-91E1-B885B3144DB3}"/>
    <cellStyle name="Cálculo 2 2 2 2 2 2 2 2 2 4" xfId="11976" xr:uid="{7C0D7049-6595-49E0-AA2A-F12BB812E684}"/>
    <cellStyle name="Cálculo 2 2 2 2 2 2 2 2 2 4 2" xfId="11977" xr:uid="{E2B76139-096E-4DA2-ACEF-8091860FBAC3}"/>
    <cellStyle name="Cálculo 2 2 2 2 2 2 2 2 2 4 2 2" xfId="11978" xr:uid="{3AA820DD-B3D5-4AFF-96A4-6BFCCD4A868B}"/>
    <cellStyle name="Cálculo 2 2 2 2 2 2 2 2 2 4 2 3" xfId="11979" xr:uid="{A5E32BF2-394B-4804-A0E9-48239BD49DDD}"/>
    <cellStyle name="Cálculo 2 2 2 2 2 2 2 2 2 4 2 4" xfId="11980" xr:uid="{7F57E50E-ECFF-44FC-AF04-A925FC3D23AF}"/>
    <cellStyle name="Cálculo 2 2 2 2 2 2 2 2 2 4 2 5" xfId="11981" xr:uid="{582521DD-87F8-4D41-BF5E-2C0AB0ED2D3B}"/>
    <cellStyle name="Cálculo 2 2 2 2 2 2 2 2 2 4 3" xfId="11982" xr:uid="{401C49CB-21F6-4C7D-B119-64A6E89E6047}"/>
    <cellStyle name="Cálculo 2 2 2 2 2 2 2 2 2 4 4" xfId="11983" xr:uid="{43211338-2CAE-4472-AD98-A7D0765703C5}"/>
    <cellStyle name="Cálculo 2 2 2 2 2 2 2 2 2 4 5" xfId="11984" xr:uid="{07239347-78D1-413E-9986-7D3A1AD2FA5D}"/>
    <cellStyle name="Cálculo 2 2 2 2 2 2 2 2 2 4 6" xfId="11985" xr:uid="{A4412CA3-E894-4A66-B598-2168A6F30F46}"/>
    <cellStyle name="Cálculo 2 2 2 2 2 2 2 2 2 5" xfId="11986" xr:uid="{D4D4F102-E60E-4010-8744-AC2C7F5A641D}"/>
    <cellStyle name="Cálculo 2 2 2 2 2 2 2 2 2 5 2" xfId="11987" xr:uid="{03805B73-B80D-40FB-B8DC-20E40E5F1D77}"/>
    <cellStyle name="Cálculo 2 2 2 2 2 2 2 2 2 5 3" xfId="11988" xr:uid="{BB74AF48-B822-42CC-AA16-77C98F72B7B9}"/>
    <cellStyle name="Cálculo 2 2 2 2 2 2 2 2 2 5 4" xfId="11989" xr:uid="{547B4AE8-7DE2-45DA-B980-65783E2873F0}"/>
    <cellStyle name="Cálculo 2 2 2 2 2 2 2 2 2 5 5" xfId="11990" xr:uid="{9B2BA56D-679B-44AE-ABA2-AB75D1CD4F6C}"/>
    <cellStyle name="Cálculo 2 2 2 2 2 2 2 2 2 6" xfId="11991" xr:uid="{200E428A-B72F-4EB8-9D53-6D1A64034206}"/>
    <cellStyle name="Cálculo 2 2 2 2 2 2 2 2 2 7" xfId="11992" xr:uid="{71DAC4E8-E279-45D8-B53D-47E411A2CFCC}"/>
    <cellStyle name="Cálculo 2 2 2 2 2 2 2 2 2 8" xfId="11993" xr:uid="{0BD43F99-3D07-4AC1-AF9B-FE96555587A6}"/>
    <cellStyle name="Cálculo 2 2 2 2 2 2 2 2 2 9" xfId="11994" xr:uid="{F3E6219A-9670-459C-B083-72A53616D7D5}"/>
    <cellStyle name="Cálculo 2 2 2 2 2 2 2 2 3" xfId="11995" xr:uid="{7EC0A41E-640E-4F24-8577-BAFB4B94F349}"/>
    <cellStyle name="Cálculo 2 2 2 2 2 2 2 2 3 2" xfId="11996" xr:uid="{EB43B169-2214-4CCD-9D7E-0B1230AEBB85}"/>
    <cellStyle name="Cálculo 2 2 2 2 2 2 2 2 3 2 2" xfId="11997" xr:uid="{257EAC7E-F773-4D69-AB52-E95341F67C83}"/>
    <cellStyle name="Cálculo 2 2 2 2 2 2 2 2 3 2 3" xfId="11998" xr:uid="{C801E36C-224E-4064-ACC2-133E7D278A59}"/>
    <cellStyle name="Cálculo 2 2 2 2 2 2 2 2 3 2 4" xfId="11999" xr:uid="{2A59C3BD-62BA-4C5F-9562-40D9BE52EAFE}"/>
    <cellStyle name="Cálculo 2 2 2 2 2 2 2 2 3 2 5" xfId="12000" xr:uid="{2DC8C09D-72D9-4C3A-A673-1BF873677F75}"/>
    <cellStyle name="Cálculo 2 2 2 2 2 2 2 2 3 3" xfId="12001" xr:uid="{E4C1F86C-2564-4C6F-ACBB-F75860715D90}"/>
    <cellStyle name="Cálculo 2 2 2 2 2 2 2 2 3 4" xfId="12002" xr:uid="{DAA6D460-1B3E-4515-9CCA-C805363587C5}"/>
    <cellStyle name="Cálculo 2 2 2 2 2 2 2 2 3 5" xfId="12003" xr:uid="{AB63F250-DE62-46EB-944D-5ADCB7A0F267}"/>
    <cellStyle name="Cálculo 2 2 2 2 2 2 2 2 3 6" xfId="12004" xr:uid="{16E1D951-C4F7-4A8A-B35E-F414C23E3881}"/>
    <cellStyle name="Cálculo 2 2 2 2 2 2 2 2 4" xfId="12005" xr:uid="{C77AAB7B-18AA-43DB-96FE-B31D9AD40831}"/>
    <cellStyle name="Cálculo 2 2 2 2 2 2 2 2 4 2" xfId="12006" xr:uid="{E5D14E71-70B9-41DE-913A-CA583C730C75}"/>
    <cellStyle name="Cálculo 2 2 2 2 2 2 2 2 4 2 2" xfId="12007" xr:uid="{84712BB2-E413-451E-B374-58D269469FAD}"/>
    <cellStyle name="Cálculo 2 2 2 2 2 2 2 2 4 2 3" xfId="12008" xr:uid="{809A7705-55DB-4252-B508-6CEAC0F31797}"/>
    <cellStyle name="Cálculo 2 2 2 2 2 2 2 2 4 2 4" xfId="12009" xr:uid="{5EE64783-D16C-4BFE-B8A0-4979F5820D53}"/>
    <cellStyle name="Cálculo 2 2 2 2 2 2 2 2 4 2 5" xfId="12010" xr:uid="{F8DB0AA0-5FCB-4C3F-972B-0ECF51FDB3B1}"/>
    <cellStyle name="Cálculo 2 2 2 2 2 2 2 2 4 3" xfId="12011" xr:uid="{FE2C30CC-ADF6-4212-ADC6-666F7F00E8A1}"/>
    <cellStyle name="Cálculo 2 2 2 2 2 2 2 2 4 4" xfId="12012" xr:uid="{C8A1558C-3DD9-4A7D-8F9C-EAB3D49FE4DA}"/>
    <cellStyle name="Cálculo 2 2 2 2 2 2 2 2 4 5" xfId="12013" xr:uid="{B6141B23-5632-4A7A-9C1C-009C6F009731}"/>
    <cellStyle name="Cálculo 2 2 2 2 2 2 2 2 4 6" xfId="12014" xr:uid="{9301D6D0-FE6F-4E7B-9EBE-3B5298CA888F}"/>
    <cellStyle name="Cálculo 2 2 2 2 2 2 2 2 5" xfId="12015" xr:uid="{00390F0F-09A8-4D18-A0BE-740415CBD14E}"/>
    <cellStyle name="Cálculo 2 2 2 2 2 2 2 2 5 2" xfId="12016" xr:uid="{87E94C40-0FAD-4227-BFD3-5E8DDFFD0F3F}"/>
    <cellStyle name="Cálculo 2 2 2 2 2 2 2 2 5 2 2" xfId="12017" xr:uid="{73759908-51FD-493C-AA3C-C32D9FBE1958}"/>
    <cellStyle name="Cálculo 2 2 2 2 2 2 2 2 5 2 3" xfId="12018" xr:uid="{2E7C433B-C603-4B37-A536-6D86E8796550}"/>
    <cellStyle name="Cálculo 2 2 2 2 2 2 2 2 5 2 4" xfId="12019" xr:uid="{31519E13-BDAA-48CF-A16D-4453A01B1C30}"/>
    <cellStyle name="Cálculo 2 2 2 2 2 2 2 2 5 2 5" xfId="12020" xr:uid="{9AB9952A-CF3E-41F4-AE33-7D458705ACCC}"/>
    <cellStyle name="Cálculo 2 2 2 2 2 2 2 2 5 3" xfId="12021" xr:uid="{FBA415DF-7402-4E1B-B548-229AD22B2AB7}"/>
    <cellStyle name="Cálculo 2 2 2 2 2 2 2 2 5 4" xfId="12022" xr:uid="{A7B05F63-A5E4-443F-A69A-536854199680}"/>
    <cellStyle name="Cálculo 2 2 2 2 2 2 2 2 5 5" xfId="12023" xr:uid="{5AACE3AF-713F-44C0-9D05-B38F183FE889}"/>
    <cellStyle name="Cálculo 2 2 2 2 2 2 2 2 5 6" xfId="12024" xr:uid="{34894008-6B6E-489C-A88F-6AAAF0ACA23D}"/>
    <cellStyle name="Cálculo 2 2 2 2 2 2 2 2 6" xfId="12025" xr:uid="{A0B4C24F-8AD8-4661-8569-BB622407119C}"/>
    <cellStyle name="Cálculo 2 2 2 2 2 2 2 2 6 2" xfId="12026" xr:uid="{2414F91D-9BA7-414F-AB29-B464A87E574B}"/>
    <cellStyle name="Cálculo 2 2 2 2 2 2 2 2 6 3" xfId="12027" xr:uid="{FD48926F-95B9-4DD7-A6A6-CCABA48DCD9C}"/>
    <cellStyle name="Cálculo 2 2 2 2 2 2 2 2 6 4" xfId="12028" xr:uid="{707C3F50-5F1B-4457-939E-4E33575D8C60}"/>
    <cellStyle name="Cálculo 2 2 2 2 2 2 2 2 6 5" xfId="12029" xr:uid="{B873451B-4533-4D07-B607-BE3D2711980D}"/>
    <cellStyle name="Cálculo 2 2 2 2 2 2 2 2 7" xfId="12030" xr:uid="{85BE3F1F-A9F3-47F2-925C-7F7B62248136}"/>
    <cellStyle name="Cálculo 2 2 2 2 2 2 2 2 8" xfId="12031" xr:uid="{812D3CA5-B814-4BAD-8E9C-D79747627C05}"/>
    <cellStyle name="Cálculo 2 2 2 2 2 2 2 2 9" xfId="12032" xr:uid="{0D584B9E-0D38-4516-856D-EBFC8878E655}"/>
    <cellStyle name="Cálculo 2 2 2 2 2 2 2 3" xfId="12033" xr:uid="{48DE97CF-00D9-45DD-AD92-98832B720FBB}"/>
    <cellStyle name="Cálculo 2 2 2 2 2 2 2 3 10" xfId="12034" xr:uid="{48AEC993-1A0C-4E4D-94C1-FE94323D122E}"/>
    <cellStyle name="Cálculo 2 2 2 2 2 2 2 3 11" xfId="12035" xr:uid="{E03CACE5-6CD8-4FFE-A58A-6AD79786706A}"/>
    <cellStyle name="Cálculo 2 2 2 2 2 2 2 3 12" xfId="12036" xr:uid="{BAFE8810-BD9E-4186-AB67-3D9E1F9EB119}"/>
    <cellStyle name="Cálculo 2 2 2 2 2 2 2 3 2" xfId="12037" xr:uid="{601A2BC4-AE63-4536-866B-5CD2A051FC25}"/>
    <cellStyle name="Cálculo 2 2 2 2 2 2 2 3 2 2" xfId="12038" xr:uid="{6A0CB9BF-772F-4C0A-BB45-D087CD196853}"/>
    <cellStyle name="Cálculo 2 2 2 2 2 2 2 3 2 2 2" xfId="12039" xr:uid="{95B9332D-1FA0-478F-B350-10E35A3683D7}"/>
    <cellStyle name="Cálculo 2 2 2 2 2 2 2 3 2 2 3" xfId="12040" xr:uid="{55A96BEC-D310-400A-A7C2-5DAC86BAEB20}"/>
    <cellStyle name="Cálculo 2 2 2 2 2 2 2 3 2 2 4" xfId="12041" xr:uid="{C716524A-2AE9-4CFA-B95E-D848F01F958A}"/>
    <cellStyle name="Cálculo 2 2 2 2 2 2 2 3 2 2 5" xfId="12042" xr:uid="{D284B0DE-2EB3-4EB2-953D-EBA9311CE215}"/>
    <cellStyle name="Cálculo 2 2 2 2 2 2 2 3 2 3" xfId="12043" xr:uid="{CC4DB34F-6DD2-41A2-9AB6-88EADB3A1831}"/>
    <cellStyle name="Cálculo 2 2 2 2 2 2 2 3 2 4" xfId="12044" xr:uid="{4216C31D-633B-464F-916C-7C4FB50C680C}"/>
    <cellStyle name="Cálculo 2 2 2 2 2 2 2 3 2 5" xfId="12045" xr:uid="{6B1DF55C-9BA7-46BE-975A-31D348C74D88}"/>
    <cellStyle name="Cálculo 2 2 2 2 2 2 2 3 2 6" xfId="12046" xr:uid="{F8BF85FB-6ED1-4026-85F9-215F3F71DFA2}"/>
    <cellStyle name="Cálculo 2 2 2 2 2 2 2 3 3" xfId="12047" xr:uid="{06B6070A-C138-4904-B632-AF287CE376C6}"/>
    <cellStyle name="Cálculo 2 2 2 2 2 2 2 3 3 2" xfId="12048" xr:uid="{DB1B4E75-42A1-434B-86C0-902435C0EF72}"/>
    <cellStyle name="Cálculo 2 2 2 2 2 2 2 3 3 2 2" xfId="12049" xr:uid="{A008EC54-A6AC-4D42-A348-75ACEA84A819}"/>
    <cellStyle name="Cálculo 2 2 2 2 2 2 2 3 3 2 3" xfId="12050" xr:uid="{FDABF029-70FA-46EA-A56C-4F736DA71FB8}"/>
    <cellStyle name="Cálculo 2 2 2 2 2 2 2 3 3 2 4" xfId="12051" xr:uid="{0F0DE763-6FA9-4534-97D7-6F1F33763DA2}"/>
    <cellStyle name="Cálculo 2 2 2 2 2 2 2 3 3 2 5" xfId="12052" xr:uid="{A4EBC7C2-6D3F-4B1D-B470-064B98ADDB86}"/>
    <cellStyle name="Cálculo 2 2 2 2 2 2 2 3 3 3" xfId="12053" xr:uid="{A7132D3E-011D-4988-8D22-B98057A6DA2A}"/>
    <cellStyle name="Cálculo 2 2 2 2 2 2 2 3 3 4" xfId="12054" xr:uid="{99732E1B-26FD-418E-9185-7348E6FDC294}"/>
    <cellStyle name="Cálculo 2 2 2 2 2 2 2 3 3 5" xfId="12055" xr:uid="{78B37F1D-198E-411B-9BD5-FA96112D6CE1}"/>
    <cellStyle name="Cálculo 2 2 2 2 2 2 2 3 3 6" xfId="12056" xr:uid="{7F1BAA46-DE92-4F4E-B3C6-85A62080E405}"/>
    <cellStyle name="Cálculo 2 2 2 2 2 2 2 3 4" xfId="12057" xr:uid="{C91D169A-0EB8-4DC5-9C63-1E919F89D952}"/>
    <cellStyle name="Cálculo 2 2 2 2 2 2 2 3 4 2" xfId="12058" xr:uid="{8AB35B6E-655B-4F8A-8D9F-C53A6FD0E576}"/>
    <cellStyle name="Cálculo 2 2 2 2 2 2 2 3 4 2 2" xfId="12059" xr:uid="{4850DC52-7B8B-4689-990A-5F641C77014C}"/>
    <cellStyle name="Cálculo 2 2 2 2 2 2 2 3 4 2 3" xfId="12060" xr:uid="{6C267621-8625-4EEE-8662-B6C8FD1A69C2}"/>
    <cellStyle name="Cálculo 2 2 2 2 2 2 2 3 4 2 4" xfId="12061" xr:uid="{A99D430E-1AC4-403A-A731-1C538429F773}"/>
    <cellStyle name="Cálculo 2 2 2 2 2 2 2 3 4 2 5" xfId="12062" xr:uid="{88BDB68E-30BA-413F-99C4-7C2DE510D28D}"/>
    <cellStyle name="Cálculo 2 2 2 2 2 2 2 3 4 3" xfId="12063" xr:uid="{3BB9A501-7A14-45F1-AAAC-7075B3D72C24}"/>
    <cellStyle name="Cálculo 2 2 2 2 2 2 2 3 4 4" xfId="12064" xr:uid="{F1B500B2-7335-47FE-AA0A-8A2C0E194070}"/>
    <cellStyle name="Cálculo 2 2 2 2 2 2 2 3 4 5" xfId="12065" xr:uid="{2EE3475A-1566-43EC-A85D-CDB74DEE4054}"/>
    <cellStyle name="Cálculo 2 2 2 2 2 2 2 3 4 6" xfId="12066" xr:uid="{8FC3B253-4741-4FCA-B9DC-7F28524008BB}"/>
    <cellStyle name="Cálculo 2 2 2 2 2 2 2 3 5" xfId="12067" xr:uid="{362B4AF0-610F-4890-9A4A-9E45BBF28948}"/>
    <cellStyle name="Cálculo 2 2 2 2 2 2 2 3 5 2" xfId="12068" xr:uid="{3472A3D5-B8EB-4911-8C81-3AD1B4AE1B07}"/>
    <cellStyle name="Cálculo 2 2 2 2 2 2 2 3 5 3" xfId="12069" xr:uid="{B846163F-8CF9-42C9-800C-992E609440B9}"/>
    <cellStyle name="Cálculo 2 2 2 2 2 2 2 3 5 4" xfId="12070" xr:uid="{890BA240-3394-4FC0-8A54-E48E7093F3EC}"/>
    <cellStyle name="Cálculo 2 2 2 2 2 2 2 3 5 5" xfId="12071" xr:uid="{41296090-BD80-41D1-8B8B-2592EB969474}"/>
    <cellStyle name="Cálculo 2 2 2 2 2 2 2 3 6" xfId="12072" xr:uid="{C35CE0B8-F8B6-4C7E-BF66-81BCA749B24A}"/>
    <cellStyle name="Cálculo 2 2 2 2 2 2 2 3 7" xfId="12073" xr:uid="{626D8570-12CF-436C-A12C-1BA549196C32}"/>
    <cellStyle name="Cálculo 2 2 2 2 2 2 2 3 8" xfId="12074" xr:uid="{CEA536C8-7CF6-4AAF-8BF0-376E52A16EAF}"/>
    <cellStyle name="Cálculo 2 2 2 2 2 2 2 3 9" xfId="12075" xr:uid="{DE2B135D-D295-42CB-95DE-07FDBF0F31AB}"/>
    <cellStyle name="Cálculo 2 2 2 2 2 2 2 4" xfId="12076" xr:uid="{06D97243-FA50-4DCD-8797-49E073C12A64}"/>
    <cellStyle name="Cálculo 2 2 2 2 2 2 2 4 2" xfId="12077" xr:uid="{23CFABDC-A31A-46C7-A333-A6129173CE35}"/>
    <cellStyle name="Cálculo 2 2 2 2 2 2 2 4 2 2" xfId="12078" xr:uid="{9680F403-B581-4666-8650-BA37F8A3C3D4}"/>
    <cellStyle name="Cálculo 2 2 2 2 2 2 2 4 2 3" xfId="12079" xr:uid="{E2F51133-66E8-4A42-82B2-5A9B9B06E3E9}"/>
    <cellStyle name="Cálculo 2 2 2 2 2 2 2 4 2 4" xfId="12080" xr:uid="{2670733F-2DDB-48C7-825D-B9B2E5EC7764}"/>
    <cellStyle name="Cálculo 2 2 2 2 2 2 2 4 2 5" xfId="12081" xr:uid="{08D3BED5-02AE-4E3D-838D-E7A9A101F32E}"/>
    <cellStyle name="Cálculo 2 2 2 2 2 2 2 4 3" xfId="12082" xr:uid="{B8D76724-FF07-49DE-8F17-9343B8EE626E}"/>
    <cellStyle name="Cálculo 2 2 2 2 2 2 2 4 4" xfId="12083" xr:uid="{91F4763A-3E5D-4EF3-BE00-F04D7957C5DF}"/>
    <cellStyle name="Cálculo 2 2 2 2 2 2 2 4 5" xfId="12084" xr:uid="{C077CA86-6FAB-41ED-BE8D-871BC94BA907}"/>
    <cellStyle name="Cálculo 2 2 2 2 2 2 2 4 6" xfId="12085" xr:uid="{DA7FCF4E-799E-4A24-8C07-86AF95FD21E1}"/>
    <cellStyle name="Cálculo 2 2 2 2 2 2 2 5" xfId="12086" xr:uid="{73F82A89-2105-49B9-8594-5526A77A81A4}"/>
    <cellStyle name="Cálculo 2 2 2 2 2 2 2 5 2" xfId="12087" xr:uid="{E616FBA7-3E4C-4795-A6A9-0BA2BE596DC4}"/>
    <cellStyle name="Cálculo 2 2 2 2 2 2 2 5 2 2" xfId="12088" xr:uid="{3C7DC447-9A55-47F8-B8C2-D12A48766C37}"/>
    <cellStyle name="Cálculo 2 2 2 2 2 2 2 5 2 3" xfId="12089" xr:uid="{89F2A828-5BC9-4289-89AF-FC7201247B69}"/>
    <cellStyle name="Cálculo 2 2 2 2 2 2 2 5 2 4" xfId="12090" xr:uid="{DB599A8B-DE10-4F05-909D-833DCDAF0EB1}"/>
    <cellStyle name="Cálculo 2 2 2 2 2 2 2 5 2 5" xfId="12091" xr:uid="{A69B34A8-7507-4C9E-8D8D-7271D4A1472D}"/>
    <cellStyle name="Cálculo 2 2 2 2 2 2 2 5 3" xfId="12092" xr:uid="{9DEB7A92-1D0F-4A86-9101-56BA01FB7408}"/>
    <cellStyle name="Cálculo 2 2 2 2 2 2 2 5 4" xfId="12093" xr:uid="{5B4DD76F-37C2-46B3-A8B2-F214B752DFF3}"/>
    <cellStyle name="Cálculo 2 2 2 2 2 2 2 5 5" xfId="12094" xr:uid="{568903AA-7CD1-4CA5-9C99-A6E538715827}"/>
    <cellStyle name="Cálculo 2 2 2 2 2 2 2 5 6" xfId="12095" xr:uid="{A51949E9-5B0C-464E-ADBD-600B76A4D497}"/>
    <cellStyle name="Cálculo 2 2 2 2 2 2 2 6" xfId="12096" xr:uid="{D4B5E2D5-48CF-4C3A-866C-B1854DEB4CE9}"/>
    <cellStyle name="Cálculo 2 2 2 2 2 2 2 6 2" xfId="12097" xr:uid="{110487E6-F078-4D6D-BA2E-D01DFD774149}"/>
    <cellStyle name="Cálculo 2 2 2 2 2 2 2 6 3" xfId="12098" xr:uid="{54FEF79C-08F9-4680-BF8F-FE1A1B93F068}"/>
    <cellStyle name="Cálculo 2 2 2 2 2 2 2 6 4" xfId="12099" xr:uid="{15E7089E-4DFB-4A5E-957E-5F9D837FFCA9}"/>
    <cellStyle name="Cálculo 2 2 2 2 2 2 2 6 5" xfId="12100" xr:uid="{D8177F51-CDF6-43F3-B951-89A02BACE639}"/>
    <cellStyle name="Cálculo 2 2 2 2 2 2 2 7" xfId="12101" xr:uid="{0485A9A9-6B77-4E8E-8A36-15C6E976659C}"/>
    <cellStyle name="Cálculo 2 2 2 2 2 2 2 8" xfId="12102" xr:uid="{C087834B-47DF-43D8-8BEB-D78339101289}"/>
    <cellStyle name="Cálculo 2 2 2 2 2 2 2 9" xfId="12103" xr:uid="{7EE0BF96-CC4E-45C0-A256-C8BFAD2C3D26}"/>
    <cellStyle name="Cálculo 2 2 2 2 2 2 3" xfId="12104" xr:uid="{61F8DFCD-A3A5-4191-AA95-482FF3C560A5}"/>
    <cellStyle name="Cálculo 2 2 2 2 2 2 3 10" xfId="12105" xr:uid="{2CC9D83D-16F3-45A7-A095-8A0EBB54198A}"/>
    <cellStyle name="Cálculo 2 2 2 2 2 2 3 11" xfId="12106" xr:uid="{B78018D2-BFDE-4C73-8C86-42C9F3160224}"/>
    <cellStyle name="Cálculo 2 2 2 2 2 2 3 12" xfId="12107" xr:uid="{D5647FCA-7021-40E9-A859-A6B725733993}"/>
    <cellStyle name="Cálculo 2 2 2 2 2 2 3 2" xfId="12108" xr:uid="{BBFBA03F-9298-42EF-8A60-BB941FD49650}"/>
    <cellStyle name="Cálculo 2 2 2 2 2 2 3 2 10" xfId="12109" xr:uid="{68B9015B-EDA5-47D7-A511-570A96D35BFE}"/>
    <cellStyle name="Cálculo 2 2 2 2 2 2 3 2 11" xfId="12110" xr:uid="{E1F51CD0-2C63-4DB5-BB97-170FBFE711F6}"/>
    <cellStyle name="Cálculo 2 2 2 2 2 2 3 2 12" xfId="12111" xr:uid="{6F5F3CA5-4AC0-4E44-A5EB-5AF99C249750}"/>
    <cellStyle name="Cálculo 2 2 2 2 2 2 3 2 2" xfId="12112" xr:uid="{8C87261C-8F7E-4831-90B4-F745A7D29102}"/>
    <cellStyle name="Cálculo 2 2 2 2 2 2 3 2 2 2" xfId="12113" xr:uid="{24FAE0B6-8005-44FA-9273-203869ECF0F7}"/>
    <cellStyle name="Cálculo 2 2 2 2 2 2 3 2 2 2 2" xfId="12114" xr:uid="{46E8F8F1-7181-425F-92DF-5F708C50D16C}"/>
    <cellStyle name="Cálculo 2 2 2 2 2 2 3 2 2 2 3" xfId="12115" xr:uid="{837A37BD-4D5E-4367-8D9A-C802B9EBACC5}"/>
    <cellStyle name="Cálculo 2 2 2 2 2 2 3 2 2 2 4" xfId="12116" xr:uid="{A5D1EFF3-89C7-430D-8557-72BA15DED999}"/>
    <cellStyle name="Cálculo 2 2 2 2 2 2 3 2 2 2 5" xfId="12117" xr:uid="{88235693-2903-4217-82C5-5346F0CBD79F}"/>
    <cellStyle name="Cálculo 2 2 2 2 2 2 3 2 2 3" xfId="12118" xr:uid="{104EB521-B29A-474B-875E-8FB775931D7A}"/>
    <cellStyle name="Cálculo 2 2 2 2 2 2 3 2 2 4" xfId="12119" xr:uid="{D9696D6B-8F57-4A76-87C0-1EFB9BB13E85}"/>
    <cellStyle name="Cálculo 2 2 2 2 2 2 3 2 2 5" xfId="12120" xr:uid="{C65B6E4F-EB99-4F39-9004-FF1E88C77B4B}"/>
    <cellStyle name="Cálculo 2 2 2 2 2 2 3 2 2 6" xfId="12121" xr:uid="{500B368B-879B-4C6B-816E-345DCC2C0BBB}"/>
    <cellStyle name="Cálculo 2 2 2 2 2 2 3 2 3" xfId="12122" xr:uid="{9A1FF369-E3A4-41B9-8411-C9F90C662686}"/>
    <cellStyle name="Cálculo 2 2 2 2 2 2 3 2 3 2" xfId="12123" xr:uid="{26171121-28CE-45DF-B1E2-E636E33AA8B8}"/>
    <cellStyle name="Cálculo 2 2 2 2 2 2 3 2 3 2 2" xfId="12124" xr:uid="{862500A0-E717-4EA2-8C79-AE4C29FBC41A}"/>
    <cellStyle name="Cálculo 2 2 2 2 2 2 3 2 3 2 3" xfId="12125" xr:uid="{F337B893-99FE-4C29-9A91-7BA70B3EB602}"/>
    <cellStyle name="Cálculo 2 2 2 2 2 2 3 2 3 2 4" xfId="12126" xr:uid="{A6598463-0F06-47EA-9BF4-0FA1668F0F7C}"/>
    <cellStyle name="Cálculo 2 2 2 2 2 2 3 2 3 2 5" xfId="12127" xr:uid="{3447B201-C638-42ED-8548-2E2D4D3F3066}"/>
    <cellStyle name="Cálculo 2 2 2 2 2 2 3 2 3 3" xfId="12128" xr:uid="{0192BC06-8268-4820-B432-9A905B8544B7}"/>
    <cellStyle name="Cálculo 2 2 2 2 2 2 3 2 3 4" xfId="12129" xr:uid="{DA419BA7-567D-4174-B310-240B7A64D5E8}"/>
    <cellStyle name="Cálculo 2 2 2 2 2 2 3 2 3 5" xfId="12130" xr:uid="{A7B2B2E8-9E05-4027-83D4-BAA093AC2984}"/>
    <cellStyle name="Cálculo 2 2 2 2 2 2 3 2 3 6" xfId="12131" xr:uid="{01CEEA83-D12C-43A1-96AA-D33FC3BBB6B7}"/>
    <cellStyle name="Cálculo 2 2 2 2 2 2 3 2 4" xfId="12132" xr:uid="{D03F794D-7E58-4A14-A396-77671E7FD70F}"/>
    <cellStyle name="Cálculo 2 2 2 2 2 2 3 2 4 2" xfId="12133" xr:uid="{9A573A8D-79E3-4745-A6D2-FBAF1F56F04A}"/>
    <cellStyle name="Cálculo 2 2 2 2 2 2 3 2 4 2 2" xfId="12134" xr:uid="{03429C7B-A186-4B0E-83A6-656EE43F80E8}"/>
    <cellStyle name="Cálculo 2 2 2 2 2 2 3 2 4 2 3" xfId="12135" xr:uid="{6B6BBFE5-064E-440A-A415-B0FA06930C3C}"/>
    <cellStyle name="Cálculo 2 2 2 2 2 2 3 2 4 2 4" xfId="12136" xr:uid="{11F9F246-2F22-4714-9633-739500FABC2E}"/>
    <cellStyle name="Cálculo 2 2 2 2 2 2 3 2 4 2 5" xfId="12137" xr:uid="{1F87B3E1-E44E-4899-877A-8238611D6C40}"/>
    <cellStyle name="Cálculo 2 2 2 2 2 2 3 2 4 3" xfId="12138" xr:uid="{B142CBFC-3B49-46E8-9BD6-372BB18A43E5}"/>
    <cellStyle name="Cálculo 2 2 2 2 2 2 3 2 4 4" xfId="12139" xr:uid="{63218E0A-A2E9-4110-B40B-BE3EA3BBA82F}"/>
    <cellStyle name="Cálculo 2 2 2 2 2 2 3 2 4 5" xfId="12140" xr:uid="{A6AAC0E9-5F9D-4B20-940B-B3F01100864A}"/>
    <cellStyle name="Cálculo 2 2 2 2 2 2 3 2 4 6" xfId="12141" xr:uid="{735C1D2E-0939-49FA-A7AE-3CE9A5A77BFF}"/>
    <cellStyle name="Cálculo 2 2 2 2 2 2 3 2 5" xfId="12142" xr:uid="{095BEB43-6B1C-430D-BDB9-3515C1E2CC26}"/>
    <cellStyle name="Cálculo 2 2 2 2 2 2 3 2 5 2" xfId="12143" xr:uid="{BE166C6F-CDA9-430E-9A05-E61CE91F6486}"/>
    <cellStyle name="Cálculo 2 2 2 2 2 2 3 2 5 3" xfId="12144" xr:uid="{97CC4125-1FF5-4F48-8A84-F8127861CFAF}"/>
    <cellStyle name="Cálculo 2 2 2 2 2 2 3 2 5 4" xfId="12145" xr:uid="{C0991C6F-6D01-4000-898A-BF2CCF8E2C2C}"/>
    <cellStyle name="Cálculo 2 2 2 2 2 2 3 2 5 5" xfId="12146" xr:uid="{08787DAE-0FF1-4EC6-A22D-FE72CDE2557E}"/>
    <cellStyle name="Cálculo 2 2 2 2 2 2 3 2 6" xfId="12147" xr:uid="{6CE1D1EC-26AF-402B-96FC-372BCAF66C8F}"/>
    <cellStyle name="Cálculo 2 2 2 2 2 2 3 2 7" xfId="12148" xr:uid="{E9F98F7F-B097-4C88-848B-76593BFD106D}"/>
    <cellStyle name="Cálculo 2 2 2 2 2 2 3 2 8" xfId="12149" xr:uid="{387379C1-99D2-423A-8CE8-2A975CF2A282}"/>
    <cellStyle name="Cálculo 2 2 2 2 2 2 3 2 9" xfId="12150" xr:uid="{A410E9E9-EC91-4B3A-A012-BCB33A57C714}"/>
    <cellStyle name="Cálculo 2 2 2 2 2 2 3 3" xfId="12151" xr:uid="{5B97D001-D50C-43A0-A93F-8587E4466C9C}"/>
    <cellStyle name="Cálculo 2 2 2 2 2 2 3 3 2" xfId="12152" xr:uid="{9B516CB7-7B89-49B5-9F2C-D272554D2D6A}"/>
    <cellStyle name="Cálculo 2 2 2 2 2 2 3 3 2 2" xfId="12153" xr:uid="{F687843A-7A45-421C-9758-2C0F6EBE3FE3}"/>
    <cellStyle name="Cálculo 2 2 2 2 2 2 3 3 2 3" xfId="12154" xr:uid="{B082F0A6-4906-4AE6-81DF-D779C8411096}"/>
    <cellStyle name="Cálculo 2 2 2 2 2 2 3 3 2 4" xfId="12155" xr:uid="{DE49C891-7AD5-4DC6-850C-F7E9FCDE4B88}"/>
    <cellStyle name="Cálculo 2 2 2 2 2 2 3 3 2 5" xfId="12156" xr:uid="{AF92B76E-7F25-407A-9E8A-03FD996AE4A8}"/>
    <cellStyle name="Cálculo 2 2 2 2 2 2 3 3 3" xfId="12157" xr:uid="{22EC85E7-8CE8-4B80-BA14-C0482D8F350F}"/>
    <cellStyle name="Cálculo 2 2 2 2 2 2 3 3 4" xfId="12158" xr:uid="{3CE4960A-D550-4F17-8148-A37AFC6BA70A}"/>
    <cellStyle name="Cálculo 2 2 2 2 2 2 3 3 5" xfId="12159" xr:uid="{B34AFC77-6CF1-4461-B4ED-FB7D9D124C0B}"/>
    <cellStyle name="Cálculo 2 2 2 2 2 2 3 3 6" xfId="12160" xr:uid="{870A5051-FCAA-474B-A730-91BD9219C221}"/>
    <cellStyle name="Cálculo 2 2 2 2 2 2 3 4" xfId="12161" xr:uid="{3BCFF09C-C8DE-4BDD-A35F-403C8D0A6EED}"/>
    <cellStyle name="Cálculo 2 2 2 2 2 2 3 4 2" xfId="12162" xr:uid="{5DD9042F-B138-4920-975D-B15A6267F576}"/>
    <cellStyle name="Cálculo 2 2 2 2 2 2 3 4 2 2" xfId="12163" xr:uid="{F4FC77EF-0E3E-4E29-BA67-B9F2DA330FDE}"/>
    <cellStyle name="Cálculo 2 2 2 2 2 2 3 4 2 3" xfId="12164" xr:uid="{3297F22E-A546-434A-81A8-2DEC649A2490}"/>
    <cellStyle name="Cálculo 2 2 2 2 2 2 3 4 2 4" xfId="12165" xr:uid="{1D2EAF89-A1AD-49AF-8E02-C4F7F6678316}"/>
    <cellStyle name="Cálculo 2 2 2 2 2 2 3 4 2 5" xfId="12166" xr:uid="{6073B04F-8B7A-42C8-AE7D-5E4B9E889035}"/>
    <cellStyle name="Cálculo 2 2 2 2 2 2 3 4 3" xfId="12167" xr:uid="{D13BBE84-D270-44FE-B268-F281B948F872}"/>
    <cellStyle name="Cálculo 2 2 2 2 2 2 3 4 4" xfId="12168" xr:uid="{03935205-85D5-4BEC-AC34-5E5E38F57464}"/>
    <cellStyle name="Cálculo 2 2 2 2 2 2 3 4 5" xfId="12169" xr:uid="{14DA23D5-650B-4ACF-8398-82AC5C08D16F}"/>
    <cellStyle name="Cálculo 2 2 2 2 2 2 3 4 6" xfId="12170" xr:uid="{37DD67FA-7DE9-48CD-8CAB-BF5F6308618C}"/>
    <cellStyle name="Cálculo 2 2 2 2 2 2 3 5" xfId="12171" xr:uid="{1D26F5CD-C851-4A61-A9B9-A572FF8BC4F4}"/>
    <cellStyle name="Cálculo 2 2 2 2 2 2 3 5 2" xfId="12172" xr:uid="{874E65AD-F486-4CB9-87CB-B5E3ED793E2A}"/>
    <cellStyle name="Cálculo 2 2 2 2 2 2 3 5 3" xfId="12173" xr:uid="{2ADD57FA-A7F2-4F20-8E87-2CFAF4CCFAF5}"/>
    <cellStyle name="Cálculo 2 2 2 2 2 2 3 5 4" xfId="12174" xr:uid="{A1312BB9-52CC-44E0-B3BD-31B2A7AAC66F}"/>
    <cellStyle name="Cálculo 2 2 2 2 2 2 3 5 5" xfId="12175" xr:uid="{A1667AF0-9945-4040-975F-5B3FD958AD72}"/>
    <cellStyle name="Cálculo 2 2 2 2 2 2 3 6" xfId="12176" xr:uid="{8C8EEA39-8F25-469F-AC7E-FAC99B26A3E4}"/>
    <cellStyle name="Cálculo 2 2 2 2 2 2 3 7" xfId="12177" xr:uid="{49FDBDAC-470E-4F9A-AE15-631D78DDC0E9}"/>
    <cellStyle name="Cálculo 2 2 2 2 2 2 3 8" xfId="12178" xr:uid="{55C13EF7-5552-464C-BAA4-EAD6EDBF6B78}"/>
    <cellStyle name="Cálculo 2 2 2 2 2 2 3 9" xfId="12179" xr:uid="{FA9CEBFF-F709-448A-B5CE-42BC3DA6B4E1}"/>
    <cellStyle name="Cálculo 2 2 2 2 2 2 4" xfId="12180" xr:uid="{FAB7479E-CEDE-4A56-8716-D7D21C3FDA3F}"/>
    <cellStyle name="Cálculo 2 2 2 2 2 2 4 2" xfId="12181" xr:uid="{F135A992-9B4E-4EB9-93BB-CE80BB1C7616}"/>
    <cellStyle name="Cálculo 2 2 2 2 2 2 4 2 2" xfId="12182" xr:uid="{49FEA762-ADB0-4DDD-8FBA-DE68F3C28751}"/>
    <cellStyle name="Cálculo 2 2 2 2 2 2 4 2 3" xfId="12183" xr:uid="{8482CA06-384F-42CB-9302-89E0A02C6E42}"/>
    <cellStyle name="Cálculo 2 2 2 2 2 2 4 2 4" xfId="12184" xr:uid="{FA3E0215-0AF3-49D0-A1D3-9FA3A26D35B4}"/>
    <cellStyle name="Cálculo 2 2 2 2 2 2 4 2 5" xfId="12185" xr:uid="{E7FD94C9-63A2-47A8-82C7-EE31DA10881B}"/>
    <cellStyle name="Cálculo 2 2 2 2 2 2 4 3" xfId="12186" xr:uid="{E951923C-FCC8-44DC-B857-29160FE0A923}"/>
    <cellStyle name="Cálculo 2 2 2 2 2 2 4 4" xfId="12187" xr:uid="{F709990C-8A14-4A49-9F87-CBBC5F3F8CDC}"/>
    <cellStyle name="Cálculo 2 2 2 2 2 2 4 5" xfId="12188" xr:uid="{EC7FE22B-88EB-4235-9CC1-66308D25ABD3}"/>
    <cellStyle name="Cálculo 2 2 2 2 2 2 4 6" xfId="12189" xr:uid="{6E684EAB-41F5-49C3-ABB0-96F700DB0FB3}"/>
    <cellStyle name="Cálculo 2 2 2 2 2 2 5" xfId="12190" xr:uid="{6F0D9B81-D8CB-437D-A4EB-8EA57A3D8599}"/>
    <cellStyle name="Cálculo 2 2 2 2 2 2 5 2" xfId="12191" xr:uid="{FC1E9ABE-1A57-4BCF-9D79-81726BD40C3F}"/>
    <cellStyle name="Cálculo 2 2 2 2 2 2 5 2 2" xfId="12192" xr:uid="{9B393682-E97C-4337-844C-A0500ECBFB14}"/>
    <cellStyle name="Cálculo 2 2 2 2 2 2 5 2 3" xfId="12193" xr:uid="{15D0F598-A59E-41AC-AEF2-563FD626C252}"/>
    <cellStyle name="Cálculo 2 2 2 2 2 2 5 2 4" xfId="12194" xr:uid="{B877A4F3-95CF-4247-A50A-6A2036AD9ED4}"/>
    <cellStyle name="Cálculo 2 2 2 2 2 2 5 2 5" xfId="12195" xr:uid="{AFDD3E79-A852-4A10-9B06-2C06AC8E28C1}"/>
    <cellStyle name="Cálculo 2 2 2 2 2 2 5 3" xfId="12196" xr:uid="{E09843EF-BBE0-417F-A188-6E1397BACBAA}"/>
    <cellStyle name="Cálculo 2 2 2 2 2 2 5 4" xfId="12197" xr:uid="{56127B0E-96F3-4170-9DD4-514573BC1FF4}"/>
    <cellStyle name="Cálculo 2 2 2 2 2 2 5 5" xfId="12198" xr:uid="{BDD886E2-E06E-4375-B783-1028E6947896}"/>
    <cellStyle name="Cálculo 2 2 2 2 2 2 5 6" xfId="12199" xr:uid="{A97A14FD-0A3A-4243-9A63-11EFEF9FEB86}"/>
    <cellStyle name="Cálculo 2 2 2 2 2 2 6" xfId="12200" xr:uid="{0467D206-CB9F-465D-8BD0-7108D8D3C9E9}"/>
    <cellStyle name="Cálculo 2 2 2 2 2 2 6 2" xfId="12201" xr:uid="{70A9351E-0C84-4BF9-A6A0-5ADCA00DD762}"/>
    <cellStyle name="Cálculo 2 2 2 2 2 2 6 2 2" xfId="12202" xr:uid="{FE1EE050-0D47-41E9-B450-EAF484ED5FC6}"/>
    <cellStyle name="Cálculo 2 2 2 2 2 2 6 2 3" xfId="12203" xr:uid="{04F52F8A-5F80-45DD-B924-0A08946C7040}"/>
    <cellStyle name="Cálculo 2 2 2 2 2 2 6 2 4" xfId="12204" xr:uid="{C90B8695-B463-4912-B6CA-708682A89DA3}"/>
    <cellStyle name="Cálculo 2 2 2 2 2 2 6 2 5" xfId="12205" xr:uid="{91040814-4329-4A7D-9665-56BE99B6C41F}"/>
    <cellStyle name="Cálculo 2 2 2 2 2 2 6 3" xfId="12206" xr:uid="{301FD853-8861-4581-BB8A-A77AE094DD1B}"/>
    <cellStyle name="Cálculo 2 2 2 2 2 2 6 4" xfId="12207" xr:uid="{5A69009C-DEAE-4CC1-80C4-3D1F2A2DBAB2}"/>
    <cellStyle name="Cálculo 2 2 2 2 2 2 6 5" xfId="12208" xr:uid="{96FA763B-9DF6-449D-995C-030034E6202F}"/>
    <cellStyle name="Cálculo 2 2 2 2 2 2 6 6" xfId="12209" xr:uid="{06745D78-A6A7-45B7-866C-D33E4D683222}"/>
    <cellStyle name="Cálculo 2 2 2 2 2 2 7" xfId="12210" xr:uid="{28AF825D-F154-4C3D-B326-73250D5B0603}"/>
    <cellStyle name="Cálculo 2 2 2 2 2 2 7 2" xfId="12211" xr:uid="{2B1C0133-CBE0-4C9E-8EE2-8E7275EBA841}"/>
    <cellStyle name="Cálculo 2 2 2 2 2 2 7 3" xfId="12212" xr:uid="{19358FDF-30F3-4AE1-8EEC-118945A64A54}"/>
    <cellStyle name="Cálculo 2 2 2 2 2 2 7 4" xfId="12213" xr:uid="{1BC79C7D-581C-4D61-878F-A6E2A1547185}"/>
    <cellStyle name="Cálculo 2 2 2 2 2 2 7 5" xfId="12214" xr:uid="{0B59E456-7FB7-44DA-B685-97C0CB98B8D8}"/>
    <cellStyle name="Cálculo 2 2 2 2 2 2 8" xfId="12215" xr:uid="{20BA0B52-1184-4FD7-9574-4FF4197BBE13}"/>
    <cellStyle name="Cálculo 2 2 2 2 2 2 9" xfId="12216" xr:uid="{7A5FC25B-9533-4BAB-B8E6-70265EC24147}"/>
    <cellStyle name="Cálculo 2 2 2 2 2 3" xfId="12217" xr:uid="{CB09682B-A6AF-4611-B2F0-2FB6F456DB4C}"/>
    <cellStyle name="Cálculo 2 2 2 2 2 3 10" xfId="12218" xr:uid="{49E59916-58EC-423A-A8E0-D9F4EF499DF2}"/>
    <cellStyle name="Cálculo 2 2 2 2 2 3 11" xfId="12219" xr:uid="{028D4AF9-06B3-4FEF-91F2-4D8C914E8F28}"/>
    <cellStyle name="Cálculo 2 2 2 2 2 3 12" xfId="12220" xr:uid="{4A0E3B7C-AFAA-4707-AADB-DED04AEA4118}"/>
    <cellStyle name="Cálculo 2 2 2 2 2 3 2" xfId="12221" xr:uid="{5FBF6B94-9623-46AF-9701-8BC8B8294F3B}"/>
    <cellStyle name="Cálculo 2 2 2 2 2 3 2 10" xfId="12222" xr:uid="{2D4E97F4-67D8-4CD2-9377-038127746303}"/>
    <cellStyle name="Cálculo 2 2 2 2 2 3 2 11" xfId="12223" xr:uid="{C08B291A-9ACE-4ECB-B7CA-7E017B2C56CC}"/>
    <cellStyle name="Cálculo 2 2 2 2 2 3 2 12" xfId="12224" xr:uid="{73595FE8-5806-49B3-B4C4-B74B7C292240}"/>
    <cellStyle name="Cálculo 2 2 2 2 2 3 2 2" xfId="12225" xr:uid="{0D1765AF-21F4-4D89-841D-A5BF3C31302E}"/>
    <cellStyle name="Cálculo 2 2 2 2 2 3 2 2 2" xfId="12226" xr:uid="{3A397887-81F1-4CB4-BA79-38050723EC64}"/>
    <cellStyle name="Cálculo 2 2 2 2 2 3 2 2 2 2" xfId="12227" xr:uid="{0B4FE7ED-53A9-4ADD-A082-34BC71336A2E}"/>
    <cellStyle name="Cálculo 2 2 2 2 2 3 2 2 2 3" xfId="12228" xr:uid="{CA9D009C-CEC3-41A4-A1CA-83F11873DF24}"/>
    <cellStyle name="Cálculo 2 2 2 2 2 3 2 2 2 4" xfId="12229" xr:uid="{BF62BE59-1251-47F8-9B81-BBF7C1849384}"/>
    <cellStyle name="Cálculo 2 2 2 2 2 3 2 2 2 5" xfId="12230" xr:uid="{AC145536-9775-4D33-986F-7B163BBB1BB1}"/>
    <cellStyle name="Cálculo 2 2 2 2 2 3 2 2 3" xfId="12231" xr:uid="{64F9F6F8-76AC-4FB6-8355-181CC3DEBF3A}"/>
    <cellStyle name="Cálculo 2 2 2 2 2 3 2 2 4" xfId="12232" xr:uid="{C57B38B6-4F07-4728-A988-FDBEF0F32457}"/>
    <cellStyle name="Cálculo 2 2 2 2 2 3 2 2 5" xfId="12233" xr:uid="{DB6ACB24-F2C6-44C8-A49C-CBCC74387579}"/>
    <cellStyle name="Cálculo 2 2 2 2 2 3 2 2 6" xfId="12234" xr:uid="{D33FC2ED-0A7F-46DC-9287-384B7C0D63F2}"/>
    <cellStyle name="Cálculo 2 2 2 2 2 3 2 3" xfId="12235" xr:uid="{D60456D5-16A4-4D76-B89D-D822C470E732}"/>
    <cellStyle name="Cálculo 2 2 2 2 2 3 2 3 2" xfId="12236" xr:uid="{87AC16DD-0395-4B7C-B4FE-3B5B7C27D8F3}"/>
    <cellStyle name="Cálculo 2 2 2 2 2 3 2 3 2 2" xfId="12237" xr:uid="{B02AC71E-561D-452E-B1AE-B8C72848332D}"/>
    <cellStyle name="Cálculo 2 2 2 2 2 3 2 3 2 3" xfId="12238" xr:uid="{16CCE4B1-44EE-4A67-913A-20037E42831F}"/>
    <cellStyle name="Cálculo 2 2 2 2 2 3 2 3 2 4" xfId="12239" xr:uid="{7036A547-DBB8-48CA-95DE-73E328057DAA}"/>
    <cellStyle name="Cálculo 2 2 2 2 2 3 2 3 2 5" xfId="12240" xr:uid="{F39E1AD1-0EB9-4A3B-9851-75B789C43687}"/>
    <cellStyle name="Cálculo 2 2 2 2 2 3 2 3 3" xfId="12241" xr:uid="{3A83B117-EAA3-4977-B07F-99FE729BE32C}"/>
    <cellStyle name="Cálculo 2 2 2 2 2 3 2 3 4" xfId="12242" xr:uid="{BFE5D93F-8738-437C-A1C9-026E5889B3CD}"/>
    <cellStyle name="Cálculo 2 2 2 2 2 3 2 3 5" xfId="12243" xr:uid="{16106DA8-1CFF-484B-A371-95E7352B0D8C}"/>
    <cellStyle name="Cálculo 2 2 2 2 2 3 2 3 6" xfId="12244" xr:uid="{C47900A8-616F-4087-974F-3CD2B4AD2A52}"/>
    <cellStyle name="Cálculo 2 2 2 2 2 3 2 4" xfId="12245" xr:uid="{9B267D4F-4F53-4A17-93B2-868A8BAB8BEC}"/>
    <cellStyle name="Cálculo 2 2 2 2 2 3 2 4 2" xfId="12246" xr:uid="{878A9BCA-0B31-4A9F-BE57-4AA61F4E6C4C}"/>
    <cellStyle name="Cálculo 2 2 2 2 2 3 2 4 2 2" xfId="12247" xr:uid="{C699EC4A-5217-4BDF-B571-DC0AA5B4A797}"/>
    <cellStyle name="Cálculo 2 2 2 2 2 3 2 4 2 3" xfId="12248" xr:uid="{DC68563A-940F-4DB5-BF9E-187CCDAB59CA}"/>
    <cellStyle name="Cálculo 2 2 2 2 2 3 2 4 2 4" xfId="12249" xr:uid="{9AB7E629-27A5-475E-AA0A-0504301FCD28}"/>
    <cellStyle name="Cálculo 2 2 2 2 2 3 2 4 2 5" xfId="12250" xr:uid="{0AABC766-22CA-4BCA-9C9D-F3D971B0A9D5}"/>
    <cellStyle name="Cálculo 2 2 2 2 2 3 2 4 3" xfId="12251" xr:uid="{5E6E60F9-8124-4879-A7BA-6697D229B4B8}"/>
    <cellStyle name="Cálculo 2 2 2 2 2 3 2 4 4" xfId="12252" xr:uid="{FE549D36-96B0-4B44-BD77-E2C8A8C5EFED}"/>
    <cellStyle name="Cálculo 2 2 2 2 2 3 2 4 5" xfId="12253" xr:uid="{A3024525-C167-4F93-B85F-154C243CC75B}"/>
    <cellStyle name="Cálculo 2 2 2 2 2 3 2 4 6" xfId="12254" xr:uid="{AF6377D7-7108-474A-9305-25CC2C568706}"/>
    <cellStyle name="Cálculo 2 2 2 2 2 3 2 5" xfId="12255" xr:uid="{2064424A-45E0-4B38-A3A6-8EA42016338A}"/>
    <cellStyle name="Cálculo 2 2 2 2 2 3 2 5 2" xfId="12256" xr:uid="{4594CFEC-B434-4258-AA11-A6787495E88D}"/>
    <cellStyle name="Cálculo 2 2 2 2 2 3 2 5 3" xfId="12257" xr:uid="{BC85AC37-7023-4871-92A4-2B7B809CC186}"/>
    <cellStyle name="Cálculo 2 2 2 2 2 3 2 5 4" xfId="12258" xr:uid="{533DE864-C824-45BA-BCC2-04201CE09214}"/>
    <cellStyle name="Cálculo 2 2 2 2 2 3 2 5 5" xfId="12259" xr:uid="{9C958996-FEAE-4160-A495-D6BE2A53DA68}"/>
    <cellStyle name="Cálculo 2 2 2 2 2 3 2 6" xfId="12260" xr:uid="{B3090145-43C6-4E65-8657-DD0D8FD8D392}"/>
    <cellStyle name="Cálculo 2 2 2 2 2 3 2 7" xfId="12261" xr:uid="{64644201-2F9E-4541-A7C8-AF120A24CC7F}"/>
    <cellStyle name="Cálculo 2 2 2 2 2 3 2 8" xfId="12262" xr:uid="{A2C0AC0C-0E90-4710-93C2-D62C257D7947}"/>
    <cellStyle name="Cálculo 2 2 2 2 2 3 2 9" xfId="12263" xr:uid="{641D714C-763D-4A03-8BCA-4DE3F0574B6F}"/>
    <cellStyle name="Cálculo 2 2 2 2 2 3 3" xfId="12264" xr:uid="{6C05FC60-5E20-4006-B757-906DE8332A42}"/>
    <cellStyle name="Cálculo 2 2 2 2 2 3 3 2" xfId="12265" xr:uid="{F8763272-326F-4ABB-AC01-51B64E3F98CE}"/>
    <cellStyle name="Cálculo 2 2 2 2 2 3 3 2 2" xfId="12266" xr:uid="{AB1957A7-ECA7-4691-B9E6-C5634D5C383A}"/>
    <cellStyle name="Cálculo 2 2 2 2 2 3 3 2 3" xfId="12267" xr:uid="{2EBFD6D5-ABA6-4A19-AA4E-B7FBBA46E54B}"/>
    <cellStyle name="Cálculo 2 2 2 2 2 3 3 2 4" xfId="12268" xr:uid="{59742D30-129C-4C43-93F8-39E837ECD03B}"/>
    <cellStyle name="Cálculo 2 2 2 2 2 3 3 2 5" xfId="12269" xr:uid="{7050BA94-A537-42B4-87D5-E5B322957B12}"/>
    <cellStyle name="Cálculo 2 2 2 2 2 3 3 3" xfId="12270" xr:uid="{4DCA654E-62D0-4F4F-80DF-F9C818CC9845}"/>
    <cellStyle name="Cálculo 2 2 2 2 2 3 3 4" xfId="12271" xr:uid="{FC53037C-A139-4E63-8E14-1A354F2037AA}"/>
    <cellStyle name="Cálculo 2 2 2 2 2 3 3 5" xfId="12272" xr:uid="{B9773A91-D9EA-4C30-9565-168BA4ABDBC6}"/>
    <cellStyle name="Cálculo 2 2 2 2 2 3 3 6" xfId="12273" xr:uid="{DCA21793-A0B9-417B-8F46-E9A53620726A}"/>
    <cellStyle name="Cálculo 2 2 2 2 2 3 4" xfId="12274" xr:uid="{AE9719FE-AB37-4006-AD26-0F41C3421543}"/>
    <cellStyle name="Cálculo 2 2 2 2 2 3 4 2" xfId="12275" xr:uid="{31F26F05-FD59-4733-92B6-360F20007A74}"/>
    <cellStyle name="Cálculo 2 2 2 2 2 3 4 2 2" xfId="12276" xr:uid="{D6E614C0-AD2C-4E3B-9E8D-7B04100208A9}"/>
    <cellStyle name="Cálculo 2 2 2 2 2 3 4 2 3" xfId="12277" xr:uid="{4C203450-D1C3-4CFF-BD59-21160D0DBB36}"/>
    <cellStyle name="Cálculo 2 2 2 2 2 3 4 2 4" xfId="12278" xr:uid="{3C259F9C-5368-4254-9171-E897E87F0ED9}"/>
    <cellStyle name="Cálculo 2 2 2 2 2 3 4 2 5" xfId="12279" xr:uid="{4516A641-F1D9-4DF1-B842-BCCC0A0E2DD6}"/>
    <cellStyle name="Cálculo 2 2 2 2 2 3 4 3" xfId="12280" xr:uid="{8F5E87F0-61BA-4074-B598-CEE16BC62681}"/>
    <cellStyle name="Cálculo 2 2 2 2 2 3 4 4" xfId="12281" xr:uid="{B8B0D7CC-F60B-4CF4-92EC-0CDFC0374D1A}"/>
    <cellStyle name="Cálculo 2 2 2 2 2 3 4 5" xfId="12282" xr:uid="{7A2CF8EC-1342-48E2-84A3-3C2C0F1C1DE6}"/>
    <cellStyle name="Cálculo 2 2 2 2 2 3 4 6" xfId="12283" xr:uid="{930AC7EC-563B-41AA-BB06-E748F54A11C3}"/>
    <cellStyle name="Cálculo 2 2 2 2 2 3 5" xfId="12284" xr:uid="{038C344E-53CA-4737-8B9A-A53C723213CD}"/>
    <cellStyle name="Cálculo 2 2 2 2 2 3 5 2" xfId="12285" xr:uid="{E84F7F72-C228-4265-AB6A-DDB55FDF67DF}"/>
    <cellStyle name="Cálculo 2 2 2 2 2 3 5 3" xfId="12286" xr:uid="{0F4CC81C-B14A-4293-9EC4-FE61B469A235}"/>
    <cellStyle name="Cálculo 2 2 2 2 2 3 5 4" xfId="12287" xr:uid="{5C4E67C9-4EF5-4451-AA16-067AD072AB6C}"/>
    <cellStyle name="Cálculo 2 2 2 2 2 3 5 5" xfId="12288" xr:uid="{63DE0457-7B43-4DF0-A5C1-C4D12D18D5B2}"/>
    <cellStyle name="Cálculo 2 2 2 2 2 3 6" xfId="12289" xr:uid="{CBA34BC7-155C-4C1B-A174-080CB2DED98C}"/>
    <cellStyle name="Cálculo 2 2 2 2 2 3 7" xfId="12290" xr:uid="{1055659A-41F7-4FA4-BD01-55C203DCC2F6}"/>
    <cellStyle name="Cálculo 2 2 2 2 2 3 8" xfId="12291" xr:uid="{26652428-4D66-410A-A15D-10227CDA4465}"/>
    <cellStyle name="Cálculo 2 2 2 2 2 3 9" xfId="12292" xr:uid="{106D69A1-B7E1-4A41-8018-22D792C92FE2}"/>
    <cellStyle name="Cálculo 2 2 2 2 2 4" xfId="12293" xr:uid="{976DE044-9031-49D3-A255-A9F515E830D8}"/>
    <cellStyle name="Cálculo 2 2 2 2 2 4 2" xfId="12294" xr:uid="{0777C951-8C3F-481C-964D-E939893DA47F}"/>
    <cellStyle name="Cálculo 2 2 2 2 2 4 2 2" xfId="12295" xr:uid="{3FEA4A5B-0C58-4AC7-8FA9-E5BFC28B163F}"/>
    <cellStyle name="Cálculo 2 2 2 2 2 4 2 3" xfId="12296" xr:uid="{C12245EB-5145-4F5D-BC16-CA79CFCF2646}"/>
    <cellStyle name="Cálculo 2 2 2 2 2 4 2 4" xfId="12297" xr:uid="{8162C553-7C80-4359-B3B2-EF440DEFCF70}"/>
    <cellStyle name="Cálculo 2 2 2 2 2 4 2 5" xfId="12298" xr:uid="{4BE63413-45F4-4120-93F6-54AFAB907E27}"/>
    <cellStyle name="Cálculo 2 2 2 2 2 4 3" xfId="12299" xr:uid="{14A9B77B-945D-41E5-94D3-C3B7D4DA7AB1}"/>
    <cellStyle name="Cálculo 2 2 2 2 2 4 4" xfId="12300" xr:uid="{E4D21B8F-28B1-4A18-80AA-2BAAEEE78C6F}"/>
    <cellStyle name="Cálculo 2 2 2 2 2 4 5" xfId="12301" xr:uid="{985A8CC8-0218-4232-9CA6-8E2976015EA5}"/>
    <cellStyle name="Cálculo 2 2 2 2 2 4 6" xfId="12302" xr:uid="{F8D47F92-7611-48A1-B540-720B508FC30B}"/>
    <cellStyle name="Cálculo 2 2 2 2 2 5" xfId="12303" xr:uid="{1F6F1D79-3B38-4AEA-AEF0-A01EE5D6FA0C}"/>
    <cellStyle name="Cálculo 2 2 2 2 2 5 2" xfId="12304" xr:uid="{AD39A125-F75B-4309-B413-2E8EB81AE2C5}"/>
    <cellStyle name="Cálculo 2 2 2 2 2 5 2 2" xfId="12305" xr:uid="{58EF5B27-0FDB-4C93-BA75-C2FD7BA2D265}"/>
    <cellStyle name="Cálculo 2 2 2 2 2 5 2 3" xfId="12306" xr:uid="{C2E6DE85-7DFD-4336-9B43-C5BE77D26DD8}"/>
    <cellStyle name="Cálculo 2 2 2 2 2 5 2 4" xfId="12307" xr:uid="{64980614-3D3A-4F41-8E6B-8EE7AF374608}"/>
    <cellStyle name="Cálculo 2 2 2 2 2 5 2 5" xfId="12308" xr:uid="{C3C922D6-9352-4A97-A5D8-EC4F02455EDD}"/>
    <cellStyle name="Cálculo 2 2 2 2 2 5 3" xfId="12309" xr:uid="{46B22F4A-19CA-420A-A855-D5826D9D6335}"/>
    <cellStyle name="Cálculo 2 2 2 2 2 5 4" xfId="12310" xr:uid="{0D470144-9C48-4823-BE51-67EC391FA233}"/>
    <cellStyle name="Cálculo 2 2 2 2 2 5 5" xfId="12311" xr:uid="{FED1ACF4-DDB4-40D6-B896-343B230928B3}"/>
    <cellStyle name="Cálculo 2 2 2 2 2 5 6" xfId="12312" xr:uid="{94C73213-EC62-4FEF-BEB3-6FA1F253A802}"/>
    <cellStyle name="Cálculo 2 2 2 2 2 6" xfId="12313" xr:uid="{7C38499E-7921-4D56-BAFB-FA356ED85B7A}"/>
    <cellStyle name="Cálculo 2 2 2 2 2 6 2" xfId="12314" xr:uid="{0FC651CC-CAB4-4BF9-9B83-809A0C4DFF66}"/>
    <cellStyle name="Cálculo 2 2 2 2 2 6 2 2" xfId="12315" xr:uid="{63EC894E-A54A-43EA-B806-591E1550FADB}"/>
    <cellStyle name="Cálculo 2 2 2 2 2 6 2 3" xfId="12316" xr:uid="{FCE6F793-F5A3-49A7-9AFA-492448A46704}"/>
    <cellStyle name="Cálculo 2 2 2 2 2 6 2 4" xfId="12317" xr:uid="{6262EFDC-520F-4E1B-8F77-6B6C87F6C5D0}"/>
    <cellStyle name="Cálculo 2 2 2 2 2 6 2 5" xfId="12318" xr:uid="{5198C7C0-EFD0-45CB-8D6E-95C18CE9DA73}"/>
    <cellStyle name="Cálculo 2 2 2 2 2 6 3" xfId="12319" xr:uid="{2AEAEA25-136F-480D-BB98-1D90859511ED}"/>
    <cellStyle name="Cálculo 2 2 2 2 2 6 4" xfId="12320" xr:uid="{E8FD277C-243F-465F-BBC6-7C95CB8C9CBA}"/>
    <cellStyle name="Cálculo 2 2 2 2 2 6 5" xfId="12321" xr:uid="{57FDD8C9-3A16-4B5E-A045-B3114F565D95}"/>
    <cellStyle name="Cálculo 2 2 2 2 2 6 6" xfId="12322" xr:uid="{CAE56067-B54E-4CFE-8407-8D3C444BEEC8}"/>
    <cellStyle name="Cálculo 2 2 2 2 2 7" xfId="12323" xr:uid="{2C8BDC0C-9583-4D48-831D-052FF9E8CF16}"/>
    <cellStyle name="Cálculo 2 2 2 2 2 7 2" xfId="12324" xr:uid="{4CA31937-6B03-4561-AA53-2F0A752F6174}"/>
    <cellStyle name="Cálculo 2 2 2 2 2 7 3" xfId="12325" xr:uid="{8C0758C3-9106-47F5-A019-25B0AFB88DF5}"/>
    <cellStyle name="Cálculo 2 2 2 2 2 7 4" xfId="12326" xr:uid="{7A74E969-10C8-4AF2-AB2A-45112785359E}"/>
    <cellStyle name="Cálculo 2 2 2 2 2 7 5" xfId="12327" xr:uid="{216BD65D-1504-4F74-9208-095A0B121107}"/>
    <cellStyle name="Cálculo 2 2 2 2 2 8" xfId="12328" xr:uid="{0824F990-968B-4A67-A469-818FC97F9560}"/>
    <cellStyle name="Cálculo 2 2 2 2 2 9" xfId="12329" xr:uid="{6C43F81B-DA75-464D-BFED-D53486C267F6}"/>
    <cellStyle name="Cálculo 2 2 2 2 3" xfId="12330" xr:uid="{B119B548-5529-4BDB-9891-4755A717610E}"/>
    <cellStyle name="Cálculo 2 2 2 2 3 2" xfId="12331" xr:uid="{3F947D0D-872D-40A4-BCDB-494827C74E5A}"/>
    <cellStyle name="Cálculo 2 2 2 2 3 2 2" xfId="12332" xr:uid="{EC811416-D4AF-490C-A497-149B25D278BF}"/>
    <cellStyle name="Cálculo 2 2 2 2 3 2 3" xfId="12333" xr:uid="{C8E50AAA-C110-4A1D-B6B8-3E2201A764D7}"/>
    <cellStyle name="Cálculo 2 2 2 2 3 2 4" xfId="12334" xr:uid="{D592BB5B-FFF7-4592-A672-0F4B9352F921}"/>
    <cellStyle name="Cálculo 2 2 2 2 3 2 5" xfId="12335" xr:uid="{E57C5ED7-6E58-4C6B-A8DD-B84EA5513B9D}"/>
    <cellStyle name="Cálculo 2 2 2 2 3 3" xfId="12336" xr:uid="{B40B92A3-76FC-4E0D-8A67-0EE6B8CAABBE}"/>
    <cellStyle name="Cálculo 2 2 2 2 3 4" xfId="12337" xr:uid="{95D87EA6-064D-40B1-8C24-2B7FB8CDFA91}"/>
    <cellStyle name="Cálculo 2 2 2 2 3 5" xfId="12338" xr:uid="{016D7BCD-4406-4382-9510-C2758C51AB7D}"/>
    <cellStyle name="Cálculo 2 2 2 2 3 6" xfId="12339" xr:uid="{E22F5822-9CA2-40B5-83B9-F042C0EFB951}"/>
    <cellStyle name="Cálculo 2 2 2 2 3 7" xfId="12340" xr:uid="{D63FF5D1-B1A1-41AE-A97E-84BBA3EB678D}"/>
    <cellStyle name="Cálculo 2 2 2 2 3 8" xfId="12341" xr:uid="{3E292EAA-A03F-4400-AA92-87F7E599BFE5}"/>
    <cellStyle name="Cálculo 2 2 2 2 3 9" xfId="12342" xr:uid="{55C7FB05-AEB6-4A25-8288-E6C3CA875C01}"/>
    <cellStyle name="Cálculo 2 2 2 2 4" xfId="12343" xr:uid="{D2054CF4-FFEF-49D5-8569-9141F8CFEADC}"/>
    <cellStyle name="Cálculo 2 2 2 2 4 10" xfId="12344" xr:uid="{FDDE2841-FCC0-4FB3-9681-C4BBAFEECFD3}"/>
    <cellStyle name="Cálculo 2 2 2 2 4 11" xfId="12345" xr:uid="{6C34EC38-47F3-41C2-98AE-081D92E1CCAF}"/>
    <cellStyle name="Cálculo 2 2 2 2 4 12" xfId="12346" xr:uid="{5CF3C211-C7DA-4284-9D99-D887F7762050}"/>
    <cellStyle name="Cálculo 2 2 2 2 4 2" xfId="12347" xr:uid="{53C351E3-4916-40D2-860D-EE8C453E4A7E}"/>
    <cellStyle name="Cálculo 2 2 2 2 4 2 10" xfId="12348" xr:uid="{4050250E-03C6-44FB-B2DD-D78E57418B84}"/>
    <cellStyle name="Cálculo 2 2 2 2 4 2 11" xfId="12349" xr:uid="{86160218-AA4E-4260-9EA9-CD88DBA893D5}"/>
    <cellStyle name="Cálculo 2 2 2 2 4 2 12" xfId="12350" xr:uid="{949A9210-1DFE-46E5-95A0-4DEC93E6501B}"/>
    <cellStyle name="Cálculo 2 2 2 2 4 2 2" xfId="12351" xr:uid="{7835F43B-A20F-446B-869E-0AC9D3D63BEE}"/>
    <cellStyle name="Cálculo 2 2 2 2 4 2 2 2" xfId="12352" xr:uid="{EB202347-55B1-426F-A51C-F4BDD81960C1}"/>
    <cellStyle name="Cálculo 2 2 2 2 4 2 2 2 2" xfId="12353" xr:uid="{E70518D9-44BA-43E3-BD8F-B44A4D5470AB}"/>
    <cellStyle name="Cálculo 2 2 2 2 4 2 2 2 3" xfId="12354" xr:uid="{C1D8FE64-A27C-4BE1-9C11-FB3BC51F410A}"/>
    <cellStyle name="Cálculo 2 2 2 2 4 2 2 2 4" xfId="12355" xr:uid="{D3FE2CAF-DFAC-4C05-B4E8-D6AD94E0EC54}"/>
    <cellStyle name="Cálculo 2 2 2 2 4 2 2 2 5" xfId="12356" xr:uid="{C2887DCA-1E90-4A15-9303-E8822A982272}"/>
    <cellStyle name="Cálculo 2 2 2 2 4 2 2 3" xfId="12357" xr:uid="{3AC55A37-766F-44FA-BB34-BA8399CA57D2}"/>
    <cellStyle name="Cálculo 2 2 2 2 4 2 2 4" xfId="12358" xr:uid="{F0CC13E7-5C8B-45C3-A346-89D85C5B5CB2}"/>
    <cellStyle name="Cálculo 2 2 2 2 4 2 2 5" xfId="12359" xr:uid="{316AC444-7209-4A3D-A6AB-F895E60C2A38}"/>
    <cellStyle name="Cálculo 2 2 2 2 4 2 2 6" xfId="12360" xr:uid="{F9A15E76-01DE-4CAA-91BD-53C2E8106A2A}"/>
    <cellStyle name="Cálculo 2 2 2 2 4 2 3" xfId="12361" xr:uid="{E8423937-0927-4D8A-B8F0-DAF398607EEB}"/>
    <cellStyle name="Cálculo 2 2 2 2 4 2 3 2" xfId="12362" xr:uid="{F68AD5F1-A2E4-485F-9FD3-5D4260B5BD4D}"/>
    <cellStyle name="Cálculo 2 2 2 2 4 2 3 2 2" xfId="12363" xr:uid="{888AC47B-57B2-4023-A41E-E687E5847B16}"/>
    <cellStyle name="Cálculo 2 2 2 2 4 2 3 2 3" xfId="12364" xr:uid="{D3759073-E1DE-46CD-8EEF-C8927D2728C6}"/>
    <cellStyle name="Cálculo 2 2 2 2 4 2 3 2 4" xfId="12365" xr:uid="{F6E5C924-1E00-43BE-B2B7-AE39BD053655}"/>
    <cellStyle name="Cálculo 2 2 2 2 4 2 3 2 5" xfId="12366" xr:uid="{E867C3B1-A467-4F90-A956-E1373265A435}"/>
    <cellStyle name="Cálculo 2 2 2 2 4 2 3 3" xfId="12367" xr:uid="{680AC669-F414-4DCB-9803-4D5A4F329982}"/>
    <cellStyle name="Cálculo 2 2 2 2 4 2 3 4" xfId="12368" xr:uid="{EC2CF3DB-FEA7-4739-885C-EFD28A6068E4}"/>
    <cellStyle name="Cálculo 2 2 2 2 4 2 3 5" xfId="12369" xr:uid="{E42647C3-F0EB-4D72-9B73-B8574FDD3163}"/>
    <cellStyle name="Cálculo 2 2 2 2 4 2 3 6" xfId="12370" xr:uid="{B280902F-FA6D-487A-851E-71B96C20C395}"/>
    <cellStyle name="Cálculo 2 2 2 2 4 2 4" xfId="12371" xr:uid="{AABDC76E-2B9F-4385-A9F5-7F81670B91CC}"/>
    <cellStyle name="Cálculo 2 2 2 2 4 2 4 2" xfId="12372" xr:uid="{099E3DF1-91B0-4B3A-A4F9-9CA2FD901789}"/>
    <cellStyle name="Cálculo 2 2 2 2 4 2 4 2 2" xfId="12373" xr:uid="{CEACEE96-87CC-4189-A85A-BF610E1A77D7}"/>
    <cellStyle name="Cálculo 2 2 2 2 4 2 4 2 3" xfId="12374" xr:uid="{ABEE0361-B9CF-407D-B4F1-49DD9A1524B8}"/>
    <cellStyle name="Cálculo 2 2 2 2 4 2 4 2 4" xfId="12375" xr:uid="{FEAA81EF-0665-4450-A881-69E027598375}"/>
    <cellStyle name="Cálculo 2 2 2 2 4 2 4 2 5" xfId="12376" xr:uid="{B64CEB58-2A3A-44AF-B93D-863AA29A471B}"/>
    <cellStyle name="Cálculo 2 2 2 2 4 2 4 3" xfId="12377" xr:uid="{5BD26FB6-1B9B-44B3-8DDB-EA18755794EE}"/>
    <cellStyle name="Cálculo 2 2 2 2 4 2 4 4" xfId="12378" xr:uid="{48AD1328-DDE0-46C9-A113-2C6234173AC1}"/>
    <cellStyle name="Cálculo 2 2 2 2 4 2 4 5" xfId="12379" xr:uid="{C070DCF5-BB9D-4AB1-919F-3DDE2348413D}"/>
    <cellStyle name="Cálculo 2 2 2 2 4 2 4 6" xfId="12380" xr:uid="{D38DC8AB-5E07-412D-8891-8EBDB5B2E03B}"/>
    <cellStyle name="Cálculo 2 2 2 2 4 2 5" xfId="12381" xr:uid="{AF95C14B-9D75-4D94-B398-B7451360BE12}"/>
    <cellStyle name="Cálculo 2 2 2 2 4 2 5 2" xfId="12382" xr:uid="{A9C09D8A-414B-4170-BC64-F81134DAB6C0}"/>
    <cellStyle name="Cálculo 2 2 2 2 4 2 5 3" xfId="12383" xr:uid="{26ECEFC6-7193-4C62-BBF6-28BA1A8D76B8}"/>
    <cellStyle name="Cálculo 2 2 2 2 4 2 5 4" xfId="12384" xr:uid="{A5A9D0D2-B4C7-4201-8147-4C5D8B4A32EE}"/>
    <cellStyle name="Cálculo 2 2 2 2 4 2 5 5" xfId="12385" xr:uid="{13806624-FF9B-413F-BFF9-8FD55F9398F6}"/>
    <cellStyle name="Cálculo 2 2 2 2 4 2 6" xfId="12386" xr:uid="{269C2F6F-F47A-4C8B-BF5D-B10CDC2ED256}"/>
    <cellStyle name="Cálculo 2 2 2 2 4 2 7" xfId="12387" xr:uid="{FDEB4716-F97D-45AD-AEEC-775159368595}"/>
    <cellStyle name="Cálculo 2 2 2 2 4 2 8" xfId="12388" xr:uid="{159011BE-F84F-4E55-A6ED-05AD152CE3E5}"/>
    <cellStyle name="Cálculo 2 2 2 2 4 2 9" xfId="12389" xr:uid="{CC0B68F2-B9E0-45E1-83D9-2389A2BB3194}"/>
    <cellStyle name="Cálculo 2 2 2 2 4 3" xfId="12390" xr:uid="{4B08F85C-1DE8-4791-87D7-310998C87CBF}"/>
    <cellStyle name="Cálculo 2 2 2 2 4 3 2" xfId="12391" xr:uid="{307BCA08-731C-4B1B-B778-B6D64CB95475}"/>
    <cellStyle name="Cálculo 2 2 2 2 4 3 2 2" xfId="12392" xr:uid="{227BC4B2-905D-41D8-A53F-6C865B32B2C6}"/>
    <cellStyle name="Cálculo 2 2 2 2 4 3 2 3" xfId="12393" xr:uid="{682ECEF3-08FE-47B7-9821-FD322CD83F7C}"/>
    <cellStyle name="Cálculo 2 2 2 2 4 3 2 4" xfId="12394" xr:uid="{1C29D8FF-80B6-4868-AEAD-75191730BA2B}"/>
    <cellStyle name="Cálculo 2 2 2 2 4 3 2 5" xfId="12395" xr:uid="{E352F76E-9991-472C-AE1A-1C8DC011302C}"/>
    <cellStyle name="Cálculo 2 2 2 2 4 3 3" xfId="12396" xr:uid="{B7FC1704-CC33-4AD9-932D-21AC01756648}"/>
    <cellStyle name="Cálculo 2 2 2 2 4 3 4" xfId="12397" xr:uid="{97AFA484-213E-4354-B5F9-87C1B59C9B6C}"/>
    <cellStyle name="Cálculo 2 2 2 2 4 3 5" xfId="12398" xr:uid="{B7293324-D63B-466A-BB5C-592FDFF57DE9}"/>
    <cellStyle name="Cálculo 2 2 2 2 4 3 6" xfId="12399" xr:uid="{67407CC6-F66F-4028-841C-B228B6CE73B8}"/>
    <cellStyle name="Cálculo 2 2 2 2 4 4" xfId="12400" xr:uid="{3FFB1134-2B3D-4F1F-A7EC-1D30D4229034}"/>
    <cellStyle name="Cálculo 2 2 2 2 4 4 2" xfId="12401" xr:uid="{B379D177-C7E2-4490-99F1-8E1DD367A828}"/>
    <cellStyle name="Cálculo 2 2 2 2 4 4 2 2" xfId="12402" xr:uid="{BA04B06C-5622-4C9A-AB5F-2CD7C70C9FA6}"/>
    <cellStyle name="Cálculo 2 2 2 2 4 4 2 3" xfId="12403" xr:uid="{58E9CA65-CE49-456B-A966-038CE46EE95C}"/>
    <cellStyle name="Cálculo 2 2 2 2 4 4 2 4" xfId="12404" xr:uid="{E347A4EF-9788-4338-A0EC-4DC1310289E6}"/>
    <cellStyle name="Cálculo 2 2 2 2 4 4 2 5" xfId="12405" xr:uid="{8E008946-AB11-4401-AC37-EAC82FF3C80B}"/>
    <cellStyle name="Cálculo 2 2 2 2 4 4 3" xfId="12406" xr:uid="{8F2BC932-0170-4AFE-8247-8B54F58D88BE}"/>
    <cellStyle name="Cálculo 2 2 2 2 4 4 4" xfId="12407" xr:uid="{DB7372B3-FEA2-404C-A69D-2E590BF3DCF8}"/>
    <cellStyle name="Cálculo 2 2 2 2 4 4 5" xfId="12408" xr:uid="{DE90BC3F-BBE5-4C6A-B24A-2BEB087DE013}"/>
    <cellStyle name="Cálculo 2 2 2 2 4 4 6" xfId="12409" xr:uid="{E6B2963B-F601-46C4-A3F7-BBC3A8F532A4}"/>
    <cellStyle name="Cálculo 2 2 2 2 4 5" xfId="12410" xr:uid="{57685D14-047C-461C-A130-BAEAFDD23862}"/>
    <cellStyle name="Cálculo 2 2 2 2 4 5 2" xfId="12411" xr:uid="{44AEE285-D6E2-42C6-8C10-C85DB6D211BE}"/>
    <cellStyle name="Cálculo 2 2 2 2 4 5 3" xfId="12412" xr:uid="{B3C28066-04CA-4431-8AB7-3F41BEB0B33D}"/>
    <cellStyle name="Cálculo 2 2 2 2 4 5 4" xfId="12413" xr:uid="{8B8F7E50-0A49-463E-8365-704ED38DF921}"/>
    <cellStyle name="Cálculo 2 2 2 2 4 5 5" xfId="12414" xr:uid="{645D8DA6-16B7-42CA-ABE7-3137BA1E9D1D}"/>
    <cellStyle name="Cálculo 2 2 2 2 4 6" xfId="12415" xr:uid="{AA7188A0-7F6C-400E-B033-BEB6F7B126F3}"/>
    <cellStyle name="Cálculo 2 2 2 2 4 7" xfId="12416" xr:uid="{C7F3F82B-3581-4C7A-8121-86ECCE91EE59}"/>
    <cellStyle name="Cálculo 2 2 2 2 4 8" xfId="12417" xr:uid="{246B4ED6-D0BA-4A2F-971F-D1F4128DB710}"/>
    <cellStyle name="Cálculo 2 2 2 2 4 9" xfId="12418" xr:uid="{1A163C4F-A83E-4E74-B8C6-ED6F6AE3FEC7}"/>
    <cellStyle name="Cálculo 2 2 2 2 5" xfId="12419" xr:uid="{9E7778CB-A82E-402A-8753-CC9CD197D9CF}"/>
    <cellStyle name="Cálculo 2 2 2 2 5 2" xfId="12420" xr:uid="{B720CDEC-6702-48DC-A338-5E83B513AE93}"/>
    <cellStyle name="Cálculo 2 2 2 2 5 2 2" xfId="12421" xr:uid="{44F3E783-7623-47A4-AEE3-112B2305887E}"/>
    <cellStyle name="Cálculo 2 2 2 2 5 2 3" xfId="12422" xr:uid="{A9A6D3DB-F823-4855-A985-4CE58976C5D6}"/>
    <cellStyle name="Cálculo 2 2 2 2 5 2 4" xfId="12423" xr:uid="{C6D5E2C1-7C2E-46B0-A0E9-24D7C17AB68E}"/>
    <cellStyle name="Cálculo 2 2 2 2 5 2 5" xfId="12424" xr:uid="{BCCCCABE-BD9E-4418-A090-294176FF6977}"/>
    <cellStyle name="Cálculo 2 2 2 2 5 3" xfId="12425" xr:uid="{C1467E2E-7FA7-4768-844B-13658D6D659B}"/>
    <cellStyle name="Cálculo 2 2 2 2 5 4" xfId="12426" xr:uid="{AB571F72-943B-44F0-9BB9-35A6E4EBFC8A}"/>
    <cellStyle name="Cálculo 2 2 2 2 5 5" xfId="12427" xr:uid="{6768218A-25F7-42E0-9593-AE5AEA5E6F26}"/>
    <cellStyle name="Cálculo 2 2 2 2 5 6" xfId="12428" xr:uid="{1968E6F4-C090-4871-8A30-8A2CA28C2581}"/>
    <cellStyle name="Cálculo 2 2 2 2 6" xfId="12429" xr:uid="{2F28B34B-E072-49A8-8385-593BD9F7C1F7}"/>
    <cellStyle name="Cálculo 2 2 2 2 6 2" xfId="12430" xr:uid="{39B5CEA5-9822-4425-B28D-56F6FBF711EA}"/>
    <cellStyle name="Cálculo 2 2 2 2 6 2 2" xfId="12431" xr:uid="{750EBFFA-E8CA-417B-99FF-1C7D61A1DD2B}"/>
    <cellStyle name="Cálculo 2 2 2 2 6 2 3" xfId="12432" xr:uid="{0CCA12AF-813B-4DC9-B936-E484B74D5465}"/>
    <cellStyle name="Cálculo 2 2 2 2 6 2 4" xfId="12433" xr:uid="{9D28C706-5BD1-4D3A-A3C1-85F98E28C129}"/>
    <cellStyle name="Cálculo 2 2 2 2 6 2 5" xfId="12434" xr:uid="{214D4EE5-35F1-4F9C-83ED-D8AD8040699C}"/>
    <cellStyle name="Cálculo 2 2 2 2 6 3" xfId="12435" xr:uid="{6AF8B17F-397D-401B-A581-4C737C906711}"/>
    <cellStyle name="Cálculo 2 2 2 2 6 4" xfId="12436" xr:uid="{97E351BE-F5C2-4D58-AF2A-DAC74BE12693}"/>
    <cellStyle name="Cálculo 2 2 2 2 6 5" xfId="12437" xr:uid="{821C9A70-3419-468E-A7DE-54C7425B6022}"/>
    <cellStyle name="Cálculo 2 2 2 2 6 6" xfId="12438" xr:uid="{1202A50F-5403-44F1-A14D-30CD870EEBD4}"/>
    <cellStyle name="Cálculo 2 2 2 2 7" xfId="12439" xr:uid="{3631A80C-88B1-42DE-ADD2-4BEF6E74F016}"/>
    <cellStyle name="Cálculo 2 2 2 2 7 2" xfId="12440" xr:uid="{5824BEAD-ACE2-4409-A061-754EAF72AAB1}"/>
    <cellStyle name="Cálculo 2 2 2 2 7 2 2" xfId="12441" xr:uid="{0645F2AA-643D-4031-A227-0CF4556EDCA5}"/>
    <cellStyle name="Cálculo 2 2 2 2 7 2 3" xfId="12442" xr:uid="{82479D12-DDDF-40D8-934C-6AA09EEF3B8C}"/>
    <cellStyle name="Cálculo 2 2 2 2 7 2 4" xfId="12443" xr:uid="{E79FEF8E-6B63-4750-A854-FCB317CED5D5}"/>
    <cellStyle name="Cálculo 2 2 2 2 7 2 5" xfId="12444" xr:uid="{BC443B8E-66B7-4C3A-8DDF-EC7FA8BE0EDC}"/>
    <cellStyle name="Cálculo 2 2 2 2 7 3" xfId="12445" xr:uid="{4BB77B02-4066-4332-86D1-3C7DE7E964E6}"/>
    <cellStyle name="Cálculo 2 2 2 2 7 4" xfId="12446" xr:uid="{5FAB4E8B-65A0-4AEC-A7DF-EFBFB74F79B1}"/>
    <cellStyle name="Cálculo 2 2 2 2 7 5" xfId="12447" xr:uid="{64710498-CD21-4938-88A7-F78E52AA49DA}"/>
    <cellStyle name="Cálculo 2 2 2 2 7 6" xfId="12448" xr:uid="{BE3804DC-AB89-4AAB-8F6A-D10FF693EB4B}"/>
    <cellStyle name="Cálculo 2 2 2 2 8" xfId="12449" xr:uid="{2D8AD47B-9DD5-49ED-9BE6-7A7ED352A9D5}"/>
    <cellStyle name="Cálculo 2 2 2 2 8 2" xfId="12450" xr:uid="{11A00A46-8ED6-4AC4-ABE1-559AAF434C69}"/>
    <cellStyle name="Cálculo 2 2 2 2 8 3" xfId="12451" xr:uid="{E4F8F334-77F5-49D3-B274-3DEC719B0F19}"/>
    <cellStyle name="Cálculo 2 2 2 2 8 4" xfId="12452" xr:uid="{F040E58C-92C1-4778-9FF6-E05A6ED9EB1E}"/>
    <cellStyle name="Cálculo 2 2 2 2 8 5" xfId="12453" xr:uid="{449352AE-4C69-4B91-B62B-C56EA5CBF571}"/>
    <cellStyle name="Cálculo 2 2 2 2 9" xfId="12454" xr:uid="{FC70AF27-7416-4DA0-9B8C-E59A951A100A}"/>
    <cellStyle name="Cálculo 2 2 2 3" xfId="12455" xr:uid="{49E0EC3B-343F-4D5A-96FD-9374FB1E3209}"/>
    <cellStyle name="Cálculo 2 2 2 3 2" xfId="12456" xr:uid="{388EB477-6B66-45C9-8B59-D9230286B10F}"/>
    <cellStyle name="Cálculo 2 2 2 3 2 2" xfId="12457" xr:uid="{C28D2E4C-A723-46F2-9AB3-E075E050B582}"/>
    <cellStyle name="Cálculo 2 2 2 3 2 3" xfId="12458" xr:uid="{B1E49A87-7CBA-40C9-A978-D44FD4260D3C}"/>
    <cellStyle name="Cálculo 2 2 2 3 2 4" xfId="12459" xr:uid="{DA48016A-B61F-44F2-BED9-5B2EDE585F44}"/>
    <cellStyle name="Cálculo 2 2 2 3 2 5" xfId="12460" xr:uid="{A325B804-2E44-4D47-B6D0-BEB7F20370CF}"/>
    <cellStyle name="Cálculo 2 2 2 3 3" xfId="12461" xr:uid="{50C7184F-04D4-4F7F-8730-DEAE6BDC99D2}"/>
    <cellStyle name="Cálculo 2 2 2 3 4" xfId="12462" xr:uid="{42DE43F8-B115-4F8F-BDDD-6AEE922B62A7}"/>
    <cellStyle name="Cálculo 2 2 2 3 5" xfId="12463" xr:uid="{9873ABAB-4CE1-49CB-B7B0-D12EBA32D10E}"/>
    <cellStyle name="Cálculo 2 2 2 3 6" xfId="12464" xr:uid="{6325922E-03BF-4C33-921D-34C194BA47C0}"/>
    <cellStyle name="Cálculo 2 2 2 3 7" xfId="12465" xr:uid="{1673B436-8479-4989-AE6F-B8B6E938FC4E}"/>
    <cellStyle name="Cálculo 2 2 2 3 8" xfId="12466" xr:uid="{9F7E9771-4737-4392-9BCE-A9A40292E8BD}"/>
    <cellStyle name="Cálculo 2 2 2 3 9" xfId="12467" xr:uid="{CBB5FF64-E912-4A50-B169-9B80C4DF13D8}"/>
    <cellStyle name="Cálculo 2 2 2 4" xfId="12468" xr:uid="{F81F4704-F76A-4BD9-8C32-CD9CE655A065}"/>
    <cellStyle name="Cálculo 2 2 2 4 2" xfId="12469" xr:uid="{536DA864-16F2-43E6-AF55-E5B97CC34F82}"/>
    <cellStyle name="Cálculo 2 2 2 4 2 2" xfId="12470" xr:uid="{2D3EE3BF-D852-449D-AB3C-04DCC48662A1}"/>
    <cellStyle name="Cálculo 2 2 2 4 2 3" xfId="12471" xr:uid="{E587388D-C2B8-4480-BE7C-9A2D9AADC2E7}"/>
    <cellStyle name="Cálculo 2 2 2 4 2 4" xfId="12472" xr:uid="{9F4B1948-E5C0-4C7A-9A70-9CE08CA0A62A}"/>
    <cellStyle name="Cálculo 2 2 2 4 2 5" xfId="12473" xr:uid="{0C8E13E2-E998-4AC2-88CA-921A86460E90}"/>
    <cellStyle name="Cálculo 2 2 2 4 3" xfId="12474" xr:uid="{E3BCC1CB-7670-45B8-9487-4AB2956FE65B}"/>
    <cellStyle name="Cálculo 2 2 2 4 4" xfId="12475" xr:uid="{3D135B67-7A03-4C87-BB4B-C353999F0797}"/>
    <cellStyle name="Cálculo 2 2 2 4 5" xfId="12476" xr:uid="{9E4B6F5C-075A-4823-86EF-5D6B4D25EA12}"/>
    <cellStyle name="Cálculo 2 2 2 4 6" xfId="12477" xr:uid="{556ED13E-3220-48BB-883A-BCF9E3F64E92}"/>
    <cellStyle name="Cálculo 2 2 2 4 7" xfId="12478" xr:uid="{78A6EFC0-7120-474A-86CA-4C10DEB19BB3}"/>
    <cellStyle name="Cálculo 2 2 2 4 8" xfId="12479" xr:uid="{E37CBFE7-AD9D-4301-B703-AF8A94AECFAC}"/>
    <cellStyle name="Cálculo 2 2 2 4 9" xfId="12480" xr:uid="{4B63EACD-1D80-466A-8DE0-CF85ED3CE1E5}"/>
    <cellStyle name="Cálculo 2 2 2 5" xfId="12481" xr:uid="{2441280A-9A40-46AD-AADB-D4D54E2033DB}"/>
    <cellStyle name="Cálculo 2 2 2 5 10" xfId="12482" xr:uid="{5E0877A5-B55B-433F-B3B5-36B25DAD61D6}"/>
    <cellStyle name="Cálculo 2 2 2 5 11" xfId="12483" xr:uid="{8FC489C0-CB34-4D75-B0C2-3FA25936EB20}"/>
    <cellStyle name="Cálculo 2 2 2 5 12" xfId="12484" xr:uid="{D4CA984A-7A0D-48C9-B95B-C364B027F13C}"/>
    <cellStyle name="Cálculo 2 2 2 5 2" xfId="12485" xr:uid="{ECE5DF16-68E8-41D8-A0F9-E4225340F8E7}"/>
    <cellStyle name="Cálculo 2 2 2 5 2 10" xfId="12486" xr:uid="{6E937318-693A-49FE-91DF-35217C55D2BB}"/>
    <cellStyle name="Cálculo 2 2 2 5 2 11" xfId="12487" xr:uid="{BE355605-A0E7-4C36-A1FB-5825F50EF62C}"/>
    <cellStyle name="Cálculo 2 2 2 5 2 12" xfId="12488" xr:uid="{B5BEDBDC-693C-4585-9E0F-28CE740C430A}"/>
    <cellStyle name="Cálculo 2 2 2 5 2 2" xfId="12489" xr:uid="{1A0E5B3F-6A4D-4B76-B3D9-953CC45A58D6}"/>
    <cellStyle name="Cálculo 2 2 2 5 2 2 2" xfId="12490" xr:uid="{F857FE0B-DCEC-4915-A37B-225FEB3BB105}"/>
    <cellStyle name="Cálculo 2 2 2 5 2 2 2 2" xfId="12491" xr:uid="{041D9182-D8F1-4C12-9D38-5ABCEB8E6F80}"/>
    <cellStyle name="Cálculo 2 2 2 5 2 2 2 3" xfId="12492" xr:uid="{37C18E23-92D3-4826-86DB-04D3B9FD7CEC}"/>
    <cellStyle name="Cálculo 2 2 2 5 2 2 2 4" xfId="12493" xr:uid="{AD5921C2-6221-474E-9DA0-773DC8F5C506}"/>
    <cellStyle name="Cálculo 2 2 2 5 2 2 2 5" xfId="12494" xr:uid="{A9E65343-753D-45DD-84FB-1973C968E9B8}"/>
    <cellStyle name="Cálculo 2 2 2 5 2 2 3" xfId="12495" xr:uid="{EC661BB9-C940-48E8-BEF0-2602CB6F33A5}"/>
    <cellStyle name="Cálculo 2 2 2 5 2 2 4" xfId="12496" xr:uid="{A9E6BE5E-561E-4C61-96A9-B3F6746EAB41}"/>
    <cellStyle name="Cálculo 2 2 2 5 2 2 5" xfId="12497" xr:uid="{F4598E01-2BEE-42AA-B526-8862C0FB4191}"/>
    <cellStyle name="Cálculo 2 2 2 5 2 2 6" xfId="12498" xr:uid="{B06C0E3B-801B-4CB6-A785-86DEE7F093AC}"/>
    <cellStyle name="Cálculo 2 2 2 5 2 3" xfId="12499" xr:uid="{662B7775-B825-4C7A-982F-F170B5735B32}"/>
    <cellStyle name="Cálculo 2 2 2 5 2 3 2" xfId="12500" xr:uid="{39021AE1-F1F0-4CE4-9BC1-60310AD9B692}"/>
    <cellStyle name="Cálculo 2 2 2 5 2 3 2 2" xfId="12501" xr:uid="{742DDD76-A81C-4448-B150-A0269DF99829}"/>
    <cellStyle name="Cálculo 2 2 2 5 2 3 2 3" xfId="12502" xr:uid="{BD261FB5-9714-4359-83F8-47FC699DAA80}"/>
    <cellStyle name="Cálculo 2 2 2 5 2 3 2 4" xfId="12503" xr:uid="{5B407B06-9EB8-476F-AD90-805A6D799AFA}"/>
    <cellStyle name="Cálculo 2 2 2 5 2 3 2 5" xfId="12504" xr:uid="{852650A1-B6BA-488F-BFB3-E77945A5202A}"/>
    <cellStyle name="Cálculo 2 2 2 5 2 3 3" xfId="12505" xr:uid="{13F2A4C6-C634-4818-94B8-633139B1087F}"/>
    <cellStyle name="Cálculo 2 2 2 5 2 3 4" xfId="12506" xr:uid="{F9C26CD7-EF6D-4FDF-99B4-B1097A0A1294}"/>
    <cellStyle name="Cálculo 2 2 2 5 2 3 5" xfId="12507" xr:uid="{7486FBC0-6702-4C19-8EFC-84496823FAED}"/>
    <cellStyle name="Cálculo 2 2 2 5 2 3 6" xfId="12508" xr:uid="{D0D2F283-8D67-445A-AB6B-C0C06C2DC521}"/>
    <cellStyle name="Cálculo 2 2 2 5 2 4" xfId="12509" xr:uid="{449F50FE-1530-49FF-902B-2167D2A7EAE2}"/>
    <cellStyle name="Cálculo 2 2 2 5 2 4 2" xfId="12510" xr:uid="{FE752A8A-6B11-4D6A-A744-B1133C8F84A1}"/>
    <cellStyle name="Cálculo 2 2 2 5 2 4 2 2" xfId="12511" xr:uid="{6F4DDDC0-71AB-4222-8837-0EF6696CDE7D}"/>
    <cellStyle name="Cálculo 2 2 2 5 2 4 2 3" xfId="12512" xr:uid="{4A594A70-521F-48CF-A7FE-C385C717A73E}"/>
    <cellStyle name="Cálculo 2 2 2 5 2 4 2 4" xfId="12513" xr:uid="{EF5BB42C-625F-43C2-9937-39C9EE972831}"/>
    <cellStyle name="Cálculo 2 2 2 5 2 4 2 5" xfId="12514" xr:uid="{52512785-9B98-42C1-9C98-657CD6D1F916}"/>
    <cellStyle name="Cálculo 2 2 2 5 2 4 3" xfId="12515" xr:uid="{84101C25-7311-4858-A395-70BFE9B617AA}"/>
    <cellStyle name="Cálculo 2 2 2 5 2 4 4" xfId="12516" xr:uid="{B50B3D71-9DE7-4A72-98CC-445C6C38E021}"/>
    <cellStyle name="Cálculo 2 2 2 5 2 4 5" xfId="12517" xr:uid="{3D5E65BA-525C-4E3D-B7A3-B791A7B52CC1}"/>
    <cellStyle name="Cálculo 2 2 2 5 2 4 6" xfId="12518" xr:uid="{2C8A5349-3557-48F2-9881-BC9C68349385}"/>
    <cellStyle name="Cálculo 2 2 2 5 2 5" xfId="12519" xr:uid="{D9D76F91-7A73-42CA-ADF0-7DF78DE966CF}"/>
    <cellStyle name="Cálculo 2 2 2 5 2 5 2" xfId="12520" xr:uid="{FAB9A6E8-2D90-44DC-B3D5-6ED7306DC475}"/>
    <cellStyle name="Cálculo 2 2 2 5 2 5 3" xfId="12521" xr:uid="{B9EDDA2F-6218-4447-A6F4-55DC17CA4349}"/>
    <cellStyle name="Cálculo 2 2 2 5 2 5 4" xfId="12522" xr:uid="{B581C066-321A-42E8-ADB9-5183FD3194E7}"/>
    <cellStyle name="Cálculo 2 2 2 5 2 5 5" xfId="12523" xr:uid="{C3FA11E5-C2CA-437C-B21C-0B7784D4B1E3}"/>
    <cellStyle name="Cálculo 2 2 2 5 2 6" xfId="12524" xr:uid="{C0D238E4-1C9B-4C95-BF1D-F3874EF983C7}"/>
    <cellStyle name="Cálculo 2 2 2 5 2 7" xfId="12525" xr:uid="{EA86CE8C-073A-4C2B-8F76-99BA66A7F7C3}"/>
    <cellStyle name="Cálculo 2 2 2 5 2 8" xfId="12526" xr:uid="{1A022065-89BC-451A-AA9A-B0905BD1F88B}"/>
    <cellStyle name="Cálculo 2 2 2 5 2 9" xfId="12527" xr:uid="{1743B348-5418-4AFA-8F25-24323D19EEB1}"/>
    <cellStyle name="Cálculo 2 2 2 5 3" xfId="12528" xr:uid="{48EC67AA-6EC0-4151-AA49-E036CEB52657}"/>
    <cellStyle name="Cálculo 2 2 2 5 3 2" xfId="12529" xr:uid="{E545D797-905E-4AC1-B053-BCACCB0B8C4E}"/>
    <cellStyle name="Cálculo 2 2 2 5 3 2 2" xfId="12530" xr:uid="{EE185631-47D2-40A1-B5F7-8944B1A3B2E6}"/>
    <cellStyle name="Cálculo 2 2 2 5 3 2 3" xfId="12531" xr:uid="{37F5C5E9-FA29-4543-BCB5-1495056081B0}"/>
    <cellStyle name="Cálculo 2 2 2 5 3 2 4" xfId="12532" xr:uid="{9E51174B-04FF-42C9-8F60-02F0FFDAEB7C}"/>
    <cellStyle name="Cálculo 2 2 2 5 3 2 5" xfId="12533" xr:uid="{82EE0FEC-E79B-4367-85A5-FEFDD5BDA177}"/>
    <cellStyle name="Cálculo 2 2 2 5 3 3" xfId="12534" xr:uid="{5C3E447D-DF3A-4AAC-9CD2-EBCF495E5FF4}"/>
    <cellStyle name="Cálculo 2 2 2 5 3 4" xfId="12535" xr:uid="{428D5339-B530-4474-9342-3E55C6156BBD}"/>
    <cellStyle name="Cálculo 2 2 2 5 3 5" xfId="12536" xr:uid="{E243B7F4-E005-441B-BB1D-7BB5D24A1809}"/>
    <cellStyle name="Cálculo 2 2 2 5 3 6" xfId="12537" xr:uid="{2CD6211D-61CD-4517-AFCC-56DB734FD63E}"/>
    <cellStyle name="Cálculo 2 2 2 5 4" xfId="12538" xr:uid="{F91AC6C3-CE11-4FF2-820D-0E35B51AEADE}"/>
    <cellStyle name="Cálculo 2 2 2 5 4 2" xfId="12539" xr:uid="{E9B4F261-E50A-4311-A0E5-59132350BEBF}"/>
    <cellStyle name="Cálculo 2 2 2 5 4 2 2" xfId="12540" xr:uid="{119C3978-70F3-4431-84D2-48B8B3241ADF}"/>
    <cellStyle name="Cálculo 2 2 2 5 4 2 3" xfId="12541" xr:uid="{69CB7B6C-EB05-4BC6-9CC4-6C63B6EC1036}"/>
    <cellStyle name="Cálculo 2 2 2 5 4 2 4" xfId="12542" xr:uid="{FC3387AF-E3E3-4DD4-BD0E-D179A5D61D5E}"/>
    <cellStyle name="Cálculo 2 2 2 5 4 2 5" xfId="12543" xr:uid="{72C30582-EAAB-4E1B-99C9-D8989955EF4D}"/>
    <cellStyle name="Cálculo 2 2 2 5 4 3" xfId="12544" xr:uid="{CE6361E5-A2C1-4B7A-B00C-E20E8EA8764F}"/>
    <cellStyle name="Cálculo 2 2 2 5 4 4" xfId="12545" xr:uid="{B5970D3C-B933-426F-9AFA-21DD00C94BC5}"/>
    <cellStyle name="Cálculo 2 2 2 5 4 5" xfId="12546" xr:uid="{F35D8AB8-A238-4BF8-9A8C-D530E498B9B8}"/>
    <cellStyle name="Cálculo 2 2 2 5 4 6" xfId="12547" xr:uid="{CA4348C5-6E45-4E99-86EA-1D386B8ED5DD}"/>
    <cellStyle name="Cálculo 2 2 2 5 5" xfId="12548" xr:uid="{F71DB057-2776-4DE4-9198-C2D1539C0BE2}"/>
    <cellStyle name="Cálculo 2 2 2 5 5 2" xfId="12549" xr:uid="{3A43C67B-04D3-40AF-8C19-928D83C51F4D}"/>
    <cellStyle name="Cálculo 2 2 2 5 5 3" xfId="12550" xr:uid="{753920BE-FC91-4B13-B4AF-7D9AF135C71F}"/>
    <cellStyle name="Cálculo 2 2 2 5 5 4" xfId="12551" xr:uid="{58914749-12E3-4FE1-A18B-415A7F3DA628}"/>
    <cellStyle name="Cálculo 2 2 2 5 5 5" xfId="12552" xr:uid="{E4AA4409-C31A-4D57-AC60-7A5DE749B631}"/>
    <cellStyle name="Cálculo 2 2 2 5 6" xfId="12553" xr:uid="{158FC7C2-B4F8-49F3-8656-89F4263CBFF4}"/>
    <cellStyle name="Cálculo 2 2 2 5 7" xfId="12554" xr:uid="{5947E71A-0FB0-46B6-B6DB-316E93D76196}"/>
    <cellStyle name="Cálculo 2 2 2 5 8" xfId="12555" xr:uid="{6D1C0CD6-51BD-4ABA-863C-E1AEC30E5B9E}"/>
    <cellStyle name="Cálculo 2 2 2 5 9" xfId="12556" xr:uid="{3180515C-6D9E-4A3A-B39B-BFEA528ED884}"/>
    <cellStyle name="Cálculo 2 2 2 6" xfId="12557" xr:uid="{8F2CD33C-5D41-4ED4-BD7A-51F9A3684B01}"/>
    <cellStyle name="Cálculo 2 2 2 6 2" xfId="12558" xr:uid="{F82A44AD-DE84-4A8A-A275-823188824026}"/>
    <cellStyle name="Cálculo 2 2 2 6 2 2" xfId="12559" xr:uid="{42ED8EC7-B702-470A-8A93-ED140161A967}"/>
    <cellStyle name="Cálculo 2 2 2 6 2 3" xfId="12560" xr:uid="{CD51F294-7A18-47BE-AD19-C8B59375861B}"/>
    <cellStyle name="Cálculo 2 2 2 6 2 4" xfId="12561" xr:uid="{6CF8BE05-6D57-4778-97FB-B8898BFBFB58}"/>
    <cellStyle name="Cálculo 2 2 2 6 2 5" xfId="12562" xr:uid="{8B0FAC59-BF09-4999-B539-7361B12FAD4B}"/>
    <cellStyle name="Cálculo 2 2 2 6 3" xfId="12563" xr:uid="{CF6EF33A-0314-4936-853D-6BAC798639E7}"/>
    <cellStyle name="Cálculo 2 2 2 6 4" xfId="12564" xr:uid="{F042F406-F748-4581-8007-BE69661AEC19}"/>
    <cellStyle name="Cálculo 2 2 2 6 5" xfId="12565" xr:uid="{81EB08A8-38AE-4C79-BA19-6AA87D09671C}"/>
    <cellStyle name="Cálculo 2 2 2 6 6" xfId="12566" xr:uid="{EEE46F81-EA50-479E-8DA1-0CAFF6AC2990}"/>
    <cellStyle name="Cálculo 2 2 2 7" xfId="12567" xr:uid="{984FA65C-3F75-4F78-A65F-F883F65DCB26}"/>
    <cellStyle name="Cálculo 2 2 2 7 2" xfId="12568" xr:uid="{1ACF01B6-E701-462E-894F-2102C3436395}"/>
    <cellStyle name="Cálculo 2 2 2 7 2 2" xfId="12569" xr:uid="{621707E6-28B4-4802-A5AD-12E8A233FFCC}"/>
    <cellStyle name="Cálculo 2 2 2 7 2 3" xfId="12570" xr:uid="{00F1837F-F603-426A-AABD-4E16136275AA}"/>
    <cellStyle name="Cálculo 2 2 2 7 2 4" xfId="12571" xr:uid="{2B466B68-27D7-4E95-8B9C-7F211E042E33}"/>
    <cellStyle name="Cálculo 2 2 2 7 2 5" xfId="12572" xr:uid="{66B883AA-2A75-4E6D-9219-FC3C59913F8F}"/>
    <cellStyle name="Cálculo 2 2 2 7 3" xfId="12573" xr:uid="{656968AA-49D8-4134-8E5F-BF934A3E7712}"/>
    <cellStyle name="Cálculo 2 2 2 7 4" xfId="12574" xr:uid="{AEF216AB-1E52-406F-84C0-F644F325AC4A}"/>
    <cellStyle name="Cálculo 2 2 2 7 5" xfId="12575" xr:uid="{AA67D32C-C3DE-41DB-B7A5-5354ED3DE802}"/>
    <cellStyle name="Cálculo 2 2 2 7 6" xfId="12576" xr:uid="{86C0A8D0-B4B9-4E55-905E-BB617236C880}"/>
    <cellStyle name="Cálculo 2 2 2 8" xfId="12577" xr:uid="{A348F5D0-50AC-41E7-BD31-CF9A7E15C461}"/>
    <cellStyle name="Cálculo 2 2 2 8 2" xfId="12578" xr:uid="{7A56F479-96FE-4104-B738-441DB30C374D}"/>
    <cellStyle name="Cálculo 2 2 2 8 2 2" xfId="12579" xr:uid="{02B191F9-B483-4FD3-B260-D35332978562}"/>
    <cellStyle name="Cálculo 2 2 2 8 2 3" xfId="12580" xr:uid="{29AB840E-D3B0-4955-ADDC-620C63FE6530}"/>
    <cellStyle name="Cálculo 2 2 2 8 2 4" xfId="12581" xr:uid="{67D00300-EF41-4356-A7D6-0229156F888F}"/>
    <cellStyle name="Cálculo 2 2 2 8 2 5" xfId="12582" xr:uid="{797F6FBE-FD61-4ED9-AEAA-BDEB9D54A79B}"/>
    <cellStyle name="Cálculo 2 2 2 8 3" xfId="12583" xr:uid="{718E30D4-6086-4204-92A0-5D54530AFB6D}"/>
    <cellStyle name="Cálculo 2 2 2 8 4" xfId="12584" xr:uid="{B7D0DB21-462B-40D2-9987-84A59F4CFC69}"/>
    <cellStyle name="Cálculo 2 2 2 8 5" xfId="12585" xr:uid="{748969E7-0750-4823-B694-1B0DA8005A24}"/>
    <cellStyle name="Cálculo 2 2 2 8 6" xfId="12586" xr:uid="{21C8169D-0E51-4B01-ABBF-B6D71CFE7019}"/>
    <cellStyle name="Cálculo 2 2 2 9" xfId="12587" xr:uid="{C4115714-F13D-44D5-9434-D91025DE35F2}"/>
    <cellStyle name="Cálculo 2 2 2 9 2" xfId="12588" xr:uid="{D13AF378-E20C-439F-A41D-E8630896CE45}"/>
    <cellStyle name="Cálculo 2 2 2 9 3" xfId="12589" xr:uid="{85363E99-A77A-45E0-AFF9-956B2AC73770}"/>
    <cellStyle name="Cálculo 2 2 2 9 4" xfId="12590" xr:uid="{EAA0CA81-94F9-4C3A-8612-97E25A9F0CCB}"/>
    <cellStyle name="Cálculo 2 2 2 9 5" xfId="12591" xr:uid="{CFAB8076-7057-44D9-9364-5647B80A6024}"/>
    <cellStyle name="Cálculo 2 2 20" xfId="12592" xr:uid="{2A38C7B6-D519-42AB-9F48-7F83169E1A93}"/>
    <cellStyle name="Cálculo 2 2 21" xfId="12593" xr:uid="{EA9D749B-88B0-44E0-9F0E-4EDFB7C5CF58}"/>
    <cellStyle name="Cálculo 2 2 3" xfId="12594" xr:uid="{CFC3D91B-8656-416C-896B-09AF409521FD}"/>
    <cellStyle name="Cálculo 2 2 3 2" xfId="12595" xr:uid="{8189069C-AAE1-49E0-A75D-2D2A11B6AF3A}"/>
    <cellStyle name="Cálculo 2 2 3 2 2" xfId="12596" xr:uid="{83101298-7BE2-4A25-B7D8-86A398CC534D}"/>
    <cellStyle name="Cálculo 2 2 3 2 3" xfId="12597" xr:uid="{6567C3E2-AA65-4938-91E7-C1366DF4D77E}"/>
    <cellStyle name="Cálculo 2 2 3 2 4" xfId="12598" xr:uid="{5CD75771-F4C5-4695-BFC8-51B5C098E615}"/>
    <cellStyle name="Cálculo 2 2 3 2 5" xfId="12599" xr:uid="{DAB9398E-1301-4BB8-BE5A-0F83EA9506A4}"/>
    <cellStyle name="Cálculo 2 2 3 3" xfId="12600" xr:uid="{6EBF1B60-15A7-4343-8DE8-4B6E53742D66}"/>
    <cellStyle name="Cálculo 2 2 3 4" xfId="12601" xr:uid="{9B46DE70-244D-4302-8F3A-F5BD000A9324}"/>
    <cellStyle name="Cálculo 2 2 3 5" xfId="12602" xr:uid="{FA168323-511C-4201-9D37-D329CA7567B7}"/>
    <cellStyle name="Cálculo 2 2 3 6" xfId="12603" xr:uid="{F406C38C-01B4-4BE8-B5E8-592DC709CE5C}"/>
    <cellStyle name="Cálculo 2 2 3 7" xfId="12604" xr:uid="{08248397-1173-4EF0-AF86-4352186C3433}"/>
    <cellStyle name="Cálculo 2 2 3 8" xfId="12605" xr:uid="{3CA98114-CC28-46DB-A24F-391668AE8BFB}"/>
    <cellStyle name="Cálculo 2 2 3 9" xfId="12606" xr:uid="{EF239090-8B99-4828-80FA-22A53E446A76}"/>
    <cellStyle name="Cálculo 2 2 4" xfId="12607" xr:uid="{CADADFB6-3DCC-48CE-B870-266B439771BF}"/>
    <cellStyle name="Cálculo 2 2 4 2" xfId="12608" xr:uid="{3794D0D3-4E61-4EF7-9E19-6F61742B0600}"/>
    <cellStyle name="Cálculo 2 2 4 2 2" xfId="12609" xr:uid="{E1D87E15-A558-4B40-95B6-AB92237CB501}"/>
    <cellStyle name="Cálculo 2 2 4 2 3" xfId="12610" xr:uid="{3C94D90F-5C29-4826-BBE6-2232BCC6939F}"/>
    <cellStyle name="Cálculo 2 2 4 2 4" xfId="12611" xr:uid="{4C439047-58F5-47DB-93C1-5BDFBA321B35}"/>
    <cellStyle name="Cálculo 2 2 4 2 5" xfId="12612" xr:uid="{5B19160C-E30B-4AA3-AD12-F1EA96B9FAB1}"/>
    <cellStyle name="Cálculo 2 2 4 3" xfId="12613" xr:uid="{ADEFF032-0D88-425F-8089-4075135E02EC}"/>
    <cellStyle name="Cálculo 2 2 4 4" xfId="12614" xr:uid="{574E9CC5-C351-4942-A98A-2D4BE0D36154}"/>
    <cellStyle name="Cálculo 2 2 4 5" xfId="12615" xr:uid="{EBF563E4-9DC9-40A0-86F5-7926E980297F}"/>
    <cellStyle name="Cálculo 2 2 4 6" xfId="12616" xr:uid="{671AEEF6-43EF-4897-8763-F0C53CD1140A}"/>
    <cellStyle name="Cálculo 2 2 4 7" xfId="12617" xr:uid="{26BE3201-E080-4CFE-AC2F-86222A4A762C}"/>
    <cellStyle name="Cálculo 2 2 4 8" xfId="12618" xr:uid="{4511B2B9-0951-48D6-8AD6-08F80B2D35B3}"/>
    <cellStyle name="Cálculo 2 2 4 9" xfId="12619" xr:uid="{28E2ED01-FA9C-45E8-B23D-732AF249C9FF}"/>
    <cellStyle name="Cálculo 2 2 5" xfId="12620" xr:uid="{0B8CFEA4-FE02-4A69-9095-317FFE9DE72A}"/>
    <cellStyle name="Cálculo 2 2 5 2" xfId="12621" xr:uid="{F3563E24-4DA7-441F-B3C0-40476850AB40}"/>
    <cellStyle name="Cálculo 2 2 5 2 2" xfId="12622" xr:uid="{DBA60183-32C9-44C1-B5EA-09C8C0543AE7}"/>
    <cellStyle name="Cálculo 2 2 5 2 3" xfId="12623" xr:uid="{198A5C56-8E3C-481B-A9E3-222EEE9A3C9C}"/>
    <cellStyle name="Cálculo 2 2 5 2 4" xfId="12624" xr:uid="{AF0E4C24-888F-450E-BC53-CC04086F8217}"/>
    <cellStyle name="Cálculo 2 2 5 2 5" xfId="12625" xr:uid="{8BB75A42-984D-4E9C-B924-16830E5646BD}"/>
    <cellStyle name="Cálculo 2 2 5 3" xfId="12626" xr:uid="{B1BFAD51-CE58-4DD6-A4F9-546FE5C0E37D}"/>
    <cellStyle name="Cálculo 2 2 5 4" xfId="12627" xr:uid="{12BF7484-3E14-40FA-9F49-884002BFE381}"/>
    <cellStyle name="Cálculo 2 2 5 5" xfId="12628" xr:uid="{BE8B7AAB-EEE0-48BB-8BD8-7165194E1A7A}"/>
    <cellStyle name="Cálculo 2 2 5 6" xfId="12629" xr:uid="{91EEA2F7-A40B-4FB1-AEDE-511B9B707314}"/>
    <cellStyle name="Cálculo 2 2 5 7" xfId="12630" xr:uid="{D4F1267C-1D42-4498-A1EE-574F978BD4F1}"/>
    <cellStyle name="Cálculo 2 2 5 8" xfId="12631" xr:uid="{A743C55F-961D-4119-99C0-5D974F09EB50}"/>
    <cellStyle name="Cálculo 2 2 5 9" xfId="12632" xr:uid="{083EBB16-17CB-4F22-99C4-130FB52413C1}"/>
    <cellStyle name="Cálculo 2 2 6" xfId="12633" xr:uid="{16738291-CE06-4836-AA2D-5081B7607AF1}"/>
    <cellStyle name="Cálculo 2 2 6 2" xfId="12634" xr:uid="{475921B1-6F0A-42C3-AA87-4B3BD443B44C}"/>
    <cellStyle name="Cálculo 2 2 6 2 2" xfId="12635" xr:uid="{DF73D0BE-3E7C-4EE1-9A3C-9486543275AE}"/>
    <cellStyle name="Cálculo 2 2 6 2 3" xfId="12636" xr:uid="{93E3682F-E205-4553-B531-9CD5C39F3FC7}"/>
    <cellStyle name="Cálculo 2 2 6 2 4" xfId="12637" xr:uid="{4717D558-0523-499B-9328-C69C9BED743F}"/>
    <cellStyle name="Cálculo 2 2 6 2 5" xfId="12638" xr:uid="{CD529DB2-A0B9-4F5F-882F-3CC6DEE45327}"/>
    <cellStyle name="Cálculo 2 2 6 3" xfId="12639" xr:uid="{4A9BE823-A1A6-4DA6-ACB0-C85E9FDA6DD6}"/>
    <cellStyle name="Cálculo 2 2 6 4" xfId="12640" xr:uid="{BF6C93CB-C068-4925-A1D7-07AEF2FE2015}"/>
    <cellStyle name="Cálculo 2 2 6 5" xfId="12641" xr:uid="{179CBEF5-7030-4852-8472-FE97A85F13B7}"/>
    <cellStyle name="Cálculo 2 2 6 6" xfId="12642" xr:uid="{61A91515-D0CF-426E-B658-5AE9F7C2585C}"/>
    <cellStyle name="Cálculo 2 2 6 7" xfId="12643" xr:uid="{41F42FD2-2AE3-48AF-A6A6-A3AFCB7622CB}"/>
    <cellStyle name="Cálculo 2 2 6 8" xfId="12644" xr:uid="{62494436-916D-4D0C-B376-F6FA42CFB2EB}"/>
    <cellStyle name="Cálculo 2 2 6 9" xfId="12645" xr:uid="{58814F1C-753F-42F7-8072-261C8429F535}"/>
    <cellStyle name="Cálculo 2 2 7" xfId="12646" xr:uid="{1484883F-74EF-4670-88F7-F2927F54CB8F}"/>
    <cellStyle name="Cálculo 2 2 7 2" xfId="12647" xr:uid="{46F0F40A-BF00-48D4-990D-33DE5A0E6F94}"/>
    <cellStyle name="Cálculo 2 2 7 2 2" xfId="12648" xr:uid="{80F66028-1FC4-4FB2-99F8-246A83FBD3DD}"/>
    <cellStyle name="Cálculo 2 2 7 2 3" xfId="12649" xr:uid="{1A6E1920-4782-4905-96CD-0509198AAC15}"/>
    <cellStyle name="Cálculo 2 2 7 2 4" xfId="12650" xr:uid="{4ADC83C5-D25B-44DF-A515-1A2363254513}"/>
    <cellStyle name="Cálculo 2 2 7 2 5" xfId="12651" xr:uid="{B350B592-FA6A-4409-BFE8-9505372F3B34}"/>
    <cellStyle name="Cálculo 2 2 7 3" xfId="12652" xr:uid="{BC8E1FE3-2B72-4784-9386-96BBDA780CA9}"/>
    <cellStyle name="Cálculo 2 2 7 4" xfId="12653" xr:uid="{16AEB664-E6E2-4016-A2AB-4245FE685724}"/>
    <cellStyle name="Cálculo 2 2 7 5" xfId="12654" xr:uid="{1204C660-0230-46D4-A7BB-54D1BA3916CB}"/>
    <cellStyle name="Cálculo 2 2 7 6" xfId="12655" xr:uid="{114D8850-1861-465D-925F-3C589ADBF513}"/>
    <cellStyle name="Cálculo 2 2 7 7" xfId="12656" xr:uid="{1501C619-F090-4246-B95E-10D0106A8765}"/>
    <cellStyle name="Cálculo 2 2 7 8" xfId="12657" xr:uid="{8AD2CDCA-84DB-4DF1-9932-125509E80C54}"/>
    <cellStyle name="Cálculo 2 2 7 9" xfId="12658" xr:uid="{61A93CD2-6828-41DE-93DF-68BD11A2AAC1}"/>
    <cellStyle name="Cálculo 2 2 8" xfId="12659" xr:uid="{EBCB48B4-7394-4A38-8CBA-6D88631EF5FE}"/>
    <cellStyle name="Cálculo 2 2 8 10" xfId="12660" xr:uid="{A7B166CA-1285-4EB9-A1DD-557C723691F9}"/>
    <cellStyle name="Cálculo 2 2 8 2" xfId="12661" xr:uid="{84AAD720-3873-420C-B7CC-AB59C07D6D29}"/>
    <cellStyle name="Cálculo 2 2 8 2 2" xfId="12662" xr:uid="{B76669B9-C962-4265-9AA6-D2FDAE88609A}"/>
    <cellStyle name="Cálculo 2 2 8 2 2 2" xfId="12663" xr:uid="{C3FDC617-2B73-47B6-86BE-2459E17A67AD}"/>
    <cellStyle name="Cálculo 2 2 8 2 2 3" xfId="12664" xr:uid="{04001BAC-8A5D-4762-BC51-192E02452145}"/>
    <cellStyle name="Cálculo 2 2 8 2 2 4" xfId="12665" xr:uid="{8B343697-C8F9-4CE9-906A-4A724142E1DC}"/>
    <cellStyle name="Cálculo 2 2 8 2 2 5" xfId="12666" xr:uid="{6A44CC37-73F2-4C45-8A9E-337649D97EE2}"/>
    <cellStyle name="Cálculo 2 2 8 2 3" xfId="12667" xr:uid="{D9E5F797-BB01-4789-ACE1-D5ACD8E9B581}"/>
    <cellStyle name="Cálculo 2 2 8 2 4" xfId="12668" xr:uid="{E5B2E6B7-B11A-4930-A2CB-D52FD893743C}"/>
    <cellStyle name="Cálculo 2 2 8 2 5" xfId="12669" xr:uid="{956D91DE-F894-46BF-93EC-74CC2DF58C92}"/>
    <cellStyle name="Cálculo 2 2 8 2 6" xfId="12670" xr:uid="{36FF849D-2D12-4BB0-96FB-07898AB58DEA}"/>
    <cellStyle name="Cálculo 2 2 8 2 7" xfId="12671" xr:uid="{A2CDF2B3-E27F-4837-96F5-592E9D7BE76F}"/>
    <cellStyle name="Cálculo 2 2 8 2 8" xfId="12672" xr:uid="{4B3B30CD-6884-4E06-AAC6-91620118C1AD}"/>
    <cellStyle name="Cálculo 2 2 8 2 9" xfId="12673" xr:uid="{C3A8459D-4BE3-4FAA-A0E6-E7781B584525}"/>
    <cellStyle name="Cálculo 2 2 8 3" xfId="12674" xr:uid="{158FECF3-D7E0-4D4A-83BC-965168EC1BE7}"/>
    <cellStyle name="Cálculo 2 2 8 3 2" xfId="12675" xr:uid="{107DEF8C-7668-412D-8817-AC1DB33DEAC8}"/>
    <cellStyle name="Cálculo 2 2 8 3 3" xfId="12676" xr:uid="{1EE53367-7B49-4269-BD32-906C4BCA9DF5}"/>
    <cellStyle name="Cálculo 2 2 8 3 4" xfId="12677" xr:uid="{879E700D-C6D8-4421-9F23-B9D6E33B5632}"/>
    <cellStyle name="Cálculo 2 2 8 3 5" xfId="12678" xr:uid="{F159E11D-F579-456D-810C-BB3B4AD7324A}"/>
    <cellStyle name="Cálculo 2 2 8 4" xfId="12679" xr:uid="{B93AE9BE-E171-4B51-A02F-FEA221252628}"/>
    <cellStyle name="Cálculo 2 2 8 5" xfId="12680" xr:uid="{A607DF74-ABAD-4865-AFCA-1B0671981C3D}"/>
    <cellStyle name="Cálculo 2 2 8 6" xfId="12681" xr:uid="{6CC9C865-7700-425E-B2B3-7927F099F987}"/>
    <cellStyle name="Cálculo 2 2 8 7" xfId="12682" xr:uid="{6D318693-A69F-401F-82AE-C4D0E38DA075}"/>
    <cellStyle name="Cálculo 2 2 8 8" xfId="12683" xr:uid="{5D40FFF3-F1F9-4AF2-BBC2-145EBA70BE2E}"/>
    <cellStyle name="Cálculo 2 2 8 9" xfId="12684" xr:uid="{67E827E5-6603-4B8A-9E85-E10ECF2D9D66}"/>
    <cellStyle name="Cálculo 2 2 9" xfId="12685" xr:uid="{6D1AD63F-937E-401F-BCBC-5D77ABD3F0C1}"/>
    <cellStyle name="Cálculo 2 2 9 2" xfId="12686" xr:uid="{12C6F7C0-6B41-4497-A4B9-31D79E3DCF54}"/>
    <cellStyle name="Cálculo 2 2 9 2 2" xfId="12687" xr:uid="{D145B99D-3136-44B5-87EF-0D4E4B43D1D6}"/>
    <cellStyle name="Cálculo 2 2 9 2 3" xfId="12688" xr:uid="{4587CE15-EB60-4341-9C80-87C2BDCE2D24}"/>
    <cellStyle name="Cálculo 2 2 9 2 4" xfId="12689" xr:uid="{A8015747-343B-4E15-AF7F-48A696E62065}"/>
    <cellStyle name="Cálculo 2 2 9 2 5" xfId="12690" xr:uid="{0525BD27-8690-4DF5-8CE2-9D388F74A045}"/>
    <cellStyle name="Cálculo 2 2 9 3" xfId="12691" xr:uid="{E5E7E6EE-6164-479B-8BEC-2E6EFE82324F}"/>
    <cellStyle name="Cálculo 2 2 9 4" xfId="12692" xr:uid="{0BAA2D9F-45FA-4582-9F7D-2232721474AC}"/>
    <cellStyle name="Cálculo 2 2 9 5" xfId="12693" xr:uid="{E507DF90-5B82-4274-8949-BF55A0D818BB}"/>
    <cellStyle name="Cálculo 2 2 9 6" xfId="12694" xr:uid="{77892D64-06CE-4DF6-90FA-49D0B1450112}"/>
    <cellStyle name="Cálculo 2 2 9 7" xfId="12695" xr:uid="{39638397-3532-41B1-99DF-70C233DF7E37}"/>
    <cellStyle name="Cálculo 2 2 9 8" xfId="12696" xr:uid="{C304593E-FB02-49AE-9DCB-E9BC38FC3E04}"/>
    <cellStyle name="Cálculo 2 2 9 9" xfId="12697" xr:uid="{185670EA-CCC6-4D90-8BC5-6DB5EDAD7D3C}"/>
    <cellStyle name="Cálculo 2 20" xfId="12698" xr:uid="{54E9A2ED-E82F-464A-AD37-3AD0BA8D25B2}"/>
    <cellStyle name="Cálculo 2 21" xfId="12699" xr:uid="{2A83EFEC-191C-4733-936C-970704F9D077}"/>
    <cellStyle name="Cálculo 2 3" xfId="12700" xr:uid="{40EDA25E-4FBF-4C42-8FC8-CB722903E072}"/>
    <cellStyle name="Cálculo 2 3 2" xfId="12701" xr:uid="{B2DF101B-D2A9-41E3-9275-B53786FD2877}"/>
    <cellStyle name="Cálculo 2 3 2 2" xfId="12702" xr:uid="{E9F9D55A-B352-4D1C-A933-CFC8CE12F75D}"/>
    <cellStyle name="Cálculo 2 3 2 3" xfId="12703" xr:uid="{B3A99736-D40F-403F-888F-C3CBDC3668A7}"/>
    <cellStyle name="Cálculo 2 3 2 4" xfId="12704" xr:uid="{E99004AE-5C8C-499A-B3C9-111E22C3B1A8}"/>
    <cellStyle name="Cálculo 2 3 2 5" xfId="12705" xr:uid="{99B8B979-11F0-422B-8E14-DE55F63C6806}"/>
    <cellStyle name="Cálculo 2 3 3" xfId="12706" xr:uid="{410E8DE8-F369-4C51-B00F-677CE775D67B}"/>
    <cellStyle name="Cálculo 2 3 4" xfId="12707" xr:uid="{4EB5C3BF-3887-438A-8AAC-6860DC2D95E6}"/>
    <cellStyle name="Cálculo 2 3 5" xfId="12708" xr:uid="{9D61C194-6747-4B8B-9976-0E5FB3283C8F}"/>
    <cellStyle name="Cálculo 2 3 6" xfId="12709" xr:uid="{CF76B191-E605-45C8-88ED-A49468C98CEC}"/>
    <cellStyle name="Cálculo 2 3 7" xfId="12710" xr:uid="{712114DF-A0B1-4591-B643-298DC7DD438A}"/>
    <cellStyle name="Cálculo 2 3 8" xfId="12711" xr:uid="{52D18B46-FDEA-484B-8702-31D76AEB3533}"/>
    <cellStyle name="Cálculo 2 3 9" xfId="12712" xr:uid="{076507AC-EEC9-4595-8753-74119BBA6125}"/>
    <cellStyle name="Cálculo 2 4" xfId="12713" xr:uid="{81C0A5D1-473E-41F9-9320-A6D0679EC5BF}"/>
    <cellStyle name="Cálculo 2 4 10" xfId="12714" xr:uid="{6D392691-DD02-40E8-8EAF-D2CCCFAEF60B}"/>
    <cellStyle name="Cálculo 2 4 11" xfId="12715" xr:uid="{11AD63D5-3DA5-4F21-8B7B-4806DD02058C}"/>
    <cellStyle name="Cálculo 2 4 12" xfId="12716" xr:uid="{68C4AEDF-2D21-4A2A-8B7B-304AFB859105}"/>
    <cellStyle name="Cálculo 2 4 13" xfId="12717" xr:uid="{0E90A348-44DE-4E81-B2F5-750A94B0B9EA}"/>
    <cellStyle name="Cálculo 2 4 2" xfId="12718" xr:uid="{1A95A4C3-A07D-43F5-B6D4-65E2F286C14F}"/>
    <cellStyle name="Cálculo 2 4 2 10" xfId="12719" xr:uid="{14EA5EE9-B2C8-4227-AC19-93A4A82E724B}"/>
    <cellStyle name="Cálculo 2 4 2 11" xfId="12720" xr:uid="{65CC7B21-B2D7-4264-B094-807FABE78E10}"/>
    <cellStyle name="Cálculo 2 4 2 12" xfId="12721" xr:uid="{80B1416B-CE10-4998-8284-D022B5D93B7B}"/>
    <cellStyle name="Cálculo 2 4 2 13" xfId="12722" xr:uid="{895736B7-A472-4280-9520-70523F1C34DD}"/>
    <cellStyle name="Cálculo 2 4 2 2" xfId="12723" xr:uid="{888602B1-36D4-42C2-95A5-B13035BD5646}"/>
    <cellStyle name="Cálculo 2 4 2 2 10" xfId="12724" xr:uid="{9A880F38-9F5C-4098-8048-39492B67EABB}"/>
    <cellStyle name="Cálculo 2 4 2 2 11" xfId="12725" xr:uid="{031ECFD8-1001-4FF5-BDFE-F87F839ED8C2}"/>
    <cellStyle name="Cálculo 2 4 2 2 12" xfId="12726" xr:uid="{C87A55D6-D8FA-4A66-ABC9-64C7BB72A067}"/>
    <cellStyle name="Cálculo 2 4 2 2 2" xfId="12727" xr:uid="{8FE31772-5C93-4DD3-B4DB-037C78843BB4}"/>
    <cellStyle name="Cálculo 2 4 2 2 2 10" xfId="12728" xr:uid="{DFB03406-C878-43FF-8204-418D0CAB22A2}"/>
    <cellStyle name="Cálculo 2 4 2 2 2 11" xfId="12729" xr:uid="{4A763037-A74F-4FD1-936D-D19D05339CE9}"/>
    <cellStyle name="Cálculo 2 4 2 2 2 12" xfId="12730" xr:uid="{73557FED-957D-49FB-99F1-3A92272C79A2}"/>
    <cellStyle name="Cálculo 2 4 2 2 2 2" xfId="12731" xr:uid="{2E7A0306-8D2E-4187-B80D-371F350309F7}"/>
    <cellStyle name="Cálculo 2 4 2 2 2 2 2" xfId="12732" xr:uid="{D7D8F52D-17BB-461E-B557-76F10FE6583E}"/>
    <cellStyle name="Cálculo 2 4 2 2 2 2 2 2" xfId="12733" xr:uid="{3F7E692B-5533-4D94-9CB1-6DA68ACC4707}"/>
    <cellStyle name="Cálculo 2 4 2 2 2 2 2 3" xfId="12734" xr:uid="{FE1DD0C8-43B0-4B42-85F5-C051EFEE3049}"/>
    <cellStyle name="Cálculo 2 4 2 2 2 2 2 4" xfId="12735" xr:uid="{61950AC1-EFCB-4B1B-9E6F-063BD52B2AEC}"/>
    <cellStyle name="Cálculo 2 4 2 2 2 2 2 5" xfId="12736" xr:uid="{43DD6270-FB25-4C99-BA4C-930C1F1AD793}"/>
    <cellStyle name="Cálculo 2 4 2 2 2 2 3" xfId="12737" xr:uid="{E092FD27-0363-4186-85FF-5D6A2124B60F}"/>
    <cellStyle name="Cálculo 2 4 2 2 2 2 4" xfId="12738" xr:uid="{D98B3039-17CC-4B6E-AD56-DE65AC3E0C9C}"/>
    <cellStyle name="Cálculo 2 4 2 2 2 2 5" xfId="12739" xr:uid="{74978DC1-AFB0-4241-AAB6-E5A1EF75F2AB}"/>
    <cellStyle name="Cálculo 2 4 2 2 2 2 6" xfId="12740" xr:uid="{B00D5B8A-B9DA-4BC3-BE8F-5BA7A34F240D}"/>
    <cellStyle name="Cálculo 2 4 2 2 2 3" xfId="12741" xr:uid="{04E73673-391E-4324-9208-DB67D06CAA59}"/>
    <cellStyle name="Cálculo 2 4 2 2 2 3 2" xfId="12742" xr:uid="{4FAFE001-93D8-4C7E-AF2E-7055E6D910DB}"/>
    <cellStyle name="Cálculo 2 4 2 2 2 3 2 2" xfId="12743" xr:uid="{04B819D3-9631-4565-8573-F79CD28098AD}"/>
    <cellStyle name="Cálculo 2 4 2 2 2 3 2 3" xfId="12744" xr:uid="{BC1749C1-7381-4CB9-9FEA-EF721C93BCD3}"/>
    <cellStyle name="Cálculo 2 4 2 2 2 3 2 4" xfId="12745" xr:uid="{55693282-7B7E-406F-A156-9E9538219E03}"/>
    <cellStyle name="Cálculo 2 4 2 2 2 3 2 5" xfId="12746" xr:uid="{C4956CFE-370B-459E-9E09-CEB79A9E238E}"/>
    <cellStyle name="Cálculo 2 4 2 2 2 3 3" xfId="12747" xr:uid="{F969C6FC-3F5F-46E7-AB75-0246BACAC1E9}"/>
    <cellStyle name="Cálculo 2 4 2 2 2 3 4" xfId="12748" xr:uid="{A6C086D3-E347-4C03-B8E5-0E1A9AF3530C}"/>
    <cellStyle name="Cálculo 2 4 2 2 2 3 5" xfId="12749" xr:uid="{99BB82D6-D6BA-4352-A435-CEE22297589F}"/>
    <cellStyle name="Cálculo 2 4 2 2 2 3 6" xfId="12750" xr:uid="{D9480F2F-AF3C-48C7-AF62-C12B5984A59C}"/>
    <cellStyle name="Cálculo 2 4 2 2 2 4" xfId="12751" xr:uid="{281F6F80-DF3B-4781-BFF8-6683576D6D99}"/>
    <cellStyle name="Cálculo 2 4 2 2 2 4 2" xfId="12752" xr:uid="{1DE1F923-374C-4853-9868-0C1C82DA9065}"/>
    <cellStyle name="Cálculo 2 4 2 2 2 4 2 2" xfId="12753" xr:uid="{57487454-C623-4BA4-9824-4E139C8B3102}"/>
    <cellStyle name="Cálculo 2 4 2 2 2 4 2 3" xfId="12754" xr:uid="{D79AF887-5F16-4B54-8264-3A2FB095B8B6}"/>
    <cellStyle name="Cálculo 2 4 2 2 2 4 2 4" xfId="12755" xr:uid="{33A3CCC6-E418-446C-AF0F-3989C0A4EED2}"/>
    <cellStyle name="Cálculo 2 4 2 2 2 4 2 5" xfId="12756" xr:uid="{0964EE99-11A1-4AFC-BBE2-D7B131F8A176}"/>
    <cellStyle name="Cálculo 2 4 2 2 2 4 3" xfId="12757" xr:uid="{F17CDFA3-5F2F-4348-9554-AB76F6D2D6E0}"/>
    <cellStyle name="Cálculo 2 4 2 2 2 4 4" xfId="12758" xr:uid="{B20D550B-767F-4232-B9B3-307696131A10}"/>
    <cellStyle name="Cálculo 2 4 2 2 2 4 5" xfId="12759" xr:uid="{081B3E7C-3DBD-4A99-BA83-F50FDBB013D3}"/>
    <cellStyle name="Cálculo 2 4 2 2 2 4 6" xfId="12760" xr:uid="{9457D989-A5AB-4784-AF9F-E6835D073CDD}"/>
    <cellStyle name="Cálculo 2 4 2 2 2 5" xfId="12761" xr:uid="{344E3F9B-371B-4CE6-8119-3A4336DF305E}"/>
    <cellStyle name="Cálculo 2 4 2 2 2 5 2" xfId="12762" xr:uid="{E224B65A-D4AA-4A7C-AF07-01E07CF299A0}"/>
    <cellStyle name="Cálculo 2 4 2 2 2 5 3" xfId="12763" xr:uid="{5AA0EC9B-57C0-49A3-8A32-7BAAA83221ED}"/>
    <cellStyle name="Cálculo 2 4 2 2 2 5 4" xfId="12764" xr:uid="{CBEB7C6B-3CDA-4B0D-9AAA-8B7D07DE94C3}"/>
    <cellStyle name="Cálculo 2 4 2 2 2 5 5" xfId="12765" xr:uid="{8E0C7117-D4B1-4558-BB28-B6BF7DF328B7}"/>
    <cellStyle name="Cálculo 2 4 2 2 2 6" xfId="12766" xr:uid="{1D8DA4C2-66D3-40A0-A530-E1D59ABFDF82}"/>
    <cellStyle name="Cálculo 2 4 2 2 2 7" xfId="12767" xr:uid="{4205A866-961E-44FD-B1F7-B36FC3999E0A}"/>
    <cellStyle name="Cálculo 2 4 2 2 2 8" xfId="12768" xr:uid="{7F72486D-A69E-4A53-8454-1047974E2A3B}"/>
    <cellStyle name="Cálculo 2 4 2 2 2 9" xfId="12769" xr:uid="{A4698079-35E3-4EB2-A2BC-788BFDBBAC3C}"/>
    <cellStyle name="Cálculo 2 4 2 2 3" xfId="12770" xr:uid="{89F12290-5199-4DB0-B57B-954A2136D4BE}"/>
    <cellStyle name="Cálculo 2 4 2 2 3 2" xfId="12771" xr:uid="{F2BBBF48-288E-44CC-A580-03ECC792B54E}"/>
    <cellStyle name="Cálculo 2 4 2 2 3 2 2" xfId="12772" xr:uid="{2F8AE313-6961-4691-AFA3-93A26D24618F}"/>
    <cellStyle name="Cálculo 2 4 2 2 3 2 3" xfId="12773" xr:uid="{957CE874-FE32-4B09-BF90-95D3F6874C84}"/>
    <cellStyle name="Cálculo 2 4 2 2 3 2 4" xfId="12774" xr:uid="{1721A724-D036-4424-AE1D-2C69E1EF8BB8}"/>
    <cellStyle name="Cálculo 2 4 2 2 3 2 5" xfId="12775" xr:uid="{056E241F-34A0-487E-9D3C-625F5095E652}"/>
    <cellStyle name="Cálculo 2 4 2 2 3 3" xfId="12776" xr:uid="{995D74E1-2428-4B7C-92A1-7FE5535D1B2C}"/>
    <cellStyle name="Cálculo 2 4 2 2 3 4" xfId="12777" xr:uid="{567C45F7-F4C6-4CAE-ADEC-0AD4C4F97C26}"/>
    <cellStyle name="Cálculo 2 4 2 2 3 5" xfId="12778" xr:uid="{F7B2D1D1-C2D0-4F06-BDA2-237EF7782FE1}"/>
    <cellStyle name="Cálculo 2 4 2 2 3 6" xfId="12779" xr:uid="{B7EE16BD-481A-44EA-8B72-3AE547A0CEF9}"/>
    <cellStyle name="Cálculo 2 4 2 2 4" xfId="12780" xr:uid="{B7781FCE-299E-4FCE-9581-94B6E4E25659}"/>
    <cellStyle name="Cálculo 2 4 2 2 4 2" xfId="12781" xr:uid="{7B1A07B5-2E6B-4121-8F7C-EA5E21DF35FC}"/>
    <cellStyle name="Cálculo 2 4 2 2 4 2 2" xfId="12782" xr:uid="{C972427D-2123-4DF9-AF77-FF1BEA03D4D3}"/>
    <cellStyle name="Cálculo 2 4 2 2 4 2 3" xfId="12783" xr:uid="{B26A10AB-11CD-4401-B3D2-272A52AB2D51}"/>
    <cellStyle name="Cálculo 2 4 2 2 4 2 4" xfId="12784" xr:uid="{6DA2BF8A-DC55-4F30-AC8B-BA1560F20F90}"/>
    <cellStyle name="Cálculo 2 4 2 2 4 2 5" xfId="12785" xr:uid="{9B673F63-5A6B-4CCC-9D92-60C4D5C4DEFD}"/>
    <cellStyle name="Cálculo 2 4 2 2 4 3" xfId="12786" xr:uid="{5CB3FE19-4C8C-42B7-A4F2-8A73168DEB12}"/>
    <cellStyle name="Cálculo 2 4 2 2 4 4" xfId="12787" xr:uid="{3F96F4ED-7A63-44FE-8E04-A52BF39C0F5C}"/>
    <cellStyle name="Cálculo 2 4 2 2 4 5" xfId="12788" xr:uid="{03F8923E-6DE2-4529-A20A-6BD285B8B500}"/>
    <cellStyle name="Cálculo 2 4 2 2 4 6" xfId="12789" xr:uid="{84269F8C-ADD6-4E58-938D-7E201FBC8AD8}"/>
    <cellStyle name="Cálculo 2 4 2 2 5" xfId="12790" xr:uid="{375093DE-2DB3-48D8-AA16-D2225F615479}"/>
    <cellStyle name="Cálculo 2 4 2 2 5 2" xfId="12791" xr:uid="{A5FA8E20-E439-49EE-90B4-2B5A77486745}"/>
    <cellStyle name="Cálculo 2 4 2 2 5 3" xfId="12792" xr:uid="{EF21E350-C633-4323-BD5A-456680FE9DE3}"/>
    <cellStyle name="Cálculo 2 4 2 2 5 4" xfId="12793" xr:uid="{E9587B3D-F5C8-4E9B-9C8A-BC39774F38EA}"/>
    <cellStyle name="Cálculo 2 4 2 2 5 5" xfId="12794" xr:uid="{F575FEC5-6236-4D40-85D4-A856096A7EF9}"/>
    <cellStyle name="Cálculo 2 4 2 2 6" xfId="12795" xr:uid="{D2E601A1-A975-497D-A960-6BF73002DD66}"/>
    <cellStyle name="Cálculo 2 4 2 2 7" xfId="12796" xr:uid="{00EB7C71-4380-480B-BFD4-CE985312AE8D}"/>
    <cellStyle name="Cálculo 2 4 2 2 8" xfId="12797" xr:uid="{8BF201DD-1397-41DF-8135-F9E86583F209}"/>
    <cellStyle name="Cálculo 2 4 2 2 9" xfId="12798" xr:uid="{D0991C7C-F817-4C42-B3AF-280B74FA9F39}"/>
    <cellStyle name="Cálculo 2 4 2 3" xfId="12799" xr:uid="{F8880C07-4E41-48FC-B0A3-85B3D4DA8606}"/>
    <cellStyle name="Cálculo 2 4 2 3 2" xfId="12800" xr:uid="{695A0730-9D02-48DF-B492-1BF3EA36B9C0}"/>
    <cellStyle name="Cálculo 2 4 2 3 2 2" xfId="12801" xr:uid="{E8E5322D-69E1-4398-9B93-FBB82CD16F3F}"/>
    <cellStyle name="Cálculo 2 4 2 3 2 3" xfId="12802" xr:uid="{6056B09F-863C-425B-ACDD-8610CDE87D59}"/>
    <cellStyle name="Cálculo 2 4 2 3 2 4" xfId="12803" xr:uid="{B0ABD248-6F0A-4649-8C5E-39725142AEFE}"/>
    <cellStyle name="Cálculo 2 4 2 3 2 5" xfId="12804" xr:uid="{F465AEDE-E587-428B-B5B1-2B3BEE8358F2}"/>
    <cellStyle name="Cálculo 2 4 2 3 3" xfId="12805" xr:uid="{48F05A80-E742-4D68-9C44-D5AF8B6E2DF1}"/>
    <cellStyle name="Cálculo 2 4 2 3 4" xfId="12806" xr:uid="{CA4BEF0A-75B5-488A-BBFB-0541477BC629}"/>
    <cellStyle name="Cálculo 2 4 2 3 5" xfId="12807" xr:uid="{BE5C09C9-C0A9-437B-8CD8-A45513AAA16D}"/>
    <cellStyle name="Cálculo 2 4 2 3 6" xfId="12808" xr:uid="{7B3657CC-38F8-46E9-96D4-8B7D9384B943}"/>
    <cellStyle name="Cálculo 2 4 2 4" xfId="12809" xr:uid="{E8E999EF-65A6-456D-B572-2B2CD32FCBBE}"/>
    <cellStyle name="Cálculo 2 4 2 4 2" xfId="12810" xr:uid="{AD496D0C-15CD-4E71-BC0A-92F021C231B6}"/>
    <cellStyle name="Cálculo 2 4 2 4 2 2" xfId="12811" xr:uid="{C89B8E0D-5F85-4E81-A49C-FAF17A677F2F}"/>
    <cellStyle name="Cálculo 2 4 2 4 2 3" xfId="12812" xr:uid="{4B076ED5-15F0-4796-8C4D-31E99983E02B}"/>
    <cellStyle name="Cálculo 2 4 2 4 2 4" xfId="12813" xr:uid="{720182E0-3D6F-4E41-83EE-F7DC6C84C447}"/>
    <cellStyle name="Cálculo 2 4 2 4 2 5" xfId="12814" xr:uid="{4A63B95E-8049-4C40-B844-182E1467F8CB}"/>
    <cellStyle name="Cálculo 2 4 2 4 3" xfId="12815" xr:uid="{DB65EADB-858A-4543-A79E-024D0DDD9FA9}"/>
    <cellStyle name="Cálculo 2 4 2 4 4" xfId="12816" xr:uid="{4817964C-C5B6-484F-A9C0-3C4370968F53}"/>
    <cellStyle name="Cálculo 2 4 2 4 5" xfId="12817" xr:uid="{186C518B-C8F2-4C15-A038-16061BF69E05}"/>
    <cellStyle name="Cálculo 2 4 2 4 6" xfId="12818" xr:uid="{464490A5-225F-4FDB-9E7D-983858075A01}"/>
    <cellStyle name="Cálculo 2 4 2 5" xfId="12819" xr:uid="{7EFFF734-6C15-4DA3-BF27-D37BC369E14B}"/>
    <cellStyle name="Cálculo 2 4 2 5 2" xfId="12820" xr:uid="{FEF30F7A-83CD-4900-A4DD-6B7039735D7F}"/>
    <cellStyle name="Cálculo 2 4 2 5 2 2" xfId="12821" xr:uid="{10554B50-B267-4AE9-B1A3-CFB4F5457F62}"/>
    <cellStyle name="Cálculo 2 4 2 5 2 3" xfId="12822" xr:uid="{5F9DFF05-AB75-4336-8F36-52F3A6888764}"/>
    <cellStyle name="Cálculo 2 4 2 5 2 4" xfId="12823" xr:uid="{DAA4743B-899C-495E-A335-4CE114C481D1}"/>
    <cellStyle name="Cálculo 2 4 2 5 2 5" xfId="12824" xr:uid="{BB259ECD-3387-49B9-BF46-544ECE3CE086}"/>
    <cellStyle name="Cálculo 2 4 2 5 3" xfId="12825" xr:uid="{7460CFD2-59AB-437A-A8E3-D27CE1881097}"/>
    <cellStyle name="Cálculo 2 4 2 5 4" xfId="12826" xr:uid="{F55A802C-431F-420D-BCB0-969A036AF276}"/>
    <cellStyle name="Cálculo 2 4 2 5 5" xfId="12827" xr:uid="{F7D10053-2A5C-4411-AC88-A8F9FD3A5224}"/>
    <cellStyle name="Cálculo 2 4 2 5 6" xfId="12828" xr:uid="{0087AFD9-8EA0-40D6-AE95-623F6317EF08}"/>
    <cellStyle name="Cálculo 2 4 2 6" xfId="12829" xr:uid="{6C8D8CCC-2E58-4238-B8AF-F6052A28A1A8}"/>
    <cellStyle name="Cálculo 2 4 2 6 2" xfId="12830" xr:uid="{72AEB760-A7C8-4214-BFCA-04CA02F8EA4E}"/>
    <cellStyle name="Cálculo 2 4 2 6 3" xfId="12831" xr:uid="{ED1FD827-5817-4AA1-A539-7F4DDCA88B63}"/>
    <cellStyle name="Cálculo 2 4 2 6 4" xfId="12832" xr:uid="{5DFABF3A-F39D-48FF-A05D-71D85F2DF5E1}"/>
    <cellStyle name="Cálculo 2 4 2 6 5" xfId="12833" xr:uid="{C9F259B0-E227-4057-B0E0-D6EE6C34DDD5}"/>
    <cellStyle name="Cálculo 2 4 2 7" xfId="12834" xr:uid="{86524D67-47C1-4874-9916-5CA4FA925116}"/>
    <cellStyle name="Cálculo 2 4 2 8" xfId="12835" xr:uid="{97E56B0F-CB9F-4572-B003-B02FB76965BC}"/>
    <cellStyle name="Cálculo 2 4 2 9" xfId="12836" xr:uid="{DD9B6494-C49E-4427-B30F-0E33A5DAB574}"/>
    <cellStyle name="Cálculo 2 4 3" xfId="12837" xr:uid="{AD7C8CC2-DB72-421E-B341-9E551BC7B6A7}"/>
    <cellStyle name="Cálculo 2 4 3 10" xfId="12838" xr:uid="{1F98D3B0-FF06-4674-A7BC-F1450FAC0031}"/>
    <cellStyle name="Cálculo 2 4 3 11" xfId="12839" xr:uid="{169ADC0B-3AB0-49A1-ABBD-ED7D077DF93E}"/>
    <cellStyle name="Cálculo 2 4 3 12" xfId="12840" xr:uid="{F457C466-4723-4FA4-BA6F-0DABAA5E5B68}"/>
    <cellStyle name="Cálculo 2 4 3 2" xfId="12841" xr:uid="{DB623461-B627-4855-BA2D-D38F17F88885}"/>
    <cellStyle name="Cálculo 2 4 3 2 2" xfId="12842" xr:uid="{863CF185-502A-42D8-9213-BCE800066D9D}"/>
    <cellStyle name="Cálculo 2 4 3 2 2 2" xfId="12843" xr:uid="{343FBD8A-E99A-4FAD-80BC-14A0D1C223BF}"/>
    <cellStyle name="Cálculo 2 4 3 2 2 3" xfId="12844" xr:uid="{CFAF9367-EAD3-488B-B05B-1109872A3956}"/>
    <cellStyle name="Cálculo 2 4 3 2 2 4" xfId="12845" xr:uid="{E89E8C53-6ADF-42B2-A8FC-52AA9FD052B3}"/>
    <cellStyle name="Cálculo 2 4 3 2 2 5" xfId="12846" xr:uid="{0F72DDD8-201F-4884-BAEF-13A18B67BA42}"/>
    <cellStyle name="Cálculo 2 4 3 2 3" xfId="12847" xr:uid="{B94A5028-5EF2-438F-83C8-B2555D1CC431}"/>
    <cellStyle name="Cálculo 2 4 3 2 4" xfId="12848" xr:uid="{96E2D0F4-BD75-420A-81BB-4CCF480DD970}"/>
    <cellStyle name="Cálculo 2 4 3 2 5" xfId="12849" xr:uid="{5B16724E-6DA9-4B1B-8997-0328F34F54DC}"/>
    <cellStyle name="Cálculo 2 4 3 2 6" xfId="12850" xr:uid="{C93F556A-1EED-405C-B98B-2BF37F4A3FD5}"/>
    <cellStyle name="Cálculo 2 4 3 3" xfId="12851" xr:uid="{8D2B929E-9D38-4A67-8DA0-B2F8EAD58767}"/>
    <cellStyle name="Cálculo 2 4 3 3 2" xfId="12852" xr:uid="{565EC419-DC6C-4B79-ADCA-2DCD1CEDC718}"/>
    <cellStyle name="Cálculo 2 4 3 3 2 2" xfId="12853" xr:uid="{AE076D1F-A7CF-4428-A844-A032765F1375}"/>
    <cellStyle name="Cálculo 2 4 3 3 2 3" xfId="12854" xr:uid="{041124C6-5C14-4B5B-BC6F-97D23F371DE6}"/>
    <cellStyle name="Cálculo 2 4 3 3 2 4" xfId="12855" xr:uid="{FA6AA6DD-765D-46BE-94BB-18175BD47E39}"/>
    <cellStyle name="Cálculo 2 4 3 3 2 5" xfId="12856" xr:uid="{68D92CBB-5D79-4739-BC97-8ECEF035674F}"/>
    <cellStyle name="Cálculo 2 4 3 3 3" xfId="12857" xr:uid="{1CF287B6-BF25-4563-814A-7682ED8DE585}"/>
    <cellStyle name="Cálculo 2 4 3 3 4" xfId="12858" xr:uid="{52377DEE-71CC-421A-8367-26FF6F1A470C}"/>
    <cellStyle name="Cálculo 2 4 3 3 5" xfId="12859" xr:uid="{27337B92-3CAE-4BCD-9090-0082B1D8A8D3}"/>
    <cellStyle name="Cálculo 2 4 3 3 6" xfId="12860" xr:uid="{B73DF26B-93F1-4ED1-85A0-BF1AB7C0A024}"/>
    <cellStyle name="Cálculo 2 4 3 4" xfId="12861" xr:uid="{168C9279-CE25-4C5A-BA81-E0E0AF26AE54}"/>
    <cellStyle name="Cálculo 2 4 3 4 2" xfId="12862" xr:uid="{864879FC-5C35-47AB-9AAF-257DE679137D}"/>
    <cellStyle name="Cálculo 2 4 3 4 2 2" xfId="12863" xr:uid="{E42C9585-7980-4F9A-89AE-6A6E6D07958E}"/>
    <cellStyle name="Cálculo 2 4 3 4 2 3" xfId="12864" xr:uid="{EA7154AE-29FC-41A4-B16D-5A742E63950E}"/>
    <cellStyle name="Cálculo 2 4 3 4 2 4" xfId="12865" xr:uid="{C7765D08-64AA-41F2-89BB-AC22DC69CF5F}"/>
    <cellStyle name="Cálculo 2 4 3 4 2 5" xfId="12866" xr:uid="{B6C9B0BF-30F6-4890-A040-E5DD587F7F96}"/>
    <cellStyle name="Cálculo 2 4 3 4 3" xfId="12867" xr:uid="{63E17B9A-5139-48F8-8573-ADDD23589E14}"/>
    <cellStyle name="Cálculo 2 4 3 4 4" xfId="12868" xr:uid="{1B6E984A-9500-479E-BC1A-4478ED6736C4}"/>
    <cellStyle name="Cálculo 2 4 3 4 5" xfId="12869" xr:uid="{1C035813-6C54-48A1-8BDF-AD3459B4924D}"/>
    <cellStyle name="Cálculo 2 4 3 4 6" xfId="12870" xr:uid="{673C3392-B81A-45B0-8F83-B43F404E073C}"/>
    <cellStyle name="Cálculo 2 4 3 5" xfId="12871" xr:uid="{E1B80683-3668-4581-8823-5E91D975FD85}"/>
    <cellStyle name="Cálculo 2 4 3 5 2" xfId="12872" xr:uid="{67038B65-F6AA-42E6-BFB7-D9E201B5A96E}"/>
    <cellStyle name="Cálculo 2 4 3 5 3" xfId="12873" xr:uid="{16862DFF-402E-4A73-AF1D-ED2186C53E50}"/>
    <cellStyle name="Cálculo 2 4 3 5 4" xfId="12874" xr:uid="{2D27AEDD-CC63-4E58-8A2B-E72F56B40DCB}"/>
    <cellStyle name="Cálculo 2 4 3 5 5" xfId="12875" xr:uid="{8012F6A0-2148-4731-9359-E7065C371618}"/>
    <cellStyle name="Cálculo 2 4 3 6" xfId="12876" xr:uid="{0A56C5E5-17A0-44D0-9C08-02FEF38E9D45}"/>
    <cellStyle name="Cálculo 2 4 3 7" xfId="12877" xr:uid="{054474EB-5389-481C-BA08-ED4849FDD087}"/>
    <cellStyle name="Cálculo 2 4 3 8" xfId="12878" xr:uid="{C869F467-5126-4D83-8DEB-83D53086DB7F}"/>
    <cellStyle name="Cálculo 2 4 3 9" xfId="12879" xr:uid="{71CC39E4-AE47-4608-9661-34DC3F8ABCB7}"/>
    <cellStyle name="Cálculo 2 4 4" xfId="12880" xr:uid="{33AF4F69-DDA9-437B-835E-1346FBFB0A78}"/>
    <cellStyle name="Cálculo 2 4 4 2" xfId="12881" xr:uid="{F8C7B0FA-0165-4694-A50D-BA6B12E6E68B}"/>
    <cellStyle name="Cálculo 2 4 4 2 2" xfId="12882" xr:uid="{CE4B2E75-50E4-4870-932E-CE6CC2B52E91}"/>
    <cellStyle name="Cálculo 2 4 4 2 3" xfId="12883" xr:uid="{2E51F94E-2166-4D78-BDE6-D5983E996CC4}"/>
    <cellStyle name="Cálculo 2 4 4 2 4" xfId="12884" xr:uid="{AE017DFE-7C79-433D-8784-F54728BD700B}"/>
    <cellStyle name="Cálculo 2 4 4 2 5" xfId="12885" xr:uid="{52805DC4-F85F-44E7-82B4-EC30957E29BE}"/>
    <cellStyle name="Cálculo 2 4 4 3" xfId="12886" xr:uid="{A790D37E-5658-4784-B57B-F279390B2023}"/>
    <cellStyle name="Cálculo 2 4 4 4" xfId="12887" xr:uid="{00287493-D493-4C0C-85FD-6B15D7ED2142}"/>
    <cellStyle name="Cálculo 2 4 4 5" xfId="12888" xr:uid="{111D87AF-B7A5-468D-B920-C8A4C9729E2B}"/>
    <cellStyle name="Cálculo 2 4 4 6" xfId="12889" xr:uid="{2248E4EF-12BD-4429-BFCF-3EF2EA6F69A4}"/>
    <cellStyle name="Cálculo 2 4 5" xfId="12890" xr:uid="{0314DE1B-0702-4EED-835C-7F70F251ECF6}"/>
    <cellStyle name="Cálculo 2 4 5 2" xfId="12891" xr:uid="{A2ADD93A-392F-447B-859A-1E5D38A531FC}"/>
    <cellStyle name="Cálculo 2 4 5 2 2" xfId="12892" xr:uid="{4A7325A6-8775-462E-8BD1-AC54485C0F75}"/>
    <cellStyle name="Cálculo 2 4 5 2 3" xfId="12893" xr:uid="{BB4F619A-DEE8-4507-A049-17C2E7BA4610}"/>
    <cellStyle name="Cálculo 2 4 5 2 4" xfId="12894" xr:uid="{B743F729-3A41-4F34-BDCD-C89DB5946C84}"/>
    <cellStyle name="Cálculo 2 4 5 2 5" xfId="12895" xr:uid="{94C115E3-8AA1-4008-8E91-774C60306F86}"/>
    <cellStyle name="Cálculo 2 4 5 3" xfId="12896" xr:uid="{1A43F338-A295-41B9-9176-6E4D79D510DA}"/>
    <cellStyle name="Cálculo 2 4 5 4" xfId="12897" xr:uid="{2988BC01-4361-41F4-A134-5431335E1948}"/>
    <cellStyle name="Cálculo 2 4 5 5" xfId="12898" xr:uid="{6C2C0055-2B4E-4C01-99B1-E46F6F6B5A10}"/>
    <cellStyle name="Cálculo 2 4 5 6" xfId="12899" xr:uid="{55EC6F35-0445-4974-AF66-4AED92934EC2}"/>
    <cellStyle name="Cálculo 2 4 6" xfId="12900" xr:uid="{60927BE7-A739-4F2C-A5DF-4E2D17EE3209}"/>
    <cellStyle name="Cálculo 2 4 6 2" xfId="12901" xr:uid="{FAAFF74B-1703-4E38-8B1D-88600C795E57}"/>
    <cellStyle name="Cálculo 2 4 6 3" xfId="12902" xr:uid="{9D5991CF-A49F-4476-84D6-A5CD3355CDC3}"/>
    <cellStyle name="Cálculo 2 4 6 4" xfId="12903" xr:uid="{6E55A6E3-F1D3-457A-AD89-89AD7549ACDC}"/>
    <cellStyle name="Cálculo 2 4 6 5" xfId="12904" xr:uid="{2CDFD60D-40D5-4F10-A11C-6FB24EA05A5E}"/>
    <cellStyle name="Cálculo 2 4 7" xfId="12905" xr:uid="{549A71EC-2EFC-4544-B8D4-4300C75FA704}"/>
    <cellStyle name="Cálculo 2 4 8" xfId="12906" xr:uid="{530BB80F-1CA1-43CE-B4C1-F8C8A32B1B65}"/>
    <cellStyle name="Cálculo 2 4 9" xfId="12907" xr:uid="{9377BE19-0F55-47F9-9DD6-FDCD501EFC3B}"/>
    <cellStyle name="Cálculo 2 5" xfId="12908" xr:uid="{24066745-21CF-4F6C-9566-F4E33F5062B7}"/>
    <cellStyle name="Cálculo 2 5 2" xfId="12909" xr:uid="{593E3F3B-9AF2-4EB2-8B72-9AC0A114B4F6}"/>
    <cellStyle name="Cálculo 2 5 2 2" xfId="12910" xr:uid="{F9959B4E-EB4E-4898-B89A-2F839A5A96AD}"/>
    <cellStyle name="Cálculo 2 5 2 3" xfId="12911" xr:uid="{19FA694C-E489-461A-845B-A9B5A73B11FB}"/>
    <cellStyle name="Cálculo 2 5 2 4" xfId="12912" xr:uid="{4B51270F-43AA-4AAB-9338-55103E751E5E}"/>
    <cellStyle name="Cálculo 2 5 2 5" xfId="12913" xr:uid="{CA37476A-EAEE-4C0B-A0BC-6E82092798B4}"/>
    <cellStyle name="Cálculo 2 5 3" xfId="12914" xr:uid="{DBD2906A-9B00-41EA-87BD-D784B36E3E89}"/>
    <cellStyle name="Cálculo 2 5 4" xfId="12915" xr:uid="{DDF9128C-2935-472C-A0FD-7FC219A865E8}"/>
    <cellStyle name="Cálculo 2 5 5" xfId="12916" xr:uid="{070E5176-0658-4ED0-9CDE-03AA5742985C}"/>
    <cellStyle name="Cálculo 2 5 6" xfId="12917" xr:uid="{F10AC5BD-5FE0-4B20-93C0-6944BDB99E79}"/>
    <cellStyle name="Cálculo 2 5 7" xfId="12918" xr:uid="{69C4863F-1626-461C-BD83-3DA2C0EF2A80}"/>
    <cellStyle name="Cálculo 2 5 8" xfId="12919" xr:uid="{CC0A42FF-B1E1-463C-B9D5-B84D51C478F1}"/>
    <cellStyle name="Cálculo 2 5 9" xfId="12920" xr:uid="{8CF8F62B-B6F6-402C-9F86-255FB31F2E6D}"/>
    <cellStyle name="Cálculo 2 6" xfId="12921" xr:uid="{80D46EAA-6E5C-4C2E-B742-C53A95F0F9C0}"/>
    <cellStyle name="Cálculo 2 6 2" xfId="12922" xr:uid="{66BFE0B3-8E90-45D0-9074-58B65CD80AEE}"/>
    <cellStyle name="Cálculo 2 6 2 2" xfId="12923" xr:uid="{990A7AF6-DF0A-4E12-AB79-1101EFAAA82C}"/>
    <cellStyle name="Cálculo 2 6 2 3" xfId="12924" xr:uid="{5CA20754-9A07-4C7D-8E3F-12E8D332EBF5}"/>
    <cellStyle name="Cálculo 2 6 2 4" xfId="12925" xr:uid="{4F5C0B27-9B79-49F1-95D0-C111FFEBDEF8}"/>
    <cellStyle name="Cálculo 2 6 2 5" xfId="12926" xr:uid="{4E504F25-5C0D-493A-80F8-9A2E98FCA757}"/>
    <cellStyle name="Cálculo 2 6 3" xfId="12927" xr:uid="{CD523846-200D-43A8-9B91-02180BE08F5F}"/>
    <cellStyle name="Cálculo 2 6 4" xfId="12928" xr:uid="{96957816-168E-47F2-95A5-C7E79E27C71A}"/>
    <cellStyle name="Cálculo 2 6 5" xfId="12929" xr:uid="{D9E9C6C2-FE6D-40A5-818A-98730E732853}"/>
    <cellStyle name="Cálculo 2 6 6" xfId="12930" xr:uid="{659FA463-7AA6-4625-A35F-B411D7C3375D}"/>
    <cellStyle name="Cálculo 2 6 7" xfId="12931" xr:uid="{EF0C07F3-1255-42A2-98BB-85350BA55DD8}"/>
    <cellStyle name="Cálculo 2 6 8" xfId="12932" xr:uid="{28355F2E-2B5D-4ABA-8A32-6D0C676CB652}"/>
    <cellStyle name="Cálculo 2 6 9" xfId="12933" xr:uid="{22A4827F-2777-4C71-9BA3-72A005F5C652}"/>
    <cellStyle name="Cálculo 2 7" xfId="12934" xr:uid="{B6E6F120-199E-4050-AE43-0E270F17BDE8}"/>
    <cellStyle name="Cálculo 2 7 2" xfId="12935" xr:uid="{B0BA6C78-A0C1-4322-9208-C2C7B0DF1E0D}"/>
    <cellStyle name="Cálculo 2 7 2 2" xfId="12936" xr:uid="{83BDA94C-F083-4199-812D-3463F6C3DC1F}"/>
    <cellStyle name="Cálculo 2 7 2 3" xfId="12937" xr:uid="{3B2DFE7E-10C0-405F-B58E-09EF61B4D01A}"/>
    <cellStyle name="Cálculo 2 7 2 4" xfId="12938" xr:uid="{E019CC43-DC19-4848-AE4A-71C4C87AB377}"/>
    <cellStyle name="Cálculo 2 7 2 5" xfId="12939" xr:uid="{3EA46987-3B58-4CE7-96A8-229E0F8312D9}"/>
    <cellStyle name="Cálculo 2 7 3" xfId="12940" xr:uid="{10D5FACB-EE3A-4088-AFA2-5647F3EC2A56}"/>
    <cellStyle name="Cálculo 2 7 4" xfId="12941" xr:uid="{2464819C-5792-41C8-8705-26C9618C179F}"/>
    <cellStyle name="Cálculo 2 7 5" xfId="12942" xr:uid="{D9A59C9D-5DEF-47EF-81C0-E7D290197A3C}"/>
    <cellStyle name="Cálculo 2 7 6" xfId="12943" xr:uid="{4D964B99-0739-4D57-9813-E91CD2D63DFD}"/>
    <cellStyle name="Cálculo 2 7 7" xfId="12944" xr:uid="{94BC41A8-15D1-4A93-8C98-09AE0D16D48E}"/>
    <cellStyle name="Cálculo 2 7 8" xfId="12945" xr:uid="{224E4E60-5D71-4320-9FA9-05E4EF62DB77}"/>
    <cellStyle name="Cálculo 2 7 9" xfId="12946" xr:uid="{44B1625D-1D61-4C81-9FE5-20DFD2310372}"/>
    <cellStyle name="Cálculo 2 8" xfId="12947" xr:uid="{DB34C4F3-A139-4B59-91C0-9B89765B78E9}"/>
    <cellStyle name="Cálculo 2 8 10" xfId="12948" xr:uid="{A37EE7A9-A8F4-4509-8560-660F42164F60}"/>
    <cellStyle name="Cálculo 2 8 2" xfId="12949" xr:uid="{B4EE804E-9037-4FFF-8522-4836640786BB}"/>
    <cellStyle name="Cálculo 2 8 2 2" xfId="12950" xr:uid="{F5636B4C-448C-4D3D-9C59-3AB24D67C318}"/>
    <cellStyle name="Cálculo 2 8 2 2 2" xfId="12951" xr:uid="{FAEAAB0C-6F14-4A52-9484-974421164852}"/>
    <cellStyle name="Cálculo 2 8 2 2 3" xfId="12952" xr:uid="{5C61B777-102B-418F-8F71-4442795B0CC0}"/>
    <cellStyle name="Cálculo 2 8 2 2 4" xfId="12953" xr:uid="{31FC4445-0907-46CB-A678-CABEDBF02F3B}"/>
    <cellStyle name="Cálculo 2 8 2 2 5" xfId="12954" xr:uid="{0AB009C7-7FC5-4F7D-BA16-961B321B0772}"/>
    <cellStyle name="Cálculo 2 8 2 3" xfId="12955" xr:uid="{C1E5FB2C-0C53-4085-AC69-23A8C03667D6}"/>
    <cellStyle name="Cálculo 2 8 2 4" xfId="12956" xr:uid="{EEF00050-E115-47D5-B5C7-CCF6398AEE82}"/>
    <cellStyle name="Cálculo 2 8 2 5" xfId="12957" xr:uid="{35DC0847-32D6-4D5B-A6E4-2CD1C0B685B4}"/>
    <cellStyle name="Cálculo 2 8 2 6" xfId="12958" xr:uid="{6980A2D0-261D-4F27-91CF-2F2814EA818F}"/>
    <cellStyle name="Cálculo 2 8 2 7" xfId="12959" xr:uid="{F5262E24-C1EE-4A18-918C-4699C0C36C7B}"/>
    <cellStyle name="Cálculo 2 8 2 8" xfId="12960" xr:uid="{9796AC69-6072-40B1-A115-A5E5793A7B26}"/>
    <cellStyle name="Cálculo 2 8 2 9" xfId="12961" xr:uid="{54BAB656-A870-4658-9780-63247C433550}"/>
    <cellStyle name="Cálculo 2 8 3" xfId="12962" xr:uid="{185DB726-A810-4651-98FE-391B937BE07A}"/>
    <cellStyle name="Cálculo 2 8 3 2" xfId="12963" xr:uid="{F1325D4C-92AA-4132-B8C5-06122AFA698D}"/>
    <cellStyle name="Cálculo 2 8 3 3" xfId="12964" xr:uid="{8BBE687E-C007-44CE-99FB-F376E6290637}"/>
    <cellStyle name="Cálculo 2 8 3 4" xfId="12965" xr:uid="{8D1E8465-AADE-4C33-A697-3A0865B7603E}"/>
    <cellStyle name="Cálculo 2 8 3 5" xfId="12966" xr:uid="{3842D01A-8CDF-4BDC-BD2F-F55D88E472C2}"/>
    <cellStyle name="Cálculo 2 8 4" xfId="12967" xr:uid="{5D5E9ECC-F3D9-4911-9F58-462169DE7A9B}"/>
    <cellStyle name="Cálculo 2 8 5" xfId="12968" xr:uid="{8E37722E-B9E7-49A5-8A22-D77730DAFA62}"/>
    <cellStyle name="Cálculo 2 8 6" xfId="12969" xr:uid="{E84F23C2-DB1D-4F06-989A-AA93924B9EE3}"/>
    <cellStyle name="Cálculo 2 8 7" xfId="12970" xr:uid="{2DE79C23-E769-40FC-8641-C045D327F096}"/>
    <cellStyle name="Cálculo 2 8 8" xfId="12971" xr:uid="{64E91BC6-DAE1-4DF9-AFD0-37E35ADD594D}"/>
    <cellStyle name="Cálculo 2 8 9" xfId="12972" xr:uid="{CA7B7F78-6526-46E3-87A7-7E3BEFEE2539}"/>
    <cellStyle name="Cálculo 2 9" xfId="12973" xr:uid="{9D59E4DC-8D97-451B-BD86-D2019B999CC7}"/>
    <cellStyle name="Cálculo 2 9 2" xfId="12974" xr:uid="{94AF0F44-A63F-4819-AB60-395B789E5491}"/>
    <cellStyle name="Cálculo 2 9 2 2" xfId="12975" xr:uid="{0D61B4CA-A974-44F1-9EEC-95293B5F4502}"/>
    <cellStyle name="Cálculo 2 9 2 3" xfId="12976" xr:uid="{03F3242D-CEC3-4590-8E76-A6B40A53C07F}"/>
    <cellStyle name="Cálculo 2 9 2 4" xfId="12977" xr:uid="{1B31B80A-E654-4F4F-92A2-B445B5B0AE34}"/>
    <cellStyle name="Cálculo 2 9 2 5" xfId="12978" xr:uid="{69F9BEE3-E5E0-45A5-90BD-571A06222F8D}"/>
    <cellStyle name="Cálculo 2 9 3" xfId="12979" xr:uid="{5E82E1D0-0156-4FD5-8149-DADDAD71545E}"/>
    <cellStyle name="Cálculo 2 9 4" xfId="12980" xr:uid="{8A29F09B-7944-43F7-A032-5FD5542225CE}"/>
    <cellStyle name="Cálculo 2 9 5" xfId="12981" xr:uid="{9C36E762-6672-4947-A67C-B2B02EA7F6A2}"/>
    <cellStyle name="Cálculo 2 9 6" xfId="12982" xr:uid="{B52A55ED-0B3C-4AAD-89C8-F88BEB9A7D34}"/>
    <cellStyle name="Cálculo 2 9 7" xfId="12983" xr:uid="{9E8A44D6-5743-46DD-9330-F726C8CEAA86}"/>
    <cellStyle name="Cálculo 2 9 8" xfId="12984" xr:uid="{B36A7861-5B7D-425F-B34C-070CD6CC0A9B}"/>
    <cellStyle name="Cálculo 2 9 9" xfId="12985" xr:uid="{5C681EB1-DBC3-4F94-AE6C-14CC64F365EE}"/>
    <cellStyle name="Cálculo 3" xfId="12986" xr:uid="{BD5A8505-D917-4B9A-814B-26062821EAEF}"/>
    <cellStyle name="Cálculo 3 10" xfId="12987" xr:uid="{0FDC7EC1-70A8-4770-A0DD-0B08FF36AD12}"/>
    <cellStyle name="Cálculo 3 11" xfId="12988" xr:uid="{03D76E62-8A7F-4E23-BCC2-D7ABC0205709}"/>
    <cellStyle name="Cálculo 3 2" xfId="12989" xr:uid="{C62EC77E-EE9C-47D2-9D1A-EEF2CDBFA741}"/>
    <cellStyle name="Cálculo 3 2 2" xfId="12990" xr:uid="{673AD2CD-B5E8-4F55-A9D8-3E58E7273788}"/>
    <cellStyle name="Cálculo 3 2 2 2" xfId="12991" xr:uid="{D6FD32FB-C5E3-4BBD-8A9E-5BE968BE0288}"/>
    <cellStyle name="Cálculo 3 2 2 3" xfId="12992" xr:uid="{311A4955-EDF3-4A98-9B4F-C51A7F010B92}"/>
    <cellStyle name="Cálculo 3 2 2 4" xfId="12993" xr:uid="{433F5BE5-B826-4590-8E64-8ED07CCA01D4}"/>
    <cellStyle name="Cálculo 3 2 2 5" xfId="12994" xr:uid="{A24B8DD6-2532-4FB2-849B-5A0039620B9B}"/>
    <cellStyle name="Cálculo 3 2 3" xfId="12995" xr:uid="{BF52538C-DF94-4C20-9EED-A03B6B13F0FB}"/>
    <cellStyle name="Cálculo 3 2 4" xfId="12996" xr:uid="{0FF2288C-7431-4243-8243-997EF1157EA8}"/>
    <cellStyle name="Cálculo 3 2 5" xfId="12997" xr:uid="{3615F12C-30D2-4021-A779-2B6A94134B54}"/>
    <cellStyle name="Cálculo 3 2 6" xfId="12998" xr:uid="{62E5280F-564A-4791-92BA-76596E3D90E3}"/>
    <cellStyle name="Cálculo 3 2 7" xfId="12999" xr:uid="{0E9F9140-ED4D-4182-8B6A-13DF3115EDB8}"/>
    <cellStyle name="Cálculo 3 2 8" xfId="13000" xr:uid="{A7CF31C4-66D6-4F93-BA30-1E23E4CF346E}"/>
    <cellStyle name="Cálculo 3 2 9" xfId="13001" xr:uid="{DE30DBC9-AC15-424B-B228-985A996C8814}"/>
    <cellStyle name="Cálculo 3 3" xfId="13002" xr:uid="{0FFDFA6C-4157-48A9-91E6-01F97027A59D}"/>
    <cellStyle name="Cálculo 3 3 2" xfId="13003" xr:uid="{A1C4C2C4-D29E-449D-8406-55A91A1D4FD7}"/>
    <cellStyle name="Cálculo 3 3 2 2" xfId="13004" xr:uid="{6A5FE834-B255-4D83-AE5A-D9387E59683A}"/>
    <cellStyle name="Cálculo 3 3 2 3" xfId="13005" xr:uid="{39EF5C65-3866-4232-B342-CB665DF262B5}"/>
    <cellStyle name="Cálculo 3 3 2 4" xfId="13006" xr:uid="{399978B7-DA7D-42EF-AFE5-7DEDAD4B8BFB}"/>
    <cellStyle name="Cálculo 3 3 2 5" xfId="13007" xr:uid="{AFB9D6EC-CBB2-44FB-AAC2-C26BF2420A5A}"/>
    <cellStyle name="Cálculo 3 3 3" xfId="13008" xr:uid="{0A140AB9-19BA-4C22-B81A-EF6F5FF2807D}"/>
    <cellStyle name="Cálculo 3 3 4" xfId="13009" xr:uid="{FB579416-5563-4663-B05C-FF37215F59F5}"/>
    <cellStyle name="Cálculo 3 3 5" xfId="13010" xr:uid="{7E60ED8F-B25E-454A-829C-1FB062EF0F0A}"/>
    <cellStyle name="Cálculo 3 3 6" xfId="13011" xr:uid="{892CE1AC-2834-43DD-A690-0D4A313E82CD}"/>
    <cellStyle name="Cálculo 3 3 7" xfId="13012" xr:uid="{D1AA419C-EAE7-4EE5-9A1C-3ED654F2FC17}"/>
    <cellStyle name="Cálculo 3 3 8" xfId="13013" xr:uid="{C0280A70-EABD-4FE0-9F89-238471E584F9}"/>
    <cellStyle name="Cálculo 3 3 9" xfId="13014" xr:uid="{458F44A6-D0C4-46F9-8830-6310F89D4445}"/>
    <cellStyle name="Cálculo 3 4" xfId="13015" xr:uid="{325D14D7-7E34-46DA-84B9-545BD82FB7CF}"/>
    <cellStyle name="Cálculo 3 4 2" xfId="13016" xr:uid="{AD542BB8-2044-4B04-B4FE-994E1BED8C38}"/>
    <cellStyle name="Cálculo 3 4 3" xfId="13017" xr:uid="{D755FAFA-20D7-451E-A67C-314FD769E2D2}"/>
    <cellStyle name="Cálculo 3 4 4" xfId="13018" xr:uid="{AA6871F2-1D24-4F0A-A0AF-9AC8D00D32DE}"/>
    <cellStyle name="Cálculo 3 4 5" xfId="13019" xr:uid="{5AC0BF9A-8896-4062-99DD-D626ADDF6BD1}"/>
    <cellStyle name="Cálculo 3 5" xfId="13020" xr:uid="{0604F8B7-BB01-4E48-8D8E-C48447E2A4E6}"/>
    <cellStyle name="Cálculo 3 6" xfId="13021" xr:uid="{3FAA6190-93F5-486A-99EE-5291451482B3}"/>
    <cellStyle name="Cálculo 3 7" xfId="13022" xr:uid="{53AEE559-DADE-436E-A082-1E7898EA4744}"/>
    <cellStyle name="Cálculo 3 8" xfId="13023" xr:uid="{C3CB6286-6E82-4B7B-B607-7AE5D66975D0}"/>
    <cellStyle name="Cálculo 3 9" xfId="13024" xr:uid="{C73560A3-B4E6-42C7-9836-94A88F32A925}"/>
    <cellStyle name="Cálculo 4" xfId="13025" xr:uid="{4A92765F-CD4D-4409-9242-4312F9B9A55F}"/>
    <cellStyle name="Cálculo 4 2" xfId="13026" xr:uid="{FF261E82-D2BE-4D17-BA17-C8FB9B761B29}"/>
    <cellStyle name="Cálculo 4 2 2" xfId="13027" xr:uid="{87E19AED-B6B7-4786-8F22-8902FDE3F23D}"/>
    <cellStyle name="Cálculo 4 2 3" xfId="13028" xr:uid="{D13A1A83-F7EA-4133-B512-465436F79419}"/>
    <cellStyle name="Cálculo 4 2 4" xfId="13029" xr:uid="{3F4FF366-D9E5-4825-B6CA-437025A02909}"/>
    <cellStyle name="Cálculo 4 2 5" xfId="13030" xr:uid="{023C4F9C-C606-4622-A82E-C6C29B1AEA3C}"/>
    <cellStyle name="Cálculo 4 3" xfId="13031" xr:uid="{D3B92C11-FA20-403C-B262-247776DDA868}"/>
    <cellStyle name="Cálculo 4 4" xfId="13032" xr:uid="{FF860A89-1D37-49B0-A2D9-570525D240DB}"/>
    <cellStyle name="Cálculo 4 5" xfId="13033" xr:uid="{C015CA7B-7507-4BFD-A222-F74A0DC14C76}"/>
    <cellStyle name="Cálculo 4 6" xfId="13034" xr:uid="{FD79AFBB-E098-434B-8EE8-5E20579DBC0E}"/>
    <cellStyle name="Cálculo 4 7" xfId="13035" xr:uid="{BA7D21B9-CD1B-44AB-9D26-D88A0AFE753C}"/>
    <cellStyle name="Cálculo 4 8" xfId="13036" xr:uid="{88294570-3A0A-4E86-B257-05A741F96180}"/>
    <cellStyle name="Cálculo 4 9" xfId="13037" xr:uid="{EE063617-FB8E-4F8E-8448-8CC43B56B8D0}"/>
    <cellStyle name="Celda de comprobación" xfId="18" builtinId="23" customBuiltin="1"/>
    <cellStyle name="Celda de comprobación 2" xfId="13038" xr:uid="{042668C6-7F63-4E89-80A9-85B25BF46A59}"/>
    <cellStyle name="Celda de comprobación 2 10" xfId="13039" xr:uid="{19BCE484-2293-4F0D-8357-5DB58C124648}"/>
    <cellStyle name="Celda de comprobación 2 10 10" xfId="13040" xr:uid="{7A9E42DD-173B-4A6D-828F-BA74B70952F5}"/>
    <cellStyle name="Celda de comprobación 2 10 11" xfId="13041" xr:uid="{E4947CE9-6E5E-4769-95B6-C78C233BB247}"/>
    <cellStyle name="Celda de comprobación 2 10 2" xfId="13042" xr:uid="{8BD200A5-A86F-49E8-B407-DD5973FB6552}"/>
    <cellStyle name="Celda de comprobación 2 10 2 10" xfId="13043" xr:uid="{D91419F7-F892-4600-88C7-480F25A4A204}"/>
    <cellStyle name="Celda de comprobación 2 10 2 11" xfId="13044" xr:uid="{292C0C2C-E5C2-4890-B018-7A95F4BF2C1F}"/>
    <cellStyle name="Celda de comprobación 2 10 2 2" xfId="13045" xr:uid="{4A9F82A3-8B97-4857-A1A8-BE193101F9A1}"/>
    <cellStyle name="Celda de comprobación 2 10 2 2 2" xfId="13046" xr:uid="{91787089-1D36-472F-8299-D3E690CD05A6}"/>
    <cellStyle name="Celda de comprobación 2 10 2 2 2 2" xfId="13047" xr:uid="{A9D67C65-A2FF-482F-B962-22208230075B}"/>
    <cellStyle name="Celda de comprobación 2 10 2 2 2 3" xfId="13048" xr:uid="{66EAA454-E823-403C-AD7D-5F881C1D4017}"/>
    <cellStyle name="Celda de comprobación 2 10 2 2 2 4" xfId="13049" xr:uid="{7E62351B-AD03-4392-AE79-53E3D4F4661C}"/>
    <cellStyle name="Celda de comprobación 2 10 2 2 2 5" xfId="13050" xr:uid="{DD06334C-4435-44BD-8F91-A315825DF0CC}"/>
    <cellStyle name="Celda de comprobación 2 10 2 2 3" xfId="13051" xr:uid="{AAF3F9D5-D919-4720-B174-055231E2B8E3}"/>
    <cellStyle name="Celda de comprobación 2 10 2 2 4" xfId="13052" xr:uid="{53CC0853-C3E1-467E-BB8C-B4114C05EB3E}"/>
    <cellStyle name="Celda de comprobación 2 10 2 2 5" xfId="13053" xr:uid="{943B3883-E7DE-4B95-9C5E-F2A4B2DABCCF}"/>
    <cellStyle name="Celda de comprobación 2 10 2 3" xfId="13054" xr:uid="{E382873C-75CB-424F-8AE0-EE2811A8D554}"/>
    <cellStyle name="Celda de comprobación 2 10 2 4" xfId="13055" xr:uid="{E91BAD69-4882-47EE-AF10-A9364DC88220}"/>
    <cellStyle name="Celda de comprobación 2 10 2 5" xfId="13056" xr:uid="{CBAA3315-A80B-444E-87D5-498FE8A32419}"/>
    <cellStyle name="Celda de comprobación 2 10 2 6" xfId="13057" xr:uid="{C869A4DB-4078-4FD5-8E1A-A6B86FD04407}"/>
    <cellStyle name="Celda de comprobación 2 10 2 7" xfId="13058" xr:uid="{8E4E0514-8DBE-4BE3-AB32-3262AE40A166}"/>
    <cellStyle name="Celda de comprobación 2 10 2 8" xfId="13059" xr:uid="{74472CB4-393A-4CB2-B168-7A1569D9473B}"/>
    <cellStyle name="Celda de comprobación 2 10 2 9" xfId="13060" xr:uid="{DA5294A7-5DFE-4D6B-8497-064614BEB0D6}"/>
    <cellStyle name="Celda de comprobación 2 10 3" xfId="13061" xr:uid="{4EAEC6F6-BA74-4C5E-8907-68715A51857A}"/>
    <cellStyle name="Celda de comprobación 2 10 3 2" xfId="13062" xr:uid="{2E949F57-A2B3-4C6F-AEF4-9D17871A2A6E}"/>
    <cellStyle name="Celda de comprobación 2 10 3 2 2" xfId="13063" xr:uid="{F9F60ABE-0733-421B-9FC9-1E58FE946319}"/>
    <cellStyle name="Celda de comprobación 2 10 3 2 3" xfId="13064" xr:uid="{69480AB7-4061-4755-A81D-1B4B28717D9E}"/>
    <cellStyle name="Celda de comprobación 2 10 3 2 4" xfId="13065" xr:uid="{AB99AEA1-B9AF-4727-9969-FB4216FE5A37}"/>
    <cellStyle name="Celda de comprobación 2 10 3 2 5" xfId="13066" xr:uid="{9E64385A-93FB-48C4-8A62-A08EA7800A64}"/>
    <cellStyle name="Celda de comprobación 2 10 3 3" xfId="13067" xr:uid="{7138E0DF-1115-400D-8401-F68B8E6A11C2}"/>
    <cellStyle name="Celda de comprobación 2 10 3 4" xfId="13068" xr:uid="{DC3B59C5-D774-47C6-9288-951AA207B894}"/>
    <cellStyle name="Celda de comprobación 2 10 3 5" xfId="13069" xr:uid="{2FC1023B-9B85-405E-9CFE-F3B84FB107DD}"/>
    <cellStyle name="Celda de comprobación 2 10 4" xfId="13070" xr:uid="{D738062E-1062-4EE6-93D7-226223DC2552}"/>
    <cellStyle name="Celda de comprobación 2 10 5" xfId="13071" xr:uid="{30CAC282-073F-40FB-869B-1710DFA86DBD}"/>
    <cellStyle name="Celda de comprobación 2 10 6" xfId="13072" xr:uid="{B0D9F46D-8F94-41CB-8817-FD5940678D9D}"/>
    <cellStyle name="Celda de comprobación 2 10 7" xfId="13073" xr:uid="{BC1E65A0-1AB9-4870-97FC-7DA203BBE663}"/>
    <cellStyle name="Celda de comprobación 2 10 8" xfId="13074" xr:uid="{FF91C42D-A37C-452A-9DAA-631E38CBCF43}"/>
    <cellStyle name="Celda de comprobación 2 10 9" xfId="13075" xr:uid="{67A75B83-E651-4111-959F-A68C227102CF}"/>
    <cellStyle name="Celda de comprobación 2 11" xfId="13076" xr:uid="{0F528FD8-FEB9-43D7-A8E4-1BF0C82EB454}"/>
    <cellStyle name="Celda de comprobación 2 12" xfId="13077" xr:uid="{DBB0E08C-1662-4803-AFB8-64BF662DA6E4}"/>
    <cellStyle name="Celda de comprobación 2 13" xfId="13078" xr:uid="{1F5E6ACB-8096-4185-B409-F885F59643C5}"/>
    <cellStyle name="Celda de comprobación 2 2" xfId="13079" xr:uid="{55255E98-B954-495D-B39C-5183BD62528A}"/>
    <cellStyle name="Celda de comprobación 2 2 10" xfId="13080" xr:uid="{C13B21A1-3049-408A-8A37-AD47A62FD6D5}"/>
    <cellStyle name="Celda de comprobación 2 2 10 10" xfId="13081" xr:uid="{57D6894C-A917-4161-8C28-FE2A699986C0}"/>
    <cellStyle name="Celda de comprobación 2 2 10 11" xfId="13082" xr:uid="{65A2D0EE-5089-4303-9DEF-0158AF184C49}"/>
    <cellStyle name="Celda de comprobación 2 2 10 2" xfId="13083" xr:uid="{8271FCD5-5838-4ECD-B9A0-A4E16AAC5319}"/>
    <cellStyle name="Celda de comprobación 2 2 10 2 10" xfId="13084" xr:uid="{2AAF1F87-383A-4015-AE7C-302FB10513FB}"/>
    <cellStyle name="Celda de comprobación 2 2 10 2 11" xfId="13085" xr:uid="{80D1D0A6-B483-42A9-A7E1-0412BB2528AD}"/>
    <cellStyle name="Celda de comprobación 2 2 10 2 2" xfId="13086" xr:uid="{D6E642B4-F8ED-4A96-A73C-FDDC072F2123}"/>
    <cellStyle name="Celda de comprobación 2 2 10 2 2 2" xfId="13087" xr:uid="{F190F7EC-89E4-487F-8965-B22F8372C088}"/>
    <cellStyle name="Celda de comprobación 2 2 10 2 2 2 2" xfId="13088" xr:uid="{F431ED8B-74AD-4E7C-9924-4150A4F0F1BE}"/>
    <cellStyle name="Celda de comprobación 2 2 10 2 2 2 3" xfId="13089" xr:uid="{F2FA533F-E7C5-437D-8268-7A81E6FA1A7C}"/>
    <cellStyle name="Celda de comprobación 2 2 10 2 2 2 4" xfId="13090" xr:uid="{93337459-C27F-4CAC-A32F-47BE9A337FCD}"/>
    <cellStyle name="Celda de comprobación 2 2 10 2 2 2 5" xfId="13091" xr:uid="{DBEA42ED-3F1E-492B-A912-0BE263D701C7}"/>
    <cellStyle name="Celda de comprobación 2 2 10 2 2 3" xfId="13092" xr:uid="{9EAEEF65-DF5C-4334-80DB-94459E3D9425}"/>
    <cellStyle name="Celda de comprobación 2 2 10 2 2 4" xfId="13093" xr:uid="{0110FA34-1ED0-483B-BD14-E7CA8F002931}"/>
    <cellStyle name="Celda de comprobación 2 2 10 2 2 5" xfId="13094" xr:uid="{9B905EEF-45F6-4160-A55C-CA2C2747B847}"/>
    <cellStyle name="Celda de comprobación 2 2 10 2 3" xfId="13095" xr:uid="{3E76D618-916A-45B6-8A5F-C4BAB9924387}"/>
    <cellStyle name="Celda de comprobación 2 2 10 2 4" xfId="13096" xr:uid="{F423DEAC-064D-4F87-93C0-DC0A195B8B2C}"/>
    <cellStyle name="Celda de comprobación 2 2 10 2 5" xfId="13097" xr:uid="{0D91C176-ED53-4667-B4DD-10A6C13D443B}"/>
    <cellStyle name="Celda de comprobación 2 2 10 2 6" xfId="13098" xr:uid="{F95055D7-5A0D-4053-8563-F53EE197B87C}"/>
    <cellStyle name="Celda de comprobación 2 2 10 2 7" xfId="13099" xr:uid="{50C572EB-2F10-4CAE-8378-7238C08C1081}"/>
    <cellStyle name="Celda de comprobación 2 2 10 2 8" xfId="13100" xr:uid="{482A06E9-A963-4FD1-93B0-F83A03AF9049}"/>
    <cellStyle name="Celda de comprobación 2 2 10 2 9" xfId="13101" xr:uid="{2D5D0383-5851-487D-AE8E-768F28305235}"/>
    <cellStyle name="Celda de comprobación 2 2 10 3" xfId="13102" xr:uid="{CD6876CC-D9C6-42D0-99DB-BE45365D20CD}"/>
    <cellStyle name="Celda de comprobación 2 2 10 3 2" xfId="13103" xr:uid="{643FED8A-DD7F-4962-BFF4-ADF9A6E7EF4A}"/>
    <cellStyle name="Celda de comprobación 2 2 10 3 2 2" xfId="13104" xr:uid="{5B17BBDF-53EB-4BAD-94A8-52BC9239C36B}"/>
    <cellStyle name="Celda de comprobación 2 2 10 3 2 3" xfId="13105" xr:uid="{27192B96-9107-4A08-B391-C38B086B4696}"/>
    <cellStyle name="Celda de comprobación 2 2 10 3 2 4" xfId="13106" xr:uid="{1F93483B-E1C2-42BF-A5D2-5B1027EF8DDC}"/>
    <cellStyle name="Celda de comprobación 2 2 10 3 2 5" xfId="13107" xr:uid="{71112BA2-B240-4942-B207-87723D259034}"/>
    <cellStyle name="Celda de comprobación 2 2 10 3 3" xfId="13108" xr:uid="{9DFB6C0E-6C08-4323-821B-A4CDED2FD2CF}"/>
    <cellStyle name="Celda de comprobación 2 2 10 3 4" xfId="13109" xr:uid="{AB68DF20-5C7F-49C3-96E5-2CDFE5596834}"/>
    <cellStyle name="Celda de comprobación 2 2 10 3 5" xfId="13110" xr:uid="{60BD40B0-0760-4C21-BDC5-A80E85556395}"/>
    <cellStyle name="Celda de comprobación 2 2 10 4" xfId="13111" xr:uid="{857691F4-7F4C-4A43-9620-E39910D9D5CB}"/>
    <cellStyle name="Celda de comprobación 2 2 10 5" xfId="13112" xr:uid="{199163D5-2B6A-466D-B008-69E344E1D5EC}"/>
    <cellStyle name="Celda de comprobación 2 2 10 6" xfId="13113" xr:uid="{9520054A-BE8E-4918-8034-5728B5C7F3B5}"/>
    <cellStyle name="Celda de comprobación 2 2 10 7" xfId="13114" xr:uid="{CE8F3458-3E75-4912-9AA9-CCCF1F70F32D}"/>
    <cellStyle name="Celda de comprobación 2 2 10 8" xfId="13115" xr:uid="{15FA5B3C-2173-4D70-814A-72D35DBF7AED}"/>
    <cellStyle name="Celda de comprobación 2 2 10 9" xfId="13116" xr:uid="{3887618F-C302-483C-ABAA-733F31557719}"/>
    <cellStyle name="Celda de comprobación 2 2 11" xfId="13117" xr:uid="{B379D168-C03C-4F5F-933E-628BFF972924}"/>
    <cellStyle name="Celda de comprobación 2 2 12" xfId="13118" xr:uid="{DC6F6578-96AC-4668-9096-2B49FEC077B2}"/>
    <cellStyle name="Celda de comprobación 2 2 13" xfId="13119" xr:uid="{A3FCBC69-1D85-47DD-A344-E1AA79A28188}"/>
    <cellStyle name="Celda de comprobación 2 2 2" xfId="13120" xr:uid="{B3BB4D54-1C56-4564-A614-0953E3B72E7D}"/>
    <cellStyle name="Celda de comprobación 2 2 2 2" xfId="13121" xr:uid="{0271D0B7-B531-4E18-B7BB-52584644057A}"/>
    <cellStyle name="Celda de comprobación 2 2 2 2 2" xfId="13122" xr:uid="{834656D5-344C-448C-8DE2-B995E23C1E01}"/>
    <cellStyle name="Celda de comprobación 2 2 2 2 2 2" xfId="13123" xr:uid="{C3E3E742-A271-435C-A370-D538098F6BD9}"/>
    <cellStyle name="Celda de comprobación 2 2 2 2 2 2 2" xfId="13124" xr:uid="{87C04213-549B-4D3B-97C2-DA8CB2C7B09C}"/>
    <cellStyle name="Celda de comprobación 2 2 2 2 2 2 2 2" xfId="13125" xr:uid="{8C243F2C-1CC4-4BDB-8496-133EECBBB278}"/>
    <cellStyle name="Celda de comprobación 2 2 2 2 2 2 2 2 2" xfId="13126" xr:uid="{0F2C24A2-3A10-45CB-829C-A7B2678C9514}"/>
    <cellStyle name="Celda de comprobación 2 2 2 2 2 2 2 2 2 2" xfId="13127" xr:uid="{FEF0739A-DE44-4D3B-88A2-77D6515F55E6}"/>
    <cellStyle name="Celda de comprobación 2 2 2 2 2 2 2 2 2 2 2" xfId="13128" xr:uid="{3BA3D280-6EB1-4AB3-BC9C-92DEB54BC9A8}"/>
    <cellStyle name="Celda de comprobación 2 2 2 2 2 2 2 2 2 2 2 2" xfId="13129" xr:uid="{C1041E0B-5DAD-4A26-827D-9279E88FBE73}"/>
    <cellStyle name="Celda de comprobación 2 2 2 2 2 2 2 2 2 2 3" xfId="13130" xr:uid="{A833BFAE-CC62-4E9D-BE9D-5ADB314B1F2A}"/>
    <cellStyle name="Celda de comprobación 2 2 2 2 2 2 2 2 2 2 4" xfId="13131" xr:uid="{9E2020A1-3DCF-4376-BF17-F78A79C40593}"/>
    <cellStyle name="Celda de comprobación 2 2 2 2 2 2 2 2 2 3" xfId="13132" xr:uid="{D713B963-0628-435E-A525-B5B613278C8D}"/>
    <cellStyle name="Celda de comprobación 2 2 2 2 2 2 2 2 2 4" xfId="13133" xr:uid="{0B6A50BB-A275-4EEF-A860-70EEE8CE0CD7}"/>
    <cellStyle name="Celda de comprobación 2 2 2 2 2 2 2 2 3" xfId="13134" xr:uid="{005B864D-E284-4864-8187-5AB2F989B544}"/>
    <cellStyle name="Celda de comprobación 2 2 2 2 2 2 2 2 4" xfId="13135" xr:uid="{B8F25482-8816-4F97-8460-4A9CFACA35DC}"/>
    <cellStyle name="Celda de comprobación 2 2 2 2 2 2 2 2 5" xfId="13136" xr:uid="{7A3FA968-F497-4688-878A-8B3A71E968B5}"/>
    <cellStyle name="Celda de comprobación 2 2 2 2 2 2 2 3" xfId="13137" xr:uid="{CB59BCDA-0064-4CAA-A8CA-20948C2AFD07}"/>
    <cellStyle name="Celda de comprobación 2 2 2 2 2 2 2 3 10" xfId="13138" xr:uid="{60AD1836-5411-4334-8FCD-F2A6F693DC48}"/>
    <cellStyle name="Celda de comprobación 2 2 2 2 2 2 2 3 11" xfId="13139" xr:uid="{47447B56-2883-4E6E-B3AA-E7FF13929335}"/>
    <cellStyle name="Celda de comprobación 2 2 2 2 2 2 2 3 2" xfId="13140" xr:uid="{A0DF39F2-FB4A-44D3-BE92-9E732EF5465E}"/>
    <cellStyle name="Celda de comprobación 2 2 2 2 2 2 2 3 2 2" xfId="13141" xr:uid="{72071791-BBBE-4F11-9AE0-220F7902E30B}"/>
    <cellStyle name="Celda de comprobación 2 2 2 2 2 2 2 3 2 2 2" xfId="13142" xr:uid="{2C086537-CDED-458A-901E-ABE8DB9945BD}"/>
    <cellStyle name="Celda de comprobación 2 2 2 2 2 2 2 3 2 2 3" xfId="13143" xr:uid="{997B01F5-EDCD-4A64-A88D-D6042CC7EAF5}"/>
    <cellStyle name="Celda de comprobación 2 2 2 2 2 2 2 3 2 2 4" xfId="13144" xr:uid="{308C673A-CF04-4EA5-AA5C-45CA4006E7D4}"/>
    <cellStyle name="Celda de comprobación 2 2 2 2 2 2 2 3 2 2 5" xfId="13145" xr:uid="{E3A29970-07DB-4AB0-A1AA-C2F5349BCA31}"/>
    <cellStyle name="Celda de comprobación 2 2 2 2 2 2 2 3 2 3" xfId="13146" xr:uid="{3E990448-5979-48AC-BF5F-BC33C8F45E8A}"/>
    <cellStyle name="Celda de comprobación 2 2 2 2 2 2 2 3 2 4" xfId="13147" xr:uid="{9EF62CE2-EED8-4096-BDC4-2902A8751A3F}"/>
    <cellStyle name="Celda de comprobación 2 2 2 2 2 2 2 3 2 5" xfId="13148" xr:uid="{3460D68B-E7FB-4BAC-AC07-9A3BDACF9492}"/>
    <cellStyle name="Celda de comprobación 2 2 2 2 2 2 2 3 3" xfId="13149" xr:uid="{6A630079-A465-46D0-9599-5820EB776BDC}"/>
    <cellStyle name="Celda de comprobación 2 2 2 2 2 2 2 3 4" xfId="13150" xr:uid="{7249128C-B1EE-4FDA-B572-9249D160A092}"/>
    <cellStyle name="Celda de comprobación 2 2 2 2 2 2 2 3 5" xfId="13151" xr:uid="{A9413BC7-24F7-4332-B5A4-E0C2EC39FD89}"/>
    <cellStyle name="Celda de comprobación 2 2 2 2 2 2 2 3 6" xfId="13152" xr:uid="{13D03C52-853D-4734-BF5D-A95D3E543796}"/>
    <cellStyle name="Celda de comprobación 2 2 2 2 2 2 2 3 7" xfId="13153" xr:uid="{4638FF0B-F598-446F-A5B0-1E87E84F2A16}"/>
    <cellStyle name="Celda de comprobación 2 2 2 2 2 2 2 3 8" xfId="13154" xr:uid="{DAE4317B-0FF4-4CBC-8A4B-4F988BEA03BD}"/>
    <cellStyle name="Celda de comprobación 2 2 2 2 2 2 2 3 9" xfId="13155" xr:uid="{49883599-CD0B-4AA9-841C-8E7A57A59313}"/>
    <cellStyle name="Celda de comprobación 2 2 2 2 2 2 2 4" xfId="13156" xr:uid="{8157276E-F0AC-48CB-8765-F9A18B060E83}"/>
    <cellStyle name="Celda de comprobación 2 2 2 2 2 2 2 5" xfId="13157" xr:uid="{EEEFA2F1-6A9A-48B5-B882-A41E332C48D7}"/>
    <cellStyle name="Celda de comprobación 2 2 2 2 2 2 3" xfId="13158" xr:uid="{F54927F6-4908-44AF-8A01-DC88AC0CD9CB}"/>
    <cellStyle name="Celda de comprobación 2 2 2 2 2 2 3 10" xfId="13159" xr:uid="{7FF2045F-3F67-4B42-85DE-D2E480589FC4}"/>
    <cellStyle name="Celda de comprobación 2 2 2 2 2 2 3 11" xfId="13160" xr:uid="{785A13A3-DBFC-42D8-B1AA-7996BE0FC446}"/>
    <cellStyle name="Celda de comprobación 2 2 2 2 2 2 3 2" xfId="13161" xr:uid="{9D3CAFD0-6BFE-4063-A73F-3C78BDE0B6ED}"/>
    <cellStyle name="Celda de comprobación 2 2 2 2 2 2 3 2 10" xfId="13162" xr:uid="{680CE1B9-C043-4C35-B54D-4856E62D606D}"/>
    <cellStyle name="Celda de comprobación 2 2 2 2 2 2 3 2 11" xfId="13163" xr:uid="{474A2DB6-0546-4719-AD84-BFCA2982618D}"/>
    <cellStyle name="Celda de comprobación 2 2 2 2 2 2 3 2 2" xfId="13164" xr:uid="{9ECCF22B-1618-4EB3-876B-FA6A0D3C8F27}"/>
    <cellStyle name="Celda de comprobación 2 2 2 2 2 2 3 2 2 2" xfId="13165" xr:uid="{DF86E605-CCD6-4FE1-896B-F7FB6098D753}"/>
    <cellStyle name="Celda de comprobación 2 2 2 2 2 2 3 2 2 2 2" xfId="13166" xr:uid="{6C7A7DCE-D340-4FF8-B699-1F4879CE02E5}"/>
    <cellStyle name="Celda de comprobación 2 2 2 2 2 2 3 2 2 2 3" xfId="13167" xr:uid="{A1510CCD-3DA1-4E29-9DE0-D74EE9E0206D}"/>
    <cellStyle name="Celda de comprobación 2 2 2 2 2 2 3 2 2 2 4" xfId="13168" xr:uid="{C4D8E107-5E98-4B7C-875C-0F69445467D1}"/>
    <cellStyle name="Celda de comprobación 2 2 2 2 2 2 3 2 2 2 5" xfId="13169" xr:uid="{2F0E41C2-F196-4058-B38D-7F7B42A89719}"/>
    <cellStyle name="Celda de comprobación 2 2 2 2 2 2 3 2 2 3" xfId="13170" xr:uid="{BAE1991C-5B06-4F90-B489-59F21F058975}"/>
    <cellStyle name="Celda de comprobación 2 2 2 2 2 2 3 2 2 4" xfId="13171" xr:uid="{9EB1EFA5-FE35-456E-A66B-AD19396D1201}"/>
    <cellStyle name="Celda de comprobación 2 2 2 2 2 2 3 2 2 5" xfId="13172" xr:uid="{8D0BB876-A6F0-4AC6-BC8E-A600F40BBE04}"/>
    <cellStyle name="Celda de comprobación 2 2 2 2 2 2 3 2 3" xfId="13173" xr:uid="{6813FBA7-ACF5-4EDD-9623-7D43E0CF858F}"/>
    <cellStyle name="Celda de comprobación 2 2 2 2 2 2 3 2 4" xfId="13174" xr:uid="{312F3C23-0F1F-4DA9-9B9A-249CA3EA5FD3}"/>
    <cellStyle name="Celda de comprobación 2 2 2 2 2 2 3 2 5" xfId="13175" xr:uid="{68EBCAEE-72E9-4585-979A-70D45496DB93}"/>
    <cellStyle name="Celda de comprobación 2 2 2 2 2 2 3 2 6" xfId="13176" xr:uid="{5184416D-1E18-401D-9670-D029D25C3903}"/>
    <cellStyle name="Celda de comprobación 2 2 2 2 2 2 3 2 7" xfId="13177" xr:uid="{F4A8350D-CDC8-4782-8671-ED85FF081DFB}"/>
    <cellStyle name="Celda de comprobación 2 2 2 2 2 2 3 2 8" xfId="13178" xr:uid="{932CB34B-0BD2-4961-A3A7-872D8BFD3FA7}"/>
    <cellStyle name="Celda de comprobación 2 2 2 2 2 2 3 2 9" xfId="13179" xr:uid="{2007898C-16F4-4837-AB4C-2F132A58E312}"/>
    <cellStyle name="Celda de comprobación 2 2 2 2 2 2 3 3" xfId="13180" xr:uid="{F9FD0D10-529C-4806-8C7A-70DBD54B3552}"/>
    <cellStyle name="Celda de comprobación 2 2 2 2 2 2 3 3 2" xfId="13181" xr:uid="{40CE200C-C91E-49B7-B18C-CB4FB79DF23B}"/>
    <cellStyle name="Celda de comprobación 2 2 2 2 2 2 3 3 2 2" xfId="13182" xr:uid="{C15831C9-D969-4354-8C9A-1F058EE4EEF2}"/>
    <cellStyle name="Celda de comprobación 2 2 2 2 2 2 3 3 2 3" xfId="13183" xr:uid="{B174C458-70AC-4ACA-9AC1-F8BA323C1881}"/>
    <cellStyle name="Celda de comprobación 2 2 2 2 2 2 3 3 2 4" xfId="13184" xr:uid="{3A360B36-C53D-41B9-B4F8-01ED3AC657A0}"/>
    <cellStyle name="Celda de comprobación 2 2 2 2 2 2 3 3 2 5" xfId="13185" xr:uid="{3C7490AD-9172-413F-8A2B-49AE7EBEAC07}"/>
    <cellStyle name="Celda de comprobación 2 2 2 2 2 2 3 3 3" xfId="13186" xr:uid="{1416DDCB-7819-4D1A-B687-CDB144BB56C7}"/>
    <cellStyle name="Celda de comprobación 2 2 2 2 2 2 3 3 4" xfId="13187" xr:uid="{2B149634-1171-486B-8CCC-2CCAB2802418}"/>
    <cellStyle name="Celda de comprobación 2 2 2 2 2 2 3 3 5" xfId="13188" xr:uid="{82B2ABB0-041F-4EA8-A16C-3D489AE3522C}"/>
    <cellStyle name="Celda de comprobación 2 2 2 2 2 2 3 4" xfId="13189" xr:uid="{29C8293F-1A2A-4286-AD27-35D06FD07984}"/>
    <cellStyle name="Celda de comprobación 2 2 2 2 2 2 3 5" xfId="13190" xr:uid="{22D958CA-61AC-4DF9-BAF6-717228BC63C7}"/>
    <cellStyle name="Celda de comprobación 2 2 2 2 2 2 3 6" xfId="13191" xr:uid="{C1E941F4-4995-4646-A838-E78134869A3C}"/>
    <cellStyle name="Celda de comprobación 2 2 2 2 2 2 3 7" xfId="13192" xr:uid="{3B5D2D51-356C-4639-84BC-B166A17A1347}"/>
    <cellStyle name="Celda de comprobación 2 2 2 2 2 2 3 8" xfId="13193" xr:uid="{213881F6-E3DC-4784-8CE2-59F1F975514B}"/>
    <cellStyle name="Celda de comprobación 2 2 2 2 2 2 3 9" xfId="13194" xr:uid="{E3DD6082-BA4A-499F-841C-39FD4F752BED}"/>
    <cellStyle name="Celda de comprobación 2 2 2 2 2 2 4" xfId="13195" xr:uid="{7EB2A23D-49CF-4E26-A2E8-470FDF1DA9F3}"/>
    <cellStyle name="Celda de comprobación 2 2 2 2 2 2 5" xfId="13196" xr:uid="{841E78AB-FF17-43ED-BEB5-6D85D35EC1B6}"/>
    <cellStyle name="Celda de comprobación 2 2 2 2 2 2 6" xfId="13197" xr:uid="{B9AA3CF1-2C0D-4F31-A90A-2E180E15943F}"/>
    <cellStyle name="Celda de comprobación 2 2 2 2 2 3" xfId="13198" xr:uid="{15C32784-D008-4605-B630-680609F3DF39}"/>
    <cellStyle name="Celda de comprobación 2 2 2 2 2 3 10" xfId="13199" xr:uid="{C38B8FA4-837F-482F-B627-3094CF5CA12F}"/>
    <cellStyle name="Celda de comprobación 2 2 2 2 2 3 11" xfId="13200" xr:uid="{1A07DA2D-021B-45A3-A800-23713AE21333}"/>
    <cellStyle name="Celda de comprobación 2 2 2 2 2 3 2" xfId="13201" xr:uid="{C55F6BF4-D0D6-4380-BCB5-C87840B90CC3}"/>
    <cellStyle name="Celda de comprobación 2 2 2 2 2 3 2 10" xfId="13202" xr:uid="{7C4431EC-5BC3-4E6A-8758-1D8B3FE733FB}"/>
    <cellStyle name="Celda de comprobación 2 2 2 2 2 3 2 11" xfId="13203" xr:uid="{99EF0B92-1112-4148-BCB7-C9BB61935F9D}"/>
    <cellStyle name="Celda de comprobación 2 2 2 2 2 3 2 2" xfId="13204" xr:uid="{5ECFD00B-EC8A-48B8-8E22-440DB204DF97}"/>
    <cellStyle name="Celda de comprobación 2 2 2 2 2 3 2 2 2" xfId="13205" xr:uid="{2F305FE9-548A-48B3-BB8B-3A136080B76B}"/>
    <cellStyle name="Celda de comprobación 2 2 2 2 2 3 2 2 2 2" xfId="13206" xr:uid="{B18187C8-DA97-4765-B695-070C85452669}"/>
    <cellStyle name="Celda de comprobación 2 2 2 2 2 3 2 2 2 3" xfId="13207" xr:uid="{39E58BBA-C45A-4EE0-B9C7-EBE119ACEF26}"/>
    <cellStyle name="Celda de comprobación 2 2 2 2 2 3 2 2 2 4" xfId="13208" xr:uid="{58497624-01D8-4C3D-B9D0-7501D544ABE5}"/>
    <cellStyle name="Celda de comprobación 2 2 2 2 2 3 2 2 2 5" xfId="13209" xr:uid="{EFE55001-53BA-4332-A827-B9EFE553984D}"/>
    <cellStyle name="Celda de comprobación 2 2 2 2 2 3 2 2 3" xfId="13210" xr:uid="{5DCFF3FB-53CB-44CE-8C53-3B4CCEFD940D}"/>
    <cellStyle name="Celda de comprobación 2 2 2 2 2 3 2 2 4" xfId="13211" xr:uid="{78770993-C8BD-4C6B-88C5-BF263CFD977F}"/>
    <cellStyle name="Celda de comprobación 2 2 2 2 2 3 2 2 5" xfId="13212" xr:uid="{CEBB493D-DB34-4F13-9436-070748948A92}"/>
    <cellStyle name="Celda de comprobación 2 2 2 2 2 3 2 3" xfId="13213" xr:uid="{B472139B-6B09-4491-AFE0-3B1889E2F7AE}"/>
    <cellStyle name="Celda de comprobación 2 2 2 2 2 3 2 4" xfId="13214" xr:uid="{EE355DF6-A8BD-4A66-B0FA-28E22B107DD6}"/>
    <cellStyle name="Celda de comprobación 2 2 2 2 2 3 2 5" xfId="13215" xr:uid="{65C08CDA-5B37-4FA6-8F11-6EC750CD9C74}"/>
    <cellStyle name="Celda de comprobación 2 2 2 2 2 3 2 6" xfId="13216" xr:uid="{73163064-AA69-49A9-8791-8B5978925681}"/>
    <cellStyle name="Celda de comprobación 2 2 2 2 2 3 2 7" xfId="13217" xr:uid="{B1C7AFC2-5978-4314-A334-37255A3DEE83}"/>
    <cellStyle name="Celda de comprobación 2 2 2 2 2 3 2 8" xfId="13218" xr:uid="{82FF6349-2715-4D34-A1E9-6B334B3FAAB7}"/>
    <cellStyle name="Celda de comprobación 2 2 2 2 2 3 2 9" xfId="13219" xr:uid="{3400F67F-ACB7-459D-B363-9AB02C2EC746}"/>
    <cellStyle name="Celda de comprobación 2 2 2 2 2 3 3" xfId="13220" xr:uid="{7B61638B-C968-4E8A-8011-22F40867F71F}"/>
    <cellStyle name="Celda de comprobación 2 2 2 2 2 3 3 2" xfId="13221" xr:uid="{659B710D-0377-4D1B-8DE9-73B65F57C9C9}"/>
    <cellStyle name="Celda de comprobación 2 2 2 2 2 3 3 2 2" xfId="13222" xr:uid="{98131FAD-D1BF-4365-AC7E-603DA3E04447}"/>
    <cellStyle name="Celda de comprobación 2 2 2 2 2 3 3 2 3" xfId="13223" xr:uid="{10E668FD-1BB0-44D4-BCAC-C193ECCA502F}"/>
    <cellStyle name="Celda de comprobación 2 2 2 2 2 3 3 2 4" xfId="13224" xr:uid="{8630D945-BD1E-43B8-A24D-5B936A4B5E83}"/>
    <cellStyle name="Celda de comprobación 2 2 2 2 2 3 3 2 5" xfId="13225" xr:uid="{265CC0E6-7C87-4ACA-AA13-C7415578267E}"/>
    <cellStyle name="Celda de comprobación 2 2 2 2 2 3 3 3" xfId="13226" xr:uid="{07A40CC9-CB60-4B6A-A240-1786398C85B2}"/>
    <cellStyle name="Celda de comprobación 2 2 2 2 2 3 3 4" xfId="13227" xr:uid="{E5DB6272-4EFA-4591-9A11-8C3A4E6251FB}"/>
    <cellStyle name="Celda de comprobación 2 2 2 2 2 3 3 5" xfId="13228" xr:uid="{3DAA95F8-8788-4A52-9049-6ED1C8863165}"/>
    <cellStyle name="Celda de comprobación 2 2 2 2 2 3 4" xfId="13229" xr:uid="{2B0020BA-DDC3-4BE0-B8FC-ECA9414455BE}"/>
    <cellStyle name="Celda de comprobación 2 2 2 2 2 3 5" xfId="13230" xr:uid="{AE2F0274-7C4A-418F-A6B0-83434EF674E3}"/>
    <cellStyle name="Celda de comprobación 2 2 2 2 2 3 6" xfId="13231" xr:uid="{99009415-6C36-4002-96BC-2BE35685650E}"/>
    <cellStyle name="Celda de comprobación 2 2 2 2 2 3 7" xfId="13232" xr:uid="{0ABF6BCB-590C-44CE-B8AE-DB739597B70A}"/>
    <cellStyle name="Celda de comprobación 2 2 2 2 2 3 8" xfId="13233" xr:uid="{102D7A0D-16CB-47C3-AF24-CEFEC22B5514}"/>
    <cellStyle name="Celda de comprobación 2 2 2 2 2 3 9" xfId="13234" xr:uid="{9F8F58B4-C82E-4EB8-8C41-AD7ACAA586BE}"/>
    <cellStyle name="Celda de comprobación 2 2 2 2 2 4" xfId="13235" xr:uid="{CFFE8843-A5A0-4DC9-B8CD-D5C6BED4916A}"/>
    <cellStyle name="Celda de comprobación 2 2 2 2 2 5" xfId="13236" xr:uid="{353DB281-44AC-481D-8186-49F274164C83}"/>
    <cellStyle name="Celda de comprobación 2 2 2 2 2 6" xfId="13237" xr:uid="{7CBBBB65-88A9-4FA9-AA88-1BFBC53D7600}"/>
    <cellStyle name="Celda de comprobación 2 2 2 2 3" xfId="13238" xr:uid="{7A6127B6-1596-4C94-9AB3-0737A0123AC7}"/>
    <cellStyle name="Celda de comprobación 2 2 2 2 4" xfId="13239" xr:uid="{FB0AEC01-6EA3-47D9-B834-5130874D4E73}"/>
    <cellStyle name="Celda de comprobación 2 2 2 2 4 10" xfId="13240" xr:uid="{D9E7F496-549E-4C42-945C-130F2AECFD03}"/>
    <cellStyle name="Celda de comprobación 2 2 2 2 4 11" xfId="13241" xr:uid="{619BCBCA-1CC6-485A-A5A1-CA53B8FA4364}"/>
    <cellStyle name="Celda de comprobación 2 2 2 2 4 2" xfId="13242" xr:uid="{AB79E45B-1C19-492C-AE3D-75156B24C297}"/>
    <cellStyle name="Celda de comprobación 2 2 2 2 4 2 10" xfId="13243" xr:uid="{A8CC8A04-65E8-49B0-98A3-B45994A6C775}"/>
    <cellStyle name="Celda de comprobación 2 2 2 2 4 2 11" xfId="13244" xr:uid="{CF335228-F62B-4A04-8235-0F7C69944CDA}"/>
    <cellStyle name="Celda de comprobación 2 2 2 2 4 2 2" xfId="13245" xr:uid="{72C9CAC1-40E8-4B84-B7B8-347D270FBF10}"/>
    <cellStyle name="Celda de comprobación 2 2 2 2 4 2 2 2" xfId="13246" xr:uid="{08C332EB-5DCA-4EDC-94DF-BA1DBCDD66BA}"/>
    <cellStyle name="Celda de comprobación 2 2 2 2 4 2 2 2 2" xfId="13247" xr:uid="{2E3C82BE-BE44-464D-95F0-95DB62D4EEBA}"/>
    <cellStyle name="Celda de comprobación 2 2 2 2 4 2 2 2 3" xfId="13248" xr:uid="{869649A1-3B40-40D2-963D-A0CBDAE13E06}"/>
    <cellStyle name="Celda de comprobación 2 2 2 2 4 2 2 2 4" xfId="13249" xr:uid="{8889CB54-45E2-4DCD-9CD6-AE1A44060578}"/>
    <cellStyle name="Celda de comprobación 2 2 2 2 4 2 2 2 5" xfId="13250" xr:uid="{2F3424C6-D531-41BE-8A5E-6D2582219B55}"/>
    <cellStyle name="Celda de comprobación 2 2 2 2 4 2 2 3" xfId="13251" xr:uid="{61314EC6-2D04-487C-885E-D18AC696AD23}"/>
    <cellStyle name="Celda de comprobación 2 2 2 2 4 2 2 4" xfId="13252" xr:uid="{2E60F5CA-6BAE-448F-8369-6FE6AF6ADF14}"/>
    <cellStyle name="Celda de comprobación 2 2 2 2 4 2 2 5" xfId="13253" xr:uid="{AA6F74A7-A27E-455F-AE0A-AFCD39BD192F}"/>
    <cellStyle name="Celda de comprobación 2 2 2 2 4 2 3" xfId="13254" xr:uid="{5DCFF1AD-7F5A-44FF-912B-70CA87878F1B}"/>
    <cellStyle name="Celda de comprobación 2 2 2 2 4 2 4" xfId="13255" xr:uid="{7C79F0C3-E32F-4F62-908D-553C0C29C0B4}"/>
    <cellStyle name="Celda de comprobación 2 2 2 2 4 2 5" xfId="13256" xr:uid="{8B153940-1C65-4774-A20B-3FE581F7A9D0}"/>
    <cellStyle name="Celda de comprobación 2 2 2 2 4 2 6" xfId="13257" xr:uid="{8AA7BCE0-7B5D-409E-9866-9F53AEE76371}"/>
    <cellStyle name="Celda de comprobación 2 2 2 2 4 2 7" xfId="13258" xr:uid="{DE42E7B1-56A7-44BD-8DC3-5F71C4FB9210}"/>
    <cellStyle name="Celda de comprobación 2 2 2 2 4 2 8" xfId="13259" xr:uid="{A6A11399-A240-4D9C-A37F-1CCF8052B888}"/>
    <cellStyle name="Celda de comprobación 2 2 2 2 4 2 9" xfId="13260" xr:uid="{4BAFD0EA-96C7-4803-A194-C2AD76E41468}"/>
    <cellStyle name="Celda de comprobación 2 2 2 2 4 3" xfId="13261" xr:uid="{66A6386C-C8E7-4182-A9C6-185FDD7038A5}"/>
    <cellStyle name="Celda de comprobación 2 2 2 2 4 3 2" xfId="13262" xr:uid="{AE64C2C9-8439-4B13-B037-EA435B83DB00}"/>
    <cellStyle name="Celda de comprobación 2 2 2 2 4 3 2 2" xfId="13263" xr:uid="{80DE9C42-3ED9-42A0-8BF1-9BA960026676}"/>
    <cellStyle name="Celda de comprobación 2 2 2 2 4 3 2 3" xfId="13264" xr:uid="{1E8D79A2-0A68-4669-A042-3FE1BDCE7353}"/>
    <cellStyle name="Celda de comprobación 2 2 2 2 4 3 2 4" xfId="13265" xr:uid="{01C9A853-33B4-4989-8A90-A18F18DC8E90}"/>
    <cellStyle name="Celda de comprobación 2 2 2 2 4 3 2 5" xfId="13266" xr:uid="{699B9676-3C7D-47CD-930E-88B28DCC68FB}"/>
    <cellStyle name="Celda de comprobación 2 2 2 2 4 3 3" xfId="13267" xr:uid="{40861ACE-DE22-4058-817D-EC7F60E178BA}"/>
    <cellStyle name="Celda de comprobación 2 2 2 2 4 3 4" xfId="13268" xr:uid="{277920F5-41A9-4193-AA8F-DCFE25ECBD66}"/>
    <cellStyle name="Celda de comprobación 2 2 2 2 4 3 5" xfId="13269" xr:uid="{25D13992-5ED5-4BE6-9AB8-323B55FAB40E}"/>
    <cellStyle name="Celda de comprobación 2 2 2 2 4 4" xfId="13270" xr:uid="{06FB85C3-8DC8-41FB-9DF6-4018050896CC}"/>
    <cellStyle name="Celda de comprobación 2 2 2 2 4 5" xfId="13271" xr:uid="{09CE0A4D-8999-4400-9CA7-54B58599C8B5}"/>
    <cellStyle name="Celda de comprobación 2 2 2 2 4 6" xfId="13272" xr:uid="{5A251EA4-03EE-423F-B982-A85DD8A7B9D0}"/>
    <cellStyle name="Celda de comprobación 2 2 2 2 4 7" xfId="13273" xr:uid="{A4E21E8E-D497-459F-A6C2-1FB8F823B9B5}"/>
    <cellStyle name="Celda de comprobación 2 2 2 2 4 8" xfId="13274" xr:uid="{F2BEDB59-18A0-4E4E-9E32-057A5193471D}"/>
    <cellStyle name="Celda de comprobación 2 2 2 2 4 9" xfId="13275" xr:uid="{D694B123-B9F3-4BF8-8A25-C2ED882EBE80}"/>
    <cellStyle name="Celda de comprobación 2 2 2 2 5" xfId="13276" xr:uid="{BD210DBC-5905-4615-992C-1BADB1401284}"/>
    <cellStyle name="Celda de comprobación 2 2 2 2 6" xfId="13277" xr:uid="{BD8632AC-AC43-4E64-BC09-911B43734E3E}"/>
    <cellStyle name="Celda de comprobación 2 2 2 2 7" xfId="13278" xr:uid="{EA21DEAE-95E7-438F-B138-CFFCFE853C70}"/>
    <cellStyle name="Celda de comprobación 2 2 2 3" xfId="13279" xr:uid="{F71C64CA-8810-45B4-83DD-190AF0230641}"/>
    <cellStyle name="Celda de comprobación 2 2 2 4" xfId="13280" xr:uid="{74F0D38B-ABE0-45AD-BC47-40A2E2D8621E}"/>
    <cellStyle name="Celda de comprobación 2 2 2 5" xfId="13281" xr:uid="{C3687F9F-1750-4837-9767-F42A13A0E1E4}"/>
    <cellStyle name="Celda de comprobación 2 2 2 5 10" xfId="13282" xr:uid="{E251385A-1C68-4F2E-B5F8-28F075E8E006}"/>
    <cellStyle name="Celda de comprobación 2 2 2 5 11" xfId="13283" xr:uid="{16487D2B-6154-4190-B86C-B26F6D149AB4}"/>
    <cellStyle name="Celda de comprobación 2 2 2 5 2" xfId="13284" xr:uid="{99E88799-4860-49E2-AFD2-7C1AFE5175A0}"/>
    <cellStyle name="Celda de comprobación 2 2 2 5 2 10" xfId="13285" xr:uid="{0E5AE972-E959-421D-9231-572A72744BCB}"/>
    <cellStyle name="Celda de comprobación 2 2 2 5 2 11" xfId="13286" xr:uid="{E9D84E27-A641-4426-82D2-3449DBA9FE76}"/>
    <cellStyle name="Celda de comprobación 2 2 2 5 2 2" xfId="13287" xr:uid="{13781389-8421-4439-BFD1-D5098396DFA3}"/>
    <cellStyle name="Celda de comprobación 2 2 2 5 2 2 2" xfId="13288" xr:uid="{6D18E479-663C-48BA-BDFF-1E2C7D81D5B2}"/>
    <cellStyle name="Celda de comprobación 2 2 2 5 2 2 2 2" xfId="13289" xr:uid="{A2531AD2-596C-4314-946F-9298CEC5DA9C}"/>
    <cellStyle name="Celda de comprobación 2 2 2 5 2 2 2 3" xfId="13290" xr:uid="{0C79BFB4-3A7D-4A82-8CAA-39242A4D3AA8}"/>
    <cellStyle name="Celda de comprobación 2 2 2 5 2 2 2 4" xfId="13291" xr:uid="{6FD2AE69-5C3A-4517-AC2B-981247925620}"/>
    <cellStyle name="Celda de comprobación 2 2 2 5 2 2 2 5" xfId="13292" xr:uid="{9DE01461-487A-4961-94F7-0EFA688B93F5}"/>
    <cellStyle name="Celda de comprobación 2 2 2 5 2 2 3" xfId="13293" xr:uid="{F44BC12C-ED24-4A78-AE38-6CEBD987A142}"/>
    <cellStyle name="Celda de comprobación 2 2 2 5 2 2 4" xfId="13294" xr:uid="{D56AB4AC-877F-428B-A324-668FAA30A2C2}"/>
    <cellStyle name="Celda de comprobación 2 2 2 5 2 2 5" xfId="13295" xr:uid="{580FB068-350F-4A48-A732-475E6A35D6B9}"/>
    <cellStyle name="Celda de comprobación 2 2 2 5 2 3" xfId="13296" xr:uid="{49C7601C-D030-48C2-9277-BB39E2DD92F6}"/>
    <cellStyle name="Celda de comprobación 2 2 2 5 2 4" xfId="13297" xr:uid="{B47BCE75-1A5A-4441-B058-818C274303BC}"/>
    <cellStyle name="Celda de comprobación 2 2 2 5 2 5" xfId="13298" xr:uid="{3C8273A2-2DEA-412B-AF40-04ECF283F678}"/>
    <cellStyle name="Celda de comprobación 2 2 2 5 2 6" xfId="13299" xr:uid="{FC4E27D4-1986-4198-B6D5-F745D750CEEE}"/>
    <cellStyle name="Celda de comprobación 2 2 2 5 2 7" xfId="13300" xr:uid="{14821B79-9C37-45E7-AC00-B12A711C6C0E}"/>
    <cellStyle name="Celda de comprobación 2 2 2 5 2 8" xfId="13301" xr:uid="{071AEBC9-3DA8-4AB0-AFAD-A888FF684226}"/>
    <cellStyle name="Celda de comprobación 2 2 2 5 2 9" xfId="13302" xr:uid="{4663F8F8-A82F-4162-81F4-30ACF0142742}"/>
    <cellStyle name="Celda de comprobación 2 2 2 5 3" xfId="13303" xr:uid="{BEFDD508-EEF0-4DA8-9DCB-4C80BBBF509E}"/>
    <cellStyle name="Celda de comprobación 2 2 2 5 3 2" xfId="13304" xr:uid="{668CF6A0-7872-4760-AE3A-83E903855520}"/>
    <cellStyle name="Celda de comprobación 2 2 2 5 3 2 2" xfId="13305" xr:uid="{7620D393-C1E7-459B-9013-F565AF1A992E}"/>
    <cellStyle name="Celda de comprobación 2 2 2 5 3 2 3" xfId="13306" xr:uid="{E17411D9-447C-45B8-B154-1D3A0699B84C}"/>
    <cellStyle name="Celda de comprobación 2 2 2 5 3 2 4" xfId="13307" xr:uid="{E10E3D7D-CACA-4240-B410-75D6833E786A}"/>
    <cellStyle name="Celda de comprobación 2 2 2 5 3 2 5" xfId="13308" xr:uid="{99BBB770-3D07-43C4-AB45-A9D4A04385B6}"/>
    <cellStyle name="Celda de comprobación 2 2 2 5 3 3" xfId="13309" xr:uid="{8918088C-F094-480F-BE68-5E0E63CE392C}"/>
    <cellStyle name="Celda de comprobación 2 2 2 5 3 4" xfId="13310" xr:uid="{ED8C5822-0FCC-4937-B56C-8C5E353987B3}"/>
    <cellStyle name="Celda de comprobación 2 2 2 5 3 5" xfId="13311" xr:uid="{4F602905-AF12-465B-89D0-5568E8E0D5CC}"/>
    <cellStyle name="Celda de comprobación 2 2 2 5 4" xfId="13312" xr:uid="{A5D56332-3012-4D4B-8049-52E547F0379A}"/>
    <cellStyle name="Celda de comprobación 2 2 2 5 5" xfId="13313" xr:uid="{78C79876-A562-487A-BA85-59449F84780F}"/>
    <cellStyle name="Celda de comprobación 2 2 2 5 6" xfId="13314" xr:uid="{1E5F9567-F027-4F56-B48A-414E628CBC55}"/>
    <cellStyle name="Celda de comprobación 2 2 2 5 7" xfId="13315" xr:uid="{39E96641-73D6-4C28-A95C-C3A3EAD2C8CA}"/>
    <cellStyle name="Celda de comprobación 2 2 2 5 8" xfId="13316" xr:uid="{6792AF2E-C06C-41EB-920F-19C9F13CF925}"/>
    <cellStyle name="Celda de comprobación 2 2 2 5 9" xfId="13317" xr:uid="{3031F864-8DE2-40D6-87CE-52FCD98AD93F}"/>
    <cellStyle name="Celda de comprobación 2 2 2 6" xfId="13318" xr:uid="{237F1B6D-EC03-4E8C-9451-1CD376E52C1B}"/>
    <cellStyle name="Celda de comprobación 2 2 2 7" xfId="13319" xr:uid="{573A3AA9-E920-4875-A3B9-6085C4066084}"/>
    <cellStyle name="Celda de comprobación 2 2 2 8" xfId="13320" xr:uid="{8BCC5431-DD37-470B-8421-91533E26A940}"/>
    <cellStyle name="Celda de comprobación 2 2 3" xfId="13321" xr:uid="{48574C75-BA65-4EAE-AB31-6F40FE9AA69E}"/>
    <cellStyle name="Celda de comprobación 2 2 4" xfId="13322" xr:uid="{B1FE2450-3DD4-408B-A675-4102305D7527}"/>
    <cellStyle name="Celda de comprobación 2 2 5" xfId="13323" xr:uid="{AF5E0B88-414A-472C-958D-CCE2F57B17FD}"/>
    <cellStyle name="Celda de comprobación 2 2 6" xfId="13324" xr:uid="{3C30E99F-65A3-4A3E-B39E-741F80DAF2DC}"/>
    <cellStyle name="Celda de comprobación 2 2 7" xfId="13325" xr:uid="{1501E7E8-C0DE-42C2-A002-305F57DB3999}"/>
    <cellStyle name="Celda de comprobación 2 2 8" xfId="13326" xr:uid="{C5B03961-3728-4C9E-AEEE-CE7B663EF51F}"/>
    <cellStyle name="Celda de comprobación 2 2 8 2" xfId="13327" xr:uid="{D88C81C9-B82D-4BFD-868F-6AC6AA75DBBE}"/>
    <cellStyle name="Celda de comprobación 2 2 9" xfId="13328" xr:uid="{380D08FD-83F5-4DC8-8053-BD3EAF7438BE}"/>
    <cellStyle name="Celda de comprobación 2 3" xfId="13329" xr:uid="{4D9AEBE0-8A99-40B3-89C8-E109C96F613D}"/>
    <cellStyle name="Celda de comprobación 2 4" xfId="13330" xr:uid="{A3FB13A8-A97C-488D-83E6-43D1199F5B32}"/>
    <cellStyle name="Celda de comprobación 2 4 10" xfId="13331" xr:uid="{F4AC8AC8-2181-4503-B0C4-A1CFDBC08619}"/>
    <cellStyle name="Celda de comprobación 2 4 11" xfId="13332" xr:uid="{10609A66-D6B0-47DF-9B0F-1810D31A50CA}"/>
    <cellStyle name="Celda de comprobación 2 4 12" xfId="13333" xr:uid="{B64DC675-46FD-4803-BA62-58E8731E2738}"/>
    <cellStyle name="Celda de comprobación 2 4 2" xfId="13334" xr:uid="{ED7B7440-7E6C-4896-9342-02B76F26B8DC}"/>
    <cellStyle name="Celda de comprobación 2 4 2 10" xfId="13335" xr:uid="{6A22A76D-87B4-4BA4-8BF4-F5BDA211ABC0}"/>
    <cellStyle name="Celda de comprobación 2 4 2 11" xfId="13336" xr:uid="{839F30AB-0BC4-469F-8F37-13F14B35EE0E}"/>
    <cellStyle name="Celda de comprobación 2 4 2 12" xfId="13337" xr:uid="{77D24412-770F-4B42-998F-397585F8269C}"/>
    <cellStyle name="Celda de comprobación 2 4 2 2" xfId="13338" xr:uid="{9FC2E083-CDA4-4586-8220-7665D7422E32}"/>
    <cellStyle name="Celda de comprobación 2 4 2 2 10" xfId="13339" xr:uid="{DE0C139C-5E04-4CAB-9529-F9AFFD7FF735}"/>
    <cellStyle name="Celda de comprobación 2 4 2 2 11" xfId="13340" xr:uid="{569B305E-CA1F-4B65-AF0E-C04D406D79E6}"/>
    <cellStyle name="Celda de comprobación 2 4 2 2 2" xfId="13341" xr:uid="{7592FFFF-1810-4ED6-8C3B-24CB5D60F2C4}"/>
    <cellStyle name="Celda de comprobación 2 4 2 2 2 10" xfId="13342" xr:uid="{AE437E5F-3C92-4EE9-9660-18E5C751909B}"/>
    <cellStyle name="Celda de comprobación 2 4 2 2 2 11" xfId="13343" xr:uid="{FE44844D-8F22-4BD7-931E-EECB81586D1B}"/>
    <cellStyle name="Celda de comprobación 2 4 2 2 2 2" xfId="13344" xr:uid="{32255333-7D9C-4CB8-9D3F-7E1488CF193F}"/>
    <cellStyle name="Celda de comprobación 2 4 2 2 2 2 2" xfId="13345" xr:uid="{60C23633-3E2C-45C1-BDA3-C0B0AD5BC538}"/>
    <cellStyle name="Celda de comprobación 2 4 2 2 2 2 2 2" xfId="13346" xr:uid="{06D34163-AA7C-4D6D-92E8-247650F77B5A}"/>
    <cellStyle name="Celda de comprobación 2 4 2 2 2 2 2 3" xfId="13347" xr:uid="{F59199E1-AE8C-46A6-BDB2-6024741784E3}"/>
    <cellStyle name="Celda de comprobación 2 4 2 2 2 2 2 4" xfId="13348" xr:uid="{B37717C7-8933-48BD-8BEA-512BEF699129}"/>
    <cellStyle name="Celda de comprobación 2 4 2 2 2 2 2 5" xfId="13349" xr:uid="{B0750AD2-E195-4753-B96F-0584D1BFA680}"/>
    <cellStyle name="Celda de comprobación 2 4 2 2 2 2 3" xfId="13350" xr:uid="{2E4E794B-25F6-4FDE-BA38-36B63ACF16BC}"/>
    <cellStyle name="Celda de comprobación 2 4 2 2 2 2 4" xfId="13351" xr:uid="{FEB1532C-4D5A-4346-9194-F8CC65DC365E}"/>
    <cellStyle name="Celda de comprobación 2 4 2 2 2 2 5" xfId="13352" xr:uid="{E1B7D4E9-8B69-44AA-8D62-5CA66ADEBF0E}"/>
    <cellStyle name="Celda de comprobación 2 4 2 2 2 3" xfId="13353" xr:uid="{A274735D-7E73-42DD-AF16-9F4216303A2E}"/>
    <cellStyle name="Celda de comprobación 2 4 2 2 2 4" xfId="13354" xr:uid="{85DD9EF7-14EC-4255-A6FF-524559F831D1}"/>
    <cellStyle name="Celda de comprobación 2 4 2 2 2 5" xfId="13355" xr:uid="{3F9C4677-3CE0-4BE6-A08A-10C3905CE4B9}"/>
    <cellStyle name="Celda de comprobación 2 4 2 2 2 6" xfId="13356" xr:uid="{F7ACF9FC-DB6E-47B3-80EB-7D109869132D}"/>
    <cellStyle name="Celda de comprobación 2 4 2 2 2 7" xfId="13357" xr:uid="{39648C28-C6A8-4C00-866F-895DFBD714E4}"/>
    <cellStyle name="Celda de comprobación 2 4 2 2 2 8" xfId="13358" xr:uid="{00712EEB-80B1-4484-9DC3-C7054825CEF1}"/>
    <cellStyle name="Celda de comprobación 2 4 2 2 2 9" xfId="13359" xr:uid="{6A71DDD3-56AF-440C-996B-4C417FB23CF4}"/>
    <cellStyle name="Celda de comprobación 2 4 2 2 3" xfId="13360" xr:uid="{3E51EDC6-8DF0-4EC7-A2B0-278E65C25E79}"/>
    <cellStyle name="Celda de comprobación 2 4 2 2 3 2" xfId="13361" xr:uid="{EA7BEC7C-86A2-44F9-B6A7-43AF5912BB5C}"/>
    <cellStyle name="Celda de comprobación 2 4 2 2 3 2 2" xfId="13362" xr:uid="{34D99027-2651-4BED-A0B2-4FA7C39871D7}"/>
    <cellStyle name="Celda de comprobación 2 4 2 2 3 2 3" xfId="13363" xr:uid="{46F34D74-4905-4B22-97D5-15D7EC190554}"/>
    <cellStyle name="Celda de comprobación 2 4 2 2 3 2 4" xfId="13364" xr:uid="{732A9E57-E15A-444A-8765-914453568457}"/>
    <cellStyle name="Celda de comprobación 2 4 2 2 3 2 5" xfId="13365" xr:uid="{0C1DBCF5-EEF1-4D40-A010-738D4253F743}"/>
    <cellStyle name="Celda de comprobación 2 4 2 2 3 3" xfId="13366" xr:uid="{BF1020C4-4933-4A16-AE9B-F07B910F4544}"/>
    <cellStyle name="Celda de comprobación 2 4 2 2 3 4" xfId="13367" xr:uid="{1B57F7BF-E837-4B84-A9B6-D21BD689B0CA}"/>
    <cellStyle name="Celda de comprobación 2 4 2 2 3 5" xfId="13368" xr:uid="{E2532DDB-CEE9-49D0-BBF9-743B7D0EC662}"/>
    <cellStyle name="Celda de comprobación 2 4 2 2 4" xfId="13369" xr:uid="{60574631-1761-421F-B6D3-F620C3CFBC8E}"/>
    <cellStyle name="Celda de comprobación 2 4 2 2 5" xfId="13370" xr:uid="{E7A59E95-020C-4BB9-921D-5F8A7799AF27}"/>
    <cellStyle name="Celda de comprobación 2 4 2 2 6" xfId="13371" xr:uid="{73490DF8-7FB3-4175-83FB-6B0DD92CC474}"/>
    <cellStyle name="Celda de comprobación 2 4 2 2 7" xfId="13372" xr:uid="{13663F32-D128-4614-8E99-1E4FA323ADC2}"/>
    <cellStyle name="Celda de comprobación 2 4 2 2 8" xfId="13373" xr:uid="{4CBF36EE-DF56-42F1-93F9-4AAFB05E0C98}"/>
    <cellStyle name="Celda de comprobación 2 4 2 2 9" xfId="13374" xr:uid="{11D98122-FC5F-4787-B92F-447881C5110A}"/>
    <cellStyle name="Celda de comprobación 2 4 2 3" xfId="13375" xr:uid="{8AFBE84D-DB60-4E75-86CA-FA3B80A48187}"/>
    <cellStyle name="Celda de comprobación 2 4 2 3 2" xfId="13376" xr:uid="{A48E7EDE-A0E1-426E-AC0A-ADCC5E797C67}"/>
    <cellStyle name="Celda de comprobación 2 4 2 3 2 2" xfId="13377" xr:uid="{4B415179-DF8E-4C24-9DF6-3EB274112771}"/>
    <cellStyle name="Celda de comprobación 2 4 2 3 2 3" xfId="13378" xr:uid="{D2E0B532-76AB-447C-AF1E-05DD7E5CCE1C}"/>
    <cellStyle name="Celda de comprobación 2 4 2 3 2 4" xfId="13379" xr:uid="{BE18B49E-07F9-4FB7-B0A9-B6B0B37B5353}"/>
    <cellStyle name="Celda de comprobación 2 4 2 3 2 5" xfId="13380" xr:uid="{7DC558B9-DD56-47ED-ACB1-E236D8EAEC69}"/>
    <cellStyle name="Celda de comprobación 2 4 2 3 3" xfId="13381" xr:uid="{C628F2A4-DEC0-448D-BF32-0BC9E52F6D89}"/>
    <cellStyle name="Celda de comprobación 2 4 2 3 4" xfId="13382" xr:uid="{489E59B6-03F6-4BC9-9091-52799EADFD69}"/>
    <cellStyle name="Celda de comprobación 2 4 2 3 5" xfId="13383" xr:uid="{AE3CD980-111B-4CFD-B92B-C074570FCCF1}"/>
    <cellStyle name="Celda de comprobación 2 4 2 4" xfId="13384" xr:uid="{6B621066-A2B3-450D-A991-D76D3026E2AF}"/>
    <cellStyle name="Celda de comprobación 2 4 2 5" xfId="13385" xr:uid="{7EFFA7EF-D036-4C1D-9244-5ED873ECDACD}"/>
    <cellStyle name="Celda de comprobación 2 4 2 6" xfId="13386" xr:uid="{2FF05CCA-C8A0-41CC-B0CE-85F5182688DC}"/>
    <cellStyle name="Celda de comprobación 2 4 2 7" xfId="13387" xr:uid="{DBAA0F38-6D98-4405-A5EB-2E858AA5AAD2}"/>
    <cellStyle name="Celda de comprobación 2 4 2 8" xfId="13388" xr:uid="{ABB10731-90A1-4C39-9E1C-8AAF83B00598}"/>
    <cellStyle name="Celda de comprobación 2 4 2 9" xfId="13389" xr:uid="{4A387952-CBCF-47F9-BBC6-E6924C802148}"/>
    <cellStyle name="Celda de comprobación 2 4 3" xfId="13390" xr:uid="{3DAC4C99-DF85-4268-BD24-01BB5E328EFB}"/>
    <cellStyle name="Celda de comprobación 2 4 3 10" xfId="13391" xr:uid="{618F0BFE-F38E-4A1A-9DFA-04BC49C90AAA}"/>
    <cellStyle name="Celda de comprobación 2 4 3 11" xfId="13392" xr:uid="{33B6B28F-4F70-4F32-BE1D-AF77F699AD4A}"/>
    <cellStyle name="Celda de comprobación 2 4 3 2" xfId="13393" xr:uid="{7602A17F-0A34-4BB7-8548-EEFD1530EAF7}"/>
    <cellStyle name="Celda de comprobación 2 4 3 2 2" xfId="13394" xr:uid="{BDA5769E-92D4-46EF-8374-AA8E7FC5DEF7}"/>
    <cellStyle name="Celda de comprobación 2 4 3 2 2 2" xfId="13395" xr:uid="{5AAB3823-75BB-44D2-8B5D-A867C7B9BA51}"/>
    <cellStyle name="Celda de comprobación 2 4 3 2 2 3" xfId="13396" xr:uid="{99061271-BED9-48CC-9BD9-D4207D1EB834}"/>
    <cellStyle name="Celda de comprobación 2 4 3 2 2 4" xfId="13397" xr:uid="{3DF6DAD1-8AFA-49EB-8848-8C74DC44BF02}"/>
    <cellStyle name="Celda de comprobación 2 4 3 2 2 5" xfId="13398" xr:uid="{CD9DC2D6-0036-40CA-A3C4-8CF581815516}"/>
    <cellStyle name="Celda de comprobación 2 4 3 2 3" xfId="13399" xr:uid="{0037D5CE-D258-421A-9AF9-13928407C43A}"/>
    <cellStyle name="Celda de comprobación 2 4 3 2 4" xfId="13400" xr:uid="{AEB9538B-FD55-4692-808C-3F1A896F3056}"/>
    <cellStyle name="Celda de comprobación 2 4 3 2 5" xfId="13401" xr:uid="{E9FE0298-F3FD-46F3-AC3C-1CF788ADFA71}"/>
    <cellStyle name="Celda de comprobación 2 4 3 3" xfId="13402" xr:uid="{F4FFAE0A-DD3F-492C-85FF-8478E1401299}"/>
    <cellStyle name="Celda de comprobación 2 4 3 4" xfId="13403" xr:uid="{8567BE07-C734-469D-BD6A-BF876D1B1C16}"/>
    <cellStyle name="Celda de comprobación 2 4 3 5" xfId="13404" xr:uid="{6CD55240-9544-436A-B27C-6BEECE7107CC}"/>
    <cellStyle name="Celda de comprobación 2 4 3 6" xfId="13405" xr:uid="{94057C28-5E3A-4F1B-8AB8-589D038CE87A}"/>
    <cellStyle name="Celda de comprobación 2 4 3 7" xfId="13406" xr:uid="{3F498289-AE94-40A5-8CE3-2D9E4E3300EF}"/>
    <cellStyle name="Celda de comprobación 2 4 3 8" xfId="13407" xr:uid="{85079666-334F-4397-BB71-DE90D2593116}"/>
    <cellStyle name="Celda de comprobación 2 4 3 9" xfId="13408" xr:uid="{C0867F6B-62F8-4043-AE3D-E665DD17ED83}"/>
    <cellStyle name="Celda de comprobación 2 4 4" xfId="13409" xr:uid="{04BE0002-8C2A-4534-BCC1-749443F066C3}"/>
    <cellStyle name="Celda de comprobación 2 4 4 2" xfId="13410" xr:uid="{A537588A-0A00-4E3D-9FAC-47F5A35EE3BC}"/>
    <cellStyle name="Celda de comprobación 2 4 4 2 2" xfId="13411" xr:uid="{1E2FC737-61E2-4F8A-9B6A-8341ADE39558}"/>
    <cellStyle name="Celda de comprobación 2 4 4 2 3" xfId="13412" xr:uid="{3BF7D6D8-666B-4FDD-B3FA-B190B87C94A4}"/>
    <cellStyle name="Celda de comprobación 2 4 4 2 4" xfId="13413" xr:uid="{07C57F6E-E2B1-4D3D-8432-ED72FE1B8BA9}"/>
    <cellStyle name="Celda de comprobación 2 4 4 2 5" xfId="13414" xr:uid="{55310052-CBA3-4F0E-8A0B-A13E76369803}"/>
    <cellStyle name="Celda de comprobación 2 4 4 3" xfId="13415" xr:uid="{4ED9F60A-3395-491A-81DD-4BA61C996E74}"/>
    <cellStyle name="Celda de comprobación 2 4 4 4" xfId="13416" xr:uid="{86D0FC87-B185-4C85-A44F-05EDFA0ACEE4}"/>
    <cellStyle name="Celda de comprobación 2 4 4 5" xfId="13417" xr:uid="{2B05262B-10B6-4C0D-A00C-638369E04322}"/>
    <cellStyle name="Celda de comprobación 2 4 5" xfId="13418" xr:uid="{049624B4-D3AC-45CC-A7D1-21D3CA9B49EB}"/>
    <cellStyle name="Celda de comprobación 2 4 6" xfId="13419" xr:uid="{C1F2F19D-3893-4716-9B6D-0D11774F80F0}"/>
    <cellStyle name="Celda de comprobación 2 4 7" xfId="13420" xr:uid="{8611B0C3-52F3-4019-8CCF-106F00B281BE}"/>
    <cellStyle name="Celda de comprobación 2 4 8" xfId="13421" xr:uid="{90ED35C9-1962-451D-A100-347F39479912}"/>
    <cellStyle name="Celda de comprobación 2 4 9" xfId="13422" xr:uid="{556FF45A-B280-4F23-908D-0D450DD03AA2}"/>
    <cellStyle name="Celda de comprobación 2 5" xfId="13423" xr:uid="{0759CDC4-EF4F-4F16-A897-DC782DF73C7A}"/>
    <cellStyle name="Celda de comprobación 2 6" xfId="13424" xr:uid="{B4B7BE0B-D1CF-47A9-82D4-F4A61A1AC939}"/>
    <cellStyle name="Celda de comprobación 2 7" xfId="13425" xr:uid="{88892031-2FDB-4C79-BBD6-7F8D0E78BBAF}"/>
    <cellStyle name="Celda de comprobación 2 8" xfId="13426" xr:uid="{E13548EB-F0F0-4D61-9073-F96118986F63}"/>
    <cellStyle name="Celda de comprobación 2 8 2" xfId="13427" xr:uid="{17704A7E-7058-48D1-B0B6-CCD01BB87B95}"/>
    <cellStyle name="Celda de comprobación 2 9" xfId="13428" xr:uid="{ACFA6CF0-1855-4FEE-90D3-2F56E9FF5F3F}"/>
    <cellStyle name="Celda de comprobación 3" xfId="13429" xr:uid="{B1132CAF-9263-424C-935D-A4FCBEE9BDA8}"/>
    <cellStyle name="Celda de comprobación 3 2" xfId="13430" xr:uid="{96DC756B-5342-42CC-8D3C-88298483DF29}"/>
    <cellStyle name="Celda de comprobación 3 3" xfId="13431" xr:uid="{9AE9566F-212F-41A3-9C96-B8D374C61F89}"/>
    <cellStyle name="Celda de comprobación 4" xfId="13432" xr:uid="{FE48BE5B-0210-4E46-81DC-5DA1DFD5CD38}"/>
    <cellStyle name="Celda vinculada" xfId="17" builtinId="24" customBuiltin="1"/>
    <cellStyle name="Celda vinculada 2" xfId="13433" xr:uid="{EA064EE5-5F6B-4BC0-942A-A842B5890021}"/>
    <cellStyle name="Celda vinculada 2 2" xfId="13434" xr:uid="{D3042684-9E48-4880-B761-B01C6C9B3017}"/>
    <cellStyle name="Celda vinculada 2 3" xfId="13435" xr:uid="{E4A0A86F-3526-45D3-BC67-B30A2547BC26}"/>
    <cellStyle name="Celda vinculada 2 4" xfId="13436" xr:uid="{46E8C78A-E33C-44E4-B997-790774A01A8E}"/>
    <cellStyle name="Celda vinculada 3" xfId="13437" xr:uid="{889F0C29-2605-492B-86D0-7C0DDAEA7830}"/>
    <cellStyle name="Celda vinculada 3 2" xfId="13438" xr:uid="{4D937E3A-7B25-431B-87A3-15D79DCA2B6A}"/>
    <cellStyle name="Celda vinculada 3 3" xfId="13439" xr:uid="{BE01D336-C36E-4F83-AF61-299168A81014}"/>
    <cellStyle name="Celda vinculada 4" xfId="13440" xr:uid="{012B5544-8A83-4C17-BF70-F3F1E0507134}"/>
    <cellStyle name="Comma  - Style1" xfId="13441" xr:uid="{DD8259B8-E798-4791-92E8-5B3AC8B8F1B2}"/>
    <cellStyle name="Comma  - Style1 2" xfId="43494" xr:uid="{B963EB6C-C848-4DF0-8F5A-3880609052E7}"/>
    <cellStyle name="Comma  - Style2" xfId="13442" xr:uid="{02F033D2-4143-4913-9865-17AE95CED2AD}"/>
    <cellStyle name="Comma  - Style2 2" xfId="43495" xr:uid="{498EE6FD-44FD-4B9C-92AC-AE1AC5F7E5C0}"/>
    <cellStyle name="Comma  - Style3" xfId="13443" xr:uid="{40B32228-A1BD-4BE9-AE4D-6670D39E5EAF}"/>
    <cellStyle name="Comma  - Style3 2" xfId="43496" xr:uid="{887F45C2-ADC7-45AF-80BC-0A0EE3122D5F}"/>
    <cellStyle name="Comma  - Style4" xfId="13444" xr:uid="{8B14AB65-A1E3-4411-AF3E-43007A889010}"/>
    <cellStyle name="Comma  - Style4 2" xfId="43497" xr:uid="{94B1F180-FD28-4805-83EA-CA09953B9864}"/>
    <cellStyle name="Comma  - Style5" xfId="13445" xr:uid="{B2C7ADB6-E128-4664-8669-B354AB6E69F4}"/>
    <cellStyle name="Comma  - Style5 2" xfId="43498" xr:uid="{5E2C35AB-7136-42BB-BED5-9DFA90DA7864}"/>
    <cellStyle name="Comma  - Style6" xfId="13446" xr:uid="{E5DCF2BC-B080-4D64-BB3A-5D62CBC02A11}"/>
    <cellStyle name="Comma  - Style6 2" xfId="43499" xr:uid="{336C6F97-D942-4EC2-92B8-676FE77DBD36}"/>
    <cellStyle name="Comma  - Style7" xfId="13447" xr:uid="{EB8B5114-A672-47BB-985D-6AA6CD6EA020}"/>
    <cellStyle name="Comma  - Style7 2" xfId="43500" xr:uid="{31B090FD-B66C-4475-8759-9245EA534677}"/>
    <cellStyle name="Comma  - Style8" xfId="13448" xr:uid="{920EFBDC-E858-4E09-9366-792D0E89C98A}"/>
    <cellStyle name="Comma  - Style8 2" xfId="43501" xr:uid="{6362DA28-BBBC-4506-8572-5F26F53048C7}"/>
    <cellStyle name="Copied" xfId="13449" xr:uid="{42D73218-26DF-4FCC-BA9C-C36575C2AA76}"/>
    <cellStyle name="Encabezado 4" xfId="11" builtinId="19" customBuiltin="1"/>
    <cellStyle name="Encabezado 4 2" xfId="13450" xr:uid="{17294074-0EB4-4C7F-A3EF-ED4851D3ACFD}"/>
    <cellStyle name="Encabezado 4 2 2" xfId="13451" xr:uid="{29656466-53B0-487E-A43A-34A88AE41657}"/>
    <cellStyle name="Encabezado 4 2 3" xfId="13452" xr:uid="{A537E9F7-3B1C-458C-AB01-46B2F5137BBA}"/>
    <cellStyle name="Encabezado 4 2 4" xfId="13453" xr:uid="{27B8732D-AB28-4B7D-808A-4D690ECBA1E2}"/>
    <cellStyle name="Encabezado 4 3" xfId="13454" xr:uid="{5A7B06DF-701A-41C8-B36B-97062D7C471F}"/>
    <cellStyle name="Encabezado 4 3 2" xfId="13455" xr:uid="{C49F4743-2191-40AD-8205-2FF028167F04}"/>
    <cellStyle name="Encabezado 4 3 3" xfId="13456" xr:uid="{558E4C28-A1FA-4770-B776-E3A77679D188}"/>
    <cellStyle name="Encabezado 4 4" xfId="13457" xr:uid="{46FCEAD3-98ED-43FD-81B3-DD2926EAFF0E}"/>
    <cellStyle name="Énfasis1" xfId="23" builtinId="29" customBuiltin="1"/>
    <cellStyle name="Énfasis1 2" xfId="13458" xr:uid="{9113E6E8-1538-4AA7-BC64-634A4CDECB41}"/>
    <cellStyle name="Énfasis1 2 10" xfId="13459" xr:uid="{476F18E2-FE11-49D7-9229-DEE0DC5EFA1D}"/>
    <cellStyle name="Énfasis1 2 10 10" xfId="13460" xr:uid="{61E2300D-593B-40F4-B256-FC527C89D378}"/>
    <cellStyle name="Énfasis1 2 10 11" xfId="13461" xr:uid="{06683ABB-CC11-45BD-BFAD-53B589A7BF53}"/>
    <cellStyle name="Énfasis1 2 10 2" xfId="13462" xr:uid="{94CD65AE-83B9-4456-9488-9AA326B61870}"/>
    <cellStyle name="Énfasis1 2 10 2 10" xfId="13463" xr:uid="{CFA77A34-3901-4B93-8FD6-877077A12599}"/>
    <cellStyle name="Énfasis1 2 10 2 11" xfId="13464" xr:uid="{0CABC4C9-45C9-4D0C-8266-3A17415BC99C}"/>
    <cellStyle name="Énfasis1 2 10 2 2" xfId="13465" xr:uid="{0C6582D4-0FBA-4522-9A9C-7903CE169C9E}"/>
    <cellStyle name="Énfasis1 2 10 2 2 2" xfId="13466" xr:uid="{68285C2E-D342-4406-A55A-33934BB33AD9}"/>
    <cellStyle name="Énfasis1 2 10 2 2 2 2" xfId="13467" xr:uid="{DA4C81BF-8060-42C5-9886-79771BB07BCF}"/>
    <cellStyle name="Énfasis1 2 10 2 2 2 3" xfId="13468" xr:uid="{B1FB1131-E9B2-42BD-BB7A-10CC829BE424}"/>
    <cellStyle name="Énfasis1 2 10 2 2 2 4" xfId="13469" xr:uid="{7EEBFB76-2DF5-4ED8-B3A8-C8340E4A6160}"/>
    <cellStyle name="Énfasis1 2 10 2 2 2 5" xfId="13470" xr:uid="{4EEBEC51-58AD-4C0D-8759-82EB0A1C0395}"/>
    <cellStyle name="Énfasis1 2 10 2 2 3" xfId="13471" xr:uid="{53971266-6271-42DB-A202-0ADB77B9CF2D}"/>
    <cellStyle name="Énfasis1 2 10 2 2 4" xfId="13472" xr:uid="{31D0D5B3-682A-4C76-AA77-D373849FE439}"/>
    <cellStyle name="Énfasis1 2 10 2 2 5" xfId="13473" xr:uid="{BA9847BB-B251-448C-92DC-2D63DCF5FC20}"/>
    <cellStyle name="Énfasis1 2 10 2 3" xfId="13474" xr:uid="{DC9C07FD-71E3-4AEA-BC97-5AFF0A5BCEC2}"/>
    <cellStyle name="Énfasis1 2 10 2 4" xfId="13475" xr:uid="{42DD21DF-D358-4E55-8BAE-CB0795D10357}"/>
    <cellStyle name="Énfasis1 2 10 2 5" xfId="13476" xr:uid="{A9204990-3ADA-4DBB-AC74-F4F08C7F5FCF}"/>
    <cellStyle name="Énfasis1 2 10 2 6" xfId="13477" xr:uid="{CF56A9C4-E628-41A5-85FA-87E4B0EA4A8A}"/>
    <cellStyle name="Énfasis1 2 10 2 7" xfId="13478" xr:uid="{C2A9FAA3-FAEA-41E0-9F52-C082BEB7C56C}"/>
    <cellStyle name="Énfasis1 2 10 2 8" xfId="13479" xr:uid="{214C08AB-E684-4729-B0EF-87764F90BA9F}"/>
    <cellStyle name="Énfasis1 2 10 2 9" xfId="13480" xr:uid="{86ABC132-541A-4435-9A58-099803F25B26}"/>
    <cellStyle name="Énfasis1 2 10 3" xfId="13481" xr:uid="{670DA8C9-AFF4-4ED0-B832-642CB0843279}"/>
    <cellStyle name="Énfasis1 2 10 3 2" xfId="13482" xr:uid="{D52435CF-FD08-48E8-BEB1-85777918DA38}"/>
    <cellStyle name="Énfasis1 2 10 3 2 2" xfId="13483" xr:uid="{4A8D5CE3-7E2B-46ED-8D3A-8F0526518CFE}"/>
    <cellStyle name="Énfasis1 2 10 3 2 3" xfId="13484" xr:uid="{72325C48-040C-4DCA-8F6B-D00C9A83FF00}"/>
    <cellStyle name="Énfasis1 2 10 3 2 4" xfId="13485" xr:uid="{1ADD70A2-1C4C-45FC-810F-2B909FBE8EF6}"/>
    <cellStyle name="Énfasis1 2 10 3 2 5" xfId="13486" xr:uid="{74876B74-D89D-4AAB-93FC-AC8406F2B8D0}"/>
    <cellStyle name="Énfasis1 2 10 3 3" xfId="13487" xr:uid="{8EC4A8D7-CF4A-48C0-A16E-B7378760FC60}"/>
    <cellStyle name="Énfasis1 2 10 3 4" xfId="13488" xr:uid="{2D5061BC-0A54-4FC3-AFA7-4B48F3FAA531}"/>
    <cellStyle name="Énfasis1 2 10 3 5" xfId="13489" xr:uid="{0FB3D31C-C88B-413D-A575-07F2E60B12CB}"/>
    <cellStyle name="Énfasis1 2 10 4" xfId="13490" xr:uid="{D4E69397-373A-4351-B509-646AF9530E51}"/>
    <cellStyle name="Énfasis1 2 10 5" xfId="13491" xr:uid="{5778DFDE-7FAC-487D-B6F0-9CC9B51E8A16}"/>
    <cellStyle name="Énfasis1 2 10 6" xfId="13492" xr:uid="{7C20F43E-A74D-46C7-80B7-6D63CAF598AD}"/>
    <cellStyle name="Énfasis1 2 10 7" xfId="13493" xr:uid="{41B7DFD3-E2AC-45D8-B22E-AB9AB07E8BBD}"/>
    <cellStyle name="Énfasis1 2 10 8" xfId="13494" xr:uid="{C22AE970-A6F0-43A8-96FB-723570BAC278}"/>
    <cellStyle name="Énfasis1 2 10 9" xfId="13495" xr:uid="{13835B3F-48CC-4AA2-8FD0-6D8F1B5D1A5F}"/>
    <cellStyle name="Énfasis1 2 11" xfId="13496" xr:uid="{CF773B9E-B737-4971-9329-1340B31801CE}"/>
    <cellStyle name="Énfasis1 2 12" xfId="13497" xr:uid="{C46DCB32-0D17-4DD2-95FF-FB4B29A2450C}"/>
    <cellStyle name="Énfasis1 2 13" xfId="13498" xr:uid="{56BB74B6-B3F1-4D2C-A017-067C0B3EEBBF}"/>
    <cellStyle name="Énfasis1 2 2" xfId="13499" xr:uid="{686D7A3D-5CDD-4C19-BCBF-49F697E866B0}"/>
    <cellStyle name="Énfasis1 2 2 10" xfId="13500" xr:uid="{8397A183-248B-4655-9159-8A19E5396C6D}"/>
    <cellStyle name="Énfasis1 2 2 10 10" xfId="13501" xr:uid="{8E6589CB-FA8B-404E-8703-A81723A56921}"/>
    <cellStyle name="Énfasis1 2 2 10 11" xfId="13502" xr:uid="{BBE32E17-DDD7-4B34-8420-C7C7AE9016AC}"/>
    <cellStyle name="Énfasis1 2 2 10 2" xfId="13503" xr:uid="{1E111D85-68DF-46B0-9851-D6437B05AF15}"/>
    <cellStyle name="Énfasis1 2 2 10 2 10" xfId="13504" xr:uid="{06E13794-437B-42A6-81A8-02B225CA561B}"/>
    <cellStyle name="Énfasis1 2 2 10 2 11" xfId="13505" xr:uid="{30A238F4-8CBC-4AB3-BD70-391D76D9095A}"/>
    <cellStyle name="Énfasis1 2 2 10 2 2" xfId="13506" xr:uid="{9A0FD65B-492B-4F93-88A5-9A601B99AD24}"/>
    <cellStyle name="Énfasis1 2 2 10 2 2 2" xfId="13507" xr:uid="{8F52270E-FDDA-4389-B4DF-65576C435F74}"/>
    <cellStyle name="Énfasis1 2 2 10 2 2 2 2" xfId="13508" xr:uid="{1327C47E-9EBA-4413-8E45-BD65EF7B80D8}"/>
    <cellStyle name="Énfasis1 2 2 10 2 2 2 3" xfId="13509" xr:uid="{689507B0-E130-42F6-A5C4-8111769BA41B}"/>
    <cellStyle name="Énfasis1 2 2 10 2 2 2 4" xfId="13510" xr:uid="{34D1F53B-7CDE-41D2-9A1D-E9294C3A6DC2}"/>
    <cellStyle name="Énfasis1 2 2 10 2 2 2 5" xfId="13511" xr:uid="{82F79A2D-C4AA-423E-8881-4FDFD1D3CFB3}"/>
    <cellStyle name="Énfasis1 2 2 10 2 2 3" xfId="13512" xr:uid="{80D24FF1-A375-431D-B6BD-5BA51C02589F}"/>
    <cellStyle name="Énfasis1 2 2 10 2 2 4" xfId="13513" xr:uid="{602C2175-B8C2-491C-9271-A06B84D38013}"/>
    <cellStyle name="Énfasis1 2 2 10 2 2 5" xfId="13514" xr:uid="{2CD2CAA4-5A15-4D27-98C5-8C6D7D692F4B}"/>
    <cellStyle name="Énfasis1 2 2 10 2 3" xfId="13515" xr:uid="{09775385-8510-4B86-BAC2-68D158F7F54C}"/>
    <cellStyle name="Énfasis1 2 2 10 2 4" xfId="13516" xr:uid="{FCFAAF43-00F0-4AF4-966F-54F65E11696D}"/>
    <cellStyle name="Énfasis1 2 2 10 2 5" xfId="13517" xr:uid="{4C3F1D9F-23E7-43C7-B157-35E375F37178}"/>
    <cellStyle name="Énfasis1 2 2 10 2 6" xfId="13518" xr:uid="{66E82A1F-3D9D-4CAC-A14B-7909ADA0202A}"/>
    <cellStyle name="Énfasis1 2 2 10 2 7" xfId="13519" xr:uid="{ED2552EC-A5C2-47EC-8B90-23A6F3D452AC}"/>
    <cellStyle name="Énfasis1 2 2 10 2 8" xfId="13520" xr:uid="{D690F716-6022-4D59-AD72-68AB4A05B71D}"/>
    <cellStyle name="Énfasis1 2 2 10 2 9" xfId="13521" xr:uid="{026ECC29-8970-4F02-ABB8-D5DEE0FFC3CD}"/>
    <cellStyle name="Énfasis1 2 2 10 3" xfId="13522" xr:uid="{67ED9624-89F3-4F81-9116-374D8EEB58F8}"/>
    <cellStyle name="Énfasis1 2 2 10 3 2" xfId="13523" xr:uid="{A3BB5784-D092-4CD9-A416-D265085AFB78}"/>
    <cellStyle name="Énfasis1 2 2 10 3 2 2" xfId="13524" xr:uid="{E7A42A55-50AA-4AC8-A792-EC64C5834E8A}"/>
    <cellStyle name="Énfasis1 2 2 10 3 2 3" xfId="13525" xr:uid="{E55F9740-001B-4359-B90E-3BA937D4A9DD}"/>
    <cellStyle name="Énfasis1 2 2 10 3 2 4" xfId="13526" xr:uid="{A9B0C86C-8987-433D-9D52-D2A234BA4CB7}"/>
    <cellStyle name="Énfasis1 2 2 10 3 2 5" xfId="13527" xr:uid="{BF3634DA-A1E8-40A6-8BFA-727FEB5E5EB4}"/>
    <cellStyle name="Énfasis1 2 2 10 3 3" xfId="13528" xr:uid="{ABDB0A8A-164D-4C2D-8B6F-27A3A4677592}"/>
    <cellStyle name="Énfasis1 2 2 10 3 4" xfId="13529" xr:uid="{328DB704-90CC-4EEB-9FBB-2E306E8B4CC9}"/>
    <cellStyle name="Énfasis1 2 2 10 3 5" xfId="13530" xr:uid="{C1A1B494-E2B5-48FC-931F-5B3B443B6C71}"/>
    <cellStyle name="Énfasis1 2 2 10 4" xfId="13531" xr:uid="{0592CCD7-DD20-4633-AF7D-0A365362F1B7}"/>
    <cellStyle name="Énfasis1 2 2 10 5" xfId="13532" xr:uid="{BC10695F-295E-48C2-9DFC-AB7D1435E36E}"/>
    <cellStyle name="Énfasis1 2 2 10 6" xfId="13533" xr:uid="{592D2717-BD43-4B01-8028-4CCE0535AFB2}"/>
    <cellStyle name="Énfasis1 2 2 10 7" xfId="13534" xr:uid="{FF08B45B-3820-44DB-A839-611EC6135AAE}"/>
    <cellStyle name="Énfasis1 2 2 10 8" xfId="13535" xr:uid="{6D87E035-4E65-499C-91B4-C712E993D6A9}"/>
    <cellStyle name="Énfasis1 2 2 10 9" xfId="13536" xr:uid="{E563AA05-760C-4B15-90F4-A4B09EB83974}"/>
    <cellStyle name="Énfasis1 2 2 11" xfId="13537" xr:uid="{AE5EC684-918C-4D18-823D-A18D05993933}"/>
    <cellStyle name="Énfasis1 2 2 12" xfId="13538" xr:uid="{809F6ADF-57A1-443A-8C9A-BD417D932A82}"/>
    <cellStyle name="Énfasis1 2 2 13" xfId="13539" xr:uid="{0B455AC5-40CC-4F52-8414-1C15224EC216}"/>
    <cellStyle name="Énfasis1 2 2 2" xfId="13540" xr:uid="{FCF9012F-99C8-4D4A-82C3-9A85CDE4534A}"/>
    <cellStyle name="Énfasis1 2 2 2 2" xfId="13541" xr:uid="{062245DE-3B8D-4769-836E-76E9FC95FBC4}"/>
    <cellStyle name="Énfasis1 2 2 2 2 2" xfId="13542" xr:uid="{6282F4E4-B05A-45D4-A5B0-E2692BE77000}"/>
    <cellStyle name="Énfasis1 2 2 2 2 2 2" xfId="13543" xr:uid="{BCB6D7DE-48B1-4478-9FA7-5DDA918898C9}"/>
    <cellStyle name="Énfasis1 2 2 2 2 2 2 2" xfId="13544" xr:uid="{6DFE6D67-A682-4B97-9602-4D35AF195324}"/>
    <cellStyle name="Énfasis1 2 2 2 2 2 2 2 2" xfId="13545" xr:uid="{DCE30217-458D-4865-A177-93B5C91886CC}"/>
    <cellStyle name="Énfasis1 2 2 2 2 2 2 2 2 2" xfId="13546" xr:uid="{3D205C33-500A-457D-B41D-0314E2042A72}"/>
    <cellStyle name="Énfasis1 2 2 2 2 2 2 2 2 2 2" xfId="13547" xr:uid="{1C979F38-216B-454B-B4D8-D144BE2CA395}"/>
    <cellStyle name="Énfasis1 2 2 2 2 2 2 2 2 2 2 2" xfId="13548" xr:uid="{55BBBC08-6C16-406B-AA98-6775ED066A9A}"/>
    <cellStyle name="Énfasis1 2 2 2 2 2 2 2 2 2 2 2 2" xfId="13549" xr:uid="{32D9EDC0-9462-4BB0-A849-975BBE2CFE3C}"/>
    <cellStyle name="Énfasis1 2 2 2 2 2 2 2 2 2 2 3" xfId="13550" xr:uid="{653E3705-ACC0-4DAE-89FE-C3BA8B3D8312}"/>
    <cellStyle name="Énfasis1 2 2 2 2 2 2 2 2 2 2 4" xfId="13551" xr:uid="{EF6F7B3A-7B83-455F-B11A-C443EB607994}"/>
    <cellStyle name="Énfasis1 2 2 2 2 2 2 2 2 2 3" xfId="13552" xr:uid="{681269F0-8777-449B-834E-6EE7815CB01A}"/>
    <cellStyle name="Énfasis1 2 2 2 2 2 2 2 2 2 4" xfId="13553" xr:uid="{29DCF02E-E424-4721-974B-1421D179C6DF}"/>
    <cellStyle name="Énfasis1 2 2 2 2 2 2 2 2 3" xfId="13554" xr:uid="{F3DFD30F-F7A6-4F29-AE5F-7A884BCECAD3}"/>
    <cellStyle name="Énfasis1 2 2 2 2 2 2 2 2 4" xfId="13555" xr:uid="{1FEEE026-2A7F-49C8-8A3F-4F1D1E969CE2}"/>
    <cellStyle name="Énfasis1 2 2 2 2 2 2 2 2 5" xfId="13556" xr:uid="{019CE996-2D26-4E8F-855E-1B008A2789DD}"/>
    <cellStyle name="Énfasis1 2 2 2 2 2 2 2 3" xfId="13557" xr:uid="{98C30D7C-03F1-4A42-8CB3-2AE8E6394CD5}"/>
    <cellStyle name="Énfasis1 2 2 2 2 2 2 2 3 10" xfId="13558" xr:uid="{C4B2B48A-34C3-47CD-A486-0665EA16CECA}"/>
    <cellStyle name="Énfasis1 2 2 2 2 2 2 2 3 11" xfId="13559" xr:uid="{D1E913EE-34AA-47ED-9537-7024A672C4F8}"/>
    <cellStyle name="Énfasis1 2 2 2 2 2 2 2 3 2" xfId="13560" xr:uid="{F4975674-C1EC-406F-81DD-3AA8F1E55EA4}"/>
    <cellStyle name="Énfasis1 2 2 2 2 2 2 2 3 2 2" xfId="13561" xr:uid="{823DA23E-4EC3-41A4-9CD7-C01BAD837E21}"/>
    <cellStyle name="Énfasis1 2 2 2 2 2 2 2 3 2 2 2" xfId="13562" xr:uid="{D80B71CD-D84A-437F-AE5F-BD0911E7BEF0}"/>
    <cellStyle name="Énfasis1 2 2 2 2 2 2 2 3 2 2 3" xfId="13563" xr:uid="{1205B454-3906-4645-BAD6-C03254A1FC3B}"/>
    <cellStyle name="Énfasis1 2 2 2 2 2 2 2 3 2 2 4" xfId="13564" xr:uid="{66A841B2-D86B-47B4-9196-9D3283A2B307}"/>
    <cellStyle name="Énfasis1 2 2 2 2 2 2 2 3 2 2 5" xfId="13565" xr:uid="{122548C9-1451-41B1-B4AC-C4070E3D846A}"/>
    <cellStyle name="Énfasis1 2 2 2 2 2 2 2 3 2 3" xfId="13566" xr:uid="{1162D24B-1701-48A7-AC16-EE2FF8B8ECA8}"/>
    <cellStyle name="Énfasis1 2 2 2 2 2 2 2 3 2 4" xfId="13567" xr:uid="{9A489D69-FE2E-4787-9E6B-D51E3FBC1627}"/>
    <cellStyle name="Énfasis1 2 2 2 2 2 2 2 3 2 5" xfId="13568" xr:uid="{A97A5049-8B03-412E-9501-4496F377D48B}"/>
    <cellStyle name="Énfasis1 2 2 2 2 2 2 2 3 3" xfId="13569" xr:uid="{C025C02D-17EB-4FBA-91D4-0A8D794F7D47}"/>
    <cellStyle name="Énfasis1 2 2 2 2 2 2 2 3 4" xfId="13570" xr:uid="{2430D577-E8F4-45C9-8E11-CF7BABCECCB1}"/>
    <cellStyle name="Énfasis1 2 2 2 2 2 2 2 3 5" xfId="13571" xr:uid="{94681D72-1DEA-4C0D-8C94-9459FCB784DB}"/>
    <cellStyle name="Énfasis1 2 2 2 2 2 2 2 3 6" xfId="13572" xr:uid="{4D11BF21-5658-4DB6-AB99-F8B0D2ACC699}"/>
    <cellStyle name="Énfasis1 2 2 2 2 2 2 2 3 7" xfId="13573" xr:uid="{39EBC878-1954-47A7-A131-B7833BC99C6A}"/>
    <cellStyle name="Énfasis1 2 2 2 2 2 2 2 3 8" xfId="13574" xr:uid="{BD0B60F4-DEF3-4EEA-80CC-9B0C011D3370}"/>
    <cellStyle name="Énfasis1 2 2 2 2 2 2 2 3 9" xfId="13575" xr:uid="{FFCF7B82-82ED-42ED-967D-1BC90709D226}"/>
    <cellStyle name="Énfasis1 2 2 2 2 2 2 2 4" xfId="13576" xr:uid="{9EB549DD-DAD2-4948-960B-1262FBD5FA4D}"/>
    <cellStyle name="Énfasis1 2 2 2 2 2 2 2 5" xfId="13577" xr:uid="{49759020-2D9E-4BC6-8399-525F4275C395}"/>
    <cellStyle name="Énfasis1 2 2 2 2 2 2 3" xfId="13578" xr:uid="{3568B336-A21E-499A-BE0F-17C01ECBBDBE}"/>
    <cellStyle name="Énfasis1 2 2 2 2 2 2 3 10" xfId="13579" xr:uid="{3F01D45C-789D-4665-B3CC-3BDCABB5FE39}"/>
    <cellStyle name="Énfasis1 2 2 2 2 2 2 3 11" xfId="13580" xr:uid="{22BAA9B5-8DF6-4955-B34C-6A884DB104AF}"/>
    <cellStyle name="Énfasis1 2 2 2 2 2 2 3 2" xfId="13581" xr:uid="{7858E5F0-3E13-4A88-90E3-48040E593F96}"/>
    <cellStyle name="Énfasis1 2 2 2 2 2 2 3 2 10" xfId="13582" xr:uid="{E3EE9E70-CE54-496F-998A-6B7876C5E9E2}"/>
    <cellStyle name="Énfasis1 2 2 2 2 2 2 3 2 11" xfId="13583" xr:uid="{DE68539D-7CDC-4B47-B60E-7D37DFAD5307}"/>
    <cellStyle name="Énfasis1 2 2 2 2 2 2 3 2 2" xfId="13584" xr:uid="{D54699F6-27D5-446F-AF77-8CFCA245EE51}"/>
    <cellStyle name="Énfasis1 2 2 2 2 2 2 3 2 2 2" xfId="13585" xr:uid="{51DE09A7-F2C1-4E5C-B1C6-EEE5545805EF}"/>
    <cellStyle name="Énfasis1 2 2 2 2 2 2 3 2 2 2 2" xfId="13586" xr:uid="{0D76DB09-8888-4266-9CCF-DAF268151763}"/>
    <cellStyle name="Énfasis1 2 2 2 2 2 2 3 2 2 2 3" xfId="13587" xr:uid="{A2935A14-9792-41B5-9D01-9E05481FBFDB}"/>
    <cellStyle name="Énfasis1 2 2 2 2 2 2 3 2 2 2 4" xfId="13588" xr:uid="{399C560F-5E0D-4D83-A1C0-5E1D1073B9F6}"/>
    <cellStyle name="Énfasis1 2 2 2 2 2 2 3 2 2 2 5" xfId="13589" xr:uid="{78953F55-6995-4516-8EA6-83639F911152}"/>
    <cellStyle name="Énfasis1 2 2 2 2 2 2 3 2 2 3" xfId="13590" xr:uid="{367E165F-94E9-40C7-8F4A-7D3899EE6B9C}"/>
    <cellStyle name="Énfasis1 2 2 2 2 2 2 3 2 2 4" xfId="13591" xr:uid="{EB3FEDC4-E4C9-4D8C-B09E-11A0F2453802}"/>
    <cellStyle name="Énfasis1 2 2 2 2 2 2 3 2 2 5" xfId="13592" xr:uid="{6D4818DD-CAA5-452C-AC3A-A6233F5D65DF}"/>
    <cellStyle name="Énfasis1 2 2 2 2 2 2 3 2 3" xfId="13593" xr:uid="{4644B421-F86B-491A-BB0D-7DC49296B79C}"/>
    <cellStyle name="Énfasis1 2 2 2 2 2 2 3 2 4" xfId="13594" xr:uid="{1029AA30-C1D7-462D-8021-6DB828FD62B3}"/>
    <cellStyle name="Énfasis1 2 2 2 2 2 2 3 2 5" xfId="13595" xr:uid="{371F28E6-88E9-4243-9DFB-4D2D3ECD607E}"/>
    <cellStyle name="Énfasis1 2 2 2 2 2 2 3 2 6" xfId="13596" xr:uid="{E71C023C-DB65-49AB-8F35-317B10C217C3}"/>
    <cellStyle name="Énfasis1 2 2 2 2 2 2 3 2 7" xfId="13597" xr:uid="{0F578F8D-A235-4F4D-B8D9-BD3C629EE2CC}"/>
    <cellStyle name="Énfasis1 2 2 2 2 2 2 3 2 8" xfId="13598" xr:uid="{BD9C5DA8-DA0B-48C4-9A2E-D3F11A5F8DF5}"/>
    <cellStyle name="Énfasis1 2 2 2 2 2 2 3 2 9" xfId="13599" xr:uid="{7A8DEF3C-D919-4DB6-A218-12480A8CECD0}"/>
    <cellStyle name="Énfasis1 2 2 2 2 2 2 3 3" xfId="13600" xr:uid="{DBF4099F-5DF0-4CE3-8F72-E255E83B4087}"/>
    <cellStyle name="Énfasis1 2 2 2 2 2 2 3 3 2" xfId="13601" xr:uid="{AC63B229-D711-455A-A672-EEDA66B0E1B6}"/>
    <cellStyle name="Énfasis1 2 2 2 2 2 2 3 3 2 2" xfId="13602" xr:uid="{EDB8E4B1-AEB7-4DBC-AE9E-08008B14A927}"/>
    <cellStyle name="Énfasis1 2 2 2 2 2 2 3 3 2 3" xfId="13603" xr:uid="{B061077D-915C-4BE4-8300-C8E7123A9D4C}"/>
    <cellStyle name="Énfasis1 2 2 2 2 2 2 3 3 2 4" xfId="13604" xr:uid="{09F2BBFD-FEED-43D7-8489-62B005FC7602}"/>
    <cellStyle name="Énfasis1 2 2 2 2 2 2 3 3 2 5" xfId="13605" xr:uid="{11DA83B6-86E8-4B8B-9F09-E3FECAE528DE}"/>
    <cellStyle name="Énfasis1 2 2 2 2 2 2 3 3 3" xfId="13606" xr:uid="{11BE8C15-7F77-4B1B-B959-4E210E3D090B}"/>
    <cellStyle name="Énfasis1 2 2 2 2 2 2 3 3 4" xfId="13607" xr:uid="{460EBB36-A571-4D8F-AE76-FE24289D644F}"/>
    <cellStyle name="Énfasis1 2 2 2 2 2 2 3 3 5" xfId="13608" xr:uid="{6D03191E-8C47-45C0-91AE-4859B335DFBA}"/>
    <cellStyle name="Énfasis1 2 2 2 2 2 2 3 4" xfId="13609" xr:uid="{46C188E8-229C-4D1E-8525-A2E187B3AC8A}"/>
    <cellStyle name="Énfasis1 2 2 2 2 2 2 3 5" xfId="13610" xr:uid="{8C8E062D-5A73-4789-A6AC-5964BD24755A}"/>
    <cellStyle name="Énfasis1 2 2 2 2 2 2 3 6" xfId="13611" xr:uid="{675D34CC-F335-4913-AEA9-FBB047CB33E9}"/>
    <cellStyle name="Énfasis1 2 2 2 2 2 2 3 7" xfId="13612" xr:uid="{7C3C8DDE-BE54-42C1-BE69-F4EAF5408210}"/>
    <cellStyle name="Énfasis1 2 2 2 2 2 2 3 8" xfId="13613" xr:uid="{7E23177C-487F-49A4-80E4-E2573060AD38}"/>
    <cellStyle name="Énfasis1 2 2 2 2 2 2 3 9" xfId="13614" xr:uid="{F9E5B576-DCF2-4291-BBB2-B2B9F07C81D4}"/>
    <cellStyle name="Énfasis1 2 2 2 2 2 2 4" xfId="13615" xr:uid="{DA2FDC48-9CC1-484D-9347-23D44C4DCECC}"/>
    <cellStyle name="Énfasis1 2 2 2 2 2 2 5" xfId="13616" xr:uid="{37BA2CC0-C417-4A02-9973-6119389B5D28}"/>
    <cellStyle name="Énfasis1 2 2 2 2 2 2 6" xfId="13617" xr:uid="{4A5E1000-EF39-4259-9C3A-7B68833146F1}"/>
    <cellStyle name="Énfasis1 2 2 2 2 2 3" xfId="13618" xr:uid="{FD105107-FEC6-4760-A091-C1C93F75063D}"/>
    <cellStyle name="Énfasis1 2 2 2 2 2 3 10" xfId="13619" xr:uid="{CCC7CCC4-4F3A-4AE8-9A1E-51CD036C32E5}"/>
    <cellStyle name="Énfasis1 2 2 2 2 2 3 11" xfId="13620" xr:uid="{B100F5B8-CE28-4383-8D1A-615A0DE9EC5A}"/>
    <cellStyle name="Énfasis1 2 2 2 2 2 3 2" xfId="13621" xr:uid="{BA388796-BE10-480B-B447-6B767AEADFBC}"/>
    <cellStyle name="Énfasis1 2 2 2 2 2 3 2 10" xfId="13622" xr:uid="{616A44F6-82D2-4773-85E2-92EBFF3B69A4}"/>
    <cellStyle name="Énfasis1 2 2 2 2 2 3 2 11" xfId="13623" xr:uid="{2EED649D-6684-4288-BC75-2A030E677C5D}"/>
    <cellStyle name="Énfasis1 2 2 2 2 2 3 2 2" xfId="13624" xr:uid="{80DF9636-E923-403F-B2DF-AAB889DE4F7B}"/>
    <cellStyle name="Énfasis1 2 2 2 2 2 3 2 2 2" xfId="13625" xr:uid="{B732E131-2B26-4D86-ACE6-462362E423DA}"/>
    <cellStyle name="Énfasis1 2 2 2 2 2 3 2 2 2 2" xfId="13626" xr:uid="{74FA2256-D06D-40F0-8C82-34E0838483E5}"/>
    <cellStyle name="Énfasis1 2 2 2 2 2 3 2 2 2 3" xfId="13627" xr:uid="{9421DC64-AD85-4BA8-B3B9-79DD516F1358}"/>
    <cellStyle name="Énfasis1 2 2 2 2 2 3 2 2 2 4" xfId="13628" xr:uid="{A5367904-BB5F-4EA5-A646-8CD478609598}"/>
    <cellStyle name="Énfasis1 2 2 2 2 2 3 2 2 2 5" xfId="13629" xr:uid="{D5741A9A-6EEA-4E0F-AC05-2C91D45CFA7A}"/>
    <cellStyle name="Énfasis1 2 2 2 2 2 3 2 2 3" xfId="13630" xr:uid="{187E5A7F-5C47-4904-A69A-83618E778D5C}"/>
    <cellStyle name="Énfasis1 2 2 2 2 2 3 2 2 4" xfId="13631" xr:uid="{3A1982EF-012E-4F83-BB97-BF7D00FE188F}"/>
    <cellStyle name="Énfasis1 2 2 2 2 2 3 2 2 5" xfId="13632" xr:uid="{9096C285-4146-4E68-A68D-60479E1BA476}"/>
    <cellStyle name="Énfasis1 2 2 2 2 2 3 2 3" xfId="13633" xr:uid="{0B6EDC47-6A34-4EBB-A876-48B8FCC9F9DC}"/>
    <cellStyle name="Énfasis1 2 2 2 2 2 3 2 4" xfId="13634" xr:uid="{DEBB0E85-FF49-4B4A-8258-CC8B4EB1E442}"/>
    <cellStyle name="Énfasis1 2 2 2 2 2 3 2 5" xfId="13635" xr:uid="{66BF6710-1462-4D92-B451-1BCD892C39B9}"/>
    <cellStyle name="Énfasis1 2 2 2 2 2 3 2 6" xfId="13636" xr:uid="{438AE25A-2E30-4CF5-97BD-DCBD73F395C0}"/>
    <cellStyle name="Énfasis1 2 2 2 2 2 3 2 7" xfId="13637" xr:uid="{D51280E0-D43A-4BC3-A278-4A2C9DCA2EAD}"/>
    <cellStyle name="Énfasis1 2 2 2 2 2 3 2 8" xfId="13638" xr:uid="{D311A269-B294-4CB6-9537-C81BDF2A8C06}"/>
    <cellStyle name="Énfasis1 2 2 2 2 2 3 2 9" xfId="13639" xr:uid="{A9CDB48B-C048-4778-9C11-3CAE88724347}"/>
    <cellStyle name="Énfasis1 2 2 2 2 2 3 3" xfId="13640" xr:uid="{B528B3EA-1714-48D1-8E45-A81064A3EFB6}"/>
    <cellStyle name="Énfasis1 2 2 2 2 2 3 3 2" xfId="13641" xr:uid="{FD1EE6C6-980A-40C6-B3C4-6538DF41E765}"/>
    <cellStyle name="Énfasis1 2 2 2 2 2 3 3 2 2" xfId="13642" xr:uid="{1FD3CBB4-5248-46A7-A0B2-4BF4FE9D6C31}"/>
    <cellStyle name="Énfasis1 2 2 2 2 2 3 3 2 3" xfId="13643" xr:uid="{FEA7FACF-95FA-42EA-AE54-53078772B754}"/>
    <cellStyle name="Énfasis1 2 2 2 2 2 3 3 2 4" xfId="13644" xr:uid="{A5DCD8DE-5F7B-4202-941D-4CACADFC28A1}"/>
    <cellStyle name="Énfasis1 2 2 2 2 2 3 3 2 5" xfId="13645" xr:uid="{E2D48F16-D599-4555-8E1D-7B23722F9AFE}"/>
    <cellStyle name="Énfasis1 2 2 2 2 2 3 3 3" xfId="13646" xr:uid="{FA4444FB-2CA2-4770-9C1F-8170D6A82AD5}"/>
    <cellStyle name="Énfasis1 2 2 2 2 2 3 3 4" xfId="13647" xr:uid="{CE569C7E-785C-4A5B-AA50-968BFDE1D1A1}"/>
    <cellStyle name="Énfasis1 2 2 2 2 2 3 3 5" xfId="13648" xr:uid="{3E641203-E8BB-4E89-9993-277EA984D332}"/>
    <cellStyle name="Énfasis1 2 2 2 2 2 3 4" xfId="13649" xr:uid="{5219CF1D-E8CC-4517-8787-94A681F06F79}"/>
    <cellStyle name="Énfasis1 2 2 2 2 2 3 5" xfId="13650" xr:uid="{58FCBCC8-5F6B-4170-9287-5B931D6F25F7}"/>
    <cellStyle name="Énfasis1 2 2 2 2 2 3 6" xfId="13651" xr:uid="{3D0ADF39-8930-432B-9D8B-331AC2CB62CA}"/>
    <cellStyle name="Énfasis1 2 2 2 2 2 3 7" xfId="13652" xr:uid="{D0ED3607-A9D4-4DDB-AE56-8B48E5491826}"/>
    <cellStyle name="Énfasis1 2 2 2 2 2 3 8" xfId="13653" xr:uid="{702BA93B-30D3-4446-AEE4-F3A42BF31EB9}"/>
    <cellStyle name="Énfasis1 2 2 2 2 2 3 9" xfId="13654" xr:uid="{8F7CE028-53DB-41BC-8556-C3D8A88E532C}"/>
    <cellStyle name="Énfasis1 2 2 2 2 2 4" xfId="13655" xr:uid="{136A5C9F-C1BA-4F4B-9D08-19196C422BD5}"/>
    <cellStyle name="Énfasis1 2 2 2 2 2 5" xfId="13656" xr:uid="{BFC9C243-4B1E-46D2-ADAD-44348818D6EF}"/>
    <cellStyle name="Énfasis1 2 2 2 2 2 6" xfId="13657" xr:uid="{FE3F8AD4-2AE7-49AF-82A6-F2982B54410A}"/>
    <cellStyle name="Énfasis1 2 2 2 2 3" xfId="13658" xr:uid="{7303599B-8FFF-4DD1-BAF5-074352816F85}"/>
    <cellStyle name="Énfasis1 2 2 2 2 4" xfId="13659" xr:uid="{D00F6B8D-12CA-4A54-92B5-004320E5D6EA}"/>
    <cellStyle name="Énfasis1 2 2 2 2 4 10" xfId="13660" xr:uid="{FC06ADB7-BDD7-4DCA-A959-3E714F09315C}"/>
    <cellStyle name="Énfasis1 2 2 2 2 4 11" xfId="13661" xr:uid="{A3355BB0-B336-4DDD-A481-227775035C60}"/>
    <cellStyle name="Énfasis1 2 2 2 2 4 2" xfId="13662" xr:uid="{F334C199-104E-41DA-A0B3-2AF5B2BEEFE3}"/>
    <cellStyle name="Énfasis1 2 2 2 2 4 2 10" xfId="13663" xr:uid="{27D9B11D-24DF-4486-B4FE-8E7CF542D4B4}"/>
    <cellStyle name="Énfasis1 2 2 2 2 4 2 11" xfId="13664" xr:uid="{483938C1-9CCA-434C-9B16-E7BC5664AA37}"/>
    <cellStyle name="Énfasis1 2 2 2 2 4 2 2" xfId="13665" xr:uid="{FF5CE3CE-20D4-48EF-BC18-B68233060388}"/>
    <cellStyle name="Énfasis1 2 2 2 2 4 2 2 2" xfId="13666" xr:uid="{B31E0D2F-415A-4959-A1B7-A3A1FD033318}"/>
    <cellStyle name="Énfasis1 2 2 2 2 4 2 2 2 2" xfId="13667" xr:uid="{A622B21B-25F9-4DA7-B7CA-5D3B714A02B5}"/>
    <cellStyle name="Énfasis1 2 2 2 2 4 2 2 2 3" xfId="13668" xr:uid="{614B1DAF-7C27-43F4-9B57-C6F8FCFDEAD7}"/>
    <cellStyle name="Énfasis1 2 2 2 2 4 2 2 2 4" xfId="13669" xr:uid="{8E6F2736-D935-46DB-A44F-70F3FA129651}"/>
    <cellStyle name="Énfasis1 2 2 2 2 4 2 2 2 5" xfId="13670" xr:uid="{CA163707-C445-4905-ABB8-5BB3C16DDF10}"/>
    <cellStyle name="Énfasis1 2 2 2 2 4 2 2 3" xfId="13671" xr:uid="{9C72395D-25A5-464E-80FE-C16C4AB86DFE}"/>
    <cellStyle name="Énfasis1 2 2 2 2 4 2 2 4" xfId="13672" xr:uid="{1B799608-AA75-497A-9A8A-8A22D8164ED2}"/>
    <cellStyle name="Énfasis1 2 2 2 2 4 2 2 5" xfId="13673" xr:uid="{E2254678-4B17-476F-A935-91469A3EA7EE}"/>
    <cellStyle name="Énfasis1 2 2 2 2 4 2 3" xfId="13674" xr:uid="{AC2F4BA5-FFA6-4DE1-B4CD-FED83536DDDF}"/>
    <cellStyle name="Énfasis1 2 2 2 2 4 2 4" xfId="13675" xr:uid="{34AEAB23-596D-4578-8F83-D2FE3EBC4462}"/>
    <cellStyle name="Énfasis1 2 2 2 2 4 2 5" xfId="13676" xr:uid="{31E7617F-2294-46CE-BB78-941AD8954F17}"/>
    <cellStyle name="Énfasis1 2 2 2 2 4 2 6" xfId="13677" xr:uid="{025923AC-16AC-4DDD-9F6B-5777FBA6F8FB}"/>
    <cellStyle name="Énfasis1 2 2 2 2 4 2 7" xfId="13678" xr:uid="{97307F7A-3170-48BB-86EE-4505644C4ED1}"/>
    <cellStyle name="Énfasis1 2 2 2 2 4 2 8" xfId="13679" xr:uid="{DC2807A1-BA3A-4722-BDC1-1D65F16EE241}"/>
    <cellStyle name="Énfasis1 2 2 2 2 4 2 9" xfId="13680" xr:uid="{AD207C1A-E395-48C9-858F-C5D9A02A965C}"/>
    <cellStyle name="Énfasis1 2 2 2 2 4 3" xfId="13681" xr:uid="{C5832862-049B-420D-BB14-36C52EFBF4F9}"/>
    <cellStyle name="Énfasis1 2 2 2 2 4 3 2" xfId="13682" xr:uid="{88C77093-2045-4C42-810C-41180F4A3BBB}"/>
    <cellStyle name="Énfasis1 2 2 2 2 4 3 2 2" xfId="13683" xr:uid="{D7A0418E-6144-428F-9DC0-43CEC1C14AF1}"/>
    <cellStyle name="Énfasis1 2 2 2 2 4 3 2 3" xfId="13684" xr:uid="{693A1154-B7DD-4BDE-B234-B6D53B0D3C68}"/>
    <cellStyle name="Énfasis1 2 2 2 2 4 3 2 4" xfId="13685" xr:uid="{B5FFA352-739A-49D9-887F-0898DE8A3890}"/>
    <cellStyle name="Énfasis1 2 2 2 2 4 3 2 5" xfId="13686" xr:uid="{706455EC-6D5C-4566-B353-6283412B6AD9}"/>
    <cellStyle name="Énfasis1 2 2 2 2 4 3 3" xfId="13687" xr:uid="{AD47C5A0-A17E-4C13-9AC5-DEA7AC23E943}"/>
    <cellStyle name="Énfasis1 2 2 2 2 4 3 4" xfId="13688" xr:uid="{F33470D0-952B-480F-A9D3-A269DD03C40C}"/>
    <cellStyle name="Énfasis1 2 2 2 2 4 3 5" xfId="13689" xr:uid="{79CC8515-11BA-498F-B6A1-4EE7EF2133D9}"/>
    <cellStyle name="Énfasis1 2 2 2 2 4 4" xfId="13690" xr:uid="{B4A644D6-73A7-4CEB-A009-62B506D941EC}"/>
    <cellStyle name="Énfasis1 2 2 2 2 4 5" xfId="13691" xr:uid="{93DB997F-8F70-4F7C-BF82-E3A8FBD1249F}"/>
    <cellStyle name="Énfasis1 2 2 2 2 4 6" xfId="13692" xr:uid="{257B32C4-8066-4CCE-877B-588CAFE245F0}"/>
    <cellStyle name="Énfasis1 2 2 2 2 4 7" xfId="13693" xr:uid="{42E67A81-DB6D-48DA-8F38-67AC9A48A377}"/>
    <cellStyle name="Énfasis1 2 2 2 2 4 8" xfId="13694" xr:uid="{F134164B-7897-4277-BA4F-6C9309022BE7}"/>
    <cellStyle name="Énfasis1 2 2 2 2 4 9" xfId="13695" xr:uid="{40B96FEA-2A54-41A9-BA54-F4F39BA146FB}"/>
    <cellStyle name="Énfasis1 2 2 2 2 5" xfId="13696" xr:uid="{98DF483F-0F75-4BEB-BBFF-135CC6122939}"/>
    <cellStyle name="Énfasis1 2 2 2 2 6" xfId="13697" xr:uid="{2A93FD5E-4610-44FB-BEE9-57FFC543954E}"/>
    <cellStyle name="Énfasis1 2 2 2 2 7" xfId="13698" xr:uid="{25901A8E-FC41-415B-BEF2-946A96C74E8E}"/>
    <cellStyle name="Énfasis1 2 2 2 3" xfId="13699" xr:uid="{5226BE64-9A3D-4563-B263-6096C179B6DB}"/>
    <cellStyle name="Énfasis1 2 2 2 4" xfId="13700" xr:uid="{B385C195-3D41-4BF1-B4F4-0FC15DA5730D}"/>
    <cellStyle name="Énfasis1 2 2 2 5" xfId="13701" xr:uid="{582FC3D7-7A19-483C-AE72-886FF3025944}"/>
    <cellStyle name="Énfasis1 2 2 2 5 10" xfId="13702" xr:uid="{53566DDB-663B-4E60-8522-411EADE814B8}"/>
    <cellStyle name="Énfasis1 2 2 2 5 11" xfId="13703" xr:uid="{B6D31A7F-6A75-4744-8AC2-D82E057A9D88}"/>
    <cellStyle name="Énfasis1 2 2 2 5 2" xfId="13704" xr:uid="{99DDCD2B-59E6-4DA6-A0B3-8CFAFF2353B9}"/>
    <cellStyle name="Énfasis1 2 2 2 5 2 10" xfId="13705" xr:uid="{C6E3AB84-9D90-45CE-A8BB-18892EEFC221}"/>
    <cellStyle name="Énfasis1 2 2 2 5 2 11" xfId="13706" xr:uid="{27BF8AE8-15E6-4239-B861-624D9B6B123A}"/>
    <cellStyle name="Énfasis1 2 2 2 5 2 2" xfId="13707" xr:uid="{D750F8BF-BDC9-4F36-BC34-48B781C3B06E}"/>
    <cellStyle name="Énfasis1 2 2 2 5 2 2 2" xfId="13708" xr:uid="{28C9225C-7CE6-4296-A4DA-919832AF1002}"/>
    <cellStyle name="Énfasis1 2 2 2 5 2 2 2 2" xfId="13709" xr:uid="{29E24588-1921-4FA5-9149-6960C051D17C}"/>
    <cellStyle name="Énfasis1 2 2 2 5 2 2 2 3" xfId="13710" xr:uid="{A6743925-B62C-4509-8A12-C73D496EE922}"/>
    <cellStyle name="Énfasis1 2 2 2 5 2 2 2 4" xfId="13711" xr:uid="{76591060-7462-4266-B61A-7484AF415DAE}"/>
    <cellStyle name="Énfasis1 2 2 2 5 2 2 2 5" xfId="13712" xr:uid="{7C64D78A-BCBD-4F6C-A1F9-9B56D3476D2C}"/>
    <cellStyle name="Énfasis1 2 2 2 5 2 2 3" xfId="13713" xr:uid="{590B270A-8163-42C8-83AF-FA0AE8DF94DC}"/>
    <cellStyle name="Énfasis1 2 2 2 5 2 2 4" xfId="13714" xr:uid="{4E9DE28E-585D-425D-ABDC-429E4DC47265}"/>
    <cellStyle name="Énfasis1 2 2 2 5 2 2 5" xfId="13715" xr:uid="{E67F575D-F095-4873-BE9B-F97D1210CF35}"/>
    <cellStyle name="Énfasis1 2 2 2 5 2 3" xfId="13716" xr:uid="{C806F470-C335-470A-A24F-C099D251A5BF}"/>
    <cellStyle name="Énfasis1 2 2 2 5 2 4" xfId="13717" xr:uid="{19E04A31-8DC6-421F-9CC1-BAACEF213E57}"/>
    <cellStyle name="Énfasis1 2 2 2 5 2 5" xfId="13718" xr:uid="{E4E410B8-8C82-402F-B960-08C93EE4DF83}"/>
    <cellStyle name="Énfasis1 2 2 2 5 2 6" xfId="13719" xr:uid="{AF73CEB8-9770-40BD-A800-9D1380BCD335}"/>
    <cellStyle name="Énfasis1 2 2 2 5 2 7" xfId="13720" xr:uid="{52D6DB8D-8203-4977-9656-FF2AD6833233}"/>
    <cellStyle name="Énfasis1 2 2 2 5 2 8" xfId="13721" xr:uid="{8873E321-7652-43E5-9019-36B191DB5949}"/>
    <cellStyle name="Énfasis1 2 2 2 5 2 9" xfId="13722" xr:uid="{9D3F4362-B92F-4C09-887A-A1063AC5D49F}"/>
    <cellStyle name="Énfasis1 2 2 2 5 3" xfId="13723" xr:uid="{FACDFE0F-A7F6-4DAB-A9F9-CBB56E7BAFCA}"/>
    <cellStyle name="Énfasis1 2 2 2 5 3 2" xfId="13724" xr:uid="{1244E9A5-5E9D-4E50-8ABC-53A4F1089FCA}"/>
    <cellStyle name="Énfasis1 2 2 2 5 3 2 2" xfId="13725" xr:uid="{E94CC216-64CF-44D7-AA05-7500E45B9380}"/>
    <cellStyle name="Énfasis1 2 2 2 5 3 2 3" xfId="13726" xr:uid="{1E436467-674F-4385-8A6F-9605AA6811BA}"/>
    <cellStyle name="Énfasis1 2 2 2 5 3 2 4" xfId="13727" xr:uid="{75C2621E-0EAA-430E-89D9-CD17F49A2CA5}"/>
    <cellStyle name="Énfasis1 2 2 2 5 3 2 5" xfId="13728" xr:uid="{61E16A71-8763-47ED-A51E-11C156925673}"/>
    <cellStyle name="Énfasis1 2 2 2 5 3 3" xfId="13729" xr:uid="{2063E96E-199D-4F6B-8BFC-96F77AD7674E}"/>
    <cellStyle name="Énfasis1 2 2 2 5 3 4" xfId="13730" xr:uid="{7DC30874-5769-4BAB-8022-51CBD7F27DEE}"/>
    <cellStyle name="Énfasis1 2 2 2 5 3 5" xfId="13731" xr:uid="{3D1807E1-7D1F-4045-9D59-AB69A41A6E41}"/>
    <cellStyle name="Énfasis1 2 2 2 5 4" xfId="13732" xr:uid="{76B5F3D8-20DB-45DD-87C4-0991B8D892A6}"/>
    <cellStyle name="Énfasis1 2 2 2 5 5" xfId="13733" xr:uid="{408B394E-963D-4D24-A0D2-D01A001E8331}"/>
    <cellStyle name="Énfasis1 2 2 2 5 6" xfId="13734" xr:uid="{4E9BEE8E-2176-4FB9-B49E-0F9D30C435FA}"/>
    <cellStyle name="Énfasis1 2 2 2 5 7" xfId="13735" xr:uid="{D9FB8D83-DBAE-444C-9982-BE411DE68381}"/>
    <cellStyle name="Énfasis1 2 2 2 5 8" xfId="13736" xr:uid="{C3985656-D945-4ACE-A3A7-545C208A446B}"/>
    <cellStyle name="Énfasis1 2 2 2 5 9" xfId="13737" xr:uid="{0DD59DBA-9020-4D68-BF9A-925CDA3E8E5C}"/>
    <cellStyle name="Énfasis1 2 2 2 6" xfId="13738" xr:uid="{D39C50F8-EC69-483F-84C0-32E25CF00923}"/>
    <cellStyle name="Énfasis1 2 2 2 7" xfId="13739" xr:uid="{B7B3327F-8353-428C-91CF-061CD59BCAE9}"/>
    <cellStyle name="Énfasis1 2 2 2 8" xfId="13740" xr:uid="{B0AC588C-8C77-4E05-8E78-E977CDA0DB29}"/>
    <cellStyle name="Énfasis1 2 2 3" xfId="13741" xr:uid="{AB8EFB30-9469-4D9E-8A77-293A173C42AC}"/>
    <cellStyle name="Énfasis1 2 2 4" xfId="13742" xr:uid="{18A6D1E1-9777-4F9F-B380-8074865C26DB}"/>
    <cellStyle name="Énfasis1 2 2 5" xfId="13743" xr:uid="{D13EB67C-B3A1-4D02-961C-407F0E07EE89}"/>
    <cellStyle name="Énfasis1 2 2 6" xfId="13744" xr:uid="{4395EE2C-E187-4F75-BA4F-C0E72E247C6C}"/>
    <cellStyle name="Énfasis1 2 2 7" xfId="13745" xr:uid="{962BEB59-F7A2-4863-AED6-AF57B0211A60}"/>
    <cellStyle name="Énfasis1 2 2 8" xfId="13746" xr:uid="{B31FD45A-D09B-404C-A1C3-E6ECB367627C}"/>
    <cellStyle name="Énfasis1 2 2 8 2" xfId="13747" xr:uid="{44655E7E-2A5C-4046-B59A-95126C8A8880}"/>
    <cellStyle name="Énfasis1 2 2 9" xfId="13748" xr:uid="{139C6749-E570-4213-943E-E1BD6B257A3D}"/>
    <cellStyle name="Énfasis1 2 3" xfId="13749" xr:uid="{D67B87D8-A9DE-4E26-92FE-334A3C08977C}"/>
    <cellStyle name="Énfasis1 2 4" xfId="13750" xr:uid="{E763888A-A96F-4D2C-8B54-963B1F08B446}"/>
    <cellStyle name="Énfasis1 2 4 10" xfId="13751" xr:uid="{858A681F-DE69-4CB1-896A-9E7540A46530}"/>
    <cellStyle name="Énfasis1 2 4 11" xfId="13752" xr:uid="{4FDBDEF0-71EA-4FCB-8881-64E89D3C3BAC}"/>
    <cellStyle name="Énfasis1 2 4 12" xfId="13753" xr:uid="{424D7B94-DFF8-4742-AB11-A783F2C29AAC}"/>
    <cellStyle name="Énfasis1 2 4 2" xfId="13754" xr:uid="{0CB04F3E-8FAF-46FF-8842-9766C1088EE6}"/>
    <cellStyle name="Énfasis1 2 4 2 10" xfId="13755" xr:uid="{1A953AC8-965C-4DC4-9E58-9CBC575732D2}"/>
    <cellStyle name="Énfasis1 2 4 2 11" xfId="13756" xr:uid="{6F65D06F-78A9-4A6A-8532-82FDA3BDCA7E}"/>
    <cellStyle name="Énfasis1 2 4 2 12" xfId="13757" xr:uid="{704E126D-046F-49A9-A409-C28CFB752EF4}"/>
    <cellStyle name="Énfasis1 2 4 2 2" xfId="13758" xr:uid="{2F7386DE-B2F1-4613-AF2C-D4A492D20FA8}"/>
    <cellStyle name="Énfasis1 2 4 2 2 10" xfId="13759" xr:uid="{63D3BD87-2E90-4D83-A477-44E24CEE150B}"/>
    <cellStyle name="Énfasis1 2 4 2 2 11" xfId="13760" xr:uid="{E0115F8E-1475-42A7-842B-71FB9199B40C}"/>
    <cellStyle name="Énfasis1 2 4 2 2 2" xfId="13761" xr:uid="{48BEE804-B654-4B23-B6BA-2B02137BFD7B}"/>
    <cellStyle name="Énfasis1 2 4 2 2 2 10" xfId="13762" xr:uid="{32C7AA7B-AC58-4A7A-9E74-C15633AD21AF}"/>
    <cellStyle name="Énfasis1 2 4 2 2 2 11" xfId="13763" xr:uid="{22F1B3D7-D935-4713-8FDD-B2981247B278}"/>
    <cellStyle name="Énfasis1 2 4 2 2 2 2" xfId="13764" xr:uid="{552065F6-3E23-4A17-AF48-37D0B2749149}"/>
    <cellStyle name="Énfasis1 2 4 2 2 2 2 2" xfId="13765" xr:uid="{3FDE416F-306A-48C4-B6E5-082BC9E5E9F6}"/>
    <cellStyle name="Énfasis1 2 4 2 2 2 2 2 2" xfId="13766" xr:uid="{5172CD17-789E-4AD2-B197-029537B7B0BC}"/>
    <cellStyle name="Énfasis1 2 4 2 2 2 2 2 3" xfId="13767" xr:uid="{347D92C1-718D-4EBB-9FC1-E2E536DB15F5}"/>
    <cellStyle name="Énfasis1 2 4 2 2 2 2 2 4" xfId="13768" xr:uid="{3559219B-EDA4-42C5-8CA4-A5FBAE2B3AAC}"/>
    <cellStyle name="Énfasis1 2 4 2 2 2 2 2 5" xfId="13769" xr:uid="{54271AEF-6191-42A4-91D2-EA51C4051E5C}"/>
    <cellStyle name="Énfasis1 2 4 2 2 2 2 3" xfId="13770" xr:uid="{B5223ECF-26DA-48F2-BBFB-8CE0DFA2D532}"/>
    <cellStyle name="Énfasis1 2 4 2 2 2 2 4" xfId="13771" xr:uid="{1BA2259C-016B-492F-BF1C-3585B4D88FB0}"/>
    <cellStyle name="Énfasis1 2 4 2 2 2 2 5" xfId="13772" xr:uid="{4BA83755-71F4-461E-B691-A372C0FA9F1F}"/>
    <cellStyle name="Énfasis1 2 4 2 2 2 3" xfId="13773" xr:uid="{100A6039-5458-4E41-89C2-A884C675D3A4}"/>
    <cellStyle name="Énfasis1 2 4 2 2 2 4" xfId="13774" xr:uid="{B63B4B9C-F117-47BC-A5EC-6071753979D5}"/>
    <cellStyle name="Énfasis1 2 4 2 2 2 5" xfId="13775" xr:uid="{DDBB2C92-A517-484D-96B7-3B805B55B43E}"/>
    <cellStyle name="Énfasis1 2 4 2 2 2 6" xfId="13776" xr:uid="{7FB5AFAA-497B-4EDC-B96A-8F840B39CA16}"/>
    <cellStyle name="Énfasis1 2 4 2 2 2 7" xfId="13777" xr:uid="{046F0FE5-29B0-47CC-9C22-FAD29F0B8255}"/>
    <cellStyle name="Énfasis1 2 4 2 2 2 8" xfId="13778" xr:uid="{DE3B8AA9-3959-41B7-ACE8-09E1F2C48E63}"/>
    <cellStyle name="Énfasis1 2 4 2 2 2 9" xfId="13779" xr:uid="{A5A6CB70-EA49-4CFF-A94B-626EB93C913E}"/>
    <cellStyle name="Énfasis1 2 4 2 2 3" xfId="13780" xr:uid="{1D278B65-8E6B-4337-8AE4-F45A0DC4FD40}"/>
    <cellStyle name="Énfasis1 2 4 2 2 3 2" xfId="13781" xr:uid="{032F40F5-35BA-4C60-AE74-4397665912E8}"/>
    <cellStyle name="Énfasis1 2 4 2 2 3 2 2" xfId="13782" xr:uid="{1A22D73E-87E8-46D7-87A1-54081A8A43E6}"/>
    <cellStyle name="Énfasis1 2 4 2 2 3 2 3" xfId="13783" xr:uid="{41C50D32-9A6F-4850-8681-26F11D068D43}"/>
    <cellStyle name="Énfasis1 2 4 2 2 3 2 4" xfId="13784" xr:uid="{F30656B6-D144-4F88-91ED-211B96AA2A11}"/>
    <cellStyle name="Énfasis1 2 4 2 2 3 2 5" xfId="13785" xr:uid="{3D5AC74F-F55F-4C9B-A144-BE4E221C491D}"/>
    <cellStyle name="Énfasis1 2 4 2 2 3 3" xfId="13786" xr:uid="{55B82C7A-EC8F-4ED7-A094-23BB83E45D13}"/>
    <cellStyle name="Énfasis1 2 4 2 2 3 4" xfId="13787" xr:uid="{597F70E4-885B-4649-826C-9AC2E6632B5F}"/>
    <cellStyle name="Énfasis1 2 4 2 2 3 5" xfId="13788" xr:uid="{9579F4CE-B5B8-48B6-ABA4-562906608E55}"/>
    <cellStyle name="Énfasis1 2 4 2 2 4" xfId="13789" xr:uid="{8578DA9D-5B76-4D08-ADAC-CE10A423C973}"/>
    <cellStyle name="Énfasis1 2 4 2 2 5" xfId="13790" xr:uid="{7D3303E9-49BB-43C6-BDDD-60B8AF51AE64}"/>
    <cellStyle name="Énfasis1 2 4 2 2 6" xfId="13791" xr:uid="{4D03CC15-0CD9-4003-BE3A-8D94213F153A}"/>
    <cellStyle name="Énfasis1 2 4 2 2 7" xfId="13792" xr:uid="{1BBD1FF8-4712-4C87-8D86-BE23BBDA879A}"/>
    <cellStyle name="Énfasis1 2 4 2 2 8" xfId="13793" xr:uid="{B500F9B8-D68D-498B-BC15-61EBFC53B044}"/>
    <cellStyle name="Énfasis1 2 4 2 2 9" xfId="13794" xr:uid="{1967C4E2-97D5-4975-A096-7E31744735E5}"/>
    <cellStyle name="Énfasis1 2 4 2 3" xfId="13795" xr:uid="{E1836923-EE0C-4700-A9DD-B3676CE19C1B}"/>
    <cellStyle name="Énfasis1 2 4 2 3 2" xfId="13796" xr:uid="{18126280-9CD5-48DD-B0EF-5EFDDB1E09F4}"/>
    <cellStyle name="Énfasis1 2 4 2 3 2 2" xfId="13797" xr:uid="{A0895472-A6BD-4C40-849D-9DE441B963E1}"/>
    <cellStyle name="Énfasis1 2 4 2 3 2 3" xfId="13798" xr:uid="{C0210DD0-E996-4E51-8464-96B8C20BD0DC}"/>
    <cellStyle name="Énfasis1 2 4 2 3 2 4" xfId="13799" xr:uid="{B2BDF25C-0821-48D6-AB9C-278383BFA8FE}"/>
    <cellStyle name="Énfasis1 2 4 2 3 2 5" xfId="13800" xr:uid="{AD1AAAAB-44FF-42AA-9BBF-77A966F94F5A}"/>
    <cellStyle name="Énfasis1 2 4 2 3 3" xfId="13801" xr:uid="{991B685E-CB42-4193-A8F9-236696477C36}"/>
    <cellStyle name="Énfasis1 2 4 2 3 4" xfId="13802" xr:uid="{9370274C-3276-4638-9BD0-3B190E0B698E}"/>
    <cellStyle name="Énfasis1 2 4 2 3 5" xfId="13803" xr:uid="{7165C325-AFCF-45AF-81F5-D80C97E6771F}"/>
    <cellStyle name="Énfasis1 2 4 2 4" xfId="13804" xr:uid="{D7192B44-810C-40AE-BEE3-8ED08FAD81DB}"/>
    <cellStyle name="Énfasis1 2 4 2 5" xfId="13805" xr:uid="{8F664A65-F279-48BC-8E66-4CAC4A00C7E8}"/>
    <cellStyle name="Énfasis1 2 4 2 6" xfId="13806" xr:uid="{3754C7FA-0372-4183-A885-0E0DFE52B851}"/>
    <cellStyle name="Énfasis1 2 4 2 7" xfId="13807" xr:uid="{BA6F1DC6-D0EF-4980-A0F0-20FE7B3F0900}"/>
    <cellStyle name="Énfasis1 2 4 2 8" xfId="13808" xr:uid="{93B2BFA9-7B46-4D2D-B4D8-60960EA810D7}"/>
    <cellStyle name="Énfasis1 2 4 2 9" xfId="13809" xr:uid="{CD3CD94A-0DF7-40D2-863B-4834700EDB54}"/>
    <cellStyle name="Énfasis1 2 4 3" xfId="13810" xr:uid="{FAFCB8EC-CA2E-4C6E-A376-C032B0388EE1}"/>
    <cellStyle name="Énfasis1 2 4 3 10" xfId="13811" xr:uid="{6F97A5E5-9051-45D8-A9FC-4ED6B5F0863D}"/>
    <cellStyle name="Énfasis1 2 4 3 11" xfId="13812" xr:uid="{4A03BC62-74A9-4B11-A168-697BCAC05D72}"/>
    <cellStyle name="Énfasis1 2 4 3 2" xfId="13813" xr:uid="{F2B24C54-6F7A-47CD-9053-01FE1684C47A}"/>
    <cellStyle name="Énfasis1 2 4 3 2 2" xfId="13814" xr:uid="{044D2A0C-1ABC-4712-A581-25FF29E921C2}"/>
    <cellStyle name="Énfasis1 2 4 3 2 2 2" xfId="13815" xr:uid="{F34F38A1-3356-4168-AD51-2D90735134B7}"/>
    <cellStyle name="Énfasis1 2 4 3 2 2 3" xfId="13816" xr:uid="{19C89098-1D70-46F2-9679-48300851BADD}"/>
    <cellStyle name="Énfasis1 2 4 3 2 2 4" xfId="13817" xr:uid="{7C0D65B0-8BF3-4993-9B5B-95BAF0425E9B}"/>
    <cellStyle name="Énfasis1 2 4 3 2 2 5" xfId="13818" xr:uid="{A85F97C0-6148-40B5-8A94-EDDDA41B00F4}"/>
    <cellStyle name="Énfasis1 2 4 3 2 3" xfId="13819" xr:uid="{62B21A36-F266-46DE-B334-77270F35A695}"/>
    <cellStyle name="Énfasis1 2 4 3 2 4" xfId="13820" xr:uid="{961E6520-B246-4C25-88E9-FE515C1DCEFA}"/>
    <cellStyle name="Énfasis1 2 4 3 2 5" xfId="13821" xr:uid="{BDE9963E-EABA-41E2-B624-6331F85D01A4}"/>
    <cellStyle name="Énfasis1 2 4 3 3" xfId="13822" xr:uid="{0E790AAA-8421-41D4-8B38-3D087EB660FA}"/>
    <cellStyle name="Énfasis1 2 4 3 4" xfId="13823" xr:uid="{9728B828-D774-45AB-B3DA-0ECA0176AAC2}"/>
    <cellStyle name="Énfasis1 2 4 3 5" xfId="13824" xr:uid="{CA347F84-5CFF-4BC0-9CFC-6D0A5C8DF2C9}"/>
    <cellStyle name="Énfasis1 2 4 3 6" xfId="13825" xr:uid="{7AA695A7-86B1-4720-9E6C-A56CF2797399}"/>
    <cellStyle name="Énfasis1 2 4 3 7" xfId="13826" xr:uid="{0A97B2EF-8AC0-4251-BB4A-402BD40D318C}"/>
    <cellStyle name="Énfasis1 2 4 3 8" xfId="13827" xr:uid="{3B7A3880-C7C7-4158-AA25-7297A2B30126}"/>
    <cellStyle name="Énfasis1 2 4 3 9" xfId="13828" xr:uid="{DC2D1D68-BF69-4C67-8929-C9089A0DE760}"/>
    <cellStyle name="Énfasis1 2 4 4" xfId="13829" xr:uid="{67156F3A-D21E-4C40-88A9-877A1F831627}"/>
    <cellStyle name="Énfasis1 2 4 4 2" xfId="13830" xr:uid="{74411ED1-C062-494E-8026-423EFDBF035C}"/>
    <cellStyle name="Énfasis1 2 4 4 2 2" xfId="13831" xr:uid="{32357997-18F7-484D-9920-9658BC7551E8}"/>
    <cellStyle name="Énfasis1 2 4 4 2 3" xfId="13832" xr:uid="{9E446087-AAD8-4D9B-8D13-1CA771DB2F04}"/>
    <cellStyle name="Énfasis1 2 4 4 2 4" xfId="13833" xr:uid="{A10BD55E-247B-4DEA-BB34-FE88CD2E4179}"/>
    <cellStyle name="Énfasis1 2 4 4 2 5" xfId="13834" xr:uid="{4CCB9B83-7F27-4624-815B-E7584DF11E68}"/>
    <cellStyle name="Énfasis1 2 4 4 3" xfId="13835" xr:uid="{E5569AE4-94A4-4F74-A771-981FA522B5E4}"/>
    <cellStyle name="Énfasis1 2 4 4 4" xfId="13836" xr:uid="{880D65FC-988C-4DEC-9175-46C874382B16}"/>
    <cellStyle name="Énfasis1 2 4 4 5" xfId="13837" xr:uid="{308B91D6-8F9B-4791-BB43-6DFEAAF12118}"/>
    <cellStyle name="Énfasis1 2 4 5" xfId="13838" xr:uid="{57A058F5-012A-4579-8977-EA36221E32B2}"/>
    <cellStyle name="Énfasis1 2 4 6" xfId="13839" xr:uid="{6E6380C1-6CE4-4D74-8186-F0DB776535C9}"/>
    <cellStyle name="Énfasis1 2 4 7" xfId="13840" xr:uid="{D54E6BF5-BB8F-4F13-97FE-59DDD4502E74}"/>
    <cellStyle name="Énfasis1 2 4 8" xfId="13841" xr:uid="{BAC503C0-1DF6-403F-8CC1-89A309173FAF}"/>
    <cellStyle name="Énfasis1 2 4 9" xfId="13842" xr:uid="{11349A46-C36B-4F7A-A916-413B5A952090}"/>
    <cellStyle name="Énfasis1 2 5" xfId="13843" xr:uid="{44B86380-3864-4565-B6BB-F5403CD33F43}"/>
    <cellStyle name="Énfasis1 2 6" xfId="13844" xr:uid="{634B3FBD-22CE-4F51-8F1E-B8AF866040E7}"/>
    <cellStyle name="Énfasis1 2 7" xfId="13845" xr:uid="{44E88F20-3030-4D3E-9ED5-D3ADB55716A5}"/>
    <cellStyle name="Énfasis1 2 8" xfId="13846" xr:uid="{D97B3FB2-F438-4D35-AC6C-A4622A29AD35}"/>
    <cellStyle name="Énfasis1 2 8 2" xfId="13847" xr:uid="{EF50A19E-99E3-4DED-8980-8D29F18FEAFC}"/>
    <cellStyle name="Énfasis1 2 9" xfId="13848" xr:uid="{188C2B8C-8A58-4481-8344-68289152F41B}"/>
    <cellStyle name="Énfasis1 3" xfId="13849" xr:uid="{341F165F-7790-48DD-8832-A751416B4984}"/>
    <cellStyle name="Énfasis1 3 2" xfId="13850" xr:uid="{948CDE15-ABCE-4629-88A7-806C3354747F}"/>
    <cellStyle name="Énfasis1 3 3" xfId="13851" xr:uid="{92B8343D-849D-424A-A70A-21B25F5D1996}"/>
    <cellStyle name="Énfasis1 4" xfId="13852" xr:uid="{1D9FAEFD-DFCC-4335-A2EF-93E11F8224CF}"/>
    <cellStyle name="Énfasis2" xfId="26" builtinId="33" customBuiltin="1"/>
    <cellStyle name="Énfasis2 2" xfId="13853" xr:uid="{2C565AD8-8EBA-4574-B765-96314462F55C}"/>
    <cellStyle name="Énfasis2 2 10" xfId="13854" xr:uid="{C4D65649-4294-4A08-BF86-65ED95C3F02F}"/>
    <cellStyle name="Énfasis2 2 10 10" xfId="13855" xr:uid="{2B10AAB7-A467-4D64-84F5-4942C651BFC4}"/>
    <cellStyle name="Énfasis2 2 10 11" xfId="13856" xr:uid="{DDC345E0-C392-4B55-91AB-3CC344BD1D0F}"/>
    <cellStyle name="Énfasis2 2 10 2" xfId="13857" xr:uid="{A7BAB80A-18F5-4BFC-B2DD-1B8FF0FCAFA5}"/>
    <cellStyle name="Énfasis2 2 10 2 10" xfId="13858" xr:uid="{057CA2EC-C252-4DAB-8C45-6FC05A00FA3F}"/>
    <cellStyle name="Énfasis2 2 10 2 11" xfId="13859" xr:uid="{753D8D9E-A4D2-439C-96D9-BFB4CF8F85DD}"/>
    <cellStyle name="Énfasis2 2 10 2 2" xfId="13860" xr:uid="{B62B1708-DB04-4341-8DB2-3A0012EC97E2}"/>
    <cellStyle name="Énfasis2 2 10 2 2 2" xfId="13861" xr:uid="{CF1966C4-711F-478A-AAA3-E0A16502B323}"/>
    <cellStyle name="Énfasis2 2 10 2 2 2 2" xfId="13862" xr:uid="{67B4659B-841D-4FB9-AAA7-2A31D945F59F}"/>
    <cellStyle name="Énfasis2 2 10 2 2 2 3" xfId="13863" xr:uid="{9C1C881B-4029-42F3-81A6-54C2F1C8839E}"/>
    <cellStyle name="Énfasis2 2 10 2 2 2 4" xfId="13864" xr:uid="{B2B9FB00-F4DE-44D3-BACF-0EA5E23D6B4C}"/>
    <cellStyle name="Énfasis2 2 10 2 2 2 5" xfId="13865" xr:uid="{89592254-FD43-414E-A9E8-BAD4705ACD10}"/>
    <cellStyle name="Énfasis2 2 10 2 2 3" xfId="13866" xr:uid="{B0D2E9F0-C19A-4FBD-A242-E5C593FF95D7}"/>
    <cellStyle name="Énfasis2 2 10 2 2 4" xfId="13867" xr:uid="{ABA0F8B5-403A-4854-8E7B-83F579C10A40}"/>
    <cellStyle name="Énfasis2 2 10 2 2 5" xfId="13868" xr:uid="{EB61E4DA-C6C9-47D7-95B6-8F4987334172}"/>
    <cellStyle name="Énfasis2 2 10 2 3" xfId="13869" xr:uid="{12453DC0-FE02-46AC-8978-FC0675FE1FF4}"/>
    <cellStyle name="Énfasis2 2 10 2 4" xfId="13870" xr:uid="{07EB727D-A31A-4EAE-BEDC-9DA46CEE5C90}"/>
    <cellStyle name="Énfasis2 2 10 2 5" xfId="13871" xr:uid="{9BC2B011-1D60-4917-A6B4-2C15D1FB10EC}"/>
    <cellStyle name="Énfasis2 2 10 2 6" xfId="13872" xr:uid="{12505511-2DE9-4122-9F93-C1F6CBD363F9}"/>
    <cellStyle name="Énfasis2 2 10 2 7" xfId="13873" xr:uid="{9A7F81A4-A41B-4E84-8189-9E86A686D505}"/>
    <cellStyle name="Énfasis2 2 10 2 8" xfId="13874" xr:uid="{A800EE2B-3700-49F4-83E8-7A950387D773}"/>
    <cellStyle name="Énfasis2 2 10 2 9" xfId="13875" xr:uid="{2CCE9493-08CC-4314-BB2C-6DB59C9C47DE}"/>
    <cellStyle name="Énfasis2 2 10 3" xfId="13876" xr:uid="{98329D75-D2D3-410A-A383-DEBC738888EF}"/>
    <cellStyle name="Énfasis2 2 10 3 2" xfId="13877" xr:uid="{EA3FE039-472B-4C78-A1F9-09DF1D27DE7A}"/>
    <cellStyle name="Énfasis2 2 10 3 2 2" xfId="13878" xr:uid="{84B654BC-D2E6-49C7-B837-B4C9576C9145}"/>
    <cellStyle name="Énfasis2 2 10 3 2 3" xfId="13879" xr:uid="{26E0314F-334B-4C36-B6DF-0F58773E67F3}"/>
    <cellStyle name="Énfasis2 2 10 3 2 4" xfId="13880" xr:uid="{D1FDCB4D-8C56-47D5-A751-0C7427509D20}"/>
    <cellStyle name="Énfasis2 2 10 3 2 5" xfId="13881" xr:uid="{409EDD18-8F0C-415B-9B0A-307326533EB1}"/>
    <cellStyle name="Énfasis2 2 10 3 3" xfId="13882" xr:uid="{CCF77137-1EA3-4BA1-A220-64B9F9F44C36}"/>
    <cellStyle name="Énfasis2 2 10 3 4" xfId="13883" xr:uid="{09BF4273-E041-4C65-B104-50C69C0F43BF}"/>
    <cellStyle name="Énfasis2 2 10 3 5" xfId="13884" xr:uid="{8F46CC6E-2178-479A-B0F0-51E022FAF2A1}"/>
    <cellStyle name="Énfasis2 2 10 4" xfId="13885" xr:uid="{294B6478-37ED-423E-9391-DE366C077FD5}"/>
    <cellStyle name="Énfasis2 2 10 5" xfId="13886" xr:uid="{4C86E981-8F48-47AB-928A-AAE5222C69EE}"/>
    <cellStyle name="Énfasis2 2 10 6" xfId="13887" xr:uid="{1FBFB239-416B-4DA3-9D48-06723D1ABA84}"/>
    <cellStyle name="Énfasis2 2 10 7" xfId="13888" xr:uid="{CF86C3CC-1BD2-40DD-9373-28E028B8AAD6}"/>
    <cellStyle name="Énfasis2 2 10 8" xfId="13889" xr:uid="{B9FED2ED-2673-4979-BA99-AD11B744A677}"/>
    <cellStyle name="Énfasis2 2 10 9" xfId="13890" xr:uid="{E3F717DF-8D54-4001-83E5-2681B3DEE755}"/>
    <cellStyle name="Énfasis2 2 11" xfId="13891" xr:uid="{95D2B11B-CA57-4FA5-9C8F-9F7C91E17978}"/>
    <cellStyle name="Énfasis2 2 12" xfId="13892" xr:uid="{8E118155-21B1-48C5-9819-6DD63ECC2E6E}"/>
    <cellStyle name="Énfasis2 2 13" xfId="13893" xr:uid="{4FC246E3-4B5E-4330-90A8-602DD204E3F7}"/>
    <cellStyle name="Énfasis2 2 2" xfId="13894" xr:uid="{D0E976E8-5920-48D4-9D10-41DBE80A4D2D}"/>
    <cellStyle name="Énfasis2 2 2 10" xfId="13895" xr:uid="{ABC54AC9-AF20-4026-A206-0C2CB7A62364}"/>
    <cellStyle name="Énfasis2 2 2 10 10" xfId="13896" xr:uid="{CD6D49D7-944A-4B5B-A91E-99DD0576C5AE}"/>
    <cellStyle name="Énfasis2 2 2 10 11" xfId="13897" xr:uid="{2BDADDB0-BE53-4124-8DC9-C7BD977525E2}"/>
    <cellStyle name="Énfasis2 2 2 10 2" xfId="13898" xr:uid="{C08DB1D8-08C9-4419-9B15-E349E441DF57}"/>
    <cellStyle name="Énfasis2 2 2 10 2 10" xfId="13899" xr:uid="{DCAB9D3C-D707-41DB-8EA5-32B9326672D0}"/>
    <cellStyle name="Énfasis2 2 2 10 2 11" xfId="13900" xr:uid="{49E37CA2-245F-4407-AC47-B1E4CA9A1FD1}"/>
    <cellStyle name="Énfasis2 2 2 10 2 2" xfId="13901" xr:uid="{EB7C10E5-2FCB-4BB2-AAC8-3463EDC73071}"/>
    <cellStyle name="Énfasis2 2 2 10 2 2 2" xfId="13902" xr:uid="{B45725B2-4392-4D74-97D3-F95F6C8D85A6}"/>
    <cellStyle name="Énfasis2 2 2 10 2 2 2 2" xfId="13903" xr:uid="{C22208B4-9A38-4B06-A029-5798CE8B65C4}"/>
    <cellStyle name="Énfasis2 2 2 10 2 2 2 3" xfId="13904" xr:uid="{15EBFBF2-3E94-4DFE-9EF9-1AAE64A33A94}"/>
    <cellStyle name="Énfasis2 2 2 10 2 2 2 4" xfId="13905" xr:uid="{B0F1296C-D777-4D75-A805-86EEB6FFAEAC}"/>
    <cellStyle name="Énfasis2 2 2 10 2 2 2 5" xfId="13906" xr:uid="{D18B833E-830C-45C4-8525-F60F55D6EF5F}"/>
    <cellStyle name="Énfasis2 2 2 10 2 2 3" xfId="13907" xr:uid="{1B9F7C30-A7C8-47B8-B742-6615C580F99F}"/>
    <cellStyle name="Énfasis2 2 2 10 2 2 4" xfId="13908" xr:uid="{5A1B80C2-16DF-4701-8F1B-C0DC9C482F69}"/>
    <cellStyle name="Énfasis2 2 2 10 2 2 5" xfId="13909" xr:uid="{EDA1B843-5787-486A-A87F-84CF621173BE}"/>
    <cellStyle name="Énfasis2 2 2 10 2 3" xfId="13910" xr:uid="{29035A50-7686-4A85-8A02-D0B3536F5CBD}"/>
    <cellStyle name="Énfasis2 2 2 10 2 4" xfId="13911" xr:uid="{387021D5-2D96-4F8F-A3FF-0760E19C33B7}"/>
    <cellStyle name="Énfasis2 2 2 10 2 5" xfId="13912" xr:uid="{8C97A932-6546-431E-B70D-F0FC5C02E6C9}"/>
    <cellStyle name="Énfasis2 2 2 10 2 6" xfId="13913" xr:uid="{E0B30333-DD6C-4C12-A6FD-1AB509A91FE2}"/>
    <cellStyle name="Énfasis2 2 2 10 2 7" xfId="13914" xr:uid="{153BD5E7-AE30-4C1E-BD35-D5622534D001}"/>
    <cellStyle name="Énfasis2 2 2 10 2 8" xfId="13915" xr:uid="{9D11D13A-6342-4201-8AF5-CB6206CA8F4B}"/>
    <cellStyle name="Énfasis2 2 2 10 2 9" xfId="13916" xr:uid="{526B6A0B-5A70-4921-B117-411C62888E50}"/>
    <cellStyle name="Énfasis2 2 2 10 3" xfId="13917" xr:uid="{6655A161-6CF5-4A36-BA8B-12A269D5C62B}"/>
    <cellStyle name="Énfasis2 2 2 10 3 2" xfId="13918" xr:uid="{96C66E6C-5174-4CE5-9A89-6CB51E7F1EAC}"/>
    <cellStyle name="Énfasis2 2 2 10 3 2 2" xfId="13919" xr:uid="{07EA8DED-F8E3-4504-B0E5-242E980E9404}"/>
    <cellStyle name="Énfasis2 2 2 10 3 2 3" xfId="13920" xr:uid="{A5C23568-9410-4955-846A-A8D41877D2CD}"/>
    <cellStyle name="Énfasis2 2 2 10 3 2 4" xfId="13921" xr:uid="{C8D47877-863D-4CC5-B4DF-DFF2E952C2F5}"/>
    <cellStyle name="Énfasis2 2 2 10 3 2 5" xfId="13922" xr:uid="{26E58F78-3659-4AC3-8D49-576B4907AB39}"/>
    <cellStyle name="Énfasis2 2 2 10 3 3" xfId="13923" xr:uid="{AEC2B36A-7C42-4AB2-A41F-2917213C3D62}"/>
    <cellStyle name="Énfasis2 2 2 10 3 4" xfId="13924" xr:uid="{C835B74A-6410-4286-BC4E-D52926593CE4}"/>
    <cellStyle name="Énfasis2 2 2 10 3 5" xfId="13925" xr:uid="{6FDA4940-C8FF-44B1-812B-6D4F405FFE76}"/>
    <cellStyle name="Énfasis2 2 2 10 4" xfId="13926" xr:uid="{4A1893C0-7696-4785-94D0-78DBA888B33D}"/>
    <cellStyle name="Énfasis2 2 2 10 5" xfId="13927" xr:uid="{E432B510-7FDB-4009-B01A-D490C2BB8B9B}"/>
    <cellStyle name="Énfasis2 2 2 10 6" xfId="13928" xr:uid="{D29BAFB7-4E28-4182-B0DD-3E90D1CD0978}"/>
    <cellStyle name="Énfasis2 2 2 10 7" xfId="13929" xr:uid="{E3EE7085-4F1D-4AF0-82FE-29F4BB5879DA}"/>
    <cellStyle name="Énfasis2 2 2 10 8" xfId="13930" xr:uid="{8D3B46C6-8512-4509-B0BF-428D5875ABF0}"/>
    <cellStyle name="Énfasis2 2 2 10 9" xfId="13931" xr:uid="{143F06E6-4CD2-4CF0-8120-73086065A1B9}"/>
    <cellStyle name="Énfasis2 2 2 11" xfId="13932" xr:uid="{1564AA97-0C91-4CDA-A57D-5345367B8B6C}"/>
    <cellStyle name="Énfasis2 2 2 12" xfId="13933" xr:uid="{8333B2A0-D0FC-42BD-A268-B65914B52BA3}"/>
    <cellStyle name="Énfasis2 2 2 13" xfId="13934" xr:uid="{57F5F025-155A-48CC-A37F-87789730CA18}"/>
    <cellStyle name="Énfasis2 2 2 2" xfId="13935" xr:uid="{14FB5190-C949-442D-9C78-941CC347478D}"/>
    <cellStyle name="Énfasis2 2 2 2 2" xfId="13936" xr:uid="{969CB388-871B-4039-9601-C5C0BED6C7B3}"/>
    <cellStyle name="Énfasis2 2 2 2 2 2" xfId="13937" xr:uid="{EC42E970-D2A0-489B-BCCF-34E194F313A0}"/>
    <cellStyle name="Énfasis2 2 2 2 2 2 2" xfId="13938" xr:uid="{191262C8-00E0-437B-832B-95FA06B2E996}"/>
    <cellStyle name="Énfasis2 2 2 2 2 2 2 2" xfId="13939" xr:uid="{261D1708-EA51-4D9F-B0BD-104444B445ED}"/>
    <cellStyle name="Énfasis2 2 2 2 2 2 2 2 2" xfId="13940" xr:uid="{551E85B2-D725-4F60-9791-64C40850A061}"/>
    <cellStyle name="Énfasis2 2 2 2 2 2 2 2 2 2" xfId="13941" xr:uid="{61816F67-6B7D-4A85-8721-2062CC0D2829}"/>
    <cellStyle name="Énfasis2 2 2 2 2 2 2 2 2 2 2" xfId="13942" xr:uid="{0A9D2A28-436C-4A8A-B730-12B0819D35F0}"/>
    <cellStyle name="Énfasis2 2 2 2 2 2 2 2 2 2 2 2" xfId="13943" xr:uid="{C29AFFB0-ECFF-4BC9-B35F-F704EA1236FF}"/>
    <cellStyle name="Énfasis2 2 2 2 2 2 2 2 2 2 2 2 2" xfId="13944" xr:uid="{2AE3E486-B77F-467B-AB88-AA9AC4F5BB67}"/>
    <cellStyle name="Énfasis2 2 2 2 2 2 2 2 2 2 2 3" xfId="13945" xr:uid="{405535FA-4B8C-4A6F-9DDD-6249068B8D17}"/>
    <cellStyle name="Énfasis2 2 2 2 2 2 2 2 2 2 2 4" xfId="13946" xr:uid="{8AAC46E0-34BC-4A3C-9CF4-6F8162F505E0}"/>
    <cellStyle name="Énfasis2 2 2 2 2 2 2 2 2 2 3" xfId="13947" xr:uid="{401F13C3-583F-45D1-A21B-86259BA6E6F9}"/>
    <cellStyle name="Énfasis2 2 2 2 2 2 2 2 2 2 4" xfId="13948" xr:uid="{BA591BDE-B207-4391-BA3E-CDC4FFF089B9}"/>
    <cellStyle name="Énfasis2 2 2 2 2 2 2 2 2 3" xfId="13949" xr:uid="{D27ADFCA-733F-4FD0-95CB-621B39C213F8}"/>
    <cellStyle name="Énfasis2 2 2 2 2 2 2 2 2 4" xfId="13950" xr:uid="{4F6BBAD3-6A63-4640-A1AD-401C2EAED570}"/>
    <cellStyle name="Énfasis2 2 2 2 2 2 2 2 2 5" xfId="13951" xr:uid="{E2280813-324E-41C4-AB8E-1055CB566B70}"/>
    <cellStyle name="Énfasis2 2 2 2 2 2 2 2 3" xfId="13952" xr:uid="{106F1238-119A-47CB-A0F6-608A51F561F1}"/>
    <cellStyle name="Énfasis2 2 2 2 2 2 2 2 3 10" xfId="13953" xr:uid="{B7D74C56-C7BF-473C-8DB1-DBBCA847A61C}"/>
    <cellStyle name="Énfasis2 2 2 2 2 2 2 2 3 11" xfId="13954" xr:uid="{653B51B9-F34F-419E-8857-5E24AD5DBED9}"/>
    <cellStyle name="Énfasis2 2 2 2 2 2 2 2 3 2" xfId="13955" xr:uid="{61A8ECD5-0623-4656-8DB0-2B53D5550423}"/>
    <cellStyle name="Énfasis2 2 2 2 2 2 2 2 3 2 2" xfId="13956" xr:uid="{D32A9F36-266C-4BB2-8220-9B4E69EEF43F}"/>
    <cellStyle name="Énfasis2 2 2 2 2 2 2 2 3 2 2 2" xfId="13957" xr:uid="{AD4C1103-4E0B-476A-B329-008DC3CBD7F1}"/>
    <cellStyle name="Énfasis2 2 2 2 2 2 2 2 3 2 2 3" xfId="13958" xr:uid="{F0214D34-69E3-4168-BB1A-ACBB016F42AF}"/>
    <cellStyle name="Énfasis2 2 2 2 2 2 2 2 3 2 2 4" xfId="13959" xr:uid="{B84E81CA-9DF4-477A-AB27-3AC1F76FFB7C}"/>
    <cellStyle name="Énfasis2 2 2 2 2 2 2 2 3 2 2 5" xfId="13960" xr:uid="{C9B123AF-07C3-49F5-AD52-5D33EB6AFD45}"/>
    <cellStyle name="Énfasis2 2 2 2 2 2 2 2 3 2 3" xfId="13961" xr:uid="{806F68F0-E554-42D8-BAD7-DE35795724A4}"/>
    <cellStyle name="Énfasis2 2 2 2 2 2 2 2 3 2 4" xfId="13962" xr:uid="{CDDD52B0-C6F5-4B7A-B426-1D3157E094AE}"/>
    <cellStyle name="Énfasis2 2 2 2 2 2 2 2 3 2 5" xfId="13963" xr:uid="{6710A077-2193-4031-92D1-2ADEA3B5B9EE}"/>
    <cellStyle name="Énfasis2 2 2 2 2 2 2 2 3 3" xfId="13964" xr:uid="{28A63E49-BDB0-4919-B972-CCB66F229C09}"/>
    <cellStyle name="Énfasis2 2 2 2 2 2 2 2 3 4" xfId="13965" xr:uid="{210FA2BA-51F8-4037-947D-943DF590313D}"/>
    <cellStyle name="Énfasis2 2 2 2 2 2 2 2 3 5" xfId="13966" xr:uid="{1A726237-CF29-4A9E-BFAA-BD3694113F56}"/>
    <cellStyle name="Énfasis2 2 2 2 2 2 2 2 3 6" xfId="13967" xr:uid="{5C438A5D-59E6-4E8F-AD58-F88238268775}"/>
    <cellStyle name="Énfasis2 2 2 2 2 2 2 2 3 7" xfId="13968" xr:uid="{4CB93A82-AB2E-403B-9363-B9732554184C}"/>
    <cellStyle name="Énfasis2 2 2 2 2 2 2 2 3 8" xfId="13969" xr:uid="{9E4B0C81-50BB-40C2-AE83-6BB131A13895}"/>
    <cellStyle name="Énfasis2 2 2 2 2 2 2 2 3 9" xfId="13970" xr:uid="{A0741659-2CFB-4501-A89B-324A5FAB893E}"/>
    <cellStyle name="Énfasis2 2 2 2 2 2 2 2 4" xfId="13971" xr:uid="{CDFD3F56-3BFC-486C-9E32-C35D4163AE78}"/>
    <cellStyle name="Énfasis2 2 2 2 2 2 2 2 5" xfId="13972" xr:uid="{E44E3137-DE2C-427D-8DD6-D5DC882026AF}"/>
    <cellStyle name="Énfasis2 2 2 2 2 2 2 3" xfId="13973" xr:uid="{30D81851-45F1-4342-8EB6-53852AC434E4}"/>
    <cellStyle name="Énfasis2 2 2 2 2 2 2 3 10" xfId="13974" xr:uid="{D0EFEBD6-847B-4C17-8077-B800E7D83BE1}"/>
    <cellStyle name="Énfasis2 2 2 2 2 2 2 3 11" xfId="13975" xr:uid="{537170CD-BA81-45C0-8EA6-3CCD408A485B}"/>
    <cellStyle name="Énfasis2 2 2 2 2 2 2 3 2" xfId="13976" xr:uid="{4C49FD99-994E-474B-8DE7-5C8260AA5559}"/>
    <cellStyle name="Énfasis2 2 2 2 2 2 2 3 2 10" xfId="13977" xr:uid="{4FD058C0-9B14-41FC-9A53-022CECCF862A}"/>
    <cellStyle name="Énfasis2 2 2 2 2 2 2 3 2 11" xfId="13978" xr:uid="{274F96D5-52E7-4760-A1D4-933298E3EFEF}"/>
    <cellStyle name="Énfasis2 2 2 2 2 2 2 3 2 2" xfId="13979" xr:uid="{2F12C4C2-E99A-4203-8C34-D182E01CD148}"/>
    <cellStyle name="Énfasis2 2 2 2 2 2 2 3 2 2 2" xfId="13980" xr:uid="{8BEFE801-E642-47D0-8929-766A524EB076}"/>
    <cellStyle name="Énfasis2 2 2 2 2 2 2 3 2 2 2 2" xfId="13981" xr:uid="{16598F12-951E-4ED5-BA04-EC13BB9AC29B}"/>
    <cellStyle name="Énfasis2 2 2 2 2 2 2 3 2 2 2 3" xfId="13982" xr:uid="{A43C02B5-7DB0-4529-9E6F-1771E4008003}"/>
    <cellStyle name="Énfasis2 2 2 2 2 2 2 3 2 2 2 4" xfId="13983" xr:uid="{32447A88-9C21-4890-B64B-632636AB9ADF}"/>
    <cellStyle name="Énfasis2 2 2 2 2 2 2 3 2 2 2 5" xfId="13984" xr:uid="{B222D65B-90BF-46FA-B167-CBDFA8B7E4C8}"/>
    <cellStyle name="Énfasis2 2 2 2 2 2 2 3 2 2 3" xfId="13985" xr:uid="{128BD8F4-3BB1-4B7D-84B5-EA89E309AB0E}"/>
    <cellStyle name="Énfasis2 2 2 2 2 2 2 3 2 2 4" xfId="13986" xr:uid="{CBB0F904-2D7F-4253-9E06-41CE090CE482}"/>
    <cellStyle name="Énfasis2 2 2 2 2 2 2 3 2 2 5" xfId="13987" xr:uid="{F0381B5C-6867-417F-B5DD-3623952E2A0E}"/>
    <cellStyle name="Énfasis2 2 2 2 2 2 2 3 2 3" xfId="13988" xr:uid="{C4A5F737-0495-470A-8B81-AD872BA9D923}"/>
    <cellStyle name="Énfasis2 2 2 2 2 2 2 3 2 4" xfId="13989" xr:uid="{DA663D48-E355-475D-A69F-2018E03F7DF2}"/>
    <cellStyle name="Énfasis2 2 2 2 2 2 2 3 2 5" xfId="13990" xr:uid="{A4D51AAA-DD2A-47B1-B976-8E5706651D3D}"/>
    <cellStyle name="Énfasis2 2 2 2 2 2 2 3 2 6" xfId="13991" xr:uid="{F619565D-D11D-4D58-86E4-822A3A87785D}"/>
    <cellStyle name="Énfasis2 2 2 2 2 2 2 3 2 7" xfId="13992" xr:uid="{7BFD88F5-2E8F-4D2A-9FB5-1EF89556DCAB}"/>
    <cellStyle name="Énfasis2 2 2 2 2 2 2 3 2 8" xfId="13993" xr:uid="{F5627B97-CCC1-43E7-88CF-97671F94EC80}"/>
    <cellStyle name="Énfasis2 2 2 2 2 2 2 3 2 9" xfId="13994" xr:uid="{C1D1363E-663A-4414-AAF8-D9152E8D6C52}"/>
    <cellStyle name="Énfasis2 2 2 2 2 2 2 3 3" xfId="13995" xr:uid="{2855B2FE-488F-4B0F-A2E3-D5DC0E71F70A}"/>
    <cellStyle name="Énfasis2 2 2 2 2 2 2 3 3 2" xfId="13996" xr:uid="{30AA2016-7B9C-4C0D-B3D8-E3EB09BF49F3}"/>
    <cellStyle name="Énfasis2 2 2 2 2 2 2 3 3 2 2" xfId="13997" xr:uid="{5F43A413-B034-4CF3-8523-C35277317168}"/>
    <cellStyle name="Énfasis2 2 2 2 2 2 2 3 3 2 3" xfId="13998" xr:uid="{B81A9D82-0C20-4091-A3F3-E1136F37E87A}"/>
    <cellStyle name="Énfasis2 2 2 2 2 2 2 3 3 2 4" xfId="13999" xr:uid="{F0A55FEC-9D6C-485A-BA7B-96CA25B16417}"/>
    <cellStyle name="Énfasis2 2 2 2 2 2 2 3 3 2 5" xfId="14000" xr:uid="{2D6B0E2D-FD8F-44F2-A073-A64007BE4313}"/>
    <cellStyle name="Énfasis2 2 2 2 2 2 2 3 3 3" xfId="14001" xr:uid="{91C5CF75-A821-4013-8032-0DA3C2AAAA8C}"/>
    <cellStyle name="Énfasis2 2 2 2 2 2 2 3 3 4" xfId="14002" xr:uid="{31737ECD-A0DE-47B2-8347-48BCF9A4A58A}"/>
    <cellStyle name="Énfasis2 2 2 2 2 2 2 3 3 5" xfId="14003" xr:uid="{8781234F-6B2C-4C54-A49D-D427B8EF2FC3}"/>
    <cellStyle name="Énfasis2 2 2 2 2 2 2 3 4" xfId="14004" xr:uid="{B763A42E-E130-4350-B22A-5767733DA260}"/>
    <cellStyle name="Énfasis2 2 2 2 2 2 2 3 5" xfId="14005" xr:uid="{900C121C-A4E0-4E56-A463-180A10BC2544}"/>
    <cellStyle name="Énfasis2 2 2 2 2 2 2 3 6" xfId="14006" xr:uid="{B699CABC-89FA-4796-B8A0-6CC826D701BA}"/>
    <cellStyle name="Énfasis2 2 2 2 2 2 2 3 7" xfId="14007" xr:uid="{BD781353-5D46-43EE-9EE4-397222C4A4F6}"/>
    <cellStyle name="Énfasis2 2 2 2 2 2 2 3 8" xfId="14008" xr:uid="{D1F2AAE1-19F6-4EBE-A7E6-FA3C46F60821}"/>
    <cellStyle name="Énfasis2 2 2 2 2 2 2 3 9" xfId="14009" xr:uid="{8BD84BD4-7394-45F0-92E2-6D9894AE48A8}"/>
    <cellStyle name="Énfasis2 2 2 2 2 2 2 4" xfId="14010" xr:uid="{E4574E0C-8E3C-49DE-8429-F378C74BCA01}"/>
    <cellStyle name="Énfasis2 2 2 2 2 2 2 5" xfId="14011" xr:uid="{030C5399-25AA-48F5-A3DB-221A2C3B0664}"/>
    <cellStyle name="Énfasis2 2 2 2 2 2 2 6" xfId="14012" xr:uid="{CD6FBD3E-0BC2-4459-BBAE-72EABA0B6A23}"/>
    <cellStyle name="Énfasis2 2 2 2 2 2 3" xfId="14013" xr:uid="{3CACBE02-4881-4015-9DC9-B54603B10E96}"/>
    <cellStyle name="Énfasis2 2 2 2 2 2 3 10" xfId="14014" xr:uid="{B7BD141B-B024-4E5F-8A18-21843E8A44EA}"/>
    <cellStyle name="Énfasis2 2 2 2 2 2 3 11" xfId="14015" xr:uid="{06F65D4E-90F8-458D-9882-631A99863F34}"/>
    <cellStyle name="Énfasis2 2 2 2 2 2 3 2" xfId="14016" xr:uid="{092F36A7-67F4-4E06-AD3F-1EFD27E63D8E}"/>
    <cellStyle name="Énfasis2 2 2 2 2 2 3 2 10" xfId="14017" xr:uid="{DA023BFF-999E-4D65-B567-2EE9409C33F0}"/>
    <cellStyle name="Énfasis2 2 2 2 2 2 3 2 11" xfId="14018" xr:uid="{65F1EAE2-21D2-4396-93A8-5BAB592DD82C}"/>
    <cellStyle name="Énfasis2 2 2 2 2 2 3 2 2" xfId="14019" xr:uid="{2DD32969-2AF3-455B-A12F-EF418BF7B74D}"/>
    <cellStyle name="Énfasis2 2 2 2 2 2 3 2 2 2" xfId="14020" xr:uid="{8BEFF722-BFF6-44B1-8368-89D1AB941880}"/>
    <cellStyle name="Énfasis2 2 2 2 2 2 3 2 2 2 2" xfId="14021" xr:uid="{315902E5-EF68-49A7-882C-BD8E5FE0C179}"/>
    <cellStyle name="Énfasis2 2 2 2 2 2 3 2 2 2 3" xfId="14022" xr:uid="{9C8E6348-9997-4AA4-8146-AD0C1675BEAD}"/>
    <cellStyle name="Énfasis2 2 2 2 2 2 3 2 2 2 4" xfId="14023" xr:uid="{F1A8A2A8-9C67-4C20-A905-07E9A47FAB5D}"/>
    <cellStyle name="Énfasis2 2 2 2 2 2 3 2 2 2 5" xfId="14024" xr:uid="{CD0D0BE8-EB32-485D-A383-787FC83F46CB}"/>
    <cellStyle name="Énfasis2 2 2 2 2 2 3 2 2 3" xfId="14025" xr:uid="{0F94650E-2E4F-4722-9198-2025DE673397}"/>
    <cellStyle name="Énfasis2 2 2 2 2 2 3 2 2 4" xfId="14026" xr:uid="{20ACB9A9-B01F-42F2-A2D3-65301F279BAF}"/>
    <cellStyle name="Énfasis2 2 2 2 2 2 3 2 2 5" xfId="14027" xr:uid="{DB2F9945-06D3-4C3F-ADCF-035D9B377C87}"/>
    <cellStyle name="Énfasis2 2 2 2 2 2 3 2 3" xfId="14028" xr:uid="{47297A79-B457-45D3-8BEB-35036AF381FC}"/>
    <cellStyle name="Énfasis2 2 2 2 2 2 3 2 4" xfId="14029" xr:uid="{DF1A3D4D-CE62-4FB0-8E1D-C267C4A3B80B}"/>
    <cellStyle name="Énfasis2 2 2 2 2 2 3 2 5" xfId="14030" xr:uid="{E4FAA4EE-9AF7-47AC-B42B-DF7221ACA311}"/>
    <cellStyle name="Énfasis2 2 2 2 2 2 3 2 6" xfId="14031" xr:uid="{180F5CFC-D348-494D-932F-9E0D49C5BDD5}"/>
    <cellStyle name="Énfasis2 2 2 2 2 2 3 2 7" xfId="14032" xr:uid="{36C8D27B-34A0-472D-8682-90AAEB0593F3}"/>
    <cellStyle name="Énfasis2 2 2 2 2 2 3 2 8" xfId="14033" xr:uid="{7318D669-F629-4573-84A5-FE2A3541D2B6}"/>
    <cellStyle name="Énfasis2 2 2 2 2 2 3 2 9" xfId="14034" xr:uid="{4FB2B597-D44B-4549-BF2E-39BB2E546704}"/>
    <cellStyle name="Énfasis2 2 2 2 2 2 3 3" xfId="14035" xr:uid="{4799948A-65EE-416F-A8A9-7F831ABDBB92}"/>
    <cellStyle name="Énfasis2 2 2 2 2 2 3 3 2" xfId="14036" xr:uid="{0944BA98-DD4F-4AB2-A1F6-7837DCD56037}"/>
    <cellStyle name="Énfasis2 2 2 2 2 2 3 3 2 2" xfId="14037" xr:uid="{29368049-7465-4496-B96F-DBC1BC10258A}"/>
    <cellStyle name="Énfasis2 2 2 2 2 2 3 3 2 3" xfId="14038" xr:uid="{E2493134-5DDA-4BF3-9779-4C1D541C2333}"/>
    <cellStyle name="Énfasis2 2 2 2 2 2 3 3 2 4" xfId="14039" xr:uid="{63610DDE-ADBB-4C19-BF51-09C302384333}"/>
    <cellStyle name="Énfasis2 2 2 2 2 2 3 3 2 5" xfId="14040" xr:uid="{27B841BF-3E68-4622-AE94-6CF5081E51EF}"/>
    <cellStyle name="Énfasis2 2 2 2 2 2 3 3 3" xfId="14041" xr:uid="{CD6CC060-60BA-4510-B427-0FC811B5BC22}"/>
    <cellStyle name="Énfasis2 2 2 2 2 2 3 3 4" xfId="14042" xr:uid="{7E616056-4C21-47BD-9195-B385183EB0EC}"/>
    <cellStyle name="Énfasis2 2 2 2 2 2 3 3 5" xfId="14043" xr:uid="{2E83519A-DD2C-4425-8C6F-4403089315EC}"/>
    <cellStyle name="Énfasis2 2 2 2 2 2 3 4" xfId="14044" xr:uid="{206FE40A-1A1E-4D0A-80E4-050E58A1E6B2}"/>
    <cellStyle name="Énfasis2 2 2 2 2 2 3 5" xfId="14045" xr:uid="{5B86D763-09CB-4B9A-959E-824FD31AFEF6}"/>
    <cellStyle name="Énfasis2 2 2 2 2 2 3 6" xfId="14046" xr:uid="{0D412E6D-C373-44B9-9B27-029736C7B1E7}"/>
    <cellStyle name="Énfasis2 2 2 2 2 2 3 7" xfId="14047" xr:uid="{9BDBB0F9-8963-4B33-8570-DB8F2EBC11B9}"/>
    <cellStyle name="Énfasis2 2 2 2 2 2 3 8" xfId="14048" xr:uid="{6C62F2F4-D221-4B93-B327-8C4A23A87206}"/>
    <cellStyle name="Énfasis2 2 2 2 2 2 3 9" xfId="14049" xr:uid="{33AA7609-41AF-46ED-8774-A06A58016242}"/>
    <cellStyle name="Énfasis2 2 2 2 2 2 4" xfId="14050" xr:uid="{C4833412-5AAA-4555-82EE-BD4CA30C98EF}"/>
    <cellStyle name="Énfasis2 2 2 2 2 2 5" xfId="14051" xr:uid="{58FA5396-0C6E-42DC-937C-82A397F3ADA8}"/>
    <cellStyle name="Énfasis2 2 2 2 2 2 6" xfId="14052" xr:uid="{C730C4FF-5035-4C04-8D5E-BF31FCD239DA}"/>
    <cellStyle name="Énfasis2 2 2 2 2 3" xfId="14053" xr:uid="{FC54815E-C8B0-4040-9357-29CC4B15C4D4}"/>
    <cellStyle name="Énfasis2 2 2 2 2 4" xfId="14054" xr:uid="{5C6969C8-FED5-4024-BFF8-B78C4B30A665}"/>
    <cellStyle name="Énfasis2 2 2 2 2 4 10" xfId="14055" xr:uid="{5CF0177F-2A4C-4183-8108-7500B7A40A85}"/>
    <cellStyle name="Énfasis2 2 2 2 2 4 11" xfId="14056" xr:uid="{1AA84E27-1132-42D3-ABC5-97CE3B7B8CF4}"/>
    <cellStyle name="Énfasis2 2 2 2 2 4 2" xfId="14057" xr:uid="{6D3FB7A2-5EE6-44C0-BA67-BC8A148CE584}"/>
    <cellStyle name="Énfasis2 2 2 2 2 4 2 10" xfId="14058" xr:uid="{E068A5AC-3FE4-4920-BDD7-215C4FB9B5FD}"/>
    <cellStyle name="Énfasis2 2 2 2 2 4 2 11" xfId="14059" xr:uid="{87D03994-4997-42A8-8A07-D3A3259D9070}"/>
    <cellStyle name="Énfasis2 2 2 2 2 4 2 2" xfId="14060" xr:uid="{0E7F7CC3-1E01-41C6-AAD7-70141F051D29}"/>
    <cellStyle name="Énfasis2 2 2 2 2 4 2 2 2" xfId="14061" xr:uid="{C8135F01-A23E-4AB2-B9DE-B8130BD1F4E8}"/>
    <cellStyle name="Énfasis2 2 2 2 2 4 2 2 2 2" xfId="14062" xr:uid="{3EA5DF7E-27F4-4F95-A058-7AD523C65FE9}"/>
    <cellStyle name="Énfasis2 2 2 2 2 4 2 2 2 3" xfId="14063" xr:uid="{D16B7FA0-AAC7-4FBC-AFAA-ED46F733D8CD}"/>
    <cellStyle name="Énfasis2 2 2 2 2 4 2 2 2 4" xfId="14064" xr:uid="{8C0F5D2E-CE87-4E63-B76F-5D8EA8DFF6DE}"/>
    <cellStyle name="Énfasis2 2 2 2 2 4 2 2 2 5" xfId="14065" xr:uid="{4F38EBE3-D29E-4BEC-8AB9-5AB17DDD882E}"/>
    <cellStyle name="Énfasis2 2 2 2 2 4 2 2 3" xfId="14066" xr:uid="{EA24E303-D8DB-4E36-A354-75BEDAA1DE22}"/>
    <cellStyle name="Énfasis2 2 2 2 2 4 2 2 4" xfId="14067" xr:uid="{92A71E28-838B-4EC1-8C71-4048179DA1FD}"/>
    <cellStyle name="Énfasis2 2 2 2 2 4 2 2 5" xfId="14068" xr:uid="{621CB5C9-52B1-4C00-874C-1D62860B898E}"/>
    <cellStyle name="Énfasis2 2 2 2 2 4 2 3" xfId="14069" xr:uid="{37E99C59-353D-4791-BD11-85A23667F25C}"/>
    <cellStyle name="Énfasis2 2 2 2 2 4 2 4" xfId="14070" xr:uid="{AC9D1708-EE8C-4897-8D9E-2B95028017A4}"/>
    <cellStyle name="Énfasis2 2 2 2 2 4 2 5" xfId="14071" xr:uid="{A37B1D5A-F8F3-493A-9034-B240FEAB6EF9}"/>
    <cellStyle name="Énfasis2 2 2 2 2 4 2 6" xfId="14072" xr:uid="{92CA07E0-5FF6-4FD6-97CF-A4C05A154E46}"/>
    <cellStyle name="Énfasis2 2 2 2 2 4 2 7" xfId="14073" xr:uid="{4EA1F15B-574A-43CD-862A-D994606D3359}"/>
    <cellStyle name="Énfasis2 2 2 2 2 4 2 8" xfId="14074" xr:uid="{B272EA28-BABF-452F-8272-7D33379B9DB6}"/>
    <cellStyle name="Énfasis2 2 2 2 2 4 2 9" xfId="14075" xr:uid="{5B1AF06B-4484-4048-A47C-7E5151036B11}"/>
    <cellStyle name="Énfasis2 2 2 2 2 4 3" xfId="14076" xr:uid="{51D0F873-57FB-48DD-875A-B27B8F19BD49}"/>
    <cellStyle name="Énfasis2 2 2 2 2 4 3 2" xfId="14077" xr:uid="{6DCBA69B-EB43-4E0E-8611-6BC16692EE8F}"/>
    <cellStyle name="Énfasis2 2 2 2 2 4 3 2 2" xfId="14078" xr:uid="{3FE0172D-A034-4C7A-8D85-D65D9A92FE96}"/>
    <cellStyle name="Énfasis2 2 2 2 2 4 3 2 3" xfId="14079" xr:uid="{3AB004AA-3CEE-4EF4-8ED6-6465B9D8933C}"/>
    <cellStyle name="Énfasis2 2 2 2 2 4 3 2 4" xfId="14080" xr:uid="{BC1244BE-259D-42E4-8CA7-4D8066107D23}"/>
    <cellStyle name="Énfasis2 2 2 2 2 4 3 2 5" xfId="14081" xr:uid="{AF98F62B-615C-4E80-A5B1-704B8E4C0121}"/>
    <cellStyle name="Énfasis2 2 2 2 2 4 3 3" xfId="14082" xr:uid="{AD7F6A91-334D-4F41-A340-0CE13E9FDBA2}"/>
    <cellStyle name="Énfasis2 2 2 2 2 4 3 4" xfId="14083" xr:uid="{0F740AFA-C95D-4FA7-BA37-4739DF662EE8}"/>
    <cellStyle name="Énfasis2 2 2 2 2 4 3 5" xfId="14084" xr:uid="{9A866505-FAD5-4B3D-B107-F63A01A1DED6}"/>
    <cellStyle name="Énfasis2 2 2 2 2 4 4" xfId="14085" xr:uid="{BA682E3B-2FA9-4CF8-A1E0-1242F8B762B9}"/>
    <cellStyle name="Énfasis2 2 2 2 2 4 5" xfId="14086" xr:uid="{57619B66-C144-4625-8BF3-3D9B667B568E}"/>
    <cellStyle name="Énfasis2 2 2 2 2 4 6" xfId="14087" xr:uid="{A72BAC66-F783-4AFF-9EEB-DA6F4BE554DF}"/>
    <cellStyle name="Énfasis2 2 2 2 2 4 7" xfId="14088" xr:uid="{5E119EDC-EE21-4430-BC85-C8FA67960D73}"/>
    <cellStyle name="Énfasis2 2 2 2 2 4 8" xfId="14089" xr:uid="{2DE03664-D818-4AA2-84C7-05536EE77F05}"/>
    <cellStyle name="Énfasis2 2 2 2 2 4 9" xfId="14090" xr:uid="{2B4B3AC7-5C08-4B1A-A7F9-4C3539054B8B}"/>
    <cellStyle name="Énfasis2 2 2 2 2 5" xfId="14091" xr:uid="{DC10F2E4-FA6F-42C5-B4A6-C1FD0633DDF5}"/>
    <cellStyle name="Énfasis2 2 2 2 2 6" xfId="14092" xr:uid="{703B71FA-0E7A-4009-B41B-966B8CF1C48C}"/>
    <cellStyle name="Énfasis2 2 2 2 2 7" xfId="14093" xr:uid="{A7379D96-5FB1-4F54-A83C-4DB6EDCA45EE}"/>
    <cellStyle name="Énfasis2 2 2 2 3" xfId="14094" xr:uid="{4396923C-3244-441F-AE3E-A5E173F2A818}"/>
    <cellStyle name="Énfasis2 2 2 2 4" xfId="14095" xr:uid="{14D883D5-9762-44D3-B83F-50292995E3AD}"/>
    <cellStyle name="Énfasis2 2 2 2 5" xfId="14096" xr:uid="{119848E6-24C6-4658-A877-31767D4F18FF}"/>
    <cellStyle name="Énfasis2 2 2 2 5 10" xfId="14097" xr:uid="{77604E7C-23FA-4CFD-8EFB-418C79EB870B}"/>
    <cellStyle name="Énfasis2 2 2 2 5 11" xfId="14098" xr:uid="{0DD440F4-1476-4F9D-8C0A-FA10A8DCEC01}"/>
    <cellStyle name="Énfasis2 2 2 2 5 2" xfId="14099" xr:uid="{262C192D-5B11-4895-A488-6A391766F9B6}"/>
    <cellStyle name="Énfasis2 2 2 2 5 2 10" xfId="14100" xr:uid="{D03BB0ED-7AEA-40DF-AADC-B0CF93A63061}"/>
    <cellStyle name="Énfasis2 2 2 2 5 2 11" xfId="14101" xr:uid="{F5D86033-A29D-4937-B769-B2E6670837FB}"/>
    <cellStyle name="Énfasis2 2 2 2 5 2 2" xfId="14102" xr:uid="{E45049A0-FB10-4F49-A919-C9FB6CCA5602}"/>
    <cellStyle name="Énfasis2 2 2 2 5 2 2 2" xfId="14103" xr:uid="{4FF3A747-D380-409F-A045-504CE49A20D7}"/>
    <cellStyle name="Énfasis2 2 2 2 5 2 2 2 2" xfId="14104" xr:uid="{D491F6F3-74EE-4AC5-9C3D-E58A90C3E21A}"/>
    <cellStyle name="Énfasis2 2 2 2 5 2 2 2 3" xfId="14105" xr:uid="{7DE65FB2-6C5B-4C9C-81A7-3B0DC17050E3}"/>
    <cellStyle name="Énfasis2 2 2 2 5 2 2 2 4" xfId="14106" xr:uid="{CB70B0F5-C71A-42C9-B238-F485374F3A71}"/>
    <cellStyle name="Énfasis2 2 2 2 5 2 2 2 5" xfId="14107" xr:uid="{7D8D80E8-4917-4CC9-9499-DEDA30824704}"/>
    <cellStyle name="Énfasis2 2 2 2 5 2 2 3" xfId="14108" xr:uid="{FBACB06E-CE5C-41E7-AF7F-87141EEF9FD2}"/>
    <cellStyle name="Énfasis2 2 2 2 5 2 2 4" xfId="14109" xr:uid="{5FADA807-FEA4-474A-93C7-864B92BE7A94}"/>
    <cellStyle name="Énfasis2 2 2 2 5 2 2 5" xfId="14110" xr:uid="{76F30F4B-B5C6-4EC1-82C5-A1F97DC2301F}"/>
    <cellStyle name="Énfasis2 2 2 2 5 2 3" xfId="14111" xr:uid="{3924EEAB-9765-4FA8-B80D-67D6E5FB6E41}"/>
    <cellStyle name="Énfasis2 2 2 2 5 2 4" xfId="14112" xr:uid="{21FFABC1-5CC3-4AF4-98D7-25EE400A0054}"/>
    <cellStyle name="Énfasis2 2 2 2 5 2 5" xfId="14113" xr:uid="{29BC0E71-23D4-4736-90DB-D0C8014EB867}"/>
    <cellStyle name="Énfasis2 2 2 2 5 2 6" xfId="14114" xr:uid="{6A9F8F28-2155-4F07-AA07-DD24EF49A096}"/>
    <cellStyle name="Énfasis2 2 2 2 5 2 7" xfId="14115" xr:uid="{8FEC5650-42F3-41A3-832C-A7F91223B104}"/>
    <cellStyle name="Énfasis2 2 2 2 5 2 8" xfId="14116" xr:uid="{A3C1773F-DB8F-42C0-9F6D-00F2D44BB181}"/>
    <cellStyle name="Énfasis2 2 2 2 5 2 9" xfId="14117" xr:uid="{D514D83C-A5F0-495F-B8C9-64680DBFEC38}"/>
    <cellStyle name="Énfasis2 2 2 2 5 3" xfId="14118" xr:uid="{F2AA6FB0-20CB-4543-8E1F-5504D256C34A}"/>
    <cellStyle name="Énfasis2 2 2 2 5 3 2" xfId="14119" xr:uid="{52D52243-E1A3-4374-BAFE-A57E247EF30B}"/>
    <cellStyle name="Énfasis2 2 2 2 5 3 2 2" xfId="14120" xr:uid="{278ABDE8-CA45-4150-8E9D-280FA97356E4}"/>
    <cellStyle name="Énfasis2 2 2 2 5 3 2 3" xfId="14121" xr:uid="{ABF36CBD-15E5-41CD-A449-40C450F888D4}"/>
    <cellStyle name="Énfasis2 2 2 2 5 3 2 4" xfId="14122" xr:uid="{267DB365-9448-4C33-AB6F-34E544817269}"/>
    <cellStyle name="Énfasis2 2 2 2 5 3 2 5" xfId="14123" xr:uid="{EB81D5F3-5512-4914-9451-9F2A9B6BAF3F}"/>
    <cellStyle name="Énfasis2 2 2 2 5 3 3" xfId="14124" xr:uid="{C30512C5-D613-459D-B7D6-8AA43FCF23D9}"/>
    <cellStyle name="Énfasis2 2 2 2 5 3 4" xfId="14125" xr:uid="{79BDBAC7-DFF8-4D76-9B62-5C7522F28C10}"/>
    <cellStyle name="Énfasis2 2 2 2 5 3 5" xfId="14126" xr:uid="{F99C996F-C60D-40BE-90C2-8695A65C5211}"/>
    <cellStyle name="Énfasis2 2 2 2 5 4" xfId="14127" xr:uid="{2582170E-AE38-40E6-B6A5-63697B67D65B}"/>
    <cellStyle name="Énfasis2 2 2 2 5 5" xfId="14128" xr:uid="{7E993019-DFCF-417A-882A-83873D926B96}"/>
    <cellStyle name="Énfasis2 2 2 2 5 6" xfId="14129" xr:uid="{B9EE2CEF-6715-42C3-9808-4D33F1ECC76D}"/>
    <cellStyle name="Énfasis2 2 2 2 5 7" xfId="14130" xr:uid="{5F8A4ED9-CDE5-4242-91CC-07CFDB64D3B1}"/>
    <cellStyle name="Énfasis2 2 2 2 5 8" xfId="14131" xr:uid="{3533FFBD-34EB-4342-B4BC-CB54B1B962A5}"/>
    <cellStyle name="Énfasis2 2 2 2 5 9" xfId="14132" xr:uid="{18C7EBB7-5C4F-4FB5-B516-6562FAD165ED}"/>
    <cellStyle name="Énfasis2 2 2 2 6" xfId="14133" xr:uid="{659947B2-EAD0-4B44-994D-EA11874DE565}"/>
    <cellStyle name="Énfasis2 2 2 2 7" xfId="14134" xr:uid="{9BD8BC52-C78B-4494-B4D6-65FF81D0F648}"/>
    <cellStyle name="Énfasis2 2 2 2 8" xfId="14135" xr:uid="{4464F4D0-BA80-46C4-BDE7-41FACA529C23}"/>
    <cellStyle name="Énfasis2 2 2 3" xfId="14136" xr:uid="{D9C5C82C-EA47-4C43-989F-C5F2BAB27941}"/>
    <cellStyle name="Énfasis2 2 2 4" xfId="14137" xr:uid="{BA749B1B-981E-4EF3-BA00-26083966733A}"/>
    <cellStyle name="Énfasis2 2 2 5" xfId="14138" xr:uid="{0D86F01A-539C-4F93-9618-88F7EA623DF8}"/>
    <cellStyle name="Énfasis2 2 2 6" xfId="14139" xr:uid="{7E3C304A-3CB4-4428-86A8-4EB2B6494AC7}"/>
    <cellStyle name="Énfasis2 2 2 7" xfId="14140" xr:uid="{158C9B05-366C-482B-A666-BFCA81E38E74}"/>
    <cellStyle name="Énfasis2 2 2 8" xfId="14141" xr:uid="{F351FA21-7E3F-421A-AE5C-64E3201610DF}"/>
    <cellStyle name="Énfasis2 2 2 8 2" xfId="14142" xr:uid="{6F5076BC-CB2A-4EBF-A508-A48868C3CD17}"/>
    <cellStyle name="Énfasis2 2 2 9" xfId="14143" xr:uid="{6F97441B-B527-482A-BD8D-05AF988FCA8C}"/>
    <cellStyle name="Énfasis2 2 3" xfId="14144" xr:uid="{39A11CC4-9E99-4B1A-8528-869D2EB720ED}"/>
    <cellStyle name="Énfasis2 2 4" xfId="14145" xr:uid="{7622D93A-F72C-4DE5-9D47-3891C8D69EC6}"/>
    <cellStyle name="Énfasis2 2 4 10" xfId="14146" xr:uid="{1D90BC2E-2484-4FA7-B350-D18CB22E2501}"/>
    <cellStyle name="Énfasis2 2 4 11" xfId="14147" xr:uid="{64EE060E-219A-4C45-AB6D-FDF29A3EB267}"/>
    <cellStyle name="Énfasis2 2 4 12" xfId="14148" xr:uid="{71FFC879-39A5-422A-BFF3-81A3002CA1E7}"/>
    <cellStyle name="Énfasis2 2 4 2" xfId="14149" xr:uid="{3F6EB11C-D077-44E5-BCB6-F66C135A9C01}"/>
    <cellStyle name="Énfasis2 2 4 2 10" xfId="14150" xr:uid="{338884DE-EC55-47B0-9C3B-83B6CCEAF0ED}"/>
    <cellStyle name="Énfasis2 2 4 2 11" xfId="14151" xr:uid="{7BA14360-572F-4382-9EED-BA53ACF00F81}"/>
    <cellStyle name="Énfasis2 2 4 2 12" xfId="14152" xr:uid="{CABDC810-A0DB-4FA7-8BAD-748CE1BB4E63}"/>
    <cellStyle name="Énfasis2 2 4 2 2" xfId="14153" xr:uid="{DE4223FF-B19D-43F2-B011-7DD416DD8EDD}"/>
    <cellStyle name="Énfasis2 2 4 2 2 10" xfId="14154" xr:uid="{365B5476-95C7-4D9B-9E98-BFCA1EDF6B1F}"/>
    <cellStyle name="Énfasis2 2 4 2 2 11" xfId="14155" xr:uid="{EAD4CC61-79BE-4B55-B90C-15F6923BD5CD}"/>
    <cellStyle name="Énfasis2 2 4 2 2 2" xfId="14156" xr:uid="{54439AA4-5C6E-4ED2-B55B-1B597235FA05}"/>
    <cellStyle name="Énfasis2 2 4 2 2 2 10" xfId="14157" xr:uid="{AB709190-BB88-4A68-8840-76D0F5B9C7D0}"/>
    <cellStyle name="Énfasis2 2 4 2 2 2 11" xfId="14158" xr:uid="{9C04C5C2-E716-4E35-B337-FEF9C1F56E0C}"/>
    <cellStyle name="Énfasis2 2 4 2 2 2 2" xfId="14159" xr:uid="{5EBCB32C-DFD6-494E-872C-80EDCE7CDAF9}"/>
    <cellStyle name="Énfasis2 2 4 2 2 2 2 2" xfId="14160" xr:uid="{16CDDFEA-4956-481C-B3D1-828D5C9FDD4F}"/>
    <cellStyle name="Énfasis2 2 4 2 2 2 2 2 2" xfId="14161" xr:uid="{17258F63-47DF-420E-B2E1-E1A1FE487A3D}"/>
    <cellStyle name="Énfasis2 2 4 2 2 2 2 2 3" xfId="14162" xr:uid="{A27C4E61-EFA5-4520-8615-46E0C7FCF305}"/>
    <cellStyle name="Énfasis2 2 4 2 2 2 2 2 4" xfId="14163" xr:uid="{659001C4-7706-47C8-8CBB-27CFFD71A8BF}"/>
    <cellStyle name="Énfasis2 2 4 2 2 2 2 2 5" xfId="14164" xr:uid="{E368EFF7-7689-4342-9CEF-61A14B687CC4}"/>
    <cellStyle name="Énfasis2 2 4 2 2 2 2 3" xfId="14165" xr:uid="{07E58F7A-E767-4481-8660-031A515CD592}"/>
    <cellStyle name="Énfasis2 2 4 2 2 2 2 4" xfId="14166" xr:uid="{08672E9B-5097-44D7-B54B-8BF99FBB8E7E}"/>
    <cellStyle name="Énfasis2 2 4 2 2 2 2 5" xfId="14167" xr:uid="{F1CB8DBF-9790-4E3E-90CC-F34642D6A884}"/>
    <cellStyle name="Énfasis2 2 4 2 2 2 3" xfId="14168" xr:uid="{5A77FBF8-170F-44F7-91CA-8F6A3028F375}"/>
    <cellStyle name="Énfasis2 2 4 2 2 2 4" xfId="14169" xr:uid="{9CE19D00-FAF0-420C-B071-BBF1596D683F}"/>
    <cellStyle name="Énfasis2 2 4 2 2 2 5" xfId="14170" xr:uid="{B562AC83-CBAA-4569-8EED-56A089B355C5}"/>
    <cellStyle name="Énfasis2 2 4 2 2 2 6" xfId="14171" xr:uid="{40646BCB-B50A-4422-B26B-E4D1CA441427}"/>
    <cellStyle name="Énfasis2 2 4 2 2 2 7" xfId="14172" xr:uid="{E96629FB-469F-4314-9178-A148820CCC9E}"/>
    <cellStyle name="Énfasis2 2 4 2 2 2 8" xfId="14173" xr:uid="{6C3ECC80-C5BF-40CE-AE9E-C0290444C4F2}"/>
    <cellStyle name="Énfasis2 2 4 2 2 2 9" xfId="14174" xr:uid="{739DBB2D-A6A5-4609-85EE-822776A62E97}"/>
    <cellStyle name="Énfasis2 2 4 2 2 3" xfId="14175" xr:uid="{CE4FA39F-9A58-4A21-85CC-EA208D53C078}"/>
    <cellStyle name="Énfasis2 2 4 2 2 3 2" xfId="14176" xr:uid="{6AC86934-A6CB-445F-AC48-FE53675F1C6F}"/>
    <cellStyle name="Énfasis2 2 4 2 2 3 2 2" xfId="14177" xr:uid="{B7788F0A-FF3A-496F-8C80-0CDDE4A22C54}"/>
    <cellStyle name="Énfasis2 2 4 2 2 3 2 3" xfId="14178" xr:uid="{95134C27-58E2-4414-B157-96BDB04032CE}"/>
    <cellStyle name="Énfasis2 2 4 2 2 3 2 4" xfId="14179" xr:uid="{2A5D27C3-B9BE-4B69-A599-64CA6CC68EB2}"/>
    <cellStyle name="Énfasis2 2 4 2 2 3 2 5" xfId="14180" xr:uid="{6A396DAF-0D6A-4224-9F27-9D2B1377B330}"/>
    <cellStyle name="Énfasis2 2 4 2 2 3 3" xfId="14181" xr:uid="{CAEAE3FF-9874-4D83-938E-5E3CBF0B839D}"/>
    <cellStyle name="Énfasis2 2 4 2 2 3 4" xfId="14182" xr:uid="{10650907-C260-41BF-AB55-2BD2E49D60D7}"/>
    <cellStyle name="Énfasis2 2 4 2 2 3 5" xfId="14183" xr:uid="{60477085-0D31-4643-8396-0685ED9A18CB}"/>
    <cellStyle name="Énfasis2 2 4 2 2 4" xfId="14184" xr:uid="{551F454F-D6F3-484D-83C8-780EE129B040}"/>
    <cellStyle name="Énfasis2 2 4 2 2 5" xfId="14185" xr:uid="{5F72068A-7EDA-4970-B776-F22004C4839A}"/>
    <cellStyle name="Énfasis2 2 4 2 2 6" xfId="14186" xr:uid="{8A5C43E9-A291-4B23-8208-EBF3BB1B855D}"/>
    <cellStyle name="Énfasis2 2 4 2 2 7" xfId="14187" xr:uid="{264DC95E-2B68-4B89-93FC-A8199619A3C9}"/>
    <cellStyle name="Énfasis2 2 4 2 2 8" xfId="14188" xr:uid="{ADE14561-0ECA-4EB6-A514-37047A3C6E89}"/>
    <cellStyle name="Énfasis2 2 4 2 2 9" xfId="14189" xr:uid="{8703149C-B982-41B3-A578-BB9471E79D2D}"/>
    <cellStyle name="Énfasis2 2 4 2 3" xfId="14190" xr:uid="{4203A627-A742-4732-9ECE-0BC4D00F7F83}"/>
    <cellStyle name="Énfasis2 2 4 2 3 2" xfId="14191" xr:uid="{6283F50A-AD69-4C63-BCD3-0E90F939BA85}"/>
    <cellStyle name="Énfasis2 2 4 2 3 2 2" xfId="14192" xr:uid="{24909CB1-4CE3-43A7-B4D5-66CC9673F0FE}"/>
    <cellStyle name="Énfasis2 2 4 2 3 2 3" xfId="14193" xr:uid="{740FFC34-E8FF-48CE-AD7A-D848FCE602EC}"/>
    <cellStyle name="Énfasis2 2 4 2 3 2 4" xfId="14194" xr:uid="{AB8884C5-BE30-444B-8182-612DBAF523B5}"/>
    <cellStyle name="Énfasis2 2 4 2 3 2 5" xfId="14195" xr:uid="{F37F68C2-471C-490E-A961-12B8A5E0E3AE}"/>
    <cellStyle name="Énfasis2 2 4 2 3 3" xfId="14196" xr:uid="{70187706-7BBA-4E11-A218-2918F6B0C597}"/>
    <cellStyle name="Énfasis2 2 4 2 3 4" xfId="14197" xr:uid="{CCADC314-165E-4FBE-B96B-0F794ED0B7B4}"/>
    <cellStyle name="Énfasis2 2 4 2 3 5" xfId="14198" xr:uid="{8692AC3E-6C70-4672-9CD2-888E5D5D4671}"/>
    <cellStyle name="Énfasis2 2 4 2 4" xfId="14199" xr:uid="{CB39A952-7214-4176-9855-9D8AFB8EEF31}"/>
    <cellStyle name="Énfasis2 2 4 2 5" xfId="14200" xr:uid="{243BA17B-C584-462C-8FF3-D08AD9DD3DA5}"/>
    <cellStyle name="Énfasis2 2 4 2 6" xfId="14201" xr:uid="{F8CC96CB-4EC6-4DEB-AA00-9C20579B7771}"/>
    <cellStyle name="Énfasis2 2 4 2 7" xfId="14202" xr:uid="{A836B3E5-9430-4D2D-9312-8A61ABED44F7}"/>
    <cellStyle name="Énfasis2 2 4 2 8" xfId="14203" xr:uid="{0BB2C28B-0C20-49CA-A0A7-21D179ABE979}"/>
    <cellStyle name="Énfasis2 2 4 2 9" xfId="14204" xr:uid="{FC9A7780-F28D-401B-BF84-E631D89B7AE4}"/>
    <cellStyle name="Énfasis2 2 4 3" xfId="14205" xr:uid="{F8732E20-68BE-4D01-9D80-4F54C6249CAE}"/>
    <cellStyle name="Énfasis2 2 4 3 10" xfId="14206" xr:uid="{450E6ADD-C99D-489C-AC74-73A0024AC1E4}"/>
    <cellStyle name="Énfasis2 2 4 3 11" xfId="14207" xr:uid="{8A28F89B-77A0-4015-9A93-4A5DA2D7F9AD}"/>
    <cellStyle name="Énfasis2 2 4 3 2" xfId="14208" xr:uid="{42D5BF4A-0DAD-4E8F-A4C4-220171B9F52C}"/>
    <cellStyle name="Énfasis2 2 4 3 2 2" xfId="14209" xr:uid="{A3BD57D0-4914-4F05-8E0A-0D3FD275F8E5}"/>
    <cellStyle name="Énfasis2 2 4 3 2 2 2" xfId="14210" xr:uid="{E6DCFB6F-BFA2-458C-91CD-CA59C100C7F5}"/>
    <cellStyle name="Énfasis2 2 4 3 2 2 3" xfId="14211" xr:uid="{5555E65C-F761-4BE8-A7B0-074076E18A24}"/>
    <cellStyle name="Énfasis2 2 4 3 2 2 4" xfId="14212" xr:uid="{C989857C-C90A-4585-A564-433790F10DFB}"/>
    <cellStyle name="Énfasis2 2 4 3 2 2 5" xfId="14213" xr:uid="{EF52AB12-3D11-446B-875F-B45BD2B8303D}"/>
    <cellStyle name="Énfasis2 2 4 3 2 3" xfId="14214" xr:uid="{EFE9C38F-2780-4911-B9B1-32C5595B420A}"/>
    <cellStyle name="Énfasis2 2 4 3 2 4" xfId="14215" xr:uid="{D346F936-D4FE-4E6F-BED1-50B2BFC9F6EB}"/>
    <cellStyle name="Énfasis2 2 4 3 2 5" xfId="14216" xr:uid="{910A25C2-A006-4363-8E82-B37E86B26836}"/>
    <cellStyle name="Énfasis2 2 4 3 3" xfId="14217" xr:uid="{7CC01834-914D-4A48-A104-04187D52B4BC}"/>
    <cellStyle name="Énfasis2 2 4 3 4" xfId="14218" xr:uid="{56F16806-04B6-4109-B12D-843C9D325E8C}"/>
    <cellStyle name="Énfasis2 2 4 3 5" xfId="14219" xr:uid="{0D676C28-BC50-4843-A815-AFE98F0F60C3}"/>
    <cellStyle name="Énfasis2 2 4 3 6" xfId="14220" xr:uid="{CAC7B91D-911B-4E10-ABE6-903FCC5182A2}"/>
    <cellStyle name="Énfasis2 2 4 3 7" xfId="14221" xr:uid="{2CA7333C-7A31-47E4-9075-C817C1BEAC4F}"/>
    <cellStyle name="Énfasis2 2 4 3 8" xfId="14222" xr:uid="{AF47566A-A37C-4E61-9A0F-3142FF01742E}"/>
    <cellStyle name="Énfasis2 2 4 3 9" xfId="14223" xr:uid="{B8C74D9F-378F-4AAB-ADBD-16E12AB360D6}"/>
    <cellStyle name="Énfasis2 2 4 4" xfId="14224" xr:uid="{73D815A6-925C-459D-8AB6-4350AD13BE01}"/>
    <cellStyle name="Énfasis2 2 4 4 2" xfId="14225" xr:uid="{792BB88A-6D6B-49A6-896F-1D0FD58EC58D}"/>
    <cellStyle name="Énfasis2 2 4 4 2 2" xfId="14226" xr:uid="{5325A56A-EF09-45D1-89B3-74FE42D8DA7C}"/>
    <cellStyle name="Énfasis2 2 4 4 2 3" xfId="14227" xr:uid="{B787ACB1-FF45-4D01-898A-D061D815FB53}"/>
    <cellStyle name="Énfasis2 2 4 4 2 4" xfId="14228" xr:uid="{951BFD61-863E-4E90-9159-FB72C6B4E0FE}"/>
    <cellStyle name="Énfasis2 2 4 4 2 5" xfId="14229" xr:uid="{7BDBC948-C58B-41B3-9749-295ABDC0C506}"/>
    <cellStyle name="Énfasis2 2 4 4 3" xfId="14230" xr:uid="{AC2A66E9-4EF1-4A10-90CE-D57E04CA9DB0}"/>
    <cellStyle name="Énfasis2 2 4 4 4" xfId="14231" xr:uid="{BCD85667-4F9C-4E84-97E9-6888FAFDD202}"/>
    <cellStyle name="Énfasis2 2 4 4 5" xfId="14232" xr:uid="{F0BD3176-7F3B-4343-AE12-AAC338FF417A}"/>
    <cellStyle name="Énfasis2 2 4 5" xfId="14233" xr:uid="{08336CB6-3CF1-403D-86F2-AB900B0FCD0D}"/>
    <cellStyle name="Énfasis2 2 4 6" xfId="14234" xr:uid="{9B9A15EA-BA37-4EF3-8294-20B3FD8213E7}"/>
    <cellStyle name="Énfasis2 2 4 7" xfId="14235" xr:uid="{395AC7DB-D284-4FDA-87CB-28077E992821}"/>
    <cellStyle name="Énfasis2 2 4 8" xfId="14236" xr:uid="{711B685E-55A3-4922-9009-E49C615D1ED3}"/>
    <cellStyle name="Énfasis2 2 4 9" xfId="14237" xr:uid="{C7CBBCB9-7FDB-4F2D-8A15-F251BA1E2977}"/>
    <cellStyle name="Énfasis2 2 5" xfId="14238" xr:uid="{C3F70B57-5C1A-4271-85E2-674CF0CFF5CB}"/>
    <cellStyle name="Énfasis2 2 6" xfId="14239" xr:uid="{BB03F2AE-078E-4998-A160-D613B9282C76}"/>
    <cellStyle name="Énfasis2 2 7" xfId="14240" xr:uid="{7073083D-687B-44BD-826E-BB8E2E8C72EF}"/>
    <cellStyle name="Énfasis2 2 8" xfId="14241" xr:uid="{B063AA13-98B5-4EAC-BEB7-99E114F7F92C}"/>
    <cellStyle name="Énfasis2 2 8 2" xfId="14242" xr:uid="{AB471E5B-6CD9-4422-ACDD-EE416C525CDB}"/>
    <cellStyle name="Énfasis2 2 9" xfId="14243" xr:uid="{02A96F9C-131F-427C-B833-C2E3CAD2B5CF}"/>
    <cellStyle name="Énfasis2 3" xfId="14244" xr:uid="{68A2ED29-35E1-4F0D-97CF-35E6621631EB}"/>
    <cellStyle name="Énfasis2 3 2" xfId="14245" xr:uid="{1662C119-E5FA-4782-BED8-35294E9879EE}"/>
    <cellStyle name="Énfasis2 3 3" xfId="14246" xr:uid="{32825EC7-2390-4BA2-91E9-A042A38B7FCD}"/>
    <cellStyle name="Énfasis2 4" xfId="14247" xr:uid="{FEF1780F-077B-4DC5-876E-8815CFA2CB57}"/>
    <cellStyle name="Énfasis3" xfId="29" builtinId="37" customBuiltin="1"/>
    <cellStyle name="Énfasis3 2" xfId="14248" xr:uid="{D53E4278-EB78-4590-9A0E-BED666ACB111}"/>
    <cellStyle name="Énfasis3 2 10" xfId="14249" xr:uid="{BFA5D4A2-1CEE-4575-BDA8-ACE67A9355B1}"/>
    <cellStyle name="Énfasis3 2 10 10" xfId="14250" xr:uid="{41D129DA-7ED6-4326-BE5F-D0DC8AE20948}"/>
    <cellStyle name="Énfasis3 2 10 11" xfId="14251" xr:uid="{CDA6E5D4-ABF3-4607-A09A-D3A71808EB4C}"/>
    <cellStyle name="Énfasis3 2 10 2" xfId="14252" xr:uid="{37B0554A-AB44-458B-9CE3-57D19483480D}"/>
    <cellStyle name="Énfasis3 2 10 2 10" xfId="14253" xr:uid="{63F634DE-E698-42EA-8FBD-4C6F2D8A1974}"/>
    <cellStyle name="Énfasis3 2 10 2 11" xfId="14254" xr:uid="{D70AF79E-8C8D-404A-A5CA-D940986AC96F}"/>
    <cellStyle name="Énfasis3 2 10 2 2" xfId="14255" xr:uid="{A2FF7257-B0FF-48C4-AE81-2E9896F634CA}"/>
    <cellStyle name="Énfasis3 2 10 2 2 2" xfId="14256" xr:uid="{CEB44BAE-8F55-4FF2-83EC-C725C89C2A6B}"/>
    <cellStyle name="Énfasis3 2 10 2 2 2 2" xfId="14257" xr:uid="{AE85CA71-3E18-4855-B776-F2662D3F8A13}"/>
    <cellStyle name="Énfasis3 2 10 2 2 2 3" xfId="14258" xr:uid="{20DEA410-6BF3-476D-A728-1FB0C6472007}"/>
    <cellStyle name="Énfasis3 2 10 2 2 2 4" xfId="14259" xr:uid="{C795EA92-56AD-4770-A371-27F095D4A8A1}"/>
    <cellStyle name="Énfasis3 2 10 2 2 2 5" xfId="14260" xr:uid="{40B09306-16B3-414E-BFF5-F2B7AF5E1C15}"/>
    <cellStyle name="Énfasis3 2 10 2 2 3" xfId="14261" xr:uid="{EF1348E5-164C-461A-BE7A-EA90204B6788}"/>
    <cellStyle name="Énfasis3 2 10 2 2 4" xfId="14262" xr:uid="{0238F7B6-2F0D-4C8C-8065-40FF4958CB6F}"/>
    <cellStyle name="Énfasis3 2 10 2 2 5" xfId="14263" xr:uid="{A300C4D6-CD3E-48A9-BB8B-CF5265D56E13}"/>
    <cellStyle name="Énfasis3 2 10 2 3" xfId="14264" xr:uid="{E0D9FFD5-A166-4769-A23C-57BAC59F34C1}"/>
    <cellStyle name="Énfasis3 2 10 2 4" xfId="14265" xr:uid="{262DFF75-391D-4913-8133-D2AE8D372C87}"/>
    <cellStyle name="Énfasis3 2 10 2 5" xfId="14266" xr:uid="{C8A87DDF-FAB7-47D2-8D78-5B25FA1BEC83}"/>
    <cellStyle name="Énfasis3 2 10 2 6" xfId="14267" xr:uid="{5F69E9E3-70C8-4C98-AB3D-9BAD174B38E0}"/>
    <cellStyle name="Énfasis3 2 10 2 7" xfId="14268" xr:uid="{34BEFB71-0C2A-4E5F-BE86-2C1EB64636B7}"/>
    <cellStyle name="Énfasis3 2 10 2 8" xfId="14269" xr:uid="{0B79FFCB-DBFB-499A-B107-9946FB9BDD5E}"/>
    <cellStyle name="Énfasis3 2 10 2 9" xfId="14270" xr:uid="{71362AE2-D212-4CB1-847F-9E4BB2AADBED}"/>
    <cellStyle name="Énfasis3 2 10 3" xfId="14271" xr:uid="{BD1B5758-1BB6-474D-94A6-8AB1D3306963}"/>
    <cellStyle name="Énfasis3 2 10 3 2" xfId="14272" xr:uid="{A7F77777-1AD6-434B-B7DA-8CEBA39D0059}"/>
    <cellStyle name="Énfasis3 2 10 3 2 2" xfId="14273" xr:uid="{76EDCF20-3BF5-458A-B2DD-60189FEE1A5A}"/>
    <cellStyle name="Énfasis3 2 10 3 2 3" xfId="14274" xr:uid="{AD618607-493A-4290-97B3-0805E281418B}"/>
    <cellStyle name="Énfasis3 2 10 3 2 4" xfId="14275" xr:uid="{5C90583C-2F00-4150-9947-80EDC7C848F2}"/>
    <cellStyle name="Énfasis3 2 10 3 2 5" xfId="14276" xr:uid="{16C72B1A-DD8A-46F0-9007-714D3554E9E1}"/>
    <cellStyle name="Énfasis3 2 10 3 3" xfId="14277" xr:uid="{38492F78-0047-4182-AFBC-CF2089625A5C}"/>
    <cellStyle name="Énfasis3 2 10 3 4" xfId="14278" xr:uid="{2B474474-6A3C-4523-B348-07EF60F62C02}"/>
    <cellStyle name="Énfasis3 2 10 3 5" xfId="14279" xr:uid="{6ADB8A1D-3DE1-4378-BA65-9355A3BBE7DB}"/>
    <cellStyle name="Énfasis3 2 10 4" xfId="14280" xr:uid="{830BD709-221C-41FD-8228-A01E815B0980}"/>
    <cellStyle name="Énfasis3 2 10 5" xfId="14281" xr:uid="{8E8E3107-946D-42AE-BFB1-D15540AFFE25}"/>
    <cellStyle name="Énfasis3 2 10 6" xfId="14282" xr:uid="{825DEDF2-669F-41FF-8FB9-D6BD52804F68}"/>
    <cellStyle name="Énfasis3 2 10 7" xfId="14283" xr:uid="{8F8FA543-1DF0-464B-B780-08774B006516}"/>
    <cellStyle name="Énfasis3 2 10 8" xfId="14284" xr:uid="{33802A4C-EF55-4DF5-A19A-D20165DDC946}"/>
    <cellStyle name="Énfasis3 2 10 9" xfId="14285" xr:uid="{3BFCEE9B-F002-41A8-8514-D075D5FB604D}"/>
    <cellStyle name="Énfasis3 2 11" xfId="14286" xr:uid="{E5CEBF1C-E23C-425B-A425-07CEF1C0F7ED}"/>
    <cellStyle name="Énfasis3 2 12" xfId="14287" xr:uid="{484DDE32-29CE-4351-B428-82543FB7E5E0}"/>
    <cellStyle name="Énfasis3 2 13" xfId="14288" xr:uid="{D156771E-5E04-4E70-9A45-9567FBB02E0A}"/>
    <cellStyle name="Énfasis3 2 2" xfId="14289" xr:uid="{E48FD49D-4377-453B-BA26-04FB3DC1FA35}"/>
    <cellStyle name="Énfasis3 2 2 10" xfId="14290" xr:uid="{597B6758-C1DE-4DF4-AF4C-F76BED5C05D6}"/>
    <cellStyle name="Énfasis3 2 2 10 10" xfId="14291" xr:uid="{35892B1A-55F8-4222-9F6B-39766244DA86}"/>
    <cellStyle name="Énfasis3 2 2 10 11" xfId="14292" xr:uid="{DEB631FE-BFD1-4CE2-8BB0-DDE813E08F3A}"/>
    <cellStyle name="Énfasis3 2 2 10 2" xfId="14293" xr:uid="{83A77027-A753-47ED-ACFB-6C6D0601F865}"/>
    <cellStyle name="Énfasis3 2 2 10 2 10" xfId="14294" xr:uid="{3E20B86D-405A-487A-9C06-850DA49A5DEB}"/>
    <cellStyle name="Énfasis3 2 2 10 2 11" xfId="14295" xr:uid="{1015D99F-962C-4EAF-94D4-8FB5A728AF64}"/>
    <cellStyle name="Énfasis3 2 2 10 2 2" xfId="14296" xr:uid="{5C023FB1-D18A-4DF3-8D46-1E680B03F821}"/>
    <cellStyle name="Énfasis3 2 2 10 2 2 2" xfId="14297" xr:uid="{B5DB2535-0859-42C0-8BE0-36197A503FBC}"/>
    <cellStyle name="Énfasis3 2 2 10 2 2 2 2" xfId="14298" xr:uid="{A7A725C1-D747-4FE6-BBBD-4254B81183E1}"/>
    <cellStyle name="Énfasis3 2 2 10 2 2 2 3" xfId="14299" xr:uid="{BD3C9343-7DD1-423A-9B7F-6BEB190D36E1}"/>
    <cellStyle name="Énfasis3 2 2 10 2 2 2 4" xfId="14300" xr:uid="{6583FB90-D47F-446F-BC9E-2BEAC7EEB7FA}"/>
    <cellStyle name="Énfasis3 2 2 10 2 2 2 5" xfId="14301" xr:uid="{162A0939-1B0F-4376-81F7-E9562F12071B}"/>
    <cellStyle name="Énfasis3 2 2 10 2 2 3" xfId="14302" xr:uid="{0747DBE6-26A9-4EA2-8E22-2EDE8D66A8BE}"/>
    <cellStyle name="Énfasis3 2 2 10 2 2 4" xfId="14303" xr:uid="{6C4601CF-6B27-4EB4-9085-37A8EFC1B194}"/>
    <cellStyle name="Énfasis3 2 2 10 2 2 5" xfId="14304" xr:uid="{15820525-0CBE-4F7C-B370-889AD56B106A}"/>
    <cellStyle name="Énfasis3 2 2 10 2 3" xfId="14305" xr:uid="{971F5729-EEE4-415D-9D57-EADC76BF2508}"/>
    <cellStyle name="Énfasis3 2 2 10 2 4" xfId="14306" xr:uid="{5D3C8D8F-E9DE-4BF9-8960-BDD17FDA980C}"/>
    <cellStyle name="Énfasis3 2 2 10 2 5" xfId="14307" xr:uid="{68690AA1-EF9A-476B-A044-7AB8CFD2CB60}"/>
    <cellStyle name="Énfasis3 2 2 10 2 6" xfId="14308" xr:uid="{F3D2E5D0-CAB3-4C5A-8BD4-CFC866B6747C}"/>
    <cellStyle name="Énfasis3 2 2 10 2 7" xfId="14309" xr:uid="{2D3F6CBA-E8CC-4780-9961-34BA921C7E5F}"/>
    <cellStyle name="Énfasis3 2 2 10 2 8" xfId="14310" xr:uid="{1B498AC4-B03A-48E1-8610-0A8A3BADEB48}"/>
    <cellStyle name="Énfasis3 2 2 10 2 9" xfId="14311" xr:uid="{E0811662-CB7C-43B7-B9A4-45BB717FEA99}"/>
    <cellStyle name="Énfasis3 2 2 10 3" xfId="14312" xr:uid="{0C7CA6FE-0773-41A7-904F-7C62A7C67704}"/>
    <cellStyle name="Énfasis3 2 2 10 3 2" xfId="14313" xr:uid="{063813A0-A958-43E9-B0BC-61B4FD87B608}"/>
    <cellStyle name="Énfasis3 2 2 10 3 2 2" xfId="14314" xr:uid="{05227B3D-597C-42C2-B48E-6CF113CAEE15}"/>
    <cellStyle name="Énfasis3 2 2 10 3 2 3" xfId="14315" xr:uid="{FFFE7815-79B6-4197-8A4B-ED870F67D38E}"/>
    <cellStyle name="Énfasis3 2 2 10 3 2 4" xfId="14316" xr:uid="{34F9019B-A617-4A27-B2AE-FBCEB28ABFF9}"/>
    <cellStyle name="Énfasis3 2 2 10 3 2 5" xfId="14317" xr:uid="{E997CAF3-02A7-4A43-A75B-B844FCC5EB54}"/>
    <cellStyle name="Énfasis3 2 2 10 3 3" xfId="14318" xr:uid="{CE67373B-5FFB-4405-B951-5B767BAFC1EA}"/>
    <cellStyle name="Énfasis3 2 2 10 3 4" xfId="14319" xr:uid="{2B38842A-F324-4AF1-A1EA-DC68C89FA533}"/>
    <cellStyle name="Énfasis3 2 2 10 3 5" xfId="14320" xr:uid="{3109254E-C453-4391-BDED-3A0EAD2F2C15}"/>
    <cellStyle name="Énfasis3 2 2 10 4" xfId="14321" xr:uid="{E539C5D9-430A-4E2A-9356-BD39866E44F0}"/>
    <cellStyle name="Énfasis3 2 2 10 5" xfId="14322" xr:uid="{AC96924C-489F-410E-A7A8-8835B418E0D3}"/>
    <cellStyle name="Énfasis3 2 2 10 6" xfId="14323" xr:uid="{5DC751A8-55EB-4714-B4EB-98E59B530D6D}"/>
    <cellStyle name="Énfasis3 2 2 10 7" xfId="14324" xr:uid="{E127535A-2AEC-4E78-B466-9583F85742E5}"/>
    <cellStyle name="Énfasis3 2 2 10 8" xfId="14325" xr:uid="{16C15375-D70E-4E41-98C8-F3A7310765CA}"/>
    <cellStyle name="Énfasis3 2 2 10 9" xfId="14326" xr:uid="{B8C7B75D-1056-4A4E-A9BC-FF0A8535CE66}"/>
    <cellStyle name="Énfasis3 2 2 11" xfId="14327" xr:uid="{0E382D78-A206-450E-8707-9F672A818100}"/>
    <cellStyle name="Énfasis3 2 2 12" xfId="14328" xr:uid="{D58F3C3A-8B01-49A3-9B37-6F8304D75367}"/>
    <cellStyle name="Énfasis3 2 2 13" xfId="14329" xr:uid="{49C1AD6F-79A5-4FA1-97A1-3F92CBCCBADA}"/>
    <cellStyle name="Énfasis3 2 2 2" xfId="14330" xr:uid="{65F20145-0F8C-4F17-92E4-5D8FD33620AF}"/>
    <cellStyle name="Énfasis3 2 2 2 2" xfId="14331" xr:uid="{34D52F76-D1FA-4784-A106-38F93389F653}"/>
    <cellStyle name="Énfasis3 2 2 2 2 2" xfId="14332" xr:uid="{DCACEB48-C0FD-4840-B1E2-D06545124C2C}"/>
    <cellStyle name="Énfasis3 2 2 2 2 2 2" xfId="14333" xr:uid="{39296609-6F4D-4795-9514-5666FCAFABE4}"/>
    <cellStyle name="Énfasis3 2 2 2 2 2 2 2" xfId="14334" xr:uid="{AA63D447-1917-422D-8C14-EE353DE1CA9B}"/>
    <cellStyle name="Énfasis3 2 2 2 2 2 2 2 2" xfId="14335" xr:uid="{7E86F802-9988-410F-8972-AA58323DF920}"/>
    <cellStyle name="Énfasis3 2 2 2 2 2 2 2 2 2" xfId="14336" xr:uid="{47228BE9-3A8C-4D09-9FF0-3C232D011C5C}"/>
    <cellStyle name="Énfasis3 2 2 2 2 2 2 2 2 2 2" xfId="14337" xr:uid="{3A93ED19-25DB-4FB0-926F-0172BA99CC63}"/>
    <cellStyle name="Énfasis3 2 2 2 2 2 2 2 2 2 2 2" xfId="14338" xr:uid="{DD04891B-4C6F-4003-BEDB-8ABFE6986AB4}"/>
    <cellStyle name="Énfasis3 2 2 2 2 2 2 2 2 2 2 2 2" xfId="14339" xr:uid="{42675E1D-6C17-470F-9651-8D0E5839139D}"/>
    <cellStyle name="Énfasis3 2 2 2 2 2 2 2 2 2 2 3" xfId="14340" xr:uid="{89025DCA-8E11-47D4-8795-7DEF9B591E2D}"/>
    <cellStyle name="Énfasis3 2 2 2 2 2 2 2 2 2 2 4" xfId="14341" xr:uid="{D0D0DCDA-9271-4765-AB3E-5217DB0B452D}"/>
    <cellStyle name="Énfasis3 2 2 2 2 2 2 2 2 2 3" xfId="14342" xr:uid="{F5013124-A84C-4BE9-80C1-19F3D9E2B1D7}"/>
    <cellStyle name="Énfasis3 2 2 2 2 2 2 2 2 2 4" xfId="14343" xr:uid="{93150706-1933-41FF-B8DD-88EEACE1EF63}"/>
    <cellStyle name="Énfasis3 2 2 2 2 2 2 2 2 3" xfId="14344" xr:uid="{8EE8A6BC-86DD-4449-BFD5-9594F25980DA}"/>
    <cellStyle name="Énfasis3 2 2 2 2 2 2 2 2 4" xfId="14345" xr:uid="{7E920769-A2BE-4ECC-816D-BDB598D0F232}"/>
    <cellStyle name="Énfasis3 2 2 2 2 2 2 2 2 5" xfId="14346" xr:uid="{29C600FF-F33F-487A-8943-73474DE4137B}"/>
    <cellStyle name="Énfasis3 2 2 2 2 2 2 2 3" xfId="14347" xr:uid="{EADCEEF2-621F-48C2-8386-5037C230F915}"/>
    <cellStyle name="Énfasis3 2 2 2 2 2 2 2 3 10" xfId="14348" xr:uid="{5ACA20CF-B3DD-4CB1-90E7-8883184EBBB9}"/>
    <cellStyle name="Énfasis3 2 2 2 2 2 2 2 3 11" xfId="14349" xr:uid="{D08B838F-C358-4BF9-8347-CAC13C9552CA}"/>
    <cellStyle name="Énfasis3 2 2 2 2 2 2 2 3 2" xfId="14350" xr:uid="{3F589D53-DABD-478E-BC48-604E2B353A11}"/>
    <cellStyle name="Énfasis3 2 2 2 2 2 2 2 3 2 2" xfId="14351" xr:uid="{C59D9DC6-579F-4A3E-9441-CEAF9647160D}"/>
    <cellStyle name="Énfasis3 2 2 2 2 2 2 2 3 2 2 2" xfId="14352" xr:uid="{DDFAA679-1B4D-4275-B75C-069E7441F4E2}"/>
    <cellStyle name="Énfasis3 2 2 2 2 2 2 2 3 2 2 3" xfId="14353" xr:uid="{F6319898-F08D-42CA-BDE4-CC02B7C7C22B}"/>
    <cellStyle name="Énfasis3 2 2 2 2 2 2 2 3 2 2 4" xfId="14354" xr:uid="{EACF3AF3-EB14-453E-91C8-64ACB78448A1}"/>
    <cellStyle name="Énfasis3 2 2 2 2 2 2 2 3 2 2 5" xfId="14355" xr:uid="{E62921AC-25A5-4CDA-8163-443ACC33CF07}"/>
    <cellStyle name="Énfasis3 2 2 2 2 2 2 2 3 2 3" xfId="14356" xr:uid="{13F317EE-F0D3-4B27-BC82-E6141E25F4B0}"/>
    <cellStyle name="Énfasis3 2 2 2 2 2 2 2 3 2 4" xfId="14357" xr:uid="{085CE0D7-0F1C-4CD4-BBA5-33CF35642A12}"/>
    <cellStyle name="Énfasis3 2 2 2 2 2 2 2 3 2 5" xfId="14358" xr:uid="{AAEFDCBC-64A8-487C-B79E-B1A2C9DC7420}"/>
    <cellStyle name="Énfasis3 2 2 2 2 2 2 2 3 3" xfId="14359" xr:uid="{D84736FB-2843-4027-82D2-FFDDD17CE23E}"/>
    <cellStyle name="Énfasis3 2 2 2 2 2 2 2 3 4" xfId="14360" xr:uid="{6157CE38-D3E8-426C-87FA-519F000FA028}"/>
    <cellStyle name="Énfasis3 2 2 2 2 2 2 2 3 5" xfId="14361" xr:uid="{E2AEBA3E-F620-4DD2-A401-EE53B13CBAA9}"/>
    <cellStyle name="Énfasis3 2 2 2 2 2 2 2 3 6" xfId="14362" xr:uid="{D74DBC0C-35E9-4EE6-9DC3-E1D77C5AAF67}"/>
    <cellStyle name="Énfasis3 2 2 2 2 2 2 2 3 7" xfId="14363" xr:uid="{3C51BAA9-AFD1-47A5-A2D3-373B071066DA}"/>
    <cellStyle name="Énfasis3 2 2 2 2 2 2 2 3 8" xfId="14364" xr:uid="{037855DB-B3DD-463D-811B-D0273AFB3793}"/>
    <cellStyle name="Énfasis3 2 2 2 2 2 2 2 3 9" xfId="14365" xr:uid="{167FB687-AB58-4CC8-A2FD-51FD24146601}"/>
    <cellStyle name="Énfasis3 2 2 2 2 2 2 2 4" xfId="14366" xr:uid="{0791D729-FF8C-4C97-AD52-3D057DF15783}"/>
    <cellStyle name="Énfasis3 2 2 2 2 2 2 2 5" xfId="14367" xr:uid="{4FD620AA-3F7B-4076-9B86-FEDBFF6BEE50}"/>
    <cellStyle name="Énfasis3 2 2 2 2 2 2 3" xfId="14368" xr:uid="{A2560ED4-B9B8-445D-9BFB-67E014C46101}"/>
    <cellStyle name="Énfasis3 2 2 2 2 2 2 3 10" xfId="14369" xr:uid="{8D6ABBCD-2C48-41A4-8F9B-3FAA80C5A096}"/>
    <cellStyle name="Énfasis3 2 2 2 2 2 2 3 11" xfId="14370" xr:uid="{B4BCAE2D-73E7-4545-84B7-9AD6C39C91A0}"/>
    <cellStyle name="Énfasis3 2 2 2 2 2 2 3 2" xfId="14371" xr:uid="{19B8D8A6-4123-4735-88F1-BA3527DF81EC}"/>
    <cellStyle name="Énfasis3 2 2 2 2 2 2 3 2 10" xfId="14372" xr:uid="{B5550A0F-A84B-4308-A377-C576F382B623}"/>
    <cellStyle name="Énfasis3 2 2 2 2 2 2 3 2 11" xfId="14373" xr:uid="{0FA3D09A-4672-45BB-BE20-D07C6BD56A94}"/>
    <cellStyle name="Énfasis3 2 2 2 2 2 2 3 2 2" xfId="14374" xr:uid="{563850C6-4495-40F8-9091-02C4ADDF636C}"/>
    <cellStyle name="Énfasis3 2 2 2 2 2 2 3 2 2 2" xfId="14375" xr:uid="{7122B8F6-CE08-44B1-9B54-1727AE9D43D0}"/>
    <cellStyle name="Énfasis3 2 2 2 2 2 2 3 2 2 2 2" xfId="14376" xr:uid="{E3C50744-F9BF-4C11-A50A-850F3152FC6E}"/>
    <cellStyle name="Énfasis3 2 2 2 2 2 2 3 2 2 2 3" xfId="14377" xr:uid="{B8A0072E-3997-4561-B8CE-BCE079DDBC37}"/>
    <cellStyle name="Énfasis3 2 2 2 2 2 2 3 2 2 2 4" xfId="14378" xr:uid="{327F7519-AF8B-434C-B3C9-52E13019BC6F}"/>
    <cellStyle name="Énfasis3 2 2 2 2 2 2 3 2 2 2 5" xfId="14379" xr:uid="{299CB389-3AAD-4CD1-A155-9CD58739D381}"/>
    <cellStyle name="Énfasis3 2 2 2 2 2 2 3 2 2 3" xfId="14380" xr:uid="{593C35D3-4145-43BD-B569-01BEA64372CE}"/>
    <cellStyle name="Énfasis3 2 2 2 2 2 2 3 2 2 4" xfId="14381" xr:uid="{E7482741-DF2D-4314-A050-88BE393FC42B}"/>
    <cellStyle name="Énfasis3 2 2 2 2 2 2 3 2 2 5" xfId="14382" xr:uid="{B8BC4412-3F9E-4389-BBC7-11772DFD0B35}"/>
    <cellStyle name="Énfasis3 2 2 2 2 2 2 3 2 3" xfId="14383" xr:uid="{357330D2-42E7-4CE9-BAAE-0372FF87E707}"/>
    <cellStyle name="Énfasis3 2 2 2 2 2 2 3 2 4" xfId="14384" xr:uid="{C5C3E563-C0DE-4EB7-9B0F-D3F6A70C533E}"/>
    <cellStyle name="Énfasis3 2 2 2 2 2 2 3 2 5" xfId="14385" xr:uid="{BD7EDB8C-FCF8-42E5-BCC5-1FF7055C79C7}"/>
    <cellStyle name="Énfasis3 2 2 2 2 2 2 3 2 6" xfId="14386" xr:uid="{D4D8A40B-D602-4BD4-9F9C-0F8762B608BE}"/>
    <cellStyle name="Énfasis3 2 2 2 2 2 2 3 2 7" xfId="14387" xr:uid="{EFEA9229-2458-4DDC-BA66-9BAD36C91CD6}"/>
    <cellStyle name="Énfasis3 2 2 2 2 2 2 3 2 8" xfId="14388" xr:uid="{F90122F0-BB74-4E67-BEF5-0BC4BEA70CFD}"/>
    <cellStyle name="Énfasis3 2 2 2 2 2 2 3 2 9" xfId="14389" xr:uid="{8AD51A86-4B7A-482F-8EE2-77E0E2A005F7}"/>
    <cellStyle name="Énfasis3 2 2 2 2 2 2 3 3" xfId="14390" xr:uid="{CFBA0D3F-9914-4DDA-958B-4CFB7061C13E}"/>
    <cellStyle name="Énfasis3 2 2 2 2 2 2 3 3 2" xfId="14391" xr:uid="{FEEA1ADD-B23A-4859-AF71-11FED5674512}"/>
    <cellStyle name="Énfasis3 2 2 2 2 2 2 3 3 2 2" xfId="14392" xr:uid="{518C8765-EE88-4184-B3B4-3CB7EDBBD914}"/>
    <cellStyle name="Énfasis3 2 2 2 2 2 2 3 3 2 3" xfId="14393" xr:uid="{7D889B98-D87A-4084-BF80-B2A80F348B95}"/>
    <cellStyle name="Énfasis3 2 2 2 2 2 2 3 3 2 4" xfId="14394" xr:uid="{7C637FA9-00C1-415C-86DF-3F1297032DF1}"/>
    <cellStyle name="Énfasis3 2 2 2 2 2 2 3 3 2 5" xfId="14395" xr:uid="{1B585D38-89BB-4412-9624-5FE498019812}"/>
    <cellStyle name="Énfasis3 2 2 2 2 2 2 3 3 3" xfId="14396" xr:uid="{A232F22A-52B6-46C1-BCEC-3A4AB510B1E2}"/>
    <cellStyle name="Énfasis3 2 2 2 2 2 2 3 3 4" xfId="14397" xr:uid="{9B73B0E8-AFE9-4526-AF03-22B17C89682D}"/>
    <cellStyle name="Énfasis3 2 2 2 2 2 2 3 3 5" xfId="14398" xr:uid="{598ADE5C-6929-4465-A6B1-3330DFF450ED}"/>
    <cellStyle name="Énfasis3 2 2 2 2 2 2 3 4" xfId="14399" xr:uid="{375492F6-542C-4AF3-884B-DBE709946932}"/>
    <cellStyle name="Énfasis3 2 2 2 2 2 2 3 5" xfId="14400" xr:uid="{04784E63-06D2-403B-9E12-852A295FC89E}"/>
    <cellStyle name="Énfasis3 2 2 2 2 2 2 3 6" xfId="14401" xr:uid="{3F120A94-7BAA-4808-B70C-8DB9450B0943}"/>
    <cellStyle name="Énfasis3 2 2 2 2 2 2 3 7" xfId="14402" xr:uid="{56D204FF-F8D7-4157-A9A6-8D38FA6199C8}"/>
    <cellStyle name="Énfasis3 2 2 2 2 2 2 3 8" xfId="14403" xr:uid="{189F03E1-AF49-47C5-BF57-65F7701E27F5}"/>
    <cellStyle name="Énfasis3 2 2 2 2 2 2 3 9" xfId="14404" xr:uid="{D60E18AB-3121-493F-BF55-1E305896C5D9}"/>
    <cellStyle name="Énfasis3 2 2 2 2 2 2 4" xfId="14405" xr:uid="{59286AAD-65E7-41B7-9595-FFC4BFB2711E}"/>
    <cellStyle name="Énfasis3 2 2 2 2 2 2 5" xfId="14406" xr:uid="{F340FA8C-4676-4322-B455-F55494828AAF}"/>
    <cellStyle name="Énfasis3 2 2 2 2 2 2 6" xfId="14407" xr:uid="{88A67481-0564-4598-ADB8-DD5C64F04C91}"/>
    <cellStyle name="Énfasis3 2 2 2 2 2 3" xfId="14408" xr:uid="{6AB0A726-716D-43BD-9FCE-9723E3D9F916}"/>
    <cellStyle name="Énfasis3 2 2 2 2 2 3 10" xfId="14409" xr:uid="{16525816-259E-442C-9223-E3B8964E0E27}"/>
    <cellStyle name="Énfasis3 2 2 2 2 2 3 11" xfId="14410" xr:uid="{AB25EEDC-1828-4813-8636-96E003E871F5}"/>
    <cellStyle name="Énfasis3 2 2 2 2 2 3 2" xfId="14411" xr:uid="{E6D7C951-267A-43DE-A212-46307E4104EE}"/>
    <cellStyle name="Énfasis3 2 2 2 2 2 3 2 10" xfId="14412" xr:uid="{65367597-4AD1-4F86-A3F5-6E114A3BA2C7}"/>
    <cellStyle name="Énfasis3 2 2 2 2 2 3 2 11" xfId="14413" xr:uid="{8E69E1D2-AC55-4B00-8D62-B03C4C56E709}"/>
    <cellStyle name="Énfasis3 2 2 2 2 2 3 2 2" xfId="14414" xr:uid="{F201B0E5-98D1-4C77-85DD-770C63B942BD}"/>
    <cellStyle name="Énfasis3 2 2 2 2 2 3 2 2 2" xfId="14415" xr:uid="{41F02D22-9D5B-4E6F-8FAA-39BAF1268510}"/>
    <cellStyle name="Énfasis3 2 2 2 2 2 3 2 2 2 2" xfId="14416" xr:uid="{0BCE79D1-8FEB-4D53-A0B4-244294E68FB8}"/>
    <cellStyle name="Énfasis3 2 2 2 2 2 3 2 2 2 3" xfId="14417" xr:uid="{B1DDBBB5-9E5A-470B-A3F1-FD67F2EACA8C}"/>
    <cellStyle name="Énfasis3 2 2 2 2 2 3 2 2 2 4" xfId="14418" xr:uid="{48E51069-0EAB-4D5E-9DC0-FDA6EE0FA8E3}"/>
    <cellStyle name="Énfasis3 2 2 2 2 2 3 2 2 2 5" xfId="14419" xr:uid="{3294BB47-FD2B-4680-8BA8-D0C61E32B845}"/>
    <cellStyle name="Énfasis3 2 2 2 2 2 3 2 2 3" xfId="14420" xr:uid="{1F427BFD-2E09-421E-8A95-E79E8DE4B2B2}"/>
    <cellStyle name="Énfasis3 2 2 2 2 2 3 2 2 4" xfId="14421" xr:uid="{8797C8E6-3362-4536-BE7C-B104D53E8E5C}"/>
    <cellStyle name="Énfasis3 2 2 2 2 2 3 2 2 5" xfId="14422" xr:uid="{A5BA60A3-24A9-4834-897D-92A7654E9072}"/>
    <cellStyle name="Énfasis3 2 2 2 2 2 3 2 3" xfId="14423" xr:uid="{DB9F72C0-537C-4C9E-A72B-DEE18228E94E}"/>
    <cellStyle name="Énfasis3 2 2 2 2 2 3 2 4" xfId="14424" xr:uid="{98B614CC-D3F4-4C7C-8801-874434100F12}"/>
    <cellStyle name="Énfasis3 2 2 2 2 2 3 2 5" xfId="14425" xr:uid="{8204E23F-75A4-40AF-B919-EEAAD3E3DE51}"/>
    <cellStyle name="Énfasis3 2 2 2 2 2 3 2 6" xfId="14426" xr:uid="{1E1675CC-374F-47A2-9ED2-443C5F873717}"/>
    <cellStyle name="Énfasis3 2 2 2 2 2 3 2 7" xfId="14427" xr:uid="{435C82A1-69EA-4CE8-9288-A5ED21CBC7EC}"/>
    <cellStyle name="Énfasis3 2 2 2 2 2 3 2 8" xfId="14428" xr:uid="{0D22C118-1DDB-401A-8B3D-0231565CEB9C}"/>
    <cellStyle name="Énfasis3 2 2 2 2 2 3 2 9" xfId="14429" xr:uid="{8B85B63C-56B5-4F33-AB40-53FA37ECE19B}"/>
    <cellStyle name="Énfasis3 2 2 2 2 2 3 3" xfId="14430" xr:uid="{9B083753-8A6C-4F05-8029-65CC33F7E5D2}"/>
    <cellStyle name="Énfasis3 2 2 2 2 2 3 3 2" xfId="14431" xr:uid="{D3EC8333-814A-4DAA-B225-CFDE40BF39CB}"/>
    <cellStyle name="Énfasis3 2 2 2 2 2 3 3 2 2" xfId="14432" xr:uid="{ABA166E8-42FF-44BD-BFEE-148DE9B4D386}"/>
    <cellStyle name="Énfasis3 2 2 2 2 2 3 3 2 3" xfId="14433" xr:uid="{E1A7F02F-CBCF-4897-B3D5-F0242745FA65}"/>
    <cellStyle name="Énfasis3 2 2 2 2 2 3 3 2 4" xfId="14434" xr:uid="{600EC58F-343D-4E39-AFA9-B76948F4C5EC}"/>
    <cellStyle name="Énfasis3 2 2 2 2 2 3 3 2 5" xfId="14435" xr:uid="{F7563AC5-8726-42FE-83E1-3623C7C6647B}"/>
    <cellStyle name="Énfasis3 2 2 2 2 2 3 3 3" xfId="14436" xr:uid="{DACDC656-10E9-41B4-A874-D55FB5752942}"/>
    <cellStyle name="Énfasis3 2 2 2 2 2 3 3 4" xfId="14437" xr:uid="{77C885F2-2928-45A0-9458-228C95110C9E}"/>
    <cellStyle name="Énfasis3 2 2 2 2 2 3 3 5" xfId="14438" xr:uid="{F251225E-55EB-4966-9792-3C63DF55C858}"/>
    <cellStyle name="Énfasis3 2 2 2 2 2 3 4" xfId="14439" xr:uid="{3683B286-F83A-4309-9DA6-E590ECD944FB}"/>
    <cellStyle name="Énfasis3 2 2 2 2 2 3 5" xfId="14440" xr:uid="{042B72E6-2D26-4702-9B74-496E13B37D5A}"/>
    <cellStyle name="Énfasis3 2 2 2 2 2 3 6" xfId="14441" xr:uid="{F00559F8-8193-4A1A-AF86-99429D411D5F}"/>
    <cellStyle name="Énfasis3 2 2 2 2 2 3 7" xfId="14442" xr:uid="{F501BB39-D80A-42BD-9AD5-3507145CA54A}"/>
    <cellStyle name="Énfasis3 2 2 2 2 2 3 8" xfId="14443" xr:uid="{F9345526-2194-450D-8941-6814E93ED241}"/>
    <cellStyle name="Énfasis3 2 2 2 2 2 3 9" xfId="14444" xr:uid="{04A67752-1907-420D-BABD-DF974EDA8375}"/>
    <cellStyle name="Énfasis3 2 2 2 2 2 4" xfId="14445" xr:uid="{B59FC181-CF4A-4E00-B4B6-402E6CBC4814}"/>
    <cellStyle name="Énfasis3 2 2 2 2 2 5" xfId="14446" xr:uid="{A1593F64-17A1-4C18-9C4B-BE34852E218F}"/>
    <cellStyle name="Énfasis3 2 2 2 2 2 6" xfId="14447" xr:uid="{586221E5-0175-463B-9724-B8BABD6FACDE}"/>
    <cellStyle name="Énfasis3 2 2 2 2 3" xfId="14448" xr:uid="{D662554B-620E-4EEF-89A2-36689F86B684}"/>
    <cellStyle name="Énfasis3 2 2 2 2 4" xfId="14449" xr:uid="{FE02B2D1-F774-47A7-81E6-B3F246239F36}"/>
    <cellStyle name="Énfasis3 2 2 2 2 4 10" xfId="14450" xr:uid="{66092084-4AE1-47D2-B8E6-96094791859D}"/>
    <cellStyle name="Énfasis3 2 2 2 2 4 11" xfId="14451" xr:uid="{82CBC9F2-D841-42BD-8422-A8B74F5A1259}"/>
    <cellStyle name="Énfasis3 2 2 2 2 4 2" xfId="14452" xr:uid="{964798AF-937C-4D3B-91A4-6E3A0E862E23}"/>
    <cellStyle name="Énfasis3 2 2 2 2 4 2 10" xfId="14453" xr:uid="{09E6F69F-B34F-40E8-B4C8-A73987A3442F}"/>
    <cellStyle name="Énfasis3 2 2 2 2 4 2 11" xfId="14454" xr:uid="{590F1175-EA5A-4C52-B2DB-536D3D17DD67}"/>
    <cellStyle name="Énfasis3 2 2 2 2 4 2 2" xfId="14455" xr:uid="{7A0364DC-AE35-418D-B98D-28E9CEB8C543}"/>
    <cellStyle name="Énfasis3 2 2 2 2 4 2 2 2" xfId="14456" xr:uid="{FBAA0DAF-31E0-4371-B00F-CFF1BB8F9814}"/>
    <cellStyle name="Énfasis3 2 2 2 2 4 2 2 2 2" xfId="14457" xr:uid="{387BA6F0-762B-4057-8B31-F9D491813BA3}"/>
    <cellStyle name="Énfasis3 2 2 2 2 4 2 2 2 3" xfId="14458" xr:uid="{63728987-F9B0-4FFB-8EF1-95A0484A2EA2}"/>
    <cellStyle name="Énfasis3 2 2 2 2 4 2 2 2 4" xfId="14459" xr:uid="{68C47ADE-E9A0-4301-8050-F1EEA49D0CC2}"/>
    <cellStyle name="Énfasis3 2 2 2 2 4 2 2 2 5" xfId="14460" xr:uid="{333C94A6-49F7-477D-A947-8B1C3FC64265}"/>
    <cellStyle name="Énfasis3 2 2 2 2 4 2 2 3" xfId="14461" xr:uid="{436D9187-1F52-43C0-9B00-EEBD80422C78}"/>
    <cellStyle name="Énfasis3 2 2 2 2 4 2 2 4" xfId="14462" xr:uid="{1A8F8899-2F6F-49BE-B326-DF832798EB71}"/>
    <cellStyle name="Énfasis3 2 2 2 2 4 2 2 5" xfId="14463" xr:uid="{9834170D-59DA-49AD-BC7E-80DA9D6D6D9C}"/>
    <cellStyle name="Énfasis3 2 2 2 2 4 2 3" xfId="14464" xr:uid="{A3050092-81C7-4501-BC6D-E3606B21BB3B}"/>
    <cellStyle name="Énfasis3 2 2 2 2 4 2 4" xfId="14465" xr:uid="{B68054D2-E2E0-4D10-B659-84ACEAC9F35F}"/>
    <cellStyle name="Énfasis3 2 2 2 2 4 2 5" xfId="14466" xr:uid="{E6E4AB2C-C282-4A56-BEBF-16CFF354C6FB}"/>
    <cellStyle name="Énfasis3 2 2 2 2 4 2 6" xfId="14467" xr:uid="{FB10E3BA-DE5F-4D15-9FFC-8453F655B8A8}"/>
    <cellStyle name="Énfasis3 2 2 2 2 4 2 7" xfId="14468" xr:uid="{F3B6A14F-70F4-4D56-B30C-8367B5324066}"/>
    <cellStyle name="Énfasis3 2 2 2 2 4 2 8" xfId="14469" xr:uid="{52710075-B811-4525-BB06-651A3FC96CFA}"/>
    <cellStyle name="Énfasis3 2 2 2 2 4 2 9" xfId="14470" xr:uid="{757DD665-F695-4099-8B22-98B1704856D2}"/>
    <cellStyle name="Énfasis3 2 2 2 2 4 3" xfId="14471" xr:uid="{01FD8075-017C-4419-9789-58320F686299}"/>
    <cellStyle name="Énfasis3 2 2 2 2 4 3 2" xfId="14472" xr:uid="{32A3901E-2DD7-45F8-8587-0CFD6A317314}"/>
    <cellStyle name="Énfasis3 2 2 2 2 4 3 2 2" xfId="14473" xr:uid="{3CB5FC88-2FBD-4007-A606-F9D29D6AC5C2}"/>
    <cellStyle name="Énfasis3 2 2 2 2 4 3 2 3" xfId="14474" xr:uid="{20809CB1-F7CE-41EF-8BF4-6B0E8C28E37C}"/>
    <cellStyle name="Énfasis3 2 2 2 2 4 3 2 4" xfId="14475" xr:uid="{AC7B458A-FF13-4AFE-929E-9C7B81F5D2A5}"/>
    <cellStyle name="Énfasis3 2 2 2 2 4 3 2 5" xfId="14476" xr:uid="{43D7EC4C-302E-45A1-93B9-1DDF3DBFC11F}"/>
    <cellStyle name="Énfasis3 2 2 2 2 4 3 3" xfId="14477" xr:uid="{7110EFB1-2753-4FE7-B218-DA1A07B64E1B}"/>
    <cellStyle name="Énfasis3 2 2 2 2 4 3 4" xfId="14478" xr:uid="{DD427FCE-917F-4693-8E68-FB7337BF2DED}"/>
    <cellStyle name="Énfasis3 2 2 2 2 4 3 5" xfId="14479" xr:uid="{14E86604-6BC9-4905-AB22-B99635770B2C}"/>
    <cellStyle name="Énfasis3 2 2 2 2 4 4" xfId="14480" xr:uid="{47EB81B0-F94F-4015-BD8E-15848CCB581D}"/>
    <cellStyle name="Énfasis3 2 2 2 2 4 5" xfId="14481" xr:uid="{16D2EE05-F589-432D-9C63-D90A6CA779BE}"/>
    <cellStyle name="Énfasis3 2 2 2 2 4 6" xfId="14482" xr:uid="{FADDC7AE-F07B-4551-8E1E-46E7F229ED02}"/>
    <cellStyle name="Énfasis3 2 2 2 2 4 7" xfId="14483" xr:uid="{3436F14F-830F-4C67-A04D-ED2A79C429E5}"/>
    <cellStyle name="Énfasis3 2 2 2 2 4 8" xfId="14484" xr:uid="{F05EA8C5-7AAA-4918-99A0-767AE8308B29}"/>
    <cellStyle name="Énfasis3 2 2 2 2 4 9" xfId="14485" xr:uid="{AB9B057B-4B32-4E50-BB4E-24833F8F0BE0}"/>
    <cellStyle name="Énfasis3 2 2 2 2 5" xfId="14486" xr:uid="{F7F7864E-B370-4248-85B4-F6C4E65439FB}"/>
    <cellStyle name="Énfasis3 2 2 2 2 6" xfId="14487" xr:uid="{437FFF65-CA6E-43F7-9560-8F648FF694C4}"/>
    <cellStyle name="Énfasis3 2 2 2 2 7" xfId="14488" xr:uid="{25FF4609-1BEE-48D7-851A-0CCE15BBDFAA}"/>
    <cellStyle name="Énfasis3 2 2 2 3" xfId="14489" xr:uid="{539A2343-0A5E-461F-B730-559B5859B108}"/>
    <cellStyle name="Énfasis3 2 2 2 4" xfId="14490" xr:uid="{ABF6FD27-901B-4562-A2C8-74704025D877}"/>
    <cellStyle name="Énfasis3 2 2 2 5" xfId="14491" xr:uid="{E7B177B4-25AD-4DE0-ADC5-AFC956706145}"/>
    <cellStyle name="Énfasis3 2 2 2 5 10" xfId="14492" xr:uid="{40672CA7-1682-4502-BF8A-FC8C8115C122}"/>
    <cellStyle name="Énfasis3 2 2 2 5 11" xfId="14493" xr:uid="{B5E856B4-5075-4B27-8280-4A00ECCD1710}"/>
    <cellStyle name="Énfasis3 2 2 2 5 2" xfId="14494" xr:uid="{F0B69246-B709-49FA-BFCE-6FF9300A1CBD}"/>
    <cellStyle name="Énfasis3 2 2 2 5 2 10" xfId="14495" xr:uid="{F50C0D9F-27BA-479B-BADE-30AD4BCC6FD0}"/>
    <cellStyle name="Énfasis3 2 2 2 5 2 11" xfId="14496" xr:uid="{FB67EEBE-6172-436A-A14D-6B174D4D1F2B}"/>
    <cellStyle name="Énfasis3 2 2 2 5 2 2" xfId="14497" xr:uid="{2CE99A15-8358-4AF2-B17F-5DFFAA10143B}"/>
    <cellStyle name="Énfasis3 2 2 2 5 2 2 2" xfId="14498" xr:uid="{00C8D379-A0E1-4A65-8334-4AFF37E0600C}"/>
    <cellStyle name="Énfasis3 2 2 2 5 2 2 2 2" xfId="14499" xr:uid="{51068F7F-0C87-44F9-8D6B-3E3932F565C3}"/>
    <cellStyle name="Énfasis3 2 2 2 5 2 2 2 3" xfId="14500" xr:uid="{D674A3BA-FDCB-4CFB-AB1F-85E0ED1275EC}"/>
    <cellStyle name="Énfasis3 2 2 2 5 2 2 2 4" xfId="14501" xr:uid="{487C5717-7132-4B08-A1EB-031F13B3DC82}"/>
    <cellStyle name="Énfasis3 2 2 2 5 2 2 2 5" xfId="14502" xr:uid="{38122FB8-6361-4103-A3BB-EEB5ED3F4814}"/>
    <cellStyle name="Énfasis3 2 2 2 5 2 2 3" xfId="14503" xr:uid="{26A142DA-6C6B-4CA1-9A6E-27D9E59C948D}"/>
    <cellStyle name="Énfasis3 2 2 2 5 2 2 4" xfId="14504" xr:uid="{53321008-03A2-4648-809F-78F2DA76AF6C}"/>
    <cellStyle name="Énfasis3 2 2 2 5 2 2 5" xfId="14505" xr:uid="{827A3FF0-4C3F-497D-B83B-7E374C40A6FA}"/>
    <cellStyle name="Énfasis3 2 2 2 5 2 3" xfId="14506" xr:uid="{E5232EE8-8CDA-47D5-94EA-EEB1577A1681}"/>
    <cellStyle name="Énfasis3 2 2 2 5 2 4" xfId="14507" xr:uid="{194BDEEC-3B43-453E-BB38-E1936DCF72EA}"/>
    <cellStyle name="Énfasis3 2 2 2 5 2 5" xfId="14508" xr:uid="{1A7D1D8F-FDEA-4129-A5CC-877247817845}"/>
    <cellStyle name="Énfasis3 2 2 2 5 2 6" xfId="14509" xr:uid="{84BB6B8C-A56C-4E49-BAC0-7B905534E78A}"/>
    <cellStyle name="Énfasis3 2 2 2 5 2 7" xfId="14510" xr:uid="{B8E779CE-0DC7-428F-9649-16247702D22F}"/>
    <cellStyle name="Énfasis3 2 2 2 5 2 8" xfId="14511" xr:uid="{D5DD90AD-28B4-443B-91C5-6BB12C137F16}"/>
    <cellStyle name="Énfasis3 2 2 2 5 2 9" xfId="14512" xr:uid="{A8CAAFAF-30A3-41AE-ACD6-199376F0365E}"/>
    <cellStyle name="Énfasis3 2 2 2 5 3" xfId="14513" xr:uid="{C2F5155D-4B5D-42F3-BC2C-8F233E41FDC6}"/>
    <cellStyle name="Énfasis3 2 2 2 5 3 2" xfId="14514" xr:uid="{348CFD3F-2E3A-45E3-BDB5-15E4BF802286}"/>
    <cellStyle name="Énfasis3 2 2 2 5 3 2 2" xfId="14515" xr:uid="{806C5688-553E-47A9-A60C-FA447D4561B7}"/>
    <cellStyle name="Énfasis3 2 2 2 5 3 2 3" xfId="14516" xr:uid="{A832A520-F747-4FDF-BD23-3BD4DEB8B839}"/>
    <cellStyle name="Énfasis3 2 2 2 5 3 2 4" xfId="14517" xr:uid="{1F5BE350-91C6-428D-B4AB-9AB2F57BA6FE}"/>
    <cellStyle name="Énfasis3 2 2 2 5 3 2 5" xfId="14518" xr:uid="{329CF83A-3D81-4CA4-8200-343E242AEC6B}"/>
    <cellStyle name="Énfasis3 2 2 2 5 3 3" xfId="14519" xr:uid="{60563C18-8C21-4200-89C4-E225C5378168}"/>
    <cellStyle name="Énfasis3 2 2 2 5 3 4" xfId="14520" xr:uid="{290C6588-5C99-491D-8BAD-311F604FBD22}"/>
    <cellStyle name="Énfasis3 2 2 2 5 3 5" xfId="14521" xr:uid="{30CB4433-B2EE-487A-8A78-91E4DED9D081}"/>
    <cellStyle name="Énfasis3 2 2 2 5 4" xfId="14522" xr:uid="{FAC8BF07-B0F5-4602-A3EB-5291E11B04F7}"/>
    <cellStyle name="Énfasis3 2 2 2 5 5" xfId="14523" xr:uid="{FF876F14-B06E-435D-ABE7-84219AC917DE}"/>
    <cellStyle name="Énfasis3 2 2 2 5 6" xfId="14524" xr:uid="{C2FBE31C-F8C7-4017-8646-7E4427E6D372}"/>
    <cellStyle name="Énfasis3 2 2 2 5 7" xfId="14525" xr:uid="{57CBC293-5722-4720-90A2-6786564D6441}"/>
    <cellStyle name="Énfasis3 2 2 2 5 8" xfId="14526" xr:uid="{5F0626A0-149E-40D0-BBD8-E31BC79597B0}"/>
    <cellStyle name="Énfasis3 2 2 2 5 9" xfId="14527" xr:uid="{99DEDDB4-4921-492D-AEBE-8259404A96B2}"/>
    <cellStyle name="Énfasis3 2 2 2 6" xfId="14528" xr:uid="{234FAC62-BDE1-498A-AC66-B6AF62A37DCB}"/>
    <cellStyle name="Énfasis3 2 2 2 7" xfId="14529" xr:uid="{B9663DC6-427D-4102-A7E6-4426D35054C6}"/>
    <cellStyle name="Énfasis3 2 2 2 8" xfId="14530" xr:uid="{AEDC525C-612D-4664-80C4-FDD7BC8DE872}"/>
    <cellStyle name="Énfasis3 2 2 3" xfId="14531" xr:uid="{92CAD0D9-9173-43B7-B476-40359FA7A666}"/>
    <cellStyle name="Énfasis3 2 2 4" xfId="14532" xr:uid="{CC197426-DA49-4347-9F40-58DEB4DCD227}"/>
    <cellStyle name="Énfasis3 2 2 5" xfId="14533" xr:uid="{C1E21F0F-ABAB-4A10-BA48-EA9E11855E90}"/>
    <cellStyle name="Énfasis3 2 2 6" xfId="14534" xr:uid="{E976C2FB-30EF-4CD5-B9AB-395642602D88}"/>
    <cellStyle name="Énfasis3 2 2 7" xfId="14535" xr:uid="{F730658D-A2FC-4A72-B59F-34038D1EB760}"/>
    <cellStyle name="Énfasis3 2 2 8" xfId="14536" xr:uid="{897DEBAF-10F2-4469-B925-FF9B5E67D61E}"/>
    <cellStyle name="Énfasis3 2 2 8 2" xfId="14537" xr:uid="{262A309A-8AEC-4D43-8E0C-C1C5597DA171}"/>
    <cellStyle name="Énfasis3 2 2 9" xfId="14538" xr:uid="{4772C074-8DB8-4DEB-AA07-8A2E937317E7}"/>
    <cellStyle name="Énfasis3 2 3" xfId="14539" xr:uid="{C683220E-A502-4728-8E36-52919F10C10C}"/>
    <cellStyle name="Énfasis3 2 4" xfId="14540" xr:uid="{DA9FCC00-D60C-4EFE-94BC-01403D23D9D0}"/>
    <cellStyle name="Énfasis3 2 4 10" xfId="14541" xr:uid="{154E5ADD-E571-4911-A947-2D8E7DD5BC6A}"/>
    <cellStyle name="Énfasis3 2 4 11" xfId="14542" xr:uid="{38DB3AAF-9F7A-4623-958A-127908F2EFAF}"/>
    <cellStyle name="Énfasis3 2 4 12" xfId="14543" xr:uid="{0E96AA31-8229-4B72-8E40-81170626460B}"/>
    <cellStyle name="Énfasis3 2 4 2" xfId="14544" xr:uid="{E31EB632-8CFC-4E46-B31D-DF78C75C8CE4}"/>
    <cellStyle name="Énfasis3 2 4 2 10" xfId="14545" xr:uid="{44FD0638-C1C9-4FAC-B580-48EA0651F11D}"/>
    <cellStyle name="Énfasis3 2 4 2 11" xfId="14546" xr:uid="{36FBC3F6-4377-487F-A488-F8DE5667404C}"/>
    <cellStyle name="Énfasis3 2 4 2 12" xfId="14547" xr:uid="{E4CCC2F8-0A75-40BE-B664-0CD1081D79C1}"/>
    <cellStyle name="Énfasis3 2 4 2 2" xfId="14548" xr:uid="{F2308ABB-9F83-4374-B693-BAD9D0898774}"/>
    <cellStyle name="Énfasis3 2 4 2 2 10" xfId="14549" xr:uid="{3049241E-76EA-47CC-9235-79B92C631AA6}"/>
    <cellStyle name="Énfasis3 2 4 2 2 11" xfId="14550" xr:uid="{1F484E35-361E-4F17-ABE1-AA26D5461252}"/>
    <cellStyle name="Énfasis3 2 4 2 2 2" xfId="14551" xr:uid="{C302BB7C-487E-4BA0-9224-B43D58838184}"/>
    <cellStyle name="Énfasis3 2 4 2 2 2 10" xfId="14552" xr:uid="{161B3F07-A6DB-41B2-8755-663C9F8ED179}"/>
    <cellStyle name="Énfasis3 2 4 2 2 2 11" xfId="14553" xr:uid="{68DBEB69-B068-4563-B751-DAECB6507D88}"/>
    <cellStyle name="Énfasis3 2 4 2 2 2 2" xfId="14554" xr:uid="{21DD58F0-D86B-4802-A4F9-96B4FE5F9CAC}"/>
    <cellStyle name="Énfasis3 2 4 2 2 2 2 2" xfId="14555" xr:uid="{4362466F-E194-4CC7-A925-2BFB99C21EF9}"/>
    <cellStyle name="Énfasis3 2 4 2 2 2 2 2 2" xfId="14556" xr:uid="{03629025-1A29-4F8F-99F7-0E8E51D82454}"/>
    <cellStyle name="Énfasis3 2 4 2 2 2 2 2 3" xfId="14557" xr:uid="{CBC73D3E-C87A-4FB4-9886-A97E4946D52F}"/>
    <cellStyle name="Énfasis3 2 4 2 2 2 2 2 4" xfId="14558" xr:uid="{E80C45D6-6FCD-4F34-BBF6-AEDACD5517EE}"/>
    <cellStyle name="Énfasis3 2 4 2 2 2 2 2 5" xfId="14559" xr:uid="{4E111D34-E739-4C9E-A584-77513AF5E7AE}"/>
    <cellStyle name="Énfasis3 2 4 2 2 2 2 3" xfId="14560" xr:uid="{B34AC1D5-6A41-429D-8375-0013EEEBB1E1}"/>
    <cellStyle name="Énfasis3 2 4 2 2 2 2 4" xfId="14561" xr:uid="{4056DA29-AD96-4523-B442-DDCE79E0FB29}"/>
    <cellStyle name="Énfasis3 2 4 2 2 2 2 5" xfId="14562" xr:uid="{974F051C-6540-4F48-9E42-20A0E1EC551B}"/>
    <cellStyle name="Énfasis3 2 4 2 2 2 3" xfId="14563" xr:uid="{742FB66A-7379-43C6-B637-57B5E065239C}"/>
    <cellStyle name="Énfasis3 2 4 2 2 2 4" xfId="14564" xr:uid="{9575FCCE-9A7D-4778-9FCB-ACA289BEA93E}"/>
    <cellStyle name="Énfasis3 2 4 2 2 2 5" xfId="14565" xr:uid="{B9F4E531-6EEB-4DC2-8EC4-6C95279E0671}"/>
    <cellStyle name="Énfasis3 2 4 2 2 2 6" xfId="14566" xr:uid="{7E35BC03-DEE2-4FD9-B8CB-6678355E6BDB}"/>
    <cellStyle name="Énfasis3 2 4 2 2 2 7" xfId="14567" xr:uid="{83A12ACE-B3A1-4FF4-97D2-39CB9D0C47BA}"/>
    <cellStyle name="Énfasis3 2 4 2 2 2 8" xfId="14568" xr:uid="{9672D5EA-F0E1-43B2-83CA-014AAA00A749}"/>
    <cellStyle name="Énfasis3 2 4 2 2 2 9" xfId="14569" xr:uid="{EB475BA8-9A91-448C-B31F-62CB92875640}"/>
    <cellStyle name="Énfasis3 2 4 2 2 3" xfId="14570" xr:uid="{30D45F84-4192-437C-B8D6-786A44ABADB0}"/>
    <cellStyle name="Énfasis3 2 4 2 2 3 2" xfId="14571" xr:uid="{DA9C38DC-BBF0-4D86-BC8D-3E2189134F53}"/>
    <cellStyle name="Énfasis3 2 4 2 2 3 2 2" xfId="14572" xr:uid="{8D9A5C50-0AC0-4919-BC85-D7C9FD282582}"/>
    <cellStyle name="Énfasis3 2 4 2 2 3 2 3" xfId="14573" xr:uid="{6B378185-97B6-41E5-ADB8-91D093515641}"/>
    <cellStyle name="Énfasis3 2 4 2 2 3 2 4" xfId="14574" xr:uid="{4EF01906-0C22-4FD4-8F69-0AAAFB0DB0A2}"/>
    <cellStyle name="Énfasis3 2 4 2 2 3 2 5" xfId="14575" xr:uid="{CD82223D-DC54-45DE-A8A2-6AA0075F7D1E}"/>
    <cellStyle name="Énfasis3 2 4 2 2 3 3" xfId="14576" xr:uid="{F943402B-BBCA-4D95-AFAE-4C36B69EB627}"/>
    <cellStyle name="Énfasis3 2 4 2 2 3 4" xfId="14577" xr:uid="{C40E35BC-2EBF-4DF2-B8AB-FB412DA6A1E2}"/>
    <cellStyle name="Énfasis3 2 4 2 2 3 5" xfId="14578" xr:uid="{68F044A8-EDE6-4C4A-844B-AA381C5C23CB}"/>
    <cellStyle name="Énfasis3 2 4 2 2 4" xfId="14579" xr:uid="{3D05577A-73E2-4FE2-93F7-72EF23FA109E}"/>
    <cellStyle name="Énfasis3 2 4 2 2 5" xfId="14580" xr:uid="{4F710CBE-1B5B-4F15-B4E8-FFDDD3159170}"/>
    <cellStyle name="Énfasis3 2 4 2 2 6" xfId="14581" xr:uid="{C6CB71AF-5F93-46CD-85BF-FCCF27082399}"/>
    <cellStyle name="Énfasis3 2 4 2 2 7" xfId="14582" xr:uid="{E216454F-E6AE-4F05-AC71-B465149C0A4D}"/>
    <cellStyle name="Énfasis3 2 4 2 2 8" xfId="14583" xr:uid="{A3F0D126-A99B-461C-90D5-05651AFBED06}"/>
    <cellStyle name="Énfasis3 2 4 2 2 9" xfId="14584" xr:uid="{86D853F3-36A4-4355-9F3C-956C55D1A85D}"/>
    <cellStyle name="Énfasis3 2 4 2 3" xfId="14585" xr:uid="{44B4F166-8B2E-4364-8FC4-E73359343B78}"/>
    <cellStyle name="Énfasis3 2 4 2 3 2" xfId="14586" xr:uid="{0E18ED2E-60C4-4973-B759-D7B46D56372B}"/>
    <cellStyle name="Énfasis3 2 4 2 3 2 2" xfId="14587" xr:uid="{1253FEE5-DC62-42AD-950D-FC909A436229}"/>
    <cellStyle name="Énfasis3 2 4 2 3 2 3" xfId="14588" xr:uid="{E6BFFBB1-2E55-495E-8918-99E95F9F12C5}"/>
    <cellStyle name="Énfasis3 2 4 2 3 2 4" xfId="14589" xr:uid="{DF52CD92-1682-4A87-857D-F139067A85CC}"/>
    <cellStyle name="Énfasis3 2 4 2 3 2 5" xfId="14590" xr:uid="{647835A7-69CE-47E3-9C9C-123083F161A0}"/>
    <cellStyle name="Énfasis3 2 4 2 3 3" xfId="14591" xr:uid="{6BA4C8B4-AE97-4BF4-A086-6E6FF24207D2}"/>
    <cellStyle name="Énfasis3 2 4 2 3 4" xfId="14592" xr:uid="{3C5FDB6D-B897-4D97-9FED-EB02D9D0A709}"/>
    <cellStyle name="Énfasis3 2 4 2 3 5" xfId="14593" xr:uid="{0097C618-12AB-4BA6-88CD-87193EDB8A1B}"/>
    <cellStyle name="Énfasis3 2 4 2 4" xfId="14594" xr:uid="{CC857744-54C4-4F73-8F83-BF409149BECC}"/>
    <cellStyle name="Énfasis3 2 4 2 5" xfId="14595" xr:uid="{305B26DA-E41A-4E6D-B9A9-5F7630B028B7}"/>
    <cellStyle name="Énfasis3 2 4 2 6" xfId="14596" xr:uid="{B3D4C754-E622-47AD-9753-B34A97615317}"/>
    <cellStyle name="Énfasis3 2 4 2 7" xfId="14597" xr:uid="{3292ECCE-B67E-42CC-B514-0BF1402ED194}"/>
    <cellStyle name="Énfasis3 2 4 2 8" xfId="14598" xr:uid="{1D975776-E327-4BC4-A8E0-6D3E16E4C9EB}"/>
    <cellStyle name="Énfasis3 2 4 2 9" xfId="14599" xr:uid="{17BA0645-AF81-4588-9BBD-3B874D8EAA67}"/>
    <cellStyle name="Énfasis3 2 4 3" xfId="14600" xr:uid="{F6C410BC-6DC2-4775-ADD0-DA51B45DE3CA}"/>
    <cellStyle name="Énfasis3 2 4 3 10" xfId="14601" xr:uid="{BE5F5B92-BBF5-4CAD-AAAF-1B1165D12776}"/>
    <cellStyle name="Énfasis3 2 4 3 11" xfId="14602" xr:uid="{D4B52E2F-1B93-4626-B621-D0D5CF228845}"/>
    <cellStyle name="Énfasis3 2 4 3 2" xfId="14603" xr:uid="{3AE330C9-A413-406E-814A-F7A4DC2FE103}"/>
    <cellStyle name="Énfasis3 2 4 3 2 2" xfId="14604" xr:uid="{9BF1E141-4A91-4D7D-B2CE-15E7CEEC5FF1}"/>
    <cellStyle name="Énfasis3 2 4 3 2 2 2" xfId="14605" xr:uid="{32DDE0F5-5DE5-48A8-A963-4AB874B6DC76}"/>
    <cellStyle name="Énfasis3 2 4 3 2 2 3" xfId="14606" xr:uid="{D871D838-7F38-4EF2-9814-330F598D00B6}"/>
    <cellStyle name="Énfasis3 2 4 3 2 2 4" xfId="14607" xr:uid="{597DF210-D8C8-45C7-9D57-3DE1797D5321}"/>
    <cellStyle name="Énfasis3 2 4 3 2 2 5" xfId="14608" xr:uid="{57C947E5-E4E0-4035-AE52-6032D8B898C2}"/>
    <cellStyle name="Énfasis3 2 4 3 2 3" xfId="14609" xr:uid="{7A26F57E-482D-4E29-98FC-D47D12C0B5CB}"/>
    <cellStyle name="Énfasis3 2 4 3 2 4" xfId="14610" xr:uid="{A8F81DC4-D3CA-4886-A657-B8536B606582}"/>
    <cellStyle name="Énfasis3 2 4 3 2 5" xfId="14611" xr:uid="{6DFFC64A-8291-495F-BE08-38C0B68A107E}"/>
    <cellStyle name="Énfasis3 2 4 3 3" xfId="14612" xr:uid="{307C3FD6-EE56-4DE0-852F-F5A55947E2E6}"/>
    <cellStyle name="Énfasis3 2 4 3 4" xfId="14613" xr:uid="{8C7F27FD-8DE4-4AC6-997F-CF4AD9E7C632}"/>
    <cellStyle name="Énfasis3 2 4 3 5" xfId="14614" xr:uid="{30B83A03-AF2C-4136-B0FB-65F2A2E4C783}"/>
    <cellStyle name="Énfasis3 2 4 3 6" xfId="14615" xr:uid="{341840B0-FAE5-45A1-904C-0CEDC54B5352}"/>
    <cellStyle name="Énfasis3 2 4 3 7" xfId="14616" xr:uid="{3DDE4175-F0EC-4722-8877-63DF9C52B029}"/>
    <cellStyle name="Énfasis3 2 4 3 8" xfId="14617" xr:uid="{71DD1E70-1BC5-4CEB-81D6-D9EC53F90CCB}"/>
    <cellStyle name="Énfasis3 2 4 3 9" xfId="14618" xr:uid="{E4B71FFD-AC29-4D5D-9675-30DED9A227A8}"/>
    <cellStyle name="Énfasis3 2 4 4" xfId="14619" xr:uid="{2D0C30CA-A6C1-4D22-A89E-5BA597F8E75C}"/>
    <cellStyle name="Énfasis3 2 4 4 2" xfId="14620" xr:uid="{B390C646-225B-451B-8B00-EF7A58CA18DC}"/>
    <cellStyle name="Énfasis3 2 4 4 2 2" xfId="14621" xr:uid="{AB6AFA89-140A-4F0E-B481-E66F69604941}"/>
    <cellStyle name="Énfasis3 2 4 4 2 3" xfId="14622" xr:uid="{7310E128-64C4-42B8-B213-B585291085CF}"/>
    <cellStyle name="Énfasis3 2 4 4 2 4" xfId="14623" xr:uid="{65CB6DEB-45DB-4D8D-9F83-50E58AC264DC}"/>
    <cellStyle name="Énfasis3 2 4 4 2 5" xfId="14624" xr:uid="{7050FCFC-097D-4F66-8865-724A25006025}"/>
    <cellStyle name="Énfasis3 2 4 4 3" xfId="14625" xr:uid="{2D106B2A-47F4-453F-83A3-1B6C3638EDFD}"/>
    <cellStyle name="Énfasis3 2 4 4 4" xfId="14626" xr:uid="{658FA457-9D7E-4BAE-9803-7EEBEAC03F52}"/>
    <cellStyle name="Énfasis3 2 4 4 5" xfId="14627" xr:uid="{0124A052-017E-4D57-B56C-D747E4E39F81}"/>
    <cellStyle name="Énfasis3 2 4 5" xfId="14628" xr:uid="{41FC7089-5A34-4C66-ABF6-1E66320B0C04}"/>
    <cellStyle name="Énfasis3 2 4 6" xfId="14629" xr:uid="{AC687DCF-F09F-46FB-B2A1-4B3E6493A313}"/>
    <cellStyle name="Énfasis3 2 4 7" xfId="14630" xr:uid="{DFF15A31-9F98-4234-92C6-7BC3D9C084B9}"/>
    <cellStyle name="Énfasis3 2 4 8" xfId="14631" xr:uid="{9849B214-1B39-4DC8-ADDC-9295672E5DA2}"/>
    <cellStyle name="Énfasis3 2 4 9" xfId="14632" xr:uid="{1FE380E5-3E2D-4EFC-B7FA-BD9281512C83}"/>
    <cellStyle name="Énfasis3 2 5" xfId="14633" xr:uid="{0DDDFF32-F228-46E7-A423-D32DA4510EA9}"/>
    <cellStyle name="Énfasis3 2 6" xfId="14634" xr:uid="{09E6C1B6-66A7-416F-A001-FBAAFB2881BA}"/>
    <cellStyle name="Énfasis3 2 7" xfId="14635" xr:uid="{4059381C-129F-41EB-9B2C-1D43DBB59ED5}"/>
    <cellStyle name="Énfasis3 2 8" xfId="14636" xr:uid="{DE27C412-E314-4C3D-8207-72BC211276BE}"/>
    <cellStyle name="Énfasis3 2 8 2" xfId="14637" xr:uid="{7AA888F1-39D5-4018-94E2-4A1A8F72553A}"/>
    <cellStyle name="Énfasis3 2 9" xfId="14638" xr:uid="{9484317C-348F-4D6B-A8F0-8626FAFF0BDA}"/>
    <cellStyle name="Énfasis3 3" xfId="14639" xr:uid="{66B7679D-E568-4194-B3FC-52E002468DEB}"/>
    <cellStyle name="Énfasis3 3 2" xfId="14640" xr:uid="{0C74CB64-3673-466C-ABA6-CA3C2762B996}"/>
    <cellStyle name="Énfasis3 3 3" xfId="14641" xr:uid="{DA3FF627-FA4D-41C6-B457-A8D462A083A6}"/>
    <cellStyle name="Énfasis3 4" xfId="14642" xr:uid="{C56ABB2F-7214-4B5B-BFFF-3611991F04CE}"/>
    <cellStyle name="Énfasis4" xfId="32" builtinId="41" customBuiltin="1"/>
    <cellStyle name="Énfasis4 2" xfId="14643" xr:uid="{96361519-9655-4377-A7CC-FBA89719C796}"/>
    <cellStyle name="Énfasis4 2 10" xfId="14644" xr:uid="{F6705658-72CD-4461-95E6-EE8D244D12C8}"/>
    <cellStyle name="Énfasis4 2 10 10" xfId="14645" xr:uid="{012D1530-AED3-4EF7-A83A-949CDE48E22A}"/>
    <cellStyle name="Énfasis4 2 10 11" xfId="14646" xr:uid="{FAC08DBD-9685-4D2D-A881-DC6F56FC4D97}"/>
    <cellStyle name="Énfasis4 2 10 2" xfId="14647" xr:uid="{06234FA1-9911-4291-8DFD-1E4F1F533085}"/>
    <cellStyle name="Énfasis4 2 10 2 10" xfId="14648" xr:uid="{32C1D979-DCD7-4AFC-A254-AC6FF0FDF0BF}"/>
    <cellStyle name="Énfasis4 2 10 2 11" xfId="14649" xr:uid="{58BA5D3C-9456-4ED2-B283-8C4A17ECEAF5}"/>
    <cellStyle name="Énfasis4 2 10 2 2" xfId="14650" xr:uid="{C9724CDB-4F45-455A-ADFD-CD54971E1EBE}"/>
    <cellStyle name="Énfasis4 2 10 2 2 2" xfId="14651" xr:uid="{91794DD7-6421-459A-B35A-414A7186DB99}"/>
    <cellStyle name="Énfasis4 2 10 2 2 2 2" xfId="14652" xr:uid="{81DEB5B2-94E5-4257-8A87-5C025EF236C9}"/>
    <cellStyle name="Énfasis4 2 10 2 2 2 3" xfId="14653" xr:uid="{81EE9A09-7765-4EEC-A62B-894F4C9D9A7B}"/>
    <cellStyle name="Énfasis4 2 10 2 2 2 4" xfId="14654" xr:uid="{82C82B73-D76D-4667-8C1A-AB2952CDF136}"/>
    <cellStyle name="Énfasis4 2 10 2 2 2 5" xfId="14655" xr:uid="{3D711BD1-A922-46B4-9274-1C1E51CCB8AA}"/>
    <cellStyle name="Énfasis4 2 10 2 2 3" xfId="14656" xr:uid="{AA069568-9AE9-49B5-A9C9-190A1B67A6DA}"/>
    <cellStyle name="Énfasis4 2 10 2 2 4" xfId="14657" xr:uid="{32274B0D-5004-4835-91B1-192B184DE92C}"/>
    <cellStyle name="Énfasis4 2 10 2 2 5" xfId="14658" xr:uid="{7EC81054-D5CF-4AC5-A425-523D0633F88D}"/>
    <cellStyle name="Énfasis4 2 10 2 3" xfId="14659" xr:uid="{A591E512-A452-40CB-AC6E-640C70231410}"/>
    <cellStyle name="Énfasis4 2 10 2 4" xfId="14660" xr:uid="{EE77306F-9E73-4DAF-86AC-DE015CCE734C}"/>
    <cellStyle name="Énfasis4 2 10 2 5" xfId="14661" xr:uid="{A10A5192-B2F4-4234-9857-E0ADB7D2530F}"/>
    <cellStyle name="Énfasis4 2 10 2 6" xfId="14662" xr:uid="{66DBE9D5-F370-44BF-838D-96F7B1A3EA65}"/>
    <cellStyle name="Énfasis4 2 10 2 7" xfId="14663" xr:uid="{81D712B5-AE33-4151-8193-8FAD1F962233}"/>
    <cellStyle name="Énfasis4 2 10 2 8" xfId="14664" xr:uid="{ECE30D2C-B812-42E2-B902-1B131C27151B}"/>
    <cellStyle name="Énfasis4 2 10 2 9" xfId="14665" xr:uid="{7A128683-2520-4434-AD22-732AC0701A46}"/>
    <cellStyle name="Énfasis4 2 10 3" xfId="14666" xr:uid="{5582DF1F-3ABB-4439-B19A-590356055485}"/>
    <cellStyle name="Énfasis4 2 10 3 2" xfId="14667" xr:uid="{1936F780-61B8-4225-8464-CDD7C7BD2D66}"/>
    <cellStyle name="Énfasis4 2 10 3 2 2" xfId="14668" xr:uid="{570197D7-2AAE-49CC-A08E-082A97CDAE8D}"/>
    <cellStyle name="Énfasis4 2 10 3 2 3" xfId="14669" xr:uid="{5F12BCF2-C84D-4EE3-B18C-ACD6C3920097}"/>
    <cellStyle name="Énfasis4 2 10 3 2 4" xfId="14670" xr:uid="{551DAF61-C179-4E04-AD4D-BB158ACFF02E}"/>
    <cellStyle name="Énfasis4 2 10 3 2 5" xfId="14671" xr:uid="{E6389FF2-03E3-43EC-8D83-A43F83169BC9}"/>
    <cellStyle name="Énfasis4 2 10 3 3" xfId="14672" xr:uid="{EA317C4F-D966-4B4C-BA6A-5B4FB25E6B6C}"/>
    <cellStyle name="Énfasis4 2 10 3 4" xfId="14673" xr:uid="{BAC93405-6C78-4C11-B225-AE52F4FEC281}"/>
    <cellStyle name="Énfasis4 2 10 3 5" xfId="14674" xr:uid="{DF17523A-8CE9-4AE1-9C6E-ED65F30EAB80}"/>
    <cellStyle name="Énfasis4 2 10 4" xfId="14675" xr:uid="{C93D882B-A269-41C3-B5D2-3703AC3F7509}"/>
    <cellStyle name="Énfasis4 2 10 5" xfId="14676" xr:uid="{D231B265-FDA6-485F-892B-5E7ADEF2FC4C}"/>
    <cellStyle name="Énfasis4 2 10 6" xfId="14677" xr:uid="{0A47E529-A982-4151-B43A-CA41E5DBA146}"/>
    <cellStyle name="Énfasis4 2 10 7" xfId="14678" xr:uid="{C678A911-76A3-4353-988B-0DE8EEE53B07}"/>
    <cellStyle name="Énfasis4 2 10 8" xfId="14679" xr:uid="{2E9AC869-6282-4D5A-B12E-F18EAF4A7051}"/>
    <cellStyle name="Énfasis4 2 10 9" xfId="14680" xr:uid="{22461924-E667-46BC-9DD3-2739CF567B2D}"/>
    <cellStyle name="Énfasis4 2 11" xfId="14681" xr:uid="{F46F6299-BC65-40E8-9357-883D84BE9199}"/>
    <cellStyle name="Énfasis4 2 12" xfId="14682" xr:uid="{851A52EE-E591-4B71-BC47-50C83E297FDE}"/>
    <cellStyle name="Énfasis4 2 13" xfId="14683" xr:uid="{B720B4F1-D64E-469A-94FC-9C06053E8802}"/>
    <cellStyle name="Énfasis4 2 2" xfId="14684" xr:uid="{99B89814-EE2B-4DF6-9B27-E0B5DBFA92F3}"/>
    <cellStyle name="Énfasis4 2 2 10" xfId="14685" xr:uid="{956F553F-4434-4657-9668-EFC99A1D6524}"/>
    <cellStyle name="Énfasis4 2 2 10 10" xfId="14686" xr:uid="{5CA24C5C-8612-4934-ABE8-B8D6A6111422}"/>
    <cellStyle name="Énfasis4 2 2 10 11" xfId="14687" xr:uid="{96FEDDE2-C33E-4502-B9F5-9B5E83A61F8F}"/>
    <cellStyle name="Énfasis4 2 2 10 2" xfId="14688" xr:uid="{805201C8-EBAA-4B99-9069-F37F3284C1CF}"/>
    <cellStyle name="Énfasis4 2 2 10 2 10" xfId="14689" xr:uid="{A11216B8-953D-4B71-97CF-1BA1EF42BEBE}"/>
    <cellStyle name="Énfasis4 2 2 10 2 11" xfId="14690" xr:uid="{196FAAEE-2FB9-478B-8DF6-84B618E770C4}"/>
    <cellStyle name="Énfasis4 2 2 10 2 2" xfId="14691" xr:uid="{F49BCF1C-FFE5-4DC7-AC65-9957E5E7554A}"/>
    <cellStyle name="Énfasis4 2 2 10 2 2 2" xfId="14692" xr:uid="{0DD5B6F0-9EEB-49E4-A50C-3E337001F997}"/>
    <cellStyle name="Énfasis4 2 2 10 2 2 2 2" xfId="14693" xr:uid="{AB324DBB-D8CB-4F53-A8D5-B71E039EF218}"/>
    <cellStyle name="Énfasis4 2 2 10 2 2 2 3" xfId="14694" xr:uid="{EEADBC47-697C-4F9E-8866-B08C4054F9AC}"/>
    <cellStyle name="Énfasis4 2 2 10 2 2 2 4" xfId="14695" xr:uid="{4CB6E429-20B2-4E79-B2A6-B75537B31B62}"/>
    <cellStyle name="Énfasis4 2 2 10 2 2 2 5" xfId="14696" xr:uid="{C90AA2A2-719F-4A33-8FBC-D176E29AFD2F}"/>
    <cellStyle name="Énfasis4 2 2 10 2 2 3" xfId="14697" xr:uid="{9D9FC794-47A9-4255-AA75-A1191B269DD1}"/>
    <cellStyle name="Énfasis4 2 2 10 2 2 4" xfId="14698" xr:uid="{E3E7555B-8AC2-4BC1-B316-016AED08B875}"/>
    <cellStyle name="Énfasis4 2 2 10 2 2 5" xfId="14699" xr:uid="{7705D619-E5C6-4BF4-9112-4275791E4631}"/>
    <cellStyle name="Énfasis4 2 2 10 2 3" xfId="14700" xr:uid="{1B1D0662-1D2E-4EBE-8521-4C3C956A6EF1}"/>
    <cellStyle name="Énfasis4 2 2 10 2 4" xfId="14701" xr:uid="{5ACED0BD-DDE8-4F00-8376-6A5D5720804D}"/>
    <cellStyle name="Énfasis4 2 2 10 2 5" xfId="14702" xr:uid="{9C92D392-62BE-4DDE-9459-496052807A9C}"/>
    <cellStyle name="Énfasis4 2 2 10 2 6" xfId="14703" xr:uid="{D194C3AB-C6F9-4038-8047-534A6BC44580}"/>
    <cellStyle name="Énfasis4 2 2 10 2 7" xfId="14704" xr:uid="{D181F147-3DDD-4044-8017-5705E2786150}"/>
    <cellStyle name="Énfasis4 2 2 10 2 8" xfId="14705" xr:uid="{FECC319C-13D7-4861-A453-CBC0567E632A}"/>
    <cellStyle name="Énfasis4 2 2 10 2 9" xfId="14706" xr:uid="{1D9206A3-7D93-4545-AAB0-07483178FB06}"/>
    <cellStyle name="Énfasis4 2 2 10 3" xfId="14707" xr:uid="{A0378787-2D5C-4DFC-9362-37BC54D8E2C7}"/>
    <cellStyle name="Énfasis4 2 2 10 3 2" xfId="14708" xr:uid="{C6F375A9-B0CC-411C-BDCA-5F47D5BCCC05}"/>
    <cellStyle name="Énfasis4 2 2 10 3 2 2" xfId="14709" xr:uid="{DA1304F7-8E67-4A6C-A1B1-71CCF63E3399}"/>
    <cellStyle name="Énfasis4 2 2 10 3 2 3" xfId="14710" xr:uid="{094920A9-B2BD-4733-95BF-656A1A732567}"/>
    <cellStyle name="Énfasis4 2 2 10 3 2 4" xfId="14711" xr:uid="{C4345F68-0D5A-43F5-B4BE-340C24EC59DE}"/>
    <cellStyle name="Énfasis4 2 2 10 3 2 5" xfId="14712" xr:uid="{C860DC77-45FA-47B4-B139-3C51B756A5A0}"/>
    <cellStyle name="Énfasis4 2 2 10 3 3" xfId="14713" xr:uid="{0074A1AB-F284-49CF-BB72-0C673626E243}"/>
    <cellStyle name="Énfasis4 2 2 10 3 4" xfId="14714" xr:uid="{D71B7E5F-66A7-41B5-9D2A-23DE608F4A6D}"/>
    <cellStyle name="Énfasis4 2 2 10 3 5" xfId="14715" xr:uid="{44601F9F-1096-4E10-9774-E0F9A3CE4C50}"/>
    <cellStyle name="Énfasis4 2 2 10 4" xfId="14716" xr:uid="{8FE2486E-2E9D-4C38-BD1B-465330BFB0B4}"/>
    <cellStyle name="Énfasis4 2 2 10 5" xfId="14717" xr:uid="{B3E34812-1816-418A-B802-8D480DA6295D}"/>
    <cellStyle name="Énfasis4 2 2 10 6" xfId="14718" xr:uid="{ED2C8008-3BF3-43BA-ADD4-5CB63DBC3A13}"/>
    <cellStyle name="Énfasis4 2 2 10 7" xfId="14719" xr:uid="{0A7A2E7D-FE73-4027-8AAC-211717CF3E75}"/>
    <cellStyle name="Énfasis4 2 2 10 8" xfId="14720" xr:uid="{D2E79C4F-E76C-4756-AE12-4920F71BE56D}"/>
    <cellStyle name="Énfasis4 2 2 10 9" xfId="14721" xr:uid="{C0B61960-B274-46FD-A97A-F9104D21C59B}"/>
    <cellStyle name="Énfasis4 2 2 11" xfId="14722" xr:uid="{B92F9C81-B848-4870-BF2E-2E913E228656}"/>
    <cellStyle name="Énfasis4 2 2 12" xfId="14723" xr:uid="{67C8F1F4-8C96-4028-A75F-31647F6CAB56}"/>
    <cellStyle name="Énfasis4 2 2 13" xfId="14724" xr:uid="{7C3DBF85-FCB8-44D6-B00C-CD396F6D46A4}"/>
    <cellStyle name="Énfasis4 2 2 2" xfId="14725" xr:uid="{A7A1F9A5-3385-447C-976D-B5C02BBE51CA}"/>
    <cellStyle name="Énfasis4 2 2 2 2" xfId="14726" xr:uid="{0C80E5D7-2CFA-4629-95F8-92976E7CD31E}"/>
    <cellStyle name="Énfasis4 2 2 2 2 2" xfId="14727" xr:uid="{7C4B477D-9D48-46A7-BD56-BB3ECE23466C}"/>
    <cellStyle name="Énfasis4 2 2 2 2 2 2" xfId="14728" xr:uid="{3FB4E1AD-0006-445A-90EC-0467F9DA24A3}"/>
    <cellStyle name="Énfasis4 2 2 2 2 2 2 2" xfId="14729" xr:uid="{E62C3EC0-E5EB-4A9F-9918-8DF389049B93}"/>
    <cellStyle name="Énfasis4 2 2 2 2 2 2 2 2" xfId="14730" xr:uid="{D97010FF-EF7C-4B88-8AB5-1329CC04DD3A}"/>
    <cellStyle name="Énfasis4 2 2 2 2 2 2 2 2 2" xfId="14731" xr:uid="{41254982-D4F4-48BA-928A-7C32164C70F9}"/>
    <cellStyle name="Énfasis4 2 2 2 2 2 2 2 2 2 2" xfId="14732" xr:uid="{4700D848-EBB3-477C-9F53-3EA8C76348FF}"/>
    <cellStyle name="Énfasis4 2 2 2 2 2 2 2 2 2 2 2" xfId="14733" xr:uid="{5678C448-E651-4DF8-9E7A-6496DED24768}"/>
    <cellStyle name="Énfasis4 2 2 2 2 2 2 2 2 2 2 2 2" xfId="14734" xr:uid="{B2B7EAF6-117B-4F47-9ED1-0DCED210C902}"/>
    <cellStyle name="Énfasis4 2 2 2 2 2 2 2 2 2 2 3" xfId="14735" xr:uid="{979FA378-95FD-4A29-9C59-5387C895E903}"/>
    <cellStyle name="Énfasis4 2 2 2 2 2 2 2 2 2 2 4" xfId="14736" xr:uid="{B2DAE218-44AA-4241-90B2-ECA964DC3B5A}"/>
    <cellStyle name="Énfasis4 2 2 2 2 2 2 2 2 2 3" xfId="14737" xr:uid="{B0EB28BC-1E9B-4869-815D-7B71A2EB1EB5}"/>
    <cellStyle name="Énfasis4 2 2 2 2 2 2 2 2 2 4" xfId="14738" xr:uid="{C414C359-7A31-4997-B619-A83262BF9950}"/>
    <cellStyle name="Énfasis4 2 2 2 2 2 2 2 2 3" xfId="14739" xr:uid="{056FD460-DB51-4054-AA57-5DC9C6DEF5F3}"/>
    <cellStyle name="Énfasis4 2 2 2 2 2 2 2 2 4" xfId="14740" xr:uid="{6C147581-70DC-42CA-A849-74C15BCC0480}"/>
    <cellStyle name="Énfasis4 2 2 2 2 2 2 2 2 5" xfId="14741" xr:uid="{9DA463E5-6DAF-44D0-8177-49CB22050288}"/>
    <cellStyle name="Énfasis4 2 2 2 2 2 2 2 3" xfId="14742" xr:uid="{B67076B7-912F-47F2-8E22-669F97011285}"/>
    <cellStyle name="Énfasis4 2 2 2 2 2 2 2 3 10" xfId="14743" xr:uid="{B90CBEA8-1E33-4206-94E8-032AD5A140CE}"/>
    <cellStyle name="Énfasis4 2 2 2 2 2 2 2 3 11" xfId="14744" xr:uid="{5F64BA1A-FDE6-4AC3-B64A-EE12ABD9B706}"/>
    <cellStyle name="Énfasis4 2 2 2 2 2 2 2 3 2" xfId="14745" xr:uid="{FD4F23AD-43E9-4BB2-A6D7-D859393BC73B}"/>
    <cellStyle name="Énfasis4 2 2 2 2 2 2 2 3 2 2" xfId="14746" xr:uid="{83D9AABD-D976-4C29-BB0A-CE324BD0FB69}"/>
    <cellStyle name="Énfasis4 2 2 2 2 2 2 2 3 2 2 2" xfId="14747" xr:uid="{4D741387-149D-4B55-B9CD-3280ED166158}"/>
    <cellStyle name="Énfasis4 2 2 2 2 2 2 2 3 2 2 3" xfId="14748" xr:uid="{02BA60AB-BACC-41FF-A4D1-3A57A0413DDB}"/>
    <cellStyle name="Énfasis4 2 2 2 2 2 2 2 3 2 2 4" xfId="14749" xr:uid="{BD5EC81F-3D0F-4E0F-B10B-43C8DBC1A491}"/>
    <cellStyle name="Énfasis4 2 2 2 2 2 2 2 3 2 2 5" xfId="14750" xr:uid="{FC4D04DE-87D9-4446-9840-1995EC87573C}"/>
    <cellStyle name="Énfasis4 2 2 2 2 2 2 2 3 2 3" xfId="14751" xr:uid="{BE2C19D4-34E5-43C1-85F2-478AFCB8B538}"/>
    <cellStyle name="Énfasis4 2 2 2 2 2 2 2 3 2 4" xfId="14752" xr:uid="{0CC18C7B-F273-49FB-84BF-37F298AE118E}"/>
    <cellStyle name="Énfasis4 2 2 2 2 2 2 2 3 2 5" xfId="14753" xr:uid="{07ED8082-1E7A-46D6-ABD4-3F4206A13C96}"/>
    <cellStyle name="Énfasis4 2 2 2 2 2 2 2 3 3" xfId="14754" xr:uid="{BCDBB758-A9DF-4CFF-A3A0-37CE6598A694}"/>
    <cellStyle name="Énfasis4 2 2 2 2 2 2 2 3 4" xfId="14755" xr:uid="{5768A964-8F59-4608-A8A9-FDB8C0F5EC59}"/>
    <cellStyle name="Énfasis4 2 2 2 2 2 2 2 3 5" xfId="14756" xr:uid="{43EB3334-A1DF-4B12-A019-91445F8F4978}"/>
    <cellStyle name="Énfasis4 2 2 2 2 2 2 2 3 6" xfId="14757" xr:uid="{29B8E1B4-CED4-4122-B122-2EAE05DFE8C4}"/>
    <cellStyle name="Énfasis4 2 2 2 2 2 2 2 3 7" xfId="14758" xr:uid="{31AA9C8E-A035-45D6-A308-54B2A53246F8}"/>
    <cellStyle name="Énfasis4 2 2 2 2 2 2 2 3 8" xfId="14759" xr:uid="{483CB328-F663-40C0-A426-537EFBDA1BDA}"/>
    <cellStyle name="Énfasis4 2 2 2 2 2 2 2 3 9" xfId="14760" xr:uid="{8C9466F2-10B4-46CD-B177-FA079792412B}"/>
    <cellStyle name="Énfasis4 2 2 2 2 2 2 2 4" xfId="14761" xr:uid="{0CFA7348-89FF-4918-9A3F-EC37DE93CDA3}"/>
    <cellStyle name="Énfasis4 2 2 2 2 2 2 2 5" xfId="14762" xr:uid="{B2951C3F-4D67-4956-ACE6-F00B2AFDFF33}"/>
    <cellStyle name="Énfasis4 2 2 2 2 2 2 3" xfId="14763" xr:uid="{9036F021-9E7A-4B7D-B752-404361625E74}"/>
    <cellStyle name="Énfasis4 2 2 2 2 2 2 3 10" xfId="14764" xr:uid="{5B6859AB-E972-4D9F-A026-4E322F839345}"/>
    <cellStyle name="Énfasis4 2 2 2 2 2 2 3 11" xfId="14765" xr:uid="{17947224-EFA9-40A7-9A2D-5F9C070B2A8E}"/>
    <cellStyle name="Énfasis4 2 2 2 2 2 2 3 2" xfId="14766" xr:uid="{5CDA1C89-211B-470A-BF8C-044ADA781C29}"/>
    <cellStyle name="Énfasis4 2 2 2 2 2 2 3 2 10" xfId="14767" xr:uid="{C277D5B6-8325-431C-9BE7-4C101CA50732}"/>
    <cellStyle name="Énfasis4 2 2 2 2 2 2 3 2 11" xfId="14768" xr:uid="{51973BD2-83A7-4DF0-A6A9-2A2FB3742186}"/>
    <cellStyle name="Énfasis4 2 2 2 2 2 2 3 2 2" xfId="14769" xr:uid="{E23CF013-A7A6-4697-8E79-26024A5E295C}"/>
    <cellStyle name="Énfasis4 2 2 2 2 2 2 3 2 2 2" xfId="14770" xr:uid="{BA5B50C4-63A7-47F2-A956-B61FEDF50C3A}"/>
    <cellStyle name="Énfasis4 2 2 2 2 2 2 3 2 2 2 2" xfId="14771" xr:uid="{2A4FF4DE-C6F3-4D28-8F6A-62DA34E36D6A}"/>
    <cellStyle name="Énfasis4 2 2 2 2 2 2 3 2 2 2 3" xfId="14772" xr:uid="{62267CC4-F661-493F-A5B8-70A113220CDE}"/>
    <cellStyle name="Énfasis4 2 2 2 2 2 2 3 2 2 2 4" xfId="14773" xr:uid="{B99277AD-A62C-49CB-AADF-7A3FE4235973}"/>
    <cellStyle name="Énfasis4 2 2 2 2 2 2 3 2 2 2 5" xfId="14774" xr:uid="{C950D1A7-2782-423B-BC8D-690DCE640BCA}"/>
    <cellStyle name="Énfasis4 2 2 2 2 2 2 3 2 2 3" xfId="14775" xr:uid="{423761D7-E5AD-4067-A38C-6DB7FB7810F1}"/>
    <cellStyle name="Énfasis4 2 2 2 2 2 2 3 2 2 4" xfId="14776" xr:uid="{A6D8AAEC-9056-43E4-9533-1B8693066DB2}"/>
    <cellStyle name="Énfasis4 2 2 2 2 2 2 3 2 2 5" xfId="14777" xr:uid="{86EEA9C2-FE6E-4FFA-9DDF-BA1B4E0C96A0}"/>
    <cellStyle name="Énfasis4 2 2 2 2 2 2 3 2 3" xfId="14778" xr:uid="{8CFB1BCD-E525-4254-A17D-59D1919AEA21}"/>
    <cellStyle name="Énfasis4 2 2 2 2 2 2 3 2 4" xfId="14779" xr:uid="{A2EBB91F-3A1A-4681-A7C3-B777FFC022D8}"/>
    <cellStyle name="Énfasis4 2 2 2 2 2 2 3 2 5" xfId="14780" xr:uid="{049D6A63-E260-4767-B637-8A7B8A621F30}"/>
    <cellStyle name="Énfasis4 2 2 2 2 2 2 3 2 6" xfId="14781" xr:uid="{293681BB-BF59-4B52-AE5E-BF08F6DBD93A}"/>
    <cellStyle name="Énfasis4 2 2 2 2 2 2 3 2 7" xfId="14782" xr:uid="{FD93D632-082D-4BB8-A1D9-5A07DE5ED274}"/>
    <cellStyle name="Énfasis4 2 2 2 2 2 2 3 2 8" xfId="14783" xr:uid="{E8631C7C-6816-41D8-8F14-CCCDFE28DC05}"/>
    <cellStyle name="Énfasis4 2 2 2 2 2 2 3 2 9" xfId="14784" xr:uid="{2D8AAA11-A357-4522-A2D4-3BF17021DC6B}"/>
    <cellStyle name="Énfasis4 2 2 2 2 2 2 3 3" xfId="14785" xr:uid="{0D1E92F4-3344-4C96-B81B-444EFA8EE2F1}"/>
    <cellStyle name="Énfasis4 2 2 2 2 2 2 3 3 2" xfId="14786" xr:uid="{81D810E2-36F5-4FD1-8F99-790A8AA683DF}"/>
    <cellStyle name="Énfasis4 2 2 2 2 2 2 3 3 2 2" xfId="14787" xr:uid="{340F6C6F-34A3-4058-883B-3EAAC4FB41E5}"/>
    <cellStyle name="Énfasis4 2 2 2 2 2 2 3 3 2 3" xfId="14788" xr:uid="{850AF7F6-1F27-4CB2-9A66-F5D46798C2C0}"/>
    <cellStyle name="Énfasis4 2 2 2 2 2 2 3 3 2 4" xfId="14789" xr:uid="{F6CB5210-4134-44ED-AB69-FF13CEC9CC5F}"/>
    <cellStyle name="Énfasis4 2 2 2 2 2 2 3 3 2 5" xfId="14790" xr:uid="{8BDC33FA-B924-4308-A916-8B924EA289C8}"/>
    <cellStyle name="Énfasis4 2 2 2 2 2 2 3 3 3" xfId="14791" xr:uid="{8EBC2DF2-ADCB-4E7B-9E91-28FE55FBD4FB}"/>
    <cellStyle name="Énfasis4 2 2 2 2 2 2 3 3 4" xfId="14792" xr:uid="{D8449E26-5473-4982-A76F-500964BE8806}"/>
    <cellStyle name="Énfasis4 2 2 2 2 2 2 3 3 5" xfId="14793" xr:uid="{0F6D711C-2C83-4C31-B492-B999C98D8780}"/>
    <cellStyle name="Énfasis4 2 2 2 2 2 2 3 4" xfId="14794" xr:uid="{5C2FBBF8-3D6A-4812-A1A1-A46911B9F51E}"/>
    <cellStyle name="Énfasis4 2 2 2 2 2 2 3 5" xfId="14795" xr:uid="{28EB0C5E-F0FA-4353-A5C0-293650A30845}"/>
    <cellStyle name="Énfasis4 2 2 2 2 2 2 3 6" xfId="14796" xr:uid="{1F24E5EC-1F93-4BB2-AC7A-8CB07FB1C657}"/>
    <cellStyle name="Énfasis4 2 2 2 2 2 2 3 7" xfId="14797" xr:uid="{184A2B92-C8C0-40C2-81B5-03790E3028F3}"/>
    <cellStyle name="Énfasis4 2 2 2 2 2 2 3 8" xfId="14798" xr:uid="{0333CDFB-19EE-4294-A16D-B0E5473020DC}"/>
    <cellStyle name="Énfasis4 2 2 2 2 2 2 3 9" xfId="14799" xr:uid="{EACF41EB-7576-47F6-B730-243340B021E3}"/>
    <cellStyle name="Énfasis4 2 2 2 2 2 2 4" xfId="14800" xr:uid="{9D124AD4-3FEC-48E6-8207-B32D15EA53CA}"/>
    <cellStyle name="Énfasis4 2 2 2 2 2 2 5" xfId="14801" xr:uid="{732BE24F-DBB7-48EC-85FB-026962622765}"/>
    <cellStyle name="Énfasis4 2 2 2 2 2 2 6" xfId="14802" xr:uid="{543FA6EA-D282-400B-84F2-843633A531D8}"/>
    <cellStyle name="Énfasis4 2 2 2 2 2 3" xfId="14803" xr:uid="{DB924C1C-895D-4313-A196-06A10711A01B}"/>
    <cellStyle name="Énfasis4 2 2 2 2 2 3 10" xfId="14804" xr:uid="{47C2635C-924C-4929-BBC4-8A004B5FE593}"/>
    <cellStyle name="Énfasis4 2 2 2 2 2 3 11" xfId="14805" xr:uid="{8B7A030A-A023-4BC0-B296-05046EF56B7D}"/>
    <cellStyle name="Énfasis4 2 2 2 2 2 3 2" xfId="14806" xr:uid="{CE28EDA0-0A6B-4B12-AE67-1AEDC5C9F6DA}"/>
    <cellStyle name="Énfasis4 2 2 2 2 2 3 2 10" xfId="14807" xr:uid="{1759E535-67B7-443A-ADED-6404E9462CC4}"/>
    <cellStyle name="Énfasis4 2 2 2 2 2 3 2 11" xfId="14808" xr:uid="{03868C59-1932-434F-A1E4-20FF13B68AF2}"/>
    <cellStyle name="Énfasis4 2 2 2 2 2 3 2 2" xfId="14809" xr:uid="{516B6500-AFB7-4875-B9E2-872F84EA3350}"/>
    <cellStyle name="Énfasis4 2 2 2 2 2 3 2 2 2" xfId="14810" xr:uid="{950CC92A-4800-4D0F-A5A2-25EABE1F3B6E}"/>
    <cellStyle name="Énfasis4 2 2 2 2 2 3 2 2 2 2" xfId="14811" xr:uid="{1B6864E3-5BDF-4954-ACF8-3B34D9860073}"/>
    <cellStyle name="Énfasis4 2 2 2 2 2 3 2 2 2 3" xfId="14812" xr:uid="{968EB75B-3B4F-496E-8F8D-F05C0ED2AE26}"/>
    <cellStyle name="Énfasis4 2 2 2 2 2 3 2 2 2 4" xfId="14813" xr:uid="{4FCCA310-F616-4CCF-A8EF-B4B1342FB0AC}"/>
    <cellStyle name="Énfasis4 2 2 2 2 2 3 2 2 2 5" xfId="14814" xr:uid="{5C66F2E0-6B30-4D7A-8005-2E1DF6715191}"/>
    <cellStyle name="Énfasis4 2 2 2 2 2 3 2 2 3" xfId="14815" xr:uid="{4F569978-94D6-4311-A2D7-5F3F5FA8B29B}"/>
    <cellStyle name="Énfasis4 2 2 2 2 2 3 2 2 4" xfId="14816" xr:uid="{A36AFE2C-FDD0-48E8-96A2-1F44481E6B66}"/>
    <cellStyle name="Énfasis4 2 2 2 2 2 3 2 2 5" xfId="14817" xr:uid="{CADB5787-ADF0-4BBD-B480-861BF8837D26}"/>
    <cellStyle name="Énfasis4 2 2 2 2 2 3 2 3" xfId="14818" xr:uid="{4C4B6BED-F099-42B4-A706-5FD882583C21}"/>
    <cellStyle name="Énfasis4 2 2 2 2 2 3 2 4" xfId="14819" xr:uid="{6A0C869F-F76B-40CB-9D40-B063E45D75C9}"/>
    <cellStyle name="Énfasis4 2 2 2 2 2 3 2 5" xfId="14820" xr:uid="{C7146E04-2A4F-49E7-97E0-E1E8D5C7D026}"/>
    <cellStyle name="Énfasis4 2 2 2 2 2 3 2 6" xfId="14821" xr:uid="{2A629FF0-8770-4E22-AF07-AFA5E19D4E06}"/>
    <cellStyle name="Énfasis4 2 2 2 2 2 3 2 7" xfId="14822" xr:uid="{F5B6B1BD-83D1-4D8B-A623-BA71C066D98E}"/>
    <cellStyle name="Énfasis4 2 2 2 2 2 3 2 8" xfId="14823" xr:uid="{93EB839E-1594-43F0-9673-C243F6D54A4A}"/>
    <cellStyle name="Énfasis4 2 2 2 2 2 3 2 9" xfId="14824" xr:uid="{5F28C13A-6F0F-4EF7-9BA7-182E1FECDEAC}"/>
    <cellStyle name="Énfasis4 2 2 2 2 2 3 3" xfId="14825" xr:uid="{B018F9F6-B2F0-4877-A0DA-FCB4380487D3}"/>
    <cellStyle name="Énfasis4 2 2 2 2 2 3 3 2" xfId="14826" xr:uid="{DF6BC8ED-AC4B-432B-AE10-CC66C65FD5C9}"/>
    <cellStyle name="Énfasis4 2 2 2 2 2 3 3 2 2" xfId="14827" xr:uid="{B6869436-9E7E-4C1F-B59C-8C5ED751327E}"/>
    <cellStyle name="Énfasis4 2 2 2 2 2 3 3 2 3" xfId="14828" xr:uid="{87A1BE42-BFB5-485E-A6AB-C992813ABA46}"/>
    <cellStyle name="Énfasis4 2 2 2 2 2 3 3 2 4" xfId="14829" xr:uid="{FA74B21F-EAD2-4300-85FE-D3BC3250DC82}"/>
    <cellStyle name="Énfasis4 2 2 2 2 2 3 3 2 5" xfId="14830" xr:uid="{1F946088-44EE-4A82-A571-59BCA51CA0C0}"/>
    <cellStyle name="Énfasis4 2 2 2 2 2 3 3 3" xfId="14831" xr:uid="{5F2346FF-1EDE-4833-9552-5C73A4F4C379}"/>
    <cellStyle name="Énfasis4 2 2 2 2 2 3 3 4" xfId="14832" xr:uid="{AAE07681-01D6-4506-A1CB-2EF35A513B68}"/>
    <cellStyle name="Énfasis4 2 2 2 2 2 3 3 5" xfId="14833" xr:uid="{B9E06090-816A-4AC9-BB47-106FE7585B46}"/>
    <cellStyle name="Énfasis4 2 2 2 2 2 3 4" xfId="14834" xr:uid="{4F4CA2C2-3279-422A-BC8E-220187DE0A26}"/>
    <cellStyle name="Énfasis4 2 2 2 2 2 3 5" xfId="14835" xr:uid="{C945F5B7-6570-4E53-9AC5-B1A4E8206FBB}"/>
    <cellStyle name="Énfasis4 2 2 2 2 2 3 6" xfId="14836" xr:uid="{8FC409A7-8936-404B-8CD2-C1DCA8055022}"/>
    <cellStyle name="Énfasis4 2 2 2 2 2 3 7" xfId="14837" xr:uid="{497BCD10-4E48-4C00-91F5-8E65B18A5DFD}"/>
    <cellStyle name="Énfasis4 2 2 2 2 2 3 8" xfId="14838" xr:uid="{DC1D2CEA-DC5F-43A2-889F-5D91BF448416}"/>
    <cellStyle name="Énfasis4 2 2 2 2 2 3 9" xfId="14839" xr:uid="{0A7A9CFC-EA92-47F5-A665-1E5A7223C1BD}"/>
    <cellStyle name="Énfasis4 2 2 2 2 2 4" xfId="14840" xr:uid="{5F529362-6690-423A-98A9-448DB4FE4EE2}"/>
    <cellStyle name="Énfasis4 2 2 2 2 2 5" xfId="14841" xr:uid="{4AF1310C-94DD-4119-965A-4B428752612C}"/>
    <cellStyle name="Énfasis4 2 2 2 2 2 6" xfId="14842" xr:uid="{32FD6BB1-D9CC-4CBD-9755-D20A8EA5634F}"/>
    <cellStyle name="Énfasis4 2 2 2 2 3" xfId="14843" xr:uid="{D96F3FD2-78A6-463D-8A53-E7F583A9A674}"/>
    <cellStyle name="Énfasis4 2 2 2 2 4" xfId="14844" xr:uid="{696E811E-447C-4FDA-BE23-9EC8651E9507}"/>
    <cellStyle name="Énfasis4 2 2 2 2 4 10" xfId="14845" xr:uid="{99197895-23FE-4D9F-B187-6D2CFD544325}"/>
    <cellStyle name="Énfasis4 2 2 2 2 4 11" xfId="14846" xr:uid="{09142DAB-309A-48B7-BD64-16BB8CF501C7}"/>
    <cellStyle name="Énfasis4 2 2 2 2 4 2" xfId="14847" xr:uid="{CECD4FCE-A136-413D-824D-2A3C86EC2D23}"/>
    <cellStyle name="Énfasis4 2 2 2 2 4 2 10" xfId="14848" xr:uid="{A86AC1BB-EECD-4272-B7CC-0FD3BCB4B56B}"/>
    <cellStyle name="Énfasis4 2 2 2 2 4 2 11" xfId="14849" xr:uid="{108BD56A-2EB4-4861-B2DE-E668ED80DE05}"/>
    <cellStyle name="Énfasis4 2 2 2 2 4 2 2" xfId="14850" xr:uid="{2DB142B6-AF3A-41C9-BA21-730C8D6621D4}"/>
    <cellStyle name="Énfasis4 2 2 2 2 4 2 2 2" xfId="14851" xr:uid="{16027063-E04E-4D50-AC61-D6A8E607C73E}"/>
    <cellStyle name="Énfasis4 2 2 2 2 4 2 2 2 2" xfId="14852" xr:uid="{4C143178-B71C-46B6-A291-E12ED08C747B}"/>
    <cellStyle name="Énfasis4 2 2 2 2 4 2 2 2 3" xfId="14853" xr:uid="{B674C7D3-4A76-4255-8DE0-A1C0F54C8D25}"/>
    <cellStyle name="Énfasis4 2 2 2 2 4 2 2 2 4" xfId="14854" xr:uid="{F99D783C-B1E6-4C28-A0DB-0FF4569FFD33}"/>
    <cellStyle name="Énfasis4 2 2 2 2 4 2 2 2 5" xfId="14855" xr:uid="{995DDFA5-31F9-4505-A996-54CCDDA4362D}"/>
    <cellStyle name="Énfasis4 2 2 2 2 4 2 2 3" xfId="14856" xr:uid="{6BAB12CB-F191-48B3-968D-BFE61B5DFCC6}"/>
    <cellStyle name="Énfasis4 2 2 2 2 4 2 2 4" xfId="14857" xr:uid="{7188C189-7A7C-4244-8A6B-74940AEB5F8D}"/>
    <cellStyle name="Énfasis4 2 2 2 2 4 2 2 5" xfId="14858" xr:uid="{93C86638-4DA8-4CED-B1AD-84B951085955}"/>
    <cellStyle name="Énfasis4 2 2 2 2 4 2 3" xfId="14859" xr:uid="{27E2379D-AC38-4110-9A84-19AF941A336E}"/>
    <cellStyle name="Énfasis4 2 2 2 2 4 2 4" xfId="14860" xr:uid="{1330D3B2-EE59-48FE-B988-3D7636C29E84}"/>
    <cellStyle name="Énfasis4 2 2 2 2 4 2 5" xfId="14861" xr:uid="{CF5A7A11-A984-49BE-AA7A-9108D27428BB}"/>
    <cellStyle name="Énfasis4 2 2 2 2 4 2 6" xfId="14862" xr:uid="{A80733B6-43D6-4A6A-8636-133A137FAF5C}"/>
    <cellStyle name="Énfasis4 2 2 2 2 4 2 7" xfId="14863" xr:uid="{9CB663BF-2A81-4866-9619-82FAC96CD9B7}"/>
    <cellStyle name="Énfasis4 2 2 2 2 4 2 8" xfId="14864" xr:uid="{551208FC-AA97-43D2-B998-2D85A417E51F}"/>
    <cellStyle name="Énfasis4 2 2 2 2 4 2 9" xfId="14865" xr:uid="{FDE41BF2-1EDC-45DB-A3F1-599330D42067}"/>
    <cellStyle name="Énfasis4 2 2 2 2 4 3" xfId="14866" xr:uid="{C1377F0E-D517-4C2F-BCC5-AD6ECB87509C}"/>
    <cellStyle name="Énfasis4 2 2 2 2 4 3 2" xfId="14867" xr:uid="{CA1D88CD-DF00-44A6-BBC0-E30422F787D6}"/>
    <cellStyle name="Énfasis4 2 2 2 2 4 3 2 2" xfId="14868" xr:uid="{EDDF44CF-BC59-4012-ADDA-A5D1188EF97F}"/>
    <cellStyle name="Énfasis4 2 2 2 2 4 3 2 3" xfId="14869" xr:uid="{CD270469-CCD1-4829-9087-95CE22CA35DA}"/>
    <cellStyle name="Énfasis4 2 2 2 2 4 3 2 4" xfId="14870" xr:uid="{9A4EA109-A6D2-4600-94FB-DCCF94B9F139}"/>
    <cellStyle name="Énfasis4 2 2 2 2 4 3 2 5" xfId="14871" xr:uid="{9880683E-7226-4309-BC1A-3BD5A9A69447}"/>
    <cellStyle name="Énfasis4 2 2 2 2 4 3 3" xfId="14872" xr:uid="{D63E91B1-061F-410C-AA9F-3EEC823D09A9}"/>
    <cellStyle name="Énfasis4 2 2 2 2 4 3 4" xfId="14873" xr:uid="{08FC88A4-2D4E-432F-96F4-172247EDF8B4}"/>
    <cellStyle name="Énfasis4 2 2 2 2 4 3 5" xfId="14874" xr:uid="{FCE184C9-7CFE-47F3-9601-4C5041DC1FA5}"/>
    <cellStyle name="Énfasis4 2 2 2 2 4 4" xfId="14875" xr:uid="{D483EFFC-21C5-4442-B4E7-20A14E0DF0CE}"/>
    <cellStyle name="Énfasis4 2 2 2 2 4 5" xfId="14876" xr:uid="{E6ABC63B-73E3-474A-A02B-7A1346466E81}"/>
    <cellStyle name="Énfasis4 2 2 2 2 4 6" xfId="14877" xr:uid="{DD2CF481-3DCF-4F50-AAA9-B0D9AC03EE1A}"/>
    <cellStyle name="Énfasis4 2 2 2 2 4 7" xfId="14878" xr:uid="{897056D3-3409-4C8E-B775-DD4B2F13D9EF}"/>
    <cellStyle name="Énfasis4 2 2 2 2 4 8" xfId="14879" xr:uid="{E1733712-694C-4FF0-B0D5-412A055B7A60}"/>
    <cellStyle name="Énfasis4 2 2 2 2 4 9" xfId="14880" xr:uid="{4F70DD35-6481-420A-A700-1616B3538CAD}"/>
    <cellStyle name="Énfasis4 2 2 2 2 5" xfId="14881" xr:uid="{E5D236D7-B31D-40D9-A6DA-60437797CDB4}"/>
    <cellStyle name="Énfasis4 2 2 2 2 6" xfId="14882" xr:uid="{6502F3EC-6C25-480F-84BA-13EDDF4672F1}"/>
    <cellStyle name="Énfasis4 2 2 2 2 7" xfId="14883" xr:uid="{063B4884-BA82-42C8-BD94-4D8E1F063C79}"/>
    <cellStyle name="Énfasis4 2 2 2 3" xfId="14884" xr:uid="{4B7711AB-2071-4D1D-A26B-CAC2F30D914E}"/>
    <cellStyle name="Énfasis4 2 2 2 4" xfId="14885" xr:uid="{7B49004E-35E0-40E3-A7DF-88B19CE25F27}"/>
    <cellStyle name="Énfasis4 2 2 2 5" xfId="14886" xr:uid="{90EC8553-A74B-49EF-8889-E3B13B669CAD}"/>
    <cellStyle name="Énfasis4 2 2 2 5 10" xfId="14887" xr:uid="{9F6EFC27-B11E-47EF-BECD-9CACADDB76E2}"/>
    <cellStyle name="Énfasis4 2 2 2 5 11" xfId="14888" xr:uid="{23AE0835-785D-4DE5-9382-8D0DFB293AEF}"/>
    <cellStyle name="Énfasis4 2 2 2 5 2" xfId="14889" xr:uid="{4D7DAAE1-98C1-46B6-B69E-0307A4D32206}"/>
    <cellStyle name="Énfasis4 2 2 2 5 2 10" xfId="14890" xr:uid="{F92F043B-EC7F-4F6F-B4E6-5E9645C78FE3}"/>
    <cellStyle name="Énfasis4 2 2 2 5 2 11" xfId="14891" xr:uid="{C07896A4-1DD1-492D-B57D-0E7B8E8D2175}"/>
    <cellStyle name="Énfasis4 2 2 2 5 2 2" xfId="14892" xr:uid="{27AC8B2F-14AD-4B3C-B851-530639B03412}"/>
    <cellStyle name="Énfasis4 2 2 2 5 2 2 2" xfId="14893" xr:uid="{C2D0D789-600D-49A3-A71D-4CC3BBD314A3}"/>
    <cellStyle name="Énfasis4 2 2 2 5 2 2 2 2" xfId="14894" xr:uid="{C05CAD74-F673-4196-A9E1-484B2CF93770}"/>
    <cellStyle name="Énfasis4 2 2 2 5 2 2 2 3" xfId="14895" xr:uid="{30FACEC7-0D8A-4611-8EA2-4F71480B3C78}"/>
    <cellStyle name="Énfasis4 2 2 2 5 2 2 2 4" xfId="14896" xr:uid="{6BBF76D5-0C25-4B9A-B964-190F0DF353E1}"/>
    <cellStyle name="Énfasis4 2 2 2 5 2 2 2 5" xfId="14897" xr:uid="{52C85256-CE83-4DE8-986A-7F5D5782E048}"/>
    <cellStyle name="Énfasis4 2 2 2 5 2 2 3" xfId="14898" xr:uid="{19738BA7-3390-4ACB-A4DD-EF9ECD5C2D06}"/>
    <cellStyle name="Énfasis4 2 2 2 5 2 2 4" xfId="14899" xr:uid="{27CF1A69-F90D-4DC5-AA3B-285516F226E5}"/>
    <cellStyle name="Énfasis4 2 2 2 5 2 2 5" xfId="14900" xr:uid="{C44CEB7E-C35C-456B-8F52-75B507E927DA}"/>
    <cellStyle name="Énfasis4 2 2 2 5 2 3" xfId="14901" xr:uid="{29849DFD-2BC3-4503-BDDF-E9254C9D348E}"/>
    <cellStyle name="Énfasis4 2 2 2 5 2 4" xfId="14902" xr:uid="{4A968ECC-501E-42F0-B1A3-4C66B2BB7727}"/>
    <cellStyle name="Énfasis4 2 2 2 5 2 5" xfId="14903" xr:uid="{397A4327-BB38-46E7-9EDC-FCDFFB5038E7}"/>
    <cellStyle name="Énfasis4 2 2 2 5 2 6" xfId="14904" xr:uid="{57C27D94-CEFA-4084-8833-12F70B488CDA}"/>
    <cellStyle name="Énfasis4 2 2 2 5 2 7" xfId="14905" xr:uid="{1FF22DB9-D881-4964-9767-B7A6C289CAE3}"/>
    <cellStyle name="Énfasis4 2 2 2 5 2 8" xfId="14906" xr:uid="{9D4E2762-173D-47B5-A237-4B29FF7ADD5F}"/>
    <cellStyle name="Énfasis4 2 2 2 5 2 9" xfId="14907" xr:uid="{8FC8B116-715B-4508-8092-EB9C6ACB6872}"/>
    <cellStyle name="Énfasis4 2 2 2 5 3" xfId="14908" xr:uid="{0ABC2BB0-540C-4759-9C99-B882292713E1}"/>
    <cellStyle name="Énfasis4 2 2 2 5 3 2" xfId="14909" xr:uid="{4FD04CBA-9886-4F5D-BA5E-4592F9736C87}"/>
    <cellStyle name="Énfasis4 2 2 2 5 3 2 2" xfId="14910" xr:uid="{E659E820-8607-4416-8DBD-09A49D2B4065}"/>
    <cellStyle name="Énfasis4 2 2 2 5 3 2 3" xfId="14911" xr:uid="{3A6A7863-08FC-4673-A39E-DCB9EA17690F}"/>
    <cellStyle name="Énfasis4 2 2 2 5 3 2 4" xfId="14912" xr:uid="{06F39252-9EB6-4D10-A0AC-293EA56B6090}"/>
    <cellStyle name="Énfasis4 2 2 2 5 3 2 5" xfId="14913" xr:uid="{107519E8-A39A-4A48-A387-71A853CCC9F1}"/>
    <cellStyle name="Énfasis4 2 2 2 5 3 3" xfId="14914" xr:uid="{2AA8064D-992F-47A6-B4FA-AED6E7EAEAE6}"/>
    <cellStyle name="Énfasis4 2 2 2 5 3 4" xfId="14915" xr:uid="{AE2899D0-BACE-4C3E-B160-89AABFC651FF}"/>
    <cellStyle name="Énfasis4 2 2 2 5 3 5" xfId="14916" xr:uid="{68E07CC6-A2B7-417E-BAE3-D9CCA15F3469}"/>
    <cellStyle name="Énfasis4 2 2 2 5 4" xfId="14917" xr:uid="{20A7F2D1-EDEF-49D8-8B75-279A852221CE}"/>
    <cellStyle name="Énfasis4 2 2 2 5 5" xfId="14918" xr:uid="{F553B7C1-F31D-44FE-8F5A-B5DADDA44B90}"/>
    <cellStyle name="Énfasis4 2 2 2 5 6" xfId="14919" xr:uid="{736EF674-2C3C-4B8E-BB18-D7267A12FF16}"/>
    <cellStyle name="Énfasis4 2 2 2 5 7" xfId="14920" xr:uid="{9BAE1C25-78F6-427F-8E6E-2575B3A93E86}"/>
    <cellStyle name="Énfasis4 2 2 2 5 8" xfId="14921" xr:uid="{41B01E19-AA13-4556-A451-401D02AF83C0}"/>
    <cellStyle name="Énfasis4 2 2 2 5 9" xfId="14922" xr:uid="{69B13881-8984-422A-A477-6013FD540AFF}"/>
    <cellStyle name="Énfasis4 2 2 2 6" xfId="14923" xr:uid="{5E93177F-A29B-4C7B-BACB-EC50084FB1E6}"/>
    <cellStyle name="Énfasis4 2 2 2 7" xfId="14924" xr:uid="{1BA7D02D-D332-4A7C-9D8D-2E6927D8E5D6}"/>
    <cellStyle name="Énfasis4 2 2 2 8" xfId="14925" xr:uid="{B2FA3EAA-3E1D-4ECC-97E0-0970E3E89633}"/>
    <cellStyle name="Énfasis4 2 2 3" xfId="14926" xr:uid="{63E3DB89-F68F-4623-ADA3-8F99714F2974}"/>
    <cellStyle name="Énfasis4 2 2 4" xfId="14927" xr:uid="{A25ABEBD-33F4-4368-BD86-3C9E87FB56C6}"/>
    <cellStyle name="Énfasis4 2 2 5" xfId="14928" xr:uid="{2AE422EC-7809-4021-8C76-01AAB7C1F297}"/>
    <cellStyle name="Énfasis4 2 2 6" xfId="14929" xr:uid="{B1834CF9-24DC-48FE-8A21-93A42E9AF8DE}"/>
    <cellStyle name="Énfasis4 2 2 7" xfId="14930" xr:uid="{61475AE2-E3D2-4CD4-867A-7D3C628C81FD}"/>
    <cellStyle name="Énfasis4 2 2 8" xfId="14931" xr:uid="{51C68F6A-BDC4-45B7-9789-E10A8E80FE82}"/>
    <cellStyle name="Énfasis4 2 2 8 2" xfId="14932" xr:uid="{1FBAE2C9-E5EE-43B2-BB8B-629C0B3A4473}"/>
    <cellStyle name="Énfasis4 2 2 9" xfId="14933" xr:uid="{FB03F7C2-E7D1-4C69-9B1B-25252E6C9D2F}"/>
    <cellStyle name="Énfasis4 2 3" xfId="14934" xr:uid="{1C21806B-F9DE-42CE-BA87-785DCE1A40ED}"/>
    <cellStyle name="Énfasis4 2 4" xfId="14935" xr:uid="{69D99903-1C07-44FA-8DDB-99D3C66C0421}"/>
    <cellStyle name="Énfasis4 2 4 10" xfId="14936" xr:uid="{A2E64812-F8A8-47FD-8B0A-4BB4C7890FB7}"/>
    <cellStyle name="Énfasis4 2 4 11" xfId="14937" xr:uid="{5BDCE888-11D5-4730-B04C-E50050588E9E}"/>
    <cellStyle name="Énfasis4 2 4 12" xfId="14938" xr:uid="{B0BCA5D8-90D6-4436-82B4-188BDE39E28D}"/>
    <cellStyle name="Énfasis4 2 4 2" xfId="14939" xr:uid="{17CF874F-211E-42DC-B4D0-2482CBD6430C}"/>
    <cellStyle name="Énfasis4 2 4 2 10" xfId="14940" xr:uid="{D1E0D436-FE70-4279-B0E7-601570253010}"/>
    <cellStyle name="Énfasis4 2 4 2 11" xfId="14941" xr:uid="{3ABF7365-7DC2-4750-9A97-6E717FC8371B}"/>
    <cellStyle name="Énfasis4 2 4 2 12" xfId="14942" xr:uid="{40D710CC-998C-40B8-B834-312BB8C43EC7}"/>
    <cellStyle name="Énfasis4 2 4 2 2" xfId="14943" xr:uid="{DF875EF0-1966-4131-8AEA-1BFAD5FF67BF}"/>
    <cellStyle name="Énfasis4 2 4 2 2 10" xfId="14944" xr:uid="{4709A44B-E4CF-41F3-80E7-2955ADD5D7C0}"/>
    <cellStyle name="Énfasis4 2 4 2 2 11" xfId="14945" xr:uid="{D7048017-C0D4-4C8C-83B8-EAE7424B185D}"/>
    <cellStyle name="Énfasis4 2 4 2 2 2" xfId="14946" xr:uid="{F268EF23-AB98-4F24-B0B7-48BD765CE7B0}"/>
    <cellStyle name="Énfasis4 2 4 2 2 2 10" xfId="14947" xr:uid="{E33FFF5A-73C2-4F80-9071-F55A68D6A8E7}"/>
    <cellStyle name="Énfasis4 2 4 2 2 2 11" xfId="14948" xr:uid="{8B5BEDC7-C40C-4531-93E3-831B854403B0}"/>
    <cellStyle name="Énfasis4 2 4 2 2 2 2" xfId="14949" xr:uid="{91663E1D-EE3E-4CDB-BBE7-42C5256BE862}"/>
    <cellStyle name="Énfasis4 2 4 2 2 2 2 2" xfId="14950" xr:uid="{9EB70FAA-D5D4-412F-B12D-6DB51C6E0091}"/>
    <cellStyle name="Énfasis4 2 4 2 2 2 2 2 2" xfId="14951" xr:uid="{8E35998C-AE1C-4B88-B858-72C479848803}"/>
    <cellStyle name="Énfasis4 2 4 2 2 2 2 2 3" xfId="14952" xr:uid="{94A6DC72-3B6D-40B1-AE5A-ED00FC1BD034}"/>
    <cellStyle name="Énfasis4 2 4 2 2 2 2 2 4" xfId="14953" xr:uid="{D518E8E4-8018-45EC-BC6E-EB3EC5CEBF9E}"/>
    <cellStyle name="Énfasis4 2 4 2 2 2 2 2 5" xfId="14954" xr:uid="{485A0ED3-F035-4200-87E3-4164F958212F}"/>
    <cellStyle name="Énfasis4 2 4 2 2 2 2 3" xfId="14955" xr:uid="{2A360F00-6D5F-47A6-9500-61BD3345BA03}"/>
    <cellStyle name="Énfasis4 2 4 2 2 2 2 4" xfId="14956" xr:uid="{E1372917-91A1-4DB4-8AE4-16C5641460B7}"/>
    <cellStyle name="Énfasis4 2 4 2 2 2 2 5" xfId="14957" xr:uid="{6D6F1ACA-1FEC-484E-B2FE-C5D36CF4ED52}"/>
    <cellStyle name="Énfasis4 2 4 2 2 2 3" xfId="14958" xr:uid="{FAB8BD2C-2BA0-442F-B400-D6D8B0A0AFC4}"/>
    <cellStyle name="Énfasis4 2 4 2 2 2 4" xfId="14959" xr:uid="{7C021807-BB1A-4EFE-9242-5A02E12873FC}"/>
    <cellStyle name="Énfasis4 2 4 2 2 2 5" xfId="14960" xr:uid="{11D38406-85FA-4B61-BE06-A5740F4CCF19}"/>
    <cellStyle name="Énfasis4 2 4 2 2 2 6" xfId="14961" xr:uid="{3492B82D-72DE-4087-B525-8E0E9D142788}"/>
    <cellStyle name="Énfasis4 2 4 2 2 2 7" xfId="14962" xr:uid="{A91E9EDC-F302-47CC-83FF-8EC14F513C83}"/>
    <cellStyle name="Énfasis4 2 4 2 2 2 8" xfId="14963" xr:uid="{F77AA811-2993-45F1-B906-EEA1041877BF}"/>
    <cellStyle name="Énfasis4 2 4 2 2 2 9" xfId="14964" xr:uid="{A162E883-F91A-4EA3-B0B7-E61BEFF8BD45}"/>
    <cellStyle name="Énfasis4 2 4 2 2 3" xfId="14965" xr:uid="{B3225A9E-416C-484D-8EA2-5C7173E804D3}"/>
    <cellStyle name="Énfasis4 2 4 2 2 3 2" xfId="14966" xr:uid="{EE422A92-BF62-4AA9-94D2-A8029A3649D6}"/>
    <cellStyle name="Énfasis4 2 4 2 2 3 2 2" xfId="14967" xr:uid="{F9EAD3DE-615A-4BE4-96F8-F83C972834B8}"/>
    <cellStyle name="Énfasis4 2 4 2 2 3 2 3" xfId="14968" xr:uid="{981D274E-675B-47B3-AB95-B6B1DA5B5E40}"/>
    <cellStyle name="Énfasis4 2 4 2 2 3 2 4" xfId="14969" xr:uid="{DFD349DD-E7D2-4E73-AE55-0B7C8A91738A}"/>
    <cellStyle name="Énfasis4 2 4 2 2 3 2 5" xfId="14970" xr:uid="{323D3298-E95D-44BF-B43B-4DC6B951B6A2}"/>
    <cellStyle name="Énfasis4 2 4 2 2 3 3" xfId="14971" xr:uid="{042105E5-66B4-4059-B814-872FD1E95400}"/>
    <cellStyle name="Énfasis4 2 4 2 2 3 4" xfId="14972" xr:uid="{A2659C6F-1E25-4D85-A3DC-2ADF437AC781}"/>
    <cellStyle name="Énfasis4 2 4 2 2 3 5" xfId="14973" xr:uid="{D1C145AB-7F11-4C13-9222-5AFCFD476FE7}"/>
    <cellStyle name="Énfasis4 2 4 2 2 4" xfId="14974" xr:uid="{E27A62F7-B2FB-473C-AD6A-7D05938078DD}"/>
    <cellStyle name="Énfasis4 2 4 2 2 5" xfId="14975" xr:uid="{991C67E1-CAB7-4CDD-8029-035B41DD2B5F}"/>
    <cellStyle name="Énfasis4 2 4 2 2 6" xfId="14976" xr:uid="{D98DD823-732F-480D-A642-6A5976E6E953}"/>
    <cellStyle name="Énfasis4 2 4 2 2 7" xfId="14977" xr:uid="{014CE7D1-2565-4A05-93CC-16AA1ADA2F45}"/>
    <cellStyle name="Énfasis4 2 4 2 2 8" xfId="14978" xr:uid="{85EC96E0-F99B-409B-869B-7CF118F2E8DF}"/>
    <cellStyle name="Énfasis4 2 4 2 2 9" xfId="14979" xr:uid="{0A2316AA-C03F-4272-875D-F4864AB34B5E}"/>
    <cellStyle name="Énfasis4 2 4 2 3" xfId="14980" xr:uid="{2F524DDE-BDED-40BD-AF7B-BE6F566F8A82}"/>
    <cellStyle name="Énfasis4 2 4 2 3 2" xfId="14981" xr:uid="{1206E851-9A61-4EFA-B0AC-A945511F1F84}"/>
    <cellStyle name="Énfasis4 2 4 2 3 2 2" xfId="14982" xr:uid="{F1876F9C-F7DE-4689-B0B9-5FEB95F9A964}"/>
    <cellStyle name="Énfasis4 2 4 2 3 2 3" xfId="14983" xr:uid="{C590B312-25B7-4600-9A48-31588C2395D4}"/>
    <cellStyle name="Énfasis4 2 4 2 3 2 4" xfId="14984" xr:uid="{EA75973A-630B-4FF6-834F-E3364CCDF0F2}"/>
    <cellStyle name="Énfasis4 2 4 2 3 2 5" xfId="14985" xr:uid="{B6C6BFB8-9584-4500-8971-B3303CF58E84}"/>
    <cellStyle name="Énfasis4 2 4 2 3 3" xfId="14986" xr:uid="{AFFDE917-EDC7-4F16-991C-E04F999B57CD}"/>
    <cellStyle name="Énfasis4 2 4 2 3 4" xfId="14987" xr:uid="{581D6BA6-64E6-4019-9777-837537FC9955}"/>
    <cellStyle name="Énfasis4 2 4 2 3 5" xfId="14988" xr:uid="{ABB19EF8-2679-46AB-BF7A-354A2D5F79AB}"/>
    <cellStyle name="Énfasis4 2 4 2 4" xfId="14989" xr:uid="{BB83A6DD-80B2-4634-B275-CEFE06C184B1}"/>
    <cellStyle name="Énfasis4 2 4 2 5" xfId="14990" xr:uid="{F6012FF8-923B-4F54-A2B5-6F3586B16E79}"/>
    <cellStyle name="Énfasis4 2 4 2 6" xfId="14991" xr:uid="{7C8E48DC-F3A3-4730-AC93-6810793A5413}"/>
    <cellStyle name="Énfasis4 2 4 2 7" xfId="14992" xr:uid="{F94A3E8A-4AAF-468E-B8F8-7ED8B7B6CF60}"/>
    <cellStyle name="Énfasis4 2 4 2 8" xfId="14993" xr:uid="{19AEA7C2-F349-487B-8FAF-F659AC427893}"/>
    <cellStyle name="Énfasis4 2 4 2 9" xfId="14994" xr:uid="{CD9CC801-0189-449F-AD6B-51733A9240DE}"/>
    <cellStyle name="Énfasis4 2 4 3" xfId="14995" xr:uid="{56CFBDBB-30BF-421A-8A5F-B8CEA124A3B5}"/>
    <cellStyle name="Énfasis4 2 4 3 10" xfId="14996" xr:uid="{52A2D2E6-C092-4538-BA94-1D0BA7A9ED63}"/>
    <cellStyle name="Énfasis4 2 4 3 11" xfId="14997" xr:uid="{8EE5A71A-6D2B-4067-B534-8BADD59887FA}"/>
    <cellStyle name="Énfasis4 2 4 3 2" xfId="14998" xr:uid="{2F127DD9-4F38-403C-A0B4-4ACEF5235293}"/>
    <cellStyle name="Énfasis4 2 4 3 2 2" xfId="14999" xr:uid="{0000F40C-35B7-45CB-9DFF-EE45A9908456}"/>
    <cellStyle name="Énfasis4 2 4 3 2 2 2" xfId="15000" xr:uid="{E988747C-C527-4878-B062-3A083B5D0485}"/>
    <cellStyle name="Énfasis4 2 4 3 2 2 3" xfId="15001" xr:uid="{67F19BE3-B209-4742-803E-7290201D05E7}"/>
    <cellStyle name="Énfasis4 2 4 3 2 2 4" xfId="15002" xr:uid="{1A1F671B-979F-4A02-AF1F-C082EDD5234B}"/>
    <cellStyle name="Énfasis4 2 4 3 2 2 5" xfId="15003" xr:uid="{0BEED7E8-4A6E-46D1-B609-3693D17F986A}"/>
    <cellStyle name="Énfasis4 2 4 3 2 3" xfId="15004" xr:uid="{B5B0081C-816A-42E0-B45C-0EC9F0A1F1AC}"/>
    <cellStyle name="Énfasis4 2 4 3 2 4" xfId="15005" xr:uid="{2014EC1E-76EB-4FCE-9FB2-A66A7B07DFC0}"/>
    <cellStyle name="Énfasis4 2 4 3 2 5" xfId="15006" xr:uid="{0636F413-99F9-4AFC-8353-778AE14C23D7}"/>
    <cellStyle name="Énfasis4 2 4 3 3" xfId="15007" xr:uid="{AE0C019F-01B7-4757-9BFB-90A80A854FEC}"/>
    <cellStyle name="Énfasis4 2 4 3 4" xfId="15008" xr:uid="{62BF56D7-66B1-4FE7-AE14-D33133594C26}"/>
    <cellStyle name="Énfasis4 2 4 3 5" xfId="15009" xr:uid="{805F5052-F3AB-4B1F-8070-0719D8F66612}"/>
    <cellStyle name="Énfasis4 2 4 3 6" xfId="15010" xr:uid="{4DFFDF7C-2126-4FE2-8535-9BC479D1C189}"/>
    <cellStyle name="Énfasis4 2 4 3 7" xfId="15011" xr:uid="{FE451FF8-90CD-42B5-835A-6C425395E18A}"/>
    <cellStyle name="Énfasis4 2 4 3 8" xfId="15012" xr:uid="{B9C5DE4C-1947-4FEA-86FA-507BD678A03E}"/>
    <cellStyle name="Énfasis4 2 4 3 9" xfId="15013" xr:uid="{F9ECFB4A-E8AA-48DF-862D-E14320819200}"/>
    <cellStyle name="Énfasis4 2 4 4" xfId="15014" xr:uid="{BD55A183-6A43-4456-A2D5-2634ACB9E444}"/>
    <cellStyle name="Énfasis4 2 4 4 2" xfId="15015" xr:uid="{A66E1E07-93A9-4207-AD91-D9763D9D631D}"/>
    <cellStyle name="Énfasis4 2 4 4 2 2" xfId="15016" xr:uid="{F4E3489D-2F50-409F-963E-A11DE40C58F9}"/>
    <cellStyle name="Énfasis4 2 4 4 2 3" xfId="15017" xr:uid="{3F7F04C1-AFE9-4887-A331-58C476B2DAFE}"/>
    <cellStyle name="Énfasis4 2 4 4 2 4" xfId="15018" xr:uid="{FFAFE03F-23C6-4F06-8937-29B8D6E45BC9}"/>
    <cellStyle name="Énfasis4 2 4 4 2 5" xfId="15019" xr:uid="{E00CB099-8B11-436C-8FDE-11523C189C4A}"/>
    <cellStyle name="Énfasis4 2 4 4 3" xfId="15020" xr:uid="{6AEF4594-271A-40E7-B5BB-E8D793350B24}"/>
    <cellStyle name="Énfasis4 2 4 4 4" xfId="15021" xr:uid="{49D279C0-3727-49B4-B8AE-189016658E27}"/>
    <cellStyle name="Énfasis4 2 4 4 5" xfId="15022" xr:uid="{4295ECBF-7ADE-40C3-B7B9-1DE3BE14B88A}"/>
    <cellStyle name="Énfasis4 2 4 5" xfId="15023" xr:uid="{28D9A1D6-1694-465A-8F29-0A1239AEB840}"/>
    <cellStyle name="Énfasis4 2 4 6" xfId="15024" xr:uid="{FDEE80EB-9050-482C-93F2-7D0FC0F9AE82}"/>
    <cellStyle name="Énfasis4 2 4 7" xfId="15025" xr:uid="{232091BE-692C-4AD8-B899-C1D5D0E65A59}"/>
    <cellStyle name="Énfasis4 2 4 8" xfId="15026" xr:uid="{1AEA6763-D5A3-4F2B-81B5-9C6EA090436E}"/>
    <cellStyle name="Énfasis4 2 4 9" xfId="15027" xr:uid="{FDCCC72C-E19F-4AC9-B541-DB7EAF924669}"/>
    <cellStyle name="Énfasis4 2 5" xfId="15028" xr:uid="{DEDE09EA-0864-4025-B469-F6CD4272554B}"/>
    <cellStyle name="Énfasis4 2 6" xfId="15029" xr:uid="{2D713370-8D93-4DD2-A204-BE1ADBFF38E3}"/>
    <cellStyle name="Énfasis4 2 7" xfId="15030" xr:uid="{80E120E3-4271-4C99-96D9-5CA75D666826}"/>
    <cellStyle name="Énfasis4 2 8" xfId="15031" xr:uid="{42DDAA4B-523F-41CB-801F-4FA7D5540AA7}"/>
    <cellStyle name="Énfasis4 2 8 2" xfId="15032" xr:uid="{E539C1C1-4725-4DF0-971D-634F0F764528}"/>
    <cellStyle name="Énfasis4 2 9" xfId="15033" xr:uid="{6C055BF9-15D5-471F-B39B-8899550C85B4}"/>
    <cellStyle name="Énfasis4 3" xfId="15034" xr:uid="{31A798CC-6B6C-4491-A784-06BF346BA679}"/>
    <cellStyle name="Énfasis4 3 2" xfId="15035" xr:uid="{E3F5DF46-D798-48FF-92FF-C75071B38098}"/>
    <cellStyle name="Énfasis4 3 3" xfId="15036" xr:uid="{A59DA086-C310-4AC5-A87D-D2AE598D8ADA}"/>
    <cellStyle name="Énfasis4 4" xfId="15037" xr:uid="{82EB044B-52AB-4A7D-B3DA-3E19B26062C7}"/>
    <cellStyle name="Énfasis5" xfId="35" builtinId="45" customBuiltin="1"/>
    <cellStyle name="Énfasis5 2" xfId="15038" xr:uid="{516EFD33-2C7B-4D3C-B0B1-879C6E46BCB7}"/>
    <cellStyle name="Énfasis5 2 10" xfId="15039" xr:uid="{6AB05231-4FC9-40CE-AA39-CC7185FE6B22}"/>
    <cellStyle name="Énfasis5 2 10 10" xfId="15040" xr:uid="{9CECFF6A-6001-490F-A307-9172A8B8F065}"/>
    <cellStyle name="Énfasis5 2 10 11" xfId="15041" xr:uid="{A9BA01C6-BBD9-40FE-AA04-00D1F52B8D04}"/>
    <cellStyle name="Énfasis5 2 10 2" xfId="15042" xr:uid="{558D2BCA-D2AF-4F39-8EDC-C3ADD89BA33F}"/>
    <cellStyle name="Énfasis5 2 10 2 10" xfId="15043" xr:uid="{5DFBD618-65A1-43CA-AFC4-F9BAE87101C8}"/>
    <cellStyle name="Énfasis5 2 10 2 11" xfId="15044" xr:uid="{303148D6-E8C5-476F-8E72-3CA75F44A019}"/>
    <cellStyle name="Énfasis5 2 10 2 2" xfId="15045" xr:uid="{2855D03D-F269-4617-A4A3-89CCC0D82C2B}"/>
    <cellStyle name="Énfasis5 2 10 2 2 2" xfId="15046" xr:uid="{38E71E49-07B5-4351-8D28-34550798F563}"/>
    <cellStyle name="Énfasis5 2 10 2 2 2 2" xfId="15047" xr:uid="{532F7770-777E-49E4-AF91-4A1D45D17B49}"/>
    <cellStyle name="Énfasis5 2 10 2 2 2 3" xfId="15048" xr:uid="{B97DEBB2-D446-4B81-8DFC-BB68839AC57F}"/>
    <cellStyle name="Énfasis5 2 10 2 2 2 4" xfId="15049" xr:uid="{0AA3170D-AF50-4C9F-BBFF-F1BF9AEC3894}"/>
    <cellStyle name="Énfasis5 2 10 2 2 2 5" xfId="15050" xr:uid="{58FCE9AA-6DD4-4BD7-A535-F54BAD2406E9}"/>
    <cellStyle name="Énfasis5 2 10 2 2 3" xfId="15051" xr:uid="{2629E1BC-EEE1-4CD9-9835-28BD0C73517B}"/>
    <cellStyle name="Énfasis5 2 10 2 2 4" xfId="15052" xr:uid="{0FA9D307-C56A-4CA4-B230-8B4992FBA1B3}"/>
    <cellStyle name="Énfasis5 2 10 2 2 5" xfId="15053" xr:uid="{5612C0E0-0292-4E64-8CF5-0C8348D2B1F3}"/>
    <cellStyle name="Énfasis5 2 10 2 3" xfId="15054" xr:uid="{81C74EC7-8B55-4855-B97A-FD266F72CA41}"/>
    <cellStyle name="Énfasis5 2 10 2 4" xfId="15055" xr:uid="{96ED88F9-8AD9-44B6-A6A2-AEB39CA37C45}"/>
    <cellStyle name="Énfasis5 2 10 2 5" xfId="15056" xr:uid="{9DF77639-E71C-4B44-ACDD-1AF40ED9E040}"/>
    <cellStyle name="Énfasis5 2 10 2 6" xfId="15057" xr:uid="{71E25C2F-E5A6-4F79-B4E6-D9B3220F12B3}"/>
    <cellStyle name="Énfasis5 2 10 2 7" xfId="15058" xr:uid="{9916F2D2-0342-4B13-854F-141209E2A726}"/>
    <cellStyle name="Énfasis5 2 10 2 8" xfId="15059" xr:uid="{B601163F-ED82-4D3D-A041-F62D68397641}"/>
    <cellStyle name="Énfasis5 2 10 2 9" xfId="15060" xr:uid="{ABF5CE13-9A68-4B21-8C12-DB2ABF289CF0}"/>
    <cellStyle name="Énfasis5 2 10 3" xfId="15061" xr:uid="{19565DD6-0A28-4C85-A506-5041E720BAA4}"/>
    <cellStyle name="Énfasis5 2 10 3 2" xfId="15062" xr:uid="{856CFF62-30FD-407A-BB1B-CA28FEB015FD}"/>
    <cellStyle name="Énfasis5 2 10 3 2 2" xfId="15063" xr:uid="{2E46C768-F58E-4676-B11D-4A93880FF975}"/>
    <cellStyle name="Énfasis5 2 10 3 2 3" xfId="15064" xr:uid="{ED502E08-B8A6-483F-A242-920DD2DD52FB}"/>
    <cellStyle name="Énfasis5 2 10 3 2 4" xfId="15065" xr:uid="{C70A5D69-5FD8-42F9-994D-F47A932A445B}"/>
    <cellStyle name="Énfasis5 2 10 3 2 5" xfId="15066" xr:uid="{98DB62BB-BB7A-451B-AF20-058D4A0D938C}"/>
    <cellStyle name="Énfasis5 2 10 3 3" xfId="15067" xr:uid="{B0696773-7B0C-4516-91A9-F689F6878C42}"/>
    <cellStyle name="Énfasis5 2 10 3 4" xfId="15068" xr:uid="{5F9B3B05-F603-4A7A-8AF7-D49781F86F4B}"/>
    <cellStyle name="Énfasis5 2 10 3 5" xfId="15069" xr:uid="{DFC39562-87E4-4F62-8049-FB26294EA4F9}"/>
    <cellStyle name="Énfasis5 2 10 4" xfId="15070" xr:uid="{B7480EC2-7C64-4ED0-A255-42571C66043F}"/>
    <cellStyle name="Énfasis5 2 10 5" xfId="15071" xr:uid="{9300CA1E-8E07-4692-8BDF-2F4E4CF6F501}"/>
    <cellStyle name="Énfasis5 2 10 6" xfId="15072" xr:uid="{A10444A0-3AF7-4AFF-81B7-AF46B30CC07D}"/>
    <cellStyle name="Énfasis5 2 10 7" xfId="15073" xr:uid="{619A9CD9-9658-41F8-9AD1-D8A071F91866}"/>
    <cellStyle name="Énfasis5 2 10 8" xfId="15074" xr:uid="{794CCD05-9BF9-491F-81E4-ABE7EC7E5217}"/>
    <cellStyle name="Énfasis5 2 10 9" xfId="15075" xr:uid="{803DB408-30E3-4354-B894-28406B728E9B}"/>
    <cellStyle name="Énfasis5 2 11" xfId="15076" xr:uid="{38BB9274-C27F-4639-AAB7-0F02BCACC894}"/>
    <cellStyle name="Énfasis5 2 12" xfId="15077" xr:uid="{C2F3835E-164A-439A-A56A-06D8489A09D9}"/>
    <cellStyle name="Énfasis5 2 13" xfId="15078" xr:uid="{373D22B6-C455-4A79-9AC2-BFC187C095E6}"/>
    <cellStyle name="Énfasis5 2 2" xfId="15079" xr:uid="{D6DADF4D-4D65-4695-B917-55F9C41CEB4A}"/>
    <cellStyle name="Énfasis5 2 2 10" xfId="15080" xr:uid="{8EFE5179-FCEE-4E1C-A7B1-A0A816C03ED2}"/>
    <cellStyle name="Énfasis5 2 2 10 10" xfId="15081" xr:uid="{8F43D1B3-2F6E-41F7-826C-AEEA3C52551F}"/>
    <cellStyle name="Énfasis5 2 2 10 11" xfId="15082" xr:uid="{4A89CFB1-E1E6-4D12-A857-9522DF1E1F36}"/>
    <cellStyle name="Énfasis5 2 2 10 2" xfId="15083" xr:uid="{1D171383-3E8C-43C2-A08F-0D9DD4422D0A}"/>
    <cellStyle name="Énfasis5 2 2 10 2 10" xfId="15084" xr:uid="{FA7C86F3-2589-4448-9DCC-7A7AC699632F}"/>
    <cellStyle name="Énfasis5 2 2 10 2 11" xfId="15085" xr:uid="{8B06260D-B88D-471E-8719-FC81031EFBE2}"/>
    <cellStyle name="Énfasis5 2 2 10 2 2" xfId="15086" xr:uid="{2A0CE839-67C1-43F4-82EC-98421FD9E28C}"/>
    <cellStyle name="Énfasis5 2 2 10 2 2 2" xfId="15087" xr:uid="{A6D879EE-18D0-4AFE-A159-78847E6EF0B6}"/>
    <cellStyle name="Énfasis5 2 2 10 2 2 2 2" xfId="15088" xr:uid="{17BEF01E-29C2-47C3-A7AB-FC2B78106FF0}"/>
    <cellStyle name="Énfasis5 2 2 10 2 2 2 3" xfId="15089" xr:uid="{711C267B-3885-4EFB-9606-C83DE5DE65F4}"/>
    <cellStyle name="Énfasis5 2 2 10 2 2 2 4" xfId="15090" xr:uid="{7A6D8D93-224C-4EA9-876A-EB25E9E7C8BA}"/>
    <cellStyle name="Énfasis5 2 2 10 2 2 2 5" xfId="15091" xr:uid="{BE5B5419-DE34-4817-9FBC-20FEAE103760}"/>
    <cellStyle name="Énfasis5 2 2 10 2 2 3" xfId="15092" xr:uid="{B131053F-F8DF-4853-91E7-0F2AAF0C9AB5}"/>
    <cellStyle name="Énfasis5 2 2 10 2 2 4" xfId="15093" xr:uid="{7874EC90-E7A0-49BA-A758-AACE6A3D7D7C}"/>
    <cellStyle name="Énfasis5 2 2 10 2 2 5" xfId="15094" xr:uid="{8FC6B061-F380-4350-A661-3416EB9907CC}"/>
    <cellStyle name="Énfasis5 2 2 10 2 3" xfId="15095" xr:uid="{A9FB3C3E-A8EF-4549-AF4A-23E4F1ECB8C0}"/>
    <cellStyle name="Énfasis5 2 2 10 2 4" xfId="15096" xr:uid="{420A9520-D5DE-4D66-BB84-76099D5A01D0}"/>
    <cellStyle name="Énfasis5 2 2 10 2 5" xfId="15097" xr:uid="{F2FC627C-13B9-4A5B-8D66-DD0C39501C8C}"/>
    <cellStyle name="Énfasis5 2 2 10 2 6" xfId="15098" xr:uid="{49FA9211-B8D9-471D-BED8-28F8E08A467C}"/>
    <cellStyle name="Énfasis5 2 2 10 2 7" xfId="15099" xr:uid="{40404DDE-292F-43EC-A941-63DB586B6D66}"/>
    <cellStyle name="Énfasis5 2 2 10 2 8" xfId="15100" xr:uid="{90D25D8A-2EFE-4D82-A2DB-B61368130D1A}"/>
    <cellStyle name="Énfasis5 2 2 10 2 9" xfId="15101" xr:uid="{81894455-9607-48B0-A52F-532E53AD8210}"/>
    <cellStyle name="Énfasis5 2 2 10 3" xfId="15102" xr:uid="{A120B4D8-B27F-4A28-AB41-6025B463EF76}"/>
    <cellStyle name="Énfasis5 2 2 10 3 2" xfId="15103" xr:uid="{795EA2C3-66F2-4A4F-BB49-C06F4573E2EF}"/>
    <cellStyle name="Énfasis5 2 2 10 3 2 2" xfId="15104" xr:uid="{74B3123A-096C-4711-B800-4FDA6CF155A4}"/>
    <cellStyle name="Énfasis5 2 2 10 3 2 3" xfId="15105" xr:uid="{F092F2F1-4965-4FBB-A750-DCB7C4377EBF}"/>
    <cellStyle name="Énfasis5 2 2 10 3 2 4" xfId="15106" xr:uid="{C3B17314-7826-4927-825F-D2A4591CCDC6}"/>
    <cellStyle name="Énfasis5 2 2 10 3 2 5" xfId="15107" xr:uid="{2ACCEE13-A2A4-4BF2-A2B0-7A825742BBF0}"/>
    <cellStyle name="Énfasis5 2 2 10 3 3" xfId="15108" xr:uid="{7A58C103-D799-4E59-B46E-B3F7C03F8DB2}"/>
    <cellStyle name="Énfasis5 2 2 10 3 4" xfId="15109" xr:uid="{0EC70BB6-3273-42F6-97F8-1C62AEB94FE1}"/>
    <cellStyle name="Énfasis5 2 2 10 3 5" xfId="15110" xr:uid="{BDF10A28-640B-44D5-8B5A-91A22D4AC00F}"/>
    <cellStyle name="Énfasis5 2 2 10 4" xfId="15111" xr:uid="{6C980EC4-7A63-47A0-9B24-4FDEEC71E2F9}"/>
    <cellStyle name="Énfasis5 2 2 10 5" xfId="15112" xr:uid="{02669A8B-7E8E-4BAF-A410-CAA7522A7694}"/>
    <cellStyle name="Énfasis5 2 2 10 6" xfId="15113" xr:uid="{417D4F27-F6C6-482D-84D6-FC6F8B6F3420}"/>
    <cellStyle name="Énfasis5 2 2 10 7" xfId="15114" xr:uid="{0B30EBDE-5CF0-4477-8633-4C39E6EB6A58}"/>
    <cellStyle name="Énfasis5 2 2 10 8" xfId="15115" xr:uid="{23441975-8E7E-4139-9D51-B340A936DD45}"/>
    <cellStyle name="Énfasis5 2 2 10 9" xfId="15116" xr:uid="{2D1C0FD6-CF5A-48FA-968C-AE6C507320E3}"/>
    <cellStyle name="Énfasis5 2 2 11" xfId="15117" xr:uid="{DBB7FBF3-1320-4DA7-846A-F97B95A0F196}"/>
    <cellStyle name="Énfasis5 2 2 12" xfId="15118" xr:uid="{7E5DB8AF-0CAE-4C5F-9799-BDEA9FE15B1E}"/>
    <cellStyle name="Énfasis5 2 2 13" xfId="15119" xr:uid="{AF450F8A-59C4-4784-89F2-D6D6E88E5197}"/>
    <cellStyle name="Énfasis5 2 2 2" xfId="15120" xr:uid="{BC6A93A1-36EF-4D9A-AC08-DA1FDF8E22AB}"/>
    <cellStyle name="Énfasis5 2 2 2 2" xfId="15121" xr:uid="{D112BD13-99BD-4A38-9017-D59C7D097F47}"/>
    <cellStyle name="Énfasis5 2 2 2 2 2" xfId="15122" xr:uid="{49B189C3-7000-462F-A866-CA5FDD3B0ABD}"/>
    <cellStyle name="Énfasis5 2 2 2 2 2 2" xfId="15123" xr:uid="{38E7C77D-2194-4021-BC3F-9DFFC64BD5E9}"/>
    <cellStyle name="Énfasis5 2 2 2 2 2 2 2" xfId="15124" xr:uid="{5E708057-8B46-401A-983A-C9A4C4CC9709}"/>
    <cellStyle name="Énfasis5 2 2 2 2 2 2 2 2" xfId="15125" xr:uid="{E4399CD5-D08F-42B9-8E6B-7F1E031D81F4}"/>
    <cellStyle name="Énfasis5 2 2 2 2 2 2 2 2 2" xfId="15126" xr:uid="{10C9DEDB-9254-444F-90FD-AC9DFCDEDADA}"/>
    <cellStyle name="Énfasis5 2 2 2 2 2 2 2 2 2 2" xfId="15127" xr:uid="{382A97FB-FB98-481F-8DA8-FDB483A51757}"/>
    <cellStyle name="Énfasis5 2 2 2 2 2 2 2 2 2 2 2" xfId="15128" xr:uid="{3A630049-C10C-4C34-B306-C8B076D22F94}"/>
    <cellStyle name="Énfasis5 2 2 2 2 2 2 2 2 2 2 2 2" xfId="15129" xr:uid="{A65799DA-2D62-4F31-8E6E-C5331485EAA1}"/>
    <cellStyle name="Énfasis5 2 2 2 2 2 2 2 2 2 2 3" xfId="15130" xr:uid="{B8BEC967-8D3B-4FE1-A4AC-2BA370C4BFFC}"/>
    <cellStyle name="Énfasis5 2 2 2 2 2 2 2 2 2 2 4" xfId="15131" xr:uid="{C8886C2B-815B-4ACC-ABDC-7B11DAC2F3AB}"/>
    <cellStyle name="Énfasis5 2 2 2 2 2 2 2 2 2 3" xfId="15132" xr:uid="{4E86F525-992B-4680-ADBF-47FBCBBBE3C2}"/>
    <cellStyle name="Énfasis5 2 2 2 2 2 2 2 2 2 4" xfId="15133" xr:uid="{14510CDE-6468-40CA-BA52-D6FDF5D3B756}"/>
    <cellStyle name="Énfasis5 2 2 2 2 2 2 2 2 3" xfId="15134" xr:uid="{31C4F5C4-8637-4709-BEE6-E362FDA4DF8C}"/>
    <cellStyle name="Énfasis5 2 2 2 2 2 2 2 2 4" xfId="15135" xr:uid="{9C903C17-8DC2-4BD4-B7F5-31AD61A4579D}"/>
    <cellStyle name="Énfasis5 2 2 2 2 2 2 2 2 5" xfId="15136" xr:uid="{BACD8081-B539-4360-B098-A89356CCD100}"/>
    <cellStyle name="Énfasis5 2 2 2 2 2 2 2 3" xfId="15137" xr:uid="{E71B3CCD-D369-4FF7-A4AB-B54CB6E43F3B}"/>
    <cellStyle name="Énfasis5 2 2 2 2 2 2 2 3 10" xfId="15138" xr:uid="{F3D918E7-F7FA-4FF4-B247-E091F5D62FB9}"/>
    <cellStyle name="Énfasis5 2 2 2 2 2 2 2 3 11" xfId="15139" xr:uid="{B4845104-BABD-4A7D-89EC-B65487913E4C}"/>
    <cellStyle name="Énfasis5 2 2 2 2 2 2 2 3 2" xfId="15140" xr:uid="{B2B1489B-A27C-4EEA-A160-63EF830A6AA4}"/>
    <cellStyle name="Énfasis5 2 2 2 2 2 2 2 3 2 2" xfId="15141" xr:uid="{D495C400-8E11-469C-A434-CE349237FB64}"/>
    <cellStyle name="Énfasis5 2 2 2 2 2 2 2 3 2 2 2" xfId="15142" xr:uid="{6AE162CA-0164-4715-BB58-A449D2530EBC}"/>
    <cellStyle name="Énfasis5 2 2 2 2 2 2 2 3 2 2 3" xfId="15143" xr:uid="{0A03623E-CC88-40BF-807F-D025EE0B728E}"/>
    <cellStyle name="Énfasis5 2 2 2 2 2 2 2 3 2 2 4" xfId="15144" xr:uid="{43F68BC2-1EB1-4F80-85A3-B4709BF6C416}"/>
    <cellStyle name="Énfasis5 2 2 2 2 2 2 2 3 2 2 5" xfId="15145" xr:uid="{CFF424D9-94B2-4C0A-A0C7-43F8CEB79C57}"/>
    <cellStyle name="Énfasis5 2 2 2 2 2 2 2 3 2 3" xfId="15146" xr:uid="{E499C525-56DE-4FE3-ABA6-A30426E1A407}"/>
    <cellStyle name="Énfasis5 2 2 2 2 2 2 2 3 2 4" xfId="15147" xr:uid="{C554B505-0F5C-4021-BB78-B2A1B93C1E00}"/>
    <cellStyle name="Énfasis5 2 2 2 2 2 2 2 3 2 5" xfId="15148" xr:uid="{EF91C182-B494-487D-9F2F-745845AA5E29}"/>
    <cellStyle name="Énfasis5 2 2 2 2 2 2 2 3 3" xfId="15149" xr:uid="{7C60E326-A800-47C9-B096-60BF9B60313A}"/>
    <cellStyle name="Énfasis5 2 2 2 2 2 2 2 3 4" xfId="15150" xr:uid="{575A2525-C14E-4A6E-A12C-833F11AFE21C}"/>
    <cellStyle name="Énfasis5 2 2 2 2 2 2 2 3 5" xfId="15151" xr:uid="{4BC54F38-6C2C-46A0-B3C2-6D2B24F4E136}"/>
    <cellStyle name="Énfasis5 2 2 2 2 2 2 2 3 6" xfId="15152" xr:uid="{88B1F0D7-5200-4B99-BC58-11E6F373733F}"/>
    <cellStyle name="Énfasis5 2 2 2 2 2 2 2 3 7" xfId="15153" xr:uid="{5DBF3A74-7DE3-40A2-B298-62366DC888AF}"/>
    <cellStyle name="Énfasis5 2 2 2 2 2 2 2 3 8" xfId="15154" xr:uid="{81A1AE05-B63C-4A3A-923D-1DE6D35FB9BF}"/>
    <cellStyle name="Énfasis5 2 2 2 2 2 2 2 3 9" xfId="15155" xr:uid="{3C719654-5703-4766-99EF-575A937E3274}"/>
    <cellStyle name="Énfasis5 2 2 2 2 2 2 2 4" xfId="15156" xr:uid="{E6420FA6-0D00-4233-8EB0-94AB3C4AFD6E}"/>
    <cellStyle name="Énfasis5 2 2 2 2 2 2 2 5" xfId="15157" xr:uid="{829D4155-3623-4F6F-A724-B6201805701E}"/>
    <cellStyle name="Énfasis5 2 2 2 2 2 2 3" xfId="15158" xr:uid="{1AA3B929-1DE9-4948-B074-52E1D9CF2D93}"/>
    <cellStyle name="Énfasis5 2 2 2 2 2 2 3 10" xfId="15159" xr:uid="{E62F4F5C-8115-4E3A-8A9F-7DA85015F5DF}"/>
    <cellStyle name="Énfasis5 2 2 2 2 2 2 3 11" xfId="15160" xr:uid="{D3920971-A54B-475D-8B01-B55A947F006A}"/>
    <cellStyle name="Énfasis5 2 2 2 2 2 2 3 2" xfId="15161" xr:uid="{C484034D-1745-46BD-948B-007247767756}"/>
    <cellStyle name="Énfasis5 2 2 2 2 2 2 3 2 10" xfId="15162" xr:uid="{39EF496F-13DC-4830-BE15-426248F92E6C}"/>
    <cellStyle name="Énfasis5 2 2 2 2 2 2 3 2 11" xfId="15163" xr:uid="{DCED053E-7837-455F-992E-8E8E073B2B84}"/>
    <cellStyle name="Énfasis5 2 2 2 2 2 2 3 2 2" xfId="15164" xr:uid="{346A9383-D4A5-4B35-A8F3-A8B56127E8F5}"/>
    <cellStyle name="Énfasis5 2 2 2 2 2 2 3 2 2 2" xfId="15165" xr:uid="{1A7C4415-CE81-421D-AA20-157002B9BFDF}"/>
    <cellStyle name="Énfasis5 2 2 2 2 2 2 3 2 2 2 2" xfId="15166" xr:uid="{C0A385B3-FD45-47D0-ABE3-CD6C616CA88D}"/>
    <cellStyle name="Énfasis5 2 2 2 2 2 2 3 2 2 2 3" xfId="15167" xr:uid="{1CFE6D15-CE30-44AC-ABAB-E1433CB63573}"/>
    <cellStyle name="Énfasis5 2 2 2 2 2 2 3 2 2 2 4" xfId="15168" xr:uid="{54699AD8-BCBC-4463-9E66-4DEF1BC37680}"/>
    <cellStyle name="Énfasis5 2 2 2 2 2 2 3 2 2 2 5" xfId="15169" xr:uid="{E4FC1C9F-737A-41C9-B770-5A2DA5E5A28F}"/>
    <cellStyle name="Énfasis5 2 2 2 2 2 2 3 2 2 3" xfId="15170" xr:uid="{58AC2598-D37E-4C23-B9A8-CEAF20F75773}"/>
    <cellStyle name="Énfasis5 2 2 2 2 2 2 3 2 2 4" xfId="15171" xr:uid="{F345B8B9-ABCD-4A0F-9796-0C0BC72EAEC7}"/>
    <cellStyle name="Énfasis5 2 2 2 2 2 2 3 2 2 5" xfId="15172" xr:uid="{31D61402-606C-4767-A116-CCC95133BE83}"/>
    <cellStyle name="Énfasis5 2 2 2 2 2 2 3 2 3" xfId="15173" xr:uid="{C42EDF89-1142-4FC0-A904-541BC9C668EE}"/>
    <cellStyle name="Énfasis5 2 2 2 2 2 2 3 2 4" xfId="15174" xr:uid="{D66130BE-1958-480C-9BBE-B6B81A945911}"/>
    <cellStyle name="Énfasis5 2 2 2 2 2 2 3 2 5" xfId="15175" xr:uid="{B4079DBD-5F34-4C8E-A78D-1F45AD2CCF4C}"/>
    <cellStyle name="Énfasis5 2 2 2 2 2 2 3 2 6" xfId="15176" xr:uid="{3FBDA05C-D5A4-4CFF-A806-28DBFD5B81F7}"/>
    <cellStyle name="Énfasis5 2 2 2 2 2 2 3 2 7" xfId="15177" xr:uid="{C9238E37-A766-42F4-967A-0BC6904447B6}"/>
    <cellStyle name="Énfasis5 2 2 2 2 2 2 3 2 8" xfId="15178" xr:uid="{693D78D9-DE79-4721-826A-A713BA9652B5}"/>
    <cellStyle name="Énfasis5 2 2 2 2 2 2 3 2 9" xfId="15179" xr:uid="{00102F61-583B-4B75-8E37-A28ECD867A7A}"/>
    <cellStyle name="Énfasis5 2 2 2 2 2 2 3 3" xfId="15180" xr:uid="{4A344895-3336-4A6C-8037-32921DBBA9EA}"/>
    <cellStyle name="Énfasis5 2 2 2 2 2 2 3 3 2" xfId="15181" xr:uid="{025ECEAE-4B68-4DE0-9790-9463C510193C}"/>
    <cellStyle name="Énfasis5 2 2 2 2 2 2 3 3 2 2" xfId="15182" xr:uid="{0414738D-6138-4555-AE55-7E6353F4C1A8}"/>
    <cellStyle name="Énfasis5 2 2 2 2 2 2 3 3 2 3" xfId="15183" xr:uid="{93129049-C914-434F-9EF9-0F6CABB47C01}"/>
    <cellStyle name="Énfasis5 2 2 2 2 2 2 3 3 2 4" xfId="15184" xr:uid="{80BF31F7-D657-444A-AD0B-EFA15BF37556}"/>
    <cellStyle name="Énfasis5 2 2 2 2 2 2 3 3 2 5" xfId="15185" xr:uid="{6A113C97-1285-4F45-AD7B-F3B6A09DD871}"/>
    <cellStyle name="Énfasis5 2 2 2 2 2 2 3 3 3" xfId="15186" xr:uid="{70F49E3B-9562-409A-845B-C54939B423D1}"/>
    <cellStyle name="Énfasis5 2 2 2 2 2 2 3 3 4" xfId="15187" xr:uid="{FD4E76B6-DEA0-4627-B70B-250A4CEB2355}"/>
    <cellStyle name="Énfasis5 2 2 2 2 2 2 3 3 5" xfId="15188" xr:uid="{57296F0D-D38B-4174-85BC-84D5521C7659}"/>
    <cellStyle name="Énfasis5 2 2 2 2 2 2 3 4" xfId="15189" xr:uid="{61C99CCA-B593-443C-981A-43D9DAFE2507}"/>
    <cellStyle name="Énfasis5 2 2 2 2 2 2 3 5" xfId="15190" xr:uid="{E9A67CBA-C9E5-4F89-8C0A-1EEE5FC02F20}"/>
    <cellStyle name="Énfasis5 2 2 2 2 2 2 3 6" xfId="15191" xr:uid="{22FF9B16-7B46-4D5B-AA85-17FE1F9A918E}"/>
    <cellStyle name="Énfasis5 2 2 2 2 2 2 3 7" xfId="15192" xr:uid="{6FB2887E-CF7B-49BA-A654-8A9D75F5B228}"/>
    <cellStyle name="Énfasis5 2 2 2 2 2 2 3 8" xfId="15193" xr:uid="{D7D10FAD-4370-4378-BDEB-ED8883F7E6BE}"/>
    <cellStyle name="Énfasis5 2 2 2 2 2 2 3 9" xfId="15194" xr:uid="{A3AE8FDC-B72B-4C49-B86D-6FBEB1CE002B}"/>
    <cellStyle name="Énfasis5 2 2 2 2 2 2 4" xfId="15195" xr:uid="{B33114ED-6D37-4DFB-AA1D-F778D18257B3}"/>
    <cellStyle name="Énfasis5 2 2 2 2 2 2 5" xfId="15196" xr:uid="{2CE2EB51-BD5B-4D1B-82EF-33D21BB4C950}"/>
    <cellStyle name="Énfasis5 2 2 2 2 2 2 6" xfId="15197" xr:uid="{B90490EA-0C89-467D-9466-5E8FCC0E8390}"/>
    <cellStyle name="Énfasis5 2 2 2 2 2 3" xfId="15198" xr:uid="{1CDE26CE-4C64-43CB-821B-4007D927352F}"/>
    <cellStyle name="Énfasis5 2 2 2 2 2 3 10" xfId="15199" xr:uid="{822A502F-F6C8-4E29-8C02-B3443FA77209}"/>
    <cellStyle name="Énfasis5 2 2 2 2 2 3 11" xfId="15200" xr:uid="{71E516D3-1341-4560-9B6D-A4E8C801DDFF}"/>
    <cellStyle name="Énfasis5 2 2 2 2 2 3 2" xfId="15201" xr:uid="{BDFDDEB0-6E6E-4090-ACBD-ECA301EA3461}"/>
    <cellStyle name="Énfasis5 2 2 2 2 2 3 2 10" xfId="15202" xr:uid="{D6427662-7194-4AD9-A4EB-A0CA2429DF41}"/>
    <cellStyle name="Énfasis5 2 2 2 2 2 3 2 11" xfId="15203" xr:uid="{50BF2579-CADB-46CB-B754-3D5941C64FAF}"/>
    <cellStyle name="Énfasis5 2 2 2 2 2 3 2 2" xfId="15204" xr:uid="{E7FB74A7-9E33-4B4F-BB66-2D7A4BD977A4}"/>
    <cellStyle name="Énfasis5 2 2 2 2 2 3 2 2 2" xfId="15205" xr:uid="{92A6895B-ADFB-44F1-8336-1C51048647F9}"/>
    <cellStyle name="Énfasis5 2 2 2 2 2 3 2 2 2 2" xfId="15206" xr:uid="{B1008202-8FC8-4318-85C0-6BA5401B8CF5}"/>
    <cellStyle name="Énfasis5 2 2 2 2 2 3 2 2 2 3" xfId="15207" xr:uid="{F6889493-D7AC-44E1-BF38-9D78037BCE05}"/>
    <cellStyle name="Énfasis5 2 2 2 2 2 3 2 2 2 4" xfId="15208" xr:uid="{0D44E035-FAD5-4F7C-84D8-98146210B295}"/>
    <cellStyle name="Énfasis5 2 2 2 2 2 3 2 2 2 5" xfId="15209" xr:uid="{2C071E9A-2AF8-4E33-A793-639608D126A2}"/>
    <cellStyle name="Énfasis5 2 2 2 2 2 3 2 2 3" xfId="15210" xr:uid="{0B27C043-7407-417E-A7E5-32ADF9A53B24}"/>
    <cellStyle name="Énfasis5 2 2 2 2 2 3 2 2 4" xfId="15211" xr:uid="{23BDF8E1-0F8E-41C5-922A-E1A09A247FE3}"/>
    <cellStyle name="Énfasis5 2 2 2 2 2 3 2 2 5" xfId="15212" xr:uid="{47DA7E32-BF14-4894-8E29-93BEEE4B2BC6}"/>
    <cellStyle name="Énfasis5 2 2 2 2 2 3 2 3" xfId="15213" xr:uid="{934E3334-0224-47AF-9B38-9C2217C5EC49}"/>
    <cellStyle name="Énfasis5 2 2 2 2 2 3 2 4" xfId="15214" xr:uid="{711E831A-D146-4B15-94E7-02E32589C0A7}"/>
    <cellStyle name="Énfasis5 2 2 2 2 2 3 2 5" xfId="15215" xr:uid="{24486C64-5B1C-4A9F-A61E-BB91EE731BF7}"/>
    <cellStyle name="Énfasis5 2 2 2 2 2 3 2 6" xfId="15216" xr:uid="{3F4CA573-AF4F-4114-912F-EFF47374B4E9}"/>
    <cellStyle name="Énfasis5 2 2 2 2 2 3 2 7" xfId="15217" xr:uid="{102C50F7-515F-4C0F-A43E-B45C656AF496}"/>
    <cellStyle name="Énfasis5 2 2 2 2 2 3 2 8" xfId="15218" xr:uid="{EFC17FA1-B9AB-4638-A0F2-D9412CD0B650}"/>
    <cellStyle name="Énfasis5 2 2 2 2 2 3 2 9" xfId="15219" xr:uid="{E98F08ED-1FDE-448F-AC6E-EA90D22D8B7C}"/>
    <cellStyle name="Énfasis5 2 2 2 2 2 3 3" xfId="15220" xr:uid="{9F5D830A-2704-4D7A-8778-35D5CF6753B2}"/>
    <cellStyle name="Énfasis5 2 2 2 2 2 3 3 2" xfId="15221" xr:uid="{982076CC-2341-40A3-B263-225F9442E56A}"/>
    <cellStyle name="Énfasis5 2 2 2 2 2 3 3 2 2" xfId="15222" xr:uid="{C3E1A91B-75CF-4F0A-82A6-D57DD382CA12}"/>
    <cellStyle name="Énfasis5 2 2 2 2 2 3 3 2 3" xfId="15223" xr:uid="{2064D7BA-840A-47F5-B32C-68C0E3BCC4F1}"/>
    <cellStyle name="Énfasis5 2 2 2 2 2 3 3 2 4" xfId="15224" xr:uid="{EB6E6B25-7238-4FCB-AA78-20071E6D07AC}"/>
    <cellStyle name="Énfasis5 2 2 2 2 2 3 3 2 5" xfId="15225" xr:uid="{04367D74-4FFF-4BF3-B96D-B0C07DF30E76}"/>
    <cellStyle name="Énfasis5 2 2 2 2 2 3 3 3" xfId="15226" xr:uid="{C450B63A-D53E-4362-B314-901EA964EDE0}"/>
    <cellStyle name="Énfasis5 2 2 2 2 2 3 3 4" xfId="15227" xr:uid="{10F32005-5A4C-4423-AB33-28836959C65A}"/>
    <cellStyle name="Énfasis5 2 2 2 2 2 3 3 5" xfId="15228" xr:uid="{47BCBA38-98D5-41DB-8D03-6CC9099616D3}"/>
    <cellStyle name="Énfasis5 2 2 2 2 2 3 4" xfId="15229" xr:uid="{4BFE32A0-517C-46C3-982F-6A0215A05BB4}"/>
    <cellStyle name="Énfasis5 2 2 2 2 2 3 5" xfId="15230" xr:uid="{6A410C75-1C60-447F-A609-F1CC0CD5507C}"/>
    <cellStyle name="Énfasis5 2 2 2 2 2 3 6" xfId="15231" xr:uid="{0A1A4C0B-E6FE-476A-9B0C-1DB68769E480}"/>
    <cellStyle name="Énfasis5 2 2 2 2 2 3 7" xfId="15232" xr:uid="{6E625D63-1DA2-4720-AA10-1E7EB67A1A70}"/>
    <cellStyle name="Énfasis5 2 2 2 2 2 3 8" xfId="15233" xr:uid="{EDBCE756-2AB7-4B1D-AC40-3CBF5BAEB9FD}"/>
    <cellStyle name="Énfasis5 2 2 2 2 2 3 9" xfId="15234" xr:uid="{0B18699C-6700-4CE0-A4F3-4224C5C6343C}"/>
    <cellStyle name="Énfasis5 2 2 2 2 2 4" xfId="15235" xr:uid="{2EDF898C-932D-4671-8AD6-61097F471EA4}"/>
    <cellStyle name="Énfasis5 2 2 2 2 2 5" xfId="15236" xr:uid="{CCB75745-4F5A-4F4A-8ACB-93D894017996}"/>
    <cellStyle name="Énfasis5 2 2 2 2 2 6" xfId="15237" xr:uid="{2065683C-CBB0-4EED-B724-40786A2BA91A}"/>
    <cellStyle name="Énfasis5 2 2 2 2 3" xfId="15238" xr:uid="{BBE6F322-E904-45F8-8529-7391B7C6B50A}"/>
    <cellStyle name="Énfasis5 2 2 2 2 4" xfId="15239" xr:uid="{6150F15C-0EAE-4EBF-805C-AD25EB34BA4E}"/>
    <cellStyle name="Énfasis5 2 2 2 2 4 10" xfId="15240" xr:uid="{5105051F-A4B8-4C86-B8E3-F58E5E7AE8B8}"/>
    <cellStyle name="Énfasis5 2 2 2 2 4 11" xfId="15241" xr:uid="{151DA309-38FB-4E51-8D0B-278695B61148}"/>
    <cellStyle name="Énfasis5 2 2 2 2 4 2" xfId="15242" xr:uid="{99AFFCC1-9867-4796-ABBE-CE29CCE4E174}"/>
    <cellStyle name="Énfasis5 2 2 2 2 4 2 10" xfId="15243" xr:uid="{2B318939-E2F0-42A5-A42A-4C1064757E84}"/>
    <cellStyle name="Énfasis5 2 2 2 2 4 2 11" xfId="15244" xr:uid="{CEB469A9-CFAE-46AD-813A-6FF5326D20E7}"/>
    <cellStyle name="Énfasis5 2 2 2 2 4 2 2" xfId="15245" xr:uid="{D4C0E866-1F8F-47DD-A1BB-C38D3908668F}"/>
    <cellStyle name="Énfasis5 2 2 2 2 4 2 2 2" xfId="15246" xr:uid="{5ADBDAFA-4031-4773-9D3E-B52589C2DA38}"/>
    <cellStyle name="Énfasis5 2 2 2 2 4 2 2 2 2" xfId="15247" xr:uid="{F3618CBF-FADF-4BA1-A4B0-20016EBB1BD3}"/>
    <cellStyle name="Énfasis5 2 2 2 2 4 2 2 2 3" xfId="15248" xr:uid="{D30D718E-DCF6-4EB8-A515-F75A05A39991}"/>
    <cellStyle name="Énfasis5 2 2 2 2 4 2 2 2 4" xfId="15249" xr:uid="{89C4B47D-3CD6-4421-AEE4-91C2FF184C6D}"/>
    <cellStyle name="Énfasis5 2 2 2 2 4 2 2 2 5" xfId="15250" xr:uid="{27A26824-1979-41AC-835D-8B6A2CF51060}"/>
    <cellStyle name="Énfasis5 2 2 2 2 4 2 2 3" xfId="15251" xr:uid="{76E83E8C-4ADA-474B-B340-01071E31724D}"/>
    <cellStyle name="Énfasis5 2 2 2 2 4 2 2 4" xfId="15252" xr:uid="{7DC4955B-D9E0-46E7-8D7B-1467CEBA4F84}"/>
    <cellStyle name="Énfasis5 2 2 2 2 4 2 2 5" xfId="15253" xr:uid="{FFA986F2-B043-4FD1-B75F-3E2A3D794AD7}"/>
    <cellStyle name="Énfasis5 2 2 2 2 4 2 3" xfId="15254" xr:uid="{49575883-FF34-415A-9794-A7BA5EF9EDC7}"/>
    <cellStyle name="Énfasis5 2 2 2 2 4 2 4" xfId="15255" xr:uid="{F0F7C58B-30F6-439D-941F-118661972613}"/>
    <cellStyle name="Énfasis5 2 2 2 2 4 2 5" xfId="15256" xr:uid="{A7A61646-43DB-47BC-889D-6F72C536A45C}"/>
    <cellStyle name="Énfasis5 2 2 2 2 4 2 6" xfId="15257" xr:uid="{1BD409B5-9F7C-47D8-9F4B-2B709EFE2DD9}"/>
    <cellStyle name="Énfasis5 2 2 2 2 4 2 7" xfId="15258" xr:uid="{CDC9599B-4BB4-4F0C-AACA-C803417EF4D9}"/>
    <cellStyle name="Énfasis5 2 2 2 2 4 2 8" xfId="15259" xr:uid="{A4E16CC2-2306-4F01-976A-A2456C24D762}"/>
    <cellStyle name="Énfasis5 2 2 2 2 4 2 9" xfId="15260" xr:uid="{48AE5C42-BCE9-4518-8B04-BE0AAF609407}"/>
    <cellStyle name="Énfasis5 2 2 2 2 4 3" xfId="15261" xr:uid="{F4BA47DF-C5D0-4391-B512-CBACDAE4F4A7}"/>
    <cellStyle name="Énfasis5 2 2 2 2 4 3 2" xfId="15262" xr:uid="{1AD0D860-42BA-4A43-A82E-7D90E569C832}"/>
    <cellStyle name="Énfasis5 2 2 2 2 4 3 2 2" xfId="15263" xr:uid="{6D92266D-59E5-4141-B448-BBC003C27646}"/>
    <cellStyle name="Énfasis5 2 2 2 2 4 3 2 3" xfId="15264" xr:uid="{CB7D3609-6504-4688-9348-DA8644FE7E49}"/>
    <cellStyle name="Énfasis5 2 2 2 2 4 3 2 4" xfId="15265" xr:uid="{14923BEE-7F37-4A87-9946-752CA03CF1A2}"/>
    <cellStyle name="Énfasis5 2 2 2 2 4 3 2 5" xfId="15266" xr:uid="{9F71E7B7-C00C-4C5B-9AF8-894EF77015DE}"/>
    <cellStyle name="Énfasis5 2 2 2 2 4 3 3" xfId="15267" xr:uid="{ABB9E051-8F8A-410F-8040-B8ECE4A67A7A}"/>
    <cellStyle name="Énfasis5 2 2 2 2 4 3 4" xfId="15268" xr:uid="{36E87CAB-2234-4268-8C4B-A49FF1E95256}"/>
    <cellStyle name="Énfasis5 2 2 2 2 4 3 5" xfId="15269" xr:uid="{A912B8EE-0C95-4F37-91FD-379BF60B8DB2}"/>
    <cellStyle name="Énfasis5 2 2 2 2 4 4" xfId="15270" xr:uid="{8E36840B-F205-412B-8725-38F34296982A}"/>
    <cellStyle name="Énfasis5 2 2 2 2 4 5" xfId="15271" xr:uid="{1E40D134-2B28-4477-8A9A-2052205CF244}"/>
    <cellStyle name="Énfasis5 2 2 2 2 4 6" xfId="15272" xr:uid="{3B746F6D-1822-435C-8DED-0EF8308D0359}"/>
    <cellStyle name="Énfasis5 2 2 2 2 4 7" xfId="15273" xr:uid="{9FC856F8-CAF2-4195-8240-4E9A2A7AC8F8}"/>
    <cellStyle name="Énfasis5 2 2 2 2 4 8" xfId="15274" xr:uid="{4076A46B-7B96-4144-BFB8-CAB2312ADAAA}"/>
    <cellStyle name="Énfasis5 2 2 2 2 4 9" xfId="15275" xr:uid="{812B9B8F-CC21-4EC2-82F6-11D800F7D4B8}"/>
    <cellStyle name="Énfasis5 2 2 2 2 5" xfId="15276" xr:uid="{1B6EC098-BE89-4EBE-9D31-EDB6F4B56B27}"/>
    <cellStyle name="Énfasis5 2 2 2 2 6" xfId="15277" xr:uid="{8FB0380B-2386-430C-8B8A-02CF25509F80}"/>
    <cellStyle name="Énfasis5 2 2 2 2 7" xfId="15278" xr:uid="{DDCD9AC0-71B5-4E6A-AAD1-4F6E98A842BE}"/>
    <cellStyle name="Énfasis5 2 2 2 3" xfId="15279" xr:uid="{F25FCE77-27D2-4893-BC75-79E014946312}"/>
    <cellStyle name="Énfasis5 2 2 2 4" xfId="15280" xr:uid="{BF4ED2E4-E67D-4308-80C5-AB967C7838FC}"/>
    <cellStyle name="Énfasis5 2 2 2 5" xfId="15281" xr:uid="{24E8776F-2709-41EE-847F-1374B452B746}"/>
    <cellStyle name="Énfasis5 2 2 2 5 10" xfId="15282" xr:uid="{E21FD7FD-B851-41DC-9597-CB284D4B6B94}"/>
    <cellStyle name="Énfasis5 2 2 2 5 11" xfId="15283" xr:uid="{0477F5A6-F1E0-47E3-86A1-E1458E7A91DC}"/>
    <cellStyle name="Énfasis5 2 2 2 5 2" xfId="15284" xr:uid="{C3FD6DB4-1EA4-4438-BCF5-B1559DD5662F}"/>
    <cellStyle name="Énfasis5 2 2 2 5 2 10" xfId="15285" xr:uid="{D0912BF0-CAAE-40EA-8660-F5B56CC7F249}"/>
    <cellStyle name="Énfasis5 2 2 2 5 2 11" xfId="15286" xr:uid="{14126F6B-F400-4C85-A984-20B76C728624}"/>
    <cellStyle name="Énfasis5 2 2 2 5 2 2" xfId="15287" xr:uid="{82F31CB5-6813-48D0-9128-C85F15A82566}"/>
    <cellStyle name="Énfasis5 2 2 2 5 2 2 2" xfId="15288" xr:uid="{7B3A5B4B-CD56-4E8B-9A7F-E31CA7F9D8E1}"/>
    <cellStyle name="Énfasis5 2 2 2 5 2 2 2 2" xfId="15289" xr:uid="{EBDDFD58-4F78-41E7-942A-D7C100FF525D}"/>
    <cellStyle name="Énfasis5 2 2 2 5 2 2 2 3" xfId="15290" xr:uid="{DF3138E6-3EEA-4558-AF3D-E4F30D3D51A9}"/>
    <cellStyle name="Énfasis5 2 2 2 5 2 2 2 4" xfId="15291" xr:uid="{E6FC1DDC-96C0-49A1-88BA-0D82B05A9258}"/>
    <cellStyle name="Énfasis5 2 2 2 5 2 2 2 5" xfId="15292" xr:uid="{6498570F-6A93-463E-A5B4-C8B3043D56BC}"/>
    <cellStyle name="Énfasis5 2 2 2 5 2 2 3" xfId="15293" xr:uid="{7FDA36FE-FE4A-4DDD-AD8B-190C7D32D87F}"/>
    <cellStyle name="Énfasis5 2 2 2 5 2 2 4" xfId="15294" xr:uid="{0A74C654-573B-45BA-B46C-8DA52DA15BF4}"/>
    <cellStyle name="Énfasis5 2 2 2 5 2 2 5" xfId="15295" xr:uid="{8B594EF6-88C2-41CC-AACE-BFB995DDDE88}"/>
    <cellStyle name="Énfasis5 2 2 2 5 2 3" xfId="15296" xr:uid="{09A1BCEA-A72E-4D7A-B6EC-C0E73634A957}"/>
    <cellStyle name="Énfasis5 2 2 2 5 2 4" xfId="15297" xr:uid="{FCD35C4A-A4C5-4C5B-B500-9F9CC4A08CDD}"/>
    <cellStyle name="Énfasis5 2 2 2 5 2 5" xfId="15298" xr:uid="{C1E46E23-440F-4AE3-B41B-689FE81FC8FE}"/>
    <cellStyle name="Énfasis5 2 2 2 5 2 6" xfId="15299" xr:uid="{4A9810AA-6C00-4148-B34B-33E148EDD4A3}"/>
    <cellStyle name="Énfasis5 2 2 2 5 2 7" xfId="15300" xr:uid="{4A94E83E-8BE3-4877-B0CB-45DDFF45E060}"/>
    <cellStyle name="Énfasis5 2 2 2 5 2 8" xfId="15301" xr:uid="{409C8E42-FB53-4C71-A5EC-B8A0B7F820A8}"/>
    <cellStyle name="Énfasis5 2 2 2 5 2 9" xfId="15302" xr:uid="{44FBB635-7061-4F4F-A476-50EF32F48183}"/>
    <cellStyle name="Énfasis5 2 2 2 5 3" xfId="15303" xr:uid="{8E36A1DF-AF7A-4D58-80DA-3A63CC4DDE81}"/>
    <cellStyle name="Énfasis5 2 2 2 5 3 2" xfId="15304" xr:uid="{34090524-E04A-4B40-9A44-225EE79AF692}"/>
    <cellStyle name="Énfasis5 2 2 2 5 3 2 2" xfId="15305" xr:uid="{E0F6FA11-58E9-43EB-A8BE-C806C75A747C}"/>
    <cellStyle name="Énfasis5 2 2 2 5 3 2 3" xfId="15306" xr:uid="{43EF776A-9D54-4CF3-89EA-D8477A5D9E4A}"/>
    <cellStyle name="Énfasis5 2 2 2 5 3 2 4" xfId="15307" xr:uid="{66CD525B-2111-4C1D-9711-B6975937527F}"/>
    <cellStyle name="Énfasis5 2 2 2 5 3 2 5" xfId="15308" xr:uid="{22984982-99D5-4F9E-AE9D-EE13420F68FD}"/>
    <cellStyle name="Énfasis5 2 2 2 5 3 3" xfId="15309" xr:uid="{00B17C4B-4980-4751-B268-FD412F329EEE}"/>
    <cellStyle name="Énfasis5 2 2 2 5 3 4" xfId="15310" xr:uid="{501120AC-B09B-4BBD-96CE-14B2E6956AD9}"/>
    <cellStyle name="Énfasis5 2 2 2 5 3 5" xfId="15311" xr:uid="{341BAA3A-262A-4F4A-B390-FB69705D6DA3}"/>
    <cellStyle name="Énfasis5 2 2 2 5 4" xfId="15312" xr:uid="{005841C3-6C40-4AF0-9F9C-5D272F832C10}"/>
    <cellStyle name="Énfasis5 2 2 2 5 5" xfId="15313" xr:uid="{62D8E22D-D239-4195-A396-2043407B4AEE}"/>
    <cellStyle name="Énfasis5 2 2 2 5 6" xfId="15314" xr:uid="{68783B87-3B15-4615-88AD-6F47C4A953F4}"/>
    <cellStyle name="Énfasis5 2 2 2 5 7" xfId="15315" xr:uid="{4645C032-ACC3-4A23-AE3D-2E6734862091}"/>
    <cellStyle name="Énfasis5 2 2 2 5 8" xfId="15316" xr:uid="{5FBFAB96-ADD6-4A53-9BF8-7609F32D6CD5}"/>
    <cellStyle name="Énfasis5 2 2 2 5 9" xfId="15317" xr:uid="{DA45E506-49BD-4954-9D8A-45F96405F105}"/>
    <cellStyle name="Énfasis5 2 2 2 6" xfId="15318" xr:uid="{6D08D154-1C04-476A-A8C5-261B54D39CD8}"/>
    <cellStyle name="Énfasis5 2 2 2 7" xfId="15319" xr:uid="{55287696-10E0-45DB-BB53-5C171CD8CF85}"/>
    <cellStyle name="Énfasis5 2 2 2 8" xfId="15320" xr:uid="{2C5E7537-E17C-4EB5-9E9D-3F03D21C4F2F}"/>
    <cellStyle name="Énfasis5 2 2 3" xfId="15321" xr:uid="{73550C51-DC53-410E-B346-85B3F2CF429E}"/>
    <cellStyle name="Énfasis5 2 2 4" xfId="15322" xr:uid="{A7B29E74-6337-40D8-BF1B-C3227A4C6C8E}"/>
    <cellStyle name="Énfasis5 2 2 5" xfId="15323" xr:uid="{ADFB5BEF-734F-481D-BF22-ECA94D92FA30}"/>
    <cellStyle name="Énfasis5 2 2 6" xfId="15324" xr:uid="{E4C3A0A1-CC7D-4336-9AD3-03495791C249}"/>
    <cellStyle name="Énfasis5 2 2 7" xfId="15325" xr:uid="{8D94504A-0251-48F3-A452-CF41DEA9A9DD}"/>
    <cellStyle name="Énfasis5 2 2 8" xfId="15326" xr:uid="{9BFE2CA5-4CF2-4A9F-A5BD-AF33208E3649}"/>
    <cellStyle name="Énfasis5 2 2 8 2" xfId="15327" xr:uid="{68615CBD-0145-49FC-BA0B-2736BD405698}"/>
    <cellStyle name="Énfasis5 2 2 9" xfId="15328" xr:uid="{138143A5-7CC5-4E7A-941C-E100A42784FE}"/>
    <cellStyle name="Énfasis5 2 3" xfId="15329" xr:uid="{E2E77438-3456-44B6-8B01-16E8C2B64739}"/>
    <cellStyle name="Énfasis5 2 4" xfId="15330" xr:uid="{AC6B2A4D-3214-4CD7-A247-E00BF2D001FE}"/>
    <cellStyle name="Énfasis5 2 4 10" xfId="15331" xr:uid="{9247EF3F-ACBB-46C6-AD72-08A60FC75487}"/>
    <cellStyle name="Énfasis5 2 4 11" xfId="15332" xr:uid="{31DFE173-3294-4ABA-80D3-A0556D2F3742}"/>
    <cellStyle name="Énfasis5 2 4 12" xfId="15333" xr:uid="{44B1C5B0-8C27-41D0-80C3-E5B25CBD4E51}"/>
    <cellStyle name="Énfasis5 2 4 2" xfId="15334" xr:uid="{E42A858A-B9A2-4BEF-A270-38470FD06C32}"/>
    <cellStyle name="Énfasis5 2 4 2 10" xfId="15335" xr:uid="{8430FAD7-BA31-4FC3-9A05-A3456828F1A4}"/>
    <cellStyle name="Énfasis5 2 4 2 11" xfId="15336" xr:uid="{38E04558-E710-4DF7-89B8-FEB84666B460}"/>
    <cellStyle name="Énfasis5 2 4 2 12" xfId="15337" xr:uid="{CFDF147A-0D6F-4632-9778-89F067C58E13}"/>
    <cellStyle name="Énfasis5 2 4 2 2" xfId="15338" xr:uid="{BFCDCB85-ADB3-42B3-A5C4-11E6BA817692}"/>
    <cellStyle name="Énfasis5 2 4 2 2 10" xfId="15339" xr:uid="{DDAF940B-6E26-47F8-B442-701843770488}"/>
    <cellStyle name="Énfasis5 2 4 2 2 11" xfId="15340" xr:uid="{ED609441-E11D-4849-A16F-70DD960B873D}"/>
    <cellStyle name="Énfasis5 2 4 2 2 2" xfId="15341" xr:uid="{F0346EB4-8D65-48F9-AFEE-C4AEAD1BA815}"/>
    <cellStyle name="Énfasis5 2 4 2 2 2 10" xfId="15342" xr:uid="{78C0D99C-5CBC-4641-80D7-379D15821DE5}"/>
    <cellStyle name="Énfasis5 2 4 2 2 2 11" xfId="15343" xr:uid="{9A90ADAD-7DFA-43D8-9145-B35C473207A4}"/>
    <cellStyle name="Énfasis5 2 4 2 2 2 2" xfId="15344" xr:uid="{B269A5BA-1B06-411A-A5A1-A1EE55D59D20}"/>
    <cellStyle name="Énfasis5 2 4 2 2 2 2 2" xfId="15345" xr:uid="{E6DA6329-4503-4E15-B6D5-0432B2C8130B}"/>
    <cellStyle name="Énfasis5 2 4 2 2 2 2 2 2" xfId="15346" xr:uid="{30FD54FB-A6C9-4C0B-8DAA-56823235BD65}"/>
    <cellStyle name="Énfasis5 2 4 2 2 2 2 2 3" xfId="15347" xr:uid="{11862748-483B-4992-9635-BF23FCBF33F6}"/>
    <cellStyle name="Énfasis5 2 4 2 2 2 2 2 4" xfId="15348" xr:uid="{B266D282-499D-4765-AEC5-DD0E4D3A9F60}"/>
    <cellStyle name="Énfasis5 2 4 2 2 2 2 2 5" xfId="15349" xr:uid="{DAE00B24-67A3-4EA2-942E-3A9144F8A5CE}"/>
    <cellStyle name="Énfasis5 2 4 2 2 2 2 3" xfId="15350" xr:uid="{BF5A7E10-0899-4ADF-BCFC-920FB037F7EC}"/>
    <cellStyle name="Énfasis5 2 4 2 2 2 2 4" xfId="15351" xr:uid="{ABA0787E-8916-4E8C-AA7D-E04BD2633D73}"/>
    <cellStyle name="Énfasis5 2 4 2 2 2 2 5" xfId="15352" xr:uid="{7865857E-C6D1-4051-935F-2C5E70A39DB8}"/>
    <cellStyle name="Énfasis5 2 4 2 2 2 3" xfId="15353" xr:uid="{46815D2D-F78C-407C-B3B0-D382F4489BE6}"/>
    <cellStyle name="Énfasis5 2 4 2 2 2 4" xfId="15354" xr:uid="{C10EB7F6-3681-4083-BE04-8AE703B2BF5A}"/>
    <cellStyle name="Énfasis5 2 4 2 2 2 5" xfId="15355" xr:uid="{87BE3411-C7FB-41F7-986F-FCF84562BF54}"/>
    <cellStyle name="Énfasis5 2 4 2 2 2 6" xfId="15356" xr:uid="{880FB09C-135A-473C-946A-19F23DE85C15}"/>
    <cellStyle name="Énfasis5 2 4 2 2 2 7" xfId="15357" xr:uid="{ECB66253-A301-4CC1-BBFF-AC9D94B81128}"/>
    <cellStyle name="Énfasis5 2 4 2 2 2 8" xfId="15358" xr:uid="{5C25088E-63B8-4199-BCFF-AD4379881F24}"/>
    <cellStyle name="Énfasis5 2 4 2 2 2 9" xfId="15359" xr:uid="{FB8783BB-07F9-4656-8885-07A428C920C8}"/>
    <cellStyle name="Énfasis5 2 4 2 2 3" xfId="15360" xr:uid="{0E772436-3227-461F-B753-B9F0338B62D7}"/>
    <cellStyle name="Énfasis5 2 4 2 2 3 2" xfId="15361" xr:uid="{2E326BC2-102E-4FBF-B85C-7A1117D11F6C}"/>
    <cellStyle name="Énfasis5 2 4 2 2 3 2 2" xfId="15362" xr:uid="{6BFBAFC7-12B2-4A53-9D2D-381134215EB2}"/>
    <cellStyle name="Énfasis5 2 4 2 2 3 2 3" xfId="15363" xr:uid="{04B645AA-5A0B-4377-B735-398DA746D237}"/>
    <cellStyle name="Énfasis5 2 4 2 2 3 2 4" xfId="15364" xr:uid="{5D9D40DF-48E1-406B-8CDA-BC4E065540B6}"/>
    <cellStyle name="Énfasis5 2 4 2 2 3 2 5" xfId="15365" xr:uid="{F0FF0108-A285-4480-B217-1BE6E311193C}"/>
    <cellStyle name="Énfasis5 2 4 2 2 3 3" xfId="15366" xr:uid="{BDA50544-669A-445F-AD97-565CE9404D79}"/>
    <cellStyle name="Énfasis5 2 4 2 2 3 4" xfId="15367" xr:uid="{9A4DFC27-9AA1-446E-9F71-79E8A2F910F7}"/>
    <cellStyle name="Énfasis5 2 4 2 2 3 5" xfId="15368" xr:uid="{E6028851-3A42-44BF-AC4D-C75C96B1ED2A}"/>
    <cellStyle name="Énfasis5 2 4 2 2 4" xfId="15369" xr:uid="{D50C3E83-1909-4568-8704-4BD97162DA1B}"/>
    <cellStyle name="Énfasis5 2 4 2 2 5" xfId="15370" xr:uid="{D486F693-1997-46AC-8CA0-B4E86A3053DD}"/>
    <cellStyle name="Énfasis5 2 4 2 2 6" xfId="15371" xr:uid="{E1334EC5-FF75-4103-8DF8-C8B918463EE5}"/>
    <cellStyle name="Énfasis5 2 4 2 2 7" xfId="15372" xr:uid="{F601E691-F3F2-4D80-86E0-0495785B1EF3}"/>
    <cellStyle name="Énfasis5 2 4 2 2 8" xfId="15373" xr:uid="{AD7D471D-1392-4C98-91FD-9F3EA624D017}"/>
    <cellStyle name="Énfasis5 2 4 2 2 9" xfId="15374" xr:uid="{50825B2F-ABA5-404F-938B-8A23592B3887}"/>
    <cellStyle name="Énfasis5 2 4 2 3" xfId="15375" xr:uid="{7E69BF73-09A8-4B06-88E3-25402B6517CA}"/>
    <cellStyle name="Énfasis5 2 4 2 3 2" xfId="15376" xr:uid="{165197E3-D665-4FD1-853F-AD281A00AC52}"/>
    <cellStyle name="Énfasis5 2 4 2 3 2 2" xfId="15377" xr:uid="{8FA45258-E497-4444-B837-4D697C418265}"/>
    <cellStyle name="Énfasis5 2 4 2 3 2 3" xfId="15378" xr:uid="{1DDD5A63-254F-4985-A970-AD74DF8437EE}"/>
    <cellStyle name="Énfasis5 2 4 2 3 2 4" xfId="15379" xr:uid="{6574B202-86EA-485A-98E4-122F3C679B99}"/>
    <cellStyle name="Énfasis5 2 4 2 3 2 5" xfId="15380" xr:uid="{DF0D212E-4D2E-45E2-B181-5AF29A6F98CE}"/>
    <cellStyle name="Énfasis5 2 4 2 3 3" xfId="15381" xr:uid="{79ABD136-C525-4D65-855D-C57704F7B0C7}"/>
    <cellStyle name="Énfasis5 2 4 2 3 4" xfId="15382" xr:uid="{218CC4FD-FE63-4368-B1E4-C10CEAD09F07}"/>
    <cellStyle name="Énfasis5 2 4 2 3 5" xfId="15383" xr:uid="{D6871C3F-F06E-4966-9158-51773199945D}"/>
    <cellStyle name="Énfasis5 2 4 2 4" xfId="15384" xr:uid="{10F55BD0-9ACC-4ACC-A413-FAE747B27656}"/>
    <cellStyle name="Énfasis5 2 4 2 5" xfId="15385" xr:uid="{7A2D60EF-A3BB-4988-B77A-BD33A29457BC}"/>
    <cellStyle name="Énfasis5 2 4 2 6" xfId="15386" xr:uid="{D8FF078C-F799-47D3-9E16-CDAAD95DCAA6}"/>
    <cellStyle name="Énfasis5 2 4 2 7" xfId="15387" xr:uid="{4A648706-72EC-401A-96C7-B39079CAB1EF}"/>
    <cellStyle name="Énfasis5 2 4 2 8" xfId="15388" xr:uid="{C7101BF9-6177-42CF-9183-B197E518A800}"/>
    <cellStyle name="Énfasis5 2 4 2 9" xfId="15389" xr:uid="{1D462F19-0FD2-460A-AF90-9684EF63E9A9}"/>
    <cellStyle name="Énfasis5 2 4 3" xfId="15390" xr:uid="{C77AE582-6CBF-472C-A11E-45CEF244FCBC}"/>
    <cellStyle name="Énfasis5 2 4 3 10" xfId="15391" xr:uid="{047DD850-7CBA-4117-9B72-3D87940E1621}"/>
    <cellStyle name="Énfasis5 2 4 3 11" xfId="15392" xr:uid="{A15884DD-D87E-430B-B62B-42C910F68246}"/>
    <cellStyle name="Énfasis5 2 4 3 2" xfId="15393" xr:uid="{9F51E3C2-6EE4-4FD3-BEE1-5DA90EAEC2A6}"/>
    <cellStyle name="Énfasis5 2 4 3 2 2" xfId="15394" xr:uid="{906DF37B-5E9C-457E-B296-E353964C6973}"/>
    <cellStyle name="Énfasis5 2 4 3 2 2 2" xfId="15395" xr:uid="{DB5E5859-D815-4F95-B7CD-514113189475}"/>
    <cellStyle name="Énfasis5 2 4 3 2 2 3" xfId="15396" xr:uid="{8A3DE7BA-69E5-47EA-8BC1-07FEFAB759FF}"/>
    <cellStyle name="Énfasis5 2 4 3 2 2 4" xfId="15397" xr:uid="{C87294E0-078C-41F5-8D04-76CC4D318BFA}"/>
    <cellStyle name="Énfasis5 2 4 3 2 2 5" xfId="15398" xr:uid="{7136A181-207B-4D00-AC52-4D16F8C5C49C}"/>
    <cellStyle name="Énfasis5 2 4 3 2 3" xfId="15399" xr:uid="{3CF071B2-1B1B-431A-85B4-1104C9B2A933}"/>
    <cellStyle name="Énfasis5 2 4 3 2 4" xfId="15400" xr:uid="{8AB76BCC-D984-4176-AEF7-2BCD0A59BD8D}"/>
    <cellStyle name="Énfasis5 2 4 3 2 5" xfId="15401" xr:uid="{E46CC0F9-264D-4180-9B69-EF4D8695A7C2}"/>
    <cellStyle name="Énfasis5 2 4 3 3" xfId="15402" xr:uid="{9E7ADCC7-5213-47A0-A5AD-61A1BA2B8487}"/>
    <cellStyle name="Énfasis5 2 4 3 4" xfId="15403" xr:uid="{F224BB73-01BF-432A-8904-10B9CC9C264D}"/>
    <cellStyle name="Énfasis5 2 4 3 5" xfId="15404" xr:uid="{945EE06B-C6D4-4484-AFE0-3EBDCFE6B74E}"/>
    <cellStyle name="Énfasis5 2 4 3 6" xfId="15405" xr:uid="{C09A7883-12B4-4028-9A57-A409A4A1F5AA}"/>
    <cellStyle name="Énfasis5 2 4 3 7" xfId="15406" xr:uid="{89B7A880-E45E-413B-B7B7-1A9234C44373}"/>
    <cellStyle name="Énfasis5 2 4 3 8" xfId="15407" xr:uid="{DE010BD3-5E54-4299-AD21-55DA208FB056}"/>
    <cellStyle name="Énfasis5 2 4 3 9" xfId="15408" xr:uid="{16F45B01-AD0F-4ABC-8DF8-20CC6CB21069}"/>
    <cellStyle name="Énfasis5 2 4 4" xfId="15409" xr:uid="{5536A597-ED56-470B-97E1-74B57EE0FDC9}"/>
    <cellStyle name="Énfasis5 2 4 4 2" xfId="15410" xr:uid="{C93554E2-7ED1-49A9-83DD-C28E7D8405A4}"/>
    <cellStyle name="Énfasis5 2 4 4 2 2" xfId="15411" xr:uid="{2A1481B0-DE9A-42EC-B464-27DCCB9C885C}"/>
    <cellStyle name="Énfasis5 2 4 4 2 3" xfId="15412" xr:uid="{09E368BF-B839-46DF-95AE-538EA636AC62}"/>
    <cellStyle name="Énfasis5 2 4 4 2 4" xfId="15413" xr:uid="{3B8A5AA8-9DEB-4794-B58C-D944487E6286}"/>
    <cellStyle name="Énfasis5 2 4 4 2 5" xfId="15414" xr:uid="{6D93AB3B-3C50-447E-BFB0-57EB578BE553}"/>
    <cellStyle name="Énfasis5 2 4 4 3" xfId="15415" xr:uid="{10C16BA5-0E30-48CE-AD1A-8AE26E993046}"/>
    <cellStyle name="Énfasis5 2 4 4 4" xfId="15416" xr:uid="{7BB220E5-0ACC-41D6-B1FD-B3FC19D5110D}"/>
    <cellStyle name="Énfasis5 2 4 4 5" xfId="15417" xr:uid="{B0B54BFF-DC3F-4FFA-AE6C-A1EE7C7CC692}"/>
    <cellStyle name="Énfasis5 2 4 5" xfId="15418" xr:uid="{380CFC19-9F9A-4377-BBF3-2480CFE586AE}"/>
    <cellStyle name="Énfasis5 2 4 6" xfId="15419" xr:uid="{1F13CB15-450E-44F7-A4D3-BF7FC5C13951}"/>
    <cellStyle name="Énfasis5 2 4 7" xfId="15420" xr:uid="{BE46CCBA-8550-401D-A391-CC0170093D91}"/>
    <cellStyle name="Énfasis5 2 4 8" xfId="15421" xr:uid="{E528746C-2070-4212-AF74-876E0A0F62AD}"/>
    <cellStyle name="Énfasis5 2 4 9" xfId="15422" xr:uid="{26EACDCE-18F7-4221-9457-3643579823EB}"/>
    <cellStyle name="Énfasis5 2 5" xfId="15423" xr:uid="{E6739B26-35CF-4410-B553-8E7557592CA2}"/>
    <cellStyle name="Énfasis5 2 6" xfId="15424" xr:uid="{FFF85FE6-0789-49B7-86D0-1DC6C449CACC}"/>
    <cellStyle name="Énfasis5 2 7" xfId="15425" xr:uid="{118ADCB7-973A-4A3F-BC4B-C272F892A012}"/>
    <cellStyle name="Énfasis5 2 8" xfId="15426" xr:uid="{B43AA683-E8BA-4C46-85A8-91956CD7C5D6}"/>
    <cellStyle name="Énfasis5 2 8 2" xfId="15427" xr:uid="{F5918022-3EB9-44DC-AAEF-DA6E4A268CCB}"/>
    <cellStyle name="Énfasis5 2 9" xfId="15428" xr:uid="{92D242CB-D449-4CC0-8D0A-45CE7357403F}"/>
    <cellStyle name="Énfasis5 3" xfId="15429" xr:uid="{97C4F7D0-889D-4A65-8DD5-2675127D42C1}"/>
    <cellStyle name="Énfasis5 3 2" xfId="15430" xr:uid="{B8D70877-F21E-4ED3-92EF-11F9470BF9E1}"/>
    <cellStyle name="Énfasis5 3 3" xfId="15431" xr:uid="{6FC22B62-2766-4CA0-80AC-9463CFF2F090}"/>
    <cellStyle name="Énfasis5 4" xfId="15432" xr:uid="{FC14B8EB-82F7-4846-AD4E-EAF44F76F349}"/>
    <cellStyle name="Énfasis6" xfId="38" builtinId="49" customBuiltin="1"/>
    <cellStyle name="Énfasis6 2" xfId="15433" xr:uid="{A4155DB7-CBEE-4793-BD41-665D7C18B6B5}"/>
    <cellStyle name="Énfasis6 2 10" xfId="15434" xr:uid="{E3FBC3F5-B61D-4C44-919A-CC4858B46D3E}"/>
    <cellStyle name="Énfasis6 2 10 10" xfId="15435" xr:uid="{819A0462-B3FC-45F0-9257-2449EF69A0F5}"/>
    <cellStyle name="Énfasis6 2 10 11" xfId="15436" xr:uid="{F5A871A9-BEEF-4061-B45E-025928DB3BBD}"/>
    <cellStyle name="Énfasis6 2 10 2" xfId="15437" xr:uid="{8F343FC8-4425-409C-B49F-04EF8089BD60}"/>
    <cellStyle name="Énfasis6 2 10 2 10" xfId="15438" xr:uid="{96742F51-71A9-484E-A1C0-9A13305D2355}"/>
    <cellStyle name="Énfasis6 2 10 2 11" xfId="15439" xr:uid="{FF723077-467B-49CE-998D-C04B8531DEF2}"/>
    <cellStyle name="Énfasis6 2 10 2 2" xfId="15440" xr:uid="{653DA7D0-E3B5-4FE6-BEAB-9F9C064772E5}"/>
    <cellStyle name="Énfasis6 2 10 2 2 2" xfId="15441" xr:uid="{6908B621-3DF8-4045-B244-4040023E31F3}"/>
    <cellStyle name="Énfasis6 2 10 2 2 2 2" xfId="15442" xr:uid="{9D93C603-407A-48AF-BE0A-B60A8984077B}"/>
    <cellStyle name="Énfasis6 2 10 2 2 2 3" xfId="15443" xr:uid="{6956069B-AFF8-49C4-BF64-63A0D374493C}"/>
    <cellStyle name="Énfasis6 2 10 2 2 2 4" xfId="15444" xr:uid="{80C514F7-87BB-4BD2-A38B-1DFD5F554BB5}"/>
    <cellStyle name="Énfasis6 2 10 2 2 2 5" xfId="15445" xr:uid="{4C8C6137-6141-40D9-A18F-D29DE3060407}"/>
    <cellStyle name="Énfasis6 2 10 2 2 3" xfId="15446" xr:uid="{825EB813-1199-4044-9889-C3D14DEF8C4A}"/>
    <cellStyle name="Énfasis6 2 10 2 2 4" xfId="15447" xr:uid="{A0F9EFA6-625C-4CAD-9285-19677FBC27B5}"/>
    <cellStyle name="Énfasis6 2 10 2 2 5" xfId="15448" xr:uid="{7793DEB7-5C63-4127-BF19-F696859BBC10}"/>
    <cellStyle name="Énfasis6 2 10 2 3" xfId="15449" xr:uid="{813408C2-12E0-44FE-B301-BEC7FB1BB788}"/>
    <cellStyle name="Énfasis6 2 10 2 4" xfId="15450" xr:uid="{B50573E3-83D8-4D03-AFF9-E4B047B11708}"/>
    <cellStyle name="Énfasis6 2 10 2 5" xfId="15451" xr:uid="{C26A425A-F5C4-4C24-87DA-3556CB30D6E2}"/>
    <cellStyle name="Énfasis6 2 10 2 6" xfId="15452" xr:uid="{E6C01454-C53C-48C5-9ABB-29B66B3521E7}"/>
    <cellStyle name="Énfasis6 2 10 2 7" xfId="15453" xr:uid="{D8CC8C93-EA8F-4E0E-8C3D-ED763916DE64}"/>
    <cellStyle name="Énfasis6 2 10 2 8" xfId="15454" xr:uid="{A582E3D8-24A7-42BF-9432-E9B68D172E3B}"/>
    <cellStyle name="Énfasis6 2 10 2 9" xfId="15455" xr:uid="{5076AC6A-AA91-4254-B383-97069F527EC0}"/>
    <cellStyle name="Énfasis6 2 10 3" xfId="15456" xr:uid="{1A61B1EC-44AB-4356-B74E-E3161F385AAA}"/>
    <cellStyle name="Énfasis6 2 10 3 2" xfId="15457" xr:uid="{EC9203C5-EFEF-4E47-B3A5-0FF6F861487C}"/>
    <cellStyle name="Énfasis6 2 10 3 2 2" xfId="15458" xr:uid="{C88350E1-F413-41C9-AB99-5CC561673B6D}"/>
    <cellStyle name="Énfasis6 2 10 3 2 3" xfId="15459" xr:uid="{62D028FE-63D0-4162-A069-7B76E762F6F9}"/>
    <cellStyle name="Énfasis6 2 10 3 2 4" xfId="15460" xr:uid="{9A4E2BC5-1ADD-4538-95D3-D3107DC1E90A}"/>
    <cellStyle name="Énfasis6 2 10 3 2 5" xfId="15461" xr:uid="{17A67892-2C2C-4932-855F-6C70E5C87093}"/>
    <cellStyle name="Énfasis6 2 10 3 3" xfId="15462" xr:uid="{B1AF5C75-5316-471B-82D0-61FEE8537DE3}"/>
    <cellStyle name="Énfasis6 2 10 3 4" xfId="15463" xr:uid="{9C9F8FF8-F6DD-4FEF-8367-C6396729D23A}"/>
    <cellStyle name="Énfasis6 2 10 3 5" xfId="15464" xr:uid="{8859B875-63C2-4374-9F0E-0B11191D1924}"/>
    <cellStyle name="Énfasis6 2 10 4" xfId="15465" xr:uid="{B4AEFED0-E7BB-41E9-B243-FF3F24075FCA}"/>
    <cellStyle name="Énfasis6 2 10 5" xfId="15466" xr:uid="{AA3C07A4-4954-4F64-BF11-3C9DF1B534A3}"/>
    <cellStyle name="Énfasis6 2 10 6" xfId="15467" xr:uid="{98FD04B3-EF58-4875-87B0-AE18548336CA}"/>
    <cellStyle name="Énfasis6 2 10 7" xfId="15468" xr:uid="{FE038DF3-41CD-4C17-A170-5842AC9510F9}"/>
    <cellStyle name="Énfasis6 2 10 8" xfId="15469" xr:uid="{36B3CCCB-83A4-43CD-9A75-52B74FDCAD75}"/>
    <cellStyle name="Énfasis6 2 10 9" xfId="15470" xr:uid="{B4E47FF5-1BA4-4C8D-9719-8030715E0CA9}"/>
    <cellStyle name="Énfasis6 2 11" xfId="15471" xr:uid="{A1765BD7-C5D8-4FF5-91D8-47488D5E6B27}"/>
    <cellStyle name="Énfasis6 2 12" xfId="15472" xr:uid="{658B129E-0013-42C3-8243-5841B301F5C6}"/>
    <cellStyle name="Énfasis6 2 13" xfId="15473" xr:uid="{CF68D1C9-7B38-45E1-8396-0B2840260054}"/>
    <cellStyle name="Énfasis6 2 2" xfId="15474" xr:uid="{B2BF530D-C9D9-4537-997B-FA58090A6D96}"/>
    <cellStyle name="Énfasis6 2 2 10" xfId="15475" xr:uid="{BD175664-E3B4-4825-9E2C-E10ECBCD804C}"/>
    <cellStyle name="Énfasis6 2 2 10 10" xfId="15476" xr:uid="{850297F7-0B04-4F8F-BEBC-2244B6DC62B7}"/>
    <cellStyle name="Énfasis6 2 2 10 11" xfId="15477" xr:uid="{7805C3D4-FC59-4742-8241-5D96446BC89D}"/>
    <cellStyle name="Énfasis6 2 2 10 2" xfId="15478" xr:uid="{74AB39F9-39CC-4BE3-ABE8-7DD5E696AF4E}"/>
    <cellStyle name="Énfasis6 2 2 10 2 10" xfId="15479" xr:uid="{BC5916EC-3D3E-4DA4-A4E8-52002D362732}"/>
    <cellStyle name="Énfasis6 2 2 10 2 11" xfId="15480" xr:uid="{A1672E1E-A362-4665-B30A-D2982BF9FFDD}"/>
    <cellStyle name="Énfasis6 2 2 10 2 2" xfId="15481" xr:uid="{C2FDD10F-A2FD-4474-A949-E59BA91CF366}"/>
    <cellStyle name="Énfasis6 2 2 10 2 2 2" xfId="15482" xr:uid="{588F8CE6-1B02-4DC9-B37C-96F793984F5F}"/>
    <cellStyle name="Énfasis6 2 2 10 2 2 2 2" xfId="15483" xr:uid="{8AE8B4EF-8519-4056-ABF8-D2338A09242E}"/>
    <cellStyle name="Énfasis6 2 2 10 2 2 2 3" xfId="15484" xr:uid="{6219A67F-2D6D-4454-97C2-0C55A209C0E3}"/>
    <cellStyle name="Énfasis6 2 2 10 2 2 2 4" xfId="15485" xr:uid="{AF1096CC-3235-4E84-9C8D-925C415BAAE4}"/>
    <cellStyle name="Énfasis6 2 2 10 2 2 2 5" xfId="15486" xr:uid="{3A0D5359-590E-4FB5-9DC0-76CDA6EBFBBE}"/>
    <cellStyle name="Énfasis6 2 2 10 2 2 3" xfId="15487" xr:uid="{7C828A1B-7BB1-4706-A4C0-1685F1BF38E0}"/>
    <cellStyle name="Énfasis6 2 2 10 2 2 4" xfId="15488" xr:uid="{CF364C9D-E967-4ED1-A3A7-D39350FCF4BC}"/>
    <cellStyle name="Énfasis6 2 2 10 2 2 5" xfId="15489" xr:uid="{CBBDC2E1-BA69-4D1A-A4EA-A58526086A7B}"/>
    <cellStyle name="Énfasis6 2 2 10 2 3" xfId="15490" xr:uid="{92B29480-6468-4EAD-A29E-D05D1485ACB5}"/>
    <cellStyle name="Énfasis6 2 2 10 2 4" xfId="15491" xr:uid="{CD51C424-AFA2-4F24-AEAB-27F4374EC542}"/>
    <cellStyle name="Énfasis6 2 2 10 2 5" xfId="15492" xr:uid="{E1312061-2E92-42B2-AEA3-0175305CEB00}"/>
    <cellStyle name="Énfasis6 2 2 10 2 6" xfId="15493" xr:uid="{C7F3FCC1-B0EF-4AE7-8717-FD8F3E4CD631}"/>
    <cellStyle name="Énfasis6 2 2 10 2 7" xfId="15494" xr:uid="{FED1A5B4-B159-4C80-B887-F180BDF2CFFE}"/>
    <cellStyle name="Énfasis6 2 2 10 2 8" xfId="15495" xr:uid="{ED31F335-071D-4A23-A88B-8FBEBEBCAE74}"/>
    <cellStyle name="Énfasis6 2 2 10 2 9" xfId="15496" xr:uid="{8C3A4456-21B1-4507-9C8B-093235E236CF}"/>
    <cellStyle name="Énfasis6 2 2 10 3" xfId="15497" xr:uid="{B52154A7-DE50-4AF3-9882-72D19A3A4BF9}"/>
    <cellStyle name="Énfasis6 2 2 10 3 2" xfId="15498" xr:uid="{60976D13-CFAA-4CD4-B6B6-E6AEB4276498}"/>
    <cellStyle name="Énfasis6 2 2 10 3 2 2" xfId="15499" xr:uid="{C9E31E46-2EC1-4D3B-B366-62C7BC77F331}"/>
    <cellStyle name="Énfasis6 2 2 10 3 2 3" xfId="15500" xr:uid="{779983B6-3C79-496F-8637-10A114A5ADAC}"/>
    <cellStyle name="Énfasis6 2 2 10 3 2 4" xfId="15501" xr:uid="{284A7BFB-217E-43E6-886D-093F48645822}"/>
    <cellStyle name="Énfasis6 2 2 10 3 2 5" xfId="15502" xr:uid="{29D859A9-B3D5-4281-90C1-312C07C2938E}"/>
    <cellStyle name="Énfasis6 2 2 10 3 3" xfId="15503" xr:uid="{860F2ADE-A6B7-416E-9FDA-61DEAC2C3C1E}"/>
    <cellStyle name="Énfasis6 2 2 10 3 4" xfId="15504" xr:uid="{1CBA24B2-D162-485F-9F58-67D8E0C03149}"/>
    <cellStyle name="Énfasis6 2 2 10 3 5" xfId="15505" xr:uid="{78BD8679-9E61-40ED-B7C8-764A9FAC81C7}"/>
    <cellStyle name="Énfasis6 2 2 10 4" xfId="15506" xr:uid="{81CD4F28-63F9-4E53-8FF8-4675331ADA83}"/>
    <cellStyle name="Énfasis6 2 2 10 5" xfId="15507" xr:uid="{86C04F0F-C3E5-4DE1-ACBA-9F87E0E3D76E}"/>
    <cellStyle name="Énfasis6 2 2 10 6" xfId="15508" xr:uid="{C77149FB-DEB2-4B28-95D0-44798EC4B239}"/>
    <cellStyle name="Énfasis6 2 2 10 7" xfId="15509" xr:uid="{59307B97-E946-4DBB-8E6F-D3A9FE461401}"/>
    <cellStyle name="Énfasis6 2 2 10 8" xfId="15510" xr:uid="{6F2120F7-3E8E-4EB4-8915-4C7BE1B245F4}"/>
    <cellStyle name="Énfasis6 2 2 10 9" xfId="15511" xr:uid="{E5AD3817-DD7D-4031-8498-0877F48B3BA0}"/>
    <cellStyle name="Énfasis6 2 2 11" xfId="15512" xr:uid="{B7A111B8-CD2F-4CC1-9581-240325823B51}"/>
    <cellStyle name="Énfasis6 2 2 12" xfId="15513" xr:uid="{B95538DF-4198-4EA4-8DD9-C65EE41318AE}"/>
    <cellStyle name="Énfasis6 2 2 13" xfId="15514" xr:uid="{FC41F7DF-F3F7-43C7-AC1F-BE96B324D78F}"/>
    <cellStyle name="Énfasis6 2 2 2" xfId="15515" xr:uid="{07BD9642-ECD3-4EBA-9C36-464BEBC7C1D3}"/>
    <cellStyle name="Énfasis6 2 2 2 2" xfId="15516" xr:uid="{E27EFD09-D8D6-4C95-8507-0080D45DA6E7}"/>
    <cellStyle name="Énfasis6 2 2 2 2 2" xfId="15517" xr:uid="{5987D10B-5030-4F39-A07D-7EDD7E422C87}"/>
    <cellStyle name="Énfasis6 2 2 2 2 2 2" xfId="15518" xr:uid="{32C5DB92-97C5-4D70-81C0-3BB6133E133C}"/>
    <cellStyle name="Énfasis6 2 2 2 2 2 2 2" xfId="15519" xr:uid="{0743D6D6-A325-435D-A357-DCEB5CFBDA8D}"/>
    <cellStyle name="Énfasis6 2 2 2 2 2 2 2 2" xfId="15520" xr:uid="{B197CA4E-CBEE-4363-BEB8-58B1E2051520}"/>
    <cellStyle name="Énfasis6 2 2 2 2 2 2 2 2 2" xfId="15521" xr:uid="{D448BDEC-56CE-4247-9CBC-297F6B3298EF}"/>
    <cellStyle name="Énfasis6 2 2 2 2 2 2 2 2 2 2" xfId="15522" xr:uid="{2244789B-A551-4E8A-835D-FE744B1F2E46}"/>
    <cellStyle name="Énfasis6 2 2 2 2 2 2 2 2 2 2 2" xfId="15523" xr:uid="{390835B9-03B8-475A-891B-9EB9B7F4410F}"/>
    <cellStyle name="Énfasis6 2 2 2 2 2 2 2 2 2 2 2 2" xfId="15524" xr:uid="{DA3031F3-126D-4EEC-A529-2D457FD81A61}"/>
    <cellStyle name="Énfasis6 2 2 2 2 2 2 2 2 2 2 3" xfId="15525" xr:uid="{E59B4755-96A6-4C96-9329-BAD6C9AD73FB}"/>
    <cellStyle name="Énfasis6 2 2 2 2 2 2 2 2 2 2 4" xfId="15526" xr:uid="{3B9BB8B9-FBFB-48BE-99F6-4E75490AEF0B}"/>
    <cellStyle name="Énfasis6 2 2 2 2 2 2 2 2 2 3" xfId="15527" xr:uid="{56A01DF4-E481-4D76-BF26-BEB78D81E488}"/>
    <cellStyle name="Énfasis6 2 2 2 2 2 2 2 2 2 4" xfId="15528" xr:uid="{4BC78B93-9B5D-4C0A-B3DF-67CE9EFABDF2}"/>
    <cellStyle name="Énfasis6 2 2 2 2 2 2 2 2 3" xfId="15529" xr:uid="{A2EDC326-F779-421F-80F5-F49423665F4B}"/>
    <cellStyle name="Énfasis6 2 2 2 2 2 2 2 2 4" xfId="15530" xr:uid="{35B9C214-E985-4B59-B7EF-D7FF72EE4B9C}"/>
    <cellStyle name="Énfasis6 2 2 2 2 2 2 2 2 5" xfId="15531" xr:uid="{41D270AC-391E-41DC-87E6-4D39D2D2F880}"/>
    <cellStyle name="Énfasis6 2 2 2 2 2 2 2 3" xfId="15532" xr:uid="{B9575131-CAF3-45EB-AAEF-90D4EAB007D3}"/>
    <cellStyle name="Énfasis6 2 2 2 2 2 2 2 3 10" xfId="15533" xr:uid="{8A743B91-964F-47DF-859B-9C77CD1008E1}"/>
    <cellStyle name="Énfasis6 2 2 2 2 2 2 2 3 11" xfId="15534" xr:uid="{DA2FD8AD-F2C1-4CF4-BD58-5603FD3428CA}"/>
    <cellStyle name="Énfasis6 2 2 2 2 2 2 2 3 2" xfId="15535" xr:uid="{0E2A9FB3-F6F0-4C03-B1BD-E48F8F52BD92}"/>
    <cellStyle name="Énfasis6 2 2 2 2 2 2 2 3 2 2" xfId="15536" xr:uid="{60FAD1A8-DB5D-4FFF-AC91-2E995371F36C}"/>
    <cellStyle name="Énfasis6 2 2 2 2 2 2 2 3 2 2 2" xfId="15537" xr:uid="{7EB327CD-3CBA-48E3-A124-9EB9EFEEC1A1}"/>
    <cellStyle name="Énfasis6 2 2 2 2 2 2 2 3 2 2 3" xfId="15538" xr:uid="{1F1EA027-414F-4A8A-B4DF-A39635E633DD}"/>
    <cellStyle name="Énfasis6 2 2 2 2 2 2 2 3 2 2 4" xfId="15539" xr:uid="{2B4B214F-3831-4ED6-BD0D-2427315F5878}"/>
    <cellStyle name="Énfasis6 2 2 2 2 2 2 2 3 2 2 5" xfId="15540" xr:uid="{CA688479-1F43-481A-A246-B63BC9153F13}"/>
    <cellStyle name="Énfasis6 2 2 2 2 2 2 2 3 2 3" xfId="15541" xr:uid="{86842733-917F-4534-9267-9557F4EFB996}"/>
    <cellStyle name="Énfasis6 2 2 2 2 2 2 2 3 2 4" xfId="15542" xr:uid="{DF160043-38D8-4B9A-896E-D84218884C71}"/>
    <cellStyle name="Énfasis6 2 2 2 2 2 2 2 3 2 5" xfId="15543" xr:uid="{24033D64-DCA4-4839-84BF-CF8D0D2EF777}"/>
    <cellStyle name="Énfasis6 2 2 2 2 2 2 2 3 3" xfId="15544" xr:uid="{A45F4F10-1DD1-4522-9FA1-528CEC580D19}"/>
    <cellStyle name="Énfasis6 2 2 2 2 2 2 2 3 4" xfId="15545" xr:uid="{67208337-3213-4D6D-97AB-F57B6C171230}"/>
    <cellStyle name="Énfasis6 2 2 2 2 2 2 2 3 5" xfId="15546" xr:uid="{0A89B61F-AF76-4917-9400-9881B23DA1FC}"/>
    <cellStyle name="Énfasis6 2 2 2 2 2 2 2 3 6" xfId="15547" xr:uid="{885F8B25-C248-4B91-A28C-6A04BCAEA85B}"/>
    <cellStyle name="Énfasis6 2 2 2 2 2 2 2 3 7" xfId="15548" xr:uid="{97300EB3-8761-47CB-B55F-E31EEA6BA0E5}"/>
    <cellStyle name="Énfasis6 2 2 2 2 2 2 2 3 8" xfId="15549" xr:uid="{10A4B0C2-5D9A-4753-A55D-6AD090A649B4}"/>
    <cellStyle name="Énfasis6 2 2 2 2 2 2 2 3 9" xfId="15550" xr:uid="{8A21F3A3-4749-4712-B496-31D9F2EB847D}"/>
    <cellStyle name="Énfasis6 2 2 2 2 2 2 2 4" xfId="15551" xr:uid="{354D5BDD-CDDD-4674-8DF2-CAB36DE1829F}"/>
    <cellStyle name="Énfasis6 2 2 2 2 2 2 2 5" xfId="15552" xr:uid="{2A44F1F3-15D3-4F2D-86ED-78D39C89B3DE}"/>
    <cellStyle name="Énfasis6 2 2 2 2 2 2 3" xfId="15553" xr:uid="{51AC6B0E-FACE-4A1E-BFF5-6620F730705E}"/>
    <cellStyle name="Énfasis6 2 2 2 2 2 2 3 10" xfId="15554" xr:uid="{A661EE70-7509-4383-9CF5-6207F135F2BF}"/>
    <cellStyle name="Énfasis6 2 2 2 2 2 2 3 11" xfId="15555" xr:uid="{55D722D3-0882-4AC0-8CFE-8C73C77A454F}"/>
    <cellStyle name="Énfasis6 2 2 2 2 2 2 3 2" xfId="15556" xr:uid="{7423468F-FA21-4C78-96F8-5A46F8A53A7C}"/>
    <cellStyle name="Énfasis6 2 2 2 2 2 2 3 2 10" xfId="15557" xr:uid="{1D4930E6-1212-40DA-823D-9BF6FA105DD5}"/>
    <cellStyle name="Énfasis6 2 2 2 2 2 2 3 2 11" xfId="15558" xr:uid="{7AE46AC2-B6AC-49AB-838C-D2DEA4DCFE44}"/>
    <cellStyle name="Énfasis6 2 2 2 2 2 2 3 2 2" xfId="15559" xr:uid="{9C801EEB-467B-4AEB-99C4-A18A4DAF3F43}"/>
    <cellStyle name="Énfasis6 2 2 2 2 2 2 3 2 2 2" xfId="15560" xr:uid="{712E2B58-91E3-4EC0-99C6-55EDFB166CB8}"/>
    <cellStyle name="Énfasis6 2 2 2 2 2 2 3 2 2 2 2" xfId="15561" xr:uid="{252A3522-2C5A-44D4-99BF-2968DB439370}"/>
    <cellStyle name="Énfasis6 2 2 2 2 2 2 3 2 2 2 3" xfId="15562" xr:uid="{2651E21B-FA22-4912-94AA-B833DA3D0DC6}"/>
    <cellStyle name="Énfasis6 2 2 2 2 2 2 3 2 2 2 4" xfId="15563" xr:uid="{A6F53E23-FDB3-4B12-A396-B95FFBE67E44}"/>
    <cellStyle name="Énfasis6 2 2 2 2 2 2 3 2 2 2 5" xfId="15564" xr:uid="{1E9BA2C5-1947-4D1B-B17C-0A37497636E4}"/>
    <cellStyle name="Énfasis6 2 2 2 2 2 2 3 2 2 3" xfId="15565" xr:uid="{3A62F611-4ABC-404D-9A77-8E658F1C0CBA}"/>
    <cellStyle name="Énfasis6 2 2 2 2 2 2 3 2 2 4" xfId="15566" xr:uid="{56EB18A9-AC39-49DD-BD32-4BED8ACE002B}"/>
    <cellStyle name="Énfasis6 2 2 2 2 2 2 3 2 2 5" xfId="15567" xr:uid="{5F34E605-8461-47EF-B2A9-878A669346A6}"/>
    <cellStyle name="Énfasis6 2 2 2 2 2 2 3 2 3" xfId="15568" xr:uid="{0D694B1F-4629-4549-B3B1-EE3E4D6C6FD6}"/>
    <cellStyle name="Énfasis6 2 2 2 2 2 2 3 2 4" xfId="15569" xr:uid="{72CCF134-4F1D-43FA-B227-2CB573E92316}"/>
    <cellStyle name="Énfasis6 2 2 2 2 2 2 3 2 5" xfId="15570" xr:uid="{5A030D30-DDD7-4581-B32D-485A899EB6F2}"/>
    <cellStyle name="Énfasis6 2 2 2 2 2 2 3 2 6" xfId="15571" xr:uid="{5846A0C0-E529-401A-BBC3-2AA9E0AA4066}"/>
    <cellStyle name="Énfasis6 2 2 2 2 2 2 3 2 7" xfId="15572" xr:uid="{90A8C302-4067-4F3A-81FC-4B289EE6A4EC}"/>
    <cellStyle name="Énfasis6 2 2 2 2 2 2 3 2 8" xfId="15573" xr:uid="{24EAB499-6F9D-4D4D-B453-CDB5F60C9EE3}"/>
    <cellStyle name="Énfasis6 2 2 2 2 2 2 3 2 9" xfId="15574" xr:uid="{03BCEBA7-883B-4E06-8A8E-2F8A90DCC57E}"/>
    <cellStyle name="Énfasis6 2 2 2 2 2 2 3 3" xfId="15575" xr:uid="{CFF00F2B-4BD3-463B-BE88-13DCA8C0A652}"/>
    <cellStyle name="Énfasis6 2 2 2 2 2 2 3 3 2" xfId="15576" xr:uid="{4CBA1264-A074-4EE6-A818-84D0595D871D}"/>
    <cellStyle name="Énfasis6 2 2 2 2 2 2 3 3 2 2" xfId="15577" xr:uid="{9F973DB9-6E57-44C9-9D67-B7C3E71B52CD}"/>
    <cellStyle name="Énfasis6 2 2 2 2 2 2 3 3 2 3" xfId="15578" xr:uid="{C687A0C4-88F9-4242-91C1-D3562A17468D}"/>
    <cellStyle name="Énfasis6 2 2 2 2 2 2 3 3 2 4" xfId="15579" xr:uid="{7FB734E4-72AD-47F7-81F8-CDE95AD4BDE0}"/>
    <cellStyle name="Énfasis6 2 2 2 2 2 2 3 3 2 5" xfId="15580" xr:uid="{76CE63F4-7293-4223-875D-DA7D2DA97A0A}"/>
    <cellStyle name="Énfasis6 2 2 2 2 2 2 3 3 3" xfId="15581" xr:uid="{BF8CE975-F31E-49DB-B4E5-A8059797263C}"/>
    <cellStyle name="Énfasis6 2 2 2 2 2 2 3 3 4" xfId="15582" xr:uid="{0B401F33-006F-48A8-A410-584288FD03ED}"/>
    <cellStyle name="Énfasis6 2 2 2 2 2 2 3 3 5" xfId="15583" xr:uid="{84DA6A1C-0BAD-4C23-B460-4C269C1E7F3B}"/>
    <cellStyle name="Énfasis6 2 2 2 2 2 2 3 4" xfId="15584" xr:uid="{44825448-D3ED-4E46-9B85-14B3CACAF160}"/>
    <cellStyle name="Énfasis6 2 2 2 2 2 2 3 5" xfId="15585" xr:uid="{9434542A-2FA2-4DDB-85F1-1933B1AB3A80}"/>
    <cellStyle name="Énfasis6 2 2 2 2 2 2 3 6" xfId="15586" xr:uid="{715206BC-B047-440F-9EB9-9BA21B709F61}"/>
    <cellStyle name="Énfasis6 2 2 2 2 2 2 3 7" xfId="15587" xr:uid="{292A6A4C-4769-42C7-BC1F-46ED46A48D68}"/>
    <cellStyle name="Énfasis6 2 2 2 2 2 2 3 8" xfId="15588" xr:uid="{1D5298DB-4674-4F46-B835-01745CD1E07D}"/>
    <cellStyle name="Énfasis6 2 2 2 2 2 2 3 9" xfId="15589" xr:uid="{58D25402-E05F-49FC-AC37-2A0BAFA598B8}"/>
    <cellStyle name="Énfasis6 2 2 2 2 2 2 4" xfId="15590" xr:uid="{648ED28A-6A62-4607-B826-5675E171477A}"/>
    <cellStyle name="Énfasis6 2 2 2 2 2 2 5" xfId="15591" xr:uid="{E7E04F51-FF65-45A3-9C7F-09783705F48E}"/>
    <cellStyle name="Énfasis6 2 2 2 2 2 2 6" xfId="15592" xr:uid="{A945DFCF-DBC8-42BA-9085-A29A1F90C28C}"/>
    <cellStyle name="Énfasis6 2 2 2 2 2 3" xfId="15593" xr:uid="{50F1942D-4A53-4A6E-B7DC-F4BF1326D948}"/>
    <cellStyle name="Énfasis6 2 2 2 2 2 3 10" xfId="15594" xr:uid="{141DDE4E-A218-47F1-8116-D792A479BA42}"/>
    <cellStyle name="Énfasis6 2 2 2 2 2 3 11" xfId="15595" xr:uid="{06C5778F-F143-483A-9541-EDEBB89CCC14}"/>
    <cellStyle name="Énfasis6 2 2 2 2 2 3 2" xfId="15596" xr:uid="{415B3264-3E18-40CB-B7EE-BEFE95DF6C44}"/>
    <cellStyle name="Énfasis6 2 2 2 2 2 3 2 10" xfId="15597" xr:uid="{ABC9145A-39CD-47CE-B4FA-5845B0F6062B}"/>
    <cellStyle name="Énfasis6 2 2 2 2 2 3 2 11" xfId="15598" xr:uid="{74DC552F-0660-45AB-80C1-DCF54A40FB59}"/>
    <cellStyle name="Énfasis6 2 2 2 2 2 3 2 2" xfId="15599" xr:uid="{6FEC59E0-9B02-49D1-85A9-C368B12A2CC2}"/>
    <cellStyle name="Énfasis6 2 2 2 2 2 3 2 2 2" xfId="15600" xr:uid="{823D385D-0744-415D-AE9E-49827F5FB850}"/>
    <cellStyle name="Énfasis6 2 2 2 2 2 3 2 2 2 2" xfId="15601" xr:uid="{EA82C86E-B1E5-44EF-83E5-7422FEDBFEE4}"/>
    <cellStyle name="Énfasis6 2 2 2 2 2 3 2 2 2 3" xfId="15602" xr:uid="{9423B4CB-753D-430C-8C0C-C36249C2259E}"/>
    <cellStyle name="Énfasis6 2 2 2 2 2 3 2 2 2 4" xfId="15603" xr:uid="{84049561-F095-4AF7-B9B8-3D0D1088E192}"/>
    <cellStyle name="Énfasis6 2 2 2 2 2 3 2 2 2 5" xfId="15604" xr:uid="{66AD9AFB-DCEA-4652-96E8-5ECB26B5DADB}"/>
    <cellStyle name="Énfasis6 2 2 2 2 2 3 2 2 3" xfId="15605" xr:uid="{05C0E335-85D9-4B61-A0C2-FAD4A1C554EC}"/>
    <cellStyle name="Énfasis6 2 2 2 2 2 3 2 2 4" xfId="15606" xr:uid="{13E30108-99CC-4A8E-8B0B-B1487355087E}"/>
    <cellStyle name="Énfasis6 2 2 2 2 2 3 2 2 5" xfId="15607" xr:uid="{C3BF7676-05E9-4E9B-8859-8C816D0E2D95}"/>
    <cellStyle name="Énfasis6 2 2 2 2 2 3 2 3" xfId="15608" xr:uid="{5E913C93-32A3-418F-B2EB-958FA0DCAA84}"/>
    <cellStyle name="Énfasis6 2 2 2 2 2 3 2 4" xfId="15609" xr:uid="{A36B50BF-15E8-4CFF-869B-DD5A42F0F765}"/>
    <cellStyle name="Énfasis6 2 2 2 2 2 3 2 5" xfId="15610" xr:uid="{05713C40-11A8-42E1-8D16-F07533B09886}"/>
    <cellStyle name="Énfasis6 2 2 2 2 2 3 2 6" xfId="15611" xr:uid="{56420FE4-6AB4-4534-A5E4-B10DFAC48389}"/>
    <cellStyle name="Énfasis6 2 2 2 2 2 3 2 7" xfId="15612" xr:uid="{5514AA30-717A-4C2C-B8B2-2FF257A2F3D7}"/>
    <cellStyle name="Énfasis6 2 2 2 2 2 3 2 8" xfId="15613" xr:uid="{42B5005E-D446-46E0-BC97-2F3DD9BD723F}"/>
    <cellStyle name="Énfasis6 2 2 2 2 2 3 2 9" xfId="15614" xr:uid="{FC080730-0772-4239-B729-492F9F105F56}"/>
    <cellStyle name="Énfasis6 2 2 2 2 2 3 3" xfId="15615" xr:uid="{D8243D3D-3206-436B-8808-9420079A59B3}"/>
    <cellStyle name="Énfasis6 2 2 2 2 2 3 3 2" xfId="15616" xr:uid="{4C2390D1-CA76-46AF-88BF-142BA5006434}"/>
    <cellStyle name="Énfasis6 2 2 2 2 2 3 3 2 2" xfId="15617" xr:uid="{07E55EE6-12F8-45EF-B5D1-0ADE6297F268}"/>
    <cellStyle name="Énfasis6 2 2 2 2 2 3 3 2 3" xfId="15618" xr:uid="{6B861112-A34E-4E82-B335-2D0FC0D3DBA5}"/>
    <cellStyle name="Énfasis6 2 2 2 2 2 3 3 2 4" xfId="15619" xr:uid="{B3BDB6B0-2186-4415-B31E-802557369765}"/>
    <cellStyle name="Énfasis6 2 2 2 2 2 3 3 2 5" xfId="15620" xr:uid="{6ED1A3BB-38D4-4A25-A419-CED542F102F2}"/>
    <cellStyle name="Énfasis6 2 2 2 2 2 3 3 3" xfId="15621" xr:uid="{FE0C7D08-D364-4EDA-BB50-7C4747AB90D8}"/>
    <cellStyle name="Énfasis6 2 2 2 2 2 3 3 4" xfId="15622" xr:uid="{121DD833-F0F8-4C2E-BC98-03ED35CBCB1A}"/>
    <cellStyle name="Énfasis6 2 2 2 2 2 3 3 5" xfId="15623" xr:uid="{9FF194FD-D80A-4600-9553-DE78A84EF5AE}"/>
    <cellStyle name="Énfasis6 2 2 2 2 2 3 4" xfId="15624" xr:uid="{6CB12F28-281A-4B0E-9BC1-7DA7FC4CD0EE}"/>
    <cellStyle name="Énfasis6 2 2 2 2 2 3 5" xfId="15625" xr:uid="{DC137871-65DF-4B87-9706-45AED3A53895}"/>
    <cellStyle name="Énfasis6 2 2 2 2 2 3 6" xfId="15626" xr:uid="{04443F92-CD50-46C8-9BCC-14D50B3B4450}"/>
    <cellStyle name="Énfasis6 2 2 2 2 2 3 7" xfId="15627" xr:uid="{51620C1A-C49A-4A27-9D1F-77A5E8A32F72}"/>
    <cellStyle name="Énfasis6 2 2 2 2 2 3 8" xfId="15628" xr:uid="{6FFE6950-C7C4-4BFE-8472-380EABBF65A5}"/>
    <cellStyle name="Énfasis6 2 2 2 2 2 3 9" xfId="15629" xr:uid="{9306F663-FC43-4CB3-96EC-0FBB799EE5C7}"/>
    <cellStyle name="Énfasis6 2 2 2 2 2 4" xfId="15630" xr:uid="{85D16EDC-9687-4909-8993-17D69DEC2396}"/>
    <cellStyle name="Énfasis6 2 2 2 2 2 5" xfId="15631" xr:uid="{E20C00C9-A2C0-40A3-989F-B5B144822BCD}"/>
    <cellStyle name="Énfasis6 2 2 2 2 2 6" xfId="15632" xr:uid="{3E2CC3BE-6035-43D5-934F-4D634C00B684}"/>
    <cellStyle name="Énfasis6 2 2 2 2 3" xfId="15633" xr:uid="{B7538F03-96D3-4E66-9BBF-ECDB14E0EB77}"/>
    <cellStyle name="Énfasis6 2 2 2 2 4" xfId="15634" xr:uid="{C72E56E2-F7A7-4481-AD29-D059D321FD58}"/>
    <cellStyle name="Énfasis6 2 2 2 2 4 10" xfId="15635" xr:uid="{FDFE85D3-76FB-450D-BA77-F1851432525A}"/>
    <cellStyle name="Énfasis6 2 2 2 2 4 11" xfId="15636" xr:uid="{FEC95D41-3892-4DF3-AA8F-122961929273}"/>
    <cellStyle name="Énfasis6 2 2 2 2 4 2" xfId="15637" xr:uid="{51122B84-1ACF-4DE9-8271-823D83BE233A}"/>
    <cellStyle name="Énfasis6 2 2 2 2 4 2 10" xfId="15638" xr:uid="{54B3DC7F-CB9D-4249-8B2C-615849FB9953}"/>
    <cellStyle name="Énfasis6 2 2 2 2 4 2 11" xfId="15639" xr:uid="{3E163A88-BD5D-4A5E-AF5F-15D248F08221}"/>
    <cellStyle name="Énfasis6 2 2 2 2 4 2 2" xfId="15640" xr:uid="{FAAC682C-C0F4-4779-89DE-BFB8A6BBE938}"/>
    <cellStyle name="Énfasis6 2 2 2 2 4 2 2 2" xfId="15641" xr:uid="{3EB89A91-BAB9-4C19-98C3-05BDFBEED40E}"/>
    <cellStyle name="Énfasis6 2 2 2 2 4 2 2 2 2" xfId="15642" xr:uid="{AF400EA0-D61C-447E-8B0C-C843725218D3}"/>
    <cellStyle name="Énfasis6 2 2 2 2 4 2 2 2 3" xfId="15643" xr:uid="{AC74ED3F-5721-46B6-8FB2-75D4C927EB6E}"/>
    <cellStyle name="Énfasis6 2 2 2 2 4 2 2 2 4" xfId="15644" xr:uid="{DAF17819-B029-4114-922A-305D4106A148}"/>
    <cellStyle name="Énfasis6 2 2 2 2 4 2 2 2 5" xfId="15645" xr:uid="{CBCA2374-FCAA-47D6-8811-ED31D2DD6317}"/>
    <cellStyle name="Énfasis6 2 2 2 2 4 2 2 3" xfId="15646" xr:uid="{0F1D3FC1-4267-457D-B515-C458BF698BDF}"/>
    <cellStyle name="Énfasis6 2 2 2 2 4 2 2 4" xfId="15647" xr:uid="{1A63F725-9377-4802-9F30-679B7BA5A610}"/>
    <cellStyle name="Énfasis6 2 2 2 2 4 2 2 5" xfId="15648" xr:uid="{2D6F06FA-B867-49D4-9C8C-365E0F7353A6}"/>
    <cellStyle name="Énfasis6 2 2 2 2 4 2 3" xfId="15649" xr:uid="{06CF4063-EAF7-401B-AC32-0ECB0FF05592}"/>
    <cellStyle name="Énfasis6 2 2 2 2 4 2 4" xfId="15650" xr:uid="{8F9CF0E1-A2A5-4333-B087-647AFB4C0304}"/>
    <cellStyle name="Énfasis6 2 2 2 2 4 2 5" xfId="15651" xr:uid="{761FA5B6-8127-4BC8-A8AB-4B3112FFE9A1}"/>
    <cellStyle name="Énfasis6 2 2 2 2 4 2 6" xfId="15652" xr:uid="{6AF2E63D-0211-43F1-A4DB-B161A97E7134}"/>
    <cellStyle name="Énfasis6 2 2 2 2 4 2 7" xfId="15653" xr:uid="{C79A3A72-22A1-4693-9985-F22F4DABD276}"/>
    <cellStyle name="Énfasis6 2 2 2 2 4 2 8" xfId="15654" xr:uid="{888179DD-D698-4677-A87A-A11544993BDE}"/>
    <cellStyle name="Énfasis6 2 2 2 2 4 2 9" xfId="15655" xr:uid="{287D2213-71A8-40A0-BAF0-C4041C14B75E}"/>
    <cellStyle name="Énfasis6 2 2 2 2 4 3" xfId="15656" xr:uid="{E9DD8FAB-D7D3-471E-9F91-8BF61E6B4797}"/>
    <cellStyle name="Énfasis6 2 2 2 2 4 3 2" xfId="15657" xr:uid="{5AD29DF9-1890-44AB-BAA9-E7AD3E53FF7C}"/>
    <cellStyle name="Énfasis6 2 2 2 2 4 3 2 2" xfId="15658" xr:uid="{921C652E-57F0-49EC-9E17-6C3EA477A057}"/>
    <cellStyle name="Énfasis6 2 2 2 2 4 3 2 3" xfId="15659" xr:uid="{39414930-4857-48AD-B588-EE6A8133DCD1}"/>
    <cellStyle name="Énfasis6 2 2 2 2 4 3 2 4" xfId="15660" xr:uid="{D6DCA3EA-BF3E-4179-9F64-86ECB2A06033}"/>
    <cellStyle name="Énfasis6 2 2 2 2 4 3 2 5" xfId="15661" xr:uid="{C48DFE9C-034D-46D0-8112-D9A526EF3F02}"/>
    <cellStyle name="Énfasis6 2 2 2 2 4 3 3" xfId="15662" xr:uid="{1C8F5365-405E-4F83-A392-CB97FB3A7399}"/>
    <cellStyle name="Énfasis6 2 2 2 2 4 3 4" xfId="15663" xr:uid="{A9B71B76-B03E-4A4C-804E-CE196BDEA821}"/>
    <cellStyle name="Énfasis6 2 2 2 2 4 3 5" xfId="15664" xr:uid="{619BE246-21E8-4D17-B3D5-5DC6E68CC172}"/>
    <cellStyle name="Énfasis6 2 2 2 2 4 4" xfId="15665" xr:uid="{1A57C8D8-2A48-46D9-AA7D-2D270F0A5A54}"/>
    <cellStyle name="Énfasis6 2 2 2 2 4 5" xfId="15666" xr:uid="{BF32AC24-5548-4EF2-945F-2A206E39D5A7}"/>
    <cellStyle name="Énfasis6 2 2 2 2 4 6" xfId="15667" xr:uid="{B744B402-18D6-4061-8781-C438A70333A2}"/>
    <cellStyle name="Énfasis6 2 2 2 2 4 7" xfId="15668" xr:uid="{85DAAC5F-A829-4BC4-B0E5-BFEE2BFA6226}"/>
    <cellStyle name="Énfasis6 2 2 2 2 4 8" xfId="15669" xr:uid="{1D20CD3C-96A3-49F4-9AC2-D1A4A65EF70D}"/>
    <cellStyle name="Énfasis6 2 2 2 2 4 9" xfId="15670" xr:uid="{4647AED5-4BD3-4766-8CD6-D7AD105C8B33}"/>
    <cellStyle name="Énfasis6 2 2 2 2 5" xfId="15671" xr:uid="{6D6EB8F8-A40A-43EC-BDB1-4565B2D8CBF5}"/>
    <cellStyle name="Énfasis6 2 2 2 2 6" xfId="15672" xr:uid="{00F61E7B-3FA3-4139-8EF1-BC588BD86240}"/>
    <cellStyle name="Énfasis6 2 2 2 2 7" xfId="15673" xr:uid="{98CD27D2-00BA-492D-8F41-548AF235AC4F}"/>
    <cellStyle name="Énfasis6 2 2 2 3" xfId="15674" xr:uid="{6529A57F-C0D5-4289-8179-74852CE3EF0A}"/>
    <cellStyle name="Énfasis6 2 2 2 4" xfId="15675" xr:uid="{6BDD2E1E-C880-4CC1-A441-FC52EBA49375}"/>
    <cellStyle name="Énfasis6 2 2 2 5" xfId="15676" xr:uid="{B0B4C8D5-458D-4614-B803-23E61307DCB3}"/>
    <cellStyle name="Énfasis6 2 2 2 5 10" xfId="15677" xr:uid="{79996090-71E6-49F9-B57A-4F523B4EEF47}"/>
    <cellStyle name="Énfasis6 2 2 2 5 11" xfId="15678" xr:uid="{9D72F061-759F-47AB-BA95-9E64781AEBC1}"/>
    <cellStyle name="Énfasis6 2 2 2 5 2" xfId="15679" xr:uid="{D09A0357-077A-4976-B2CB-8BD3D1A258B1}"/>
    <cellStyle name="Énfasis6 2 2 2 5 2 10" xfId="15680" xr:uid="{6D6E5FF0-93A5-4702-8E22-0A60275C1B10}"/>
    <cellStyle name="Énfasis6 2 2 2 5 2 11" xfId="15681" xr:uid="{8BC99444-6C57-405F-878E-095774F4DBC2}"/>
    <cellStyle name="Énfasis6 2 2 2 5 2 2" xfId="15682" xr:uid="{8CCB4353-EF41-4224-AD86-0C173B467EBF}"/>
    <cellStyle name="Énfasis6 2 2 2 5 2 2 2" xfId="15683" xr:uid="{B83B99FF-12B0-42CF-A14E-02D73F3AC039}"/>
    <cellStyle name="Énfasis6 2 2 2 5 2 2 2 2" xfId="15684" xr:uid="{959B0621-BFA2-4AE5-94D9-AF4EDEA3A3D4}"/>
    <cellStyle name="Énfasis6 2 2 2 5 2 2 2 3" xfId="15685" xr:uid="{4B4EC492-632C-441A-9BD7-685A77C472F9}"/>
    <cellStyle name="Énfasis6 2 2 2 5 2 2 2 4" xfId="15686" xr:uid="{8C1320DA-96F5-4284-AE35-3A156446E9D1}"/>
    <cellStyle name="Énfasis6 2 2 2 5 2 2 2 5" xfId="15687" xr:uid="{F2D8C9AF-B09D-4467-8EA7-27E25CF122D7}"/>
    <cellStyle name="Énfasis6 2 2 2 5 2 2 3" xfId="15688" xr:uid="{A930C1D0-A6DF-4D14-A79E-0562DFA13A6E}"/>
    <cellStyle name="Énfasis6 2 2 2 5 2 2 4" xfId="15689" xr:uid="{0CE1B327-17CB-4558-A865-3B8D725F7BEE}"/>
    <cellStyle name="Énfasis6 2 2 2 5 2 2 5" xfId="15690" xr:uid="{9B26C53E-3F20-49AC-8385-80080FB3A757}"/>
    <cellStyle name="Énfasis6 2 2 2 5 2 3" xfId="15691" xr:uid="{524B9A1C-C772-4F93-87EB-82DF5760B0E9}"/>
    <cellStyle name="Énfasis6 2 2 2 5 2 4" xfId="15692" xr:uid="{AFC2C7A9-6CB5-4FD7-95F1-BCE84801717E}"/>
    <cellStyle name="Énfasis6 2 2 2 5 2 5" xfId="15693" xr:uid="{32D75512-5B1F-42CF-AD37-157AEBF1F960}"/>
    <cellStyle name="Énfasis6 2 2 2 5 2 6" xfId="15694" xr:uid="{63975224-6039-4212-BFD8-28456307A47C}"/>
    <cellStyle name="Énfasis6 2 2 2 5 2 7" xfId="15695" xr:uid="{263D9AF9-DE20-4B0E-B0DE-FCFCD679F451}"/>
    <cellStyle name="Énfasis6 2 2 2 5 2 8" xfId="15696" xr:uid="{D3051D64-01D3-48D7-AEA2-938642A2B907}"/>
    <cellStyle name="Énfasis6 2 2 2 5 2 9" xfId="15697" xr:uid="{21A097A7-A46F-4CDB-B8E2-870BAD4757B8}"/>
    <cellStyle name="Énfasis6 2 2 2 5 3" xfId="15698" xr:uid="{C9D1336A-FA57-4575-A8C8-42733194D493}"/>
    <cellStyle name="Énfasis6 2 2 2 5 3 2" xfId="15699" xr:uid="{1D06968A-1855-4598-A70E-7B2A9EBFFB7B}"/>
    <cellStyle name="Énfasis6 2 2 2 5 3 2 2" xfId="15700" xr:uid="{97C15BD3-3896-4A0E-93D9-CF6DDEAC0088}"/>
    <cellStyle name="Énfasis6 2 2 2 5 3 2 3" xfId="15701" xr:uid="{6F51FA22-A107-49CB-BCBB-31EFC2A614F7}"/>
    <cellStyle name="Énfasis6 2 2 2 5 3 2 4" xfId="15702" xr:uid="{ADAD8FF7-28F9-4CA8-B8EB-5EA37604C289}"/>
    <cellStyle name="Énfasis6 2 2 2 5 3 2 5" xfId="15703" xr:uid="{18A0077F-6DB6-4AD3-9CCF-97F6EA7D4189}"/>
    <cellStyle name="Énfasis6 2 2 2 5 3 3" xfId="15704" xr:uid="{C3FA5208-319D-4FF3-8C84-952D9CEC7F9D}"/>
    <cellStyle name="Énfasis6 2 2 2 5 3 4" xfId="15705" xr:uid="{AC3423DC-D8A6-4B82-9329-2E76CAF8696E}"/>
    <cellStyle name="Énfasis6 2 2 2 5 3 5" xfId="15706" xr:uid="{CEE38DC0-69B7-427B-9BF8-D3A0F8B35005}"/>
    <cellStyle name="Énfasis6 2 2 2 5 4" xfId="15707" xr:uid="{10B3BF5E-0365-4F62-A0F6-7157E6E43B2A}"/>
    <cellStyle name="Énfasis6 2 2 2 5 5" xfId="15708" xr:uid="{D6FD1596-D609-4B52-8FE1-64FA9EA73E11}"/>
    <cellStyle name="Énfasis6 2 2 2 5 6" xfId="15709" xr:uid="{60CCD8E0-B8BE-4D2A-8018-C3EDFC6C3C1A}"/>
    <cellStyle name="Énfasis6 2 2 2 5 7" xfId="15710" xr:uid="{C8201289-5A73-4161-AB0F-97FDACCFF134}"/>
    <cellStyle name="Énfasis6 2 2 2 5 8" xfId="15711" xr:uid="{DD5BCA53-3CEC-4051-B550-ABA97F7EBEA3}"/>
    <cellStyle name="Énfasis6 2 2 2 5 9" xfId="15712" xr:uid="{FCD85578-8689-484C-9398-ABDEFD921ADC}"/>
    <cellStyle name="Énfasis6 2 2 2 6" xfId="15713" xr:uid="{6E322680-E54A-410B-BE9A-074755D15E9E}"/>
    <cellStyle name="Énfasis6 2 2 2 7" xfId="15714" xr:uid="{A5CC9897-6E3D-458C-BECE-A46A1587FAF0}"/>
    <cellStyle name="Énfasis6 2 2 2 8" xfId="15715" xr:uid="{EABB237C-975D-4737-8198-5A0D19098780}"/>
    <cellStyle name="Énfasis6 2 2 3" xfId="15716" xr:uid="{3772F08A-D2F6-48CB-B53F-FEEECF4D44E4}"/>
    <cellStyle name="Énfasis6 2 2 4" xfId="15717" xr:uid="{E911FE07-73F7-4C98-8579-F110FED70461}"/>
    <cellStyle name="Énfasis6 2 2 5" xfId="15718" xr:uid="{B1F5F6AD-1C9B-4443-A4B8-307CE7125DEF}"/>
    <cellStyle name="Énfasis6 2 2 6" xfId="15719" xr:uid="{C5F3CFF6-879F-4B3A-A868-49DF76773272}"/>
    <cellStyle name="Énfasis6 2 2 7" xfId="15720" xr:uid="{F8AF608F-CAEB-4CB5-A7B8-43C279593D1B}"/>
    <cellStyle name="Énfasis6 2 2 8" xfId="15721" xr:uid="{D93BD3B8-C4D3-4C63-BFB1-C0E2841D054F}"/>
    <cellStyle name="Énfasis6 2 2 8 2" xfId="15722" xr:uid="{C0DF76ED-0D4C-4E81-9AEB-48D927911F76}"/>
    <cellStyle name="Énfasis6 2 2 9" xfId="15723" xr:uid="{4C643910-FB82-44E2-B7D0-024B1CC2C882}"/>
    <cellStyle name="Énfasis6 2 3" xfId="15724" xr:uid="{35B7F454-A74B-427C-A957-AB493741E791}"/>
    <cellStyle name="Énfasis6 2 4" xfId="15725" xr:uid="{D53A9122-D8AF-42E9-957A-4FB7A6916EB5}"/>
    <cellStyle name="Énfasis6 2 4 10" xfId="15726" xr:uid="{5C292DDE-25C5-4957-A544-9B9F7B433666}"/>
    <cellStyle name="Énfasis6 2 4 11" xfId="15727" xr:uid="{43C9A27A-A80D-4E07-A127-FE38FF227429}"/>
    <cellStyle name="Énfasis6 2 4 12" xfId="15728" xr:uid="{1E28CC6A-DF61-4E38-8A6A-BCD2F0D3A210}"/>
    <cellStyle name="Énfasis6 2 4 2" xfId="15729" xr:uid="{FDE6814A-FCFB-441F-9F95-4D663CC285DF}"/>
    <cellStyle name="Énfasis6 2 4 2 10" xfId="15730" xr:uid="{11A55C38-3532-4776-BD11-82BD6DA3923A}"/>
    <cellStyle name="Énfasis6 2 4 2 11" xfId="15731" xr:uid="{AEF70C9D-0754-4959-80D8-ACA30AFF7171}"/>
    <cellStyle name="Énfasis6 2 4 2 12" xfId="15732" xr:uid="{518E7701-A581-40B4-AB10-7608559F9288}"/>
    <cellStyle name="Énfasis6 2 4 2 2" xfId="15733" xr:uid="{43A2AEC2-C779-4363-A4AB-EA2225AA3E41}"/>
    <cellStyle name="Énfasis6 2 4 2 2 10" xfId="15734" xr:uid="{30F1433E-2901-4E52-8CD6-55476ADA7788}"/>
    <cellStyle name="Énfasis6 2 4 2 2 11" xfId="15735" xr:uid="{4D2D8CFB-2A34-4BE8-AABC-24AF647AD6D4}"/>
    <cellStyle name="Énfasis6 2 4 2 2 2" xfId="15736" xr:uid="{050EB552-5E1A-4427-BFD5-F0CC68883BA7}"/>
    <cellStyle name="Énfasis6 2 4 2 2 2 10" xfId="15737" xr:uid="{D6CCF5B1-42CF-4D3E-9194-7406DFAD78CF}"/>
    <cellStyle name="Énfasis6 2 4 2 2 2 11" xfId="15738" xr:uid="{4A8942BB-456B-472A-9D33-92434708C158}"/>
    <cellStyle name="Énfasis6 2 4 2 2 2 2" xfId="15739" xr:uid="{6645A643-7A1B-4037-9942-40171FC3253E}"/>
    <cellStyle name="Énfasis6 2 4 2 2 2 2 2" xfId="15740" xr:uid="{88B50540-E763-4B95-95BC-CA3407660B8F}"/>
    <cellStyle name="Énfasis6 2 4 2 2 2 2 2 2" xfId="15741" xr:uid="{69FCAA58-1E7A-46A4-80A3-6F0996210E0F}"/>
    <cellStyle name="Énfasis6 2 4 2 2 2 2 2 3" xfId="15742" xr:uid="{EBD8AACF-BB6E-4129-9140-D9529100A383}"/>
    <cellStyle name="Énfasis6 2 4 2 2 2 2 2 4" xfId="15743" xr:uid="{17174B29-3E6A-4D99-82C4-6FF726777F2B}"/>
    <cellStyle name="Énfasis6 2 4 2 2 2 2 2 5" xfId="15744" xr:uid="{1B0EC1F7-8699-4AB4-8F4D-08A92CEE47A9}"/>
    <cellStyle name="Énfasis6 2 4 2 2 2 2 3" xfId="15745" xr:uid="{CA703234-A617-4EDB-A3EB-D77A9177D981}"/>
    <cellStyle name="Énfasis6 2 4 2 2 2 2 4" xfId="15746" xr:uid="{BD496CAE-4A6B-40F1-BAE3-8C7AB84F31E2}"/>
    <cellStyle name="Énfasis6 2 4 2 2 2 2 5" xfId="15747" xr:uid="{DCA05054-8D58-4631-B26C-3CCE7AE0933C}"/>
    <cellStyle name="Énfasis6 2 4 2 2 2 3" xfId="15748" xr:uid="{2733CC24-312C-4A2D-BABD-749D0CD67FDB}"/>
    <cellStyle name="Énfasis6 2 4 2 2 2 4" xfId="15749" xr:uid="{A3BCBD5E-EF16-4832-BE5F-169291DCE15E}"/>
    <cellStyle name="Énfasis6 2 4 2 2 2 5" xfId="15750" xr:uid="{3B227936-61FC-4DC5-85C7-AF4E00DF4D5B}"/>
    <cellStyle name="Énfasis6 2 4 2 2 2 6" xfId="15751" xr:uid="{AAC21ED3-98DE-488E-93C0-9DE71EB47D8C}"/>
    <cellStyle name="Énfasis6 2 4 2 2 2 7" xfId="15752" xr:uid="{BF8FDBF1-D663-40A4-9B48-67E295CCDF2E}"/>
    <cellStyle name="Énfasis6 2 4 2 2 2 8" xfId="15753" xr:uid="{D57754B7-B0E1-4E45-985A-9B83690E3225}"/>
    <cellStyle name="Énfasis6 2 4 2 2 2 9" xfId="15754" xr:uid="{0A839235-B400-440B-B281-ADDEF8AE0E89}"/>
    <cellStyle name="Énfasis6 2 4 2 2 3" xfId="15755" xr:uid="{611C0ADC-0715-4E75-8E72-4EA7665939CA}"/>
    <cellStyle name="Énfasis6 2 4 2 2 3 2" xfId="15756" xr:uid="{5BA2A1F6-8FC9-4F63-B070-9C4467C7103A}"/>
    <cellStyle name="Énfasis6 2 4 2 2 3 2 2" xfId="15757" xr:uid="{D0A760E0-6EAF-4712-99A5-E912ED34F219}"/>
    <cellStyle name="Énfasis6 2 4 2 2 3 2 3" xfId="15758" xr:uid="{4234EDE1-5586-4313-B939-9BAA63C57744}"/>
    <cellStyle name="Énfasis6 2 4 2 2 3 2 4" xfId="15759" xr:uid="{CE4A532C-627E-4336-96B4-F03B575759F0}"/>
    <cellStyle name="Énfasis6 2 4 2 2 3 2 5" xfId="15760" xr:uid="{B51C5560-ABBF-4275-A756-486D2F99E4D8}"/>
    <cellStyle name="Énfasis6 2 4 2 2 3 3" xfId="15761" xr:uid="{1F984FB7-A747-473D-88C9-263DC80BCB30}"/>
    <cellStyle name="Énfasis6 2 4 2 2 3 4" xfId="15762" xr:uid="{EADCAAC8-BDA6-40CD-9ABB-551EAC179420}"/>
    <cellStyle name="Énfasis6 2 4 2 2 3 5" xfId="15763" xr:uid="{6459C46C-DFBF-4FED-8FE8-3610B85FC6C1}"/>
    <cellStyle name="Énfasis6 2 4 2 2 4" xfId="15764" xr:uid="{36D23B01-7E7E-408F-8820-FF6494C96CE4}"/>
    <cellStyle name="Énfasis6 2 4 2 2 5" xfId="15765" xr:uid="{8ACA722F-EB1C-45FA-A7F5-926A616E324C}"/>
    <cellStyle name="Énfasis6 2 4 2 2 6" xfId="15766" xr:uid="{99F5DD32-CBF3-421E-8470-3EAA7A2939C4}"/>
    <cellStyle name="Énfasis6 2 4 2 2 7" xfId="15767" xr:uid="{1B787473-5281-4E40-A59B-25C865ADAC55}"/>
    <cellStyle name="Énfasis6 2 4 2 2 8" xfId="15768" xr:uid="{028CF025-6346-4FA0-9AB6-322DE900B873}"/>
    <cellStyle name="Énfasis6 2 4 2 2 9" xfId="15769" xr:uid="{B87CD1C1-33C3-4D0C-9D59-B7CB381F5EB4}"/>
    <cellStyle name="Énfasis6 2 4 2 3" xfId="15770" xr:uid="{EB7FBC37-977A-473E-9270-D0098C587D80}"/>
    <cellStyle name="Énfasis6 2 4 2 3 2" xfId="15771" xr:uid="{AF8FBFF0-9712-4494-9F2A-DE893C9EEF16}"/>
    <cellStyle name="Énfasis6 2 4 2 3 2 2" xfId="15772" xr:uid="{E60E7462-69FA-46E6-80B8-96B340E24D74}"/>
    <cellStyle name="Énfasis6 2 4 2 3 2 3" xfId="15773" xr:uid="{E754BD7B-4CCA-43E3-962D-B8EF27FAB108}"/>
    <cellStyle name="Énfasis6 2 4 2 3 2 4" xfId="15774" xr:uid="{41C6515D-27B1-4E18-A5C3-FF7334759D67}"/>
    <cellStyle name="Énfasis6 2 4 2 3 2 5" xfId="15775" xr:uid="{E26B2996-1D82-4E7F-BD22-C4E26E12BF3E}"/>
    <cellStyle name="Énfasis6 2 4 2 3 3" xfId="15776" xr:uid="{5A935FA7-E4C8-4DE6-9C06-750AA9E618BE}"/>
    <cellStyle name="Énfasis6 2 4 2 3 4" xfId="15777" xr:uid="{4E4529F8-77BF-4052-8825-FB026E1F9EEB}"/>
    <cellStyle name="Énfasis6 2 4 2 3 5" xfId="15778" xr:uid="{98B17209-BC72-44D8-A107-16016346FBDD}"/>
    <cellStyle name="Énfasis6 2 4 2 4" xfId="15779" xr:uid="{D23E4237-0620-44EE-8510-5AE447139F51}"/>
    <cellStyle name="Énfasis6 2 4 2 5" xfId="15780" xr:uid="{B7DC4000-1D68-4A6E-8C82-AD2AB0AC4568}"/>
    <cellStyle name="Énfasis6 2 4 2 6" xfId="15781" xr:uid="{19B5EAFA-1E6E-4F05-BD0B-B15B7314AA51}"/>
    <cellStyle name="Énfasis6 2 4 2 7" xfId="15782" xr:uid="{582341F5-FD36-4406-8D23-B74CC04C1493}"/>
    <cellStyle name="Énfasis6 2 4 2 8" xfId="15783" xr:uid="{96C81D01-F4A1-497F-BCC2-A559A10EB8D7}"/>
    <cellStyle name="Énfasis6 2 4 2 9" xfId="15784" xr:uid="{0BC3177B-1DA6-46C6-9238-25635209BC22}"/>
    <cellStyle name="Énfasis6 2 4 3" xfId="15785" xr:uid="{64753AAC-C3BB-43D0-8DAD-D11512B9AAC3}"/>
    <cellStyle name="Énfasis6 2 4 3 10" xfId="15786" xr:uid="{A225E6FB-076B-423B-8993-D7B285078514}"/>
    <cellStyle name="Énfasis6 2 4 3 11" xfId="15787" xr:uid="{CF931ECC-0A3D-490B-AFEB-E502BA7A909C}"/>
    <cellStyle name="Énfasis6 2 4 3 2" xfId="15788" xr:uid="{93F29390-270B-45F2-A874-1B5A0A002B39}"/>
    <cellStyle name="Énfasis6 2 4 3 2 2" xfId="15789" xr:uid="{FBB3DECC-19D9-404C-B6B6-AE77F55F63DD}"/>
    <cellStyle name="Énfasis6 2 4 3 2 2 2" xfId="15790" xr:uid="{44C218B0-FB0A-4F07-B12B-955B65A720E3}"/>
    <cellStyle name="Énfasis6 2 4 3 2 2 3" xfId="15791" xr:uid="{0E7789CB-057E-4A23-94F4-F4557F9B4A0D}"/>
    <cellStyle name="Énfasis6 2 4 3 2 2 4" xfId="15792" xr:uid="{4EE0569C-900F-47E3-90C7-1166206D596F}"/>
    <cellStyle name="Énfasis6 2 4 3 2 2 5" xfId="15793" xr:uid="{0A07F3F4-2FE9-47D6-AFFB-8B705C1CF601}"/>
    <cellStyle name="Énfasis6 2 4 3 2 3" xfId="15794" xr:uid="{98204DDC-A305-4B47-8B7D-BE07BF0E2954}"/>
    <cellStyle name="Énfasis6 2 4 3 2 4" xfId="15795" xr:uid="{576BD38C-75BE-4208-83A9-D0C580D45024}"/>
    <cellStyle name="Énfasis6 2 4 3 2 5" xfId="15796" xr:uid="{30697B53-7F85-4D2D-8679-CA28E8754BF6}"/>
    <cellStyle name="Énfasis6 2 4 3 3" xfId="15797" xr:uid="{8C8464B7-D02F-45CA-ADB7-055208DBD328}"/>
    <cellStyle name="Énfasis6 2 4 3 4" xfId="15798" xr:uid="{368D16A3-ADF2-4959-9114-899CE9F20E7B}"/>
    <cellStyle name="Énfasis6 2 4 3 5" xfId="15799" xr:uid="{CB0C4643-43F1-408B-B48A-DC9BFC43D15A}"/>
    <cellStyle name="Énfasis6 2 4 3 6" xfId="15800" xr:uid="{7FB9BBEC-A209-4440-B22E-D7AFB557DDE7}"/>
    <cellStyle name="Énfasis6 2 4 3 7" xfId="15801" xr:uid="{D94669A7-61D2-4879-89FC-751034A0D8D2}"/>
    <cellStyle name="Énfasis6 2 4 3 8" xfId="15802" xr:uid="{9A6037FD-0E01-47D0-9CA9-DD5F6BAA93B2}"/>
    <cellStyle name="Énfasis6 2 4 3 9" xfId="15803" xr:uid="{1C47C707-CB48-4759-987B-2172A57A9AEE}"/>
    <cellStyle name="Énfasis6 2 4 4" xfId="15804" xr:uid="{B5558C37-56D3-4057-9A28-0BFE06F4F35D}"/>
    <cellStyle name="Énfasis6 2 4 4 2" xfId="15805" xr:uid="{E58A8B74-3175-4074-A708-72633A23881A}"/>
    <cellStyle name="Énfasis6 2 4 4 2 2" xfId="15806" xr:uid="{2B4B54E1-9AB3-4FDF-8317-7FD648A6EE65}"/>
    <cellStyle name="Énfasis6 2 4 4 2 3" xfId="15807" xr:uid="{42C12872-17FA-40C4-9C90-00ABDDFE310A}"/>
    <cellStyle name="Énfasis6 2 4 4 2 4" xfId="15808" xr:uid="{B8E44DE7-ACEB-40D0-870D-4A152B1600B0}"/>
    <cellStyle name="Énfasis6 2 4 4 2 5" xfId="15809" xr:uid="{E4176E42-0070-465F-8A9C-98D8732ED2F3}"/>
    <cellStyle name="Énfasis6 2 4 4 3" xfId="15810" xr:uid="{CE0D2FE6-9900-45A9-9098-EAAC93F0D855}"/>
    <cellStyle name="Énfasis6 2 4 4 4" xfId="15811" xr:uid="{5C95888F-45DF-4CD2-9705-8FF0FD286189}"/>
    <cellStyle name="Énfasis6 2 4 4 5" xfId="15812" xr:uid="{6490DF8D-FC48-42F2-9D66-7E9ECF92FE9E}"/>
    <cellStyle name="Énfasis6 2 4 5" xfId="15813" xr:uid="{430B2223-4B19-4649-A95A-C14BBEA00CD0}"/>
    <cellStyle name="Énfasis6 2 4 6" xfId="15814" xr:uid="{D24F5DAE-A49A-46F0-8C5F-00469A894123}"/>
    <cellStyle name="Énfasis6 2 4 7" xfId="15815" xr:uid="{153ECEA7-8321-4720-8C44-BC99D1BB6552}"/>
    <cellStyle name="Énfasis6 2 4 8" xfId="15816" xr:uid="{DB1FE948-C824-4CA8-8261-FB6A006B66B9}"/>
    <cellStyle name="Énfasis6 2 4 9" xfId="15817" xr:uid="{0B5BDDD2-C969-40F0-9CD1-D7F3DE967A0A}"/>
    <cellStyle name="Énfasis6 2 5" xfId="15818" xr:uid="{28A09863-0739-41D5-BD82-98A7DC6C0F20}"/>
    <cellStyle name="Énfasis6 2 6" xfId="15819" xr:uid="{5C8A4100-8E74-4C2B-B89A-27DB13E5F94B}"/>
    <cellStyle name="Énfasis6 2 7" xfId="15820" xr:uid="{3582F748-8F7F-4E12-AD93-D9941B880DD2}"/>
    <cellStyle name="Énfasis6 2 8" xfId="15821" xr:uid="{06F1BE7E-FD9C-4FD0-A5E2-4923ABD6C5C3}"/>
    <cellStyle name="Énfasis6 2 8 2" xfId="15822" xr:uid="{F1366295-0CEF-49D6-B322-24562B5EE3CA}"/>
    <cellStyle name="Énfasis6 2 9" xfId="15823" xr:uid="{B4870BE8-5146-4515-B91F-9BB8432AF4ED}"/>
    <cellStyle name="Énfasis6 3" xfId="15824" xr:uid="{2A106BA7-249D-4CC0-AA64-891C452D9C28}"/>
    <cellStyle name="Énfasis6 3 2" xfId="15825" xr:uid="{26B69118-4097-4822-BF8B-7A806EBC9ACB}"/>
    <cellStyle name="Énfasis6 3 3" xfId="15826" xr:uid="{C6A98D26-211E-46D2-87FC-183BA9D1F850}"/>
    <cellStyle name="Énfasis6 4" xfId="15827" xr:uid="{C151EB9C-67FE-4DBA-A4DD-0244087DD25C}"/>
    <cellStyle name="Entered" xfId="15828" xr:uid="{047C20E9-21EA-4F4D-B5CE-2FBDABFB7855}"/>
    <cellStyle name="Entrada" xfId="14" builtinId="20" customBuiltin="1"/>
    <cellStyle name="Entrada 2" xfId="15829" xr:uid="{F11AD8F8-D6A2-4C2C-B313-3FEC6646E82B}"/>
    <cellStyle name="Entrada 2 10" xfId="15830" xr:uid="{C4D9105B-32D5-4A70-8FAC-239DDCDFA86A}"/>
    <cellStyle name="Entrada 2 10 10" xfId="15831" xr:uid="{03299739-D79A-45B3-A225-4303D3C97B33}"/>
    <cellStyle name="Entrada 2 10 11" xfId="15832" xr:uid="{76E2EFD1-44BA-42C7-8D50-8A561C0B094D}"/>
    <cellStyle name="Entrada 2 10 12" xfId="15833" xr:uid="{32A14D54-A12E-4488-9CC8-5BF8D19665AE}"/>
    <cellStyle name="Entrada 2 10 2" xfId="15834" xr:uid="{57D71ED8-DB39-43A8-937F-667A68CABB3E}"/>
    <cellStyle name="Entrada 2 10 2 10" xfId="15835" xr:uid="{94117DDA-0956-464B-8D2E-F1E7A3A90481}"/>
    <cellStyle name="Entrada 2 10 2 11" xfId="15836" xr:uid="{21C18F56-A36C-4141-BCC4-A5B95AFEC026}"/>
    <cellStyle name="Entrada 2 10 2 12" xfId="15837" xr:uid="{86F26FB2-23DA-42A4-9F1B-3D4FE93EC509}"/>
    <cellStyle name="Entrada 2 10 2 2" xfId="15838" xr:uid="{AD19D8E6-4ECB-4F42-BFEB-39721F86DA8A}"/>
    <cellStyle name="Entrada 2 10 2 2 2" xfId="15839" xr:uid="{09F8C840-F440-4DCE-8151-4275E79C3F88}"/>
    <cellStyle name="Entrada 2 10 2 2 2 2" xfId="15840" xr:uid="{EE0580B5-5DD0-439B-99A7-F9FA1790245E}"/>
    <cellStyle name="Entrada 2 10 2 2 2 3" xfId="15841" xr:uid="{FEA14657-39EA-4B31-A971-E2F0B723F475}"/>
    <cellStyle name="Entrada 2 10 2 2 2 4" xfId="15842" xr:uid="{73543C18-FC1E-4AB8-BB8A-1F127FB113D6}"/>
    <cellStyle name="Entrada 2 10 2 2 2 5" xfId="15843" xr:uid="{B28C92B6-ECD1-4C5F-BFA5-77CEDCBD1FDA}"/>
    <cellStyle name="Entrada 2 10 2 2 3" xfId="15844" xr:uid="{23B842A5-2F99-4B2F-ABB8-4A20F7E7D195}"/>
    <cellStyle name="Entrada 2 10 2 2 4" xfId="15845" xr:uid="{58889BBD-D2E6-4016-BFF2-558712C0874E}"/>
    <cellStyle name="Entrada 2 10 2 2 5" xfId="15846" xr:uid="{25624418-637E-4AAB-8559-CD33F0436718}"/>
    <cellStyle name="Entrada 2 10 2 2 6" xfId="15847" xr:uid="{4475ACAA-E977-4320-9051-A277705D9BA0}"/>
    <cellStyle name="Entrada 2 10 2 3" xfId="15848" xr:uid="{E963663E-D7BF-49BA-8DAA-FDC34DC1AB16}"/>
    <cellStyle name="Entrada 2 10 2 3 2" xfId="15849" xr:uid="{10CA8690-CB37-4682-B40D-D9A3E8B6E0AB}"/>
    <cellStyle name="Entrada 2 10 2 3 2 2" xfId="15850" xr:uid="{69D8CCD4-CA3C-42BA-8414-C2DE1EE243CD}"/>
    <cellStyle name="Entrada 2 10 2 3 2 3" xfId="15851" xr:uid="{1CC4FF28-E8B9-4B93-91A1-9DC81DF943F5}"/>
    <cellStyle name="Entrada 2 10 2 3 2 4" xfId="15852" xr:uid="{45A90BA4-2684-4050-A993-8448620AEEE7}"/>
    <cellStyle name="Entrada 2 10 2 3 2 5" xfId="15853" xr:uid="{0E9F9054-5805-47D3-BA54-45083910D9F2}"/>
    <cellStyle name="Entrada 2 10 2 3 3" xfId="15854" xr:uid="{C7C04D3D-10F2-4CA1-AD19-D9F997D8B4EA}"/>
    <cellStyle name="Entrada 2 10 2 3 4" xfId="15855" xr:uid="{6CC75B1A-BE98-4123-B01D-F63FBF3794DB}"/>
    <cellStyle name="Entrada 2 10 2 3 5" xfId="15856" xr:uid="{6F71AC45-38EA-4B75-A145-E592D7730418}"/>
    <cellStyle name="Entrada 2 10 2 3 6" xfId="15857" xr:uid="{903C3FAA-AAFB-4390-9D12-1E21DC3784DB}"/>
    <cellStyle name="Entrada 2 10 2 4" xfId="15858" xr:uid="{E8AED49C-1C49-44A2-AD1A-CC760955C754}"/>
    <cellStyle name="Entrada 2 10 2 4 2" xfId="15859" xr:uid="{F2C9B525-161B-4FD1-8DF1-F5A405A701C4}"/>
    <cellStyle name="Entrada 2 10 2 4 2 2" xfId="15860" xr:uid="{41CDB154-6044-4062-BE28-5299E65418EE}"/>
    <cellStyle name="Entrada 2 10 2 4 2 3" xfId="15861" xr:uid="{34719C3C-2DC4-4BD3-A1EF-67C5A4589A20}"/>
    <cellStyle name="Entrada 2 10 2 4 2 4" xfId="15862" xr:uid="{4C2F9BC6-99F6-4A0E-B0F8-CE93F881B919}"/>
    <cellStyle name="Entrada 2 10 2 4 2 5" xfId="15863" xr:uid="{D123C20C-A871-4498-B051-79466DFDEADD}"/>
    <cellStyle name="Entrada 2 10 2 4 3" xfId="15864" xr:uid="{622E65F9-29FB-4B11-AE2C-685346F38991}"/>
    <cellStyle name="Entrada 2 10 2 4 4" xfId="15865" xr:uid="{13AAF89E-8C6E-4960-AF2E-58511E2AA686}"/>
    <cellStyle name="Entrada 2 10 2 4 5" xfId="15866" xr:uid="{20559011-CCAB-4D4D-92BF-684D3AADA1A7}"/>
    <cellStyle name="Entrada 2 10 2 4 6" xfId="15867" xr:uid="{FD9B0ED2-A05D-4A86-A34C-71FFEA3490AE}"/>
    <cellStyle name="Entrada 2 10 2 5" xfId="15868" xr:uid="{F482DF8E-19F9-4E4C-BBAB-AE5FB1C443B6}"/>
    <cellStyle name="Entrada 2 10 2 5 2" xfId="15869" xr:uid="{4940222E-ED68-477B-87B9-B05058A1A47D}"/>
    <cellStyle name="Entrada 2 10 2 5 3" xfId="15870" xr:uid="{C232AD44-DC0F-446E-A7E1-2BFEF5D15CE9}"/>
    <cellStyle name="Entrada 2 10 2 5 4" xfId="15871" xr:uid="{A931FDFE-2772-498C-B511-75FC14672C69}"/>
    <cellStyle name="Entrada 2 10 2 5 5" xfId="15872" xr:uid="{8D14D63B-3D3E-4D30-B132-7376F83B59EA}"/>
    <cellStyle name="Entrada 2 10 2 6" xfId="15873" xr:uid="{9F472E95-8ECA-4FB2-BF29-0CBCF9B8EB1E}"/>
    <cellStyle name="Entrada 2 10 2 7" xfId="15874" xr:uid="{2CBA2986-7392-4FB2-ACCC-6EA0C74BA300}"/>
    <cellStyle name="Entrada 2 10 2 8" xfId="15875" xr:uid="{06B3BC46-5718-4DCE-AFDF-752D020BF210}"/>
    <cellStyle name="Entrada 2 10 2 9" xfId="15876" xr:uid="{A1503AAD-C589-41C5-9CA5-C9B5DA067E7E}"/>
    <cellStyle name="Entrada 2 10 3" xfId="15877" xr:uid="{0EA34301-8FE4-467A-86BC-ACA7D3E272CC}"/>
    <cellStyle name="Entrada 2 10 3 2" xfId="15878" xr:uid="{7DE7B705-A019-434B-9127-3096171E08FA}"/>
    <cellStyle name="Entrada 2 10 3 2 2" xfId="15879" xr:uid="{A25ED6C5-C4B4-4142-9A8E-44990E31C7D1}"/>
    <cellStyle name="Entrada 2 10 3 2 3" xfId="15880" xr:uid="{BC9D2154-6C76-467B-8BA4-B0E7F5EAEF52}"/>
    <cellStyle name="Entrada 2 10 3 2 4" xfId="15881" xr:uid="{B8036A3B-ECFA-4EAB-BCAA-D2BA8E79A8E7}"/>
    <cellStyle name="Entrada 2 10 3 2 5" xfId="15882" xr:uid="{BB6DB78C-97C1-4B28-9938-17E3CDF2395C}"/>
    <cellStyle name="Entrada 2 10 3 3" xfId="15883" xr:uid="{D28200F9-39B9-46B7-A778-2F7D97812698}"/>
    <cellStyle name="Entrada 2 10 3 4" xfId="15884" xr:uid="{95B886FF-A9C1-491D-A18D-27F06B43D471}"/>
    <cellStyle name="Entrada 2 10 3 5" xfId="15885" xr:uid="{B0499813-D116-48E7-BB67-A094CA9790BC}"/>
    <cellStyle name="Entrada 2 10 3 6" xfId="15886" xr:uid="{CF95BB2B-C8D6-4311-B749-8E5215175A09}"/>
    <cellStyle name="Entrada 2 10 4" xfId="15887" xr:uid="{39BE62CF-5F4A-491B-AF3F-C7EB28FCCD26}"/>
    <cellStyle name="Entrada 2 10 4 2" xfId="15888" xr:uid="{D23B8210-56CB-4EA7-BB05-EF49718A002A}"/>
    <cellStyle name="Entrada 2 10 4 2 2" xfId="15889" xr:uid="{847B90C5-D14D-490C-B8EE-2B81F0253841}"/>
    <cellStyle name="Entrada 2 10 4 2 3" xfId="15890" xr:uid="{10635FCF-C022-4772-BBE2-BEC3138BA404}"/>
    <cellStyle name="Entrada 2 10 4 2 4" xfId="15891" xr:uid="{411219D4-A124-4B21-A1AA-D56DDB5F4175}"/>
    <cellStyle name="Entrada 2 10 4 2 5" xfId="15892" xr:uid="{5439FE82-664C-4F4D-A095-5F869A8E0E9D}"/>
    <cellStyle name="Entrada 2 10 4 3" xfId="15893" xr:uid="{347A5C71-38A6-4B11-B3AF-A360759FEF8C}"/>
    <cellStyle name="Entrada 2 10 4 4" xfId="15894" xr:uid="{5D0B3452-3892-4DCE-BCEE-E7BE27886149}"/>
    <cellStyle name="Entrada 2 10 4 5" xfId="15895" xr:uid="{BF774AA2-B8B4-46FA-8E39-5ADF616057EC}"/>
    <cellStyle name="Entrada 2 10 4 6" xfId="15896" xr:uid="{A12E05C9-A6AE-43B7-BFB4-986AF5A7508E}"/>
    <cellStyle name="Entrada 2 10 5" xfId="15897" xr:uid="{9E04878D-D91F-4FE9-B257-AABB237D2FA9}"/>
    <cellStyle name="Entrada 2 10 5 2" xfId="15898" xr:uid="{99E070AF-A868-4452-9E45-2F3F9E046AFC}"/>
    <cellStyle name="Entrada 2 10 5 3" xfId="15899" xr:uid="{E77C986B-378A-4215-854D-38DE0BC1F719}"/>
    <cellStyle name="Entrada 2 10 5 4" xfId="15900" xr:uid="{ABC16599-8BE7-4FD9-9C87-AF48E5B9779F}"/>
    <cellStyle name="Entrada 2 10 5 5" xfId="15901" xr:uid="{D40D3E21-A00F-4D6D-B19F-8F5496C39861}"/>
    <cellStyle name="Entrada 2 10 6" xfId="15902" xr:uid="{33D3EB1E-55F1-41BF-9F48-F059CD041AEE}"/>
    <cellStyle name="Entrada 2 10 7" xfId="15903" xr:uid="{E26A66F7-D417-49E8-89D9-A972EDD5E777}"/>
    <cellStyle name="Entrada 2 10 8" xfId="15904" xr:uid="{C574523B-35C3-45DC-9DF8-D2E9761BC631}"/>
    <cellStyle name="Entrada 2 10 9" xfId="15905" xr:uid="{574B9952-75E0-4ED0-BB13-0B2901D90770}"/>
    <cellStyle name="Entrada 2 11" xfId="15906" xr:uid="{B153B65E-2C06-48B3-A010-FACA1EDE58E0}"/>
    <cellStyle name="Entrada 2 11 2" xfId="15907" xr:uid="{96517FA2-9F98-460A-B42B-0508773D829C}"/>
    <cellStyle name="Entrada 2 11 2 2" xfId="15908" xr:uid="{DD35FAF9-3F6E-4687-BCD8-9A3F467DF684}"/>
    <cellStyle name="Entrada 2 11 2 3" xfId="15909" xr:uid="{6EABFB37-BD0E-48CB-AF5B-42F50B468BE3}"/>
    <cellStyle name="Entrada 2 11 2 4" xfId="15910" xr:uid="{DA088296-A2EC-4013-B2A0-183DFF23951F}"/>
    <cellStyle name="Entrada 2 11 2 5" xfId="15911" xr:uid="{1321E66F-CAA6-4C94-A0C3-573F2E84B656}"/>
    <cellStyle name="Entrada 2 11 3" xfId="15912" xr:uid="{562C95D0-EBE2-425F-B76F-1B638A69CBF8}"/>
    <cellStyle name="Entrada 2 11 4" xfId="15913" xr:uid="{E93D7B3B-9BD8-4804-B204-AF57ABB3344B}"/>
    <cellStyle name="Entrada 2 11 5" xfId="15914" xr:uid="{49F6734E-BAE2-46F8-BFBE-C462A465D505}"/>
    <cellStyle name="Entrada 2 11 6" xfId="15915" xr:uid="{B8209E57-9843-4408-8AB7-3BF9B1F0B31D}"/>
    <cellStyle name="Entrada 2 12" xfId="15916" xr:uid="{BD9E0A71-A569-4D71-8B2F-F5D1A8DA88B3}"/>
    <cellStyle name="Entrada 2 12 2" xfId="15917" xr:uid="{3419AF76-8ADF-4DEA-A0F7-F334643BB2AB}"/>
    <cellStyle name="Entrada 2 12 2 2" xfId="15918" xr:uid="{3215BEEE-9A3F-440D-B648-A78B5245E418}"/>
    <cellStyle name="Entrada 2 12 2 3" xfId="15919" xr:uid="{B9CA7CDA-3857-4D33-9963-A548B4AA09B5}"/>
    <cellStyle name="Entrada 2 12 2 4" xfId="15920" xr:uid="{BCAA61A2-B14F-4836-ABDC-FE8105D9BED3}"/>
    <cellStyle name="Entrada 2 12 2 5" xfId="15921" xr:uid="{43D1783E-9A19-490C-9B0D-3E506779E560}"/>
    <cellStyle name="Entrada 2 12 3" xfId="15922" xr:uid="{D45BA99F-B7AE-47E2-88F9-6E6DF967E1D0}"/>
    <cellStyle name="Entrada 2 12 4" xfId="15923" xr:uid="{9B6F90C3-B728-468C-9A22-187FBBF7D9BD}"/>
    <cellStyle name="Entrada 2 12 5" xfId="15924" xr:uid="{49C1202D-C177-4E72-A64E-CDA0E4232FC2}"/>
    <cellStyle name="Entrada 2 12 6" xfId="15925" xr:uid="{628E5407-64F1-40C4-B3E1-0D6A35972EB6}"/>
    <cellStyle name="Entrada 2 13" xfId="15926" xr:uid="{056FC9D6-7118-41CD-BE92-A8ED597B7F24}"/>
    <cellStyle name="Entrada 2 13 2" xfId="15927" xr:uid="{67124F51-A48B-4D42-982A-5A56683C72C8}"/>
    <cellStyle name="Entrada 2 13 2 2" xfId="15928" xr:uid="{01189C5D-7899-4875-A1DE-C822843523D6}"/>
    <cellStyle name="Entrada 2 13 2 3" xfId="15929" xr:uid="{072DABFA-0FB1-4288-A846-E2CF2C32FEA9}"/>
    <cellStyle name="Entrada 2 13 2 4" xfId="15930" xr:uid="{C7C16B73-57ED-4B61-B5D4-54F8CD805F6C}"/>
    <cellStyle name="Entrada 2 13 2 5" xfId="15931" xr:uid="{8B758219-5922-4613-8368-1388FEEA1E7B}"/>
    <cellStyle name="Entrada 2 13 3" xfId="15932" xr:uid="{3BBACE88-C770-45EF-91D6-88029BEBD50C}"/>
    <cellStyle name="Entrada 2 13 4" xfId="15933" xr:uid="{D4AC44E4-051B-4995-806A-C1F08DCAC07C}"/>
    <cellStyle name="Entrada 2 13 5" xfId="15934" xr:uid="{E6E76020-CE40-4E5A-A8AB-D35C30DAC0C2}"/>
    <cellStyle name="Entrada 2 13 6" xfId="15935" xr:uid="{2EF76958-A244-4ABD-B4F2-10C0973C81C4}"/>
    <cellStyle name="Entrada 2 14" xfId="15936" xr:uid="{DDD2EBB8-1F81-497E-9757-B139AA1BD14D}"/>
    <cellStyle name="Entrada 2 14 2" xfId="15937" xr:uid="{8CFE29A8-4EC5-4314-A422-C4446A8FB63B}"/>
    <cellStyle name="Entrada 2 14 3" xfId="15938" xr:uid="{A9A3C989-5945-4296-9496-14DC1FBF3D15}"/>
    <cellStyle name="Entrada 2 14 4" xfId="15939" xr:uid="{5CA63AC1-8F0F-442F-BD8D-E45E5ECB91E9}"/>
    <cellStyle name="Entrada 2 14 5" xfId="15940" xr:uid="{3EC74B48-C8B2-4190-AAD4-912B241ADE3E}"/>
    <cellStyle name="Entrada 2 15" xfId="15941" xr:uid="{2398663E-951E-4399-9ECE-84DECAEEDC0C}"/>
    <cellStyle name="Entrada 2 16" xfId="15942" xr:uid="{1128DB13-D8B5-4101-A069-CF30F27696D7}"/>
    <cellStyle name="Entrada 2 17" xfId="15943" xr:uid="{FAB192D7-D931-47AB-AE5F-196D4C18A1B1}"/>
    <cellStyle name="Entrada 2 18" xfId="15944" xr:uid="{7DBC2CE7-FA3D-4B3A-AC36-3F18E2B6AAF0}"/>
    <cellStyle name="Entrada 2 19" xfId="15945" xr:uid="{71A0DBDC-CA49-4432-A7E8-6A043DF7A523}"/>
    <cellStyle name="Entrada 2 2" xfId="15946" xr:uid="{8BB2145D-DA69-4CC9-9CA7-A20E7A04112B}"/>
    <cellStyle name="Entrada 2 2 10" xfId="15947" xr:uid="{D44F4400-C9A3-4DB9-A8D1-E22AC40E5BE0}"/>
    <cellStyle name="Entrada 2 2 10 10" xfId="15948" xr:uid="{3CAE3E9A-DDE9-4C8D-B79D-0A0ED9CCB84A}"/>
    <cellStyle name="Entrada 2 2 10 11" xfId="15949" xr:uid="{1AB84AE7-C0B8-4BFC-8145-BB25E656E87D}"/>
    <cellStyle name="Entrada 2 2 10 12" xfId="15950" xr:uid="{FCA7B043-DAB6-41A6-B818-BE059FF0F7E7}"/>
    <cellStyle name="Entrada 2 2 10 2" xfId="15951" xr:uid="{90CF4D33-3F56-410C-BE24-AD6A392813F0}"/>
    <cellStyle name="Entrada 2 2 10 2 10" xfId="15952" xr:uid="{8E24E15C-6314-4CE9-932B-92D69AA508C3}"/>
    <cellStyle name="Entrada 2 2 10 2 11" xfId="15953" xr:uid="{56AACA0E-1735-4EF1-928E-7C52F8112ECA}"/>
    <cellStyle name="Entrada 2 2 10 2 12" xfId="15954" xr:uid="{7A66B1CE-3467-4327-B06E-0015CC924383}"/>
    <cellStyle name="Entrada 2 2 10 2 2" xfId="15955" xr:uid="{BD424FB7-D584-4BEC-B533-DEEFBE9C702E}"/>
    <cellStyle name="Entrada 2 2 10 2 2 2" xfId="15956" xr:uid="{1426C513-6E16-42A2-9095-A5583AAEE616}"/>
    <cellStyle name="Entrada 2 2 10 2 2 2 2" xfId="15957" xr:uid="{3B7257D1-C90F-4519-A24F-E9ABD34AC24F}"/>
    <cellStyle name="Entrada 2 2 10 2 2 2 3" xfId="15958" xr:uid="{97CE7319-A46E-4749-AB34-B39F60D12284}"/>
    <cellStyle name="Entrada 2 2 10 2 2 2 4" xfId="15959" xr:uid="{C7D170B1-A28B-4F74-972A-00F85358EB02}"/>
    <cellStyle name="Entrada 2 2 10 2 2 2 5" xfId="15960" xr:uid="{C760208A-F12E-4CEF-BFFC-5B41A464C47F}"/>
    <cellStyle name="Entrada 2 2 10 2 2 3" xfId="15961" xr:uid="{6EC52F77-B474-4827-B6CF-E2E42FA54CBB}"/>
    <cellStyle name="Entrada 2 2 10 2 2 4" xfId="15962" xr:uid="{4D3947FE-6EB4-4637-8D50-2A14DEDC6F24}"/>
    <cellStyle name="Entrada 2 2 10 2 2 5" xfId="15963" xr:uid="{AA0C6A03-8CB4-4DE6-B5EA-F28A5D15F8DF}"/>
    <cellStyle name="Entrada 2 2 10 2 2 6" xfId="15964" xr:uid="{108C61F4-7A45-497D-BD74-065B5D87B931}"/>
    <cellStyle name="Entrada 2 2 10 2 3" xfId="15965" xr:uid="{99A2AEE5-5898-4095-B773-5A7D00E56CE6}"/>
    <cellStyle name="Entrada 2 2 10 2 3 2" xfId="15966" xr:uid="{4F06710A-DED5-45A2-88F4-28F191A867B9}"/>
    <cellStyle name="Entrada 2 2 10 2 3 2 2" xfId="15967" xr:uid="{8FE9790A-44D5-4B26-8DC7-5556C3B1B877}"/>
    <cellStyle name="Entrada 2 2 10 2 3 2 3" xfId="15968" xr:uid="{751DB112-FD5D-42F9-9EAD-094A17ED7D85}"/>
    <cellStyle name="Entrada 2 2 10 2 3 2 4" xfId="15969" xr:uid="{E9A567EE-9335-4F0F-BD21-4ABC7B2EAEE2}"/>
    <cellStyle name="Entrada 2 2 10 2 3 2 5" xfId="15970" xr:uid="{8ED232B9-F34F-44E8-A1C8-093326470B84}"/>
    <cellStyle name="Entrada 2 2 10 2 3 3" xfId="15971" xr:uid="{1EC90ADD-15F7-4FAA-B75F-5EC387CFC27E}"/>
    <cellStyle name="Entrada 2 2 10 2 3 4" xfId="15972" xr:uid="{3753DC1D-7216-4A39-9CFA-38E94CFE450C}"/>
    <cellStyle name="Entrada 2 2 10 2 3 5" xfId="15973" xr:uid="{E7AA9741-F986-41D8-A088-FCE0AC30C579}"/>
    <cellStyle name="Entrada 2 2 10 2 3 6" xfId="15974" xr:uid="{E20F3C6C-6172-42DE-9774-6AA784042DAF}"/>
    <cellStyle name="Entrada 2 2 10 2 4" xfId="15975" xr:uid="{544BBAAD-7038-4D9B-B7C9-1AF760D5133E}"/>
    <cellStyle name="Entrada 2 2 10 2 4 2" xfId="15976" xr:uid="{2CC7E8B3-BCA0-447F-BA28-168B42883D9A}"/>
    <cellStyle name="Entrada 2 2 10 2 4 2 2" xfId="15977" xr:uid="{753D0DF5-A7A8-4D13-A8DA-A7BA3D555709}"/>
    <cellStyle name="Entrada 2 2 10 2 4 2 3" xfId="15978" xr:uid="{2F6F9AD5-4B5A-49BD-962A-1EE4D343FDFE}"/>
    <cellStyle name="Entrada 2 2 10 2 4 2 4" xfId="15979" xr:uid="{5C010804-8EC5-4593-9938-11D400D36B67}"/>
    <cellStyle name="Entrada 2 2 10 2 4 2 5" xfId="15980" xr:uid="{0272FD25-0305-4A20-BA6A-36F85E22BFB3}"/>
    <cellStyle name="Entrada 2 2 10 2 4 3" xfId="15981" xr:uid="{DEFB5029-6934-4F8E-910D-6F52B78C84D0}"/>
    <cellStyle name="Entrada 2 2 10 2 4 4" xfId="15982" xr:uid="{537CABA2-7996-47EE-9A87-C2E6C40E8A76}"/>
    <cellStyle name="Entrada 2 2 10 2 4 5" xfId="15983" xr:uid="{E80B0F1B-9CFF-4D6F-9061-E1108D39451B}"/>
    <cellStyle name="Entrada 2 2 10 2 4 6" xfId="15984" xr:uid="{653A3A7D-577B-424E-9AAD-2B5C7992A4C2}"/>
    <cellStyle name="Entrada 2 2 10 2 5" xfId="15985" xr:uid="{51E84B91-627A-445F-AEC1-1C403D51FE73}"/>
    <cellStyle name="Entrada 2 2 10 2 5 2" xfId="15986" xr:uid="{7A191200-09D5-4083-97C3-3528358EF848}"/>
    <cellStyle name="Entrada 2 2 10 2 5 3" xfId="15987" xr:uid="{CB525378-E29C-429B-BFEF-298027756CB8}"/>
    <cellStyle name="Entrada 2 2 10 2 5 4" xfId="15988" xr:uid="{8284A026-D767-4367-A80C-960E645E800D}"/>
    <cellStyle name="Entrada 2 2 10 2 5 5" xfId="15989" xr:uid="{DC37F9EB-D502-4051-A099-F6474FB84685}"/>
    <cellStyle name="Entrada 2 2 10 2 6" xfId="15990" xr:uid="{375ED0B6-298D-44EF-9C9A-F26AAAB60FEA}"/>
    <cellStyle name="Entrada 2 2 10 2 7" xfId="15991" xr:uid="{6D44BA87-A182-4FA1-BDD2-BDAC3D09C881}"/>
    <cellStyle name="Entrada 2 2 10 2 8" xfId="15992" xr:uid="{8EE71BF9-FDA0-44B6-A20B-C7252674363A}"/>
    <cellStyle name="Entrada 2 2 10 2 9" xfId="15993" xr:uid="{B05A6ED3-F16F-46F8-8EBA-0595163FBA4B}"/>
    <cellStyle name="Entrada 2 2 10 3" xfId="15994" xr:uid="{9B3DBCDE-7D03-4962-8E4E-986AB73894E1}"/>
    <cellStyle name="Entrada 2 2 10 3 2" xfId="15995" xr:uid="{39D11463-831A-48E6-A348-7D51A652854B}"/>
    <cellStyle name="Entrada 2 2 10 3 2 2" xfId="15996" xr:uid="{301B3DB2-788B-483B-855C-487ECC5E476C}"/>
    <cellStyle name="Entrada 2 2 10 3 2 3" xfId="15997" xr:uid="{E2FDF644-1CDD-43B6-8547-7D6FAE375B41}"/>
    <cellStyle name="Entrada 2 2 10 3 2 4" xfId="15998" xr:uid="{8F82A02B-2DFB-48AA-9792-46FE8E1521A6}"/>
    <cellStyle name="Entrada 2 2 10 3 2 5" xfId="15999" xr:uid="{A92325F3-EC2B-4EFA-8494-B03F43743AD0}"/>
    <cellStyle name="Entrada 2 2 10 3 3" xfId="16000" xr:uid="{E11BAE23-8A71-45DC-8656-24B6317EA4C1}"/>
    <cellStyle name="Entrada 2 2 10 3 4" xfId="16001" xr:uid="{AD7B7274-DB8B-4F32-B0F4-5EA6E8903CCF}"/>
    <cellStyle name="Entrada 2 2 10 3 5" xfId="16002" xr:uid="{D5036AED-345A-4AD5-A45D-219994D72FC5}"/>
    <cellStyle name="Entrada 2 2 10 3 6" xfId="16003" xr:uid="{33E5D8BA-E332-4D43-845D-DE3E9C4F22A6}"/>
    <cellStyle name="Entrada 2 2 10 4" xfId="16004" xr:uid="{4E87C10F-885F-47A7-B85A-FBF20BA4BA79}"/>
    <cellStyle name="Entrada 2 2 10 4 2" xfId="16005" xr:uid="{BD4DF7D6-DDFD-4AB0-AA2F-787A0210331B}"/>
    <cellStyle name="Entrada 2 2 10 4 2 2" xfId="16006" xr:uid="{7DEF2255-35A9-4519-8E83-9BB210E1E4FA}"/>
    <cellStyle name="Entrada 2 2 10 4 2 3" xfId="16007" xr:uid="{BAB68E2E-D3D8-4E07-BF59-FCFD7B4264CA}"/>
    <cellStyle name="Entrada 2 2 10 4 2 4" xfId="16008" xr:uid="{1AC5BE13-E809-44EA-9271-AAC90D445623}"/>
    <cellStyle name="Entrada 2 2 10 4 2 5" xfId="16009" xr:uid="{0929D52C-9B97-428C-B82C-769CC547E96F}"/>
    <cellStyle name="Entrada 2 2 10 4 3" xfId="16010" xr:uid="{BC93AEF0-38C6-49DF-BD59-894CAF700B71}"/>
    <cellStyle name="Entrada 2 2 10 4 4" xfId="16011" xr:uid="{A2F27D8E-9DEC-4243-A8E8-BD1C7DF3C96B}"/>
    <cellStyle name="Entrada 2 2 10 4 5" xfId="16012" xr:uid="{00D613F4-E143-4002-8D7D-7F8CB107A54F}"/>
    <cellStyle name="Entrada 2 2 10 4 6" xfId="16013" xr:uid="{8A7B004E-4F1E-490D-9AF9-12E5DF5FE1AA}"/>
    <cellStyle name="Entrada 2 2 10 5" xfId="16014" xr:uid="{A81C9498-2192-4D5A-9168-0D7EC9C7AA48}"/>
    <cellStyle name="Entrada 2 2 10 5 2" xfId="16015" xr:uid="{89EFECDB-CA54-4E70-850D-317DDE134C52}"/>
    <cellStyle name="Entrada 2 2 10 5 3" xfId="16016" xr:uid="{A9232772-64E8-4A2C-AF17-A8B2DFCEE7CA}"/>
    <cellStyle name="Entrada 2 2 10 5 4" xfId="16017" xr:uid="{7ACC3C51-13A0-46D5-833C-DB961BF26385}"/>
    <cellStyle name="Entrada 2 2 10 5 5" xfId="16018" xr:uid="{B1637F5E-1118-466F-B241-A94735BEFED1}"/>
    <cellStyle name="Entrada 2 2 10 6" xfId="16019" xr:uid="{CDD65F02-2363-4B34-B86D-80B4FF7C3BE1}"/>
    <cellStyle name="Entrada 2 2 10 7" xfId="16020" xr:uid="{158B23C0-89B9-42A8-ACE7-001D158B5598}"/>
    <cellStyle name="Entrada 2 2 10 8" xfId="16021" xr:uid="{95AEFD44-867E-4F1C-89B0-834F9209BA35}"/>
    <cellStyle name="Entrada 2 2 10 9" xfId="16022" xr:uid="{350DD3CE-E287-4C7C-82B1-4296CA94BE9F}"/>
    <cellStyle name="Entrada 2 2 11" xfId="16023" xr:uid="{CE37B804-7CC1-4001-97CF-0CDCD373FF68}"/>
    <cellStyle name="Entrada 2 2 11 2" xfId="16024" xr:uid="{67BA938D-3997-4FDC-875D-81359AC2681F}"/>
    <cellStyle name="Entrada 2 2 11 2 2" xfId="16025" xr:uid="{8C8AD169-9310-4A02-99E7-AF1EE0FDE925}"/>
    <cellStyle name="Entrada 2 2 11 2 3" xfId="16026" xr:uid="{ED25EDF3-864D-411A-838F-4E8631976E02}"/>
    <cellStyle name="Entrada 2 2 11 2 4" xfId="16027" xr:uid="{51F6669D-98FE-4089-B248-BF84BCE95FB0}"/>
    <cellStyle name="Entrada 2 2 11 2 5" xfId="16028" xr:uid="{285D699B-7F1F-424B-BC29-E26B414F1FEC}"/>
    <cellStyle name="Entrada 2 2 11 3" xfId="16029" xr:uid="{7C342A05-93BF-4146-A201-C5FA90EAD6D7}"/>
    <cellStyle name="Entrada 2 2 11 4" xfId="16030" xr:uid="{BE3900B8-1F95-48E9-803E-3F3A82CDF3B0}"/>
    <cellStyle name="Entrada 2 2 11 5" xfId="16031" xr:uid="{1B3A1295-D525-431E-9AC7-C57CAACAD554}"/>
    <cellStyle name="Entrada 2 2 11 6" xfId="16032" xr:uid="{8FB894E2-A643-4D33-8548-BE2EE9A66153}"/>
    <cellStyle name="Entrada 2 2 12" xfId="16033" xr:uid="{334292A3-0BC7-479E-BC98-B071E3833B27}"/>
    <cellStyle name="Entrada 2 2 12 2" xfId="16034" xr:uid="{60328EBC-CE3B-45B7-973B-A63F10C78DCA}"/>
    <cellStyle name="Entrada 2 2 12 2 2" xfId="16035" xr:uid="{05CF2282-124A-4D57-9A8B-A0B92EE02B97}"/>
    <cellStyle name="Entrada 2 2 12 2 3" xfId="16036" xr:uid="{BF6B9601-3DDD-4B6C-8EE5-B816E09C49BC}"/>
    <cellStyle name="Entrada 2 2 12 2 4" xfId="16037" xr:uid="{5C913746-AE61-4FC9-B089-27120B2D070E}"/>
    <cellStyle name="Entrada 2 2 12 2 5" xfId="16038" xr:uid="{4398CCA1-3768-43B8-9572-1E9227D1CA6D}"/>
    <cellStyle name="Entrada 2 2 12 3" xfId="16039" xr:uid="{F76ECA34-AF67-4C27-980E-6CF093C0E051}"/>
    <cellStyle name="Entrada 2 2 12 4" xfId="16040" xr:uid="{9BC96819-75C1-405D-9509-97DBB56E206E}"/>
    <cellStyle name="Entrada 2 2 12 5" xfId="16041" xr:uid="{B78E5E19-0787-4FD9-BC81-1FD87F681246}"/>
    <cellStyle name="Entrada 2 2 12 6" xfId="16042" xr:uid="{F0939220-7C79-4D2D-A1DE-8F7882BCCE15}"/>
    <cellStyle name="Entrada 2 2 13" xfId="16043" xr:uid="{F67BCB9F-79EB-4355-A725-46A79D0F5DC9}"/>
    <cellStyle name="Entrada 2 2 13 2" xfId="16044" xr:uid="{690BFF16-2045-4939-AFD5-2641DDA79C58}"/>
    <cellStyle name="Entrada 2 2 13 2 2" xfId="16045" xr:uid="{2FBD5151-5AFF-4905-99D9-A4B1FC7870F4}"/>
    <cellStyle name="Entrada 2 2 13 2 3" xfId="16046" xr:uid="{398B4A8E-347E-4211-9968-37CC0D0BDFAA}"/>
    <cellStyle name="Entrada 2 2 13 2 4" xfId="16047" xr:uid="{2929F78B-BF93-4ECC-B27F-0D708A6DB696}"/>
    <cellStyle name="Entrada 2 2 13 2 5" xfId="16048" xr:uid="{41C6F40A-5662-433F-B2EE-943FCCBBA74E}"/>
    <cellStyle name="Entrada 2 2 13 3" xfId="16049" xr:uid="{6097AFC7-B2A7-4CB5-8B26-84E72738A72F}"/>
    <cellStyle name="Entrada 2 2 13 4" xfId="16050" xr:uid="{88207ACC-ACD1-4F0B-B302-51CCB5490E0A}"/>
    <cellStyle name="Entrada 2 2 13 5" xfId="16051" xr:uid="{C5280D5C-23D5-4884-9F54-DB6072A6ADA6}"/>
    <cellStyle name="Entrada 2 2 13 6" xfId="16052" xr:uid="{FA2DF37A-BCF6-458A-AB8F-D60B2CD974F9}"/>
    <cellStyle name="Entrada 2 2 14" xfId="16053" xr:uid="{4E57BCBD-F317-4603-AC5A-32DC366E59C6}"/>
    <cellStyle name="Entrada 2 2 14 2" xfId="16054" xr:uid="{6FEB7A68-CF64-4F12-AE60-EEB86C8BF096}"/>
    <cellStyle name="Entrada 2 2 14 3" xfId="16055" xr:uid="{659F74DB-DED9-4336-AD10-4ABE16CEBAC8}"/>
    <cellStyle name="Entrada 2 2 14 4" xfId="16056" xr:uid="{31EE5EED-93DC-4514-B517-F26B87B4A3BC}"/>
    <cellStyle name="Entrada 2 2 14 5" xfId="16057" xr:uid="{4AE10914-B07F-4F23-841E-76B00F3BC963}"/>
    <cellStyle name="Entrada 2 2 15" xfId="16058" xr:uid="{43CD1EE3-EBFA-4093-A359-C77CAEE5F498}"/>
    <cellStyle name="Entrada 2 2 16" xfId="16059" xr:uid="{95C92D8C-2F5F-441F-B484-1375F9CD7289}"/>
    <cellStyle name="Entrada 2 2 17" xfId="16060" xr:uid="{AF916388-F7F7-4FBB-AA1E-629A24570593}"/>
    <cellStyle name="Entrada 2 2 18" xfId="16061" xr:uid="{639A7E16-84BF-4432-A4D7-4892ED193BA5}"/>
    <cellStyle name="Entrada 2 2 19" xfId="16062" xr:uid="{D6D18E4A-002E-44B1-9E63-FAA3FE0F1DEF}"/>
    <cellStyle name="Entrada 2 2 2" xfId="16063" xr:uid="{BE203058-EF04-4E3E-88B6-683D203C622F}"/>
    <cellStyle name="Entrada 2 2 2 10" xfId="16064" xr:uid="{B90FD61D-CF54-440A-A273-752958DAC4C4}"/>
    <cellStyle name="Entrada 2 2 2 11" xfId="16065" xr:uid="{4E3AD3A2-7C10-4ABC-A370-305F928536AF}"/>
    <cellStyle name="Entrada 2 2 2 12" xfId="16066" xr:uid="{75443EB8-4806-40EC-AB20-BE9219A0E5DA}"/>
    <cellStyle name="Entrada 2 2 2 13" xfId="16067" xr:uid="{29DDFDF0-8279-46BD-B2C4-F36C81F61948}"/>
    <cellStyle name="Entrada 2 2 2 14" xfId="16068" xr:uid="{3F5B0A77-9326-429A-B9FA-5AAFD445F521}"/>
    <cellStyle name="Entrada 2 2 2 15" xfId="16069" xr:uid="{A025CF19-C0E8-4D54-832B-481571F3BCAD}"/>
    <cellStyle name="Entrada 2 2 2 16" xfId="16070" xr:uid="{AD885E01-9E68-496D-91D9-5D02D4D2B273}"/>
    <cellStyle name="Entrada 2 2 2 2" xfId="16071" xr:uid="{BC5AD372-93CF-49FA-93E4-02AB20B931A0}"/>
    <cellStyle name="Entrada 2 2 2 2 10" xfId="16072" xr:uid="{BD088E75-7D98-47F6-A8CB-CC4F940556B1}"/>
    <cellStyle name="Entrada 2 2 2 2 11" xfId="16073" xr:uid="{CBB42B89-83FF-4050-B57A-9F121C4ADBA9}"/>
    <cellStyle name="Entrada 2 2 2 2 12" xfId="16074" xr:uid="{D3FC80AB-EBE3-409D-8D7D-A4ADAC919399}"/>
    <cellStyle name="Entrada 2 2 2 2 13" xfId="16075" xr:uid="{F698F1EA-DCF9-4CE9-9434-53B2AC605261}"/>
    <cellStyle name="Entrada 2 2 2 2 14" xfId="16076" xr:uid="{3F205D11-7B72-44CE-910E-2A66CF23F278}"/>
    <cellStyle name="Entrada 2 2 2 2 15" xfId="16077" xr:uid="{DC2681FE-1EDC-4730-B110-98457FB833C0}"/>
    <cellStyle name="Entrada 2 2 2 2 2" xfId="16078" xr:uid="{6242A0F1-FB99-497C-8C8D-4BF94760FF81}"/>
    <cellStyle name="Entrada 2 2 2 2 2 10" xfId="16079" xr:uid="{D661EE09-2916-44D3-A161-CEBF4E9D5197}"/>
    <cellStyle name="Entrada 2 2 2 2 2 11" xfId="16080" xr:uid="{23992BD4-6E55-4DD2-966B-E0D4C6326671}"/>
    <cellStyle name="Entrada 2 2 2 2 2 12" xfId="16081" xr:uid="{435096C9-C323-4D1F-BE4F-CCD05689D215}"/>
    <cellStyle name="Entrada 2 2 2 2 2 13" xfId="16082" xr:uid="{CFAAF6E8-0257-454F-B123-ECF2591FF722}"/>
    <cellStyle name="Entrada 2 2 2 2 2 14" xfId="16083" xr:uid="{65028B78-2257-441B-AD4B-88240646ED45}"/>
    <cellStyle name="Entrada 2 2 2 2 2 2" xfId="16084" xr:uid="{8FF03DE5-D270-40EA-B474-5D101221E9D3}"/>
    <cellStyle name="Entrada 2 2 2 2 2 2 10" xfId="16085" xr:uid="{DA3B366F-A043-42B4-9B1B-EE2D47FA4A7F}"/>
    <cellStyle name="Entrada 2 2 2 2 2 2 11" xfId="16086" xr:uid="{BD0890A9-A679-4370-B6F1-2F1987189A60}"/>
    <cellStyle name="Entrada 2 2 2 2 2 2 12" xfId="16087" xr:uid="{C8749ECF-C3E5-4658-BCA3-49F2FA179D1C}"/>
    <cellStyle name="Entrada 2 2 2 2 2 2 13" xfId="16088" xr:uid="{E3100337-8553-4DA7-806A-78E2FA100A30}"/>
    <cellStyle name="Entrada 2 2 2 2 2 2 14" xfId="16089" xr:uid="{77400FF7-E1DD-4061-BD7B-3AB4E926A539}"/>
    <cellStyle name="Entrada 2 2 2 2 2 2 2" xfId="16090" xr:uid="{D4E211EF-60C4-4230-80CE-4BEB75BF9A9A}"/>
    <cellStyle name="Entrada 2 2 2 2 2 2 2 10" xfId="16091" xr:uid="{F0C80617-9EA2-49AF-B0F2-C848F1BA9F40}"/>
    <cellStyle name="Entrada 2 2 2 2 2 2 2 11" xfId="16092" xr:uid="{62E40493-0064-4BFC-B0D0-E11AD75393BD}"/>
    <cellStyle name="Entrada 2 2 2 2 2 2 2 12" xfId="16093" xr:uid="{F5D7A45F-CFA0-4C67-93D7-72B6CAA9901D}"/>
    <cellStyle name="Entrada 2 2 2 2 2 2 2 13" xfId="16094" xr:uid="{4BD7BCD4-1A8E-41B6-8F96-8017A40861ED}"/>
    <cellStyle name="Entrada 2 2 2 2 2 2 2 2" xfId="16095" xr:uid="{86034FBD-E1C8-417E-993C-FAF646B60733}"/>
    <cellStyle name="Entrada 2 2 2 2 2 2 2 2 10" xfId="16096" xr:uid="{33FCAC7D-F6E2-4028-851F-17369C6684A8}"/>
    <cellStyle name="Entrada 2 2 2 2 2 2 2 2 11" xfId="16097" xr:uid="{9B1CEA60-69D0-4CB1-AC19-A622D8A36EF3}"/>
    <cellStyle name="Entrada 2 2 2 2 2 2 2 2 12" xfId="16098" xr:uid="{F8485454-AF7F-45D5-BE8B-213621524B15}"/>
    <cellStyle name="Entrada 2 2 2 2 2 2 2 2 13" xfId="16099" xr:uid="{826C6CD4-0783-497C-A66F-02512053B21E}"/>
    <cellStyle name="Entrada 2 2 2 2 2 2 2 2 2" xfId="16100" xr:uid="{6C3DCDB7-0A82-4300-B3DA-D5805BBFACD1}"/>
    <cellStyle name="Entrada 2 2 2 2 2 2 2 2 2 10" xfId="16101" xr:uid="{A85D42F2-A709-4E5F-96C8-C938AD0D2B57}"/>
    <cellStyle name="Entrada 2 2 2 2 2 2 2 2 2 11" xfId="16102" xr:uid="{6122894A-3098-4E67-AD7E-16457B3397E9}"/>
    <cellStyle name="Entrada 2 2 2 2 2 2 2 2 2 12" xfId="16103" xr:uid="{DCC0C158-C55C-4CF3-BC73-EB2C0CCD37C3}"/>
    <cellStyle name="Entrada 2 2 2 2 2 2 2 2 2 2" xfId="16104" xr:uid="{ED1ADF16-563F-41CA-AB2C-6C960CACB293}"/>
    <cellStyle name="Entrada 2 2 2 2 2 2 2 2 2 2 10" xfId="16105" xr:uid="{F1BF9FE2-5560-436F-A150-7B153A299A87}"/>
    <cellStyle name="Entrada 2 2 2 2 2 2 2 2 2 2 11" xfId="16106" xr:uid="{03AE5BCC-A0FA-41BA-885B-B84691372A5B}"/>
    <cellStyle name="Entrada 2 2 2 2 2 2 2 2 2 2 12" xfId="16107" xr:uid="{2BF49A00-56E5-48FB-820E-973BBB888F61}"/>
    <cellStyle name="Entrada 2 2 2 2 2 2 2 2 2 2 2" xfId="16108" xr:uid="{2B403DA4-2AEF-408F-8B9E-73DE991226A8}"/>
    <cellStyle name="Entrada 2 2 2 2 2 2 2 2 2 2 2 2" xfId="16109" xr:uid="{7FD5F65E-A541-42E7-9E1B-8B47E87A9148}"/>
    <cellStyle name="Entrada 2 2 2 2 2 2 2 2 2 2 2 2 2" xfId="16110" xr:uid="{38797E5D-4DAC-4E54-BDF9-C017A2C42752}"/>
    <cellStyle name="Entrada 2 2 2 2 2 2 2 2 2 2 2 2 2 2" xfId="16111" xr:uid="{EA9FF68E-E90B-463D-9A69-75914F2941ED}"/>
    <cellStyle name="Entrada 2 2 2 2 2 2 2 2 2 2 2 2 2 3" xfId="16112" xr:uid="{84D1C9B9-FF6E-4825-AAD7-0AD5E0B2FA6F}"/>
    <cellStyle name="Entrada 2 2 2 2 2 2 2 2 2 2 2 2 2 4" xfId="16113" xr:uid="{69A4A8DD-B648-40E2-9C3A-CF7D60AFBC9B}"/>
    <cellStyle name="Entrada 2 2 2 2 2 2 2 2 2 2 2 2 2 5" xfId="16114" xr:uid="{AE10CB12-E31E-4102-A747-C82132BD1F19}"/>
    <cellStyle name="Entrada 2 2 2 2 2 2 2 2 2 2 2 2 3" xfId="16115" xr:uid="{AD050D49-DEF3-4D56-99D2-295F4FCCC6E9}"/>
    <cellStyle name="Entrada 2 2 2 2 2 2 2 2 2 2 2 2 4" xfId="16116" xr:uid="{31E5EE42-BCAF-4C84-9953-D564BC34DBCB}"/>
    <cellStyle name="Entrada 2 2 2 2 2 2 2 2 2 2 2 2 5" xfId="16117" xr:uid="{6AD476C5-1810-4E68-AF03-B7A908158106}"/>
    <cellStyle name="Entrada 2 2 2 2 2 2 2 2 2 2 2 2 6" xfId="16118" xr:uid="{7BCD3FD2-6713-4B09-865D-C93F9F59325C}"/>
    <cellStyle name="Entrada 2 2 2 2 2 2 2 2 2 2 2 3" xfId="16119" xr:uid="{8C4C0C48-E109-4B3C-8660-28B61A5FE11F}"/>
    <cellStyle name="Entrada 2 2 2 2 2 2 2 2 2 2 2 3 2" xfId="16120" xr:uid="{2D916095-B986-4D07-8D8B-0179AA0758DA}"/>
    <cellStyle name="Entrada 2 2 2 2 2 2 2 2 2 2 2 3 3" xfId="16121" xr:uid="{BCFA07A1-3AD7-4ECE-9DF1-A2E196CC7CB3}"/>
    <cellStyle name="Entrada 2 2 2 2 2 2 2 2 2 2 2 3 4" xfId="16122" xr:uid="{FB0F9398-8795-4D84-B291-1005CC3375A4}"/>
    <cellStyle name="Entrada 2 2 2 2 2 2 2 2 2 2 2 3 5" xfId="16123" xr:uid="{AB7B5D6F-9648-49A9-A3F8-9E54FDE642FA}"/>
    <cellStyle name="Entrada 2 2 2 2 2 2 2 2 2 2 2 4" xfId="16124" xr:uid="{92B2E2C1-0627-41C0-87BD-985E6BD7FE3C}"/>
    <cellStyle name="Entrada 2 2 2 2 2 2 2 2 2 2 2 5" xfId="16125" xr:uid="{C5ADCF21-2507-4073-89EF-67C499A23FB6}"/>
    <cellStyle name="Entrada 2 2 2 2 2 2 2 2 2 2 2 6" xfId="16126" xr:uid="{7476BF97-764D-40DE-A705-CD72A7C855ED}"/>
    <cellStyle name="Entrada 2 2 2 2 2 2 2 2 2 2 2 7" xfId="16127" xr:uid="{268FFB16-F6FA-4B22-97B3-86C6B6C589D0}"/>
    <cellStyle name="Entrada 2 2 2 2 2 2 2 2 2 2 3" xfId="16128" xr:uid="{0E5016DA-047D-475C-950E-E09EE5EFAE2E}"/>
    <cellStyle name="Entrada 2 2 2 2 2 2 2 2 2 2 3 2" xfId="16129" xr:uid="{395EF54A-5213-4A9E-99AA-41CD836EEAC9}"/>
    <cellStyle name="Entrada 2 2 2 2 2 2 2 2 2 2 3 2 2" xfId="16130" xr:uid="{302F7B0B-AA5F-44E4-9BCF-3697B0B28407}"/>
    <cellStyle name="Entrada 2 2 2 2 2 2 2 2 2 2 3 2 3" xfId="16131" xr:uid="{2E1C463D-8D5D-47FE-B57E-9D6791DB4CEB}"/>
    <cellStyle name="Entrada 2 2 2 2 2 2 2 2 2 2 3 2 4" xfId="16132" xr:uid="{B7B4D8B5-3223-4C8A-82F7-B819A5470DE1}"/>
    <cellStyle name="Entrada 2 2 2 2 2 2 2 2 2 2 3 2 5" xfId="16133" xr:uid="{4E36C997-F397-4C00-9A27-A403051390F8}"/>
    <cellStyle name="Entrada 2 2 2 2 2 2 2 2 2 2 3 3" xfId="16134" xr:uid="{F1E12722-93EB-4E84-853B-A2BFBBD7BE9C}"/>
    <cellStyle name="Entrada 2 2 2 2 2 2 2 2 2 2 3 4" xfId="16135" xr:uid="{E1B0B13C-B71B-4875-B2F0-4E4C6E42D820}"/>
    <cellStyle name="Entrada 2 2 2 2 2 2 2 2 2 2 3 5" xfId="16136" xr:uid="{8D1F9287-42B4-40F4-BEE7-0E2C7C30256E}"/>
    <cellStyle name="Entrada 2 2 2 2 2 2 2 2 2 2 3 6" xfId="16137" xr:uid="{9971DACA-3171-43A4-A9E6-51425C8531D8}"/>
    <cellStyle name="Entrada 2 2 2 2 2 2 2 2 2 2 4" xfId="16138" xr:uid="{EE07C95D-B7DF-407A-BAC0-495864B7A18A}"/>
    <cellStyle name="Entrada 2 2 2 2 2 2 2 2 2 2 4 2" xfId="16139" xr:uid="{1F8AE7BE-E6AB-44C8-964C-FAF64978F6F5}"/>
    <cellStyle name="Entrada 2 2 2 2 2 2 2 2 2 2 4 2 2" xfId="16140" xr:uid="{6CF7AA6B-80A6-4823-A558-A9BD9554C0EE}"/>
    <cellStyle name="Entrada 2 2 2 2 2 2 2 2 2 2 4 2 3" xfId="16141" xr:uid="{3407019E-4BE3-43DE-85B4-AB0C91CFDA63}"/>
    <cellStyle name="Entrada 2 2 2 2 2 2 2 2 2 2 4 2 4" xfId="16142" xr:uid="{74B87960-E746-4F16-B517-9404C1DE079A}"/>
    <cellStyle name="Entrada 2 2 2 2 2 2 2 2 2 2 4 2 5" xfId="16143" xr:uid="{E9A2F256-6585-468F-AC2A-E976BAA5E908}"/>
    <cellStyle name="Entrada 2 2 2 2 2 2 2 2 2 2 4 3" xfId="16144" xr:uid="{F41CD651-C392-4BF5-BE2F-CBF363246CD4}"/>
    <cellStyle name="Entrada 2 2 2 2 2 2 2 2 2 2 4 4" xfId="16145" xr:uid="{8DB7D395-22A1-4A9C-8913-979840207750}"/>
    <cellStyle name="Entrada 2 2 2 2 2 2 2 2 2 2 4 5" xfId="16146" xr:uid="{B47730C2-162B-442A-A910-4A6151FDB447}"/>
    <cellStyle name="Entrada 2 2 2 2 2 2 2 2 2 2 4 6" xfId="16147" xr:uid="{B282C64D-7A6A-454B-82FF-F35760946AAE}"/>
    <cellStyle name="Entrada 2 2 2 2 2 2 2 2 2 2 5" xfId="16148" xr:uid="{EE5E7BE6-96DD-46B5-A9C7-09801C0D4DB3}"/>
    <cellStyle name="Entrada 2 2 2 2 2 2 2 2 2 2 5 2" xfId="16149" xr:uid="{7BFA6C0F-0F2A-4459-8726-F8AE2B89B54D}"/>
    <cellStyle name="Entrada 2 2 2 2 2 2 2 2 2 2 5 3" xfId="16150" xr:uid="{CE62C01E-E478-450C-AD70-D42DC1BF8376}"/>
    <cellStyle name="Entrada 2 2 2 2 2 2 2 2 2 2 5 4" xfId="16151" xr:uid="{1C21A8BC-8A4D-4AC6-94DD-AE43BCBBF735}"/>
    <cellStyle name="Entrada 2 2 2 2 2 2 2 2 2 2 5 5" xfId="16152" xr:uid="{A2F8425F-935E-4DBC-AC8D-01FCB59E9F7B}"/>
    <cellStyle name="Entrada 2 2 2 2 2 2 2 2 2 2 6" xfId="16153" xr:uid="{80654E2F-A520-4A6E-9E62-FD993CD0D69C}"/>
    <cellStyle name="Entrada 2 2 2 2 2 2 2 2 2 2 7" xfId="16154" xr:uid="{2F7C2CCD-C1B5-45BA-8030-D93F5BA29189}"/>
    <cellStyle name="Entrada 2 2 2 2 2 2 2 2 2 2 8" xfId="16155" xr:uid="{4925B6A1-9B63-4A43-A9C7-3BF6BE4F28B3}"/>
    <cellStyle name="Entrada 2 2 2 2 2 2 2 2 2 2 9" xfId="16156" xr:uid="{7918A76E-E564-4C61-AE8E-676119106D06}"/>
    <cellStyle name="Entrada 2 2 2 2 2 2 2 2 2 3" xfId="16157" xr:uid="{A6EC35CC-A018-440C-8672-0AB57B3FE3E3}"/>
    <cellStyle name="Entrada 2 2 2 2 2 2 2 2 2 3 2" xfId="16158" xr:uid="{032405E9-0EEC-4143-A0C9-1A1AAF3CA3A2}"/>
    <cellStyle name="Entrada 2 2 2 2 2 2 2 2 2 3 2 2" xfId="16159" xr:uid="{6935178A-9092-40D7-8A9A-13E9ED304B9D}"/>
    <cellStyle name="Entrada 2 2 2 2 2 2 2 2 2 3 2 3" xfId="16160" xr:uid="{358D430A-14BE-4142-96B1-45E65D0B6487}"/>
    <cellStyle name="Entrada 2 2 2 2 2 2 2 2 2 3 2 4" xfId="16161" xr:uid="{19BC91D7-6D94-4F28-851C-5A8D1EADF7FF}"/>
    <cellStyle name="Entrada 2 2 2 2 2 2 2 2 2 3 2 5" xfId="16162" xr:uid="{EC1DC68D-FF1E-49B4-A2DB-5B1003CA6688}"/>
    <cellStyle name="Entrada 2 2 2 2 2 2 2 2 2 3 3" xfId="16163" xr:uid="{85393250-B3AB-4BB6-AC90-6013B9CCE5C4}"/>
    <cellStyle name="Entrada 2 2 2 2 2 2 2 2 2 3 4" xfId="16164" xr:uid="{870A297F-1F77-4DFA-916E-3C0AF65E60AF}"/>
    <cellStyle name="Entrada 2 2 2 2 2 2 2 2 2 3 5" xfId="16165" xr:uid="{C372A4B0-118A-45FF-9EEF-CC6D945F8AA3}"/>
    <cellStyle name="Entrada 2 2 2 2 2 2 2 2 2 3 6" xfId="16166" xr:uid="{A2C38C0C-5B18-4174-8AA1-272550CA1A4D}"/>
    <cellStyle name="Entrada 2 2 2 2 2 2 2 2 2 4" xfId="16167" xr:uid="{C2FAFCBE-ADE4-4461-8B03-1293EFBE2A61}"/>
    <cellStyle name="Entrada 2 2 2 2 2 2 2 2 2 4 2" xfId="16168" xr:uid="{73248CE1-8FFF-4436-AF0B-5032FBBC8A66}"/>
    <cellStyle name="Entrada 2 2 2 2 2 2 2 2 2 4 2 2" xfId="16169" xr:uid="{C0C503BA-ADAD-4A3E-A71B-8B064992F268}"/>
    <cellStyle name="Entrada 2 2 2 2 2 2 2 2 2 4 2 3" xfId="16170" xr:uid="{BE03776A-E4A6-4194-810F-7A72CF2B789C}"/>
    <cellStyle name="Entrada 2 2 2 2 2 2 2 2 2 4 2 4" xfId="16171" xr:uid="{1B4C911B-98F8-4B72-B268-45431AB7585E}"/>
    <cellStyle name="Entrada 2 2 2 2 2 2 2 2 2 4 2 5" xfId="16172" xr:uid="{B17DCCCF-8272-4B0B-B2A8-B9621E445D0F}"/>
    <cellStyle name="Entrada 2 2 2 2 2 2 2 2 2 4 3" xfId="16173" xr:uid="{AB8353DF-2534-436F-8D08-74B6554AA45E}"/>
    <cellStyle name="Entrada 2 2 2 2 2 2 2 2 2 4 4" xfId="16174" xr:uid="{B6BCB6D5-45F9-49A1-8032-2268585BDA3B}"/>
    <cellStyle name="Entrada 2 2 2 2 2 2 2 2 2 4 5" xfId="16175" xr:uid="{815103EC-2267-4314-853C-1B47204E1F06}"/>
    <cellStyle name="Entrada 2 2 2 2 2 2 2 2 2 4 6" xfId="16176" xr:uid="{643F9E0B-32EB-437F-B172-E9D386EA3350}"/>
    <cellStyle name="Entrada 2 2 2 2 2 2 2 2 2 5" xfId="16177" xr:uid="{FE0BDCB2-EBF9-40B8-BCA3-54257C516762}"/>
    <cellStyle name="Entrada 2 2 2 2 2 2 2 2 2 5 2" xfId="16178" xr:uid="{38E67134-502C-4055-B629-EEC8A41D0AA4}"/>
    <cellStyle name="Entrada 2 2 2 2 2 2 2 2 2 5 3" xfId="16179" xr:uid="{CFD82A11-7F00-451B-B7B7-CFF549C075DC}"/>
    <cellStyle name="Entrada 2 2 2 2 2 2 2 2 2 5 4" xfId="16180" xr:uid="{2373DB16-680A-4094-AE21-F4F9FACA34BA}"/>
    <cellStyle name="Entrada 2 2 2 2 2 2 2 2 2 5 5" xfId="16181" xr:uid="{CAF67CFE-48E3-417B-A29D-5217F923A857}"/>
    <cellStyle name="Entrada 2 2 2 2 2 2 2 2 2 6" xfId="16182" xr:uid="{108EF425-7E59-44B0-8059-8914DADCEE62}"/>
    <cellStyle name="Entrada 2 2 2 2 2 2 2 2 2 7" xfId="16183" xr:uid="{36184E4C-E7CB-4AE2-9E67-016E623B6542}"/>
    <cellStyle name="Entrada 2 2 2 2 2 2 2 2 2 8" xfId="16184" xr:uid="{FD31B4F5-87A5-401E-85EA-D25DF9C02577}"/>
    <cellStyle name="Entrada 2 2 2 2 2 2 2 2 2 9" xfId="16185" xr:uid="{F6B25996-2934-40B6-A219-0218414A17C3}"/>
    <cellStyle name="Entrada 2 2 2 2 2 2 2 2 3" xfId="16186" xr:uid="{DB36F89D-ECD3-45DA-B1B7-D1CDDE02A5B9}"/>
    <cellStyle name="Entrada 2 2 2 2 2 2 2 2 3 2" xfId="16187" xr:uid="{A59E3715-CA56-4356-AB24-F1996F405215}"/>
    <cellStyle name="Entrada 2 2 2 2 2 2 2 2 3 2 2" xfId="16188" xr:uid="{9CE9CA78-EEEE-4D60-9F60-341DC9C1A1F9}"/>
    <cellStyle name="Entrada 2 2 2 2 2 2 2 2 3 2 3" xfId="16189" xr:uid="{F711217F-DEEB-4A3B-8305-87D9C1F45F06}"/>
    <cellStyle name="Entrada 2 2 2 2 2 2 2 2 3 2 4" xfId="16190" xr:uid="{55512F6B-E74F-4BC6-AFB4-B0B6562F208A}"/>
    <cellStyle name="Entrada 2 2 2 2 2 2 2 2 3 2 5" xfId="16191" xr:uid="{37FC8B70-C67E-405E-B3E1-6B4BDF176545}"/>
    <cellStyle name="Entrada 2 2 2 2 2 2 2 2 3 3" xfId="16192" xr:uid="{06F8DB0B-65E3-43FA-B90C-C17A297CCB61}"/>
    <cellStyle name="Entrada 2 2 2 2 2 2 2 2 3 4" xfId="16193" xr:uid="{D933929A-6009-4F04-B03F-2AEA2F961970}"/>
    <cellStyle name="Entrada 2 2 2 2 2 2 2 2 3 5" xfId="16194" xr:uid="{28C235BD-7E1E-41F5-B20D-0D8A5BE9A757}"/>
    <cellStyle name="Entrada 2 2 2 2 2 2 2 2 3 6" xfId="16195" xr:uid="{952D6343-59B5-47EB-884E-7B35B3FB2F8D}"/>
    <cellStyle name="Entrada 2 2 2 2 2 2 2 2 4" xfId="16196" xr:uid="{8020AC4E-D3B6-44D7-BB43-DF81EC559EA5}"/>
    <cellStyle name="Entrada 2 2 2 2 2 2 2 2 4 2" xfId="16197" xr:uid="{148557F1-3651-4612-A530-7DDF9447DA44}"/>
    <cellStyle name="Entrada 2 2 2 2 2 2 2 2 4 2 2" xfId="16198" xr:uid="{B2DD626C-6FE0-4288-A96A-34A3498A58C9}"/>
    <cellStyle name="Entrada 2 2 2 2 2 2 2 2 4 2 3" xfId="16199" xr:uid="{6A026DB0-4857-447F-A790-2BDA80EAF4B6}"/>
    <cellStyle name="Entrada 2 2 2 2 2 2 2 2 4 2 4" xfId="16200" xr:uid="{33A906CC-B670-461E-8A73-772A701A2E58}"/>
    <cellStyle name="Entrada 2 2 2 2 2 2 2 2 4 2 5" xfId="16201" xr:uid="{70332B0D-092D-40ED-A2CC-285A45D8CB6E}"/>
    <cellStyle name="Entrada 2 2 2 2 2 2 2 2 4 3" xfId="16202" xr:uid="{5E14986E-651B-4A58-AF23-6CC20FD970FB}"/>
    <cellStyle name="Entrada 2 2 2 2 2 2 2 2 4 4" xfId="16203" xr:uid="{F2C23AFC-CB49-4481-8ADC-8664077E2CE4}"/>
    <cellStyle name="Entrada 2 2 2 2 2 2 2 2 4 5" xfId="16204" xr:uid="{AD7A428D-B405-4979-B339-F9A2900C130C}"/>
    <cellStyle name="Entrada 2 2 2 2 2 2 2 2 4 6" xfId="16205" xr:uid="{2AF2489E-91D6-40F5-8E64-70A1BFF0A828}"/>
    <cellStyle name="Entrada 2 2 2 2 2 2 2 2 5" xfId="16206" xr:uid="{14B091DD-62FF-477F-956A-89CE3C487261}"/>
    <cellStyle name="Entrada 2 2 2 2 2 2 2 2 5 2" xfId="16207" xr:uid="{B9F6B03C-C3A2-4E80-80C7-8AA19479DF95}"/>
    <cellStyle name="Entrada 2 2 2 2 2 2 2 2 5 2 2" xfId="16208" xr:uid="{A88BA720-0197-4487-BE81-1CACEBB9257C}"/>
    <cellStyle name="Entrada 2 2 2 2 2 2 2 2 5 2 3" xfId="16209" xr:uid="{22EBE948-1FB1-4F7E-8C2A-6EE1A272FDB8}"/>
    <cellStyle name="Entrada 2 2 2 2 2 2 2 2 5 2 4" xfId="16210" xr:uid="{84FDE709-1BD3-4E2D-BE8D-C31D85B600A5}"/>
    <cellStyle name="Entrada 2 2 2 2 2 2 2 2 5 2 5" xfId="16211" xr:uid="{FE492620-8C02-4EDE-A049-6329C2B1429A}"/>
    <cellStyle name="Entrada 2 2 2 2 2 2 2 2 5 3" xfId="16212" xr:uid="{22D5F352-7BBA-4788-B0EF-45F46A7566B7}"/>
    <cellStyle name="Entrada 2 2 2 2 2 2 2 2 5 4" xfId="16213" xr:uid="{4870A5C8-CE1C-4D30-ADE6-52A00C3DBD4F}"/>
    <cellStyle name="Entrada 2 2 2 2 2 2 2 2 5 5" xfId="16214" xr:uid="{367611A4-E954-4B31-A11D-84C30C260531}"/>
    <cellStyle name="Entrada 2 2 2 2 2 2 2 2 5 6" xfId="16215" xr:uid="{68953069-E484-4504-92D0-85B44ABFA770}"/>
    <cellStyle name="Entrada 2 2 2 2 2 2 2 2 6" xfId="16216" xr:uid="{FE87A9A3-DE41-489C-99E2-086AC18D9124}"/>
    <cellStyle name="Entrada 2 2 2 2 2 2 2 2 6 2" xfId="16217" xr:uid="{799390BC-D327-4AD6-B81A-2556A38F43AB}"/>
    <cellStyle name="Entrada 2 2 2 2 2 2 2 2 6 3" xfId="16218" xr:uid="{90902B57-487E-4718-9426-E6789BECC7D7}"/>
    <cellStyle name="Entrada 2 2 2 2 2 2 2 2 6 4" xfId="16219" xr:uid="{65219F15-C76C-4DBC-AF2B-C6172FD99428}"/>
    <cellStyle name="Entrada 2 2 2 2 2 2 2 2 6 5" xfId="16220" xr:uid="{0044B8FE-4636-4E7F-9C6E-73AC1EB89034}"/>
    <cellStyle name="Entrada 2 2 2 2 2 2 2 2 7" xfId="16221" xr:uid="{7085B103-F373-4FF1-8603-F56E7DA1969B}"/>
    <cellStyle name="Entrada 2 2 2 2 2 2 2 2 8" xfId="16222" xr:uid="{6E5E3459-FF56-49C0-B648-B9D78981A97F}"/>
    <cellStyle name="Entrada 2 2 2 2 2 2 2 2 9" xfId="16223" xr:uid="{F6FBD7F6-9B53-49E9-9930-978EC2A8C61C}"/>
    <cellStyle name="Entrada 2 2 2 2 2 2 2 3" xfId="16224" xr:uid="{3F85F299-4D0C-4AA5-A4AF-57DDE3D34030}"/>
    <cellStyle name="Entrada 2 2 2 2 2 2 2 3 10" xfId="16225" xr:uid="{05BA3D76-4EFF-4B10-8574-942BBF7C15E0}"/>
    <cellStyle name="Entrada 2 2 2 2 2 2 2 3 11" xfId="16226" xr:uid="{16343A71-77F8-4219-89FC-23D1003E6F8E}"/>
    <cellStyle name="Entrada 2 2 2 2 2 2 2 3 12" xfId="16227" xr:uid="{8601D172-C277-4E2A-84D7-52247244AA44}"/>
    <cellStyle name="Entrada 2 2 2 2 2 2 2 3 2" xfId="16228" xr:uid="{E9E32527-AAB0-4441-A053-46B80977D538}"/>
    <cellStyle name="Entrada 2 2 2 2 2 2 2 3 2 2" xfId="16229" xr:uid="{8341D26D-0660-41C7-9B24-018D644E5911}"/>
    <cellStyle name="Entrada 2 2 2 2 2 2 2 3 2 2 2" xfId="16230" xr:uid="{FCA47E9F-BE0D-4AED-8A36-5823F8D9DF2F}"/>
    <cellStyle name="Entrada 2 2 2 2 2 2 2 3 2 2 3" xfId="16231" xr:uid="{585741C5-2460-4DF4-ABB8-A489971CF97A}"/>
    <cellStyle name="Entrada 2 2 2 2 2 2 2 3 2 2 4" xfId="16232" xr:uid="{E07987FB-1513-43C9-8F98-2EC8E8293D67}"/>
    <cellStyle name="Entrada 2 2 2 2 2 2 2 3 2 2 5" xfId="16233" xr:uid="{061EF0C4-DE9E-46C8-87FC-E404F22A6301}"/>
    <cellStyle name="Entrada 2 2 2 2 2 2 2 3 2 3" xfId="16234" xr:uid="{EBD35C05-E271-41E4-994F-C339CA75FBE7}"/>
    <cellStyle name="Entrada 2 2 2 2 2 2 2 3 2 4" xfId="16235" xr:uid="{0F4E8A5F-F672-44CE-A6D3-DB066E04D88E}"/>
    <cellStyle name="Entrada 2 2 2 2 2 2 2 3 2 5" xfId="16236" xr:uid="{A7510C6B-6D85-4CB7-8E47-26316F6784BD}"/>
    <cellStyle name="Entrada 2 2 2 2 2 2 2 3 2 6" xfId="16237" xr:uid="{17DBC138-5E51-4751-94A2-3305A960883D}"/>
    <cellStyle name="Entrada 2 2 2 2 2 2 2 3 3" xfId="16238" xr:uid="{419B8474-2A86-4683-93D2-05C40A1C833B}"/>
    <cellStyle name="Entrada 2 2 2 2 2 2 2 3 3 2" xfId="16239" xr:uid="{3CB03A98-5E55-4D42-8371-5EFB39028422}"/>
    <cellStyle name="Entrada 2 2 2 2 2 2 2 3 3 2 2" xfId="16240" xr:uid="{68DEBF28-C292-455B-A2F2-91FBB3EB8DF6}"/>
    <cellStyle name="Entrada 2 2 2 2 2 2 2 3 3 2 3" xfId="16241" xr:uid="{FC9AFB14-A396-4EA8-8438-03BA75749087}"/>
    <cellStyle name="Entrada 2 2 2 2 2 2 2 3 3 2 4" xfId="16242" xr:uid="{C18CF203-695D-44C0-B168-C7A792279DF0}"/>
    <cellStyle name="Entrada 2 2 2 2 2 2 2 3 3 2 5" xfId="16243" xr:uid="{E3ADDD3E-947B-4B92-98A2-38E043EC1BE5}"/>
    <cellStyle name="Entrada 2 2 2 2 2 2 2 3 3 3" xfId="16244" xr:uid="{C01D3716-7ED7-4CD1-B209-ED9A618BE6E1}"/>
    <cellStyle name="Entrada 2 2 2 2 2 2 2 3 3 4" xfId="16245" xr:uid="{558A76F9-F752-4CD0-8F77-0699C1503FCB}"/>
    <cellStyle name="Entrada 2 2 2 2 2 2 2 3 3 5" xfId="16246" xr:uid="{0E16073F-ECC7-42B7-8FA7-43154767817D}"/>
    <cellStyle name="Entrada 2 2 2 2 2 2 2 3 3 6" xfId="16247" xr:uid="{56837A2B-E818-4A50-BB34-823BCD72B119}"/>
    <cellStyle name="Entrada 2 2 2 2 2 2 2 3 4" xfId="16248" xr:uid="{4FA72DE2-4D94-414B-A555-275CFBF59B7E}"/>
    <cellStyle name="Entrada 2 2 2 2 2 2 2 3 4 2" xfId="16249" xr:uid="{20AD19D9-6452-429A-BDA1-711EA408E8BE}"/>
    <cellStyle name="Entrada 2 2 2 2 2 2 2 3 4 2 2" xfId="16250" xr:uid="{B78FC264-ABAA-44B3-A8F9-B5C2235021BA}"/>
    <cellStyle name="Entrada 2 2 2 2 2 2 2 3 4 2 3" xfId="16251" xr:uid="{3EDE7A75-288E-43C6-81CA-3B5E7E686508}"/>
    <cellStyle name="Entrada 2 2 2 2 2 2 2 3 4 2 4" xfId="16252" xr:uid="{9F7F47D0-E47D-4865-B3CF-031DF863313C}"/>
    <cellStyle name="Entrada 2 2 2 2 2 2 2 3 4 2 5" xfId="16253" xr:uid="{C9AB0014-1DA1-4521-94CE-7B03AFA7451A}"/>
    <cellStyle name="Entrada 2 2 2 2 2 2 2 3 4 3" xfId="16254" xr:uid="{744E83EB-A592-412A-A12E-ABE72934B48D}"/>
    <cellStyle name="Entrada 2 2 2 2 2 2 2 3 4 4" xfId="16255" xr:uid="{CCB50569-4B25-45FC-A05E-028D0ED0E1B2}"/>
    <cellStyle name="Entrada 2 2 2 2 2 2 2 3 4 5" xfId="16256" xr:uid="{32D7404A-B14F-462D-8465-76290D68E206}"/>
    <cellStyle name="Entrada 2 2 2 2 2 2 2 3 4 6" xfId="16257" xr:uid="{A268FA3E-C42B-4F6A-8620-A1AC48D01504}"/>
    <cellStyle name="Entrada 2 2 2 2 2 2 2 3 5" xfId="16258" xr:uid="{C3948022-D6C1-4040-816E-F9EF72528434}"/>
    <cellStyle name="Entrada 2 2 2 2 2 2 2 3 5 2" xfId="16259" xr:uid="{F8D5B2C2-FB08-4D44-9D8A-1FE3104B7D7E}"/>
    <cellStyle name="Entrada 2 2 2 2 2 2 2 3 5 3" xfId="16260" xr:uid="{448A5BE6-1896-495F-873B-01ADEF950423}"/>
    <cellStyle name="Entrada 2 2 2 2 2 2 2 3 5 4" xfId="16261" xr:uid="{EBDE8311-A2D0-4CA7-9F24-495DEA7D05CB}"/>
    <cellStyle name="Entrada 2 2 2 2 2 2 2 3 5 5" xfId="16262" xr:uid="{C3BEBFE0-B2AD-473E-8BA2-9756CE5F1FDD}"/>
    <cellStyle name="Entrada 2 2 2 2 2 2 2 3 6" xfId="16263" xr:uid="{10FB7867-5D51-410A-8162-F8BA902E3F32}"/>
    <cellStyle name="Entrada 2 2 2 2 2 2 2 3 7" xfId="16264" xr:uid="{1A32D33D-824C-433D-AD72-E206D9A94924}"/>
    <cellStyle name="Entrada 2 2 2 2 2 2 2 3 8" xfId="16265" xr:uid="{C68A6C31-66D9-42F5-8487-F47F7EF57280}"/>
    <cellStyle name="Entrada 2 2 2 2 2 2 2 3 9" xfId="16266" xr:uid="{433495FC-C96B-410E-907A-4D2788F8A507}"/>
    <cellStyle name="Entrada 2 2 2 2 2 2 2 4" xfId="16267" xr:uid="{80E0AA56-439B-44F0-B5CF-5EBC18CEFD8C}"/>
    <cellStyle name="Entrada 2 2 2 2 2 2 2 4 2" xfId="16268" xr:uid="{24FC2524-3AF8-48B6-9092-F2C7F57DBA78}"/>
    <cellStyle name="Entrada 2 2 2 2 2 2 2 4 2 2" xfId="16269" xr:uid="{8A6F4E3C-3003-4286-87F3-306ACC3C0943}"/>
    <cellStyle name="Entrada 2 2 2 2 2 2 2 4 2 3" xfId="16270" xr:uid="{26977B4D-E2FB-43F4-AF0A-8D190A2250CD}"/>
    <cellStyle name="Entrada 2 2 2 2 2 2 2 4 2 4" xfId="16271" xr:uid="{DF71100F-FB7D-4A01-9BB4-497109757A61}"/>
    <cellStyle name="Entrada 2 2 2 2 2 2 2 4 2 5" xfId="16272" xr:uid="{D4518B26-1C56-4CC6-9C78-6EED0BE96F4B}"/>
    <cellStyle name="Entrada 2 2 2 2 2 2 2 4 3" xfId="16273" xr:uid="{301554AD-E731-4194-992C-7FB620E67686}"/>
    <cellStyle name="Entrada 2 2 2 2 2 2 2 4 4" xfId="16274" xr:uid="{4388DD81-3FDC-4BC4-BFBB-0B26F82986AB}"/>
    <cellStyle name="Entrada 2 2 2 2 2 2 2 4 5" xfId="16275" xr:uid="{AB40188D-F383-4F12-A20C-92E8D1089A0C}"/>
    <cellStyle name="Entrada 2 2 2 2 2 2 2 4 6" xfId="16276" xr:uid="{F8FFD6E5-231D-480B-B5BD-7AC82261DA75}"/>
    <cellStyle name="Entrada 2 2 2 2 2 2 2 5" xfId="16277" xr:uid="{3CE0A1A5-1618-4D77-8BE3-553A829AF893}"/>
    <cellStyle name="Entrada 2 2 2 2 2 2 2 5 2" xfId="16278" xr:uid="{2406576F-1420-4E16-87B8-FDE6FC3B8C00}"/>
    <cellStyle name="Entrada 2 2 2 2 2 2 2 5 2 2" xfId="16279" xr:uid="{8EBBAADC-B6BC-4512-BA3A-55750AC183C5}"/>
    <cellStyle name="Entrada 2 2 2 2 2 2 2 5 2 3" xfId="16280" xr:uid="{802C2A45-300F-4156-AD7A-2D40BB5CB5AE}"/>
    <cellStyle name="Entrada 2 2 2 2 2 2 2 5 2 4" xfId="16281" xr:uid="{E3BC82BE-E0CB-4436-918E-4B8E88E2C0F6}"/>
    <cellStyle name="Entrada 2 2 2 2 2 2 2 5 2 5" xfId="16282" xr:uid="{76520568-F33D-4F68-B775-1CAD7564A35F}"/>
    <cellStyle name="Entrada 2 2 2 2 2 2 2 5 3" xfId="16283" xr:uid="{105E7B98-3AFB-42E9-8E80-C93F5148D056}"/>
    <cellStyle name="Entrada 2 2 2 2 2 2 2 5 4" xfId="16284" xr:uid="{F9CA3861-A99A-4CA5-B9DD-8F825C49DB02}"/>
    <cellStyle name="Entrada 2 2 2 2 2 2 2 5 5" xfId="16285" xr:uid="{8FDA5B9C-C51C-45A0-9759-834699DF4827}"/>
    <cellStyle name="Entrada 2 2 2 2 2 2 2 5 6" xfId="16286" xr:uid="{3D9D1578-2539-439F-8314-6435C3AF2454}"/>
    <cellStyle name="Entrada 2 2 2 2 2 2 2 6" xfId="16287" xr:uid="{09DB23C3-5FDA-41ED-B8EB-3F5192A9DAD6}"/>
    <cellStyle name="Entrada 2 2 2 2 2 2 2 6 2" xfId="16288" xr:uid="{C6755CE6-ED1E-4B2F-9C53-AD6E40F0A403}"/>
    <cellStyle name="Entrada 2 2 2 2 2 2 2 6 3" xfId="16289" xr:uid="{758C9753-E221-4C44-B8CD-94456A356E52}"/>
    <cellStyle name="Entrada 2 2 2 2 2 2 2 6 4" xfId="16290" xr:uid="{56FAA15D-652D-4A75-BBB2-42DAAB52217A}"/>
    <cellStyle name="Entrada 2 2 2 2 2 2 2 6 5" xfId="16291" xr:uid="{4F15AAB5-4640-4FF8-9EE8-4F45EEB21D89}"/>
    <cellStyle name="Entrada 2 2 2 2 2 2 2 7" xfId="16292" xr:uid="{23D90E0B-B3C2-425F-B0A3-127803FE4907}"/>
    <cellStyle name="Entrada 2 2 2 2 2 2 2 8" xfId="16293" xr:uid="{02684139-3BC5-4644-BDC5-0CAA7A0FE6A4}"/>
    <cellStyle name="Entrada 2 2 2 2 2 2 2 9" xfId="16294" xr:uid="{81101684-166C-420A-A704-1AA0C5133B03}"/>
    <cellStyle name="Entrada 2 2 2 2 2 2 3" xfId="16295" xr:uid="{3BED62D4-7BBB-4A04-8C35-32444EDF782E}"/>
    <cellStyle name="Entrada 2 2 2 2 2 2 3 10" xfId="16296" xr:uid="{6223E652-0877-4535-9671-747CFFA7C042}"/>
    <cellStyle name="Entrada 2 2 2 2 2 2 3 11" xfId="16297" xr:uid="{0F40818A-8352-4E14-8E13-B4D2005CFAA7}"/>
    <cellStyle name="Entrada 2 2 2 2 2 2 3 12" xfId="16298" xr:uid="{6F44293D-D67F-48E7-AAB2-992672F64C70}"/>
    <cellStyle name="Entrada 2 2 2 2 2 2 3 2" xfId="16299" xr:uid="{7825C1FC-F7E8-4521-9178-E0C91E3D8096}"/>
    <cellStyle name="Entrada 2 2 2 2 2 2 3 2 10" xfId="16300" xr:uid="{C7FB73DB-B3DC-42C7-A4D5-507C49C998B8}"/>
    <cellStyle name="Entrada 2 2 2 2 2 2 3 2 11" xfId="16301" xr:uid="{7DCA6D97-6DA3-4844-946B-E7AF72FA3DE2}"/>
    <cellStyle name="Entrada 2 2 2 2 2 2 3 2 12" xfId="16302" xr:uid="{0FABF97F-DAE1-479A-BDFF-089D22BA0E54}"/>
    <cellStyle name="Entrada 2 2 2 2 2 2 3 2 2" xfId="16303" xr:uid="{3AA7A887-BAFB-48E5-9EA3-BF3B2A865332}"/>
    <cellStyle name="Entrada 2 2 2 2 2 2 3 2 2 2" xfId="16304" xr:uid="{DA7B017A-38E5-4B92-930E-99FFF56B74CD}"/>
    <cellStyle name="Entrada 2 2 2 2 2 2 3 2 2 2 2" xfId="16305" xr:uid="{0E9DFC93-5443-4769-A807-71AF6C701046}"/>
    <cellStyle name="Entrada 2 2 2 2 2 2 3 2 2 2 3" xfId="16306" xr:uid="{CA0FEFEB-2065-455F-94A8-A13921761169}"/>
    <cellStyle name="Entrada 2 2 2 2 2 2 3 2 2 2 4" xfId="16307" xr:uid="{52061BE6-A484-4792-8620-81E9B018C741}"/>
    <cellStyle name="Entrada 2 2 2 2 2 2 3 2 2 2 5" xfId="16308" xr:uid="{B92F745D-0358-4A1C-9029-AFC905FC2B8F}"/>
    <cellStyle name="Entrada 2 2 2 2 2 2 3 2 2 3" xfId="16309" xr:uid="{15B352C0-EA3C-41F6-8058-326BE64D9D9F}"/>
    <cellStyle name="Entrada 2 2 2 2 2 2 3 2 2 4" xfId="16310" xr:uid="{F6F10CBF-33CD-4C03-AE64-2F332C548255}"/>
    <cellStyle name="Entrada 2 2 2 2 2 2 3 2 2 5" xfId="16311" xr:uid="{036BBB3D-62CD-45BB-9080-A6C1DFDA7231}"/>
    <cellStyle name="Entrada 2 2 2 2 2 2 3 2 2 6" xfId="16312" xr:uid="{9E8FAB0E-5707-43B2-966A-7EA5DDFC96A5}"/>
    <cellStyle name="Entrada 2 2 2 2 2 2 3 2 3" xfId="16313" xr:uid="{9F0626E5-C965-42CD-879F-B3450AD5D98B}"/>
    <cellStyle name="Entrada 2 2 2 2 2 2 3 2 3 2" xfId="16314" xr:uid="{BBF220A2-B2E2-45B3-8CE0-958E5C71156E}"/>
    <cellStyle name="Entrada 2 2 2 2 2 2 3 2 3 2 2" xfId="16315" xr:uid="{006C5FF5-C030-40D8-A6CA-566188BD61FF}"/>
    <cellStyle name="Entrada 2 2 2 2 2 2 3 2 3 2 3" xfId="16316" xr:uid="{0C21A1B0-CBF9-4228-B1AF-7E4E8C8A2351}"/>
    <cellStyle name="Entrada 2 2 2 2 2 2 3 2 3 2 4" xfId="16317" xr:uid="{8BA5A2B2-23A3-4808-AFA5-B9A942FF8F43}"/>
    <cellStyle name="Entrada 2 2 2 2 2 2 3 2 3 2 5" xfId="16318" xr:uid="{DAD1F307-6897-4830-B337-12E6931CAD87}"/>
    <cellStyle name="Entrada 2 2 2 2 2 2 3 2 3 3" xfId="16319" xr:uid="{C5767C23-4711-4824-8A23-2D38A8970783}"/>
    <cellStyle name="Entrada 2 2 2 2 2 2 3 2 3 4" xfId="16320" xr:uid="{8236FE91-680D-46D9-B136-49768B2DC457}"/>
    <cellStyle name="Entrada 2 2 2 2 2 2 3 2 3 5" xfId="16321" xr:uid="{9707E474-2A82-4FB4-94DA-70D1708A4F1A}"/>
    <cellStyle name="Entrada 2 2 2 2 2 2 3 2 3 6" xfId="16322" xr:uid="{62AB03B4-C7E7-4477-A1B7-A44216BA022E}"/>
    <cellStyle name="Entrada 2 2 2 2 2 2 3 2 4" xfId="16323" xr:uid="{474DD956-3CC2-44C6-9CBB-02FBF451382C}"/>
    <cellStyle name="Entrada 2 2 2 2 2 2 3 2 4 2" xfId="16324" xr:uid="{F91612EB-9160-40E3-BEFE-32A0CF866F78}"/>
    <cellStyle name="Entrada 2 2 2 2 2 2 3 2 4 2 2" xfId="16325" xr:uid="{6DB95847-FB80-434A-9D9A-3746A1211B9A}"/>
    <cellStyle name="Entrada 2 2 2 2 2 2 3 2 4 2 3" xfId="16326" xr:uid="{00074961-9FA1-43D4-BD80-F7E60B60743E}"/>
    <cellStyle name="Entrada 2 2 2 2 2 2 3 2 4 2 4" xfId="16327" xr:uid="{5AA9B1A7-B79D-489D-8C3C-69786F081ACA}"/>
    <cellStyle name="Entrada 2 2 2 2 2 2 3 2 4 2 5" xfId="16328" xr:uid="{A45F9B31-781D-4868-8790-0100E000C999}"/>
    <cellStyle name="Entrada 2 2 2 2 2 2 3 2 4 3" xfId="16329" xr:uid="{A300BF45-05BF-4DF6-BA2E-D13F4CFEFB7B}"/>
    <cellStyle name="Entrada 2 2 2 2 2 2 3 2 4 4" xfId="16330" xr:uid="{F58C0496-F7B7-4F03-9126-10E3A943E839}"/>
    <cellStyle name="Entrada 2 2 2 2 2 2 3 2 4 5" xfId="16331" xr:uid="{8C35FC1D-24B6-45B6-81A8-EA362E317E3A}"/>
    <cellStyle name="Entrada 2 2 2 2 2 2 3 2 4 6" xfId="16332" xr:uid="{79DFAD34-19E1-4EBB-A2BF-8291D3D12131}"/>
    <cellStyle name="Entrada 2 2 2 2 2 2 3 2 5" xfId="16333" xr:uid="{3575FD20-002D-4E40-AE6F-C40F745413F2}"/>
    <cellStyle name="Entrada 2 2 2 2 2 2 3 2 5 2" xfId="16334" xr:uid="{3429A37A-FF63-4FB8-A584-2557BBEFF5B1}"/>
    <cellStyle name="Entrada 2 2 2 2 2 2 3 2 5 3" xfId="16335" xr:uid="{516B4546-35C5-4327-9D71-6D487F122BD4}"/>
    <cellStyle name="Entrada 2 2 2 2 2 2 3 2 5 4" xfId="16336" xr:uid="{6CF3C86C-4566-4D40-B48C-9D8FF16DFD2F}"/>
    <cellStyle name="Entrada 2 2 2 2 2 2 3 2 5 5" xfId="16337" xr:uid="{D94B7E0E-5A73-47D0-A149-5788B4D1DAEB}"/>
    <cellStyle name="Entrada 2 2 2 2 2 2 3 2 6" xfId="16338" xr:uid="{D46B7740-F59C-4867-BE97-FAF5BB3CB3E5}"/>
    <cellStyle name="Entrada 2 2 2 2 2 2 3 2 7" xfId="16339" xr:uid="{7A733299-E5DA-466C-8F14-CA9BDCD004AA}"/>
    <cellStyle name="Entrada 2 2 2 2 2 2 3 2 8" xfId="16340" xr:uid="{0F0680F9-9FED-4D6E-B356-9872C149EA92}"/>
    <cellStyle name="Entrada 2 2 2 2 2 2 3 2 9" xfId="16341" xr:uid="{CB5A650F-8968-419A-9AE2-401FBDA4F279}"/>
    <cellStyle name="Entrada 2 2 2 2 2 2 3 3" xfId="16342" xr:uid="{1D0DDEC0-825C-4A1D-B2BA-82505A65E325}"/>
    <cellStyle name="Entrada 2 2 2 2 2 2 3 3 2" xfId="16343" xr:uid="{B334D466-48B4-4E94-B440-5DD6EDB56B04}"/>
    <cellStyle name="Entrada 2 2 2 2 2 2 3 3 2 2" xfId="16344" xr:uid="{B3F9EFC3-498E-4603-85CA-39F969EE3FB8}"/>
    <cellStyle name="Entrada 2 2 2 2 2 2 3 3 2 3" xfId="16345" xr:uid="{A5E37DD9-8BA2-486D-AA15-6E91B89D2DE2}"/>
    <cellStyle name="Entrada 2 2 2 2 2 2 3 3 2 4" xfId="16346" xr:uid="{8401B920-9DE7-4135-86E0-E2BDE9400F25}"/>
    <cellStyle name="Entrada 2 2 2 2 2 2 3 3 2 5" xfId="16347" xr:uid="{B1351B11-702E-42EF-AD3C-97F27D81FB3B}"/>
    <cellStyle name="Entrada 2 2 2 2 2 2 3 3 3" xfId="16348" xr:uid="{1353E753-CAEF-47AE-BA2B-A586B72F28C6}"/>
    <cellStyle name="Entrada 2 2 2 2 2 2 3 3 4" xfId="16349" xr:uid="{6A7ABE7B-0255-449D-BE65-23D3DB97D039}"/>
    <cellStyle name="Entrada 2 2 2 2 2 2 3 3 5" xfId="16350" xr:uid="{C5725575-736B-49A0-B02E-A818396EDEC6}"/>
    <cellStyle name="Entrada 2 2 2 2 2 2 3 3 6" xfId="16351" xr:uid="{18EA7A10-612F-487A-B32C-C9D91F0683A1}"/>
    <cellStyle name="Entrada 2 2 2 2 2 2 3 4" xfId="16352" xr:uid="{F866F1B8-0A46-4599-B1F5-4D2EBEADAB96}"/>
    <cellStyle name="Entrada 2 2 2 2 2 2 3 4 2" xfId="16353" xr:uid="{65FCAB6D-3EDD-499D-A198-12C61237FEFC}"/>
    <cellStyle name="Entrada 2 2 2 2 2 2 3 4 2 2" xfId="16354" xr:uid="{01D9D328-B7DF-4933-9155-A96AF1782F90}"/>
    <cellStyle name="Entrada 2 2 2 2 2 2 3 4 2 3" xfId="16355" xr:uid="{2BA317AB-2620-4ED5-81D7-28D5C6B529B8}"/>
    <cellStyle name="Entrada 2 2 2 2 2 2 3 4 2 4" xfId="16356" xr:uid="{673A68D8-5647-4B5C-902A-B5DD34D6046F}"/>
    <cellStyle name="Entrada 2 2 2 2 2 2 3 4 2 5" xfId="16357" xr:uid="{E2B9B3B2-610E-4734-8397-D428DB84DB31}"/>
    <cellStyle name="Entrada 2 2 2 2 2 2 3 4 3" xfId="16358" xr:uid="{34B98A06-3220-403F-91AE-646B0C47888F}"/>
    <cellStyle name="Entrada 2 2 2 2 2 2 3 4 4" xfId="16359" xr:uid="{ECF68C37-7B2C-46D4-9FE0-B30261BF9C7F}"/>
    <cellStyle name="Entrada 2 2 2 2 2 2 3 4 5" xfId="16360" xr:uid="{1B3C9C46-392F-48B4-BBE0-381B74F43348}"/>
    <cellStyle name="Entrada 2 2 2 2 2 2 3 4 6" xfId="16361" xr:uid="{22058417-0188-4901-94B8-7D60C6A9BFD8}"/>
    <cellStyle name="Entrada 2 2 2 2 2 2 3 5" xfId="16362" xr:uid="{06E60235-2A55-47E9-8EFD-9DBC33AD05F1}"/>
    <cellStyle name="Entrada 2 2 2 2 2 2 3 5 2" xfId="16363" xr:uid="{114E71F8-5BC4-4C46-99F0-D3CDEC105790}"/>
    <cellStyle name="Entrada 2 2 2 2 2 2 3 5 3" xfId="16364" xr:uid="{FB939AE5-F55A-4CF8-B157-8468FC9EFF7B}"/>
    <cellStyle name="Entrada 2 2 2 2 2 2 3 5 4" xfId="16365" xr:uid="{E8ADCB39-441B-4040-9F7F-D55B86EE4DFE}"/>
    <cellStyle name="Entrada 2 2 2 2 2 2 3 5 5" xfId="16366" xr:uid="{71EC7EC9-3F0E-4F88-800C-4DA3B04F5BD7}"/>
    <cellStyle name="Entrada 2 2 2 2 2 2 3 6" xfId="16367" xr:uid="{B930CA0E-DDB2-431A-9A6A-603F3245CF77}"/>
    <cellStyle name="Entrada 2 2 2 2 2 2 3 7" xfId="16368" xr:uid="{F0768199-A40A-450A-B339-7DBEFD62CDEC}"/>
    <cellStyle name="Entrada 2 2 2 2 2 2 3 8" xfId="16369" xr:uid="{1E5D9792-0AC5-476C-8309-CF0982BDDD5F}"/>
    <cellStyle name="Entrada 2 2 2 2 2 2 3 9" xfId="16370" xr:uid="{5F8A728E-3A60-440A-94C9-DC094622B842}"/>
    <cellStyle name="Entrada 2 2 2 2 2 2 4" xfId="16371" xr:uid="{F051B2B8-2F65-4EBB-ADAE-FBBB63A16ED3}"/>
    <cellStyle name="Entrada 2 2 2 2 2 2 4 2" xfId="16372" xr:uid="{9B6874C6-EA5A-40E1-A6F1-53A85D4CA2A6}"/>
    <cellStyle name="Entrada 2 2 2 2 2 2 4 2 2" xfId="16373" xr:uid="{BE3232FC-4E93-44D1-9B35-593647FAE8EB}"/>
    <cellStyle name="Entrada 2 2 2 2 2 2 4 2 3" xfId="16374" xr:uid="{8562CD06-E821-48A2-A366-275DA504F58E}"/>
    <cellStyle name="Entrada 2 2 2 2 2 2 4 2 4" xfId="16375" xr:uid="{363D065F-17C1-4007-BED5-D30868C58AEC}"/>
    <cellStyle name="Entrada 2 2 2 2 2 2 4 2 5" xfId="16376" xr:uid="{64F93B92-2DFA-4927-9079-50E2A44A0A8C}"/>
    <cellStyle name="Entrada 2 2 2 2 2 2 4 3" xfId="16377" xr:uid="{6A458846-163A-4C07-A64A-1D89910926AD}"/>
    <cellStyle name="Entrada 2 2 2 2 2 2 4 4" xfId="16378" xr:uid="{C680C931-E317-4CCA-8FB1-73DA89487265}"/>
    <cellStyle name="Entrada 2 2 2 2 2 2 4 5" xfId="16379" xr:uid="{7F62DDC8-60CF-4475-86D7-23FA80065697}"/>
    <cellStyle name="Entrada 2 2 2 2 2 2 4 6" xfId="16380" xr:uid="{C224BCE4-71DB-488C-A550-18FEAEA05BB0}"/>
    <cellStyle name="Entrada 2 2 2 2 2 2 5" xfId="16381" xr:uid="{CAC7A508-E01A-4B7B-88D3-6724A1FF125B}"/>
    <cellStyle name="Entrada 2 2 2 2 2 2 5 2" xfId="16382" xr:uid="{D902465D-25AB-4200-8AEB-900BEDDE93B4}"/>
    <cellStyle name="Entrada 2 2 2 2 2 2 5 2 2" xfId="16383" xr:uid="{32EF1668-E934-4A77-A685-AC222D9F9FC6}"/>
    <cellStyle name="Entrada 2 2 2 2 2 2 5 2 3" xfId="16384" xr:uid="{05A75170-DEB8-4254-8761-367366EFCF0A}"/>
    <cellStyle name="Entrada 2 2 2 2 2 2 5 2 4" xfId="16385" xr:uid="{0DD845AA-132B-45E3-9D0E-BC736D3263CB}"/>
    <cellStyle name="Entrada 2 2 2 2 2 2 5 2 5" xfId="16386" xr:uid="{8F94F833-7CFC-49D1-A233-7C264DE0294A}"/>
    <cellStyle name="Entrada 2 2 2 2 2 2 5 3" xfId="16387" xr:uid="{F7B2AFCC-5AF2-434C-B1BF-62787A81B92D}"/>
    <cellStyle name="Entrada 2 2 2 2 2 2 5 4" xfId="16388" xr:uid="{99EB3A65-4CB0-4DD6-AF07-50EECDCAC70A}"/>
    <cellStyle name="Entrada 2 2 2 2 2 2 5 5" xfId="16389" xr:uid="{BBE5ABA0-23E6-4533-AC32-861650EC9DD5}"/>
    <cellStyle name="Entrada 2 2 2 2 2 2 5 6" xfId="16390" xr:uid="{3E30916B-8171-4FF4-9AD1-FC8931FAF1F0}"/>
    <cellStyle name="Entrada 2 2 2 2 2 2 6" xfId="16391" xr:uid="{AC20DB0F-93B6-4B79-9A54-651A08A11C6B}"/>
    <cellStyle name="Entrada 2 2 2 2 2 2 6 2" xfId="16392" xr:uid="{D66EEF9D-18CA-4D7F-9673-8A254C97D5C9}"/>
    <cellStyle name="Entrada 2 2 2 2 2 2 6 2 2" xfId="16393" xr:uid="{B50889A8-6EBC-402D-AF1F-9006412E7FAF}"/>
    <cellStyle name="Entrada 2 2 2 2 2 2 6 2 3" xfId="16394" xr:uid="{A4E78F8B-0892-41DC-B12B-016287A2744B}"/>
    <cellStyle name="Entrada 2 2 2 2 2 2 6 2 4" xfId="16395" xr:uid="{9929B725-12FC-4ED9-AC11-EBAD18FF1085}"/>
    <cellStyle name="Entrada 2 2 2 2 2 2 6 2 5" xfId="16396" xr:uid="{68A5658E-2D73-4A36-8945-9503904D0950}"/>
    <cellStyle name="Entrada 2 2 2 2 2 2 6 3" xfId="16397" xr:uid="{FA3F5213-C554-4FE2-AC03-6CF87CE0F1FB}"/>
    <cellStyle name="Entrada 2 2 2 2 2 2 6 4" xfId="16398" xr:uid="{59F69AEA-39C8-4370-871E-2CA5A0C642EA}"/>
    <cellStyle name="Entrada 2 2 2 2 2 2 6 5" xfId="16399" xr:uid="{F2EE7096-8E87-46F6-9237-CFC4B19C2351}"/>
    <cellStyle name="Entrada 2 2 2 2 2 2 6 6" xfId="16400" xr:uid="{62836AF2-997D-4BC8-B3A8-A494EC37857A}"/>
    <cellStyle name="Entrada 2 2 2 2 2 2 7" xfId="16401" xr:uid="{A7B57815-74A0-46DE-8E3D-D2D0E1357A95}"/>
    <cellStyle name="Entrada 2 2 2 2 2 2 7 2" xfId="16402" xr:uid="{76AABD43-C6CA-457F-8B74-DBB795A48F59}"/>
    <cellStyle name="Entrada 2 2 2 2 2 2 7 3" xfId="16403" xr:uid="{EE410050-36FA-41CF-BCB1-0AEC84AFD7B6}"/>
    <cellStyle name="Entrada 2 2 2 2 2 2 7 4" xfId="16404" xr:uid="{9DEC2DE3-1444-4238-B314-1C0164ABB035}"/>
    <cellStyle name="Entrada 2 2 2 2 2 2 7 5" xfId="16405" xr:uid="{44669C35-251D-4DBA-A67C-7E379EA8980A}"/>
    <cellStyle name="Entrada 2 2 2 2 2 2 8" xfId="16406" xr:uid="{4463ADDA-2D29-48F8-9968-659E27297042}"/>
    <cellStyle name="Entrada 2 2 2 2 2 2 9" xfId="16407" xr:uid="{E5D2CE34-A108-43E0-BA30-1FC2CB50562D}"/>
    <cellStyle name="Entrada 2 2 2 2 2 3" xfId="16408" xr:uid="{EA7A78BB-56EC-496C-9B24-C0172A5B1D76}"/>
    <cellStyle name="Entrada 2 2 2 2 2 3 10" xfId="16409" xr:uid="{00B8E6B1-0B52-422E-B085-BB207A18670D}"/>
    <cellStyle name="Entrada 2 2 2 2 2 3 11" xfId="16410" xr:uid="{8C3EFFAF-A29F-467B-AB31-F1FA2A50911C}"/>
    <cellStyle name="Entrada 2 2 2 2 2 3 12" xfId="16411" xr:uid="{79CB067A-5B0B-400E-94EA-7773A24A0896}"/>
    <cellStyle name="Entrada 2 2 2 2 2 3 2" xfId="16412" xr:uid="{9ADFCD63-547C-4C6A-B1D7-930A1F3E518D}"/>
    <cellStyle name="Entrada 2 2 2 2 2 3 2 10" xfId="16413" xr:uid="{0EA0F425-AFF9-4EF2-AF2E-B234A3825ECE}"/>
    <cellStyle name="Entrada 2 2 2 2 2 3 2 11" xfId="16414" xr:uid="{EAB191CA-4143-4847-A42D-2EFA9B8F069B}"/>
    <cellStyle name="Entrada 2 2 2 2 2 3 2 12" xfId="16415" xr:uid="{DC0BA206-A7A7-42AD-BCDF-AEE5CCD0ADD0}"/>
    <cellStyle name="Entrada 2 2 2 2 2 3 2 2" xfId="16416" xr:uid="{43367FC8-4C93-4F9E-B087-3F3ADA0D237F}"/>
    <cellStyle name="Entrada 2 2 2 2 2 3 2 2 2" xfId="16417" xr:uid="{03A806EE-5E36-4307-8477-E28BA43996AB}"/>
    <cellStyle name="Entrada 2 2 2 2 2 3 2 2 2 2" xfId="16418" xr:uid="{D888FC9F-F6A0-4190-94C7-D8924DD3F652}"/>
    <cellStyle name="Entrada 2 2 2 2 2 3 2 2 2 3" xfId="16419" xr:uid="{8FD3A20E-6400-4251-A6CB-5396DE8CD8F6}"/>
    <cellStyle name="Entrada 2 2 2 2 2 3 2 2 2 4" xfId="16420" xr:uid="{976965DD-1513-41ED-B378-A45C19149C19}"/>
    <cellStyle name="Entrada 2 2 2 2 2 3 2 2 2 5" xfId="16421" xr:uid="{B2AAD189-1A35-4AAD-A9CC-5E5262B88074}"/>
    <cellStyle name="Entrada 2 2 2 2 2 3 2 2 3" xfId="16422" xr:uid="{97ADBF40-EBA8-416C-9EC2-25EF2D391B6A}"/>
    <cellStyle name="Entrada 2 2 2 2 2 3 2 2 4" xfId="16423" xr:uid="{43802DFE-6D52-48E7-B782-A9E2A74170D6}"/>
    <cellStyle name="Entrada 2 2 2 2 2 3 2 2 5" xfId="16424" xr:uid="{BF9F4E21-8D7E-43FF-B721-A6020AB38A3E}"/>
    <cellStyle name="Entrada 2 2 2 2 2 3 2 2 6" xfId="16425" xr:uid="{EE60B13B-C695-4ADF-83AA-131DB6AF5F2C}"/>
    <cellStyle name="Entrada 2 2 2 2 2 3 2 3" xfId="16426" xr:uid="{C4E6AE1C-C9D6-441E-A43D-5D47418442DA}"/>
    <cellStyle name="Entrada 2 2 2 2 2 3 2 3 2" xfId="16427" xr:uid="{762E8BBB-B836-44EA-A139-E703E1072AFC}"/>
    <cellStyle name="Entrada 2 2 2 2 2 3 2 3 2 2" xfId="16428" xr:uid="{CBB3350D-DDEE-4010-96CB-9BEDA574D734}"/>
    <cellStyle name="Entrada 2 2 2 2 2 3 2 3 2 3" xfId="16429" xr:uid="{43EDFD59-4260-4ACE-83D3-2D26B4F1A8F6}"/>
    <cellStyle name="Entrada 2 2 2 2 2 3 2 3 2 4" xfId="16430" xr:uid="{A3D4CA9C-B093-492E-9A0D-7D409E26BDB8}"/>
    <cellStyle name="Entrada 2 2 2 2 2 3 2 3 2 5" xfId="16431" xr:uid="{E2A4B991-3954-49D6-820D-1CFD4DD0C122}"/>
    <cellStyle name="Entrada 2 2 2 2 2 3 2 3 3" xfId="16432" xr:uid="{3295BF2E-C0F6-4B04-9705-E7A80D4C23AD}"/>
    <cellStyle name="Entrada 2 2 2 2 2 3 2 3 4" xfId="16433" xr:uid="{1064ED0D-8BB2-4F62-9EF3-3EFB3D834EB5}"/>
    <cellStyle name="Entrada 2 2 2 2 2 3 2 3 5" xfId="16434" xr:uid="{CDA88F76-8951-4055-AD7A-B43BB246E4B1}"/>
    <cellStyle name="Entrada 2 2 2 2 2 3 2 3 6" xfId="16435" xr:uid="{167F5EE2-9853-441E-97D5-9BAEBAE649D0}"/>
    <cellStyle name="Entrada 2 2 2 2 2 3 2 4" xfId="16436" xr:uid="{C03CDB79-0FF9-4882-83F0-3A8D5455E8E2}"/>
    <cellStyle name="Entrada 2 2 2 2 2 3 2 4 2" xfId="16437" xr:uid="{CEEDC58E-1201-458A-B76A-664FD35D511F}"/>
    <cellStyle name="Entrada 2 2 2 2 2 3 2 4 2 2" xfId="16438" xr:uid="{2A348214-A7FD-43F0-98C8-A8E90A297122}"/>
    <cellStyle name="Entrada 2 2 2 2 2 3 2 4 2 3" xfId="16439" xr:uid="{0CC46713-1B80-4750-9BF6-65CACBA27158}"/>
    <cellStyle name="Entrada 2 2 2 2 2 3 2 4 2 4" xfId="16440" xr:uid="{E7889303-CDB7-4DC1-B994-F4F29FFEC30E}"/>
    <cellStyle name="Entrada 2 2 2 2 2 3 2 4 2 5" xfId="16441" xr:uid="{E38B3EA4-49E8-43AB-BE8C-C7A8EBDB0B89}"/>
    <cellStyle name="Entrada 2 2 2 2 2 3 2 4 3" xfId="16442" xr:uid="{30096764-62BE-4CF8-A2C2-3B9E9822D55D}"/>
    <cellStyle name="Entrada 2 2 2 2 2 3 2 4 4" xfId="16443" xr:uid="{BD33F788-D0ED-46CD-BC69-145EACDF0894}"/>
    <cellStyle name="Entrada 2 2 2 2 2 3 2 4 5" xfId="16444" xr:uid="{20B434CD-7983-48E4-B70B-4F83CEEAF280}"/>
    <cellStyle name="Entrada 2 2 2 2 2 3 2 4 6" xfId="16445" xr:uid="{85F7B1B3-1F34-417A-8683-5B03C8F08636}"/>
    <cellStyle name="Entrada 2 2 2 2 2 3 2 5" xfId="16446" xr:uid="{BEDBE6F5-7479-4878-8DFD-4346D1FE4FF9}"/>
    <cellStyle name="Entrada 2 2 2 2 2 3 2 5 2" xfId="16447" xr:uid="{46E2340C-1FF7-4A7A-BB7F-DB36B734EDFA}"/>
    <cellStyle name="Entrada 2 2 2 2 2 3 2 5 3" xfId="16448" xr:uid="{B0C84423-1F56-4FD6-84F4-6590A3B43544}"/>
    <cellStyle name="Entrada 2 2 2 2 2 3 2 5 4" xfId="16449" xr:uid="{C082028E-1D2E-4EA7-9A02-5F6FBC55A77A}"/>
    <cellStyle name="Entrada 2 2 2 2 2 3 2 5 5" xfId="16450" xr:uid="{C7B71F31-08A2-46FD-9AF0-CFD57F26EC55}"/>
    <cellStyle name="Entrada 2 2 2 2 2 3 2 6" xfId="16451" xr:uid="{307B7EFA-30A6-46FB-AD15-154121C6ED04}"/>
    <cellStyle name="Entrada 2 2 2 2 2 3 2 7" xfId="16452" xr:uid="{9963C092-A9D6-43D2-B337-4A6E7CC4BFB9}"/>
    <cellStyle name="Entrada 2 2 2 2 2 3 2 8" xfId="16453" xr:uid="{27349839-16B0-4A85-AD6E-DF9159863589}"/>
    <cellStyle name="Entrada 2 2 2 2 2 3 2 9" xfId="16454" xr:uid="{805C8C99-6E05-4692-B43C-D4F27E91B8AC}"/>
    <cellStyle name="Entrada 2 2 2 2 2 3 3" xfId="16455" xr:uid="{750A9677-84B4-4BF0-959F-59A3DCE4FCBC}"/>
    <cellStyle name="Entrada 2 2 2 2 2 3 3 2" xfId="16456" xr:uid="{9B8CDE75-0CB3-4D81-91FC-4AEAB033C4E1}"/>
    <cellStyle name="Entrada 2 2 2 2 2 3 3 2 2" xfId="16457" xr:uid="{0C5E665F-52BD-45B9-948C-054C8255F188}"/>
    <cellStyle name="Entrada 2 2 2 2 2 3 3 2 3" xfId="16458" xr:uid="{BE7D00B7-697E-47EB-A79D-AFA065BD6A24}"/>
    <cellStyle name="Entrada 2 2 2 2 2 3 3 2 4" xfId="16459" xr:uid="{5F2C6FEB-6225-4243-AC35-63483A561BF3}"/>
    <cellStyle name="Entrada 2 2 2 2 2 3 3 2 5" xfId="16460" xr:uid="{C7EB1F9A-EB9D-47B2-915B-7381799D5ECA}"/>
    <cellStyle name="Entrada 2 2 2 2 2 3 3 3" xfId="16461" xr:uid="{C268228A-F94E-4E2D-84DB-514C01B2AF63}"/>
    <cellStyle name="Entrada 2 2 2 2 2 3 3 4" xfId="16462" xr:uid="{43884598-FE9B-4AC6-994E-1B163E3E9A63}"/>
    <cellStyle name="Entrada 2 2 2 2 2 3 3 5" xfId="16463" xr:uid="{66B13D20-0A79-4511-BF83-BDC146BF444B}"/>
    <cellStyle name="Entrada 2 2 2 2 2 3 3 6" xfId="16464" xr:uid="{C490E70B-0E8E-4F42-B7DD-31F3073990B7}"/>
    <cellStyle name="Entrada 2 2 2 2 2 3 4" xfId="16465" xr:uid="{2233FC39-2F23-4A41-ACD1-C0E173D0161B}"/>
    <cellStyle name="Entrada 2 2 2 2 2 3 4 2" xfId="16466" xr:uid="{80B963BC-E0A8-4639-A47D-78333F33653E}"/>
    <cellStyle name="Entrada 2 2 2 2 2 3 4 2 2" xfId="16467" xr:uid="{96CB95C4-CBDE-4D00-B807-5261B1FE2DD4}"/>
    <cellStyle name="Entrada 2 2 2 2 2 3 4 2 3" xfId="16468" xr:uid="{59C18EC9-C4C7-4445-8A16-E7162DC987C0}"/>
    <cellStyle name="Entrada 2 2 2 2 2 3 4 2 4" xfId="16469" xr:uid="{7040EDD0-FAAF-422B-B770-AD7F5AB52B00}"/>
    <cellStyle name="Entrada 2 2 2 2 2 3 4 2 5" xfId="16470" xr:uid="{38585423-A06B-4A41-8080-9FB53F4FA291}"/>
    <cellStyle name="Entrada 2 2 2 2 2 3 4 3" xfId="16471" xr:uid="{663704FD-8A8F-4E5C-9B4A-82DBE8A1F6CF}"/>
    <cellStyle name="Entrada 2 2 2 2 2 3 4 4" xfId="16472" xr:uid="{845026AF-84A6-419E-A699-D930CE6E36A5}"/>
    <cellStyle name="Entrada 2 2 2 2 2 3 4 5" xfId="16473" xr:uid="{16B16D78-912B-4457-B1BB-99CEA4843E96}"/>
    <cellStyle name="Entrada 2 2 2 2 2 3 4 6" xfId="16474" xr:uid="{9E8C49B2-F75A-4B21-ADB0-AD9BA9F71040}"/>
    <cellStyle name="Entrada 2 2 2 2 2 3 5" xfId="16475" xr:uid="{32673620-2260-4317-B4A6-E62FEAC501AA}"/>
    <cellStyle name="Entrada 2 2 2 2 2 3 5 2" xfId="16476" xr:uid="{0F81109A-7F16-40AA-BB15-3CE36785EF1E}"/>
    <cellStyle name="Entrada 2 2 2 2 2 3 5 3" xfId="16477" xr:uid="{8A82255D-D98B-46EB-A143-9600860BFACA}"/>
    <cellStyle name="Entrada 2 2 2 2 2 3 5 4" xfId="16478" xr:uid="{14973BC0-AEA0-42B3-BE5E-16F2E9C9ED79}"/>
    <cellStyle name="Entrada 2 2 2 2 2 3 5 5" xfId="16479" xr:uid="{72BA5032-522C-4948-8F75-E1DA7C18CD71}"/>
    <cellStyle name="Entrada 2 2 2 2 2 3 6" xfId="16480" xr:uid="{918F9932-8CFC-4708-9119-35E4BC0643FD}"/>
    <cellStyle name="Entrada 2 2 2 2 2 3 7" xfId="16481" xr:uid="{CB52BB19-1017-4D0D-867F-B078BE25F89F}"/>
    <cellStyle name="Entrada 2 2 2 2 2 3 8" xfId="16482" xr:uid="{B2A89E6A-AAC8-40C6-9DCF-0145771E47FA}"/>
    <cellStyle name="Entrada 2 2 2 2 2 3 9" xfId="16483" xr:uid="{E3B8F901-27B9-4369-B738-879230F3D0B5}"/>
    <cellStyle name="Entrada 2 2 2 2 2 4" xfId="16484" xr:uid="{D2D66C03-D448-4D28-8FF7-EDA9A1ED6BA7}"/>
    <cellStyle name="Entrada 2 2 2 2 2 4 2" xfId="16485" xr:uid="{AB097E7D-8A8E-40C0-AA8A-AE29F8D138A8}"/>
    <cellStyle name="Entrada 2 2 2 2 2 4 2 2" xfId="16486" xr:uid="{6E9006B8-060C-4509-8960-8405FABF7222}"/>
    <cellStyle name="Entrada 2 2 2 2 2 4 2 3" xfId="16487" xr:uid="{35C96292-19FD-408F-9580-B470929BB820}"/>
    <cellStyle name="Entrada 2 2 2 2 2 4 2 4" xfId="16488" xr:uid="{2488492A-0756-49E1-956D-00AA82265847}"/>
    <cellStyle name="Entrada 2 2 2 2 2 4 2 5" xfId="16489" xr:uid="{61C9A021-E211-42E5-A9BB-0E92A47FA5B2}"/>
    <cellStyle name="Entrada 2 2 2 2 2 4 3" xfId="16490" xr:uid="{D982B917-EBDE-47CE-8141-E5C1B23D0435}"/>
    <cellStyle name="Entrada 2 2 2 2 2 4 4" xfId="16491" xr:uid="{862AEC34-5DBE-4125-898C-7A077732AED5}"/>
    <cellStyle name="Entrada 2 2 2 2 2 4 5" xfId="16492" xr:uid="{7690983B-3BD9-4318-82AF-96081D8DA489}"/>
    <cellStyle name="Entrada 2 2 2 2 2 4 6" xfId="16493" xr:uid="{3A04FEC3-C21C-4BE1-B5E9-877B1D38BF65}"/>
    <cellStyle name="Entrada 2 2 2 2 2 5" xfId="16494" xr:uid="{2F4A3219-AE03-44B6-AF27-DAA2F7C66A32}"/>
    <cellStyle name="Entrada 2 2 2 2 2 5 2" xfId="16495" xr:uid="{858EFA74-7C04-435A-AAD6-6C3452AD1695}"/>
    <cellStyle name="Entrada 2 2 2 2 2 5 2 2" xfId="16496" xr:uid="{87FC7A6E-0E33-4ABE-A971-F5F507501231}"/>
    <cellStyle name="Entrada 2 2 2 2 2 5 2 3" xfId="16497" xr:uid="{C68BAD67-EF22-4D81-851D-73CC0D19D17F}"/>
    <cellStyle name="Entrada 2 2 2 2 2 5 2 4" xfId="16498" xr:uid="{AE9D0746-C523-41D6-AC27-4F950970CB1A}"/>
    <cellStyle name="Entrada 2 2 2 2 2 5 2 5" xfId="16499" xr:uid="{3303AB35-ADA8-4308-8E50-7695BA3BA945}"/>
    <cellStyle name="Entrada 2 2 2 2 2 5 3" xfId="16500" xr:uid="{345FB1CB-78E4-47D7-8E0A-CD2A2EE15D97}"/>
    <cellStyle name="Entrada 2 2 2 2 2 5 4" xfId="16501" xr:uid="{FC9453D6-F2A1-4CDA-9F6D-13B452B4F577}"/>
    <cellStyle name="Entrada 2 2 2 2 2 5 5" xfId="16502" xr:uid="{39CC4871-A2A2-4A81-8AD4-F92F3201B875}"/>
    <cellStyle name="Entrada 2 2 2 2 2 5 6" xfId="16503" xr:uid="{6DA92439-18AA-4B09-9241-E8075056A71C}"/>
    <cellStyle name="Entrada 2 2 2 2 2 6" xfId="16504" xr:uid="{87C0C1BF-9162-4925-A4AF-0593B286ACD3}"/>
    <cellStyle name="Entrada 2 2 2 2 2 6 2" xfId="16505" xr:uid="{86F14CB9-9D76-4A77-A3A7-4CA3EE131AED}"/>
    <cellStyle name="Entrada 2 2 2 2 2 6 2 2" xfId="16506" xr:uid="{8B762517-E0D7-407B-92F9-224FAACF8C20}"/>
    <cellStyle name="Entrada 2 2 2 2 2 6 2 3" xfId="16507" xr:uid="{51790AAC-DCBA-4C9C-8E50-C8BD728B1D55}"/>
    <cellStyle name="Entrada 2 2 2 2 2 6 2 4" xfId="16508" xr:uid="{A97D2A83-FA9F-45A6-8109-3E6515C66DE0}"/>
    <cellStyle name="Entrada 2 2 2 2 2 6 2 5" xfId="16509" xr:uid="{D05F90FA-4D3B-4B96-B8A0-22DD1C74E290}"/>
    <cellStyle name="Entrada 2 2 2 2 2 6 3" xfId="16510" xr:uid="{FD4F5F5D-5DCA-4DE3-AD3D-B1B1D5521EA7}"/>
    <cellStyle name="Entrada 2 2 2 2 2 6 4" xfId="16511" xr:uid="{7AEDE3F4-D1FB-4CE5-92B4-993726B8543E}"/>
    <cellStyle name="Entrada 2 2 2 2 2 6 5" xfId="16512" xr:uid="{C1D5D38B-951B-48AB-A821-10270DF366BD}"/>
    <cellStyle name="Entrada 2 2 2 2 2 6 6" xfId="16513" xr:uid="{FF7CB43D-3A13-4F24-BFAC-FC9C41F6737B}"/>
    <cellStyle name="Entrada 2 2 2 2 2 7" xfId="16514" xr:uid="{54A9B0C2-4D63-46F3-8417-25DF2B133C92}"/>
    <cellStyle name="Entrada 2 2 2 2 2 7 2" xfId="16515" xr:uid="{8BF4FF7E-2969-4D5F-8094-86674E3764F5}"/>
    <cellStyle name="Entrada 2 2 2 2 2 7 3" xfId="16516" xr:uid="{00C5DD5A-8703-41CA-A692-7A68622F2909}"/>
    <cellStyle name="Entrada 2 2 2 2 2 7 4" xfId="16517" xr:uid="{A87ECBB0-BB59-4E3F-BEF3-71091263ECBB}"/>
    <cellStyle name="Entrada 2 2 2 2 2 7 5" xfId="16518" xr:uid="{0571F789-D527-49D2-BF66-E844D3CE988B}"/>
    <cellStyle name="Entrada 2 2 2 2 2 8" xfId="16519" xr:uid="{1E5BEAB1-FC04-4442-812B-29497AAD07E3}"/>
    <cellStyle name="Entrada 2 2 2 2 2 9" xfId="16520" xr:uid="{2E5F5FC8-1BD9-4968-B051-55051757ABC6}"/>
    <cellStyle name="Entrada 2 2 2 2 3" xfId="16521" xr:uid="{E8C3F73A-2E02-4769-80C0-A7932BA1F259}"/>
    <cellStyle name="Entrada 2 2 2 2 3 2" xfId="16522" xr:uid="{5BF18E5F-D260-4276-8D7D-D8AB262EC3E1}"/>
    <cellStyle name="Entrada 2 2 2 2 3 2 2" xfId="16523" xr:uid="{BC3C3CAC-2E5A-4723-928E-9EF6BA516D4A}"/>
    <cellStyle name="Entrada 2 2 2 2 3 2 3" xfId="16524" xr:uid="{4592A168-84D2-4693-B749-F6678A03D5C8}"/>
    <cellStyle name="Entrada 2 2 2 2 3 2 4" xfId="16525" xr:uid="{3C8A6353-6916-4901-B050-241099921713}"/>
    <cellStyle name="Entrada 2 2 2 2 3 2 5" xfId="16526" xr:uid="{6D1D9D26-6792-46F9-B3CD-343B2EAFF8E1}"/>
    <cellStyle name="Entrada 2 2 2 2 3 3" xfId="16527" xr:uid="{54CA96C3-F3B3-48B6-85B3-05AAF165B46E}"/>
    <cellStyle name="Entrada 2 2 2 2 3 4" xfId="16528" xr:uid="{40AB1D4B-1FBF-4DF0-B0CA-BCDA79AFA423}"/>
    <cellStyle name="Entrada 2 2 2 2 3 5" xfId="16529" xr:uid="{9A1812F7-9CA3-4874-8DB8-F9FB7F3DC05A}"/>
    <cellStyle name="Entrada 2 2 2 2 3 6" xfId="16530" xr:uid="{69CB8E8C-0247-4E68-8957-F5807FD1121D}"/>
    <cellStyle name="Entrada 2 2 2 2 3 7" xfId="16531" xr:uid="{BB97A44E-518F-4C15-BA81-F9E0255293DF}"/>
    <cellStyle name="Entrada 2 2 2 2 3 8" xfId="16532" xr:uid="{431A81FF-7DDE-45CA-A7A6-C32670DC5478}"/>
    <cellStyle name="Entrada 2 2 2 2 3 9" xfId="16533" xr:uid="{B6512217-0592-4AAD-8505-6CC8E92CD288}"/>
    <cellStyle name="Entrada 2 2 2 2 4" xfId="16534" xr:uid="{05C1F42B-C0E3-43DB-A722-33178BF6FAAF}"/>
    <cellStyle name="Entrada 2 2 2 2 4 10" xfId="16535" xr:uid="{2F70669D-8A09-4446-81F6-DE3D7285C6CD}"/>
    <cellStyle name="Entrada 2 2 2 2 4 11" xfId="16536" xr:uid="{BD36E009-3C59-4CB0-A3B5-C40A43815DA5}"/>
    <cellStyle name="Entrada 2 2 2 2 4 12" xfId="16537" xr:uid="{317376FB-3E92-40F6-8539-A90593EE4490}"/>
    <cellStyle name="Entrada 2 2 2 2 4 2" xfId="16538" xr:uid="{E04381A5-AF8B-48A1-9325-7A2186592132}"/>
    <cellStyle name="Entrada 2 2 2 2 4 2 10" xfId="16539" xr:uid="{AAE87FE1-9D50-4A23-BB62-696014F7235F}"/>
    <cellStyle name="Entrada 2 2 2 2 4 2 11" xfId="16540" xr:uid="{510710CA-513F-4507-BD27-E6AA5ADD1D21}"/>
    <cellStyle name="Entrada 2 2 2 2 4 2 12" xfId="16541" xr:uid="{8BBDE71C-08B0-4C15-A317-A3FA4A16CEC9}"/>
    <cellStyle name="Entrada 2 2 2 2 4 2 2" xfId="16542" xr:uid="{8F7A7577-135C-45FB-80E0-81B09E452397}"/>
    <cellStyle name="Entrada 2 2 2 2 4 2 2 2" xfId="16543" xr:uid="{9E19E20A-0C4B-4828-95DA-47C602C7444F}"/>
    <cellStyle name="Entrada 2 2 2 2 4 2 2 2 2" xfId="16544" xr:uid="{2D2583B0-20F5-4F18-8FCD-915F265AC3A2}"/>
    <cellStyle name="Entrada 2 2 2 2 4 2 2 2 3" xfId="16545" xr:uid="{13467602-6C1E-428A-9902-0364021EE7B5}"/>
    <cellStyle name="Entrada 2 2 2 2 4 2 2 2 4" xfId="16546" xr:uid="{4B81F4BC-ABF2-47E7-A136-A36F3EB55346}"/>
    <cellStyle name="Entrada 2 2 2 2 4 2 2 2 5" xfId="16547" xr:uid="{98803197-C768-4619-90B9-0A3B1C8F25EC}"/>
    <cellStyle name="Entrada 2 2 2 2 4 2 2 3" xfId="16548" xr:uid="{DD3B182F-5EB7-4778-AC3C-D3A7EACF2367}"/>
    <cellStyle name="Entrada 2 2 2 2 4 2 2 4" xfId="16549" xr:uid="{85C3F915-D891-414E-9FFE-139CD0AA1F39}"/>
    <cellStyle name="Entrada 2 2 2 2 4 2 2 5" xfId="16550" xr:uid="{EDEC8B3D-869A-4BEA-A86B-516920F1C666}"/>
    <cellStyle name="Entrada 2 2 2 2 4 2 2 6" xfId="16551" xr:uid="{AFE711C5-B17F-48BA-B725-EE648A915C09}"/>
    <cellStyle name="Entrada 2 2 2 2 4 2 3" xfId="16552" xr:uid="{0E5CD7ED-0C50-4DC9-8682-65CE1CEAB67E}"/>
    <cellStyle name="Entrada 2 2 2 2 4 2 3 2" xfId="16553" xr:uid="{0FC2A18F-0E5D-4824-BF9C-9807039E8E2A}"/>
    <cellStyle name="Entrada 2 2 2 2 4 2 3 2 2" xfId="16554" xr:uid="{3A65609D-EF2B-4949-B867-F886D4B1FF62}"/>
    <cellStyle name="Entrada 2 2 2 2 4 2 3 2 3" xfId="16555" xr:uid="{47899194-E721-49CB-8E4C-7DCF4DE847D8}"/>
    <cellStyle name="Entrada 2 2 2 2 4 2 3 2 4" xfId="16556" xr:uid="{CB787A2B-8676-40CF-BA39-0E82F6EEB88F}"/>
    <cellStyle name="Entrada 2 2 2 2 4 2 3 2 5" xfId="16557" xr:uid="{DB5A63BD-CBCB-4F8B-884B-CC590F71AA6D}"/>
    <cellStyle name="Entrada 2 2 2 2 4 2 3 3" xfId="16558" xr:uid="{D6241C4B-69AB-46F9-8B4C-F4AE5ABC955D}"/>
    <cellStyle name="Entrada 2 2 2 2 4 2 3 4" xfId="16559" xr:uid="{C0BC1442-A344-4992-AE4B-3E0F0293696C}"/>
    <cellStyle name="Entrada 2 2 2 2 4 2 3 5" xfId="16560" xr:uid="{356DAD81-61B0-4024-869F-58470EBB3060}"/>
    <cellStyle name="Entrada 2 2 2 2 4 2 3 6" xfId="16561" xr:uid="{187ACB61-038F-464C-BE7E-4EE5626B192B}"/>
    <cellStyle name="Entrada 2 2 2 2 4 2 4" xfId="16562" xr:uid="{D79C3528-016F-4E1B-BFD8-A302425A65D7}"/>
    <cellStyle name="Entrada 2 2 2 2 4 2 4 2" xfId="16563" xr:uid="{E67BFEA2-B84E-4F9B-AAB7-B0E72DCDF21A}"/>
    <cellStyle name="Entrada 2 2 2 2 4 2 4 2 2" xfId="16564" xr:uid="{E3BE1827-3D58-43C2-96F1-5CBA22EE1F77}"/>
    <cellStyle name="Entrada 2 2 2 2 4 2 4 2 3" xfId="16565" xr:uid="{B508ED2D-7ABE-4E33-9E3E-8C858BF67611}"/>
    <cellStyle name="Entrada 2 2 2 2 4 2 4 2 4" xfId="16566" xr:uid="{2A097215-BDCE-44C7-B63F-2CC10A702EA5}"/>
    <cellStyle name="Entrada 2 2 2 2 4 2 4 2 5" xfId="16567" xr:uid="{ADEF63D7-BCA9-42D7-B240-A63F5880E4EC}"/>
    <cellStyle name="Entrada 2 2 2 2 4 2 4 3" xfId="16568" xr:uid="{9E5D5315-7EE1-4562-BCAA-FCA12CFC0D7D}"/>
    <cellStyle name="Entrada 2 2 2 2 4 2 4 4" xfId="16569" xr:uid="{3026D398-2FCA-4E73-82A6-75E2EA3AB623}"/>
    <cellStyle name="Entrada 2 2 2 2 4 2 4 5" xfId="16570" xr:uid="{3FD5ECD4-C01D-4423-A0ED-119F7AF484CE}"/>
    <cellStyle name="Entrada 2 2 2 2 4 2 4 6" xfId="16571" xr:uid="{9C0BC2C4-3984-4328-B4D0-F2E667A71183}"/>
    <cellStyle name="Entrada 2 2 2 2 4 2 5" xfId="16572" xr:uid="{C454F0CF-415B-4B9B-949A-76F9DA3266B9}"/>
    <cellStyle name="Entrada 2 2 2 2 4 2 5 2" xfId="16573" xr:uid="{ADEFB7FA-0F33-451E-A533-278B70ECF682}"/>
    <cellStyle name="Entrada 2 2 2 2 4 2 5 3" xfId="16574" xr:uid="{5D060434-8384-4A45-867C-1EA6428AE4E5}"/>
    <cellStyle name="Entrada 2 2 2 2 4 2 5 4" xfId="16575" xr:uid="{F8891EE7-F327-4329-99C9-D79608BF3E05}"/>
    <cellStyle name="Entrada 2 2 2 2 4 2 5 5" xfId="16576" xr:uid="{FE48E39C-5E16-41B0-BF64-AD0B6AAA9133}"/>
    <cellStyle name="Entrada 2 2 2 2 4 2 6" xfId="16577" xr:uid="{5FD651CA-9AB8-46D5-BE6F-354D6D5F4A1C}"/>
    <cellStyle name="Entrada 2 2 2 2 4 2 7" xfId="16578" xr:uid="{B33561A5-2779-4353-88D5-A2EB4332A955}"/>
    <cellStyle name="Entrada 2 2 2 2 4 2 8" xfId="16579" xr:uid="{EBE9B7B9-0F90-4BB5-B3D6-EAF0D4D9313F}"/>
    <cellStyle name="Entrada 2 2 2 2 4 2 9" xfId="16580" xr:uid="{47AC7386-6CCD-4EEE-8FF6-5CEBBE2DAC18}"/>
    <cellStyle name="Entrada 2 2 2 2 4 3" xfId="16581" xr:uid="{BA511875-94C2-4DA7-B677-B242A4A1C497}"/>
    <cellStyle name="Entrada 2 2 2 2 4 3 2" xfId="16582" xr:uid="{FEF11425-05F2-4A38-ADB2-DFD8C22969F8}"/>
    <cellStyle name="Entrada 2 2 2 2 4 3 2 2" xfId="16583" xr:uid="{C095F99A-3B18-424D-ADB6-BD7CA7095DCD}"/>
    <cellStyle name="Entrada 2 2 2 2 4 3 2 3" xfId="16584" xr:uid="{74ADE8FD-1309-4062-867A-8CE184DCD5D9}"/>
    <cellStyle name="Entrada 2 2 2 2 4 3 2 4" xfId="16585" xr:uid="{AED769F2-C2AD-4AD7-9D87-DF50F080F84B}"/>
    <cellStyle name="Entrada 2 2 2 2 4 3 2 5" xfId="16586" xr:uid="{941D4C0B-06AC-424C-8EB5-C85620352FE5}"/>
    <cellStyle name="Entrada 2 2 2 2 4 3 3" xfId="16587" xr:uid="{BCD76055-37EE-4C82-B43F-F8518334C2A5}"/>
    <cellStyle name="Entrada 2 2 2 2 4 3 4" xfId="16588" xr:uid="{50B17F58-0B4A-4996-ADCF-A9638C862D8A}"/>
    <cellStyle name="Entrada 2 2 2 2 4 3 5" xfId="16589" xr:uid="{958A0F21-85B2-4FD7-A13A-4B192EABA474}"/>
    <cellStyle name="Entrada 2 2 2 2 4 3 6" xfId="16590" xr:uid="{CB83C0C8-264D-4B65-87EA-1D9E2BFB8ABF}"/>
    <cellStyle name="Entrada 2 2 2 2 4 4" xfId="16591" xr:uid="{80A2DF36-E0F9-49A8-83EB-1A7C7375C889}"/>
    <cellStyle name="Entrada 2 2 2 2 4 4 2" xfId="16592" xr:uid="{FBAB2D00-23E4-4511-B41A-05862197ED35}"/>
    <cellStyle name="Entrada 2 2 2 2 4 4 2 2" xfId="16593" xr:uid="{0A0E4FF1-360F-49F6-8709-7FBD1A3428E7}"/>
    <cellStyle name="Entrada 2 2 2 2 4 4 2 3" xfId="16594" xr:uid="{EA1300F4-086B-4A18-98C1-DE75AAB75714}"/>
    <cellStyle name="Entrada 2 2 2 2 4 4 2 4" xfId="16595" xr:uid="{8829C632-667A-4A41-97C6-646B56975899}"/>
    <cellStyle name="Entrada 2 2 2 2 4 4 2 5" xfId="16596" xr:uid="{90A70167-320E-486D-B3F0-095A54388C07}"/>
    <cellStyle name="Entrada 2 2 2 2 4 4 3" xfId="16597" xr:uid="{309F8FC0-59AF-49B6-BA8C-E71E0387B431}"/>
    <cellStyle name="Entrada 2 2 2 2 4 4 4" xfId="16598" xr:uid="{7201D1D5-09DA-4F69-B3E5-FEF03B5386BF}"/>
    <cellStyle name="Entrada 2 2 2 2 4 4 5" xfId="16599" xr:uid="{99E81F28-8FCA-4C5D-BC45-40C085864C33}"/>
    <cellStyle name="Entrada 2 2 2 2 4 4 6" xfId="16600" xr:uid="{FA3872CB-7C3A-4D17-A2E7-FA12079921A3}"/>
    <cellStyle name="Entrada 2 2 2 2 4 5" xfId="16601" xr:uid="{A6E82568-FCF6-4AA4-AB7A-C7AE1D42260D}"/>
    <cellStyle name="Entrada 2 2 2 2 4 5 2" xfId="16602" xr:uid="{12F6FDF7-005D-4FBF-ABCD-FBF074615E89}"/>
    <cellStyle name="Entrada 2 2 2 2 4 5 3" xfId="16603" xr:uid="{D86E1030-B395-4DA9-A175-70B5B7EEC588}"/>
    <cellStyle name="Entrada 2 2 2 2 4 5 4" xfId="16604" xr:uid="{1330FF3A-A5E4-43CF-A369-F9F26C432D3D}"/>
    <cellStyle name="Entrada 2 2 2 2 4 5 5" xfId="16605" xr:uid="{D42922B4-9C5A-42ED-B49E-591D54A0023B}"/>
    <cellStyle name="Entrada 2 2 2 2 4 6" xfId="16606" xr:uid="{402984A7-B521-4891-B164-E9C69A7CC77E}"/>
    <cellStyle name="Entrada 2 2 2 2 4 7" xfId="16607" xr:uid="{106009BF-99C3-463E-91C3-29D03861E70C}"/>
    <cellStyle name="Entrada 2 2 2 2 4 8" xfId="16608" xr:uid="{906CF898-20C2-4943-8A39-CC769FE74C11}"/>
    <cellStyle name="Entrada 2 2 2 2 4 9" xfId="16609" xr:uid="{13CBBAEA-2C72-4FB2-8443-FBE96D7B70C3}"/>
    <cellStyle name="Entrada 2 2 2 2 5" xfId="16610" xr:uid="{2CFEEB02-DEE4-444E-9AC0-FC084197AF0C}"/>
    <cellStyle name="Entrada 2 2 2 2 5 2" xfId="16611" xr:uid="{7A4835FE-7C9C-413F-8392-2845068D49B0}"/>
    <cellStyle name="Entrada 2 2 2 2 5 2 2" xfId="16612" xr:uid="{A2C8A08A-4A2B-4F7A-B46C-5412C83CD6B1}"/>
    <cellStyle name="Entrada 2 2 2 2 5 2 3" xfId="16613" xr:uid="{932C82E7-F1BC-4CDC-BE50-9BDA5AD78737}"/>
    <cellStyle name="Entrada 2 2 2 2 5 2 4" xfId="16614" xr:uid="{31D88267-72C1-4239-9B1C-AC54B6CC6B5D}"/>
    <cellStyle name="Entrada 2 2 2 2 5 2 5" xfId="16615" xr:uid="{860E92EF-6B5A-402A-9A3D-4424144DB566}"/>
    <cellStyle name="Entrada 2 2 2 2 5 3" xfId="16616" xr:uid="{F3D291B4-16DD-42B3-9B47-DE34B169794C}"/>
    <cellStyle name="Entrada 2 2 2 2 5 4" xfId="16617" xr:uid="{F3F372C6-4AB9-49AB-8BA0-BFBE5891C7A8}"/>
    <cellStyle name="Entrada 2 2 2 2 5 5" xfId="16618" xr:uid="{A9A91B70-B022-42C3-988C-9FF9F978D950}"/>
    <cellStyle name="Entrada 2 2 2 2 5 6" xfId="16619" xr:uid="{84BD879E-CF14-4318-B6C6-295FD77F7FD2}"/>
    <cellStyle name="Entrada 2 2 2 2 6" xfId="16620" xr:uid="{3E12A706-5E8A-4572-B55B-2520DE37099D}"/>
    <cellStyle name="Entrada 2 2 2 2 6 2" xfId="16621" xr:uid="{F48606ED-A7A3-47C2-B1B5-869950C2396C}"/>
    <cellStyle name="Entrada 2 2 2 2 6 2 2" xfId="16622" xr:uid="{264B8A34-978E-48ED-8CF3-BFB4A1AE09B7}"/>
    <cellStyle name="Entrada 2 2 2 2 6 2 3" xfId="16623" xr:uid="{E1139AA9-9F5B-4A4F-BDBB-FE2728D57AAD}"/>
    <cellStyle name="Entrada 2 2 2 2 6 2 4" xfId="16624" xr:uid="{75543820-BD69-4644-8102-A129284ED2A9}"/>
    <cellStyle name="Entrada 2 2 2 2 6 2 5" xfId="16625" xr:uid="{276B4C18-8B54-4B3E-A0E3-61C5EC41FDEF}"/>
    <cellStyle name="Entrada 2 2 2 2 6 3" xfId="16626" xr:uid="{DF1A1063-B183-4253-BD69-A9F9F0406C30}"/>
    <cellStyle name="Entrada 2 2 2 2 6 4" xfId="16627" xr:uid="{462DA25A-6990-423B-8F10-2162B13A8260}"/>
    <cellStyle name="Entrada 2 2 2 2 6 5" xfId="16628" xr:uid="{45200E1D-52A3-4077-94DC-5424129C8430}"/>
    <cellStyle name="Entrada 2 2 2 2 6 6" xfId="16629" xr:uid="{A0E35D31-34D9-4403-911B-7C53797C8666}"/>
    <cellStyle name="Entrada 2 2 2 2 7" xfId="16630" xr:uid="{C43037D4-939E-4261-8986-BE8686AB46F3}"/>
    <cellStyle name="Entrada 2 2 2 2 7 2" xfId="16631" xr:uid="{BCD14C3F-8521-4401-AD2C-3EDECB9A561F}"/>
    <cellStyle name="Entrada 2 2 2 2 7 2 2" xfId="16632" xr:uid="{1B649901-9991-4271-9257-C2DE670CC882}"/>
    <cellStyle name="Entrada 2 2 2 2 7 2 3" xfId="16633" xr:uid="{771AA99E-EDA0-42F8-94B1-1120B2EEFBA6}"/>
    <cellStyle name="Entrada 2 2 2 2 7 2 4" xfId="16634" xr:uid="{2A33E708-C223-4983-BBAC-52153336C823}"/>
    <cellStyle name="Entrada 2 2 2 2 7 2 5" xfId="16635" xr:uid="{CDD07AFB-C025-4B4E-809E-B4B07FF932AD}"/>
    <cellStyle name="Entrada 2 2 2 2 7 3" xfId="16636" xr:uid="{38AAC48F-5EB1-4364-8B90-FCD85158DF33}"/>
    <cellStyle name="Entrada 2 2 2 2 7 4" xfId="16637" xr:uid="{DBA445E4-1A27-4361-80F5-B94F42D9F4F1}"/>
    <cellStyle name="Entrada 2 2 2 2 7 5" xfId="16638" xr:uid="{F81D93F4-1461-4E6B-BFD0-CB178C2AB00B}"/>
    <cellStyle name="Entrada 2 2 2 2 7 6" xfId="16639" xr:uid="{25C9DF63-7944-47F8-8D1E-2D9DB54B3464}"/>
    <cellStyle name="Entrada 2 2 2 2 8" xfId="16640" xr:uid="{ECF86C68-3F50-4930-88CE-D0C8214E9CB2}"/>
    <cellStyle name="Entrada 2 2 2 2 8 2" xfId="16641" xr:uid="{880897AC-CD42-48D3-BA9F-4F372EB2D73C}"/>
    <cellStyle name="Entrada 2 2 2 2 8 3" xfId="16642" xr:uid="{C3CB9920-0E6F-496E-8EF2-A58D6E519B93}"/>
    <cellStyle name="Entrada 2 2 2 2 8 4" xfId="16643" xr:uid="{EE17D444-C71E-44E5-84C9-A40E7ACC1227}"/>
    <cellStyle name="Entrada 2 2 2 2 8 5" xfId="16644" xr:uid="{CE90829F-BCB3-4449-8F69-48C30CF92BD6}"/>
    <cellStyle name="Entrada 2 2 2 2 9" xfId="16645" xr:uid="{6E20066D-EB01-410C-AC5F-8EDD7505B2EB}"/>
    <cellStyle name="Entrada 2 2 2 3" xfId="16646" xr:uid="{4D0108A9-11FA-455D-9189-3A1FB875E6F8}"/>
    <cellStyle name="Entrada 2 2 2 3 2" xfId="16647" xr:uid="{E20C00A6-43B5-4C9B-8E62-9834C23B5862}"/>
    <cellStyle name="Entrada 2 2 2 3 2 2" xfId="16648" xr:uid="{5B3B4BE5-DDA9-490A-AF91-1783C6FC5AC4}"/>
    <cellStyle name="Entrada 2 2 2 3 2 3" xfId="16649" xr:uid="{39A2AEFC-0BD5-4286-96B3-C547000D3437}"/>
    <cellStyle name="Entrada 2 2 2 3 2 4" xfId="16650" xr:uid="{3CF22277-D358-40DF-BEB6-275FC1539827}"/>
    <cellStyle name="Entrada 2 2 2 3 2 5" xfId="16651" xr:uid="{CCF205CE-CEEF-4647-82FE-37D96AB31BAB}"/>
    <cellStyle name="Entrada 2 2 2 3 3" xfId="16652" xr:uid="{B04EDE0D-0A81-4919-AB16-3098E67C9F9B}"/>
    <cellStyle name="Entrada 2 2 2 3 4" xfId="16653" xr:uid="{E384D244-E41A-4BAB-ADC4-6EEC80971D31}"/>
    <cellStyle name="Entrada 2 2 2 3 5" xfId="16654" xr:uid="{62CC1548-F4E4-469C-B6E6-2F48C436911C}"/>
    <cellStyle name="Entrada 2 2 2 3 6" xfId="16655" xr:uid="{48118CC2-57DF-4699-B3B9-BFAAFB563448}"/>
    <cellStyle name="Entrada 2 2 2 3 7" xfId="16656" xr:uid="{7034D7AF-7D74-41F0-A513-41E6BAED6EB6}"/>
    <cellStyle name="Entrada 2 2 2 3 8" xfId="16657" xr:uid="{59783642-F021-42D2-8CF2-79DD04F405D6}"/>
    <cellStyle name="Entrada 2 2 2 3 9" xfId="16658" xr:uid="{378418CF-C7C9-4316-891F-4C541194EA61}"/>
    <cellStyle name="Entrada 2 2 2 4" xfId="16659" xr:uid="{F43D9789-BC31-4B5A-B71D-6073128C2E55}"/>
    <cellStyle name="Entrada 2 2 2 4 2" xfId="16660" xr:uid="{F313E67C-E285-40DC-99D3-6E4BA705CA05}"/>
    <cellStyle name="Entrada 2 2 2 4 2 2" xfId="16661" xr:uid="{FBB7972F-3E1A-4B6A-96B1-886B9BAB336E}"/>
    <cellStyle name="Entrada 2 2 2 4 2 3" xfId="16662" xr:uid="{BAFAD732-DAF1-4724-8D95-DBF757A1E486}"/>
    <cellStyle name="Entrada 2 2 2 4 2 4" xfId="16663" xr:uid="{94A2BB9E-015B-491E-9420-3ACAA0DB32AC}"/>
    <cellStyle name="Entrada 2 2 2 4 2 5" xfId="16664" xr:uid="{DC33DBCB-E492-459F-B485-38D8F8EA6FB7}"/>
    <cellStyle name="Entrada 2 2 2 4 3" xfId="16665" xr:uid="{4AB7A947-FDAE-4540-9C20-48432A30A16B}"/>
    <cellStyle name="Entrada 2 2 2 4 4" xfId="16666" xr:uid="{01D0E903-E378-4422-953D-113E0C325BDB}"/>
    <cellStyle name="Entrada 2 2 2 4 5" xfId="16667" xr:uid="{034909D0-6938-45BC-84A8-E217DF37C23A}"/>
    <cellStyle name="Entrada 2 2 2 4 6" xfId="16668" xr:uid="{F6CBDEAD-8B17-4660-AD6C-FC6C3C20FD12}"/>
    <cellStyle name="Entrada 2 2 2 4 7" xfId="16669" xr:uid="{F0884977-89B1-4933-BFF3-FAE15737DF91}"/>
    <cellStyle name="Entrada 2 2 2 4 8" xfId="16670" xr:uid="{20B73B96-EEC0-4786-9D20-D6DA49EF3F9F}"/>
    <cellStyle name="Entrada 2 2 2 4 9" xfId="16671" xr:uid="{CFE4BB71-D8B4-440D-91D4-738286831C02}"/>
    <cellStyle name="Entrada 2 2 2 5" xfId="16672" xr:uid="{2B167D5B-9AEA-445A-BBDD-E29CBD5B8E39}"/>
    <cellStyle name="Entrada 2 2 2 5 10" xfId="16673" xr:uid="{F2030B86-309F-41F2-A8EE-D06E90A5B8BF}"/>
    <cellStyle name="Entrada 2 2 2 5 11" xfId="16674" xr:uid="{8F58D48F-FF36-4E80-8E03-147AEB80DFE5}"/>
    <cellStyle name="Entrada 2 2 2 5 12" xfId="16675" xr:uid="{3C0D7497-C0F9-4AA7-918C-68ED83C99619}"/>
    <cellStyle name="Entrada 2 2 2 5 2" xfId="16676" xr:uid="{4597901C-B5E9-4C2D-B351-866937E24E27}"/>
    <cellStyle name="Entrada 2 2 2 5 2 10" xfId="16677" xr:uid="{62F5EED5-8389-42CC-94D9-6416C1B6D3E2}"/>
    <cellStyle name="Entrada 2 2 2 5 2 11" xfId="16678" xr:uid="{962767FC-3C48-49F0-AB0A-C4BF4CB90DB4}"/>
    <cellStyle name="Entrada 2 2 2 5 2 12" xfId="16679" xr:uid="{8A871E0A-B4C7-4E8A-9C3B-CE1BA67D51C4}"/>
    <cellStyle name="Entrada 2 2 2 5 2 2" xfId="16680" xr:uid="{DB64D47D-4FB6-4C65-BCC2-CD047DC55673}"/>
    <cellStyle name="Entrada 2 2 2 5 2 2 2" xfId="16681" xr:uid="{3A260616-9D18-4BF2-B70B-6EEF05CB1127}"/>
    <cellStyle name="Entrada 2 2 2 5 2 2 2 2" xfId="16682" xr:uid="{E7D1D609-9EB4-43D4-88A1-0D0FA1A05862}"/>
    <cellStyle name="Entrada 2 2 2 5 2 2 2 3" xfId="16683" xr:uid="{53815596-1C3E-402F-979B-28CD83C56AA7}"/>
    <cellStyle name="Entrada 2 2 2 5 2 2 2 4" xfId="16684" xr:uid="{4B279E17-A46E-4157-81F0-CD82E239CD29}"/>
    <cellStyle name="Entrada 2 2 2 5 2 2 2 5" xfId="16685" xr:uid="{3CAF4AF1-C636-48E7-8CB9-591C540B67FC}"/>
    <cellStyle name="Entrada 2 2 2 5 2 2 3" xfId="16686" xr:uid="{0BC73722-3FF9-465D-9897-028A6DCE9247}"/>
    <cellStyle name="Entrada 2 2 2 5 2 2 4" xfId="16687" xr:uid="{AF1AB256-AC7E-49CF-999E-21E0154E47A7}"/>
    <cellStyle name="Entrada 2 2 2 5 2 2 5" xfId="16688" xr:uid="{4E40074A-195B-4FF3-96BD-99668C066EF4}"/>
    <cellStyle name="Entrada 2 2 2 5 2 2 6" xfId="16689" xr:uid="{D6FD5C7E-D679-4651-8DE7-C5843911D34D}"/>
    <cellStyle name="Entrada 2 2 2 5 2 3" xfId="16690" xr:uid="{A0651714-BA85-4D7D-941B-9BDBB6C24E29}"/>
    <cellStyle name="Entrada 2 2 2 5 2 3 2" xfId="16691" xr:uid="{EA48B962-F5F0-48E9-9283-04E832BB0DCB}"/>
    <cellStyle name="Entrada 2 2 2 5 2 3 2 2" xfId="16692" xr:uid="{4F8641CB-9099-4110-9DFF-A76037206F63}"/>
    <cellStyle name="Entrada 2 2 2 5 2 3 2 3" xfId="16693" xr:uid="{BE6EFC05-35C2-4A02-9890-802BD2EE78FE}"/>
    <cellStyle name="Entrada 2 2 2 5 2 3 2 4" xfId="16694" xr:uid="{686C75D6-3E35-4178-8A30-EAA48658BC10}"/>
    <cellStyle name="Entrada 2 2 2 5 2 3 2 5" xfId="16695" xr:uid="{C3BE872C-A4C7-47D7-9554-6B17F015067B}"/>
    <cellStyle name="Entrada 2 2 2 5 2 3 3" xfId="16696" xr:uid="{846E9BF7-181C-4ACA-B175-260F03189C57}"/>
    <cellStyle name="Entrada 2 2 2 5 2 3 4" xfId="16697" xr:uid="{3CB525D8-F0D7-4AAE-8C53-3CD1F5813E32}"/>
    <cellStyle name="Entrada 2 2 2 5 2 3 5" xfId="16698" xr:uid="{D20800B1-0A9A-441B-8607-16837EF079A1}"/>
    <cellStyle name="Entrada 2 2 2 5 2 3 6" xfId="16699" xr:uid="{340A4AE3-4901-477A-BE62-BAAFAC5DB6F6}"/>
    <cellStyle name="Entrada 2 2 2 5 2 4" xfId="16700" xr:uid="{44F59A9A-5483-483B-BDF1-9C1839E479B5}"/>
    <cellStyle name="Entrada 2 2 2 5 2 4 2" xfId="16701" xr:uid="{B51B04F5-CA6F-4B15-9DB5-B21B1CFAAF5E}"/>
    <cellStyle name="Entrada 2 2 2 5 2 4 2 2" xfId="16702" xr:uid="{2F567B42-6642-4296-AC11-B1008E90FC89}"/>
    <cellStyle name="Entrada 2 2 2 5 2 4 2 3" xfId="16703" xr:uid="{6DB7F847-B890-4DD4-8975-0303E39942C0}"/>
    <cellStyle name="Entrada 2 2 2 5 2 4 2 4" xfId="16704" xr:uid="{D9F8F796-E07E-4063-A43E-0B7C891CF1E1}"/>
    <cellStyle name="Entrada 2 2 2 5 2 4 2 5" xfId="16705" xr:uid="{9F28F7CF-BB5D-401B-8B3D-AABBFFAE751A}"/>
    <cellStyle name="Entrada 2 2 2 5 2 4 3" xfId="16706" xr:uid="{C0F11EDA-1C7C-493B-BE8D-4A8821C42408}"/>
    <cellStyle name="Entrada 2 2 2 5 2 4 4" xfId="16707" xr:uid="{70B26CCA-5F7D-47A9-AC43-B34850DADA43}"/>
    <cellStyle name="Entrada 2 2 2 5 2 4 5" xfId="16708" xr:uid="{67A89C32-434E-4214-89E2-125D5F1B2D30}"/>
    <cellStyle name="Entrada 2 2 2 5 2 4 6" xfId="16709" xr:uid="{658FAAA7-CB3F-4A59-A212-7649D940B912}"/>
    <cellStyle name="Entrada 2 2 2 5 2 5" xfId="16710" xr:uid="{1EBA4AE7-B3A0-40C0-8EA7-E6E7DA9ADC37}"/>
    <cellStyle name="Entrada 2 2 2 5 2 5 2" xfId="16711" xr:uid="{140F4898-845E-4674-814D-A0CEE545092C}"/>
    <cellStyle name="Entrada 2 2 2 5 2 5 3" xfId="16712" xr:uid="{2D2F7831-009F-45B2-A07F-B720BC6B3FE5}"/>
    <cellStyle name="Entrada 2 2 2 5 2 5 4" xfId="16713" xr:uid="{0FF02254-0D0E-4B62-92A0-5B6D7CB5EAB3}"/>
    <cellStyle name="Entrada 2 2 2 5 2 5 5" xfId="16714" xr:uid="{C997C4E5-70FC-42B0-AD98-7B8B830E391F}"/>
    <cellStyle name="Entrada 2 2 2 5 2 6" xfId="16715" xr:uid="{2F468BE0-3817-42FF-A776-095FED8C98C3}"/>
    <cellStyle name="Entrada 2 2 2 5 2 7" xfId="16716" xr:uid="{66C5B0B2-20FC-4057-A498-F2F894B6F82E}"/>
    <cellStyle name="Entrada 2 2 2 5 2 8" xfId="16717" xr:uid="{2E0117C5-5D8A-4376-AFAD-FCEA70C0E598}"/>
    <cellStyle name="Entrada 2 2 2 5 2 9" xfId="16718" xr:uid="{1989B90F-5A28-42B8-AD52-6CDB63FFBE83}"/>
    <cellStyle name="Entrada 2 2 2 5 3" xfId="16719" xr:uid="{E703182B-808D-44D7-BD9F-0D0F1EFB586C}"/>
    <cellStyle name="Entrada 2 2 2 5 3 2" xfId="16720" xr:uid="{837CDC54-FC61-408C-B023-64E79467126A}"/>
    <cellStyle name="Entrada 2 2 2 5 3 2 2" xfId="16721" xr:uid="{F9978DD0-F5DD-428C-8CEE-CBE4D1C5E207}"/>
    <cellStyle name="Entrada 2 2 2 5 3 2 3" xfId="16722" xr:uid="{C3916313-3C02-4774-9A0F-62E8EEC08A13}"/>
    <cellStyle name="Entrada 2 2 2 5 3 2 4" xfId="16723" xr:uid="{F358DE0C-00FA-4017-A5B8-9FBCB243753B}"/>
    <cellStyle name="Entrada 2 2 2 5 3 2 5" xfId="16724" xr:uid="{8DB9EAD6-D0BD-4A14-925E-719084D7F62A}"/>
    <cellStyle name="Entrada 2 2 2 5 3 3" xfId="16725" xr:uid="{437255B8-BE24-485E-B245-E02592B92446}"/>
    <cellStyle name="Entrada 2 2 2 5 3 4" xfId="16726" xr:uid="{9DCDB241-74C3-44BE-BFED-95FFBFFD09D5}"/>
    <cellStyle name="Entrada 2 2 2 5 3 5" xfId="16727" xr:uid="{7D738ACB-44A2-4977-84C2-1744B4597736}"/>
    <cellStyle name="Entrada 2 2 2 5 3 6" xfId="16728" xr:uid="{B124C0DB-FEF7-48FF-BFB6-E0E513A39B01}"/>
    <cellStyle name="Entrada 2 2 2 5 4" xfId="16729" xr:uid="{0592CD88-9512-483E-BB03-C729175A0F97}"/>
    <cellStyle name="Entrada 2 2 2 5 4 2" xfId="16730" xr:uid="{2538C62A-5F08-42A1-8087-0D22E17D8D00}"/>
    <cellStyle name="Entrada 2 2 2 5 4 2 2" xfId="16731" xr:uid="{0446D12A-5194-452B-8A29-7EFE2A294D45}"/>
    <cellStyle name="Entrada 2 2 2 5 4 2 3" xfId="16732" xr:uid="{A16E71B9-B875-4084-831A-D7572334A270}"/>
    <cellStyle name="Entrada 2 2 2 5 4 2 4" xfId="16733" xr:uid="{3FEA716C-2D2C-42CE-B8AC-DAEC4C8A3947}"/>
    <cellStyle name="Entrada 2 2 2 5 4 2 5" xfId="16734" xr:uid="{5A74AC53-E306-43B8-ACAD-FC187B9C9079}"/>
    <cellStyle name="Entrada 2 2 2 5 4 3" xfId="16735" xr:uid="{C35BBA4D-7AF1-4E11-82A9-B9D41455ED4B}"/>
    <cellStyle name="Entrada 2 2 2 5 4 4" xfId="16736" xr:uid="{A48AAFA9-25B5-4E70-8249-A118BA7E8E43}"/>
    <cellStyle name="Entrada 2 2 2 5 4 5" xfId="16737" xr:uid="{D47B97D8-8BC1-4F11-AE12-17CCFA0FE365}"/>
    <cellStyle name="Entrada 2 2 2 5 4 6" xfId="16738" xr:uid="{5723FC0D-B81E-45B7-9BE4-017F06154422}"/>
    <cellStyle name="Entrada 2 2 2 5 5" xfId="16739" xr:uid="{656AD1CA-7F3D-473D-B691-93D85FCE2B99}"/>
    <cellStyle name="Entrada 2 2 2 5 5 2" xfId="16740" xr:uid="{79743ADF-EC4B-47C8-8E64-9FC6660B6A87}"/>
    <cellStyle name="Entrada 2 2 2 5 5 3" xfId="16741" xr:uid="{6F78282F-12AD-4237-9228-5EF6BBFC891C}"/>
    <cellStyle name="Entrada 2 2 2 5 5 4" xfId="16742" xr:uid="{F1E7429E-0916-4986-9AFD-7AE0C1A6EBA8}"/>
    <cellStyle name="Entrada 2 2 2 5 5 5" xfId="16743" xr:uid="{7E720AF6-41C2-45D4-A790-05A4C1132178}"/>
    <cellStyle name="Entrada 2 2 2 5 6" xfId="16744" xr:uid="{8308E184-4D1F-4547-8F40-E59AB2BAC88C}"/>
    <cellStyle name="Entrada 2 2 2 5 7" xfId="16745" xr:uid="{79AFAE9A-DA28-4D4C-B0B7-8155E7BAB343}"/>
    <cellStyle name="Entrada 2 2 2 5 8" xfId="16746" xr:uid="{7E7FB165-4BF3-474D-8680-BB837C4120DC}"/>
    <cellStyle name="Entrada 2 2 2 5 9" xfId="16747" xr:uid="{020B229F-0A98-4D72-A8ED-BF6E4CE64FFB}"/>
    <cellStyle name="Entrada 2 2 2 6" xfId="16748" xr:uid="{633CB2B1-B74D-490F-9CBC-D1AD9A5C15CB}"/>
    <cellStyle name="Entrada 2 2 2 6 2" xfId="16749" xr:uid="{3BF4FDEF-4710-4DD7-9B7D-C341FB356785}"/>
    <cellStyle name="Entrada 2 2 2 6 2 2" xfId="16750" xr:uid="{D83F852A-DEC2-4497-9158-DA8D0D539EAC}"/>
    <cellStyle name="Entrada 2 2 2 6 2 3" xfId="16751" xr:uid="{0613BD6A-3388-4742-A21D-D282C36DD969}"/>
    <cellStyle name="Entrada 2 2 2 6 2 4" xfId="16752" xr:uid="{2B72F177-6D1D-46C6-9522-A75C1FA13892}"/>
    <cellStyle name="Entrada 2 2 2 6 2 5" xfId="16753" xr:uid="{4EDB2258-AC13-49F9-88C9-33590BD23AA1}"/>
    <cellStyle name="Entrada 2 2 2 6 3" xfId="16754" xr:uid="{692176C8-689D-44F1-A168-2E9F79573115}"/>
    <cellStyle name="Entrada 2 2 2 6 4" xfId="16755" xr:uid="{4528B110-8AA7-4028-93F9-BD042B3476FD}"/>
    <cellStyle name="Entrada 2 2 2 6 5" xfId="16756" xr:uid="{E7A927AC-65D0-4823-B490-491099825FE8}"/>
    <cellStyle name="Entrada 2 2 2 6 6" xfId="16757" xr:uid="{BDF9CB86-E7BB-4655-86AF-5D52D32890EE}"/>
    <cellStyle name="Entrada 2 2 2 7" xfId="16758" xr:uid="{62158846-2ABC-455B-9C07-ECE535EB76D6}"/>
    <cellStyle name="Entrada 2 2 2 7 2" xfId="16759" xr:uid="{DC9D103C-ED55-452A-A8BA-800F9AD9EF24}"/>
    <cellStyle name="Entrada 2 2 2 7 2 2" xfId="16760" xr:uid="{B94B9C0D-1BC6-4558-9236-7C421F4FF2D5}"/>
    <cellStyle name="Entrada 2 2 2 7 2 3" xfId="16761" xr:uid="{AF917ABD-B39C-41E2-8B91-DD753FE52A3C}"/>
    <cellStyle name="Entrada 2 2 2 7 2 4" xfId="16762" xr:uid="{FA5A4CF9-ECF9-4A31-8CBA-BD5DFCA5FEBA}"/>
    <cellStyle name="Entrada 2 2 2 7 2 5" xfId="16763" xr:uid="{A9929004-6608-4EFB-8E3E-F62971E92428}"/>
    <cellStyle name="Entrada 2 2 2 7 3" xfId="16764" xr:uid="{154D4EF1-6BB6-45EC-9E0A-82596E3863E0}"/>
    <cellStyle name="Entrada 2 2 2 7 4" xfId="16765" xr:uid="{6E24F281-A875-47C2-B700-4EEA63A40580}"/>
    <cellStyle name="Entrada 2 2 2 7 5" xfId="16766" xr:uid="{E6E0DED0-5ECA-490C-93F4-3AFED8384EEB}"/>
    <cellStyle name="Entrada 2 2 2 7 6" xfId="16767" xr:uid="{09EE8FAC-0AC3-4C53-9F70-89042E575D55}"/>
    <cellStyle name="Entrada 2 2 2 8" xfId="16768" xr:uid="{9F83566E-E683-4989-89D5-84431D6DF0C5}"/>
    <cellStyle name="Entrada 2 2 2 8 2" xfId="16769" xr:uid="{2439F2B9-BC29-4702-B42F-4EBA1D4C1169}"/>
    <cellStyle name="Entrada 2 2 2 8 2 2" xfId="16770" xr:uid="{2FBD107A-1778-49B7-B9FC-3F4A7E80E273}"/>
    <cellStyle name="Entrada 2 2 2 8 2 3" xfId="16771" xr:uid="{2CB4566E-CA28-4DA0-95CF-039C20029A85}"/>
    <cellStyle name="Entrada 2 2 2 8 2 4" xfId="16772" xr:uid="{FAC0185D-52AA-4B77-9A36-DA99F4F1EFC9}"/>
    <cellStyle name="Entrada 2 2 2 8 2 5" xfId="16773" xr:uid="{A09E15C8-63E5-473C-8A64-63389E3DBB9F}"/>
    <cellStyle name="Entrada 2 2 2 8 3" xfId="16774" xr:uid="{04826B29-AC1B-4A02-89AF-0328A30C62EF}"/>
    <cellStyle name="Entrada 2 2 2 8 4" xfId="16775" xr:uid="{46440A29-D941-49F7-872A-9D80DEA0F8DA}"/>
    <cellStyle name="Entrada 2 2 2 8 5" xfId="16776" xr:uid="{943812BB-3007-4EA1-9061-FEFD33AEB9DE}"/>
    <cellStyle name="Entrada 2 2 2 8 6" xfId="16777" xr:uid="{043C7E62-F51D-4269-995C-AD816ADBECE5}"/>
    <cellStyle name="Entrada 2 2 2 9" xfId="16778" xr:uid="{A7F397B7-53E1-4FB6-A01A-F9E540519945}"/>
    <cellStyle name="Entrada 2 2 2 9 2" xfId="16779" xr:uid="{4066AB20-CCFA-4D03-B830-E3C6350970EA}"/>
    <cellStyle name="Entrada 2 2 2 9 3" xfId="16780" xr:uid="{44A1FF8F-C9CF-4D45-9564-EB8F00A9B471}"/>
    <cellStyle name="Entrada 2 2 2 9 4" xfId="16781" xr:uid="{5A283761-710A-4865-A079-0B0AFE4B11FE}"/>
    <cellStyle name="Entrada 2 2 2 9 5" xfId="16782" xr:uid="{4E262785-3280-445D-9552-F4B2A92E18C5}"/>
    <cellStyle name="Entrada 2 2 20" xfId="16783" xr:uid="{3B60D181-AFE0-4B74-A3D8-95E8F5C86F19}"/>
    <cellStyle name="Entrada 2 2 21" xfId="16784" xr:uid="{9D834FE6-63DC-4462-8FEB-5194AECD2C28}"/>
    <cellStyle name="Entrada 2 2 3" xfId="16785" xr:uid="{FB63CFAC-83AB-439B-A71E-620F249C9711}"/>
    <cellStyle name="Entrada 2 2 3 2" xfId="16786" xr:uid="{E33A53BE-B939-45AE-8559-B5F530231F6E}"/>
    <cellStyle name="Entrada 2 2 3 2 2" xfId="16787" xr:uid="{558A0516-4F5C-4832-BDE6-C89EF03823D6}"/>
    <cellStyle name="Entrada 2 2 3 2 3" xfId="16788" xr:uid="{B29F47F0-17CB-4862-A592-8B04D636E7BA}"/>
    <cellStyle name="Entrada 2 2 3 2 4" xfId="16789" xr:uid="{40D93031-EC95-4E30-BA5C-C734867FBFA4}"/>
    <cellStyle name="Entrada 2 2 3 2 5" xfId="16790" xr:uid="{4D877115-1FA3-4136-AEE7-F09DB0549FF5}"/>
    <cellStyle name="Entrada 2 2 3 3" xfId="16791" xr:uid="{71FB4BEF-E2E7-4D84-BB19-90FFED74B693}"/>
    <cellStyle name="Entrada 2 2 3 4" xfId="16792" xr:uid="{FCD5C02D-DE46-4F6C-9053-E3AF73C54944}"/>
    <cellStyle name="Entrada 2 2 3 5" xfId="16793" xr:uid="{4A9B2086-D777-47E5-8BC5-FDA4164D388F}"/>
    <cellStyle name="Entrada 2 2 3 6" xfId="16794" xr:uid="{158E9489-56D6-42DC-B83C-60975BC914E4}"/>
    <cellStyle name="Entrada 2 2 3 7" xfId="16795" xr:uid="{DB4BECC4-4B14-467A-9C30-6AD725511F14}"/>
    <cellStyle name="Entrada 2 2 3 8" xfId="16796" xr:uid="{5540816B-982D-44CC-95FC-3E5BA799E51D}"/>
    <cellStyle name="Entrada 2 2 3 9" xfId="16797" xr:uid="{EC04D6EB-4421-41F9-BC1A-85C2C35A7058}"/>
    <cellStyle name="Entrada 2 2 4" xfId="16798" xr:uid="{D34F5209-9D2E-4A26-9F1C-4A1962496381}"/>
    <cellStyle name="Entrada 2 2 4 2" xfId="16799" xr:uid="{79E2E3A9-46E6-46B4-8B13-F7B0611D6059}"/>
    <cellStyle name="Entrada 2 2 4 2 2" xfId="16800" xr:uid="{EFE99A0E-E8C1-4AA1-954B-05EEBFC8852D}"/>
    <cellStyle name="Entrada 2 2 4 2 3" xfId="16801" xr:uid="{B00C435F-67B9-400B-AC7E-AC71722398DF}"/>
    <cellStyle name="Entrada 2 2 4 2 4" xfId="16802" xr:uid="{5D9FC1B0-F693-41F2-B03C-FCBD5FEAA728}"/>
    <cellStyle name="Entrada 2 2 4 2 5" xfId="16803" xr:uid="{12FD9772-2DDC-467B-9832-A93A70F19D6C}"/>
    <cellStyle name="Entrada 2 2 4 3" xfId="16804" xr:uid="{C35FF768-C011-44B6-913B-1285DA371553}"/>
    <cellStyle name="Entrada 2 2 4 4" xfId="16805" xr:uid="{1C2F97E0-94C5-4B30-89BC-A00EE70F6FA0}"/>
    <cellStyle name="Entrada 2 2 4 5" xfId="16806" xr:uid="{8DCAB88B-88F4-49C7-B636-82C42467190B}"/>
    <cellStyle name="Entrada 2 2 4 6" xfId="16807" xr:uid="{EE746B13-20E8-4204-85D7-4F9A5BEAD8A7}"/>
    <cellStyle name="Entrada 2 2 4 7" xfId="16808" xr:uid="{08EF5B5E-5E8E-4B4C-BE98-5454F282D79E}"/>
    <cellStyle name="Entrada 2 2 4 8" xfId="16809" xr:uid="{41A2E76C-E123-4C43-812B-CF12AF01F088}"/>
    <cellStyle name="Entrada 2 2 4 9" xfId="16810" xr:uid="{BBAF3B76-D57C-4E52-ABB8-5ECA8EC00066}"/>
    <cellStyle name="Entrada 2 2 5" xfId="16811" xr:uid="{CCB35F5B-D715-4096-97B0-9A1918ED58E6}"/>
    <cellStyle name="Entrada 2 2 5 2" xfId="16812" xr:uid="{53AFC21A-6FD7-404C-A111-4D3561E90780}"/>
    <cellStyle name="Entrada 2 2 5 2 2" xfId="16813" xr:uid="{AE334FDF-94B3-45C8-8BB7-78C3AF7A23C6}"/>
    <cellStyle name="Entrada 2 2 5 2 3" xfId="16814" xr:uid="{7988E0FA-C8A2-4CEB-AEB5-7A48F03F3CF0}"/>
    <cellStyle name="Entrada 2 2 5 2 4" xfId="16815" xr:uid="{C353BEA3-7C39-44A5-B5F1-FA3F6D53EF5F}"/>
    <cellStyle name="Entrada 2 2 5 2 5" xfId="16816" xr:uid="{114F3EB2-1F00-4C32-AA47-75780A58A2F5}"/>
    <cellStyle name="Entrada 2 2 5 3" xfId="16817" xr:uid="{93055633-46F8-41B9-A608-3324B228E868}"/>
    <cellStyle name="Entrada 2 2 5 4" xfId="16818" xr:uid="{8A3B9169-FF7E-4027-A828-F942E0795790}"/>
    <cellStyle name="Entrada 2 2 5 5" xfId="16819" xr:uid="{2787B6F1-5AEE-44C3-BE88-4C4F1ECAA490}"/>
    <cellStyle name="Entrada 2 2 5 6" xfId="16820" xr:uid="{F6D68E09-5C6A-48E8-806A-C415644B0092}"/>
    <cellStyle name="Entrada 2 2 5 7" xfId="16821" xr:uid="{3FDB6FE6-6D52-4057-8D76-CEC143F21B81}"/>
    <cellStyle name="Entrada 2 2 5 8" xfId="16822" xr:uid="{1278C3F8-9A3E-4AF4-B26D-B57B3DF5553C}"/>
    <cellStyle name="Entrada 2 2 5 9" xfId="16823" xr:uid="{B13F835F-B899-4E4F-A8BA-0813F056E007}"/>
    <cellStyle name="Entrada 2 2 6" xfId="16824" xr:uid="{D04D2618-B31B-4966-8077-CD90F376624B}"/>
    <cellStyle name="Entrada 2 2 6 2" xfId="16825" xr:uid="{61C6571E-8513-470C-A8E6-DD594A077712}"/>
    <cellStyle name="Entrada 2 2 6 2 2" xfId="16826" xr:uid="{C6392006-9D3F-4FC6-B4DD-79DC96B7307E}"/>
    <cellStyle name="Entrada 2 2 6 2 3" xfId="16827" xr:uid="{D168AB6E-2387-4D1A-BDF5-605F4FC95662}"/>
    <cellStyle name="Entrada 2 2 6 2 4" xfId="16828" xr:uid="{2BF92689-04E1-4F2B-AD79-186FDAA1087E}"/>
    <cellStyle name="Entrada 2 2 6 2 5" xfId="16829" xr:uid="{482CB8AC-BFA4-4F83-9434-7DE85443E1DF}"/>
    <cellStyle name="Entrada 2 2 6 3" xfId="16830" xr:uid="{0948C28E-E9D4-40AA-A4DA-BA5403071CF1}"/>
    <cellStyle name="Entrada 2 2 6 4" xfId="16831" xr:uid="{05DB54EB-23E5-425C-8D9A-461153A2EDB9}"/>
    <cellStyle name="Entrada 2 2 6 5" xfId="16832" xr:uid="{C1339A5E-6E77-4B36-A5B4-4C8261BC1C40}"/>
    <cellStyle name="Entrada 2 2 6 6" xfId="16833" xr:uid="{A64E5C79-51B5-4E84-B200-5179BAA4E8E7}"/>
    <cellStyle name="Entrada 2 2 6 7" xfId="16834" xr:uid="{16096541-11DB-499F-B8C4-46F192967ABA}"/>
    <cellStyle name="Entrada 2 2 6 8" xfId="16835" xr:uid="{F102A5AC-0217-4DA4-B690-6F6EDA616F67}"/>
    <cellStyle name="Entrada 2 2 6 9" xfId="16836" xr:uid="{2BBC0CF4-2FAE-4E23-8E7D-FBD0F6C3B995}"/>
    <cellStyle name="Entrada 2 2 7" xfId="16837" xr:uid="{3EDC4653-D049-4681-AF81-72D151CB8E00}"/>
    <cellStyle name="Entrada 2 2 7 2" xfId="16838" xr:uid="{2A341D70-8688-4B51-8F2C-9BFF9C367B1C}"/>
    <cellStyle name="Entrada 2 2 7 2 2" xfId="16839" xr:uid="{21C754F1-B229-4C00-BA95-136B330CC43E}"/>
    <cellStyle name="Entrada 2 2 7 2 3" xfId="16840" xr:uid="{FE1810D6-DFF8-49BC-B28A-DCA67FF26EBC}"/>
    <cellStyle name="Entrada 2 2 7 2 4" xfId="16841" xr:uid="{E27DC23F-5281-41FF-A440-10444588EE95}"/>
    <cellStyle name="Entrada 2 2 7 2 5" xfId="16842" xr:uid="{2B88C668-C252-49F2-A14C-544B9294F959}"/>
    <cellStyle name="Entrada 2 2 7 3" xfId="16843" xr:uid="{B00B8DD8-0205-45D8-80D7-1927912EF440}"/>
    <cellStyle name="Entrada 2 2 7 4" xfId="16844" xr:uid="{0213B48D-4378-4EE3-8DA9-D255BAA8365D}"/>
    <cellStyle name="Entrada 2 2 7 5" xfId="16845" xr:uid="{96AA3AD2-66B6-4AB8-AB5A-FFD5C29DA3FF}"/>
    <cellStyle name="Entrada 2 2 7 6" xfId="16846" xr:uid="{A57B0CF9-7C7C-4EDF-BC51-07BEED472652}"/>
    <cellStyle name="Entrada 2 2 7 7" xfId="16847" xr:uid="{B14E3D3C-0F25-4EFF-A4EE-2141F496431E}"/>
    <cellStyle name="Entrada 2 2 7 8" xfId="16848" xr:uid="{2C8BABC1-163F-4C55-9231-CF5AB06667BE}"/>
    <cellStyle name="Entrada 2 2 7 9" xfId="16849" xr:uid="{0142569D-E9AD-411B-BBC4-163F53175ABB}"/>
    <cellStyle name="Entrada 2 2 8" xfId="16850" xr:uid="{76673877-F9A1-4DB5-BDC6-289D3D97DE29}"/>
    <cellStyle name="Entrada 2 2 8 10" xfId="16851" xr:uid="{B267AAD3-0183-4D83-9FA3-C8B098EB4792}"/>
    <cellStyle name="Entrada 2 2 8 2" xfId="16852" xr:uid="{1AAB5664-49C3-4FD9-9629-8114D6CE5DA6}"/>
    <cellStyle name="Entrada 2 2 8 2 2" xfId="16853" xr:uid="{E2EC66C4-9E14-4114-8FE8-70D33101D134}"/>
    <cellStyle name="Entrada 2 2 8 2 2 2" xfId="16854" xr:uid="{D2B6156E-9656-4311-BB63-EE9ADCD6CA45}"/>
    <cellStyle name="Entrada 2 2 8 2 2 3" xfId="16855" xr:uid="{FFD10917-0543-4CBB-8AA2-9451695A1C4C}"/>
    <cellStyle name="Entrada 2 2 8 2 2 4" xfId="16856" xr:uid="{C5243508-8019-43F8-B938-6CD8C1E58EC6}"/>
    <cellStyle name="Entrada 2 2 8 2 2 5" xfId="16857" xr:uid="{D1B46995-F99A-4B66-8556-A07750B82E9C}"/>
    <cellStyle name="Entrada 2 2 8 2 3" xfId="16858" xr:uid="{96C99233-D14A-4C97-816A-8A7149B406BE}"/>
    <cellStyle name="Entrada 2 2 8 2 4" xfId="16859" xr:uid="{B26ED978-C1B2-4484-81AB-D5C1A6295C6D}"/>
    <cellStyle name="Entrada 2 2 8 2 5" xfId="16860" xr:uid="{BF9FC22D-1BD0-487E-989D-589A08436BD9}"/>
    <cellStyle name="Entrada 2 2 8 2 6" xfId="16861" xr:uid="{0F318736-40EC-4A3F-AB58-AA588271CBDD}"/>
    <cellStyle name="Entrada 2 2 8 2 7" xfId="16862" xr:uid="{E4CD153C-C53E-4719-B197-45F7887D13C9}"/>
    <cellStyle name="Entrada 2 2 8 2 8" xfId="16863" xr:uid="{40A599C4-18F1-44D2-95BE-FB62DDB4727A}"/>
    <cellStyle name="Entrada 2 2 8 2 9" xfId="16864" xr:uid="{CC4C39A1-6D63-4197-9507-3D4E5568F11E}"/>
    <cellStyle name="Entrada 2 2 8 3" xfId="16865" xr:uid="{30869ADA-E8D1-43A1-944C-89DEFEA9C712}"/>
    <cellStyle name="Entrada 2 2 8 3 2" xfId="16866" xr:uid="{023880A9-8D12-4AAB-99F3-191B248194CA}"/>
    <cellStyle name="Entrada 2 2 8 3 3" xfId="16867" xr:uid="{9A3F94FE-8859-4396-B5B7-D7B103B8E930}"/>
    <cellStyle name="Entrada 2 2 8 3 4" xfId="16868" xr:uid="{3744C12E-BCC7-4686-BDA7-4769928E99D3}"/>
    <cellStyle name="Entrada 2 2 8 3 5" xfId="16869" xr:uid="{BED6BE0E-27E8-4EC8-85CB-8C4F7E9FACC0}"/>
    <cellStyle name="Entrada 2 2 8 4" xfId="16870" xr:uid="{8CF68F1D-CEF0-42A5-8395-1989BAF8377B}"/>
    <cellStyle name="Entrada 2 2 8 5" xfId="16871" xr:uid="{8FE3BBAE-E953-4684-835F-D1CB0BE5E534}"/>
    <cellStyle name="Entrada 2 2 8 6" xfId="16872" xr:uid="{75568CC5-D983-46D1-B417-E4246521AC29}"/>
    <cellStyle name="Entrada 2 2 8 7" xfId="16873" xr:uid="{DFE0EE45-0A09-4F78-A34E-2FA2537E6DEE}"/>
    <cellStyle name="Entrada 2 2 8 8" xfId="16874" xr:uid="{47BFB55D-406A-4BD2-95F4-C06C51F77F70}"/>
    <cellStyle name="Entrada 2 2 8 9" xfId="16875" xr:uid="{A4457DAC-F3FC-4C92-99D3-B82D242D7F8F}"/>
    <cellStyle name="Entrada 2 2 9" xfId="16876" xr:uid="{96FB353D-772E-4300-8DEC-123FA28F84C5}"/>
    <cellStyle name="Entrada 2 2 9 2" xfId="16877" xr:uid="{E5F00787-0037-4718-921B-ED7CA316221C}"/>
    <cellStyle name="Entrada 2 2 9 2 2" xfId="16878" xr:uid="{1BBC58F5-3466-4D21-B7A5-ACC6B857218E}"/>
    <cellStyle name="Entrada 2 2 9 2 3" xfId="16879" xr:uid="{453BDAAD-474A-4A14-9300-761B11C7F74B}"/>
    <cellStyle name="Entrada 2 2 9 2 4" xfId="16880" xr:uid="{180835DD-46C8-43A1-A7B4-3840A008CDA6}"/>
    <cellStyle name="Entrada 2 2 9 2 5" xfId="16881" xr:uid="{3F8796AC-6894-4D14-83F7-6E85FF486953}"/>
    <cellStyle name="Entrada 2 2 9 3" xfId="16882" xr:uid="{9CBF4DAC-9775-4372-9809-AC08F95582D1}"/>
    <cellStyle name="Entrada 2 2 9 4" xfId="16883" xr:uid="{C55D05D2-FDAF-432D-B8E2-08D4086076A7}"/>
    <cellStyle name="Entrada 2 2 9 5" xfId="16884" xr:uid="{6F526470-C701-4EA3-A4D2-317B4A1DD878}"/>
    <cellStyle name="Entrada 2 2 9 6" xfId="16885" xr:uid="{0BAFAED1-2DFD-4118-8F4F-0AC08A87992F}"/>
    <cellStyle name="Entrada 2 2 9 7" xfId="16886" xr:uid="{C77BA072-31A4-47BC-8B29-9D28D759972E}"/>
    <cellStyle name="Entrada 2 2 9 8" xfId="16887" xr:uid="{C31F26D1-CF0C-4208-84BE-A543E3595930}"/>
    <cellStyle name="Entrada 2 2 9 9" xfId="16888" xr:uid="{C4B88309-DC21-4041-ADCF-262631C13446}"/>
    <cellStyle name="Entrada 2 20" xfId="16889" xr:uid="{363B5388-3524-4471-958A-1E7BF1C5593C}"/>
    <cellStyle name="Entrada 2 21" xfId="16890" xr:uid="{F7EADC90-CFB4-45B4-B0C9-2CD888D7B83D}"/>
    <cellStyle name="Entrada 2 3" xfId="16891" xr:uid="{845F159F-6D89-4E99-B91D-EE921E0E86FC}"/>
    <cellStyle name="Entrada 2 3 2" xfId="16892" xr:uid="{A3DA22A2-F52C-454E-AAEC-CD18EAF8DCB3}"/>
    <cellStyle name="Entrada 2 3 2 2" xfId="16893" xr:uid="{1AA49737-009D-499D-8225-AA7D48B03573}"/>
    <cellStyle name="Entrada 2 3 2 3" xfId="16894" xr:uid="{F95CFDBB-CD9B-48AE-A51E-5BC7C1A955FB}"/>
    <cellStyle name="Entrada 2 3 2 4" xfId="16895" xr:uid="{E8132769-494B-47E9-98FD-6D471707A761}"/>
    <cellStyle name="Entrada 2 3 2 5" xfId="16896" xr:uid="{ADE9100F-385C-4B7F-BBD4-DAFE292D0A53}"/>
    <cellStyle name="Entrada 2 3 3" xfId="16897" xr:uid="{68C69EAC-41DF-4C5B-B25C-C031B6D6DFE1}"/>
    <cellStyle name="Entrada 2 3 4" xfId="16898" xr:uid="{F3C417A8-9694-4424-BF7F-616FA74E5949}"/>
    <cellStyle name="Entrada 2 3 5" xfId="16899" xr:uid="{A19FF53D-F627-4A05-9EA5-A0B107FD5326}"/>
    <cellStyle name="Entrada 2 3 6" xfId="16900" xr:uid="{40AD4007-5E89-435B-9C71-AB86A1EE916B}"/>
    <cellStyle name="Entrada 2 3 7" xfId="16901" xr:uid="{47F856B7-BC6D-404F-A49B-124E6E13A60F}"/>
    <cellStyle name="Entrada 2 3 8" xfId="16902" xr:uid="{CAB21CBD-E40A-4BFC-8373-DC65A7F372D1}"/>
    <cellStyle name="Entrada 2 3 9" xfId="16903" xr:uid="{6F222567-E859-4A9F-A45A-5A3E0B88CA77}"/>
    <cellStyle name="Entrada 2 4" xfId="16904" xr:uid="{A87D0CE6-DED8-4E46-B3D3-7D03A6D2A413}"/>
    <cellStyle name="Entrada 2 4 10" xfId="16905" xr:uid="{53F9B796-9F1D-4AAC-9A12-DC2DA43F52FD}"/>
    <cellStyle name="Entrada 2 4 11" xfId="16906" xr:uid="{277F3A92-CE37-4395-B7F1-51EAD57E86A7}"/>
    <cellStyle name="Entrada 2 4 12" xfId="16907" xr:uid="{B20E7B97-ADB6-4BEB-9EC8-DD4BEB780CF6}"/>
    <cellStyle name="Entrada 2 4 13" xfId="16908" xr:uid="{7A2BF7C1-6BE4-432B-BFB6-F3AB609E5C45}"/>
    <cellStyle name="Entrada 2 4 2" xfId="16909" xr:uid="{A3F55846-5BF6-42F1-9FBD-78CA208525CA}"/>
    <cellStyle name="Entrada 2 4 2 10" xfId="16910" xr:uid="{14458B4E-12F1-424F-A198-E562161FC299}"/>
    <cellStyle name="Entrada 2 4 2 11" xfId="16911" xr:uid="{5B785C66-4419-4C45-91FA-3A7291135E49}"/>
    <cellStyle name="Entrada 2 4 2 12" xfId="16912" xr:uid="{F84344E7-6955-43DF-AE53-6EBA9E5BA9F4}"/>
    <cellStyle name="Entrada 2 4 2 13" xfId="16913" xr:uid="{9783FE0A-8695-49AB-8159-ABCEE2164E40}"/>
    <cellStyle name="Entrada 2 4 2 2" xfId="16914" xr:uid="{A49988E6-A937-40F9-A222-4C760B0E1DC6}"/>
    <cellStyle name="Entrada 2 4 2 2 10" xfId="16915" xr:uid="{D82CEF67-EB07-4532-A5CE-DBF793827B2F}"/>
    <cellStyle name="Entrada 2 4 2 2 11" xfId="16916" xr:uid="{6BC487D5-B19C-4DAD-981D-6145CF24109F}"/>
    <cellStyle name="Entrada 2 4 2 2 12" xfId="16917" xr:uid="{E292C726-F7C7-44FD-9D78-D9BD962D7292}"/>
    <cellStyle name="Entrada 2 4 2 2 2" xfId="16918" xr:uid="{BB42968F-1FCF-4835-92AA-106DA5272F86}"/>
    <cellStyle name="Entrada 2 4 2 2 2 10" xfId="16919" xr:uid="{D4CB8C32-E584-48B0-9A3B-0FDBE283B32E}"/>
    <cellStyle name="Entrada 2 4 2 2 2 11" xfId="16920" xr:uid="{8455FAB8-5AB3-4A8F-915C-536EF02D4508}"/>
    <cellStyle name="Entrada 2 4 2 2 2 12" xfId="16921" xr:uid="{15DC84D9-CD54-4580-AE77-7A245D55587B}"/>
    <cellStyle name="Entrada 2 4 2 2 2 2" xfId="16922" xr:uid="{E6499C89-541F-4E33-8F41-FAC3BA1F4816}"/>
    <cellStyle name="Entrada 2 4 2 2 2 2 2" xfId="16923" xr:uid="{5109FD82-01E3-43A8-BDF7-0A3A343AD3DD}"/>
    <cellStyle name="Entrada 2 4 2 2 2 2 2 2" xfId="16924" xr:uid="{694BF00A-13A3-4261-B65B-9438636CD549}"/>
    <cellStyle name="Entrada 2 4 2 2 2 2 2 3" xfId="16925" xr:uid="{AAD0469A-4447-41E7-9AC3-A1ADB1FDDD97}"/>
    <cellStyle name="Entrada 2 4 2 2 2 2 2 4" xfId="16926" xr:uid="{645B4C4F-C832-446C-B53C-6F30820560BE}"/>
    <cellStyle name="Entrada 2 4 2 2 2 2 2 5" xfId="16927" xr:uid="{0D8D07F5-1206-46B9-A887-333C86145DFC}"/>
    <cellStyle name="Entrada 2 4 2 2 2 2 3" xfId="16928" xr:uid="{D38C2360-AA3E-4B2C-8557-4D0D62343568}"/>
    <cellStyle name="Entrada 2 4 2 2 2 2 4" xfId="16929" xr:uid="{16D22D0A-2733-4EA1-B7E3-38A006E296D2}"/>
    <cellStyle name="Entrada 2 4 2 2 2 2 5" xfId="16930" xr:uid="{E3367BE6-2041-4567-962F-FAD0C0B2BE72}"/>
    <cellStyle name="Entrada 2 4 2 2 2 2 6" xfId="16931" xr:uid="{E729D65C-6B3E-47BA-AB85-BC066097E63B}"/>
    <cellStyle name="Entrada 2 4 2 2 2 3" xfId="16932" xr:uid="{91AF88E5-EB03-4619-8803-CFCE95FC6B2A}"/>
    <cellStyle name="Entrada 2 4 2 2 2 3 2" xfId="16933" xr:uid="{C770B64D-41A3-4419-B429-A2E4CD87598D}"/>
    <cellStyle name="Entrada 2 4 2 2 2 3 2 2" xfId="16934" xr:uid="{4A42E82A-6AC8-4EAB-9F41-14C7A3EC7A62}"/>
    <cellStyle name="Entrada 2 4 2 2 2 3 2 3" xfId="16935" xr:uid="{7BFFA352-B240-414D-8140-198950F0A768}"/>
    <cellStyle name="Entrada 2 4 2 2 2 3 2 4" xfId="16936" xr:uid="{24C4994C-B6C0-40E6-B87A-523D687CB4FC}"/>
    <cellStyle name="Entrada 2 4 2 2 2 3 2 5" xfId="16937" xr:uid="{3CC5D40F-4D56-4939-B382-3596B22901F0}"/>
    <cellStyle name="Entrada 2 4 2 2 2 3 3" xfId="16938" xr:uid="{772DCCC6-96A5-43DF-8C0E-BD720B3455E7}"/>
    <cellStyle name="Entrada 2 4 2 2 2 3 4" xfId="16939" xr:uid="{4CDA53B1-3103-496A-AD54-6464D0D2E38B}"/>
    <cellStyle name="Entrada 2 4 2 2 2 3 5" xfId="16940" xr:uid="{A91DF86C-2F2E-4E7A-8A5E-05FBB0BBC54D}"/>
    <cellStyle name="Entrada 2 4 2 2 2 3 6" xfId="16941" xr:uid="{5B91620C-E0BE-40C4-B0E7-E229F5BCA092}"/>
    <cellStyle name="Entrada 2 4 2 2 2 4" xfId="16942" xr:uid="{1E4DCE5F-19F3-49DB-AFB9-33BA23F0AC30}"/>
    <cellStyle name="Entrada 2 4 2 2 2 4 2" xfId="16943" xr:uid="{F891193A-D6A1-41E2-8BC3-E639D18DD324}"/>
    <cellStyle name="Entrada 2 4 2 2 2 4 2 2" xfId="16944" xr:uid="{7B1900A0-43EA-4BA0-9D14-B95835A0E20A}"/>
    <cellStyle name="Entrada 2 4 2 2 2 4 2 3" xfId="16945" xr:uid="{8317D3B6-87F0-4694-BFAB-9690F649B486}"/>
    <cellStyle name="Entrada 2 4 2 2 2 4 2 4" xfId="16946" xr:uid="{E725F463-7409-43AF-92DB-E056DD58FCF7}"/>
    <cellStyle name="Entrada 2 4 2 2 2 4 2 5" xfId="16947" xr:uid="{62BFB33C-D1D3-4F75-8101-6E07A99521A3}"/>
    <cellStyle name="Entrada 2 4 2 2 2 4 3" xfId="16948" xr:uid="{422F13A3-01E2-498B-90D4-156CF0AEF2F1}"/>
    <cellStyle name="Entrada 2 4 2 2 2 4 4" xfId="16949" xr:uid="{86EB7A85-5842-4379-9B0B-79749DD2841A}"/>
    <cellStyle name="Entrada 2 4 2 2 2 4 5" xfId="16950" xr:uid="{FBE8EB80-5C50-48F3-B497-FAE7369B4B25}"/>
    <cellStyle name="Entrada 2 4 2 2 2 4 6" xfId="16951" xr:uid="{D3A29212-41F4-4880-AB29-AAF459EFF95D}"/>
    <cellStyle name="Entrada 2 4 2 2 2 5" xfId="16952" xr:uid="{A5399990-2BE7-49D9-8677-5FD38648F8B6}"/>
    <cellStyle name="Entrada 2 4 2 2 2 5 2" xfId="16953" xr:uid="{99C29DC3-9F08-4A9F-924B-2D061D591ADD}"/>
    <cellStyle name="Entrada 2 4 2 2 2 5 3" xfId="16954" xr:uid="{B7822F10-11C7-4839-B16D-D053F4AEA328}"/>
    <cellStyle name="Entrada 2 4 2 2 2 5 4" xfId="16955" xr:uid="{91084915-22D4-4D2E-BDF8-BE1CC083C90A}"/>
    <cellStyle name="Entrada 2 4 2 2 2 5 5" xfId="16956" xr:uid="{5D6BACE3-81B4-4123-AB41-694EE0FB4704}"/>
    <cellStyle name="Entrada 2 4 2 2 2 6" xfId="16957" xr:uid="{1BF2521E-7369-4DE0-BD1C-A1441DDCDC62}"/>
    <cellStyle name="Entrada 2 4 2 2 2 7" xfId="16958" xr:uid="{DB467453-C10F-4A07-8E8C-5A823BCD2141}"/>
    <cellStyle name="Entrada 2 4 2 2 2 8" xfId="16959" xr:uid="{19745742-AEAD-4126-B3DD-4C66606E82A0}"/>
    <cellStyle name="Entrada 2 4 2 2 2 9" xfId="16960" xr:uid="{D4E3D110-D09B-45E0-99AA-24966808C0BA}"/>
    <cellStyle name="Entrada 2 4 2 2 3" xfId="16961" xr:uid="{15C328E9-08D1-4557-BE81-CCEC56D56576}"/>
    <cellStyle name="Entrada 2 4 2 2 3 2" xfId="16962" xr:uid="{C6024378-2195-4525-BD45-FE12C5DCA799}"/>
    <cellStyle name="Entrada 2 4 2 2 3 2 2" xfId="16963" xr:uid="{AA129D77-0666-44DD-963B-06232551913D}"/>
    <cellStyle name="Entrada 2 4 2 2 3 2 3" xfId="16964" xr:uid="{C153A2BB-3B3C-40B1-AB09-0E51038F3B92}"/>
    <cellStyle name="Entrada 2 4 2 2 3 2 4" xfId="16965" xr:uid="{DB591425-89FB-440E-90C0-70AA865C4C6D}"/>
    <cellStyle name="Entrada 2 4 2 2 3 2 5" xfId="16966" xr:uid="{B838E573-D338-4A03-939B-14D8CC1831CD}"/>
    <cellStyle name="Entrada 2 4 2 2 3 3" xfId="16967" xr:uid="{2A31AEB8-E770-40EA-9608-1560133D61FA}"/>
    <cellStyle name="Entrada 2 4 2 2 3 4" xfId="16968" xr:uid="{3E296FB5-090D-46A2-86F8-8303E82E0317}"/>
    <cellStyle name="Entrada 2 4 2 2 3 5" xfId="16969" xr:uid="{E4900C6E-4F5E-4D64-833F-8445AF57D678}"/>
    <cellStyle name="Entrada 2 4 2 2 3 6" xfId="16970" xr:uid="{A5DB04CE-E0CD-47C0-9975-38D7D4F05244}"/>
    <cellStyle name="Entrada 2 4 2 2 4" xfId="16971" xr:uid="{A77C9417-0943-4905-903C-15C7B7422F11}"/>
    <cellStyle name="Entrada 2 4 2 2 4 2" xfId="16972" xr:uid="{3307A6F9-D145-4C18-B92C-ADB781CA5D09}"/>
    <cellStyle name="Entrada 2 4 2 2 4 2 2" xfId="16973" xr:uid="{A42407C5-9F4D-4764-8A7F-375B27D33254}"/>
    <cellStyle name="Entrada 2 4 2 2 4 2 3" xfId="16974" xr:uid="{8BEC67F9-6082-4BBB-BB9D-76C0298D9A75}"/>
    <cellStyle name="Entrada 2 4 2 2 4 2 4" xfId="16975" xr:uid="{093B7A2D-B0AF-4C55-8694-2F8536CB6D3D}"/>
    <cellStyle name="Entrada 2 4 2 2 4 2 5" xfId="16976" xr:uid="{C3EA0971-282C-4784-A496-2AC00A568DD9}"/>
    <cellStyle name="Entrada 2 4 2 2 4 3" xfId="16977" xr:uid="{592362E6-8185-4385-A9FE-177F7AC77416}"/>
    <cellStyle name="Entrada 2 4 2 2 4 4" xfId="16978" xr:uid="{81D71DB8-06C2-4E83-8C06-987DBCB0F6AB}"/>
    <cellStyle name="Entrada 2 4 2 2 4 5" xfId="16979" xr:uid="{41D1B5F9-CE17-4D94-989A-7C250AE28454}"/>
    <cellStyle name="Entrada 2 4 2 2 4 6" xfId="16980" xr:uid="{1E019301-E129-4A06-9849-04EFF9BD81C2}"/>
    <cellStyle name="Entrada 2 4 2 2 5" xfId="16981" xr:uid="{D3C5D7AE-35AF-47FE-900C-A66C37D6A0BB}"/>
    <cellStyle name="Entrada 2 4 2 2 5 2" xfId="16982" xr:uid="{13066882-9474-4FA9-879E-0A7F8AAA6E87}"/>
    <cellStyle name="Entrada 2 4 2 2 5 3" xfId="16983" xr:uid="{CED60D51-B147-4EEC-9021-C224519F8222}"/>
    <cellStyle name="Entrada 2 4 2 2 5 4" xfId="16984" xr:uid="{FCB96756-37C8-4F59-BC73-168FDF55F3D0}"/>
    <cellStyle name="Entrada 2 4 2 2 5 5" xfId="16985" xr:uid="{93B46DC1-7E91-47EB-959E-1532BFF28237}"/>
    <cellStyle name="Entrada 2 4 2 2 6" xfId="16986" xr:uid="{CC7343AD-E614-4494-84E8-7AD2F7D369BB}"/>
    <cellStyle name="Entrada 2 4 2 2 7" xfId="16987" xr:uid="{C14FF2BA-A675-45E8-BAE4-ACFADCD9079D}"/>
    <cellStyle name="Entrada 2 4 2 2 8" xfId="16988" xr:uid="{010C0F10-69B9-4F9D-A9CA-FC4ABFAFDCD0}"/>
    <cellStyle name="Entrada 2 4 2 2 9" xfId="16989" xr:uid="{65580BC6-ACCD-4B98-B030-2B7AD7C761E3}"/>
    <cellStyle name="Entrada 2 4 2 3" xfId="16990" xr:uid="{A1E5CD65-7170-4EE1-BD5A-F36A1D59634F}"/>
    <cellStyle name="Entrada 2 4 2 3 2" xfId="16991" xr:uid="{CB7F7E9E-671F-4178-BF30-F676F7D33F75}"/>
    <cellStyle name="Entrada 2 4 2 3 2 2" xfId="16992" xr:uid="{7412117D-45D1-4CAD-BEDB-C17686ED0EDB}"/>
    <cellStyle name="Entrada 2 4 2 3 2 3" xfId="16993" xr:uid="{F6D43011-8119-46B4-BFAC-516F57C8E26C}"/>
    <cellStyle name="Entrada 2 4 2 3 2 4" xfId="16994" xr:uid="{B8180BF6-C2E9-44BC-86B1-FDB11CDBA1DE}"/>
    <cellStyle name="Entrada 2 4 2 3 2 5" xfId="16995" xr:uid="{0C19BE23-1FBA-4F84-9FBD-32746D155727}"/>
    <cellStyle name="Entrada 2 4 2 3 3" xfId="16996" xr:uid="{9BF731B3-3F7B-426E-A70A-1680994E0133}"/>
    <cellStyle name="Entrada 2 4 2 3 4" xfId="16997" xr:uid="{4D0D898C-DB42-4FD7-A77B-551D006CD8E7}"/>
    <cellStyle name="Entrada 2 4 2 3 5" xfId="16998" xr:uid="{B3CE651D-836D-4935-84B9-C3A743CE36DC}"/>
    <cellStyle name="Entrada 2 4 2 3 6" xfId="16999" xr:uid="{C7122714-1DD8-4761-BAC7-B566ADB709AF}"/>
    <cellStyle name="Entrada 2 4 2 4" xfId="17000" xr:uid="{BF3BE2C6-028D-4315-89CA-A9FD2311D8E9}"/>
    <cellStyle name="Entrada 2 4 2 4 2" xfId="17001" xr:uid="{D0105396-3625-4D76-95F9-6E3A9ACDFFF9}"/>
    <cellStyle name="Entrada 2 4 2 4 2 2" xfId="17002" xr:uid="{A1FFACF3-63D3-4392-BB15-CC56332684D2}"/>
    <cellStyle name="Entrada 2 4 2 4 2 3" xfId="17003" xr:uid="{489A7F18-50F5-460E-B5DC-0A9233F8DE49}"/>
    <cellStyle name="Entrada 2 4 2 4 2 4" xfId="17004" xr:uid="{BDAA5D1D-DF9B-489E-BF7F-1CB09E46FF4D}"/>
    <cellStyle name="Entrada 2 4 2 4 2 5" xfId="17005" xr:uid="{454D8DB1-9619-432A-A545-167A4775934A}"/>
    <cellStyle name="Entrada 2 4 2 4 3" xfId="17006" xr:uid="{CBF2103E-0696-4533-93FE-DC8175FD632F}"/>
    <cellStyle name="Entrada 2 4 2 4 4" xfId="17007" xr:uid="{0B6CF2A9-41D0-441F-88CC-26149F116FCF}"/>
    <cellStyle name="Entrada 2 4 2 4 5" xfId="17008" xr:uid="{6C5A3DF1-0959-4278-884C-2A6C845D79B4}"/>
    <cellStyle name="Entrada 2 4 2 4 6" xfId="17009" xr:uid="{497270BD-EE8C-4140-86F3-A1AD41534E30}"/>
    <cellStyle name="Entrada 2 4 2 5" xfId="17010" xr:uid="{0CECD1AF-A804-4AB2-82C1-ACA72D62D662}"/>
    <cellStyle name="Entrada 2 4 2 5 2" xfId="17011" xr:uid="{BB691A4F-6403-43FB-A235-F4051B76E923}"/>
    <cellStyle name="Entrada 2 4 2 5 2 2" xfId="17012" xr:uid="{EF0AAC83-7D80-451B-9723-CCCECE8FEEC1}"/>
    <cellStyle name="Entrada 2 4 2 5 2 3" xfId="17013" xr:uid="{3AFE5D96-16F1-429C-A4DA-4A19AD9C1DA7}"/>
    <cellStyle name="Entrada 2 4 2 5 2 4" xfId="17014" xr:uid="{39A02A02-36AE-4207-9426-233802D6968D}"/>
    <cellStyle name="Entrada 2 4 2 5 2 5" xfId="17015" xr:uid="{A8590E44-DFCA-431A-BDB6-42F3414EA149}"/>
    <cellStyle name="Entrada 2 4 2 5 3" xfId="17016" xr:uid="{1C6B0EC8-5BC8-4AD1-824A-24C0F5156E84}"/>
    <cellStyle name="Entrada 2 4 2 5 4" xfId="17017" xr:uid="{9D2FD363-2A08-4A99-8A3F-E5ACEC609E4C}"/>
    <cellStyle name="Entrada 2 4 2 5 5" xfId="17018" xr:uid="{9956C581-C338-4FFD-A367-3882D2ADC81D}"/>
    <cellStyle name="Entrada 2 4 2 5 6" xfId="17019" xr:uid="{FCEF20E3-E075-4FBA-99AA-0BCADFA782EE}"/>
    <cellStyle name="Entrada 2 4 2 6" xfId="17020" xr:uid="{CFCAB357-8B25-4D6D-9179-2CCD4934616B}"/>
    <cellStyle name="Entrada 2 4 2 6 2" xfId="17021" xr:uid="{C550B4E8-CB64-4169-816A-35039D3BA178}"/>
    <cellStyle name="Entrada 2 4 2 6 3" xfId="17022" xr:uid="{449CB6B8-7548-421B-9A01-AAD2AF7C8143}"/>
    <cellStyle name="Entrada 2 4 2 6 4" xfId="17023" xr:uid="{2324B9AE-09EF-4A67-AA47-EA57D4707311}"/>
    <cellStyle name="Entrada 2 4 2 6 5" xfId="17024" xr:uid="{2D789B74-0429-4DB3-9CA5-09F8807ADB7B}"/>
    <cellStyle name="Entrada 2 4 2 7" xfId="17025" xr:uid="{751F7D6C-DE86-47BA-8498-9FD96AA0DB2C}"/>
    <cellStyle name="Entrada 2 4 2 8" xfId="17026" xr:uid="{AF55DDAB-5979-4F81-A9E3-BC08AB1E9A9E}"/>
    <cellStyle name="Entrada 2 4 2 9" xfId="17027" xr:uid="{A4E62EC2-D581-49B1-BD94-13EE555118E7}"/>
    <cellStyle name="Entrada 2 4 3" xfId="17028" xr:uid="{C22BF085-CED7-440C-9204-0EB95D956909}"/>
    <cellStyle name="Entrada 2 4 3 10" xfId="17029" xr:uid="{EDF681D1-0578-4537-A9BB-14E014EBB2D2}"/>
    <cellStyle name="Entrada 2 4 3 11" xfId="17030" xr:uid="{EE454BCA-ABF9-4F40-A602-C02E87810A08}"/>
    <cellStyle name="Entrada 2 4 3 12" xfId="17031" xr:uid="{D7EF6F5C-C586-41EA-B58D-A8E37CB5A83B}"/>
    <cellStyle name="Entrada 2 4 3 2" xfId="17032" xr:uid="{A4862E70-20D1-4D05-8910-153980D64422}"/>
    <cellStyle name="Entrada 2 4 3 2 2" xfId="17033" xr:uid="{57207AD6-139C-4146-9A25-02E098609518}"/>
    <cellStyle name="Entrada 2 4 3 2 2 2" xfId="17034" xr:uid="{E7BEB907-F4BE-47F0-996D-1217E7F9FC43}"/>
    <cellStyle name="Entrada 2 4 3 2 2 3" xfId="17035" xr:uid="{C2DCCE89-564B-43A8-95A0-BACB84DD9AA3}"/>
    <cellStyle name="Entrada 2 4 3 2 2 4" xfId="17036" xr:uid="{0347564D-974B-445A-9B63-963D9DFBCD9D}"/>
    <cellStyle name="Entrada 2 4 3 2 2 5" xfId="17037" xr:uid="{D35355CF-0247-402C-BA1C-CA462AC6A0F6}"/>
    <cellStyle name="Entrada 2 4 3 2 3" xfId="17038" xr:uid="{6579923F-8CD9-44FA-9BE4-C090546A155F}"/>
    <cellStyle name="Entrada 2 4 3 2 4" xfId="17039" xr:uid="{40F43B9A-00BE-4C10-ABE7-DF5CF9675321}"/>
    <cellStyle name="Entrada 2 4 3 2 5" xfId="17040" xr:uid="{CDA26040-D74D-43EE-AC50-2C38EA7EED44}"/>
    <cellStyle name="Entrada 2 4 3 2 6" xfId="17041" xr:uid="{E24B8A4B-4F74-475C-A1FF-F83B8472CE01}"/>
    <cellStyle name="Entrada 2 4 3 3" xfId="17042" xr:uid="{EFDD5DEC-C9AB-49AB-9078-ED7F7EC277F7}"/>
    <cellStyle name="Entrada 2 4 3 3 2" xfId="17043" xr:uid="{985D5C5E-BC6B-4161-A94B-3B71D272EDF7}"/>
    <cellStyle name="Entrada 2 4 3 3 2 2" xfId="17044" xr:uid="{E95F89B0-6AEB-42D7-8688-F4A819ABE44A}"/>
    <cellStyle name="Entrada 2 4 3 3 2 3" xfId="17045" xr:uid="{6F8AF107-8D84-43FC-B579-CEE368451635}"/>
    <cellStyle name="Entrada 2 4 3 3 2 4" xfId="17046" xr:uid="{26AFD7C0-0C76-4C4F-9B10-D704A663B22D}"/>
    <cellStyle name="Entrada 2 4 3 3 2 5" xfId="17047" xr:uid="{32DFC694-8AB0-4CE6-A6C7-F8A56AF10303}"/>
    <cellStyle name="Entrada 2 4 3 3 3" xfId="17048" xr:uid="{91C25033-B1B6-472B-98AA-0C142898057C}"/>
    <cellStyle name="Entrada 2 4 3 3 4" xfId="17049" xr:uid="{6CF660AE-1AF2-4BA8-9229-DCE31D59EFBB}"/>
    <cellStyle name="Entrada 2 4 3 3 5" xfId="17050" xr:uid="{AAFD80C2-59BF-4032-9A29-B55039DCBBFD}"/>
    <cellStyle name="Entrada 2 4 3 3 6" xfId="17051" xr:uid="{60B7B05B-2DC2-4AD0-9C9E-1A7803A9C78D}"/>
    <cellStyle name="Entrada 2 4 3 4" xfId="17052" xr:uid="{6C2BACFB-C955-4144-BFF2-467B77661A13}"/>
    <cellStyle name="Entrada 2 4 3 4 2" xfId="17053" xr:uid="{6E4F9945-46FF-4083-A586-A911AD8DBD7D}"/>
    <cellStyle name="Entrada 2 4 3 4 2 2" xfId="17054" xr:uid="{DC368EAC-A16A-455B-BA3E-E664025D1C05}"/>
    <cellStyle name="Entrada 2 4 3 4 2 3" xfId="17055" xr:uid="{A35052B8-3FB6-4E11-ACD6-4A4C185470E3}"/>
    <cellStyle name="Entrada 2 4 3 4 2 4" xfId="17056" xr:uid="{6E2B8585-DC7D-4EFB-ADA0-A74F26D2F3AC}"/>
    <cellStyle name="Entrada 2 4 3 4 2 5" xfId="17057" xr:uid="{FF205711-E680-4714-B2E0-CEBD6C882129}"/>
    <cellStyle name="Entrada 2 4 3 4 3" xfId="17058" xr:uid="{F38B7A2F-B9E2-4F21-B613-B8F6C80361A7}"/>
    <cellStyle name="Entrada 2 4 3 4 4" xfId="17059" xr:uid="{4D8FF668-7B1A-4FB3-B8E0-F267C12F17FF}"/>
    <cellStyle name="Entrada 2 4 3 4 5" xfId="17060" xr:uid="{43B0BC3C-407F-48B3-86E5-885983F95633}"/>
    <cellStyle name="Entrada 2 4 3 4 6" xfId="17061" xr:uid="{01D3A1DE-DED0-4091-A70B-8C63807D4701}"/>
    <cellStyle name="Entrada 2 4 3 5" xfId="17062" xr:uid="{F654F859-4C9E-4FF5-9FAB-33402DAE6941}"/>
    <cellStyle name="Entrada 2 4 3 5 2" xfId="17063" xr:uid="{4A67C255-36BE-430A-945D-C91E09E96AFC}"/>
    <cellStyle name="Entrada 2 4 3 5 3" xfId="17064" xr:uid="{0D44B313-6B7A-47D4-99E1-43623D9EB432}"/>
    <cellStyle name="Entrada 2 4 3 5 4" xfId="17065" xr:uid="{6FB79352-9CAB-4E07-91ED-E2547F7943F8}"/>
    <cellStyle name="Entrada 2 4 3 5 5" xfId="17066" xr:uid="{974F3FB3-BFC8-4811-A408-8B57BFA5E2CD}"/>
    <cellStyle name="Entrada 2 4 3 6" xfId="17067" xr:uid="{BBE5DA1D-5770-4DBA-91DC-117431B12369}"/>
    <cellStyle name="Entrada 2 4 3 7" xfId="17068" xr:uid="{9194157A-F85F-4F57-8179-4E917B2F562E}"/>
    <cellStyle name="Entrada 2 4 3 8" xfId="17069" xr:uid="{B8226AE0-0179-47F7-B210-6B553498BA90}"/>
    <cellStyle name="Entrada 2 4 3 9" xfId="17070" xr:uid="{E2952CE5-F24E-4D69-9D20-142E568C4994}"/>
    <cellStyle name="Entrada 2 4 4" xfId="17071" xr:uid="{59511822-CDAC-4DD2-9344-55740E9D7D5A}"/>
    <cellStyle name="Entrada 2 4 4 2" xfId="17072" xr:uid="{126E3B30-D3E6-487B-ACB8-AF04F47D16B7}"/>
    <cellStyle name="Entrada 2 4 4 2 2" xfId="17073" xr:uid="{3B3F3673-C08D-418E-A368-2DC49388D9F7}"/>
    <cellStyle name="Entrada 2 4 4 2 3" xfId="17074" xr:uid="{E72159CB-9195-4979-8DAD-6B64D8963A29}"/>
    <cellStyle name="Entrada 2 4 4 2 4" xfId="17075" xr:uid="{186E8C24-9EE1-4684-A936-1205BE527871}"/>
    <cellStyle name="Entrada 2 4 4 2 5" xfId="17076" xr:uid="{3F3233FF-E15B-4FAC-9C18-70E150858539}"/>
    <cellStyle name="Entrada 2 4 4 3" xfId="17077" xr:uid="{334E7AC0-652E-463C-BC9B-589271F9DF97}"/>
    <cellStyle name="Entrada 2 4 4 4" xfId="17078" xr:uid="{5A0B6DC2-5CF0-467F-A0AF-DAA8194A520B}"/>
    <cellStyle name="Entrada 2 4 4 5" xfId="17079" xr:uid="{4031AB1B-8B89-4E0B-8465-1610D9ABED8A}"/>
    <cellStyle name="Entrada 2 4 4 6" xfId="17080" xr:uid="{34DE927D-C9F5-42EF-B9DF-DDE89B6DB801}"/>
    <cellStyle name="Entrada 2 4 5" xfId="17081" xr:uid="{ED80B233-3853-4EAB-AF94-D1432FA9ECCB}"/>
    <cellStyle name="Entrada 2 4 5 2" xfId="17082" xr:uid="{ABD0920B-51EF-4A59-B8D7-188633B0527A}"/>
    <cellStyle name="Entrada 2 4 5 2 2" xfId="17083" xr:uid="{3C4F3FFE-DA48-4BF6-8ABE-DD6ADE424D48}"/>
    <cellStyle name="Entrada 2 4 5 2 3" xfId="17084" xr:uid="{2B4C716C-5AB2-42D4-AE3B-7CFCC59FA6EF}"/>
    <cellStyle name="Entrada 2 4 5 2 4" xfId="17085" xr:uid="{EE3011AD-305A-4E90-B406-B8F4DF31AA1B}"/>
    <cellStyle name="Entrada 2 4 5 2 5" xfId="17086" xr:uid="{A717573D-8204-40D6-854D-FEE9E2F6F029}"/>
    <cellStyle name="Entrada 2 4 5 3" xfId="17087" xr:uid="{513F0431-388B-4F03-950C-897AC2F2DB4E}"/>
    <cellStyle name="Entrada 2 4 5 4" xfId="17088" xr:uid="{239E4BA1-0228-4009-9420-9C55533D476C}"/>
    <cellStyle name="Entrada 2 4 5 5" xfId="17089" xr:uid="{5101B29E-35C7-43D3-94D8-D717296F7C30}"/>
    <cellStyle name="Entrada 2 4 5 6" xfId="17090" xr:uid="{195CB244-0D31-4A1F-9E97-DDF897717EA9}"/>
    <cellStyle name="Entrada 2 4 6" xfId="17091" xr:uid="{6974A37A-E0F9-471B-8EDA-DD8FA3BD00D8}"/>
    <cellStyle name="Entrada 2 4 6 2" xfId="17092" xr:uid="{C0B3C963-26E1-45F1-8B8F-17E095939DBC}"/>
    <cellStyle name="Entrada 2 4 6 3" xfId="17093" xr:uid="{0636D7C9-3D76-4DB7-AF66-637FAF81F995}"/>
    <cellStyle name="Entrada 2 4 6 4" xfId="17094" xr:uid="{4B0CEE33-A2B5-4FF0-AE6E-02647D039F69}"/>
    <cellStyle name="Entrada 2 4 6 5" xfId="17095" xr:uid="{ED69EAA7-D399-4AEF-98DB-2509F885EDF4}"/>
    <cellStyle name="Entrada 2 4 7" xfId="17096" xr:uid="{E199BBCB-93F2-4B64-8B89-05B304F936AD}"/>
    <cellStyle name="Entrada 2 4 8" xfId="17097" xr:uid="{93C92196-345B-4E75-B58C-D6C31A6A413D}"/>
    <cellStyle name="Entrada 2 4 9" xfId="17098" xr:uid="{3FE22917-3B74-465B-9BDE-2A0AFB1FAF0A}"/>
    <cellStyle name="Entrada 2 5" xfId="17099" xr:uid="{489E259C-0C35-4422-B7F8-A569D9C67B2D}"/>
    <cellStyle name="Entrada 2 5 2" xfId="17100" xr:uid="{0B354B24-E778-455E-8F83-18F0A4E33927}"/>
    <cellStyle name="Entrada 2 5 2 2" xfId="17101" xr:uid="{AAF2E605-CDFD-4FF0-89DD-891C2C75ED93}"/>
    <cellStyle name="Entrada 2 5 2 3" xfId="17102" xr:uid="{707253EE-DA92-404F-A646-0B8E27AAA227}"/>
    <cellStyle name="Entrada 2 5 2 4" xfId="17103" xr:uid="{E19B7D8C-B984-447C-8636-DD7A9D22B39A}"/>
    <cellStyle name="Entrada 2 5 2 5" xfId="17104" xr:uid="{BEDE5348-319B-4704-BD6F-AF77FFF0692B}"/>
    <cellStyle name="Entrada 2 5 3" xfId="17105" xr:uid="{F6040B52-6223-453E-A116-A1A149F68AD8}"/>
    <cellStyle name="Entrada 2 5 4" xfId="17106" xr:uid="{A00FD5D1-7F04-4108-8DA0-937781B1D857}"/>
    <cellStyle name="Entrada 2 5 5" xfId="17107" xr:uid="{4FD697AE-C345-4888-A659-912DE6ED6ACE}"/>
    <cellStyle name="Entrada 2 5 6" xfId="17108" xr:uid="{1332A243-9304-4CF9-A623-77BE765693B0}"/>
    <cellStyle name="Entrada 2 5 7" xfId="17109" xr:uid="{0D1B2C0A-C103-4C7C-A3EF-64F988EFD4CF}"/>
    <cellStyle name="Entrada 2 5 8" xfId="17110" xr:uid="{57F44195-99E3-44A9-B512-3F6B74E53A83}"/>
    <cellStyle name="Entrada 2 5 9" xfId="17111" xr:uid="{66A6A62E-E736-4FBE-8433-80130DE222BF}"/>
    <cellStyle name="Entrada 2 6" xfId="17112" xr:uid="{5A1D7177-5307-4A02-8F3A-40B28E0A8B49}"/>
    <cellStyle name="Entrada 2 6 2" xfId="17113" xr:uid="{592B6627-ED7F-429A-9A31-8DAED156D03A}"/>
    <cellStyle name="Entrada 2 6 2 2" xfId="17114" xr:uid="{4E1CD9D7-FB3C-4AC2-934F-A2A18BD16531}"/>
    <cellStyle name="Entrada 2 6 2 3" xfId="17115" xr:uid="{3141A9EA-88A1-42C7-A65E-57FF9459E508}"/>
    <cellStyle name="Entrada 2 6 2 4" xfId="17116" xr:uid="{DE28D694-FC03-413D-AC5E-6F1519A0C7AF}"/>
    <cellStyle name="Entrada 2 6 2 5" xfId="17117" xr:uid="{A09E7692-26A1-41A0-A9D2-0F9CD72AAFE8}"/>
    <cellStyle name="Entrada 2 6 3" xfId="17118" xr:uid="{2F413D9C-BCE5-4D09-BFD4-B14F8EB216F2}"/>
    <cellStyle name="Entrada 2 6 4" xfId="17119" xr:uid="{CC13B82B-ADFF-4FB7-B0B2-D7C2AC29C37B}"/>
    <cellStyle name="Entrada 2 6 5" xfId="17120" xr:uid="{78CE5C43-497B-4852-8887-B5DC1169B10F}"/>
    <cellStyle name="Entrada 2 6 6" xfId="17121" xr:uid="{650201F9-9C44-49B5-BEF9-E6D8EEDD25AC}"/>
    <cellStyle name="Entrada 2 6 7" xfId="17122" xr:uid="{B09D4BC9-E1F0-43E9-A6B5-850F5601F64D}"/>
    <cellStyle name="Entrada 2 6 8" xfId="17123" xr:uid="{6EE0CAB4-F8F6-40A6-A5D6-418EA003657E}"/>
    <cellStyle name="Entrada 2 6 9" xfId="17124" xr:uid="{C1945486-1D3E-4D3C-B400-82D7192F7ECD}"/>
    <cellStyle name="Entrada 2 7" xfId="17125" xr:uid="{AFCF720E-8415-4B8B-A3AF-2B19576C050B}"/>
    <cellStyle name="Entrada 2 7 2" xfId="17126" xr:uid="{80E3D926-640F-4B3E-A6D1-2277C0D019EE}"/>
    <cellStyle name="Entrada 2 7 2 2" xfId="17127" xr:uid="{D8D34334-285E-4FC2-850B-07D02F7C2211}"/>
    <cellStyle name="Entrada 2 7 2 3" xfId="17128" xr:uid="{5A7FA2B3-F65E-4360-A962-0D27B113F9B8}"/>
    <cellStyle name="Entrada 2 7 2 4" xfId="17129" xr:uid="{890C4E74-0FF5-4EB8-8341-8324A176E973}"/>
    <cellStyle name="Entrada 2 7 2 5" xfId="17130" xr:uid="{02157C9E-26DF-4C1D-AA87-A659B1A44DE5}"/>
    <cellStyle name="Entrada 2 7 3" xfId="17131" xr:uid="{5EB8B589-DCF2-4ECE-8B81-B1328C11D583}"/>
    <cellStyle name="Entrada 2 7 4" xfId="17132" xr:uid="{C4E249E8-205A-4F91-9E69-71F1E6234706}"/>
    <cellStyle name="Entrada 2 7 5" xfId="17133" xr:uid="{E71DE2C1-462E-4B75-BCE1-9A96C5595408}"/>
    <cellStyle name="Entrada 2 7 6" xfId="17134" xr:uid="{7F0B6A1E-23CF-42A4-A2F2-AF7EC29F84EB}"/>
    <cellStyle name="Entrada 2 7 7" xfId="17135" xr:uid="{2CEFB77B-4DC5-43C4-A515-28AFAB623D2D}"/>
    <cellStyle name="Entrada 2 7 8" xfId="17136" xr:uid="{13A08B96-130C-4B6C-8B88-938838E97B74}"/>
    <cellStyle name="Entrada 2 7 9" xfId="17137" xr:uid="{A5649026-BEDA-404C-8212-9C3CB467EA27}"/>
    <cellStyle name="Entrada 2 8" xfId="17138" xr:uid="{537E6DEE-4A01-4F28-9B34-3C4175589AD5}"/>
    <cellStyle name="Entrada 2 8 10" xfId="17139" xr:uid="{77A46212-B0D8-4EC3-8CBD-E8DF92AB490E}"/>
    <cellStyle name="Entrada 2 8 2" xfId="17140" xr:uid="{7F87541D-D52D-48A5-8211-AD917B33104E}"/>
    <cellStyle name="Entrada 2 8 2 2" xfId="17141" xr:uid="{3A09CC4A-78C9-469D-97B3-2363B4CC00F8}"/>
    <cellStyle name="Entrada 2 8 2 2 2" xfId="17142" xr:uid="{023F9FD7-15F2-45EB-A8EF-99E12859B434}"/>
    <cellStyle name="Entrada 2 8 2 2 3" xfId="17143" xr:uid="{DFC00FD6-87EE-4EF5-85EA-0D5F33BC1682}"/>
    <cellStyle name="Entrada 2 8 2 2 4" xfId="17144" xr:uid="{4BD68B5B-02BD-4467-A449-CE6F46A37F92}"/>
    <cellStyle name="Entrada 2 8 2 2 5" xfId="17145" xr:uid="{C9737259-E432-4BFD-B342-17AE8945C009}"/>
    <cellStyle name="Entrada 2 8 2 3" xfId="17146" xr:uid="{CF07EC9F-8BC4-4DB5-9B70-04997E98D49E}"/>
    <cellStyle name="Entrada 2 8 2 4" xfId="17147" xr:uid="{402091EB-CE35-427E-9E72-8CF304C94EA8}"/>
    <cellStyle name="Entrada 2 8 2 5" xfId="17148" xr:uid="{A13231E3-81B3-4671-9C22-4AB38EC02E4F}"/>
    <cellStyle name="Entrada 2 8 2 6" xfId="17149" xr:uid="{901E5642-0F72-418C-91A1-D6FB63078528}"/>
    <cellStyle name="Entrada 2 8 2 7" xfId="17150" xr:uid="{0FC09CAE-D798-4BED-9CC8-5EBCFAE9EA7F}"/>
    <cellStyle name="Entrada 2 8 2 8" xfId="17151" xr:uid="{3B91D977-BE68-415D-8F69-72940FA567B1}"/>
    <cellStyle name="Entrada 2 8 2 9" xfId="17152" xr:uid="{ED54083E-890A-426D-8C23-FAAEB33B61DD}"/>
    <cellStyle name="Entrada 2 8 3" xfId="17153" xr:uid="{CB8B8C43-5876-4F81-BC30-CD01A49A0A60}"/>
    <cellStyle name="Entrada 2 8 3 2" xfId="17154" xr:uid="{DC0F5A3B-EC40-46BA-B4DF-0B86580F8AEA}"/>
    <cellStyle name="Entrada 2 8 3 3" xfId="17155" xr:uid="{EE47D368-92E6-4166-933B-72652463D1AE}"/>
    <cellStyle name="Entrada 2 8 3 4" xfId="17156" xr:uid="{72ECE4E3-4CB7-453E-82FC-00CCEF920D27}"/>
    <cellStyle name="Entrada 2 8 3 5" xfId="17157" xr:uid="{49DCD870-42DF-4C31-8595-2C4FC11F3650}"/>
    <cellStyle name="Entrada 2 8 4" xfId="17158" xr:uid="{1E9A0CA2-9389-43D0-98AA-E3FB498138CE}"/>
    <cellStyle name="Entrada 2 8 5" xfId="17159" xr:uid="{4AF4DF7B-F093-438E-BD9D-4A12A45E3CC5}"/>
    <cellStyle name="Entrada 2 8 6" xfId="17160" xr:uid="{A4E0B346-B5D7-4488-A4E3-153FFAF69D99}"/>
    <cellStyle name="Entrada 2 8 7" xfId="17161" xr:uid="{AEDC1C0B-BC26-4A4A-BE65-80F945944809}"/>
    <cellStyle name="Entrada 2 8 8" xfId="17162" xr:uid="{437AA2CE-DA2E-433D-9C99-D650D7775BF8}"/>
    <cellStyle name="Entrada 2 8 9" xfId="17163" xr:uid="{7C345006-CF49-41B0-902B-C015D1A978C2}"/>
    <cellStyle name="Entrada 2 9" xfId="17164" xr:uid="{0F146B75-2208-41A4-A870-E9B91752B68E}"/>
    <cellStyle name="Entrada 2 9 2" xfId="17165" xr:uid="{097C76F9-1A97-4C75-93E3-661C974AD5C8}"/>
    <cellStyle name="Entrada 2 9 2 2" xfId="17166" xr:uid="{370EEA5D-27C5-47F3-908E-B241B410367E}"/>
    <cellStyle name="Entrada 2 9 2 3" xfId="17167" xr:uid="{E22B719B-1DBA-4CA7-9458-B1270147F5CE}"/>
    <cellStyle name="Entrada 2 9 2 4" xfId="17168" xr:uid="{299F1436-26F9-470A-8F9F-8EC7E1E0BB93}"/>
    <cellStyle name="Entrada 2 9 2 5" xfId="17169" xr:uid="{A9F21948-F11A-479D-BF97-00D8848CCB4D}"/>
    <cellStyle name="Entrada 2 9 3" xfId="17170" xr:uid="{266D66DA-23C6-4D89-AB58-8B5CFDF0FE0C}"/>
    <cellStyle name="Entrada 2 9 4" xfId="17171" xr:uid="{C2B0FB86-9125-47F6-BFC6-DB54CD51A369}"/>
    <cellStyle name="Entrada 2 9 5" xfId="17172" xr:uid="{B218D6A6-A737-4DCC-8576-06089E535E61}"/>
    <cellStyle name="Entrada 2 9 6" xfId="17173" xr:uid="{20739137-210D-4878-8E61-4C00B5EF70AF}"/>
    <cellStyle name="Entrada 2 9 7" xfId="17174" xr:uid="{AEA96A56-3AA6-4D81-815D-0527B5A7FE9E}"/>
    <cellStyle name="Entrada 2 9 8" xfId="17175" xr:uid="{314841F9-F351-4FD8-AC21-0FA93BEB1166}"/>
    <cellStyle name="Entrada 2 9 9" xfId="17176" xr:uid="{D221F663-BED8-47CB-9C03-4A26FAFB4D88}"/>
    <cellStyle name="Entrada 3" xfId="17177" xr:uid="{FA1A35C0-D371-4D52-815C-ADFB3352784A}"/>
    <cellStyle name="Entrada 3 10" xfId="17178" xr:uid="{8D17F900-4F19-4F82-ABE3-130566D5691D}"/>
    <cellStyle name="Entrada 3 11" xfId="17179" xr:uid="{81469BDC-5E32-4511-B349-BBFC6581BF3D}"/>
    <cellStyle name="Entrada 3 2" xfId="17180" xr:uid="{1FF6AC22-663D-442B-8A6B-1DDE2CA65D67}"/>
    <cellStyle name="Entrada 3 2 2" xfId="17181" xr:uid="{35AD66FD-FECC-488D-A9F4-4C452617CA59}"/>
    <cellStyle name="Entrada 3 2 2 2" xfId="17182" xr:uid="{807B9038-89EC-43B9-A449-CC98CBE7AA54}"/>
    <cellStyle name="Entrada 3 2 2 3" xfId="17183" xr:uid="{64535858-F9C3-4D73-BA6C-D5ABFE9CC6A7}"/>
    <cellStyle name="Entrada 3 2 2 4" xfId="17184" xr:uid="{A8D88256-45F6-4B59-88CD-6AD5343BB110}"/>
    <cellStyle name="Entrada 3 2 2 5" xfId="17185" xr:uid="{EDA861C4-2DEC-49D1-9A0B-C8F43D7D986E}"/>
    <cellStyle name="Entrada 3 2 3" xfId="17186" xr:uid="{2B12625D-6263-4A68-976C-D7C9C245C109}"/>
    <cellStyle name="Entrada 3 2 4" xfId="17187" xr:uid="{DA3B6814-8859-4C5D-92E0-92D3734A0AD7}"/>
    <cellStyle name="Entrada 3 2 5" xfId="17188" xr:uid="{B0831EA3-6282-48F9-AD00-6519F0BF83C4}"/>
    <cellStyle name="Entrada 3 2 6" xfId="17189" xr:uid="{D14D2D9C-A5F0-4889-BD24-08A4C0BA9CD0}"/>
    <cellStyle name="Entrada 3 2 7" xfId="17190" xr:uid="{3426A063-A840-4113-9C39-FEE34848E776}"/>
    <cellStyle name="Entrada 3 2 8" xfId="17191" xr:uid="{68503EB3-EB34-4918-81B0-BA3CD517EBF7}"/>
    <cellStyle name="Entrada 3 2 9" xfId="17192" xr:uid="{5F8C66E3-5A68-48E1-992F-227F4ADA4F92}"/>
    <cellStyle name="Entrada 3 3" xfId="17193" xr:uid="{99E28C4B-2A54-4747-A883-8DC245C22848}"/>
    <cellStyle name="Entrada 3 3 2" xfId="17194" xr:uid="{E1B73BA3-4A3D-4C57-8EA7-E643673D26C0}"/>
    <cellStyle name="Entrada 3 3 2 2" xfId="17195" xr:uid="{3B00F051-C65E-4FE7-AA43-47C2A8F2EE48}"/>
    <cellStyle name="Entrada 3 3 2 3" xfId="17196" xr:uid="{0085D5BB-158B-482A-B6C3-611F89B907B5}"/>
    <cellStyle name="Entrada 3 3 2 4" xfId="17197" xr:uid="{223115F9-B90B-4993-B19A-30FB885A6EBD}"/>
    <cellStyle name="Entrada 3 3 2 5" xfId="17198" xr:uid="{99C1F469-80B3-471D-BDD1-D93A62FB72A4}"/>
    <cellStyle name="Entrada 3 3 3" xfId="17199" xr:uid="{B9E1E987-32A7-4FA2-A53A-28A797B754D4}"/>
    <cellStyle name="Entrada 3 3 4" xfId="17200" xr:uid="{EA4E0FF8-524C-4184-87D7-3AB79B69A44A}"/>
    <cellStyle name="Entrada 3 3 5" xfId="17201" xr:uid="{1D5DF74E-5B57-40D4-8EF4-212321DC8D6D}"/>
    <cellStyle name="Entrada 3 3 6" xfId="17202" xr:uid="{0D091760-76D5-4726-AE49-0B0B2F85A6E5}"/>
    <cellStyle name="Entrada 3 3 7" xfId="17203" xr:uid="{4A9DD4D1-8927-4109-993E-6EF65D25566D}"/>
    <cellStyle name="Entrada 3 3 8" xfId="17204" xr:uid="{ED344C11-FD36-4F60-A328-D8C5702DC813}"/>
    <cellStyle name="Entrada 3 3 9" xfId="17205" xr:uid="{FF4AEA17-4A70-455B-AE02-CEE691EC8506}"/>
    <cellStyle name="Entrada 3 4" xfId="17206" xr:uid="{AC93F22E-635D-4B47-98F6-CBDDE97BEEB5}"/>
    <cellStyle name="Entrada 3 4 2" xfId="17207" xr:uid="{6FD3821F-0925-4253-9075-61E12D6E85EB}"/>
    <cellStyle name="Entrada 3 4 3" xfId="17208" xr:uid="{76C2B828-55DF-4CC6-9C50-9F896EA39259}"/>
    <cellStyle name="Entrada 3 4 4" xfId="17209" xr:uid="{2076963F-D44F-419C-8309-59FDD1DFDF82}"/>
    <cellStyle name="Entrada 3 4 5" xfId="17210" xr:uid="{16F72B09-8A57-4C03-864C-DB6402B46A6B}"/>
    <cellStyle name="Entrada 3 5" xfId="17211" xr:uid="{5589147D-7A96-487C-A2E5-3D72BEC81227}"/>
    <cellStyle name="Entrada 3 6" xfId="17212" xr:uid="{23695E4C-E9B8-4395-B10E-0C97476744CD}"/>
    <cellStyle name="Entrada 3 7" xfId="17213" xr:uid="{5F7ABCC1-4A08-4B35-9059-429FACB6399E}"/>
    <cellStyle name="Entrada 3 8" xfId="17214" xr:uid="{DA91D090-6015-4D4B-8EFF-23D290BAC4CB}"/>
    <cellStyle name="Entrada 3 9" xfId="17215" xr:uid="{59BBC613-7D6A-492D-9509-05D8C118B7FF}"/>
    <cellStyle name="Entrada 4" xfId="17216" xr:uid="{FBA6565B-BE2F-4FD2-AB31-66C80CE65693}"/>
    <cellStyle name="Entrada 4 2" xfId="17217" xr:uid="{9BA4A124-81E1-4308-8C50-97CCBF665B5F}"/>
    <cellStyle name="Entrada 4 2 2" xfId="17218" xr:uid="{E81D2C59-DC27-4B05-B6A9-58E3ABF3BC92}"/>
    <cellStyle name="Entrada 4 2 3" xfId="17219" xr:uid="{4C23F601-7D72-4566-A060-2B16A4ED7F84}"/>
    <cellStyle name="Entrada 4 2 4" xfId="17220" xr:uid="{0F3C7A47-A020-4D98-A7BA-CD9D9E9F0E2A}"/>
    <cellStyle name="Entrada 4 2 5" xfId="17221" xr:uid="{FFBD4557-6404-4623-BECD-D309A461F134}"/>
    <cellStyle name="Entrada 4 3" xfId="17222" xr:uid="{A09495E7-7193-40A2-8B2C-4B0683C920D1}"/>
    <cellStyle name="Entrada 4 4" xfId="17223" xr:uid="{EC89182F-C4A4-46DF-ABAB-65613347E520}"/>
    <cellStyle name="Entrada 4 5" xfId="17224" xr:uid="{40D0555D-6A9E-46C9-BF54-399F3E3C89CC}"/>
    <cellStyle name="Entrada 4 6" xfId="17225" xr:uid="{987949D6-E5CE-47D4-991C-C49E1F737372}"/>
    <cellStyle name="Entrada 4 7" xfId="17226" xr:uid="{062B8150-B64D-46CB-BC2B-FB2AA85ECF9F}"/>
    <cellStyle name="Entrada 4 8" xfId="17227" xr:uid="{7B186A9F-13C0-43B4-B6E5-9C70590A01DB}"/>
    <cellStyle name="Entrada 4 9" xfId="17228" xr:uid="{C2356EB9-3080-4121-9750-FBD7A5170979}"/>
    <cellStyle name="Estilo 1" xfId="17229" xr:uid="{76EF6ED1-BA4A-409D-B9E3-934DBB4BB0EB}"/>
    <cellStyle name="Euro" xfId="17230" xr:uid="{F5B7B536-A03A-4391-8D88-58CFAEFA44C9}"/>
    <cellStyle name="Euro 10" xfId="17231" xr:uid="{8BD2D189-E535-4839-885B-03BE3B40E9DA}"/>
    <cellStyle name="Euro 2" xfId="17232" xr:uid="{CF64DC5B-A8D5-461B-8C6A-0EC99163BB9A}"/>
    <cellStyle name="Euro 2 10" xfId="17233" xr:uid="{8D19886F-1A13-4D59-B179-2B9CC1D68D63}"/>
    <cellStyle name="Euro 2 11" xfId="17234" xr:uid="{7E40B51A-514D-4B54-BB8B-0201290149A3}"/>
    <cellStyle name="Euro 2 12" xfId="17235" xr:uid="{4F2494C5-5CEC-41C1-9043-88212258E78D}"/>
    <cellStyle name="Euro 2 13" xfId="17236" xr:uid="{E2E4AA78-D253-4DDC-AA71-6CD04929F6A2}"/>
    <cellStyle name="Euro 2 14" xfId="17237" xr:uid="{5216376C-68E2-4979-B1FE-E04E355BAE3D}"/>
    <cellStyle name="Euro 2 15" xfId="17238" xr:uid="{088C0F14-C430-4824-A3F6-12ECA77A8E3E}"/>
    <cellStyle name="Euro 2 16" xfId="17239" xr:uid="{0E8541B8-3FC3-4EF1-9ADC-3B712F215EDD}"/>
    <cellStyle name="Euro 2 2" xfId="17240" xr:uid="{20207BF8-1635-4359-86BF-7CEF44CB8032}"/>
    <cellStyle name="Euro 2 2 10" xfId="17241" xr:uid="{F334731C-188B-4064-838C-7906E2D7D7E1}"/>
    <cellStyle name="Euro 2 2 11" xfId="17242" xr:uid="{D7599C01-2A55-41AA-8EED-467FC84B3249}"/>
    <cellStyle name="Euro 2 2 2" xfId="17243" xr:uid="{2E8DA9D1-43DC-4734-AEB8-1D362E75FF5E}"/>
    <cellStyle name="Euro 2 2 3" xfId="17244" xr:uid="{D1ECED5D-4226-4303-B982-59A4706C8300}"/>
    <cellStyle name="Euro 2 2 4" xfId="17245" xr:uid="{466CBA8B-7AA3-469A-8176-1FDEFB76E42D}"/>
    <cellStyle name="Euro 2 2 5" xfId="17246" xr:uid="{A35E230B-547F-4F5A-B830-DF62E0235F80}"/>
    <cellStyle name="Euro 2 2 6" xfId="17247" xr:uid="{8A33704C-7752-47DA-A504-990E71D40B8C}"/>
    <cellStyle name="Euro 2 2 7" xfId="17248" xr:uid="{7E9630C3-3245-4236-B9D0-3C99F7371530}"/>
    <cellStyle name="Euro 2 2 8" xfId="17249" xr:uid="{3E8FD8E0-6339-43FA-8E06-3731511E77EC}"/>
    <cellStyle name="Euro 2 2 9" xfId="17250" xr:uid="{37EA5DED-CFEE-474C-8A94-CE967F989D1E}"/>
    <cellStyle name="Euro 2 3" xfId="17251" xr:uid="{5AB3EC36-3234-48E0-A002-A08156ADF213}"/>
    <cellStyle name="Euro 2 3 10" xfId="17252" xr:uid="{B7846297-2BCE-4AAF-B881-25C1698D4A1E}"/>
    <cellStyle name="Euro 2 3 11" xfId="17253" xr:uid="{02BB7977-CEBB-4898-BC7D-5340DB68A8D1}"/>
    <cellStyle name="Euro 2 3 2" xfId="17254" xr:uid="{79D240C9-28CC-499E-BCC3-E44D9E1B2A45}"/>
    <cellStyle name="Euro 2 3 3" xfId="17255" xr:uid="{21EBF3BC-FD10-4711-B190-6653871573AE}"/>
    <cellStyle name="Euro 2 3 4" xfId="17256" xr:uid="{8346BCEC-DE48-4F3A-A428-9D6EA34B6781}"/>
    <cellStyle name="Euro 2 3 5" xfId="17257" xr:uid="{80DC3A9B-3587-4694-9A11-DD8AB93DDB25}"/>
    <cellStyle name="Euro 2 3 6" xfId="17258" xr:uid="{D3BCE86F-CED5-4448-B2C0-D377932AAE43}"/>
    <cellStyle name="Euro 2 3 7" xfId="17259" xr:uid="{6EDBA5AA-0BED-4F48-8A21-53CA26EF9A42}"/>
    <cellStyle name="Euro 2 3 8" xfId="17260" xr:uid="{733E28C4-09F2-4D70-8681-1B28810099CE}"/>
    <cellStyle name="Euro 2 3 9" xfId="17261" xr:uid="{419D9B30-7709-4DF6-86C9-DF07BAE761E4}"/>
    <cellStyle name="Euro 2 4" xfId="17262" xr:uid="{EA13C755-955A-4A15-B1AA-A8B6A119BD56}"/>
    <cellStyle name="Euro 2 4 10" xfId="17263" xr:uid="{A3EC1567-9E3B-4D78-ABC4-9E15D2BF8DDF}"/>
    <cellStyle name="Euro 2 4 11" xfId="17264" xr:uid="{B4AD2D89-FC56-4C2E-BFCE-098EB39CE174}"/>
    <cellStyle name="Euro 2 4 2" xfId="17265" xr:uid="{5BFA9A53-0AD5-4116-BAEF-D2BD81F33BCE}"/>
    <cellStyle name="Euro 2 4 3" xfId="17266" xr:uid="{B38CED48-C77A-4059-8C6A-EF5396CCC9AA}"/>
    <cellStyle name="Euro 2 4 4" xfId="17267" xr:uid="{2B1AB0F9-6EB1-48A2-8B06-036115EF9819}"/>
    <cellStyle name="Euro 2 4 5" xfId="17268" xr:uid="{29F9DAA9-3699-432C-9283-01E4AA4951BE}"/>
    <cellStyle name="Euro 2 4 6" xfId="17269" xr:uid="{CA833A2B-AFAC-4BDB-B79F-6C9A2FE34017}"/>
    <cellStyle name="Euro 2 4 7" xfId="17270" xr:uid="{BA0DE5D2-4BB9-49E0-B47B-727811324612}"/>
    <cellStyle name="Euro 2 4 8" xfId="17271" xr:uid="{A9454B57-13C0-442A-82B9-C3B984C062FD}"/>
    <cellStyle name="Euro 2 4 9" xfId="17272" xr:uid="{417B7278-ABBB-4BB7-A5D0-844C6A145036}"/>
    <cellStyle name="Euro 2 5" xfId="17273" xr:uid="{B3C1B5BF-F71F-4BDB-80F8-84A70DE08406}"/>
    <cellStyle name="Euro 2 5 2" xfId="17274" xr:uid="{ECDA7A9D-2DD8-42B4-ABA8-EA9609FB441C}"/>
    <cellStyle name="Euro 2 5 3" xfId="17275" xr:uid="{41EB1829-0001-4E07-9AED-2B334F04461C}"/>
    <cellStyle name="Euro 2 5 4" xfId="17276" xr:uid="{39748765-48A9-4640-90BC-AD0AC0FDAE43}"/>
    <cellStyle name="Euro 2 5 5" xfId="17277" xr:uid="{D1673332-A2CA-4098-B565-43B33EB10DB9}"/>
    <cellStyle name="Euro 2 5 6" xfId="17278" xr:uid="{5A3B0FB3-00F9-4D79-A7C0-84363D69786B}"/>
    <cellStyle name="Euro 2 5 7" xfId="17279" xr:uid="{123584B2-BAD9-4D74-B3FD-92E3B171F4B3}"/>
    <cellStyle name="Euro 2 6" xfId="17280" xr:uid="{FB28C254-A80C-4700-9FEF-CB5B5F82A008}"/>
    <cellStyle name="Euro 2 6 2" xfId="17281" xr:uid="{77B8D337-CE5C-47A4-B7F7-60C9A2B80A27}"/>
    <cellStyle name="Euro 2 6 3" xfId="17282" xr:uid="{616E1D9E-15FA-4FC3-8383-EC1842BC31EC}"/>
    <cellStyle name="Euro 2 6 4" xfId="17283" xr:uid="{4532B3D5-8727-4765-9700-3F5FB91EDC73}"/>
    <cellStyle name="Euro 2 6 5" xfId="17284" xr:uid="{1EDE6116-A470-4BDF-B383-0E64BFBE046D}"/>
    <cellStyle name="Euro 2 6 6" xfId="17285" xr:uid="{E9831367-88F5-450E-B5E5-3F028125DD34}"/>
    <cellStyle name="Euro 2 6 7" xfId="17286" xr:uid="{182506C6-0CD8-4253-B20C-CDEB3F6921E0}"/>
    <cellStyle name="Euro 2 7" xfId="17287" xr:uid="{304873F2-9F05-473E-B457-737CCF205E29}"/>
    <cellStyle name="Euro 2 8" xfId="17288" xr:uid="{4964F9D8-A032-4CA1-8C93-69351AAB9E35}"/>
    <cellStyle name="Euro 2 9" xfId="17289" xr:uid="{096FCA96-D53F-4024-93DA-A8D51C90B448}"/>
    <cellStyle name="Euro 3" xfId="17290" xr:uid="{20973995-9C9D-4CF0-8F5B-BF84FE4CCE96}"/>
    <cellStyle name="Euro 3 10" xfId="17291" xr:uid="{79B16080-B0D0-47F0-ABBE-16BD103FAB32}"/>
    <cellStyle name="Euro 3 11" xfId="17292" xr:uid="{1717B612-B24F-43E9-8343-5AE630908F3F}"/>
    <cellStyle name="Euro 3 12" xfId="17293" xr:uid="{DC9D3C3D-02E3-4913-8E75-54F77F363FE7}"/>
    <cellStyle name="Euro 3 13" xfId="17294" xr:uid="{3DBD0545-61D1-4115-8589-730A263101FD}"/>
    <cellStyle name="Euro 3 14" xfId="17295" xr:uid="{EF7B63B5-9866-47AF-9EAB-0CD5460A3A27}"/>
    <cellStyle name="Euro 3 15" xfId="17296" xr:uid="{6BEF9EAB-58A6-421E-835F-9F4E1173B1BC}"/>
    <cellStyle name="Euro 3 16" xfId="17297" xr:uid="{26A99AE2-4A30-416B-A831-1A0543BD03FD}"/>
    <cellStyle name="Euro 3 2" xfId="17298" xr:uid="{C768CA35-0662-4D97-8A53-72EA960FFA90}"/>
    <cellStyle name="Euro 3 2 10" xfId="17299" xr:uid="{BDEE3E76-759D-413F-86EE-CA6C13540E62}"/>
    <cellStyle name="Euro 3 2 11" xfId="17300" xr:uid="{5DBCA9C2-E0E0-4B58-B434-58A0423C0879}"/>
    <cellStyle name="Euro 3 2 2" xfId="17301" xr:uid="{3148A0A2-F2E6-4791-AC7B-B42618454578}"/>
    <cellStyle name="Euro 3 2 3" xfId="17302" xr:uid="{CC660679-0482-495E-9E2E-814AB7E9C003}"/>
    <cellStyle name="Euro 3 2 4" xfId="17303" xr:uid="{13AF9C47-105F-4543-8DB1-4BAC53B696A4}"/>
    <cellStyle name="Euro 3 2 5" xfId="17304" xr:uid="{4CB7A5B6-9E82-41FA-AF46-A4E2357311A6}"/>
    <cellStyle name="Euro 3 2 6" xfId="17305" xr:uid="{963A1456-82B8-4DA4-B532-CA325C1BF4D6}"/>
    <cellStyle name="Euro 3 2 7" xfId="17306" xr:uid="{FB2C64A8-254C-4EAD-AA56-B99328F4F4EA}"/>
    <cellStyle name="Euro 3 2 8" xfId="17307" xr:uid="{2C4D8176-E5AF-4A8B-B729-1E506BD97892}"/>
    <cellStyle name="Euro 3 2 9" xfId="17308" xr:uid="{AD607675-09F5-475F-9D2C-11A68877EA4D}"/>
    <cellStyle name="Euro 3 3" xfId="17309" xr:uid="{34FF87B7-00FB-41D3-BA35-3ADED862E9E8}"/>
    <cellStyle name="Euro 3 3 10" xfId="17310" xr:uid="{C8185F20-2C72-4CD4-9AA4-286ABF638BFA}"/>
    <cellStyle name="Euro 3 3 11" xfId="17311" xr:uid="{078CEC1B-E0CA-498D-89FA-5B783304058E}"/>
    <cellStyle name="Euro 3 3 2" xfId="17312" xr:uid="{AFAAAB8F-A23C-48D6-83E4-B9BED18841FB}"/>
    <cellStyle name="Euro 3 3 3" xfId="17313" xr:uid="{331FBD85-528B-4440-9855-78CAD74CE64B}"/>
    <cellStyle name="Euro 3 3 4" xfId="17314" xr:uid="{F90DFB3A-1FF4-445C-AE9B-147C3B15CBC2}"/>
    <cellStyle name="Euro 3 3 5" xfId="17315" xr:uid="{29457445-504E-49F9-A937-BC96CBA57E9E}"/>
    <cellStyle name="Euro 3 3 6" xfId="17316" xr:uid="{13BD663A-3979-4D7D-AE02-33F43A376046}"/>
    <cellStyle name="Euro 3 3 7" xfId="17317" xr:uid="{85A175BE-BA63-4BC3-9186-408E515188D2}"/>
    <cellStyle name="Euro 3 3 8" xfId="17318" xr:uid="{AE588620-E10E-4CB9-9EC8-F287DC925FA9}"/>
    <cellStyle name="Euro 3 3 9" xfId="17319" xr:uid="{CD333D65-81F3-44B6-89BD-DB7D394A17F5}"/>
    <cellStyle name="Euro 3 4" xfId="17320" xr:uid="{2DEB0BAE-E153-492C-93C2-2FCFBB16AAF9}"/>
    <cellStyle name="Euro 3 4 10" xfId="17321" xr:uid="{02AEF94F-F8D6-4E25-AA95-1F7618F832C4}"/>
    <cellStyle name="Euro 3 4 11" xfId="17322" xr:uid="{396A607A-9FDA-44E8-BC17-F8B1A1E417F0}"/>
    <cellStyle name="Euro 3 4 2" xfId="17323" xr:uid="{BE77883A-9D2C-4ED8-865C-F07815DD4142}"/>
    <cellStyle name="Euro 3 4 3" xfId="17324" xr:uid="{129317FE-039A-41CC-80EC-2A6D7F918B88}"/>
    <cellStyle name="Euro 3 4 4" xfId="17325" xr:uid="{C9999F11-272C-47B3-B66C-48E87226287E}"/>
    <cellStyle name="Euro 3 4 5" xfId="17326" xr:uid="{8ECC7092-C22D-4434-B00E-1E95C8ED8590}"/>
    <cellStyle name="Euro 3 4 6" xfId="17327" xr:uid="{2F8B0D77-A19A-46C9-800A-16567C162EA5}"/>
    <cellStyle name="Euro 3 4 7" xfId="17328" xr:uid="{4978A126-87A1-47BA-9C6A-83121AEB1902}"/>
    <cellStyle name="Euro 3 4 8" xfId="17329" xr:uid="{8824D1EA-E496-4C86-B692-F54FF55CF4A6}"/>
    <cellStyle name="Euro 3 4 9" xfId="17330" xr:uid="{634577E3-E448-47EA-AEC5-2A52C18B29FF}"/>
    <cellStyle name="Euro 3 5" xfId="17331" xr:uid="{BAF5D25C-3F7D-4733-862A-2EF31E44F95B}"/>
    <cellStyle name="Euro 3 5 2" xfId="17332" xr:uid="{1B8FB5EF-8BDA-49F4-B3B4-70807D3B2D0C}"/>
    <cellStyle name="Euro 3 5 3" xfId="17333" xr:uid="{3EEC2E10-145A-4222-830C-DBB95298C356}"/>
    <cellStyle name="Euro 3 5 4" xfId="17334" xr:uid="{94B382AB-402E-4A36-A2CA-EEC7AD1EB9E8}"/>
    <cellStyle name="Euro 3 5 5" xfId="17335" xr:uid="{1184C465-03FE-4074-9B6B-A3F3E604A1FE}"/>
    <cellStyle name="Euro 3 5 6" xfId="17336" xr:uid="{F5AA3E77-CEA6-4996-960A-302CC7A8CF30}"/>
    <cellStyle name="Euro 3 5 7" xfId="17337" xr:uid="{22471EFC-1E11-4A5C-AD24-2CA50D2E7BC1}"/>
    <cellStyle name="Euro 3 6" xfId="17338" xr:uid="{F92F01C0-7F0C-4D5F-9B58-E63F7CBA05BD}"/>
    <cellStyle name="Euro 3 6 2" xfId="17339" xr:uid="{ACD97080-84D0-439E-A030-DB5E0975BCC0}"/>
    <cellStyle name="Euro 3 6 3" xfId="17340" xr:uid="{83BE0588-C055-4F99-AC7A-365E872A5642}"/>
    <cellStyle name="Euro 3 6 4" xfId="17341" xr:uid="{406A83CC-53F4-45A4-A443-68A55B04A3BD}"/>
    <cellStyle name="Euro 3 6 5" xfId="17342" xr:uid="{FED8C7EE-0059-4B4B-AFB5-33296B97C410}"/>
    <cellStyle name="Euro 3 6 6" xfId="17343" xr:uid="{94E7B10F-E3E4-4D56-911E-BB603ECD31B5}"/>
    <cellStyle name="Euro 3 6 7" xfId="17344" xr:uid="{19AF97F7-C9F4-4F17-8C7A-90F0ED321BC0}"/>
    <cellStyle name="Euro 3 7" xfId="17345" xr:uid="{19B6B865-8C6B-485E-903B-AB72A3B572B0}"/>
    <cellStyle name="Euro 3 8" xfId="17346" xr:uid="{2BA8547A-F48B-4483-966E-C184C6F43E72}"/>
    <cellStyle name="Euro 3 9" xfId="17347" xr:uid="{1C4A0CB6-6CA9-4128-9FB8-9154D29A9607}"/>
    <cellStyle name="Euro 4" xfId="17348" xr:uid="{8349CEBC-9DBC-4766-BB93-3CA5535FFA53}"/>
    <cellStyle name="Euro 4 10" xfId="17349" xr:uid="{86EF90C5-0EF1-4D03-AE2B-8D58A62E3CD0}"/>
    <cellStyle name="Euro 4 11" xfId="17350" xr:uid="{C9758123-FE3F-4D4A-9BA9-B49EAC33E97E}"/>
    <cellStyle name="Euro 4 12" xfId="17351" xr:uid="{D316B13D-15FD-4A00-8DBE-6D92FE5F1420}"/>
    <cellStyle name="Euro 4 13" xfId="17352" xr:uid="{A103FC5A-BCF4-4FED-9A80-85E0E56DE42D}"/>
    <cellStyle name="Euro 4 2" xfId="17353" xr:uid="{BBAEBDC9-073C-43FC-A54C-FC3E17EB6EEB}"/>
    <cellStyle name="Euro 4 2 2" xfId="17354" xr:uid="{3D5BD343-5F55-49DF-841D-4E8AA733817F}"/>
    <cellStyle name="Euro 4 2 3" xfId="17355" xr:uid="{DC48A8CB-7775-4D02-B079-8B0123A73FF9}"/>
    <cellStyle name="Euro 4 2 4" xfId="17356" xr:uid="{5D75EE31-2108-4BFC-901E-BB71F4ED8981}"/>
    <cellStyle name="Euro 4 2 5" xfId="17357" xr:uid="{493E52A6-5480-4385-BDAC-397F474A47AB}"/>
    <cellStyle name="Euro 4 2 6" xfId="17358" xr:uid="{7745D6E6-0A68-4DEF-8717-E0517B1A92AC}"/>
    <cellStyle name="Euro 4 2 7" xfId="17359" xr:uid="{96E794FF-FB5D-4808-B648-0B9A628FCFA6}"/>
    <cellStyle name="Euro 4 3" xfId="17360" xr:uid="{29CBAFF6-8B86-4656-933C-B870EC12EDCB}"/>
    <cellStyle name="Euro 4 3 2" xfId="17361" xr:uid="{B3DD2790-5ABE-45F7-BB40-02352B0A966C}"/>
    <cellStyle name="Euro 4 3 3" xfId="17362" xr:uid="{AD9BC623-0DFA-4144-B7A7-4F751706C1AF}"/>
    <cellStyle name="Euro 4 3 4" xfId="17363" xr:uid="{008B80C2-B4F3-4313-AA4F-D6C0AFE95754}"/>
    <cellStyle name="Euro 4 3 5" xfId="17364" xr:uid="{DAA0BFE6-B37B-442E-87C1-6586317B4A62}"/>
    <cellStyle name="Euro 4 3 6" xfId="17365" xr:uid="{CDD55341-44B2-4169-992F-6D7556BD39FD}"/>
    <cellStyle name="Euro 4 3 7" xfId="17366" xr:uid="{8EFF39D7-E8EB-4647-A06D-BBB3524DDC32}"/>
    <cellStyle name="Euro 4 4" xfId="17367" xr:uid="{C940C766-3ED8-475E-B853-7C77CEE2C33C}"/>
    <cellStyle name="Euro 4 5" xfId="17368" xr:uid="{3926BBC4-F5A3-4A72-8818-2423B0C92068}"/>
    <cellStyle name="Euro 4 6" xfId="17369" xr:uid="{8AE503E7-21FB-4BA9-90F3-1BA7E9D757EA}"/>
    <cellStyle name="Euro 4 7" xfId="17370" xr:uid="{EA0AC038-B857-4C7F-A8B6-CAC795CD3375}"/>
    <cellStyle name="Euro 4 8" xfId="17371" xr:uid="{19A80631-B0FC-4F76-8E12-DD9FD221526C}"/>
    <cellStyle name="Euro 4 9" xfId="17372" xr:uid="{98DCD084-4C4A-48F7-A6F7-E74A3EC4FA8A}"/>
    <cellStyle name="Euro 5" xfId="17373" xr:uid="{77D1E072-E9EE-4185-A160-BB8B1B9FBDC9}"/>
    <cellStyle name="Euro 5 10" xfId="17374" xr:uid="{0FE8A1A8-33B3-40D4-9F02-34AF1798F288}"/>
    <cellStyle name="Euro 5 11" xfId="17375" xr:uid="{E7D78271-EDEE-4B41-A51D-0223311CAC88}"/>
    <cellStyle name="Euro 5 12" xfId="17376" xr:uid="{3FE06D19-C592-466E-8557-258C9F4E2C60}"/>
    <cellStyle name="Euro 5 13" xfId="17377" xr:uid="{434E8B26-6621-4481-A549-5A29DC9CD8C0}"/>
    <cellStyle name="Euro 5 2" xfId="17378" xr:uid="{384F7BAB-7404-411B-AA98-A83D18DC28BE}"/>
    <cellStyle name="Euro 5 2 2" xfId="17379" xr:uid="{D727244F-8ADC-4DF5-8393-31F4E73F2525}"/>
    <cellStyle name="Euro 5 2 3" xfId="17380" xr:uid="{E6FB99D2-B573-4FB7-A93F-C1702F8EC8F3}"/>
    <cellStyle name="Euro 5 2 4" xfId="17381" xr:uid="{BE8D82C4-B6F9-4909-84AA-00D752CED666}"/>
    <cellStyle name="Euro 5 2 5" xfId="17382" xr:uid="{B657BA5B-C56C-47D9-B935-BEB0BA2E893D}"/>
    <cellStyle name="Euro 5 2 6" xfId="17383" xr:uid="{A72B594E-6EB9-487E-82AF-0CF98BEADD34}"/>
    <cellStyle name="Euro 5 2 7" xfId="17384" xr:uid="{4EF5FF17-52EC-4A8B-8172-3CF253543350}"/>
    <cellStyle name="Euro 5 3" xfId="17385" xr:uid="{16198EB4-2173-4040-A077-3A6FA2C0256D}"/>
    <cellStyle name="Euro 5 3 2" xfId="17386" xr:uid="{CA7339D1-816C-4DF9-81F0-1FAB88EC1E22}"/>
    <cellStyle name="Euro 5 3 3" xfId="17387" xr:uid="{1BE7FA00-B855-4347-8D5C-DC4C2371E44B}"/>
    <cellStyle name="Euro 5 3 4" xfId="17388" xr:uid="{869B1A72-1A3A-4A1C-9088-AFDD79413084}"/>
    <cellStyle name="Euro 5 3 5" xfId="17389" xr:uid="{22867765-5B38-426F-81FF-436B5CCE76C6}"/>
    <cellStyle name="Euro 5 3 6" xfId="17390" xr:uid="{1B5F0735-53AA-43CA-908D-5CB9AD7A8577}"/>
    <cellStyle name="Euro 5 3 7" xfId="17391" xr:uid="{5A7661C3-F0B8-4227-98FF-2518E2A277B7}"/>
    <cellStyle name="Euro 5 4" xfId="17392" xr:uid="{C3E3CF7D-9081-476F-9805-DD4C127C672D}"/>
    <cellStyle name="Euro 5 5" xfId="17393" xr:uid="{121E2B87-32B5-4F68-8895-7CCA1A5EC2CE}"/>
    <cellStyle name="Euro 5 6" xfId="17394" xr:uid="{9CE78636-8362-4A65-909E-119452E2F68E}"/>
    <cellStyle name="Euro 5 7" xfId="17395" xr:uid="{A24CD4F0-D85A-4499-BC92-2443E0EF9757}"/>
    <cellStyle name="Euro 5 8" xfId="17396" xr:uid="{0E419EF7-93C9-447E-922D-95447525AAEC}"/>
    <cellStyle name="Euro 5 9" xfId="17397" xr:uid="{30298D4B-A9CC-4311-A74F-1EBB66299A47}"/>
    <cellStyle name="Euro 6" xfId="17398" xr:uid="{896272AD-BE0D-428E-A1A3-6D654BCAFA8F}"/>
    <cellStyle name="Euro 6 10" xfId="17399" xr:uid="{0C165680-F2F5-408D-82AF-D69D421B9ACA}"/>
    <cellStyle name="Euro 6 11" xfId="17400" xr:uid="{77866339-F6CE-43A5-9FCA-1BB24CDB833C}"/>
    <cellStyle name="Euro 6 12" xfId="17401" xr:uid="{37839A41-B049-4A62-9DF9-78EA4B9C5F97}"/>
    <cellStyle name="Euro 6 13" xfId="17402" xr:uid="{CDA267DC-9D0C-4E15-8441-AB551CD3EAB0}"/>
    <cellStyle name="Euro 6 2" xfId="17403" xr:uid="{81630F62-0DAA-4B97-8B29-33A800770AA4}"/>
    <cellStyle name="Euro 6 2 2" xfId="17404" xr:uid="{E79F34C5-3840-4849-9CEE-547474962BE5}"/>
    <cellStyle name="Euro 6 2 3" xfId="17405" xr:uid="{A2A7DBD7-FB43-4EDF-AE2A-9A6180B32070}"/>
    <cellStyle name="Euro 6 2 4" xfId="17406" xr:uid="{0C5280AB-D4A9-492F-A393-B5FC3A9513A7}"/>
    <cellStyle name="Euro 6 2 5" xfId="17407" xr:uid="{AB9F5FD8-5B7D-4EBF-93CC-C5337A143983}"/>
    <cellStyle name="Euro 6 2 6" xfId="17408" xr:uid="{CF3845B5-3467-4688-B1C5-A54ADB351D7E}"/>
    <cellStyle name="Euro 6 2 7" xfId="17409" xr:uid="{E9EA1D70-B4DE-4D18-9EB9-5A8D16FCC17C}"/>
    <cellStyle name="Euro 6 3" xfId="17410" xr:uid="{F19DCFB6-7A99-47F8-9B99-5C1E043599BA}"/>
    <cellStyle name="Euro 6 3 2" xfId="17411" xr:uid="{8D3145B8-ADB1-4CC5-9AEF-4D00C684C655}"/>
    <cellStyle name="Euro 6 3 3" xfId="17412" xr:uid="{BBEEA6BB-6B8F-4B76-A44A-DE8DE6237C4A}"/>
    <cellStyle name="Euro 6 3 4" xfId="17413" xr:uid="{D2611F60-F1A5-4B1A-8ECA-29E4BBCD0B15}"/>
    <cellStyle name="Euro 6 3 5" xfId="17414" xr:uid="{EA1315ED-FBF2-4D1B-B948-C63D7EFAC514}"/>
    <cellStyle name="Euro 6 3 6" xfId="17415" xr:uid="{C05F2968-B73E-4409-9897-7C18EC89223B}"/>
    <cellStyle name="Euro 6 3 7" xfId="17416" xr:uid="{7A62DF14-701A-4FC5-9E75-8B36507FD405}"/>
    <cellStyle name="Euro 6 4" xfId="17417" xr:uid="{E9435797-17EC-4606-91CE-BAE47AB52BE8}"/>
    <cellStyle name="Euro 6 5" xfId="17418" xr:uid="{0BB88378-29A4-4D13-AC21-3293BEC32B3E}"/>
    <cellStyle name="Euro 6 6" xfId="17419" xr:uid="{6DC1EADA-CB57-4BA1-B403-FF890B102CCB}"/>
    <cellStyle name="Euro 6 7" xfId="17420" xr:uid="{F7217F18-FAB1-4082-B404-24363F8097E4}"/>
    <cellStyle name="Euro 6 8" xfId="17421" xr:uid="{61C6E05B-F409-4FE0-9595-763A50477B14}"/>
    <cellStyle name="Euro 6 9" xfId="17422" xr:uid="{4B2885D5-71BF-4377-9695-8B97C350DFEF}"/>
    <cellStyle name="Euro 7" xfId="17423" xr:uid="{0ADAE9C5-D942-42CA-AC4A-760C3542D3D4}"/>
    <cellStyle name="Euro 7 2" xfId="17424" xr:uid="{D9FA1356-208E-47EC-B3CD-1408523F7DBC}"/>
    <cellStyle name="Euro 7 3" xfId="17425" xr:uid="{2F810D4C-5EE2-48D7-9AFB-06725B567720}"/>
    <cellStyle name="Euro 7 4" xfId="17426" xr:uid="{6C73B326-32C9-4AC0-996D-5009F3DB2701}"/>
    <cellStyle name="Euro 7 5" xfId="17427" xr:uid="{3F45218B-185E-4EDE-96B8-C388E3CA699E}"/>
    <cellStyle name="Euro 7 6" xfId="17428" xr:uid="{71FA2492-8BBC-4366-B6D0-A54BA155FF68}"/>
    <cellStyle name="Euro 7 7" xfId="17429" xr:uid="{BD6683E4-0A3C-422B-AA9B-D02ECD06B17E}"/>
    <cellStyle name="Euro 8" xfId="17430" xr:uid="{E0AEA7AE-39CA-418C-8A60-F8026CD9719A}"/>
    <cellStyle name="Euro 8 2" xfId="17431" xr:uid="{2D8650AE-FA60-42B9-855C-EE0B74ECFCA5}"/>
    <cellStyle name="Euro 8 3" xfId="17432" xr:uid="{F0B66349-2A7E-4371-9FD9-6F1D4614A3DE}"/>
    <cellStyle name="Euro 8 4" xfId="17433" xr:uid="{D0B3917D-3B87-4DF8-B757-BD9E63F422B5}"/>
    <cellStyle name="Euro 8 5" xfId="17434" xr:uid="{B29F5319-DAB4-4CE8-8CC7-42D9626ACDB8}"/>
    <cellStyle name="Euro 8 6" xfId="17435" xr:uid="{56D57AEE-4AEA-4520-90CD-2FA467C02CBA}"/>
    <cellStyle name="Euro 8 7" xfId="17436" xr:uid="{1C5AB181-CC97-45F8-9E68-95CA5E65D3E8}"/>
    <cellStyle name="Euro 9" xfId="17437" xr:uid="{7CC78F8F-1561-4434-9CB5-5D66D5C08D98}"/>
    <cellStyle name="Excel Built-in Normal" xfId="17438" xr:uid="{F600566E-292F-4115-A34E-D198C38BDB7E}"/>
    <cellStyle name="Excel Built-in Normal 2" xfId="17439" xr:uid="{94FCF976-05B1-4549-899A-A710DE024242}"/>
    <cellStyle name="Excel Built-in Normal 3" xfId="44422" xr:uid="{9295A592-97BE-4466-9D17-ECF5A88191BF}"/>
    <cellStyle name="Followed Hyperlink_OFFICE_" xfId="17440" xr:uid="{80A63DF6-E478-4D3D-A281-8A25A2EED15B}"/>
    <cellStyle name="Formula" xfId="17441" xr:uid="{1ACF2257-DDA4-474A-93DC-3DA0D907CA89}"/>
    <cellStyle name="Grey" xfId="17442" xr:uid="{FF1A1FA0-8921-44AB-8CA3-32BF9B9E165B}"/>
    <cellStyle name="Header1" xfId="17443" xr:uid="{A87B80D0-795E-4296-A0E2-EDF08CEC801E}"/>
    <cellStyle name="Header2" xfId="17444" xr:uid="{25B43845-6814-4B22-8B70-9DFD70AD97CA}"/>
    <cellStyle name="Header2 2" xfId="17445" xr:uid="{4CE9DE4A-6F88-4A30-9137-BEBE4AEB2594}"/>
    <cellStyle name="Header2 2 2" xfId="17446" xr:uid="{F84FB25F-2B8F-44C8-9160-70F2D64332C8}"/>
    <cellStyle name="Header2 2 3" xfId="17447" xr:uid="{8C4EF957-A8FD-4235-8729-2164CC2AF8B0}"/>
    <cellStyle name="Header2 2 4" xfId="17448" xr:uid="{2E517DF9-95E9-4B3D-B2AE-BFA4C984DD51}"/>
    <cellStyle name="Header2 2 5" xfId="17449" xr:uid="{5DACA311-F7E3-4682-BFF4-86D922AB5B67}"/>
    <cellStyle name="Header2 3" xfId="17450" xr:uid="{E488C8AD-912E-4DF9-ABCD-15FAA701EAB8}"/>
    <cellStyle name="Header2 4" xfId="17451" xr:uid="{55DB6DDE-7999-456F-AE28-579FEE0CAFF2}"/>
    <cellStyle name="Header2 5" xfId="17452" xr:uid="{A1D5708E-F078-4FD3-9061-A4C3AFC7D93C}"/>
    <cellStyle name="Header2 6" xfId="17453" xr:uid="{400A0D11-7EFC-4DF6-A705-8F999D1299AF}"/>
    <cellStyle name="Header2 7" xfId="17454" xr:uid="{F722E0BE-BA73-40D0-B20B-019D67D07BD6}"/>
    <cellStyle name="Header2 8" xfId="17455" xr:uid="{72354A78-B305-4904-9095-060F34EEEA21}"/>
    <cellStyle name="Header2 9" xfId="17456" xr:uid="{EB3EABDA-5A56-4AFF-82E6-DE3D969480F5}"/>
    <cellStyle name="HEADINGS" xfId="17457" xr:uid="{D4603C5B-4A6A-4129-A42A-BDB566D3E4D8}"/>
    <cellStyle name="HEADINGSTOP" xfId="17458" xr:uid="{881B037E-288B-44E7-9D3F-FAC84AB930C5}"/>
    <cellStyle name="Hipervínculo 2" xfId="43554" xr:uid="{8FEDB4E7-00CF-4120-81E6-A34A653797A0}"/>
    <cellStyle name="Hyperlink_OFFICE_" xfId="17459" xr:uid="{64EC0B5E-B7AA-40D5-9444-C865BB2173D1}"/>
    <cellStyle name="Hypertextový odkaz" xfId="17460" xr:uid="{87E0D14F-AF31-4B8D-917B-F400A3E7ABB8}"/>
    <cellStyle name="Incorrecto" xfId="13" builtinId="27" customBuiltin="1"/>
    <cellStyle name="Incorrecto 2" xfId="17461" xr:uid="{BFA82BCF-95B7-4D4C-97CE-D40227F60514}"/>
    <cellStyle name="Incorrecto 2 10" xfId="17462" xr:uid="{E12F2D6E-EEB2-43B2-8A61-4E7A86424EBE}"/>
    <cellStyle name="Incorrecto 2 10 10" xfId="17463" xr:uid="{2477F2FB-61E1-42A0-9486-D079DC1ADFE0}"/>
    <cellStyle name="Incorrecto 2 10 11" xfId="17464" xr:uid="{A98B4536-8EF1-48DE-AFEE-3620A783FC8F}"/>
    <cellStyle name="Incorrecto 2 10 2" xfId="17465" xr:uid="{611E0624-5B4B-444A-B74C-D898E3AD9F2A}"/>
    <cellStyle name="Incorrecto 2 10 2 10" xfId="17466" xr:uid="{B9441FDF-8E01-445D-8430-46BA0A50E9AB}"/>
    <cellStyle name="Incorrecto 2 10 2 11" xfId="17467" xr:uid="{5153CA94-79AA-410D-88B4-436C43E5AFA5}"/>
    <cellStyle name="Incorrecto 2 10 2 2" xfId="17468" xr:uid="{FDFC0F4B-583F-4F23-AD39-69FADB6AB02B}"/>
    <cellStyle name="Incorrecto 2 10 2 2 2" xfId="17469" xr:uid="{EFD0369A-D809-4048-9336-35AC7B2CBEF3}"/>
    <cellStyle name="Incorrecto 2 10 2 2 2 2" xfId="17470" xr:uid="{56420425-774D-41A3-B263-54E7ED946045}"/>
    <cellStyle name="Incorrecto 2 10 2 2 2 3" xfId="17471" xr:uid="{081C879C-F35F-4882-83CA-8FB710532F41}"/>
    <cellStyle name="Incorrecto 2 10 2 2 2 4" xfId="17472" xr:uid="{BE302568-3467-42F4-8047-734576A7CE46}"/>
    <cellStyle name="Incorrecto 2 10 2 2 2 5" xfId="17473" xr:uid="{C18EE015-C128-4453-8302-219A3ADA90DE}"/>
    <cellStyle name="Incorrecto 2 10 2 2 3" xfId="17474" xr:uid="{10DC6871-8C78-413C-BDB3-4E918DC64D26}"/>
    <cellStyle name="Incorrecto 2 10 2 2 4" xfId="17475" xr:uid="{0C9ACA92-E10D-414A-8074-54D50808BDC3}"/>
    <cellStyle name="Incorrecto 2 10 2 2 5" xfId="17476" xr:uid="{5899118C-E51F-4D47-AAF7-BFCCE136B342}"/>
    <cellStyle name="Incorrecto 2 10 2 3" xfId="17477" xr:uid="{6088217D-3CD7-4592-8FBF-D2D01FBC9AD4}"/>
    <cellStyle name="Incorrecto 2 10 2 4" xfId="17478" xr:uid="{6FEA380C-2A2F-4484-81CE-DD90E151E36A}"/>
    <cellStyle name="Incorrecto 2 10 2 5" xfId="17479" xr:uid="{EB1D082F-19E3-49D6-87E8-0EEF5DCB892E}"/>
    <cellStyle name="Incorrecto 2 10 2 6" xfId="17480" xr:uid="{87D0B888-94C6-42AA-88BF-F3E288FF26BA}"/>
    <cellStyle name="Incorrecto 2 10 2 7" xfId="17481" xr:uid="{8EC95527-C371-4DFB-BA7A-B423F8306513}"/>
    <cellStyle name="Incorrecto 2 10 2 8" xfId="17482" xr:uid="{301161A0-162A-40B0-BD5A-1C68BA116958}"/>
    <cellStyle name="Incorrecto 2 10 2 9" xfId="17483" xr:uid="{03ACF7F2-18DC-4FDD-87ED-9D19CA43CCE2}"/>
    <cellStyle name="Incorrecto 2 10 3" xfId="17484" xr:uid="{0FB63225-BD42-4647-BA89-4BF760F57A20}"/>
    <cellStyle name="Incorrecto 2 10 3 2" xfId="17485" xr:uid="{ED700EE5-AF35-4722-ACFD-612F25A5F060}"/>
    <cellStyle name="Incorrecto 2 10 3 2 2" xfId="17486" xr:uid="{6F368110-8FCF-4AEF-8669-0A09D02E9B78}"/>
    <cellStyle name="Incorrecto 2 10 3 2 3" xfId="17487" xr:uid="{50573CF1-F403-4CB9-8A74-D8E9DDEA5C23}"/>
    <cellStyle name="Incorrecto 2 10 3 2 4" xfId="17488" xr:uid="{EEDD10A7-249A-4F9F-B86C-6696146DCA46}"/>
    <cellStyle name="Incorrecto 2 10 3 2 5" xfId="17489" xr:uid="{51836303-874A-4184-A2E9-5748F255E6DA}"/>
    <cellStyle name="Incorrecto 2 10 3 3" xfId="17490" xr:uid="{E217B6E4-9B4F-47AE-9D93-AE33BD5A6E04}"/>
    <cellStyle name="Incorrecto 2 10 3 4" xfId="17491" xr:uid="{F25CFC8D-95BC-43FF-B210-FF28B3EED2A5}"/>
    <cellStyle name="Incorrecto 2 10 3 5" xfId="17492" xr:uid="{A99590AD-CDC0-4DF1-BAF9-00884F268A3D}"/>
    <cellStyle name="Incorrecto 2 10 4" xfId="17493" xr:uid="{C24ABEF3-F2B8-4361-9006-40758BACEEE7}"/>
    <cellStyle name="Incorrecto 2 10 5" xfId="17494" xr:uid="{3D9455AC-61D7-4967-AFE6-9994DF8E2AAE}"/>
    <cellStyle name="Incorrecto 2 10 6" xfId="17495" xr:uid="{EEF87603-0C19-4ABC-831D-B75FF499863A}"/>
    <cellStyle name="Incorrecto 2 10 7" xfId="17496" xr:uid="{07F16D1C-B22C-4ABE-8CF4-25EEAD80C2A2}"/>
    <cellStyle name="Incorrecto 2 10 8" xfId="17497" xr:uid="{53D2EEA9-7F5E-4AA7-A043-4152CC9C21ED}"/>
    <cellStyle name="Incorrecto 2 10 9" xfId="17498" xr:uid="{D352C1CC-94E6-4034-B352-BE339255651A}"/>
    <cellStyle name="Incorrecto 2 11" xfId="17499" xr:uid="{7A0F7CD1-9707-440A-82CD-75E9A0067D46}"/>
    <cellStyle name="Incorrecto 2 12" xfId="17500" xr:uid="{4A634B99-5506-44BF-9BA5-9C4FA98CF35D}"/>
    <cellStyle name="Incorrecto 2 13" xfId="17501" xr:uid="{640449DA-B009-4005-8438-AF054E7D9BF2}"/>
    <cellStyle name="Incorrecto 2 2" xfId="17502" xr:uid="{38D3FA02-16F5-4FE3-A17C-01C8BA0A0353}"/>
    <cellStyle name="Incorrecto 2 2 10" xfId="17503" xr:uid="{27910A40-4A05-44B4-980D-D199164A2A86}"/>
    <cellStyle name="Incorrecto 2 2 10 10" xfId="17504" xr:uid="{048C8BDB-C8A4-4381-BAD1-C41C6797D8CE}"/>
    <cellStyle name="Incorrecto 2 2 10 11" xfId="17505" xr:uid="{59A65A4F-EBF1-4D45-86F8-922C5849ADAA}"/>
    <cellStyle name="Incorrecto 2 2 10 2" xfId="17506" xr:uid="{67EE1892-BD75-4872-A321-37A813CCF802}"/>
    <cellStyle name="Incorrecto 2 2 10 2 10" xfId="17507" xr:uid="{EABFC3B6-A2AC-44B5-A067-E9325497CF0F}"/>
    <cellStyle name="Incorrecto 2 2 10 2 11" xfId="17508" xr:uid="{D187FEDF-4691-4ACC-B1A6-6159D36D2159}"/>
    <cellStyle name="Incorrecto 2 2 10 2 2" xfId="17509" xr:uid="{94145D39-373E-492F-8438-A1C63049273B}"/>
    <cellStyle name="Incorrecto 2 2 10 2 2 2" xfId="17510" xr:uid="{E3E68258-565F-4C09-929A-C667F1BD8A2A}"/>
    <cellStyle name="Incorrecto 2 2 10 2 2 2 2" xfId="17511" xr:uid="{2E0AC6DF-F2F7-4C3B-B17B-F018DF86F024}"/>
    <cellStyle name="Incorrecto 2 2 10 2 2 2 3" xfId="17512" xr:uid="{8B80E09E-3F27-4B18-8C1B-8933839EC7EE}"/>
    <cellStyle name="Incorrecto 2 2 10 2 2 2 4" xfId="17513" xr:uid="{EF72EC23-77AB-4D5C-A19A-D0010C4413E0}"/>
    <cellStyle name="Incorrecto 2 2 10 2 2 2 5" xfId="17514" xr:uid="{A1294135-5381-40F8-B8C4-A11BB177ACCF}"/>
    <cellStyle name="Incorrecto 2 2 10 2 2 3" xfId="17515" xr:uid="{39B54D00-0FCF-4EA2-BF77-F1824629AF21}"/>
    <cellStyle name="Incorrecto 2 2 10 2 2 4" xfId="17516" xr:uid="{91D4A688-E4D6-49F6-83CA-2FB577C548DB}"/>
    <cellStyle name="Incorrecto 2 2 10 2 2 5" xfId="17517" xr:uid="{F6017560-A62C-438F-A097-51E157D7D074}"/>
    <cellStyle name="Incorrecto 2 2 10 2 3" xfId="17518" xr:uid="{EB1698FA-A1BA-47D7-B048-66E4CEEE323E}"/>
    <cellStyle name="Incorrecto 2 2 10 2 4" xfId="17519" xr:uid="{3B3E190F-5155-4894-A25D-CFEF2C696052}"/>
    <cellStyle name="Incorrecto 2 2 10 2 5" xfId="17520" xr:uid="{5BFFA46B-D405-4E0D-8596-FE1A7B129F81}"/>
    <cellStyle name="Incorrecto 2 2 10 2 6" xfId="17521" xr:uid="{FDA6451B-01FC-4150-A7D3-AA3DE7F8EA1B}"/>
    <cellStyle name="Incorrecto 2 2 10 2 7" xfId="17522" xr:uid="{6EACB5AC-F32C-4245-B433-4D156B3FC106}"/>
    <cellStyle name="Incorrecto 2 2 10 2 8" xfId="17523" xr:uid="{86FB4357-C935-4753-AC18-382DC954028A}"/>
    <cellStyle name="Incorrecto 2 2 10 2 9" xfId="17524" xr:uid="{55580F38-F279-48F7-8C0D-313A125C117B}"/>
    <cellStyle name="Incorrecto 2 2 10 3" xfId="17525" xr:uid="{C6CBDD5C-9E62-4063-BE9F-3D25B6C4C31E}"/>
    <cellStyle name="Incorrecto 2 2 10 3 2" xfId="17526" xr:uid="{220361C9-0156-4C67-BDEF-B33FBA77D81C}"/>
    <cellStyle name="Incorrecto 2 2 10 3 2 2" xfId="17527" xr:uid="{FFC85BEA-DC75-4B6F-8342-34D3BE214215}"/>
    <cellStyle name="Incorrecto 2 2 10 3 2 3" xfId="17528" xr:uid="{EECF774B-F4D6-403F-A87D-6D35D9BD56B5}"/>
    <cellStyle name="Incorrecto 2 2 10 3 2 4" xfId="17529" xr:uid="{E679D831-CA58-41E7-971A-1C1108E64883}"/>
    <cellStyle name="Incorrecto 2 2 10 3 2 5" xfId="17530" xr:uid="{EC1528F6-17DF-49A3-A44F-EAEBE535B1AC}"/>
    <cellStyle name="Incorrecto 2 2 10 3 3" xfId="17531" xr:uid="{48A6245C-C902-47DA-A2EF-ACF1B257A8BB}"/>
    <cellStyle name="Incorrecto 2 2 10 3 4" xfId="17532" xr:uid="{B3A0CFC6-2C00-4C83-9D6B-844DB8225A32}"/>
    <cellStyle name="Incorrecto 2 2 10 3 5" xfId="17533" xr:uid="{886DBC03-AE34-42EF-BE8D-192514861E1C}"/>
    <cellStyle name="Incorrecto 2 2 10 4" xfId="17534" xr:uid="{CD2B3E63-D8F1-48F7-A5A0-BB8A7F8572FA}"/>
    <cellStyle name="Incorrecto 2 2 10 5" xfId="17535" xr:uid="{B6F51DDF-6751-4661-B260-E2BACB0174C3}"/>
    <cellStyle name="Incorrecto 2 2 10 6" xfId="17536" xr:uid="{3A90F4C0-E9C3-483E-A414-B5654AA20773}"/>
    <cellStyle name="Incorrecto 2 2 10 7" xfId="17537" xr:uid="{E7FA304D-7B81-414D-9C70-65ED6D1898CA}"/>
    <cellStyle name="Incorrecto 2 2 10 8" xfId="17538" xr:uid="{0D6BB82F-0EB4-4936-BD52-B97CEAE8734C}"/>
    <cellStyle name="Incorrecto 2 2 10 9" xfId="17539" xr:uid="{EA681B71-44D8-4A45-839A-5BE1F07C025A}"/>
    <cellStyle name="Incorrecto 2 2 11" xfId="17540" xr:uid="{62C914D3-A906-420B-93C3-C5D6540D57CA}"/>
    <cellStyle name="Incorrecto 2 2 12" xfId="17541" xr:uid="{1B30518D-9ED6-4FB0-8926-3984A3152A50}"/>
    <cellStyle name="Incorrecto 2 2 13" xfId="17542" xr:uid="{EDDDF6D1-3539-47A5-B7F0-162E86C38DA8}"/>
    <cellStyle name="Incorrecto 2 2 2" xfId="17543" xr:uid="{783D5649-DA99-4C04-8698-A633B60DD1FD}"/>
    <cellStyle name="Incorrecto 2 2 2 2" xfId="17544" xr:uid="{B77D9FD4-C3C2-4F07-8237-A4AD4324BF37}"/>
    <cellStyle name="Incorrecto 2 2 2 2 2" xfId="17545" xr:uid="{CEDDCBF9-1A9B-44C3-BEA5-A4F9E70360D4}"/>
    <cellStyle name="Incorrecto 2 2 2 2 2 2" xfId="17546" xr:uid="{477DE806-1412-4FD5-93F6-6A077EF163FE}"/>
    <cellStyle name="Incorrecto 2 2 2 2 2 2 2" xfId="17547" xr:uid="{B480802E-EAD8-4C35-9E06-CB0FDD4129F5}"/>
    <cellStyle name="Incorrecto 2 2 2 2 2 2 2 2" xfId="17548" xr:uid="{60A4CCB9-213D-433F-A5F6-36D861C541FE}"/>
    <cellStyle name="Incorrecto 2 2 2 2 2 2 2 2 2" xfId="17549" xr:uid="{B2802E54-5032-4E9F-9C04-136FD7C1F469}"/>
    <cellStyle name="Incorrecto 2 2 2 2 2 2 2 2 2 2" xfId="17550" xr:uid="{C182B320-FAFF-4AEE-A68D-A9655E450880}"/>
    <cellStyle name="Incorrecto 2 2 2 2 2 2 2 2 2 2 2" xfId="17551" xr:uid="{196EC519-9158-4E4A-A7FA-7B5D75D9494E}"/>
    <cellStyle name="Incorrecto 2 2 2 2 2 2 2 2 2 2 2 2" xfId="17552" xr:uid="{2ED497A4-6527-448E-8037-56BABA871634}"/>
    <cellStyle name="Incorrecto 2 2 2 2 2 2 2 2 2 2 3" xfId="17553" xr:uid="{63396EA4-CAF3-48A2-A088-C5DC4DFE28EE}"/>
    <cellStyle name="Incorrecto 2 2 2 2 2 2 2 2 2 2 4" xfId="17554" xr:uid="{C18CCAD3-453F-4A10-9082-D729E0097D53}"/>
    <cellStyle name="Incorrecto 2 2 2 2 2 2 2 2 2 3" xfId="17555" xr:uid="{7467BEF9-33AC-452E-9FF5-CA0203507D40}"/>
    <cellStyle name="Incorrecto 2 2 2 2 2 2 2 2 2 4" xfId="17556" xr:uid="{82D2DAB3-FA80-44F0-A703-46CB5CEFF8D6}"/>
    <cellStyle name="Incorrecto 2 2 2 2 2 2 2 2 3" xfId="17557" xr:uid="{49D6EF33-2CE2-466B-964C-0260CE69840A}"/>
    <cellStyle name="Incorrecto 2 2 2 2 2 2 2 2 4" xfId="17558" xr:uid="{627603E3-356D-422C-A1CB-26485F5AF7D7}"/>
    <cellStyle name="Incorrecto 2 2 2 2 2 2 2 2 5" xfId="17559" xr:uid="{B597FA24-4745-41B9-A717-7AD01556EC4B}"/>
    <cellStyle name="Incorrecto 2 2 2 2 2 2 2 3" xfId="17560" xr:uid="{9AA946FA-F20D-492E-8558-E32F03719D76}"/>
    <cellStyle name="Incorrecto 2 2 2 2 2 2 2 3 10" xfId="17561" xr:uid="{D7B19F30-DF2B-4449-91FE-FBBCF9C422D9}"/>
    <cellStyle name="Incorrecto 2 2 2 2 2 2 2 3 11" xfId="17562" xr:uid="{E4758763-FE42-4D7B-A63D-5890A117CE76}"/>
    <cellStyle name="Incorrecto 2 2 2 2 2 2 2 3 2" xfId="17563" xr:uid="{CA893687-C361-4002-B87F-CA2214E915DA}"/>
    <cellStyle name="Incorrecto 2 2 2 2 2 2 2 3 2 2" xfId="17564" xr:uid="{961EF7AC-FB44-43E1-83B9-4F4491E16470}"/>
    <cellStyle name="Incorrecto 2 2 2 2 2 2 2 3 2 2 2" xfId="17565" xr:uid="{0146FD57-1220-4310-98BE-8483D9DF4831}"/>
    <cellStyle name="Incorrecto 2 2 2 2 2 2 2 3 2 2 3" xfId="17566" xr:uid="{8AAE0AC5-2255-4F78-BCB1-A7E9FF2B02D3}"/>
    <cellStyle name="Incorrecto 2 2 2 2 2 2 2 3 2 2 4" xfId="17567" xr:uid="{06D87818-86CD-406B-A095-5E35E3C74C08}"/>
    <cellStyle name="Incorrecto 2 2 2 2 2 2 2 3 2 2 5" xfId="17568" xr:uid="{36F97F8F-BCE8-4525-8157-51063A8112AB}"/>
    <cellStyle name="Incorrecto 2 2 2 2 2 2 2 3 2 3" xfId="17569" xr:uid="{235F4729-CA8A-495F-B423-F9E52958E641}"/>
    <cellStyle name="Incorrecto 2 2 2 2 2 2 2 3 2 4" xfId="17570" xr:uid="{BC655220-F508-4007-B5B4-C9ED3565EEA4}"/>
    <cellStyle name="Incorrecto 2 2 2 2 2 2 2 3 2 5" xfId="17571" xr:uid="{30909947-0526-4F09-BF59-88C71B24E0E1}"/>
    <cellStyle name="Incorrecto 2 2 2 2 2 2 2 3 3" xfId="17572" xr:uid="{0618E66A-E2A9-4B62-9537-44C1A68CCBCD}"/>
    <cellStyle name="Incorrecto 2 2 2 2 2 2 2 3 4" xfId="17573" xr:uid="{32518992-1E56-4CA5-AC6E-8E61DA27BA3D}"/>
    <cellStyle name="Incorrecto 2 2 2 2 2 2 2 3 5" xfId="17574" xr:uid="{9323645F-16FE-4315-97F9-3FD6E5CA6A6A}"/>
    <cellStyle name="Incorrecto 2 2 2 2 2 2 2 3 6" xfId="17575" xr:uid="{5CD73647-8824-4EFB-B869-CA4FF69EF3A7}"/>
    <cellStyle name="Incorrecto 2 2 2 2 2 2 2 3 7" xfId="17576" xr:uid="{64E23F71-76C5-433E-AB8A-7D0A4B95B2C3}"/>
    <cellStyle name="Incorrecto 2 2 2 2 2 2 2 3 8" xfId="17577" xr:uid="{9B27B407-41F9-49A3-9AE6-02A4882B3FB0}"/>
    <cellStyle name="Incorrecto 2 2 2 2 2 2 2 3 9" xfId="17578" xr:uid="{DFB07A17-9AB0-4526-A7E3-0AEE87A71D30}"/>
    <cellStyle name="Incorrecto 2 2 2 2 2 2 2 4" xfId="17579" xr:uid="{FB3945E3-CBD2-4686-83A8-92F8D81EA278}"/>
    <cellStyle name="Incorrecto 2 2 2 2 2 2 2 5" xfId="17580" xr:uid="{9DC395C7-6465-4082-847D-457E22716F41}"/>
    <cellStyle name="Incorrecto 2 2 2 2 2 2 3" xfId="17581" xr:uid="{7FE8AF69-C621-4DC9-8F52-64A94552CF3D}"/>
    <cellStyle name="Incorrecto 2 2 2 2 2 2 3 10" xfId="17582" xr:uid="{08EC048B-46A8-4200-BF8D-25B8535ADF4F}"/>
    <cellStyle name="Incorrecto 2 2 2 2 2 2 3 11" xfId="17583" xr:uid="{7CAF6875-D36E-4803-88F3-87594E007FAB}"/>
    <cellStyle name="Incorrecto 2 2 2 2 2 2 3 2" xfId="17584" xr:uid="{FAB19BC6-29CB-4AF7-95C4-FF93700824C0}"/>
    <cellStyle name="Incorrecto 2 2 2 2 2 2 3 2 10" xfId="17585" xr:uid="{8080BD1F-E7D0-42C0-8BDF-722A38D8DCA2}"/>
    <cellStyle name="Incorrecto 2 2 2 2 2 2 3 2 11" xfId="17586" xr:uid="{C21776D4-C871-4E1E-B679-DBE30639BB51}"/>
    <cellStyle name="Incorrecto 2 2 2 2 2 2 3 2 2" xfId="17587" xr:uid="{867605C1-D83E-4BF2-9DA3-1A82061B3842}"/>
    <cellStyle name="Incorrecto 2 2 2 2 2 2 3 2 2 2" xfId="17588" xr:uid="{FEA4DAFA-F1F7-407E-B511-DF9BE04B144F}"/>
    <cellStyle name="Incorrecto 2 2 2 2 2 2 3 2 2 2 2" xfId="17589" xr:uid="{7598A4AE-644D-4522-946D-D4CE17D570EE}"/>
    <cellStyle name="Incorrecto 2 2 2 2 2 2 3 2 2 2 3" xfId="17590" xr:uid="{DE0BD565-D3D6-4ED7-8A24-ECBF666538F9}"/>
    <cellStyle name="Incorrecto 2 2 2 2 2 2 3 2 2 2 4" xfId="17591" xr:uid="{9A5AEDF8-B830-4067-9D4A-89BB20F58DDC}"/>
    <cellStyle name="Incorrecto 2 2 2 2 2 2 3 2 2 2 5" xfId="17592" xr:uid="{C0D7117D-6EC0-4CBC-9CF2-A9CC74964992}"/>
    <cellStyle name="Incorrecto 2 2 2 2 2 2 3 2 2 3" xfId="17593" xr:uid="{CC55519A-B83C-4BE1-B7CC-05065A8640FE}"/>
    <cellStyle name="Incorrecto 2 2 2 2 2 2 3 2 2 4" xfId="17594" xr:uid="{A7C054F1-2CA8-40A2-BE28-783B2B1A0A3B}"/>
    <cellStyle name="Incorrecto 2 2 2 2 2 2 3 2 2 5" xfId="17595" xr:uid="{9078510E-738A-4C7D-B3AB-9467A360F48E}"/>
    <cellStyle name="Incorrecto 2 2 2 2 2 2 3 2 3" xfId="17596" xr:uid="{2AC11941-3F70-4D9D-B0A8-4ACE0C8BDE0E}"/>
    <cellStyle name="Incorrecto 2 2 2 2 2 2 3 2 4" xfId="17597" xr:uid="{099324A7-45CA-4F27-BE56-C01A3A36A117}"/>
    <cellStyle name="Incorrecto 2 2 2 2 2 2 3 2 5" xfId="17598" xr:uid="{28EEE676-01A1-461C-A674-1043D7CF0666}"/>
    <cellStyle name="Incorrecto 2 2 2 2 2 2 3 2 6" xfId="17599" xr:uid="{C0357A0A-33A5-417C-9633-F22082A3FAE1}"/>
    <cellStyle name="Incorrecto 2 2 2 2 2 2 3 2 7" xfId="17600" xr:uid="{53BBBC62-3C3F-4F09-9489-A82144DB247F}"/>
    <cellStyle name="Incorrecto 2 2 2 2 2 2 3 2 8" xfId="17601" xr:uid="{2E5D2647-A1E9-4184-B730-1359C42A6B53}"/>
    <cellStyle name="Incorrecto 2 2 2 2 2 2 3 2 9" xfId="17602" xr:uid="{81075BB2-762E-4906-8F55-81B1F59A5A1A}"/>
    <cellStyle name="Incorrecto 2 2 2 2 2 2 3 3" xfId="17603" xr:uid="{B713E026-3B4B-4B03-8132-C4470516898B}"/>
    <cellStyle name="Incorrecto 2 2 2 2 2 2 3 3 2" xfId="17604" xr:uid="{28DF3CBC-B7E1-4D67-812B-713D18946768}"/>
    <cellStyle name="Incorrecto 2 2 2 2 2 2 3 3 2 2" xfId="17605" xr:uid="{F68D7AFF-5F20-4AD2-BE12-9E6815BB0CE0}"/>
    <cellStyle name="Incorrecto 2 2 2 2 2 2 3 3 2 3" xfId="17606" xr:uid="{3B506CB3-BB20-45F1-BF0B-49C5FBC17E4C}"/>
    <cellStyle name="Incorrecto 2 2 2 2 2 2 3 3 2 4" xfId="17607" xr:uid="{06D1ABF7-4344-4A58-A4F2-533D88A1D6BA}"/>
    <cellStyle name="Incorrecto 2 2 2 2 2 2 3 3 2 5" xfId="17608" xr:uid="{8E42F179-C49A-4B35-BA6A-655D9624FCBE}"/>
    <cellStyle name="Incorrecto 2 2 2 2 2 2 3 3 3" xfId="17609" xr:uid="{9D06029A-2B53-4445-9CFE-646627198555}"/>
    <cellStyle name="Incorrecto 2 2 2 2 2 2 3 3 4" xfId="17610" xr:uid="{695DC7A6-0D1F-41A9-95AF-AA9C332D3973}"/>
    <cellStyle name="Incorrecto 2 2 2 2 2 2 3 3 5" xfId="17611" xr:uid="{FD47DC29-4507-45EC-8E29-39AF322439FE}"/>
    <cellStyle name="Incorrecto 2 2 2 2 2 2 3 4" xfId="17612" xr:uid="{B63FFB2A-90DF-4D59-8A0D-268842DEA2C0}"/>
    <cellStyle name="Incorrecto 2 2 2 2 2 2 3 5" xfId="17613" xr:uid="{3CA3A366-948E-4C4E-A24C-92104082F184}"/>
    <cellStyle name="Incorrecto 2 2 2 2 2 2 3 6" xfId="17614" xr:uid="{82AB5D9C-1AB6-4B53-B90D-B1D463FC8A1C}"/>
    <cellStyle name="Incorrecto 2 2 2 2 2 2 3 7" xfId="17615" xr:uid="{32758444-4742-4A36-AAFE-90796551D840}"/>
    <cellStyle name="Incorrecto 2 2 2 2 2 2 3 8" xfId="17616" xr:uid="{4F25BFA7-9ECA-4686-A717-497AC55C49BB}"/>
    <cellStyle name="Incorrecto 2 2 2 2 2 2 3 9" xfId="17617" xr:uid="{F4A86C20-6077-4A42-81CD-EEAE9D4B1538}"/>
    <cellStyle name="Incorrecto 2 2 2 2 2 2 4" xfId="17618" xr:uid="{A56C79D2-60A7-47B1-A14A-390ECC9DC388}"/>
    <cellStyle name="Incorrecto 2 2 2 2 2 2 5" xfId="17619" xr:uid="{28D04311-8C02-4983-BD1E-75439753F04A}"/>
    <cellStyle name="Incorrecto 2 2 2 2 2 2 6" xfId="17620" xr:uid="{55D0456B-077A-4147-ACE3-2CB9F68C0B73}"/>
    <cellStyle name="Incorrecto 2 2 2 2 2 3" xfId="17621" xr:uid="{A0F2A8AD-F252-4CE8-82D3-887D08206307}"/>
    <cellStyle name="Incorrecto 2 2 2 2 2 3 10" xfId="17622" xr:uid="{7390F018-0D53-45F0-86D3-CAEB08FA458D}"/>
    <cellStyle name="Incorrecto 2 2 2 2 2 3 11" xfId="17623" xr:uid="{9CFBAA23-F1AD-4CF9-8865-CED314373926}"/>
    <cellStyle name="Incorrecto 2 2 2 2 2 3 2" xfId="17624" xr:uid="{4C72A39C-E315-40F3-B878-89570CAE50B0}"/>
    <cellStyle name="Incorrecto 2 2 2 2 2 3 2 10" xfId="17625" xr:uid="{D3750C93-8DDC-4902-9688-0058C7D09CC6}"/>
    <cellStyle name="Incorrecto 2 2 2 2 2 3 2 11" xfId="17626" xr:uid="{6D3E2277-277A-4D8C-99D6-B0CE35D84E0F}"/>
    <cellStyle name="Incorrecto 2 2 2 2 2 3 2 2" xfId="17627" xr:uid="{2587628C-158F-4B8C-B6A3-4C96AF3DFE80}"/>
    <cellStyle name="Incorrecto 2 2 2 2 2 3 2 2 2" xfId="17628" xr:uid="{047FD7B3-B20D-40F2-8134-A20CBDD20AF5}"/>
    <cellStyle name="Incorrecto 2 2 2 2 2 3 2 2 2 2" xfId="17629" xr:uid="{25297BAE-FC73-43F5-A85C-E194008C572D}"/>
    <cellStyle name="Incorrecto 2 2 2 2 2 3 2 2 2 3" xfId="17630" xr:uid="{FD38C1B8-B497-4F79-A12E-2CFBD2A6C65E}"/>
    <cellStyle name="Incorrecto 2 2 2 2 2 3 2 2 2 4" xfId="17631" xr:uid="{D3C99309-C5F9-4F5D-A3C0-804DBD74284E}"/>
    <cellStyle name="Incorrecto 2 2 2 2 2 3 2 2 2 5" xfId="17632" xr:uid="{4467E530-0AF3-42BD-A24F-6DE4EA3DD0EE}"/>
    <cellStyle name="Incorrecto 2 2 2 2 2 3 2 2 3" xfId="17633" xr:uid="{46D88A17-DE45-41F3-9AFD-1763092EF960}"/>
    <cellStyle name="Incorrecto 2 2 2 2 2 3 2 2 4" xfId="17634" xr:uid="{87934373-4D0D-4A97-BBC8-33455105A215}"/>
    <cellStyle name="Incorrecto 2 2 2 2 2 3 2 2 5" xfId="17635" xr:uid="{7E12F2E8-1A15-4E27-AADE-5C790574A8F4}"/>
    <cellStyle name="Incorrecto 2 2 2 2 2 3 2 3" xfId="17636" xr:uid="{DBEF0E52-8A70-4B95-A374-161324572E23}"/>
    <cellStyle name="Incorrecto 2 2 2 2 2 3 2 4" xfId="17637" xr:uid="{622ED29A-A4CE-4AC4-B4B3-6D085F015079}"/>
    <cellStyle name="Incorrecto 2 2 2 2 2 3 2 5" xfId="17638" xr:uid="{E738B662-A123-4080-AE94-807C3252F297}"/>
    <cellStyle name="Incorrecto 2 2 2 2 2 3 2 6" xfId="17639" xr:uid="{DB9504F4-78AE-4111-A6F5-937B1A73135F}"/>
    <cellStyle name="Incorrecto 2 2 2 2 2 3 2 7" xfId="17640" xr:uid="{E4A38BB7-4327-4978-B4EA-A2846262F46E}"/>
    <cellStyle name="Incorrecto 2 2 2 2 2 3 2 8" xfId="17641" xr:uid="{D5C72B39-68C9-4B26-A76C-CA6A31491485}"/>
    <cellStyle name="Incorrecto 2 2 2 2 2 3 2 9" xfId="17642" xr:uid="{0AA49710-D418-4525-89AB-3B44BD35FB30}"/>
    <cellStyle name="Incorrecto 2 2 2 2 2 3 3" xfId="17643" xr:uid="{78DA2876-FF69-4F1D-AB4B-996A6CE635E7}"/>
    <cellStyle name="Incorrecto 2 2 2 2 2 3 3 2" xfId="17644" xr:uid="{40EA8723-B781-4967-B485-15B1ABDD7860}"/>
    <cellStyle name="Incorrecto 2 2 2 2 2 3 3 2 2" xfId="17645" xr:uid="{2D4A6CC0-5133-4AAD-84B3-1018530ACE10}"/>
    <cellStyle name="Incorrecto 2 2 2 2 2 3 3 2 3" xfId="17646" xr:uid="{3FAF693F-F452-4179-8F03-772147D81EC2}"/>
    <cellStyle name="Incorrecto 2 2 2 2 2 3 3 2 4" xfId="17647" xr:uid="{4464A997-74D8-4E42-8A5B-32C338ADEBA4}"/>
    <cellStyle name="Incorrecto 2 2 2 2 2 3 3 2 5" xfId="17648" xr:uid="{8943769B-5CC9-4DD8-8A9C-44C76044AFFC}"/>
    <cellStyle name="Incorrecto 2 2 2 2 2 3 3 3" xfId="17649" xr:uid="{D09CCF64-3B88-4E95-A6F4-0E05B9ADF1BC}"/>
    <cellStyle name="Incorrecto 2 2 2 2 2 3 3 4" xfId="17650" xr:uid="{81064101-E280-4F4C-AA9F-5261222CBE8E}"/>
    <cellStyle name="Incorrecto 2 2 2 2 2 3 3 5" xfId="17651" xr:uid="{4BC562A9-D964-485B-AE6F-499273BF5AFD}"/>
    <cellStyle name="Incorrecto 2 2 2 2 2 3 4" xfId="17652" xr:uid="{EDCC0794-29F8-4E6F-933E-6B98894390D3}"/>
    <cellStyle name="Incorrecto 2 2 2 2 2 3 5" xfId="17653" xr:uid="{D1299691-264A-4FCE-A337-EC7082BF0877}"/>
    <cellStyle name="Incorrecto 2 2 2 2 2 3 6" xfId="17654" xr:uid="{27BF78AF-F9D6-43CE-BC62-5ABB206AB563}"/>
    <cellStyle name="Incorrecto 2 2 2 2 2 3 7" xfId="17655" xr:uid="{870E3412-FFF9-4B49-838F-B8872B561B87}"/>
    <cellStyle name="Incorrecto 2 2 2 2 2 3 8" xfId="17656" xr:uid="{6F52A7DE-EC12-4459-9528-7E1AC021D45F}"/>
    <cellStyle name="Incorrecto 2 2 2 2 2 3 9" xfId="17657" xr:uid="{298CE2D7-6985-4EBB-B43C-D6A1D23F1A2D}"/>
    <cellStyle name="Incorrecto 2 2 2 2 2 4" xfId="17658" xr:uid="{57A908EE-CAF9-4A19-AB64-19923A2033D7}"/>
    <cellStyle name="Incorrecto 2 2 2 2 2 5" xfId="17659" xr:uid="{5D8B6B5D-AAFE-447B-A652-699E553B4CD3}"/>
    <cellStyle name="Incorrecto 2 2 2 2 2 6" xfId="17660" xr:uid="{7A0C737E-5D95-4F68-AFBA-BFEB07EA47A7}"/>
    <cellStyle name="Incorrecto 2 2 2 2 3" xfId="17661" xr:uid="{5F4424AB-740A-45EC-BB1B-C74BCC87F30D}"/>
    <cellStyle name="Incorrecto 2 2 2 2 4" xfId="17662" xr:uid="{59490CD6-237C-48B7-84CE-9908D75362CB}"/>
    <cellStyle name="Incorrecto 2 2 2 2 4 10" xfId="17663" xr:uid="{6BCBED98-FB87-4265-A4B1-19F8B2689D59}"/>
    <cellStyle name="Incorrecto 2 2 2 2 4 11" xfId="17664" xr:uid="{888A44F9-70AE-4465-A36F-C24DDC0C434C}"/>
    <cellStyle name="Incorrecto 2 2 2 2 4 2" xfId="17665" xr:uid="{E81A080D-9B41-43CE-B5C5-B7ED66077809}"/>
    <cellStyle name="Incorrecto 2 2 2 2 4 2 10" xfId="17666" xr:uid="{0E1308D0-4046-42E8-BF57-D8494F58CB29}"/>
    <cellStyle name="Incorrecto 2 2 2 2 4 2 11" xfId="17667" xr:uid="{8116F562-35B5-474C-B37B-2980A0E2481B}"/>
    <cellStyle name="Incorrecto 2 2 2 2 4 2 2" xfId="17668" xr:uid="{3C5432CC-1221-4BB3-81AD-19CCB21627F7}"/>
    <cellStyle name="Incorrecto 2 2 2 2 4 2 2 2" xfId="17669" xr:uid="{C5F05222-B2DE-41EE-BCF6-A80680DBFBBE}"/>
    <cellStyle name="Incorrecto 2 2 2 2 4 2 2 2 2" xfId="17670" xr:uid="{0DE9E067-E319-4883-9B1D-86D3D419D5E1}"/>
    <cellStyle name="Incorrecto 2 2 2 2 4 2 2 2 3" xfId="17671" xr:uid="{ACEF6146-1660-4CAC-A3CA-76AB64AF683A}"/>
    <cellStyle name="Incorrecto 2 2 2 2 4 2 2 2 4" xfId="17672" xr:uid="{8E339607-9CA4-4270-918C-C7723ABD55C4}"/>
    <cellStyle name="Incorrecto 2 2 2 2 4 2 2 2 5" xfId="17673" xr:uid="{6989DC1A-5478-4E17-8AB5-4992F25548B4}"/>
    <cellStyle name="Incorrecto 2 2 2 2 4 2 2 3" xfId="17674" xr:uid="{5EA9F38F-37F3-4246-A816-15B0429E20E4}"/>
    <cellStyle name="Incorrecto 2 2 2 2 4 2 2 4" xfId="17675" xr:uid="{AF8010F5-C526-4194-B0D2-7609A7EC4035}"/>
    <cellStyle name="Incorrecto 2 2 2 2 4 2 2 5" xfId="17676" xr:uid="{E7F5EF5D-C72B-4546-9F74-FC9F53DF3DF7}"/>
    <cellStyle name="Incorrecto 2 2 2 2 4 2 3" xfId="17677" xr:uid="{39149636-A2E4-45CC-A521-0B2CB308DF42}"/>
    <cellStyle name="Incorrecto 2 2 2 2 4 2 4" xfId="17678" xr:uid="{DB6BAACC-2F1B-4D31-9286-A39279ABAED3}"/>
    <cellStyle name="Incorrecto 2 2 2 2 4 2 5" xfId="17679" xr:uid="{BE31F2FC-3CE6-45DB-AF14-D284B23D1764}"/>
    <cellStyle name="Incorrecto 2 2 2 2 4 2 6" xfId="17680" xr:uid="{DAE0E4F5-0CB6-4FED-A267-FEB1AA3B5B28}"/>
    <cellStyle name="Incorrecto 2 2 2 2 4 2 7" xfId="17681" xr:uid="{CB25D7AE-622C-420B-A575-E33AEC0C13CF}"/>
    <cellStyle name="Incorrecto 2 2 2 2 4 2 8" xfId="17682" xr:uid="{FAD35511-9698-4216-B14D-87A96BA223F3}"/>
    <cellStyle name="Incorrecto 2 2 2 2 4 2 9" xfId="17683" xr:uid="{0969EA54-3889-4E4C-A47D-15F48660EA99}"/>
    <cellStyle name="Incorrecto 2 2 2 2 4 3" xfId="17684" xr:uid="{46049C85-CA87-4FA5-97D5-CE7A229BD56C}"/>
    <cellStyle name="Incorrecto 2 2 2 2 4 3 2" xfId="17685" xr:uid="{B8684BD6-4700-4C82-9D05-CDB4FE99475A}"/>
    <cellStyle name="Incorrecto 2 2 2 2 4 3 2 2" xfId="17686" xr:uid="{F1EB06A1-50B2-4402-9FE0-7DB69CBA5E95}"/>
    <cellStyle name="Incorrecto 2 2 2 2 4 3 2 3" xfId="17687" xr:uid="{69B6ED17-C70D-41F8-B664-5DFE9C6A1F4C}"/>
    <cellStyle name="Incorrecto 2 2 2 2 4 3 2 4" xfId="17688" xr:uid="{87F8CC17-E7F6-40AB-BBB8-0FF3AF58189E}"/>
    <cellStyle name="Incorrecto 2 2 2 2 4 3 2 5" xfId="17689" xr:uid="{2EEA9B36-565A-4E20-AD67-4B7F41281FC9}"/>
    <cellStyle name="Incorrecto 2 2 2 2 4 3 3" xfId="17690" xr:uid="{E82439C0-3054-4604-BF17-7EAD94C7B224}"/>
    <cellStyle name="Incorrecto 2 2 2 2 4 3 4" xfId="17691" xr:uid="{3DC3716F-0509-40D0-A13F-BC9D3B60838B}"/>
    <cellStyle name="Incorrecto 2 2 2 2 4 3 5" xfId="17692" xr:uid="{562B4760-83D8-4915-9A77-57E80C0BAB4D}"/>
    <cellStyle name="Incorrecto 2 2 2 2 4 4" xfId="17693" xr:uid="{FF1BDAB1-1C1E-497A-A171-5E8EE0CFE1D7}"/>
    <cellStyle name="Incorrecto 2 2 2 2 4 5" xfId="17694" xr:uid="{5DEF61DB-4F70-4A47-8363-9A9E874A32F2}"/>
    <cellStyle name="Incorrecto 2 2 2 2 4 6" xfId="17695" xr:uid="{0072B124-0881-4FCD-BA21-F0E57C9ACFC1}"/>
    <cellStyle name="Incorrecto 2 2 2 2 4 7" xfId="17696" xr:uid="{B728AC47-5983-49CE-9CC7-449A4D3E38FF}"/>
    <cellStyle name="Incorrecto 2 2 2 2 4 8" xfId="17697" xr:uid="{F9A3FF58-5C4F-4FFD-8C55-ED6F3A390F83}"/>
    <cellStyle name="Incorrecto 2 2 2 2 4 9" xfId="17698" xr:uid="{148BAB47-4663-4724-81C0-FF789FB00135}"/>
    <cellStyle name="Incorrecto 2 2 2 2 5" xfId="17699" xr:uid="{E58F7B7B-DA0D-4B41-878F-A7EB41F6DE16}"/>
    <cellStyle name="Incorrecto 2 2 2 2 6" xfId="17700" xr:uid="{54731FD7-96AA-40DC-AE11-69338FF9F543}"/>
    <cellStyle name="Incorrecto 2 2 2 2 7" xfId="17701" xr:uid="{E82A4693-1E9B-4307-9054-5B772A7D565D}"/>
    <cellStyle name="Incorrecto 2 2 2 3" xfId="17702" xr:uid="{2179FB58-3B89-42F7-8BA4-4E7C2BB49A8E}"/>
    <cellStyle name="Incorrecto 2 2 2 4" xfId="17703" xr:uid="{887F89B0-3C2E-4B71-AA16-8427BC2938E2}"/>
    <cellStyle name="Incorrecto 2 2 2 5" xfId="17704" xr:uid="{8295FDF0-70F2-4732-BA5F-12158AE30DD5}"/>
    <cellStyle name="Incorrecto 2 2 2 5 10" xfId="17705" xr:uid="{5E2691CB-3DDE-4EC8-BE1E-E5A498EFFBBC}"/>
    <cellStyle name="Incorrecto 2 2 2 5 11" xfId="17706" xr:uid="{95F8726C-1F40-42F0-AF08-E85649585882}"/>
    <cellStyle name="Incorrecto 2 2 2 5 2" xfId="17707" xr:uid="{DB2248F3-7CE6-481F-97E8-C9BAB91CF581}"/>
    <cellStyle name="Incorrecto 2 2 2 5 2 10" xfId="17708" xr:uid="{33F97B59-A1FC-4A68-A1FB-E9912FB3CE75}"/>
    <cellStyle name="Incorrecto 2 2 2 5 2 11" xfId="17709" xr:uid="{6C0E49E6-9003-4725-A3BC-349DD7C8AAC9}"/>
    <cellStyle name="Incorrecto 2 2 2 5 2 2" xfId="17710" xr:uid="{7FC8275A-692B-40C5-8ED0-DE7AB127346D}"/>
    <cellStyle name="Incorrecto 2 2 2 5 2 2 2" xfId="17711" xr:uid="{3BFCE428-1867-4C3D-938D-BA12149AF0D5}"/>
    <cellStyle name="Incorrecto 2 2 2 5 2 2 2 2" xfId="17712" xr:uid="{8B55B9D7-5DC8-4091-BD53-0B3E9D0C57B3}"/>
    <cellStyle name="Incorrecto 2 2 2 5 2 2 2 3" xfId="17713" xr:uid="{EF4E6086-745A-40F1-BDCE-C8ACF0D2D838}"/>
    <cellStyle name="Incorrecto 2 2 2 5 2 2 2 4" xfId="17714" xr:uid="{40AC94C8-F59C-407B-AA3F-21EE7279C570}"/>
    <cellStyle name="Incorrecto 2 2 2 5 2 2 2 5" xfId="17715" xr:uid="{372472D0-D732-4696-8BC3-D585BFB7EC45}"/>
    <cellStyle name="Incorrecto 2 2 2 5 2 2 3" xfId="17716" xr:uid="{58B8F350-E385-41B4-BA97-8DA795F66EAC}"/>
    <cellStyle name="Incorrecto 2 2 2 5 2 2 4" xfId="17717" xr:uid="{703D5C1B-6AE4-4E1D-BFCF-0380D849A6A7}"/>
    <cellStyle name="Incorrecto 2 2 2 5 2 2 5" xfId="17718" xr:uid="{277419BB-A1A4-4358-8AA5-A3F56E8159D9}"/>
    <cellStyle name="Incorrecto 2 2 2 5 2 3" xfId="17719" xr:uid="{4FE5950E-578E-4A44-9208-09621353B076}"/>
    <cellStyle name="Incorrecto 2 2 2 5 2 4" xfId="17720" xr:uid="{05FCC837-7E5E-4074-ABC9-4D45B89FE28C}"/>
    <cellStyle name="Incorrecto 2 2 2 5 2 5" xfId="17721" xr:uid="{40102DD3-43EF-4305-87E4-DF028E136F8B}"/>
    <cellStyle name="Incorrecto 2 2 2 5 2 6" xfId="17722" xr:uid="{4D29F9E6-B265-4FFC-BBDB-72F4C9675003}"/>
    <cellStyle name="Incorrecto 2 2 2 5 2 7" xfId="17723" xr:uid="{CB1872AF-A088-4BE2-8949-94132D412720}"/>
    <cellStyle name="Incorrecto 2 2 2 5 2 8" xfId="17724" xr:uid="{3AE3A1D9-49B8-4F48-BFD9-F73298624B13}"/>
    <cellStyle name="Incorrecto 2 2 2 5 2 9" xfId="17725" xr:uid="{DE55774F-D49E-4019-A4CD-E993A3F19432}"/>
    <cellStyle name="Incorrecto 2 2 2 5 3" xfId="17726" xr:uid="{D0FD9234-251E-4C9B-8517-B930404F09A4}"/>
    <cellStyle name="Incorrecto 2 2 2 5 3 2" xfId="17727" xr:uid="{89DEAF26-B86D-4E45-BB51-98E662F43222}"/>
    <cellStyle name="Incorrecto 2 2 2 5 3 2 2" xfId="17728" xr:uid="{F07207F9-606F-4A85-8F98-F57FB6529A2C}"/>
    <cellStyle name="Incorrecto 2 2 2 5 3 2 3" xfId="17729" xr:uid="{FCE4B0DE-C52E-4F36-94CD-395BFFB7ED74}"/>
    <cellStyle name="Incorrecto 2 2 2 5 3 2 4" xfId="17730" xr:uid="{ED75B372-6D33-4025-8909-D4EEDDFF43AA}"/>
    <cellStyle name="Incorrecto 2 2 2 5 3 2 5" xfId="17731" xr:uid="{3875A317-D91E-4E7D-A2A1-8D2D0B37BF4E}"/>
    <cellStyle name="Incorrecto 2 2 2 5 3 3" xfId="17732" xr:uid="{11E3E553-B371-40C5-900B-66AD1B31022D}"/>
    <cellStyle name="Incorrecto 2 2 2 5 3 4" xfId="17733" xr:uid="{26FF31C1-0BF3-4FED-B7B2-A1C5E6377C9D}"/>
    <cellStyle name="Incorrecto 2 2 2 5 3 5" xfId="17734" xr:uid="{06CF3950-FC7B-42BB-A372-AE3DC425E01E}"/>
    <cellStyle name="Incorrecto 2 2 2 5 4" xfId="17735" xr:uid="{6C3D4692-7AD6-4B65-B8D8-45D5028293AB}"/>
    <cellStyle name="Incorrecto 2 2 2 5 5" xfId="17736" xr:uid="{95B1AFA6-5ABA-433A-9D8E-033D47EB215D}"/>
    <cellStyle name="Incorrecto 2 2 2 5 6" xfId="17737" xr:uid="{F0BB0256-72CF-4C05-AD85-8182BD944B4C}"/>
    <cellStyle name="Incorrecto 2 2 2 5 7" xfId="17738" xr:uid="{32C40FF7-6E25-44A5-AF19-75B156B0AA0B}"/>
    <cellStyle name="Incorrecto 2 2 2 5 8" xfId="17739" xr:uid="{238BA388-5912-494B-A5C9-2D89A73A57B9}"/>
    <cellStyle name="Incorrecto 2 2 2 5 9" xfId="17740" xr:uid="{3D635645-ECDA-4B93-8CE3-75F40531907C}"/>
    <cellStyle name="Incorrecto 2 2 2 6" xfId="17741" xr:uid="{18AD1359-1E9A-49AF-82DA-CB7A77471DAF}"/>
    <cellStyle name="Incorrecto 2 2 2 7" xfId="17742" xr:uid="{FED7B1FB-E920-4B95-8C1E-310310BFCDE1}"/>
    <cellStyle name="Incorrecto 2 2 2 8" xfId="17743" xr:uid="{2F207D00-70D8-422D-8078-2117285B7F46}"/>
    <cellStyle name="Incorrecto 2 2 3" xfId="17744" xr:uid="{BD50AD3B-3F07-4632-99F7-0B3A335C7A0E}"/>
    <cellStyle name="Incorrecto 2 2 4" xfId="17745" xr:uid="{1B7613F9-0FF2-49E2-B508-950B07C2EC51}"/>
    <cellStyle name="Incorrecto 2 2 5" xfId="17746" xr:uid="{F9904A50-EF70-461A-98E2-9A73858BB14F}"/>
    <cellStyle name="Incorrecto 2 2 6" xfId="17747" xr:uid="{D9FB60B0-4AC2-4B20-891B-55460F7C587F}"/>
    <cellStyle name="Incorrecto 2 2 7" xfId="17748" xr:uid="{57ACB96F-516C-4750-A791-F6E828C2D917}"/>
    <cellStyle name="Incorrecto 2 2 8" xfId="17749" xr:uid="{22E57BBA-721E-46B5-8B41-903101B8D0DD}"/>
    <cellStyle name="Incorrecto 2 2 8 2" xfId="17750" xr:uid="{9ADCB469-FAA9-49DA-9675-39D32EA9AD5B}"/>
    <cellStyle name="Incorrecto 2 2 9" xfId="17751" xr:uid="{610FFCF0-806E-45C0-BFCF-4AB468A832EE}"/>
    <cellStyle name="Incorrecto 2 3" xfId="17752" xr:uid="{172567CF-F0FF-45B9-8711-8B2352D50BE4}"/>
    <cellStyle name="Incorrecto 2 4" xfId="17753" xr:uid="{40DB578C-092B-4264-807C-5F736800A68C}"/>
    <cellStyle name="Incorrecto 2 4 10" xfId="17754" xr:uid="{FF6CC6C8-677B-44EE-9D62-D1C3FA6F0B46}"/>
    <cellStyle name="Incorrecto 2 4 11" xfId="17755" xr:uid="{EDC463B5-CF38-408B-BEBA-D64896DF29A7}"/>
    <cellStyle name="Incorrecto 2 4 12" xfId="17756" xr:uid="{4FEBAF3E-6D18-4965-B7C4-45BE5E55D14C}"/>
    <cellStyle name="Incorrecto 2 4 2" xfId="17757" xr:uid="{5F053AA4-223E-4829-A692-8AAC67FA9014}"/>
    <cellStyle name="Incorrecto 2 4 2 10" xfId="17758" xr:uid="{37CBD68D-4609-4127-AD90-2CDE40B9ADA5}"/>
    <cellStyle name="Incorrecto 2 4 2 11" xfId="17759" xr:uid="{9E626F35-D30E-4F24-BBB9-D642CB4515F4}"/>
    <cellStyle name="Incorrecto 2 4 2 12" xfId="17760" xr:uid="{A226F766-F456-4243-ABB4-1D306D088F32}"/>
    <cellStyle name="Incorrecto 2 4 2 2" xfId="17761" xr:uid="{1D94BC65-6FE4-4146-86BF-845588DCB5F8}"/>
    <cellStyle name="Incorrecto 2 4 2 2 10" xfId="17762" xr:uid="{8B3B841F-0525-4C62-B036-EAC402BD382A}"/>
    <cellStyle name="Incorrecto 2 4 2 2 11" xfId="17763" xr:uid="{F9B95E42-DC3D-492C-986F-7407DAA07360}"/>
    <cellStyle name="Incorrecto 2 4 2 2 2" xfId="17764" xr:uid="{D9A14661-0184-4B93-BC90-229534F703AB}"/>
    <cellStyle name="Incorrecto 2 4 2 2 2 10" xfId="17765" xr:uid="{C5A41528-CF8A-4E1F-B1C1-FCCFD56F79C3}"/>
    <cellStyle name="Incorrecto 2 4 2 2 2 11" xfId="17766" xr:uid="{484B3599-94FB-468A-A51A-832F03084FD1}"/>
    <cellStyle name="Incorrecto 2 4 2 2 2 2" xfId="17767" xr:uid="{6C56095B-DC8D-4BD3-B390-46A1FFD20823}"/>
    <cellStyle name="Incorrecto 2 4 2 2 2 2 2" xfId="17768" xr:uid="{1D3069EB-2EA3-495F-8260-968CBDB9209A}"/>
    <cellStyle name="Incorrecto 2 4 2 2 2 2 2 2" xfId="17769" xr:uid="{6EAFA121-C9A9-4D20-82F4-D0FDBAA01510}"/>
    <cellStyle name="Incorrecto 2 4 2 2 2 2 2 3" xfId="17770" xr:uid="{8B8E6B11-622E-4EDE-8EDC-C10398B20A6F}"/>
    <cellStyle name="Incorrecto 2 4 2 2 2 2 2 4" xfId="17771" xr:uid="{D355AC93-8B59-4283-87D1-A720994FE861}"/>
    <cellStyle name="Incorrecto 2 4 2 2 2 2 2 5" xfId="17772" xr:uid="{8A0F74B1-6270-4D89-BD69-CFC4CC7700EE}"/>
    <cellStyle name="Incorrecto 2 4 2 2 2 2 3" xfId="17773" xr:uid="{9486060F-14F1-40A3-81F6-3DAAEE5D7F4D}"/>
    <cellStyle name="Incorrecto 2 4 2 2 2 2 4" xfId="17774" xr:uid="{87732AA8-C9BC-46E9-8857-6EEB4695C713}"/>
    <cellStyle name="Incorrecto 2 4 2 2 2 2 5" xfId="17775" xr:uid="{CA0BDA8B-9484-4D7B-B7B5-1A9C6288B9E8}"/>
    <cellStyle name="Incorrecto 2 4 2 2 2 3" xfId="17776" xr:uid="{9F8A9F88-71F2-4C6D-8F4D-4736B57EE230}"/>
    <cellStyle name="Incorrecto 2 4 2 2 2 4" xfId="17777" xr:uid="{24583607-64E9-438F-AF27-5571DAB952E8}"/>
    <cellStyle name="Incorrecto 2 4 2 2 2 5" xfId="17778" xr:uid="{049B8D1A-B14A-4129-A178-929C4F7DED8A}"/>
    <cellStyle name="Incorrecto 2 4 2 2 2 6" xfId="17779" xr:uid="{2C4E7BB6-7314-4EC6-93C2-FF1468E74D18}"/>
    <cellStyle name="Incorrecto 2 4 2 2 2 7" xfId="17780" xr:uid="{6373037C-40D7-4826-AC37-7E3AEEE07089}"/>
    <cellStyle name="Incorrecto 2 4 2 2 2 8" xfId="17781" xr:uid="{713F4001-3653-4D77-8BA4-07A4F2BE9DDB}"/>
    <cellStyle name="Incorrecto 2 4 2 2 2 9" xfId="17782" xr:uid="{458ECAAD-FC56-46FD-B21E-150000D50EE9}"/>
    <cellStyle name="Incorrecto 2 4 2 2 3" xfId="17783" xr:uid="{3D014FB0-949E-493F-B853-7F7123716206}"/>
    <cellStyle name="Incorrecto 2 4 2 2 3 2" xfId="17784" xr:uid="{EF3C933B-07B7-4C21-922D-EED1B3BAC8B6}"/>
    <cellStyle name="Incorrecto 2 4 2 2 3 2 2" xfId="17785" xr:uid="{F3F36C82-A579-40A6-8568-FDA30936A36B}"/>
    <cellStyle name="Incorrecto 2 4 2 2 3 2 3" xfId="17786" xr:uid="{0517B118-CA1D-4CFC-916D-5AC27EF92E6F}"/>
    <cellStyle name="Incorrecto 2 4 2 2 3 2 4" xfId="17787" xr:uid="{2AA5B5DA-3152-40CD-ABC3-B63CB3BAEF8A}"/>
    <cellStyle name="Incorrecto 2 4 2 2 3 2 5" xfId="17788" xr:uid="{5D9A4CB0-D79D-4049-9A5D-0255FEC3623F}"/>
    <cellStyle name="Incorrecto 2 4 2 2 3 3" xfId="17789" xr:uid="{ACDB1610-BA63-4CA4-B0EB-98D4D75A045A}"/>
    <cellStyle name="Incorrecto 2 4 2 2 3 4" xfId="17790" xr:uid="{D91FB66E-1AFF-405C-980A-5E76CCEDC7D2}"/>
    <cellStyle name="Incorrecto 2 4 2 2 3 5" xfId="17791" xr:uid="{C3E7D91A-A49F-454C-86B8-7E3D889085B0}"/>
    <cellStyle name="Incorrecto 2 4 2 2 4" xfId="17792" xr:uid="{5C360E1F-08D3-4CEF-A34C-2677ED3C10FF}"/>
    <cellStyle name="Incorrecto 2 4 2 2 5" xfId="17793" xr:uid="{B55FDDB3-201C-4F31-9558-40E4F74925C0}"/>
    <cellStyle name="Incorrecto 2 4 2 2 6" xfId="17794" xr:uid="{4B00B0C0-3B44-4EED-B861-FB1DCBE9CA34}"/>
    <cellStyle name="Incorrecto 2 4 2 2 7" xfId="17795" xr:uid="{62137B17-6F7D-4790-9F05-53044F337BDD}"/>
    <cellStyle name="Incorrecto 2 4 2 2 8" xfId="17796" xr:uid="{0644758E-2E4A-4C6A-9ED6-5081302ED4FA}"/>
    <cellStyle name="Incorrecto 2 4 2 2 9" xfId="17797" xr:uid="{D7B1925E-A012-486A-8ADC-13A5D63F8751}"/>
    <cellStyle name="Incorrecto 2 4 2 3" xfId="17798" xr:uid="{5527EC98-9C37-4D54-A9BD-66BDCA4EBE53}"/>
    <cellStyle name="Incorrecto 2 4 2 3 2" xfId="17799" xr:uid="{1337665D-E619-4A18-BFA7-4C913066FF41}"/>
    <cellStyle name="Incorrecto 2 4 2 3 2 2" xfId="17800" xr:uid="{B627B285-088C-4580-BE3C-F49D9D1E344D}"/>
    <cellStyle name="Incorrecto 2 4 2 3 2 3" xfId="17801" xr:uid="{EB9BFEEF-8474-4812-9A82-FC108530256B}"/>
    <cellStyle name="Incorrecto 2 4 2 3 2 4" xfId="17802" xr:uid="{7CC75E4C-7BB5-4655-AE6B-FD1F6A95D8AE}"/>
    <cellStyle name="Incorrecto 2 4 2 3 2 5" xfId="17803" xr:uid="{4EDFE1FE-E3FD-4E37-853A-11FE1FE4697F}"/>
    <cellStyle name="Incorrecto 2 4 2 3 3" xfId="17804" xr:uid="{D6389020-B20F-4404-9D51-DFDB3583D2B9}"/>
    <cellStyle name="Incorrecto 2 4 2 3 4" xfId="17805" xr:uid="{80CB3D05-ACF1-4444-BC58-C1352F72FE84}"/>
    <cellStyle name="Incorrecto 2 4 2 3 5" xfId="17806" xr:uid="{4424F16D-0144-4572-AF99-A43DBA0E0A45}"/>
    <cellStyle name="Incorrecto 2 4 2 4" xfId="17807" xr:uid="{4A1EF741-51C0-49CB-A06B-C0D4830AD198}"/>
    <cellStyle name="Incorrecto 2 4 2 5" xfId="17808" xr:uid="{74ECE889-82D2-46EF-BD4B-C302AF8EA606}"/>
    <cellStyle name="Incorrecto 2 4 2 6" xfId="17809" xr:uid="{957AB42A-2FAF-4B88-9598-24E7AAD7588E}"/>
    <cellStyle name="Incorrecto 2 4 2 7" xfId="17810" xr:uid="{988D881A-83D3-4F89-85DF-0CC6FDE8F298}"/>
    <cellStyle name="Incorrecto 2 4 2 8" xfId="17811" xr:uid="{C7E6FD7B-B41D-4CD5-BB56-F01CFB76D5F7}"/>
    <cellStyle name="Incorrecto 2 4 2 9" xfId="17812" xr:uid="{34E03174-30A4-4222-95B8-B3ABA59E01F4}"/>
    <cellStyle name="Incorrecto 2 4 3" xfId="17813" xr:uid="{EE7B1123-8D28-47DF-BFD1-816406224667}"/>
    <cellStyle name="Incorrecto 2 4 3 10" xfId="17814" xr:uid="{258D7DED-EF17-490D-9BB0-FB0F8506C8B9}"/>
    <cellStyle name="Incorrecto 2 4 3 11" xfId="17815" xr:uid="{05B20305-91ED-4104-BF46-D0774E46AA98}"/>
    <cellStyle name="Incorrecto 2 4 3 2" xfId="17816" xr:uid="{7439257E-DB22-44F7-A4F6-1A36888FD288}"/>
    <cellStyle name="Incorrecto 2 4 3 2 2" xfId="17817" xr:uid="{42CD4C5A-C6B6-47D7-985B-0AF0BE0573D1}"/>
    <cellStyle name="Incorrecto 2 4 3 2 2 2" xfId="17818" xr:uid="{A4DCE261-1B38-4B7B-9171-1DDFDC28240D}"/>
    <cellStyle name="Incorrecto 2 4 3 2 2 3" xfId="17819" xr:uid="{E2DF371C-F704-46CD-9875-379539762F14}"/>
    <cellStyle name="Incorrecto 2 4 3 2 2 4" xfId="17820" xr:uid="{7D3A6161-D237-4977-B4D5-00FFC81DBA79}"/>
    <cellStyle name="Incorrecto 2 4 3 2 2 5" xfId="17821" xr:uid="{F5C5B245-5108-412B-AD5C-94C6A26AE332}"/>
    <cellStyle name="Incorrecto 2 4 3 2 3" xfId="17822" xr:uid="{6EBFC342-5B31-46EF-B6A1-F3FDAEC9F987}"/>
    <cellStyle name="Incorrecto 2 4 3 2 4" xfId="17823" xr:uid="{A15DAC0B-8F74-4469-83A1-CD290DA5B472}"/>
    <cellStyle name="Incorrecto 2 4 3 2 5" xfId="17824" xr:uid="{18B77222-7046-427A-A832-B50FB6295D43}"/>
    <cellStyle name="Incorrecto 2 4 3 3" xfId="17825" xr:uid="{4AC14E48-E6C6-487A-B2CD-04680D9DC98F}"/>
    <cellStyle name="Incorrecto 2 4 3 4" xfId="17826" xr:uid="{DF75BA57-AB92-49DC-902A-E5BF1E3159B5}"/>
    <cellStyle name="Incorrecto 2 4 3 5" xfId="17827" xr:uid="{1354C6F8-0BB9-45C5-B8AA-F40D625E5F2A}"/>
    <cellStyle name="Incorrecto 2 4 3 6" xfId="17828" xr:uid="{AFD97E05-CC7B-4725-BAAE-D8330E32A540}"/>
    <cellStyle name="Incorrecto 2 4 3 7" xfId="17829" xr:uid="{E5AE2F10-2F59-488F-AC0A-369DD8326D15}"/>
    <cellStyle name="Incorrecto 2 4 3 8" xfId="17830" xr:uid="{64514349-897D-4971-B99F-28CFF2723B3C}"/>
    <cellStyle name="Incorrecto 2 4 3 9" xfId="17831" xr:uid="{D882E62C-2503-4E7D-9C17-403AF78CAF83}"/>
    <cellStyle name="Incorrecto 2 4 4" xfId="17832" xr:uid="{6E8B968D-6407-4D58-8219-5E275BCCE388}"/>
    <cellStyle name="Incorrecto 2 4 4 2" xfId="17833" xr:uid="{A47A92DD-17FD-4897-8811-C42C644F106B}"/>
    <cellStyle name="Incorrecto 2 4 4 2 2" xfId="17834" xr:uid="{FD9ABE76-86D9-469F-823E-D9FF104676AA}"/>
    <cellStyle name="Incorrecto 2 4 4 2 3" xfId="17835" xr:uid="{EAE64BBA-B0E7-4A50-A6B5-BB9D7B5D1007}"/>
    <cellStyle name="Incorrecto 2 4 4 2 4" xfId="17836" xr:uid="{0637D2FC-2D10-4986-B9D9-F1B9DFBECEF3}"/>
    <cellStyle name="Incorrecto 2 4 4 2 5" xfId="17837" xr:uid="{A04B2325-2551-4554-BFA6-4C441345F30D}"/>
    <cellStyle name="Incorrecto 2 4 4 3" xfId="17838" xr:uid="{E97F6FB1-B46D-45FB-91B1-FE19B642A56C}"/>
    <cellStyle name="Incorrecto 2 4 4 4" xfId="17839" xr:uid="{BA7C1EBF-6035-4AD9-A70F-5ABF4D892A66}"/>
    <cellStyle name="Incorrecto 2 4 4 5" xfId="17840" xr:uid="{444AB2B7-020F-4B25-B95F-298E73B53DF3}"/>
    <cellStyle name="Incorrecto 2 4 5" xfId="17841" xr:uid="{2759A682-FEA7-455F-871A-BEE0B3FA7928}"/>
    <cellStyle name="Incorrecto 2 4 6" xfId="17842" xr:uid="{00B14253-8611-4818-9832-27F02F6CBB51}"/>
    <cellStyle name="Incorrecto 2 4 7" xfId="17843" xr:uid="{07B89AC5-87D2-49B4-A65A-0208CF77A034}"/>
    <cellStyle name="Incorrecto 2 4 8" xfId="17844" xr:uid="{6E458802-558B-497B-BB2B-C3AD9D486A32}"/>
    <cellStyle name="Incorrecto 2 4 9" xfId="17845" xr:uid="{C43B71A5-1F6E-48F6-B023-4B23F95C462F}"/>
    <cellStyle name="Incorrecto 2 5" xfId="17846" xr:uid="{E4C2ADE8-9B49-484F-9C56-53748DAF6F20}"/>
    <cellStyle name="Incorrecto 2 6" xfId="17847" xr:uid="{E69BAEEF-311F-4AD5-B6DA-8D709CDBCE75}"/>
    <cellStyle name="Incorrecto 2 7" xfId="17848" xr:uid="{6447B3AA-AE23-40A3-ACC6-0F5C5EFFB2EC}"/>
    <cellStyle name="Incorrecto 2 8" xfId="17849" xr:uid="{29F3A9C0-7D82-433C-8708-D0492A95A85D}"/>
    <cellStyle name="Incorrecto 2 8 2" xfId="17850" xr:uid="{2A745958-97C0-43E5-9CB9-8947D9EDC626}"/>
    <cellStyle name="Incorrecto 2 9" xfId="17851" xr:uid="{F2CEB684-9B57-4881-8120-2DB3AB2269F2}"/>
    <cellStyle name="Incorrecto 3" xfId="17852" xr:uid="{31BC59AB-D70D-4068-B08D-85D252880A70}"/>
    <cellStyle name="Incorrecto 3 2" xfId="17853" xr:uid="{BF28A516-3D1A-47FE-883B-B8D53279FDC0}"/>
    <cellStyle name="Incorrecto 3 3" xfId="17854" xr:uid="{095C302F-CF98-4E44-87B2-177270462FD4}"/>
    <cellStyle name="Incorrecto 4" xfId="17855" xr:uid="{F2A36DCA-073A-44C5-882A-2ECF72AB6562}"/>
    <cellStyle name="Input [yellow]" xfId="17856" xr:uid="{11A5E575-2A04-4AA2-A2AF-53106D6BEDC6}"/>
    <cellStyle name="Input [yellow] 2" xfId="17857" xr:uid="{DE574E4C-AB05-4026-BAF4-EDB783298670}"/>
    <cellStyle name="Input [yellow] 2 2" xfId="17858" xr:uid="{3C46C669-E46F-4E01-9311-81E10F6AEF98}"/>
    <cellStyle name="Input [yellow] 2 3" xfId="17859" xr:uid="{75837FAE-C564-4269-970A-F316483B6C82}"/>
    <cellStyle name="Input [yellow] 2 4" xfId="17860" xr:uid="{CB9FB5F5-035C-40BF-BC93-8022B9AC364F}"/>
    <cellStyle name="Input [yellow] 2 5" xfId="17861" xr:uid="{1B53BCA5-9380-4A88-BCD0-B62ACEE5700E}"/>
    <cellStyle name="Input [yellow] 3" xfId="17862" xr:uid="{C302754F-813C-4E87-A9FA-DC7F25DB919B}"/>
    <cellStyle name="Input [yellow] 4" xfId="17863" xr:uid="{D389F0C4-666A-42A7-9B3D-96F5D6AE73D2}"/>
    <cellStyle name="Input [yellow] 5" xfId="17864" xr:uid="{F2AD021B-A1E4-4839-8286-7618138822A7}"/>
    <cellStyle name="Input [yellow] 6" xfId="17865" xr:uid="{E00ECFDB-8E57-4DB3-BCBA-C102CFB12AAD}"/>
    <cellStyle name="Input [yellow] 7" xfId="17866" xr:uid="{B458D183-C0BE-431C-849B-335CC1E54946}"/>
    <cellStyle name="Input [yellow] 8" xfId="17867" xr:uid="{26965E43-583C-4C15-A101-45E200527EB7}"/>
    <cellStyle name="Input [yellow] 9" xfId="17868" xr:uid="{C693FE88-1A65-402A-B830-90AE5410E415}"/>
    <cellStyle name="Millares" xfId="1" builtinId="3"/>
    <cellStyle name="Millares [0]" xfId="2" builtinId="6"/>
    <cellStyle name="Millares [0] 2" xfId="48" xr:uid="{6119305B-A596-40A9-945B-3B472CFD1518}"/>
    <cellStyle name="Millares [0] 2 2" xfId="50" xr:uid="{B37B500A-2C40-4B36-A745-5197D35B5F74}"/>
    <cellStyle name="Millares [0] 2 2 2" xfId="46348" xr:uid="{06EC4DFA-7762-43BD-9A34-8E6A0D23D673}"/>
    <cellStyle name="Millares [0] 2 3" xfId="43503" xr:uid="{CFC00B56-2CDA-4FC6-BF3E-8717390F3F7F}"/>
    <cellStyle name="Millares [0] 2 3 2" xfId="46349" xr:uid="{8950FD43-B23C-4B8C-9A76-33037AE53BDA}"/>
    <cellStyle name="Millares [0] 2 4" xfId="46347" xr:uid="{6356089E-1D24-4DE5-B2DD-A932AC337BDC}"/>
    <cellStyle name="Millares [0] 2 5" xfId="48048" xr:uid="{F3EDE134-8CC0-4719-9499-2C461B8895EB}"/>
    <cellStyle name="Millares [0] 3" xfId="43504" xr:uid="{26448997-261B-4A66-8C95-BF798EF10598}"/>
    <cellStyle name="Millares [0] 3 2" xfId="46350" xr:uid="{C39A0CF7-DA7C-4DDD-8C31-06059AEC85CC}"/>
    <cellStyle name="Millares [0] 4" xfId="46346" xr:uid="{84B3BCC3-0ED8-46D9-BBD8-FD74050A6786}"/>
    <cellStyle name="Millares [0] 5" xfId="4" xr:uid="{DFFFA87B-A112-42D8-AADA-C01718AEF310}"/>
    <cellStyle name="Millares [0] 5 2" xfId="48057" xr:uid="{F17090F7-5FDC-48A7-864E-85ED8CA9AB45}"/>
    <cellStyle name="Millares [0] 6" xfId="48059" xr:uid="{00EE22C1-19CD-469A-A342-88B63258845F}"/>
    <cellStyle name="Millares [0] 7" xfId="48064" xr:uid="{C119210E-24AD-40C5-9A94-AEC80E9FF5C5}"/>
    <cellStyle name="Millares [0] 8" xfId="44" xr:uid="{26F855C3-0172-4553-915B-BC7684BB41FC}"/>
    <cellStyle name="Millares 10" xfId="43478" xr:uid="{5A4482F3-25BB-4659-B6D3-7086A1BB6951}"/>
    <cellStyle name="Millares 10 2" xfId="43505" xr:uid="{6235B994-B12C-4465-BAC9-0BD06BDA3F6A}"/>
    <cellStyle name="Millares 100" xfId="47898" xr:uid="{83AE1BCB-812F-48A1-BB67-A205FE0AFDFA}"/>
    <cellStyle name="Millares 101" xfId="47900" xr:uid="{B71B01E0-2130-4AA3-B2A0-B4B463F3FC50}"/>
    <cellStyle name="Millares 102" xfId="47901" xr:uid="{92D5CD06-ABE0-4D5E-A735-26E519FA7872}"/>
    <cellStyle name="Millares 103" xfId="47904" xr:uid="{439E3092-277F-4BC3-9107-9270E5BF5C1A}"/>
    <cellStyle name="Millares 104" xfId="47902" xr:uid="{2F8C183C-08BF-41EB-B27D-8D5B7207FC69}"/>
    <cellStyle name="Millares 105" xfId="47906" xr:uid="{D2C35302-3A86-4CAF-BADC-53496A2A5E58}"/>
    <cellStyle name="Millares 106" xfId="47907" xr:uid="{224F346D-CD3C-47B1-B9A6-CE4719E146C2}"/>
    <cellStyle name="Millares 107" xfId="47908" xr:uid="{4F8BBD61-FAC4-4172-9E52-630CCF2D48F2}"/>
    <cellStyle name="Millares 108" xfId="47905" xr:uid="{722953D9-C368-4D91-843C-CB29ED83E52C}"/>
    <cellStyle name="Millares 109" xfId="47910" xr:uid="{54F97DC3-929F-403F-9D71-D56B704C8D2B}"/>
    <cellStyle name="Millares 11" xfId="43502" xr:uid="{F51D09F3-DBCE-4A5B-B700-AD65D961C361}"/>
    <cellStyle name="Millares 11 2" xfId="43555" xr:uid="{21162F14-73CC-4CF3-8145-9CBEF870013B}"/>
    <cellStyle name="Millares 110" xfId="47912" xr:uid="{BCF46AE5-BDEB-4D1E-805A-C1258384B7B6}"/>
    <cellStyle name="Millares 111" xfId="47911" xr:uid="{6A275582-EB8F-4024-80E7-074F53102A94}"/>
    <cellStyle name="Millares 112" xfId="47913" xr:uid="{3421589B-1E11-4927-9999-3C0C2BE2751A}"/>
    <cellStyle name="Millares 113" xfId="47914" xr:uid="{D67F944A-B6A4-4A17-8262-4A3DBBA08840}"/>
    <cellStyle name="Millares 114" xfId="47915" xr:uid="{4A393F4D-DA60-4E3C-91F1-B44599A30638}"/>
    <cellStyle name="Millares 115" xfId="47916" xr:uid="{E4373E76-43E1-477D-B2AE-927519CCFD09}"/>
    <cellStyle name="Millares 116" xfId="47917" xr:uid="{E3E87819-D447-4DBB-AE5E-2A66E74B3607}"/>
    <cellStyle name="Millares 117" xfId="47918" xr:uid="{3F53B7B4-79EE-4787-BA5D-8129B5EC3F39}"/>
    <cellStyle name="Millares 118" xfId="47919" xr:uid="{2066264A-4463-4724-8ACF-23C2DE2DD82D}"/>
    <cellStyle name="Millares 119" xfId="47920" xr:uid="{0FA253C1-FC1A-49E3-A07D-D832F7D2A764}"/>
    <cellStyle name="Millares 12" xfId="43556" xr:uid="{EAFB96C1-F2F6-46C9-A911-D7BF406A3626}"/>
    <cellStyle name="Millares 12 2" xfId="46351" xr:uid="{422FBF8A-8DF3-4DC8-9EAD-0BA1EC8A890A}"/>
    <cellStyle name="Millares 120" xfId="47921" xr:uid="{75ED8D98-D1D1-4A1F-8FC5-8B2456E2CF45}"/>
    <cellStyle name="Millares 121" xfId="47922" xr:uid="{99CA7B3F-658E-40ED-AEB9-8973FBE6B755}"/>
    <cellStyle name="Millares 122" xfId="47923" xr:uid="{354F67FC-F3EE-4370-91E2-B211466B9772}"/>
    <cellStyle name="Millares 123" xfId="47924" xr:uid="{C91B291D-3832-40C7-9383-4CD6A2A2464E}"/>
    <cellStyle name="Millares 124" xfId="47925" xr:uid="{F8F3D8C5-252A-4325-90B9-67208D1E0DCA}"/>
    <cellStyle name="Millares 125" xfId="47926" xr:uid="{ABBE23E8-DE6A-4B4C-9A77-91928CCF5438}"/>
    <cellStyle name="Millares 126" xfId="47927" xr:uid="{87085CAA-16FD-48A1-96CE-699C1BB047AC}"/>
    <cellStyle name="Millares 127" xfId="47928" xr:uid="{1D933720-35F3-4BC4-8046-62F8DEE35A7B}"/>
    <cellStyle name="Millares 128" xfId="47930" xr:uid="{2CCECBB5-D948-4891-86BC-79DB822836B2}"/>
    <cellStyle name="Millares 129" xfId="47931" xr:uid="{88DB3984-1CA6-46F9-88DB-33978F42393B}"/>
    <cellStyle name="Millares 13" xfId="43557" xr:uid="{64EEA457-F095-49A4-B7F2-6DAF91A96C11}"/>
    <cellStyle name="Millares 13 2" xfId="46352" xr:uid="{CA274E07-3AFF-4808-BD2B-B1197917ABD9}"/>
    <cellStyle name="Millares 130" xfId="47935" xr:uid="{5B92C98D-7035-4848-B099-9B6C520D89A7}"/>
    <cellStyle name="Millares 131" xfId="47933" xr:uid="{1A9A54C4-41D9-4EA9-AAA9-C50F087D4551}"/>
    <cellStyle name="Millares 132" xfId="47932" xr:uid="{CBD8D8CF-B65C-4B10-88AC-5079988C8724}"/>
    <cellStyle name="Millares 133" xfId="47936" xr:uid="{02EE7116-1BE8-4AA1-BCD7-C3891A3581CD}"/>
    <cellStyle name="Millares 134" xfId="47938" xr:uid="{40751598-ED96-4127-B837-C5C96B18531A}"/>
    <cellStyle name="Millares 135" xfId="47937" xr:uid="{7C88BCDF-4CCA-47CA-AC79-AF590A1624B9}"/>
    <cellStyle name="Millares 136" xfId="47939" xr:uid="{0C39174E-AC3E-4566-B2A7-BFA441326CF1}"/>
    <cellStyle name="Millares 137" xfId="47940" xr:uid="{050B5B92-BCDF-40A7-B696-F736C20DD3ED}"/>
    <cellStyle name="Millares 138" xfId="47941" xr:uid="{148A144E-E029-4B0E-95A2-8BFEE5A44B83}"/>
    <cellStyle name="Millares 139" xfId="47942" xr:uid="{E0E70A23-CFD2-4ADE-994A-E82D9B94FE54}"/>
    <cellStyle name="Millares 14" xfId="43558" xr:uid="{F9BD59FB-EFEE-44BA-B385-BAAB4A61D1CD}"/>
    <cellStyle name="Millares 14 2" xfId="46353" xr:uid="{27CE82BD-51C0-481D-9247-EE761C3E0F5C}"/>
    <cellStyle name="Millares 140" xfId="47943" xr:uid="{D4F03F9E-3495-48B1-90C2-0FC817358D10}"/>
    <cellStyle name="Millares 141" xfId="47944" xr:uid="{4316E63D-6B9A-4B87-8D97-7D8295B59C09}"/>
    <cellStyle name="Millares 142" xfId="47946" xr:uid="{39FDB288-663F-4EAD-9373-ED0721AE86E8}"/>
    <cellStyle name="Millares 143" xfId="47949" xr:uid="{A13C37EB-0A87-4DC5-99F2-BB69B50FBAE8}"/>
    <cellStyle name="Millares 144" xfId="47947" xr:uid="{002A3540-D293-42A2-8CA3-6F3B61297A66}"/>
    <cellStyle name="Millares 145" xfId="47945" xr:uid="{0B352C62-CEEC-44FE-A622-F7E1EBB9C23A}"/>
    <cellStyle name="Millares 146" xfId="47950" xr:uid="{726A559B-6396-42FC-B7F6-33E800E83390}"/>
    <cellStyle name="Millares 147" xfId="47952" xr:uid="{A4F0DCDC-AAAA-47B3-9DA0-E79D74A0DC44}"/>
    <cellStyle name="Millares 148" xfId="47951" xr:uid="{A852E7C4-0403-4653-AA32-25200F18815B}"/>
    <cellStyle name="Millares 149" xfId="47953" xr:uid="{6F6DA44F-0261-4D0B-ACC2-185FC39D6C62}"/>
    <cellStyle name="Millares 15" xfId="43559" xr:uid="{E04C966B-186D-4EF8-AC98-AE7FB2AA2A72}"/>
    <cellStyle name="Millares 15 2" xfId="46354" xr:uid="{0A3F1CBD-BA45-444C-9FA0-E8CBE9CEFCA1}"/>
    <cellStyle name="Millares 150" xfId="47954" xr:uid="{703114C0-F7F6-44CF-89FD-6FE2B15F312C}"/>
    <cellStyle name="Millares 151" xfId="47955" xr:uid="{DC1969E2-DBA8-46C5-9EE2-9B7CBE67A54D}"/>
    <cellStyle name="Millares 152" xfId="47957" xr:uid="{20F450BA-5E4E-4D51-AC99-5B1261921B7F}"/>
    <cellStyle name="Millares 153" xfId="47960" xr:uid="{E1AE8048-FEFD-4229-96C3-8CA1678349CB}"/>
    <cellStyle name="Millares 154" xfId="47959" xr:uid="{3183C31A-3A5F-4599-AE01-B53297677828}"/>
    <cellStyle name="Millares 155" xfId="47956" xr:uid="{6C1B96A4-1EE8-4835-9960-714A0FE37E4B}"/>
    <cellStyle name="Millares 156" xfId="47961" xr:uid="{B9A4B251-BC58-4162-A13A-0BF4EB0F6429}"/>
    <cellStyle name="Millares 157" xfId="47958" xr:uid="{A96596E8-0778-4D31-8993-54BF03144B6A}"/>
    <cellStyle name="Millares 158" xfId="47962" xr:uid="{8F0BE1E3-0254-47A2-9143-2743EFA66C74}"/>
    <cellStyle name="Millares 159" xfId="47963" xr:uid="{2D3D0F28-B1A8-41A4-8799-8844D0FDBB48}"/>
    <cellStyle name="Millares 16" xfId="46152" xr:uid="{04304276-5756-4245-BDB6-EB81C8EED2ED}"/>
    <cellStyle name="Millares 16 2" xfId="46355" xr:uid="{AD962FD4-4380-4A11-8A96-F419436044E5}"/>
    <cellStyle name="Millares 160" xfId="47964" xr:uid="{5805DA58-814D-4C78-BC36-F91E2D9683D1}"/>
    <cellStyle name="Millares 161" xfId="47965" xr:uid="{703003E2-8A30-4C05-ACA5-D9D7E5661FB2}"/>
    <cellStyle name="Millares 162" xfId="47968" xr:uid="{BD0C36A9-5807-4CEA-AF3A-99B53D5A595F}"/>
    <cellStyle name="Millares 163" xfId="47970" xr:uid="{526B608A-24B3-4D22-8B9C-EB265DC211A3}"/>
    <cellStyle name="Millares 164" xfId="47966" xr:uid="{DB331A2C-1A67-40C4-999F-54D20B0134FC}"/>
    <cellStyle name="Millares 165" xfId="47967" xr:uid="{E70C1281-687D-42F5-8142-85839E2A38BA}"/>
    <cellStyle name="Millares 166" xfId="47971" xr:uid="{905804B9-9B38-4253-9BDF-5D61FBF94871}"/>
    <cellStyle name="Millares 167" xfId="47973" xr:uid="{5862F136-3F29-4129-B97A-B1E1708ABDF8}"/>
    <cellStyle name="Millares 168" xfId="47972" xr:uid="{AACA7014-C811-44A5-9994-1F68C77497CF}"/>
    <cellStyle name="Millares 169" xfId="47974" xr:uid="{ED2A69C0-15F5-45C8-98ED-C0CA5A198259}"/>
    <cellStyle name="Millares 17" xfId="46343" xr:uid="{216E1350-C73F-4BC8-A3E0-33A84FCF8041}"/>
    <cellStyle name="Millares 17 2" xfId="46356" xr:uid="{66A09AE8-AB89-4B6B-8D63-086C008F9924}"/>
    <cellStyle name="Millares 170" xfId="47975" xr:uid="{57D343DB-26EB-49E7-B7DF-7D1D692CF50C}"/>
    <cellStyle name="Millares 171" xfId="47976" xr:uid="{82A6B126-BB44-4CB4-837D-9B70F53C0522}"/>
    <cellStyle name="Millares 172" xfId="47979" xr:uid="{D0620A83-B62D-4E81-B924-B0ACBB78F7D5}"/>
    <cellStyle name="Millares 173" xfId="47977" xr:uid="{E01C21F6-D82C-4464-BC55-D904589CC9C8}"/>
    <cellStyle name="Millares 174" xfId="47980" xr:uid="{46116DBA-0B20-400A-BC05-B835A84C2A96}"/>
    <cellStyle name="Millares 175" xfId="47982" xr:uid="{075B561E-FFB5-478C-8698-F4125C812C46}"/>
    <cellStyle name="Millares 176" xfId="47985" xr:uid="{8721BBE4-8EE4-4C7A-9515-66FC348C82E4}"/>
    <cellStyle name="Millares 177" xfId="47987" xr:uid="{567A118A-5E1A-4D33-8E5A-D20229F78854}"/>
    <cellStyle name="Millares 178" xfId="47983" xr:uid="{89E59802-59FF-40C1-BF3D-C032660D4473}"/>
    <cellStyle name="Millares 179" xfId="47984" xr:uid="{5F758506-D9D0-4040-924F-94848DA63E4D}"/>
    <cellStyle name="Millares 18" xfId="46345" xr:uid="{A90BE02D-A682-407B-95E7-EEF29784C301}"/>
    <cellStyle name="Millares 18 2" xfId="46758" xr:uid="{E7A7981E-0FE1-4046-80BA-729E5A6D0327}"/>
    <cellStyle name="Millares 180" xfId="47988" xr:uid="{5E189145-4DC0-4E57-A43E-BC07E6838A25}"/>
    <cellStyle name="Millares 181" xfId="47990" xr:uid="{2CCE1F95-92AE-4F45-BDD0-C195559254DA}"/>
    <cellStyle name="Millares 182" xfId="47989" xr:uid="{DD60749B-4792-4582-8DD5-BF25B559E8A2}"/>
    <cellStyle name="Millares 183" xfId="47991" xr:uid="{B9318911-3CEE-4BA2-8BFC-84D8D30607B8}"/>
    <cellStyle name="Millares 184" xfId="47993" xr:uid="{F8C5E797-9D33-4CDA-947B-0F7490BB3AD0}"/>
    <cellStyle name="Millares 185" xfId="47997" xr:uid="{570328DB-1DD9-456C-A5D9-E60FDC1D306B}"/>
    <cellStyle name="Millares 186" xfId="47998" xr:uid="{2D87CDFD-076F-4923-8513-4BAC83F5641B}"/>
    <cellStyle name="Millares 187" xfId="47994" xr:uid="{CED4F613-36B3-4DB2-BA37-FAB3696FB659}"/>
    <cellStyle name="Millares 188" xfId="47996" xr:uid="{86FB9603-3F85-4F35-A784-D333A627AC69}"/>
    <cellStyle name="Millares 189" xfId="47999" xr:uid="{98E10701-0CB8-420E-AE24-B9728C74ED63}"/>
    <cellStyle name="Millares 19" xfId="46401" xr:uid="{AB1A73CF-DE6B-463F-98E9-93DF62056B27}"/>
    <cellStyle name="Millares 19 2" xfId="46953" xr:uid="{CCD3B8DF-F28A-4E9E-8C3B-5E7196D5060A}"/>
    <cellStyle name="Millares 19 3" xfId="46957" xr:uid="{EE57CB09-3965-4470-96DE-CE4A3A86B510}"/>
    <cellStyle name="Millares 190" xfId="47992" xr:uid="{589F0E99-7BCC-4759-B23C-40170EF68B77}"/>
    <cellStyle name="Millares 191" xfId="48000" xr:uid="{D4C60CC8-E82E-4BDF-BCD0-FE7767224E0E}"/>
    <cellStyle name="Millares 192" xfId="48003" xr:uid="{26DC8234-FF51-415F-B8E4-24AE84CDD540}"/>
    <cellStyle name="Millares 193" xfId="48001" xr:uid="{071F6AC4-8102-4C60-AB58-2D9A9036C6D4}"/>
    <cellStyle name="Millares 194" xfId="48005" xr:uid="{5139DFAE-AF42-4F8C-B0DE-9FC1660D6BA7}"/>
    <cellStyle name="Millares 195" xfId="48009" xr:uid="{5FEF770D-FC67-4EF9-8695-2E9744FA8901}"/>
    <cellStyle name="Millares 196" xfId="48006" xr:uid="{134259B4-B34E-4CA9-B25F-688E6A3A6428}"/>
    <cellStyle name="Millares 197" xfId="48007" xr:uid="{574539A8-F90E-4513-965D-59C060515890}"/>
    <cellStyle name="Millares 198" xfId="48008" xr:uid="{F7C1D2A7-ABA7-42B2-9843-F27B67BF15E9}"/>
    <cellStyle name="Millares 199" xfId="48010" xr:uid="{2A67D3E7-E6EA-45E9-B720-6DB9B0CF8CFE}"/>
    <cellStyle name="Millares 2" xfId="45" xr:uid="{48611393-D68A-4CBB-B3FB-78BEA67B30E1}"/>
    <cellStyle name="Millares 2 10" xfId="43507" xr:uid="{3E83A98A-4C13-422D-BD79-0BD85F08DF1B}"/>
    <cellStyle name="Millares 2 10 2" xfId="43508" xr:uid="{340AE01E-6CDC-4E53-987B-F157903CD3BD}"/>
    <cellStyle name="Millares 2 10 2 2" xfId="43509" xr:uid="{BC4CC7F2-C791-4986-80FA-41FE3145753B}"/>
    <cellStyle name="Millares 2 10 2 2 2" xfId="43510" xr:uid="{DB8DB023-C81A-43AB-8595-BF28DCEE2EB6}"/>
    <cellStyle name="Millares 2 10 3" xfId="43511" xr:uid="{76651FC4-ED16-4627-9874-00E6693D8B4C}"/>
    <cellStyle name="Millares 2 11" xfId="43506" xr:uid="{16F26C79-4608-4BFF-A5B9-31B2B1905B45}"/>
    <cellStyle name="Millares 2 12" xfId="48047" xr:uid="{AB95461B-3D4E-4821-A382-605185D5F698}"/>
    <cellStyle name="Millares 2 13" xfId="59" xr:uid="{FD4742A3-F857-4A2B-AB9D-4B58FAFF204C}"/>
    <cellStyle name="Millares 2 14" xfId="56" xr:uid="{1296E434-B8D1-486A-B660-88C4EBA614B6}"/>
    <cellStyle name="Millares 2 2" xfId="46" xr:uid="{E58AED01-804A-4082-8263-5B0FB0C429B0}"/>
    <cellStyle name="Millares 2 2 10" xfId="43513" xr:uid="{E1A16133-BF6A-429B-8FC7-4391A9E85AD8}"/>
    <cellStyle name="Millares 2 2 10 2" xfId="43514" xr:uid="{D8845FC5-51BA-4B1E-AE1C-918A75AF11A6}"/>
    <cellStyle name="Millares 2 2 2" xfId="47" xr:uid="{00724CB0-DA5C-4611-8D14-B2B74B8AD1D4}"/>
    <cellStyle name="Millares 2 2 2 2" xfId="43515" xr:uid="{D60075BA-6A18-4416-893D-B618E5DE0BD8}"/>
    <cellStyle name="Millares 2 2 3" xfId="43512" xr:uid="{486982BE-3DA3-4418-9969-F312E4C2A6DF}"/>
    <cellStyle name="Millares 2 2 4" xfId="57" xr:uid="{A4CC2942-E24F-4814-A00C-15AD080562F7}"/>
    <cellStyle name="Millares 2 3" xfId="60" xr:uid="{DB8307E0-8F93-4D14-A23E-6414A462F823}"/>
    <cellStyle name="Millares 2 3 2" xfId="43516" xr:uid="{140C1FDF-40B9-4566-84E6-B6B40E4C4F57}"/>
    <cellStyle name="Millares 2 4" xfId="61" xr:uid="{15E0167A-4A80-4AA7-ACAF-523B7DF3FA52}"/>
    <cellStyle name="Millares 2 4 2" xfId="44423" xr:uid="{C4CC2DB1-E02D-41D3-80C8-4D49112E3C64}"/>
    <cellStyle name="Millares 2 5" xfId="62" xr:uid="{7876261D-EAC4-4667-AFD5-CEC299488C7A}"/>
    <cellStyle name="Millares 2 6" xfId="63" xr:uid="{F17CAD64-1A22-4129-860A-FBD133ABAD7A}"/>
    <cellStyle name="Millares 2 7" xfId="64" xr:uid="{6B0C611C-2891-44B8-8D18-841F101DBE23}"/>
    <cellStyle name="Millares 2 70" xfId="43517" xr:uid="{1761854B-A07B-419A-86DB-831B316A09D3}"/>
    <cellStyle name="Millares 2 70 2" xfId="43518" xr:uid="{E42A7342-AE42-4218-8D59-E0EEA5121772}"/>
    <cellStyle name="Millares 2 8" xfId="65" xr:uid="{5DCEFCE3-D23C-4F1D-818C-01EA58A5B6ED}"/>
    <cellStyle name="Millares 2 9" xfId="66" xr:uid="{651B86E0-6794-422E-9D38-A0CC547619C8}"/>
    <cellStyle name="Millares 20" xfId="46344" xr:uid="{01807A40-6488-40DE-A905-F484942DC300}"/>
    <cellStyle name="Millares 20 2" xfId="46955" xr:uid="{3A5FEE90-54FB-4C5C-B3E7-90C223285B6A}"/>
    <cellStyle name="Millares 20 3" xfId="46958" xr:uid="{E92F5E81-F448-4923-A799-085B9243B25D}"/>
    <cellStyle name="Millares 200" xfId="48004" xr:uid="{B911A9EA-14C6-4AF3-80C3-F9FE90C5F015}"/>
    <cellStyle name="Millares 201" xfId="48011" xr:uid="{683E8006-EC01-4D63-8EE1-D1D91BB0D9B1}"/>
    <cellStyle name="Millares 202" xfId="48012" xr:uid="{BED995BD-F1DF-41E2-A4E3-A1A4932C77B7}"/>
    <cellStyle name="Millares 203" xfId="48013" xr:uid="{C38925BE-727B-4A8E-ADA6-8C95C55609E8}"/>
    <cellStyle name="Millares 204" xfId="48014" xr:uid="{DD8A3391-C633-4516-9C12-722E22A818F9}"/>
    <cellStyle name="Millares 205" xfId="48015" xr:uid="{93B4F1BE-7DEC-4049-8BDC-F83D57BBFE1F}"/>
    <cellStyle name="Millares 206" xfId="48019" xr:uid="{EB8020F4-64A0-4CA8-A06F-518D016997FE}"/>
    <cellStyle name="Millares 207" xfId="48016" xr:uid="{3F000EA3-389A-460D-AA84-2DDEC748E429}"/>
    <cellStyle name="Millares 208" xfId="48017" xr:uid="{32EAB2DF-6FE2-431C-9C63-4AC48BE7F49E}"/>
    <cellStyle name="Millares 209" xfId="48022" xr:uid="{51F2763E-444C-4D57-B57B-0A0B3EFB7A56}"/>
    <cellStyle name="Millares 21" xfId="46464" xr:uid="{9E24DD62-073B-4A86-988C-32C6DFBA0B48}"/>
    <cellStyle name="Millares 21 2" xfId="46959" xr:uid="{D9DA5422-E929-4ED7-B2AB-EA9BA76CE0B8}"/>
    <cellStyle name="Millares 210" xfId="48021" xr:uid="{6067D19E-055F-44F4-B919-5B98607E927E}"/>
    <cellStyle name="Millares 211" xfId="48020" xr:uid="{E764863E-691B-490A-A4DA-E00FAEFCFAA1}"/>
    <cellStyle name="Millares 212" xfId="48018" xr:uid="{527E40ED-B7C5-4FBE-AD89-E461A1D8EB55}"/>
    <cellStyle name="Millares 213" xfId="48023" xr:uid="{5822B1FF-999C-40AB-BE1B-8330DCF31289}"/>
    <cellStyle name="Millares 214" xfId="48024" xr:uid="{3E39A9F8-69C3-4BB0-A292-D6D53DA1146E}"/>
    <cellStyle name="Millares 215" xfId="48026" xr:uid="{4F446BC6-7E48-4481-888B-B3EB5EC37317}"/>
    <cellStyle name="Millares 216" xfId="48027" xr:uid="{3B5A0CE3-D9C7-427B-9396-8E847333E992}"/>
    <cellStyle name="Millares 217" xfId="48029" xr:uid="{E4EEDF0F-0FA3-4E9E-B7EA-AA4FA5C5F10D}"/>
    <cellStyle name="Millares 218" xfId="48028" xr:uid="{58E1F32F-499A-4D5D-ABB2-0227E57233D8}"/>
    <cellStyle name="Millares 219" xfId="48025" xr:uid="{1F91F259-70D1-477F-8E55-B9AD0D5CA259}"/>
    <cellStyle name="Millares 22" xfId="46497" xr:uid="{52768F54-6D44-47A9-8859-E4E1E7914F3D}"/>
    <cellStyle name="Millares 22 2" xfId="47243" xr:uid="{8AF72691-4A4E-484D-991D-8DE6CE990A29}"/>
    <cellStyle name="Millares 220" xfId="48031" xr:uid="{DDDE249E-323C-46EA-806D-D9CD433948AF}"/>
    <cellStyle name="Millares 221" xfId="48033" xr:uid="{84C88D72-BF6E-4EA6-914A-99F58A8A9702}"/>
    <cellStyle name="Millares 222" xfId="48032" xr:uid="{D0F77D71-39FE-4754-9A4B-CE6C0907CE6C}"/>
    <cellStyle name="Millares 223" xfId="48034" xr:uid="{7645A3AE-6044-4115-9F50-9E367EBC0A56}"/>
    <cellStyle name="Millares 224" xfId="48030" xr:uid="{FEE747CB-6A5F-41AA-8B79-12D8FC8B9022}"/>
    <cellStyle name="Millares 225" xfId="48035" xr:uid="{C1961983-66B3-41F6-81DE-0275C0FB0BB1}"/>
    <cellStyle name="Millares 226" xfId="48036" xr:uid="{C5163764-3B08-4CF8-8094-2B3D1FE82D8B}"/>
    <cellStyle name="Millares 227" xfId="48037" xr:uid="{08F1EA8A-B0EB-4570-BE42-43E2F4F472F6}"/>
    <cellStyle name="Millares 228" xfId="48039" xr:uid="{75E212EB-57F1-43D5-A567-4AE51EDC1835}"/>
    <cellStyle name="Millares 229" xfId="48038" xr:uid="{10FE7E2E-DBCF-4BF0-89A8-73C2BD7BDB43}"/>
    <cellStyle name="Millares 23" xfId="46461" xr:uid="{4AFF1B81-B296-46F5-B5E7-7F219D002466}"/>
    <cellStyle name="Millares 23 2" xfId="47244" xr:uid="{F677D914-C895-491D-AC4F-E8AF8063C93C}"/>
    <cellStyle name="Millares 230" xfId="48041" xr:uid="{5A5CBDB6-F448-4365-957E-DD0CF25A750B}"/>
    <cellStyle name="Millares 231" xfId="48045" xr:uid="{638188BC-AB1C-474A-8316-042F8C93366B}"/>
    <cellStyle name="Millares 232" xfId="48042" xr:uid="{698212CD-E283-4428-A98B-3FA858852435}"/>
    <cellStyle name="Millares 233" xfId="48043" xr:uid="{B0992647-7EDA-4F6B-A26D-4F7F125A6BC6}"/>
    <cellStyle name="Millares 234" xfId="48044" xr:uid="{D0E16DBA-7E6A-47BA-89A3-7750D8638BDD}"/>
    <cellStyle name="Millares 235" xfId="48046" xr:uid="{98B620AD-6991-49A7-ABF1-A47092F4C6F6}"/>
    <cellStyle name="Millares 236" xfId="48040" xr:uid="{0825FBF2-796E-4FEE-A272-9AA70BEA06E0}"/>
    <cellStyle name="Millares 237" xfId="48051" xr:uid="{C9AC2A69-8D49-45C1-B47D-7E2DE5C1A5E7}"/>
    <cellStyle name="Millares 238" xfId="48052" xr:uid="{0F5D90F0-C14F-4856-940E-ED11E57FC10F}"/>
    <cellStyle name="Millares 239" xfId="48053" xr:uid="{997B6498-F910-45E5-8684-D32FD9BBE076}"/>
    <cellStyle name="Millares 24" xfId="46496" xr:uid="{31102F8D-3253-44B4-950C-6864BCE52049}"/>
    <cellStyle name="Millares 24 2" xfId="47595" xr:uid="{07D106A5-573B-4CB7-BDAA-D0C1F5D7807B}"/>
    <cellStyle name="Millares 240" xfId="48054" xr:uid="{3D2C1A1F-77D9-43C3-B166-342EDF10735C}"/>
    <cellStyle name="Millares 241" xfId="48055" xr:uid="{010EAC02-7307-4090-AA1D-D8F2D077A64C}"/>
    <cellStyle name="Millares 242" xfId="48056" xr:uid="{E81D98DC-15E1-4548-AB74-04049FEFEFFF}"/>
    <cellStyle name="Millares 243" xfId="48058" xr:uid="{FABD3FDF-EFEC-4805-892E-4B7CDCCCAC9D}"/>
    <cellStyle name="Millares 244" xfId="48060" xr:uid="{7B74069E-7D78-4D9D-A841-18B09CE84FD4}"/>
    <cellStyle name="Millares 245" xfId="48061" xr:uid="{D518B43D-DF7D-46A3-B41E-4ABFFB496E99}"/>
    <cellStyle name="Millares 246" xfId="48062" xr:uid="{4B02E6FC-6391-4537-A33C-EE98977D9D29}"/>
    <cellStyle name="Millares 247" xfId="48063" xr:uid="{57D5A65D-F65A-429E-B719-CCB56CEC961A}"/>
    <cellStyle name="Millares 248" xfId="42" xr:uid="{15C0F776-FAE0-444F-8E10-1D32F820970B}"/>
    <cellStyle name="Millares 25" xfId="46462" xr:uid="{97734AD1-4562-454A-B6E1-5FB4627A9947}"/>
    <cellStyle name="Millares 26" xfId="46495" xr:uid="{26443487-C8C7-4DD7-96B6-C1C9BC9120B0}"/>
    <cellStyle name="Millares 27" xfId="46463" xr:uid="{02792A60-AE0D-4848-B5F7-AC9BBD3E6244}"/>
    <cellStyle name="Millares 28" xfId="46504" xr:uid="{77BC8C8B-0B10-461E-91AD-F9C0DD9F53C7}"/>
    <cellStyle name="Millares 29" xfId="46541" xr:uid="{F14C1D86-74C9-4A2E-9F61-F118CA3556F6}"/>
    <cellStyle name="Millares 3" xfId="49" xr:uid="{6E394EC7-D203-4314-968D-1957D54CDD6D}"/>
    <cellStyle name="Millares 3 10" xfId="43519" xr:uid="{661B3911-4DCB-4B31-99F9-0B5E14CE4923}"/>
    <cellStyle name="Millares 3 10 2" xfId="43520" xr:uid="{FF211830-6069-450B-BA5B-ACE450A2B982}"/>
    <cellStyle name="Millares 3 10 2 2" xfId="43521" xr:uid="{17470E68-314D-452C-A4A4-0008E850C5C0}"/>
    <cellStyle name="Millares 3 10 3" xfId="43522" xr:uid="{586AD778-06E2-443E-9812-11E7BFA9E85A}"/>
    <cellStyle name="Millares 3 2" xfId="67" xr:uid="{AF69D011-691D-4E09-83D1-BC826F9ED921}"/>
    <cellStyle name="Millares 3 2 2" xfId="68" xr:uid="{26032B4C-C7D3-49FF-8853-FF886747999E}"/>
    <cellStyle name="Millares 3 2 2 2" xfId="43524" xr:uid="{36BCEDAF-A7CF-4BE6-86DE-09D20EE0B8E3}"/>
    <cellStyle name="Millares 3 2 3" xfId="43523" xr:uid="{B92084FE-E8E9-4D08-AC0A-3E64C7ED00E2}"/>
    <cellStyle name="Millares 3 3" xfId="69" xr:uid="{C8A5CABD-FAAC-4D92-BBB7-09F1CEF9159A}"/>
    <cellStyle name="Millares 3 3 2" xfId="70" xr:uid="{D4439406-630D-4318-8EC3-FB15DEB5B3DC}"/>
    <cellStyle name="Millares 3 3 3" xfId="43525" xr:uid="{518313EA-C918-403F-B395-D23771A8C36B}"/>
    <cellStyle name="Millares 3 3 4" xfId="46358" xr:uid="{013AE744-F63D-4624-94CE-5E3F783DFDE5}"/>
    <cellStyle name="Millares 3 4" xfId="43526" xr:uid="{4BD79ABC-8A9B-4B91-9535-D5F1A4277DCD}"/>
    <cellStyle name="Millares 3 4 2" xfId="46359" xr:uid="{279DEDE9-00F2-42B8-98F5-03FB605CB20A}"/>
    <cellStyle name="Millares 3 5" xfId="46357" xr:uid="{68DEADAF-7A7A-41E0-AE95-0BDA9C1EC7BF}"/>
    <cellStyle name="Millares 3 6" xfId="48049" xr:uid="{5A3958C8-BB1A-465D-B9ED-806A96647235}"/>
    <cellStyle name="Millares 30" xfId="46500" xr:uid="{71CDEC08-BEF2-4E2C-96F5-54D9E5984FAC}"/>
    <cellStyle name="Millares 31" xfId="46540" xr:uid="{70E89FAB-A923-4A0E-BB17-D3FA02C1620E}"/>
    <cellStyle name="Millares 32" xfId="46498" xr:uid="{E143CA84-2C5D-4494-8C15-9D4FA0CF565F}"/>
    <cellStyle name="Millares 33" xfId="46539" xr:uid="{748B5585-B309-4DE6-8F52-AC72E6C5D5C9}"/>
    <cellStyle name="Millares 34" xfId="46499" xr:uid="{6A0B4A01-A07B-4E84-BF76-E1E38B4550BD}"/>
    <cellStyle name="Millares 35" xfId="46538" xr:uid="{0530F92A-A49E-42C3-BF79-492722A5D682}"/>
    <cellStyle name="Millares 36" xfId="46501" xr:uid="{680CEBB8-ADCE-417D-B4DA-402ECC12FA8C}"/>
    <cellStyle name="Millares 37" xfId="46537" xr:uid="{6B0D1DCD-2F79-4C10-A4C0-8DD88B2A855F}"/>
    <cellStyle name="Millares 38" xfId="46502" xr:uid="{18BCB6A2-9018-4AFE-9DD5-BBA5B5A9405B}"/>
    <cellStyle name="Millares 39" xfId="46536" xr:uid="{3125052F-3F51-4792-9AC2-F2D16201F948}"/>
    <cellStyle name="Millares 4" xfId="52" xr:uid="{7F972F46-5A4B-42D4-8AF3-CC9FD34ADA18}"/>
    <cellStyle name="Millares 4 2" xfId="71" xr:uid="{4019200D-75A1-4133-9BD8-0F846E42DBA8}"/>
    <cellStyle name="Millares 4 2 2" xfId="72" xr:uid="{904A4B44-23F3-4DB1-A770-FC498DB71B18}"/>
    <cellStyle name="Millares 4 2 3" xfId="43527" xr:uid="{566CD4E1-8235-437A-A37F-48A1D9A2C3DB}"/>
    <cellStyle name="Millares 4 2 4" xfId="46361" xr:uid="{292F7FBC-F2B7-4D31-8DEF-9553B5BD3738}"/>
    <cellStyle name="Millares 4 3" xfId="73" xr:uid="{6A188DB3-3A35-4EB5-A934-4AD7F70D94E9}"/>
    <cellStyle name="Millares 4 3 2" xfId="74" xr:uid="{F0928D4D-4F2D-44C3-8350-156ABFD92218}"/>
    <cellStyle name="Millares 4 3 3" xfId="43528" xr:uid="{4B5B061C-178F-4731-95A2-BD67557DF23A}"/>
    <cellStyle name="Millares 4 3 4" xfId="46362" xr:uid="{4A96AC1E-46C4-45F4-9FDB-377552F6DE08}"/>
    <cellStyle name="Millares 4 4" xfId="46360" xr:uid="{552CA37C-1E2E-4A64-8215-69D63D7012BF}"/>
    <cellStyle name="Millares 4 5" xfId="48050" xr:uid="{FB4A2DF8-310D-4F0B-9D11-43990294E8E9}"/>
    <cellStyle name="Millares 40" xfId="46503" xr:uid="{8CA6B053-2447-447D-983F-8F159FBB3FC9}"/>
    <cellStyle name="Millares 41" xfId="46535" xr:uid="{4E011DE5-EF66-484B-B1B3-C201449D35F4}"/>
    <cellStyle name="Millares 42" xfId="46546" xr:uid="{50AC3EB2-DC79-4B9C-A2EA-A0F0A38B8CB2}"/>
    <cellStyle name="Millares 43" xfId="46580" xr:uid="{5C8F4C12-DCF3-4DB9-B675-BD810C74A778}"/>
    <cellStyle name="Millares 44" xfId="46542" xr:uid="{53C03ECF-973A-4C54-AFDC-6B79220B23ED}"/>
    <cellStyle name="Millares 45" xfId="46579" xr:uid="{3817CCC2-D2CC-4C6F-B689-371FBFC2B933}"/>
    <cellStyle name="Millares 46" xfId="46543" xr:uid="{9752DA42-B62D-4E5B-BC0D-FDD5614F00C1}"/>
    <cellStyle name="Millares 47" xfId="46578" xr:uid="{FC7F11A7-371E-4B97-BBE8-E75B9B2D260A}"/>
    <cellStyle name="Millares 48" xfId="46544" xr:uid="{61D49B23-1809-43FB-B1C6-9A1D0CC3B41D}"/>
    <cellStyle name="Millares 49" xfId="46577" xr:uid="{BE1EEA9B-26F1-446B-8A22-8C5CC2F8C46B}"/>
    <cellStyle name="Millares 5" xfId="53" xr:uid="{380E68CA-1F3D-4E4B-9384-2CD06F125D6A}"/>
    <cellStyle name="Millares 5 2" xfId="43530" xr:uid="{C1045533-5AE0-4011-AD59-F5D5CE053BDE}"/>
    <cellStyle name="Millares 5 2 2" xfId="46364" xr:uid="{197FEFD7-BFDA-463D-A709-0FDAEE53AA1F}"/>
    <cellStyle name="Millares 5 3" xfId="43531" xr:uid="{85BCEF56-2C29-4A6D-BAC2-2767925E7609}"/>
    <cellStyle name="Millares 5 3 2" xfId="46365" xr:uid="{758A1892-E4AE-4A8A-91C0-999528DD174F}"/>
    <cellStyle name="Millares 5 4" xfId="46363" xr:uid="{2BC80473-2724-4EFC-B731-6BAA83AA2A6C}"/>
    <cellStyle name="Millares 5 5" xfId="43529" xr:uid="{1CCBA328-FF0F-482B-9745-5CC3D4011895}"/>
    <cellStyle name="Millares 50" xfId="46545" xr:uid="{08DD83DB-CF25-46CC-B5BB-BE233FDCEAE2}"/>
    <cellStyle name="Millares 51" xfId="46584" xr:uid="{7B83F354-1F74-4525-B427-3CE7CD28699C}"/>
    <cellStyle name="Millares 52" xfId="46617" xr:uid="{80D8FD45-E6C1-46C9-A72B-62B77E4D84B8}"/>
    <cellStyle name="Millares 53" xfId="46581" xr:uid="{B5DF5CDC-7653-4B08-A2FB-B228DD5B0792}"/>
    <cellStyle name="Millares 54" xfId="46616" xr:uid="{9323B430-7DB0-4D74-A93A-44A7BB0E2A34}"/>
    <cellStyle name="Millares 55" xfId="46582" xr:uid="{BAB5C362-764B-4A5A-90DD-AB39ACD4C700}"/>
    <cellStyle name="Millares 56" xfId="46615" xr:uid="{256341D6-AB7D-4446-991F-E0AA98FB40B3}"/>
    <cellStyle name="Millares 57" xfId="46583" xr:uid="{29B8A9E3-FDA9-41C8-8435-F75502063459}"/>
    <cellStyle name="Millares 58" xfId="46621" xr:uid="{88DEC871-A867-4604-BA14-6261B3CA61E8}"/>
    <cellStyle name="Millares 59" xfId="46654" xr:uid="{572663AF-AEFC-4B76-BCAD-609FAC64B041}"/>
    <cellStyle name="Millares 6" xfId="54" xr:uid="{FE39C0B8-08C7-426D-9411-F1EF408F841C}"/>
    <cellStyle name="Millares 6 2" xfId="43533" xr:uid="{07357122-934E-4B7D-A2D9-C443A0FA4F06}"/>
    <cellStyle name="Millares 6 2 2" xfId="43534" xr:uid="{031245B2-6C00-438D-A1C2-383AA9EA32C7}"/>
    <cellStyle name="Millares 6 3" xfId="43535" xr:uid="{F75604AC-3A4C-48A5-B153-F1214F5FC7FA}"/>
    <cellStyle name="Millares 6 4" xfId="43532" xr:uid="{7309A6E3-7722-4480-974B-9C05C874F62E}"/>
    <cellStyle name="Millares 60" xfId="46618" xr:uid="{E4B4232F-F06B-49A4-9704-C688BCB05AF3}"/>
    <cellStyle name="Millares 61" xfId="46653" xr:uid="{CF9E4566-D9EB-4E23-9641-998DD51C3569}"/>
    <cellStyle name="Millares 62" xfId="46619" xr:uid="{E0065675-85D6-4F16-B3DA-0E81EADC627D}"/>
    <cellStyle name="Millares 63" xfId="46652" xr:uid="{E45C2221-6F76-47F3-ADFF-4B30937375FE}"/>
    <cellStyle name="Millares 64" xfId="46620" xr:uid="{83ADA329-23D4-4F39-9314-D6271922FAE6}"/>
    <cellStyle name="Millares 65" xfId="46656" xr:uid="{3B0C11FB-8D50-4326-B911-869B85B99484}"/>
    <cellStyle name="Millares 66" xfId="46687" xr:uid="{60F0F933-A95F-4439-8F15-B4BD87F4CC3A}"/>
    <cellStyle name="Millares 67" xfId="46655" xr:uid="{EFE62E49-F577-4D57-9EC4-03CDF7249560}"/>
    <cellStyle name="Millares 68" xfId="46690" xr:uid="{BAEB7D54-7BA9-42E2-B1AD-AF558BFE4EFB}"/>
    <cellStyle name="Millares 69" xfId="46722" xr:uid="{D77A97C1-AE38-4783-9509-4785530416BA}"/>
    <cellStyle name="Millares 7" xfId="43536" xr:uid="{3AAC8FAC-E1B0-4BAE-99ED-76FFA62445F2}"/>
    <cellStyle name="Millares 7 2" xfId="43537" xr:uid="{AE144B12-5965-4998-84C4-440881192B1F}"/>
    <cellStyle name="Millares 7 2 2" xfId="46367" xr:uid="{04A34B8F-85A7-4AC3-B2D1-E8F613BB6069}"/>
    <cellStyle name="Millares 7 3" xfId="43538" xr:uid="{99EDDDBC-468D-4B82-B102-377AFC511394}"/>
    <cellStyle name="Millares 7 3 2" xfId="46368" xr:uid="{843258FC-0AAB-41F8-A065-0EA752000529}"/>
    <cellStyle name="Millares 7 4" xfId="46366" xr:uid="{FA28052A-20BF-46F1-80F1-C9CFCF10492D}"/>
    <cellStyle name="Millares 70" xfId="46688" xr:uid="{8A4ED1B3-2EC7-46E6-807A-44B55A5E0AED}"/>
    <cellStyle name="Millares 71" xfId="46721" xr:uid="{A14C143C-92DD-4E4F-A96A-2301645AB9B6}"/>
    <cellStyle name="Millares 72" xfId="46689" xr:uid="{088E81A1-F9AB-4806-9892-D815C3BE5579}"/>
    <cellStyle name="Millares 73" xfId="46724" xr:uid="{26BF1E4A-3157-4012-877F-6549FE75D5A1}"/>
    <cellStyle name="Millares 74" xfId="46756" xr:uid="{2A477247-3640-476C-9C91-53D05850400B}"/>
    <cellStyle name="Millares 75" xfId="46723" xr:uid="{A87EB1C0-3F28-47BE-A75C-DBEB78B261B8}"/>
    <cellStyle name="Millares 76" xfId="46755" xr:uid="{C377F05A-38CE-4E3D-97E3-6194884600DE}"/>
    <cellStyle name="Millares 77" xfId="46757" xr:uid="{84396408-9199-4BC4-84E4-39AA52D4250B}"/>
    <cellStyle name="Millares 78" xfId="46804" xr:uid="{693E0EDB-7BA9-4B5E-9950-3741546380D8}"/>
    <cellStyle name="Millares 79" xfId="46956" xr:uid="{58F1A410-2919-4A94-95D1-9044FA4D080F}"/>
    <cellStyle name="Millares 8" xfId="43539" xr:uid="{76155B25-4216-461C-B67F-3796EA493552}"/>
    <cellStyle name="Millares 8 2" xfId="46369" xr:uid="{F64551FD-F589-424D-8056-0CC78BED10A1}"/>
    <cellStyle name="Millares 80" xfId="47034" xr:uid="{EE537524-E283-4D08-B6DB-DFF23567CDB2}"/>
    <cellStyle name="Millares 81" xfId="47165" xr:uid="{9EED1715-80B4-4DE8-9ED4-771C00578A0A}"/>
    <cellStyle name="Millares 82" xfId="47240" xr:uid="{7EE0B803-F932-4D44-A124-ED32085FE8A8}"/>
    <cellStyle name="Millares 83" xfId="47162" xr:uid="{82ECCB6F-E696-44E7-B20C-4E5D34E1543B}"/>
    <cellStyle name="Millares 84" xfId="47239" xr:uid="{C08B4743-C573-4694-8C45-DCFAED5A3F67}"/>
    <cellStyle name="Millares 85" xfId="47163" xr:uid="{C902808C-6236-4113-A321-433FE391DCBD}"/>
    <cellStyle name="Millares 86" xfId="47238" xr:uid="{2BA08506-D0CA-46EF-BA09-8CD9C5AA3710}"/>
    <cellStyle name="Millares 87" xfId="47164" xr:uid="{14432380-10E3-46D6-A15A-F26D13F72C3C}"/>
    <cellStyle name="Millares 88" xfId="47242" xr:uid="{8C0948D1-DCB1-4C26-A492-AB6942FB01A7}"/>
    <cellStyle name="Millares 89" xfId="47348" xr:uid="{15B86688-C8C2-4967-BB9F-3F029A4A6F21}"/>
    <cellStyle name="Millares 9" xfId="43540" xr:uid="{9C1A5D7F-3E3A-40A2-9242-32A629BD6C4E}"/>
    <cellStyle name="Millares 9 2" xfId="46370" xr:uid="{B5745B57-5324-4C2E-A2C4-65A6820E41A2}"/>
    <cellStyle name="Millares 90" xfId="47241" xr:uid="{D928B20B-C775-49FF-9F44-2AC3FC55CA48}"/>
    <cellStyle name="Millares 91" xfId="47347" xr:uid="{F22487F0-05F7-45F8-9EC5-CCC2CF53795D}"/>
    <cellStyle name="Millares 92" xfId="47491" xr:uid="{94DDD127-6A69-4623-93B0-03718CF2A0B7}"/>
    <cellStyle name="Millares 93" xfId="47592" xr:uid="{26EBFFFB-9539-4E35-81F0-27DCEFA04339}"/>
    <cellStyle name="Millares 94" xfId="47594" xr:uid="{30F90DA4-C14F-44F7-A315-8211FD284188}"/>
    <cellStyle name="Millares 95" xfId="47711" xr:uid="{EDACC28B-F21D-4C5B-903D-5513E9B426DB}"/>
    <cellStyle name="Millares 96" xfId="47593" xr:uid="{D6A41FF9-F37D-49B9-BE96-3E78E1D2AEDF}"/>
    <cellStyle name="Millares 97" xfId="47782" xr:uid="{61AFA2F0-CD6D-47DB-AA72-9FCC6E04E128}"/>
    <cellStyle name="Millares 98" xfId="47897" xr:uid="{2C6E9A8B-6359-45C0-8D7A-8F0067BDCC85}"/>
    <cellStyle name="Millares 99" xfId="47781" xr:uid="{C1411EA3-92DA-494E-9C96-2DB448FF9F41}"/>
    <cellStyle name="Moneda" xfId="3" builtinId="4"/>
    <cellStyle name="Moneda 10" xfId="46217" xr:uid="{AD52F29D-A2A5-44F2-86AF-AEB7D483E9BC}"/>
    <cellStyle name="Moneda 10 2" xfId="47597" xr:uid="{F469D49D-BF13-48A3-B40C-E658AD265294}"/>
    <cellStyle name="Moneda 11" xfId="46233" xr:uid="{232FB8BA-9AD5-40B6-9E85-314F8C72447B}"/>
    <cellStyle name="Moneda 12" xfId="46249" xr:uid="{622301EA-ACFE-4C87-AE7C-07614A61B3E9}"/>
    <cellStyle name="Moneda 13" xfId="7" xr:uid="{181EDB0D-9CA2-4FC2-922A-D098453DFC1B}"/>
    <cellStyle name="Moneda 13 2" xfId="46265" xr:uid="{141B9F08-E82A-4AFE-8BB4-98E96DB73868}"/>
    <cellStyle name="Moneda 14" xfId="46281" xr:uid="{CF66D8A4-DDB3-4153-9ABD-3402AE3F337C}"/>
    <cellStyle name="Moneda 15" xfId="46297" xr:uid="{78EC606D-F0E8-46BC-817F-43CF8991087B}"/>
    <cellStyle name="Moneda 16" xfId="46313" xr:uid="{FE83331D-9B2E-4E4A-894C-1E8840983C01}"/>
    <cellStyle name="Moneda 17" xfId="46371" xr:uid="{D50C3B69-A71E-4D29-A95C-CE0A46BCCCAF}"/>
    <cellStyle name="Moneda 18" xfId="46465" xr:uid="{B9078783-F9F6-4E2C-A5F8-D6DF9F287741}"/>
    <cellStyle name="Moneda 19" xfId="46505" xr:uid="{EC3C08C5-F5E0-4142-B057-CA3E6960FA21}"/>
    <cellStyle name="Moneda 2" xfId="43" xr:uid="{9D070959-5E4B-4044-981B-06ED6A34058E}"/>
    <cellStyle name="Moneda 2 10" xfId="46154" xr:uid="{545ECCA4-3DDF-441E-90EB-F73661DA916C}"/>
    <cellStyle name="Moneda 2 10 2" xfId="46761" xr:uid="{B5E22813-C22F-4A0C-BD7C-5D7D1E0BB03F}"/>
    <cellStyle name="Moneda 2 10 3" xfId="46962" xr:uid="{58749A7D-924E-4F22-A3BB-370E696730D4}"/>
    <cellStyle name="Moneda 2 10 4" xfId="47168" xr:uid="{05A21597-971D-48F3-9F68-0091B14F6AAA}"/>
    <cellStyle name="Moneda 2 10 5" xfId="47247" xr:uid="{034E8DD2-2607-40E1-BCEC-0E0D57B86BD3}"/>
    <cellStyle name="Moneda 2 10 6" xfId="47494" xr:uid="{BFBDACD6-D930-42D8-BF64-2C6C8320A2BC}"/>
    <cellStyle name="Moneda 2 10 7" xfId="47599" xr:uid="{38462259-1AB3-4A65-8204-D174C1105D29}"/>
    <cellStyle name="Moneda 2 10 8" xfId="47785" xr:uid="{AD792428-D145-4BBB-A5FA-AFE6CA1D4871}"/>
    <cellStyle name="Moneda 2 11" xfId="46170" xr:uid="{56B138CA-9481-4A55-A8C9-B8FAFBE3EDBA}"/>
    <cellStyle name="Moneda 2 11 2" xfId="46864" xr:uid="{1D7BF8ED-FF86-4B87-A16F-12ABA969F931}"/>
    <cellStyle name="Moneda 2 11 3" xfId="46963" xr:uid="{293291BD-D4D5-4620-A271-EC2495F30095}"/>
    <cellStyle name="Moneda 2 11 4" xfId="47169" xr:uid="{CED54251-604D-46E9-AAD7-ACDCD73101A2}"/>
    <cellStyle name="Moneda 2 11 5" xfId="47248" xr:uid="{C36F20A2-1269-40F1-9125-322496C12952}"/>
    <cellStyle name="Moneda 2 11 6" xfId="47495" xr:uid="{C751F694-4209-4AA3-BE28-52BE2864E579}"/>
    <cellStyle name="Moneda 2 11 7" xfId="47600" xr:uid="{5D09C36B-2569-4C01-8128-918D110E7D50}"/>
    <cellStyle name="Moneda 2 11 8" xfId="47786" xr:uid="{03A53B32-EC30-4AED-824C-E496B9914070}"/>
    <cellStyle name="Moneda 2 12" xfId="46186" xr:uid="{B5D2847B-4C50-4BE8-8811-25799411D7EE}"/>
    <cellStyle name="Moneda 2 12 2" xfId="46964" xr:uid="{4B223C59-09B3-4DE3-8CB0-2AE848B8B441}"/>
    <cellStyle name="Moneda 2 12 3" xfId="47170" xr:uid="{189B4888-A663-4541-8698-284AEE803809}"/>
    <cellStyle name="Moneda 2 12 4" xfId="47249" xr:uid="{12A76EF1-16FD-438B-9B23-DC4E39ADD115}"/>
    <cellStyle name="Moneda 2 12 5" xfId="47496" xr:uid="{4F206245-2510-4F47-8445-9A854A11C217}"/>
    <cellStyle name="Moneda 2 12 6" xfId="47601" xr:uid="{006E793E-3ADB-4DB1-8E31-F28EFA0E7D44}"/>
    <cellStyle name="Moneda 2 12 7" xfId="47787" xr:uid="{3682D64F-D8D5-4B0F-A85F-1C8D8EEFBF17}"/>
    <cellStyle name="Moneda 2 13" xfId="46202" xr:uid="{00F6AEA0-6B5C-42C1-A65F-5D6E0C90D4D2}"/>
    <cellStyle name="Moneda 2 13 2" xfId="47250" xr:uid="{779AE6E8-6BD1-4AFF-B91C-497953D8FC90}"/>
    <cellStyle name="Moneda 2 13 3" xfId="47497" xr:uid="{6B3B0D91-D943-4A63-80F6-DBFFD649B03D}"/>
    <cellStyle name="Moneda 2 13 4" xfId="47602" xr:uid="{ADC1E51E-AFC5-4008-8B5F-633865C9ED7D}"/>
    <cellStyle name="Moneda 2 13 5" xfId="47788" xr:uid="{889D516E-2BC9-4E94-A31F-F9CC6FD4CE55}"/>
    <cellStyle name="Moneda 2 14" xfId="46218" xr:uid="{117B15F9-FBC8-4030-AB86-84351C35C90A}"/>
    <cellStyle name="Moneda 2 14 2" xfId="47251" xr:uid="{CC7F6001-F7BF-4ED8-B5ED-EB2340742D21}"/>
    <cellStyle name="Moneda 2 14 3" xfId="47498" xr:uid="{E084439A-33E8-4FEF-8579-6CA82D144CDD}"/>
    <cellStyle name="Moneda 2 14 4" xfId="47603" xr:uid="{2EAE6B30-C2B5-4AB3-9A77-2FFFCE392D63}"/>
    <cellStyle name="Moneda 2 14 5" xfId="47789" xr:uid="{D8F95E1F-B7AD-467A-876F-9BE650276630}"/>
    <cellStyle name="Moneda 2 15" xfId="46234" xr:uid="{61418526-4326-4E64-9795-DAFF3AA3B5A5}"/>
    <cellStyle name="Moneda 2 15 2" xfId="47604" xr:uid="{306CBD09-AE3D-4667-BB8D-3731A8FE5CD6}"/>
    <cellStyle name="Moneda 2 15 3" xfId="47790" xr:uid="{09BBA0E3-BE18-49F9-B34C-E45AD56EF6BD}"/>
    <cellStyle name="Moneda 2 16" xfId="46250" xr:uid="{3574BD88-DB03-4B79-B661-677BA1CE589C}"/>
    <cellStyle name="Moneda 2 17" xfId="46266" xr:uid="{4D02D84D-7D0C-42E8-BD94-2D8E27020302}"/>
    <cellStyle name="Moneda 2 18" xfId="46282" xr:uid="{8485BF5F-C6F5-4FD4-85FB-3028D2E5B004}"/>
    <cellStyle name="Moneda 2 19" xfId="46298" xr:uid="{173ACDCC-22A5-4686-ACE5-0F1F5CF65136}"/>
    <cellStyle name="Moneda 2 2" xfId="43561" xr:uid="{CAFFAB40-AE4A-48D4-974A-034DA7576F0D}"/>
    <cellStyle name="Moneda 2 2 10" xfId="46251" xr:uid="{BA585044-7D84-4902-B647-D1B6836E80FF}"/>
    <cellStyle name="Moneda 2 2 11" xfId="46267" xr:uid="{6B7F7E27-EE55-488B-8B7B-65D19E9648BB}"/>
    <cellStyle name="Moneda 2 2 12" xfId="46283" xr:uid="{B6A542D5-E5CE-481A-AC4E-44918B73D696}"/>
    <cellStyle name="Moneda 2 2 13" xfId="46299" xr:uid="{10931D7B-3060-49D4-B1AA-829C5EE342DE}"/>
    <cellStyle name="Moneda 2 2 14" xfId="46315" xr:uid="{E3A6CD61-8404-4B3B-AFE0-76FE63CBA348}"/>
    <cellStyle name="Moneda 2 2 15" xfId="46373" xr:uid="{6C0E232C-7568-42E7-8121-EE00007308DD}"/>
    <cellStyle name="Moneda 2 2 16" xfId="46467" xr:uid="{59EB3D0B-20B2-44CC-9401-041416671079}"/>
    <cellStyle name="Moneda 2 2 17" xfId="46507" xr:uid="{79F6F926-E777-44F3-BCDD-784EE732B853}"/>
    <cellStyle name="Moneda 2 2 18" xfId="46549" xr:uid="{7053A951-C87F-486E-A06A-81386A3F3F08}"/>
    <cellStyle name="Moneda 2 2 19" xfId="46587" xr:uid="{32033A8E-7851-420D-9334-32DEDFEA1F5A}"/>
    <cellStyle name="Moneda 2 2 2" xfId="46147" xr:uid="{FCE3AFFA-9D8D-4B71-877E-0B4FE81A18EA}"/>
    <cellStyle name="Moneda 2 2 2 10" xfId="46284" xr:uid="{34FB1F60-3C28-4D80-9B8F-DAA14F9B81F9}"/>
    <cellStyle name="Moneda 2 2 2 11" xfId="46300" xr:uid="{287A65BD-02B3-4A19-A54E-A832F314109F}"/>
    <cellStyle name="Moneda 2 2 2 12" xfId="46316" xr:uid="{ACE139FE-A95C-4296-9B34-BC5B42E6C659}"/>
    <cellStyle name="Moneda 2 2 2 13" xfId="46374" xr:uid="{3F6BB323-090E-4869-A16D-2AF2919FFEAC}"/>
    <cellStyle name="Moneda 2 2 2 14" xfId="46468" xr:uid="{BD69B2F9-1B62-40F8-8B97-FFBCC3AE6C1B}"/>
    <cellStyle name="Moneda 2 2 2 15" xfId="46508" xr:uid="{C1FBC2CE-279A-4461-AD8B-37B41B5CF53F}"/>
    <cellStyle name="Moneda 2 2 2 16" xfId="46550" xr:uid="{13A7FB6B-DA23-4FC5-845A-F6AC6ADB81E9}"/>
    <cellStyle name="Moneda 2 2 2 17" xfId="46588" xr:uid="{5F7D4E5B-E887-4233-8A6E-6DA29223296B}"/>
    <cellStyle name="Moneda 2 2 2 18" xfId="46625" xr:uid="{B44E1084-3BE4-44F9-91CE-F117F2269F55}"/>
    <cellStyle name="Moneda 2 2 2 19" xfId="46660" xr:uid="{F25549F1-C3CE-4E6E-8003-7D06672608E7}"/>
    <cellStyle name="Moneda 2 2 2 2" xfId="46156" xr:uid="{41C26565-B4E1-4D33-83B8-9B5A5E3DF3F4}"/>
    <cellStyle name="Moneda 2 2 2 2 10" xfId="46695" xr:uid="{437F9D98-F9C1-43BD-9FEF-A8512193E04D}"/>
    <cellStyle name="Moneda 2 2 2 2 11" xfId="46729" xr:uid="{72F7AC16-B5FA-416E-99A1-6B17C2DA189E}"/>
    <cellStyle name="Moneda 2 2 2 2 12" xfId="46764" xr:uid="{1FF9C422-117A-4CBB-BFD5-4BFC371FB09A}"/>
    <cellStyle name="Moneda 2 2 2 2 13" xfId="46967" xr:uid="{0F34D42C-0D54-4B6B-8BB0-20153E922F72}"/>
    <cellStyle name="Moneda 2 2 2 2 14" xfId="47173" xr:uid="{93134069-1480-4648-A09A-C4E3280DB118}"/>
    <cellStyle name="Moneda 2 2 2 2 15" xfId="47254" xr:uid="{9BA0FFE8-D818-4DE1-A45E-DFC6B1352EE2}"/>
    <cellStyle name="Moneda 2 2 2 2 16" xfId="47501" xr:uid="{6A3F87B2-8ADA-4B7D-9E95-69CEA89E4AEC}"/>
    <cellStyle name="Moneda 2 2 2 2 17" xfId="47607" xr:uid="{8685BA8A-0724-43C6-807F-01F17AFA096A}"/>
    <cellStyle name="Moneda 2 2 2 2 18" xfId="47793" xr:uid="{B46D6B81-1EE0-4C11-AEF2-CF828876AA1D}"/>
    <cellStyle name="Moneda 2 2 2 2 2" xfId="46338" xr:uid="{301C6E07-58DA-4809-AB0D-E92C67120DA2}"/>
    <cellStyle name="Moneda 2 2 2 2 3" xfId="46375" xr:uid="{14A2474A-B62B-49C8-B8AD-1307EB7998F0}"/>
    <cellStyle name="Moneda 2 2 2 2 4" xfId="46469" xr:uid="{5C5E1985-FEDF-4A54-A407-05CFF3899302}"/>
    <cellStyle name="Moneda 2 2 2 2 5" xfId="46509" xr:uid="{2EC83F9A-C791-4F4D-A3A7-E0463ED9F70A}"/>
    <cellStyle name="Moneda 2 2 2 2 6" xfId="46551" xr:uid="{96BBE21D-1EAC-4E53-9673-2BFC16C9C436}"/>
    <cellStyle name="Moneda 2 2 2 2 7" xfId="46589" xr:uid="{91D4E470-F27C-4012-9189-BA3C54E57FC0}"/>
    <cellStyle name="Moneda 2 2 2 2 8" xfId="46626" xr:uid="{3CB5C7FC-94A4-4D2A-A511-3E53E779F22C}"/>
    <cellStyle name="Moneda 2 2 2 2 9" xfId="46661" xr:uid="{5C5D1D0F-9662-41A0-A746-F77ADADC7DFB}"/>
    <cellStyle name="Moneda 2 2 2 20" xfId="46694" xr:uid="{043CDC27-C0AE-491C-8D47-B288E6D959D4}"/>
    <cellStyle name="Moneda 2 2 2 21" xfId="46728" xr:uid="{54866124-0615-406E-8997-431E4C51D9B9}"/>
    <cellStyle name="Moneda 2 2 2 22" xfId="46763" xr:uid="{75EBD1EA-A2C3-4FAF-9663-2B1E2ED3984B}"/>
    <cellStyle name="Moneda 2 2 2 23" xfId="46966" xr:uid="{A4BA1708-8D80-49F3-9E31-6CF8DEA3ECEF}"/>
    <cellStyle name="Moneda 2 2 2 24" xfId="47172" xr:uid="{E2798A7F-D921-4248-8323-CBF321B5E890}"/>
    <cellStyle name="Moneda 2 2 2 25" xfId="47253" xr:uid="{C7B95B9E-019E-4159-A543-D603075E61D6}"/>
    <cellStyle name="Moneda 2 2 2 26" xfId="47500" xr:uid="{D5B1CCDF-8703-42AA-B429-A912E679A85B}"/>
    <cellStyle name="Moneda 2 2 2 27" xfId="47606" xr:uid="{C9138DEE-375B-4501-8843-233C19E9983E}"/>
    <cellStyle name="Moneda 2 2 2 28" xfId="47792" xr:uid="{371DB4D6-A1E0-4244-99FF-3374679F4E4A}"/>
    <cellStyle name="Moneda 2 2 2 3" xfId="46172" xr:uid="{B2DE4795-69ED-41E8-987A-96CAC4FB7C09}"/>
    <cellStyle name="Moneda 2 2 2 3 2" xfId="46765" xr:uid="{038F4B5C-C9A3-4280-ADC9-8B8B8C184B6D}"/>
    <cellStyle name="Moneda 2 2 2 3 3" xfId="46968" xr:uid="{A8FDBDFE-8E41-4023-9417-E6851D1F7755}"/>
    <cellStyle name="Moneda 2 2 2 3 4" xfId="47174" xr:uid="{A75ABD03-EDF2-4B92-B8F3-7629B25659A1}"/>
    <cellStyle name="Moneda 2 2 2 3 5" xfId="47255" xr:uid="{DA16FE37-3EB2-44FF-8EF3-826455CCF70B}"/>
    <cellStyle name="Moneda 2 2 2 3 6" xfId="47502" xr:uid="{D428481D-B488-44D5-8835-BE1479F6CBB8}"/>
    <cellStyle name="Moneda 2 2 2 3 7" xfId="47608" xr:uid="{5FDD654C-C4D1-43F1-9E97-E6CA37518D58}"/>
    <cellStyle name="Moneda 2 2 2 3 8" xfId="47794" xr:uid="{80D876CE-0CD4-4CE5-A97A-FB6C0585B639}"/>
    <cellStyle name="Moneda 2 2 2 4" xfId="46188" xr:uid="{26150CEB-A7E6-4A4A-B8A5-0FC3CAC2978D}"/>
    <cellStyle name="Moneda 2 2 2 4 2" xfId="46948" xr:uid="{91A3802A-5B83-44E4-A92C-2F3697A51339}"/>
    <cellStyle name="Moneda 2 2 2 4 3" xfId="46969" xr:uid="{8CDD5704-45EF-4A33-85B3-CAAE25BD3B41}"/>
    <cellStyle name="Moneda 2 2 2 4 4" xfId="47175" xr:uid="{340FE208-CD32-4F4D-A31C-AD832307BF65}"/>
    <cellStyle name="Moneda 2 2 2 4 5" xfId="47256" xr:uid="{8827E27B-63DE-4537-97D2-2763211BA904}"/>
    <cellStyle name="Moneda 2 2 2 4 6" xfId="47503" xr:uid="{552655DD-4432-4707-B13D-4949F0727678}"/>
    <cellStyle name="Moneda 2 2 2 4 7" xfId="47609" xr:uid="{4EFFD264-CB6F-4415-B073-5922055E9F9A}"/>
    <cellStyle name="Moneda 2 2 2 4 8" xfId="47795" xr:uid="{3895F3B9-287F-440A-B9EE-D0BB3DC0AF11}"/>
    <cellStyle name="Moneda 2 2 2 5" xfId="46204" xr:uid="{090E842F-6B1B-43E1-BC92-23C7921F33F7}"/>
    <cellStyle name="Moneda 2 2 2 5 2" xfId="46970" xr:uid="{00F14D0E-F371-44C2-B071-0FFEFBF686B4}"/>
    <cellStyle name="Moneda 2 2 2 5 3" xfId="47176" xr:uid="{2FF617E6-1457-4000-9155-422107BC9285}"/>
    <cellStyle name="Moneda 2 2 2 5 4" xfId="47257" xr:uid="{A0EC9CF0-8B94-48E3-A194-8AD477F8DF59}"/>
    <cellStyle name="Moneda 2 2 2 5 5" xfId="47504" xr:uid="{F825D74C-CC53-429F-868B-00F0A2A7227C}"/>
    <cellStyle name="Moneda 2 2 2 5 6" xfId="47610" xr:uid="{16607705-EBDE-4B6D-AB7C-89974A69E85B}"/>
    <cellStyle name="Moneda 2 2 2 5 7" xfId="47796" xr:uid="{0D2C0A83-DA7B-4510-85C5-E861092865A6}"/>
    <cellStyle name="Moneda 2 2 2 6" xfId="46220" xr:uid="{AB574ABF-FDD0-42BF-9DBE-AAA7A85B089C}"/>
    <cellStyle name="Moneda 2 2 2 6 2" xfId="47258" xr:uid="{5E72C4D8-97C7-45B0-903F-C4501EAF371A}"/>
    <cellStyle name="Moneda 2 2 2 6 3" xfId="47505" xr:uid="{11280C32-69DC-4770-BBEA-3ED312E7D80C}"/>
    <cellStyle name="Moneda 2 2 2 6 4" xfId="47611" xr:uid="{650CFD4A-FCC0-41EE-8AFB-B6FF945F625D}"/>
    <cellStyle name="Moneda 2 2 2 6 5" xfId="47797" xr:uid="{2FA8FD0A-71FF-4DB3-A626-5403FC247B91}"/>
    <cellStyle name="Moneda 2 2 2 7" xfId="46236" xr:uid="{6B20880A-E3F2-4560-A1C7-1F6B6699EBA4}"/>
    <cellStyle name="Moneda 2 2 2 7 2" xfId="47259" xr:uid="{594F0825-A27C-44CB-9D52-F30E66651F02}"/>
    <cellStyle name="Moneda 2 2 2 7 3" xfId="47506" xr:uid="{D5EA45CD-7D13-4EEF-B226-F8F125252EE5}"/>
    <cellStyle name="Moneda 2 2 2 7 4" xfId="47612" xr:uid="{00C7B81C-87C0-430F-834D-CE300B0023BD}"/>
    <cellStyle name="Moneda 2 2 2 7 5" xfId="47798" xr:uid="{B77E47B0-8D61-4526-A16C-3DD630FF027A}"/>
    <cellStyle name="Moneda 2 2 2 8" xfId="46252" xr:uid="{BFC3D3CF-584E-46FA-A8F3-33E948A6508D}"/>
    <cellStyle name="Moneda 2 2 2 8 2" xfId="47613" xr:uid="{86F1A7B9-36A7-4F6A-BBDE-54238E8BE9E2}"/>
    <cellStyle name="Moneda 2 2 2 8 3" xfId="47799" xr:uid="{3FDD3B20-C389-4874-9E4A-26B39674D845}"/>
    <cellStyle name="Moneda 2 2 2 9" xfId="46268" xr:uid="{8C4CA1E3-1AA3-4D8F-9E04-5EDF5FFCB05A}"/>
    <cellStyle name="Moneda 2 2 20" xfId="46624" xr:uid="{966B5848-D52E-49D9-9DBF-46BFF75C5FF4}"/>
    <cellStyle name="Moneda 2 2 21" xfId="46659" xr:uid="{F47E6C0A-8089-45FD-9709-73D3AA42C52C}"/>
    <cellStyle name="Moneda 2 2 22" xfId="46693" xr:uid="{1A43FEE0-B016-449C-99F0-E7A5BEFC8C3E}"/>
    <cellStyle name="Moneda 2 2 23" xfId="46727" xr:uid="{7866DB32-13D2-4DF5-8867-57345CB989DD}"/>
    <cellStyle name="Moneda 2 2 24" xfId="46762" xr:uid="{B10E963F-B98B-4A90-9447-FF8C1FD777F3}"/>
    <cellStyle name="Moneda 2 2 25" xfId="46965" xr:uid="{AB4F5E3C-772A-459D-AC10-89283E70FF8D}"/>
    <cellStyle name="Moneda 2 2 26" xfId="47171" xr:uid="{EDC75C18-B44F-48F4-A8F4-7519D156B8C2}"/>
    <cellStyle name="Moneda 2 2 27" xfId="47252" xr:uid="{01AAA119-12AE-4D88-91F1-C3B9CE413E8E}"/>
    <cellStyle name="Moneda 2 2 28" xfId="47499" xr:uid="{3ECC8362-1C60-48D9-9837-3E01FD990265}"/>
    <cellStyle name="Moneda 2 2 29" xfId="47605" xr:uid="{074F8B52-FE65-400B-A806-8863511ADDC7}"/>
    <cellStyle name="Moneda 2 2 3" xfId="46139" xr:uid="{E20D741B-FC67-4DAD-958E-ABF4DCE22C7D}"/>
    <cellStyle name="Moneda 2 2 3 10" xfId="46696" xr:uid="{E8938952-DB9F-4BEC-B876-6082A374A72C}"/>
    <cellStyle name="Moneda 2 2 3 11" xfId="46730" xr:uid="{136A0139-EE06-4373-9EC5-CC0B5474B313}"/>
    <cellStyle name="Moneda 2 2 3 12" xfId="46766" xr:uid="{2F6F028E-A0E5-420E-8C9F-DCB27A7D09F4}"/>
    <cellStyle name="Moneda 2 2 3 13" xfId="46971" xr:uid="{C048F6F5-8C67-489A-A8FD-DBB074E62F62}"/>
    <cellStyle name="Moneda 2 2 3 14" xfId="47177" xr:uid="{B8988046-AA16-42DD-A4D1-0BD5CDE44B75}"/>
    <cellStyle name="Moneda 2 2 3 15" xfId="47260" xr:uid="{E7F1A40F-AB31-43F4-966A-F92D55D01636}"/>
    <cellStyle name="Moneda 2 2 3 16" xfId="47507" xr:uid="{22D83559-A4DB-40AE-8755-36DAAB3315DD}"/>
    <cellStyle name="Moneda 2 2 3 17" xfId="47614" xr:uid="{E01CEBFE-E773-4BAE-9B36-F10644224F95}"/>
    <cellStyle name="Moneda 2 2 3 18" xfId="47800" xr:uid="{3EBDC6E6-E885-4466-8279-71E733E04082}"/>
    <cellStyle name="Moneda 2 2 3 2" xfId="46331" xr:uid="{FB4380CE-B9A1-4E71-8A73-B92E78185325}"/>
    <cellStyle name="Moneda 2 2 3 3" xfId="46376" xr:uid="{1A793843-6AB2-4AB1-B508-EAB9F32C0740}"/>
    <cellStyle name="Moneda 2 2 3 4" xfId="46470" xr:uid="{EF53F937-944B-450D-B95B-63E2E7FA3A6E}"/>
    <cellStyle name="Moneda 2 2 3 5" xfId="46510" xr:uid="{A6146431-B987-461A-9AAD-0373B8103C80}"/>
    <cellStyle name="Moneda 2 2 3 6" xfId="46552" xr:uid="{715B09AB-BCB4-473B-B5B2-994F600070BD}"/>
    <cellStyle name="Moneda 2 2 3 7" xfId="46590" xr:uid="{344783CF-D3C2-4B99-9124-8051D11D6DE4}"/>
    <cellStyle name="Moneda 2 2 3 8" xfId="46627" xr:uid="{7E6C1177-F194-4F1A-A32C-42EA5729CF07}"/>
    <cellStyle name="Moneda 2 2 3 9" xfId="46662" xr:uid="{C213F9AF-60BF-466D-AE00-F1E4639DAA89}"/>
    <cellStyle name="Moneda 2 2 30" xfId="47791" xr:uid="{F86A327F-C770-4899-B3DB-0071F172CC7C}"/>
    <cellStyle name="Moneda 2 2 4" xfId="46155" xr:uid="{B08C414D-8441-4D20-ADF4-1422895206C2}"/>
    <cellStyle name="Moneda 2 2 4 2" xfId="46767" xr:uid="{AF4ECD61-E421-4BA9-8C5C-4A3E70A7589D}"/>
    <cellStyle name="Moneda 2 2 4 3" xfId="46972" xr:uid="{E15F11CA-D55B-4539-868F-8CE546DD8231}"/>
    <cellStyle name="Moneda 2 2 4 4" xfId="47178" xr:uid="{B763F53C-1622-4868-AC1C-BE148F6BBB33}"/>
    <cellStyle name="Moneda 2 2 4 5" xfId="47261" xr:uid="{0E06970B-2512-403E-B877-CAAC05FD00FC}"/>
    <cellStyle name="Moneda 2 2 4 6" xfId="47508" xr:uid="{EBFC0FEA-9595-49C7-9BB0-58BDA06C89C4}"/>
    <cellStyle name="Moneda 2 2 4 7" xfId="47615" xr:uid="{53ADBD53-EE4F-4641-918C-FFB860CA31C2}"/>
    <cellStyle name="Moneda 2 2 4 8" xfId="47801" xr:uid="{9758CE7C-084E-4F17-94AD-4EC43D435FC9}"/>
    <cellStyle name="Moneda 2 2 5" xfId="46171" xr:uid="{28316E34-A776-48B0-A6C9-702D5D36693C}"/>
    <cellStyle name="Moneda 2 2 5 2" xfId="46941" xr:uid="{C6CEA441-D6EB-4017-BF0C-EDD519212341}"/>
    <cellStyle name="Moneda 2 2 5 3" xfId="46973" xr:uid="{B627F549-4322-4AB7-ADB3-51DABDD8D459}"/>
    <cellStyle name="Moneda 2 2 5 4" xfId="47179" xr:uid="{C0E53B9F-0649-43AA-905C-389B364F9E93}"/>
    <cellStyle name="Moneda 2 2 5 5" xfId="47262" xr:uid="{3C6A688A-F90D-4EE7-AAFB-B477352B2C6F}"/>
    <cellStyle name="Moneda 2 2 5 6" xfId="47509" xr:uid="{162975D1-BD0C-4525-86AA-9CBE0FB3AA36}"/>
    <cellStyle name="Moneda 2 2 5 7" xfId="47616" xr:uid="{A1646953-B32F-41E4-8611-9DAA09FA1016}"/>
    <cellStyle name="Moneda 2 2 5 8" xfId="47802" xr:uid="{FAAF37A3-F31D-4EF0-B4E0-D137D4D0B8C2}"/>
    <cellStyle name="Moneda 2 2 6" xfId="46187" xr:uid="{6B847B32-C2D9-4EA7-9841-B6A5C864FF06}"/>
    <cellStyle name="Moneda 2 2 6 2" xfId="46974" xr:uid="{55BAB70F-9D77-456A-AE8E-05282CAA7BC4}"/>
    <cellStyle name="Moneda 2 2 6 3" xfId="47180" xr:uid="{28B8DA3C-03BA-4C2F-B4C1-F3C25F1D0729}"/>
    <cellStyle name="Moneda 2 2 6 4" xfId="47263" xr:uid="{3B0855DD-65A7-4677-AAB9-F54EE2D18771}"/>
    <cellStyle name="Moneda 2 2 6 5" xfId="47510" xr:uid="{D7727152-94C8-4C53-BFC7-768B4E08EF68}"/>
    <cellStyle name="Moneda 2 2 6 6" xfId="47617" xr:uid="{B9080380-59C7-4E94-9C2F-F87BAC41136E}"/>
    <cellStyle name="Moneda 2 2 6 7" xfId="47803" xr:uid="{4E99848A-6184-4E00-B7DF-17756FE0CE87}"/>
    <cellStyle name="Moneda 2 2 7" xfId="46203" xr:uid="{76B2B034-A388-483E-B631-7C04B23C34A1}"/>
    <cellStyle name="Moneda 2 2 7 2" xfId="47264" xr:uid="{C23B38D6-2680-4029-A394-274802BC356B}"/>
    <cellStyle name="Moneda 2 2 7 3" xfId="47511" xr:uid="{A7299891-D337-49F5-8697-CBC4D90B93A1}"/>
    <cellStyle name="Moneda 2 2 7 4" xfId="47618" xr:uid="{3548399F-0695-4EA5-9203-724D9EBE5DB0}"/>
    <cellStyle name="Moneda 2 2 7 5" xfId="47804" xr:uid="{D8136D23-64E1-4D0E-AD23-8A690FB4E66E}"/>
    <cellStyle name="Moneda 2 2 8" xfId="46219" xr:uid="{1F3C8B6A-C991-4B00-90B8-1CBC5C456BC6}"/>
    <cellStyle name="Moneda 2 2 8 2" xfId="47265" xr:uid="{0A43AA02-BB4C-4E0C-B649-A566E5F12DC8}"/>
    <cellStyle name="Moneda 2 2 8 3" xfId="47512" xr:uid="{A6BDA77B-B9C8-48E2-A471-C0BA594D79CA}"/>
    <cellStyle name="Moneda 2 2 8 4" xfId="47619" xr:uid="{4690A5B7-6EF4-44F2-852E-7DD97E6B3261}"/>
    <cellStyle name="Moneda 2 2 8 5" xfId="47805" xr:uid="{7D2863EF-727C-4891-8427-CE940EC30632}"/>
    <cellStyle name="Moneda 2 2 9" xfId="46235" xr:uid="{8ED2CA95-2342-4528-80C3-E5E9B9856718}"/>
    <cellStyle name="Moneda 2 2 9 2" xfId="47620" xr:uid="{97F93083-E051-4DE0-ACDB-5CFE7C29CFB6}"/>
    <cellStyle name="Moneda 2 2 9 3" xfId="47806" xr:uid="{1A20869F-B803-41D2-8284-571090BC706B}"/>
    <cellStyle name="Moneda 2 20" xfId="46314" xr:uid="{6B56568B-FBF3-47D9-B507-4EEF30EEF123}"/>
    <cellStyle name="Moneda 2 21" xfId="46372" xr:uid="{7F4F4AC8-737D-4A83-A2D2-F8BF420C34FC}"/>
    <cellStyle name="Moneda 2 22" xfId="46466" xr:uid="{C2A777FD-210F-4A8B-A0D4-AD52D2C7279F}"/>
    <cellStyle name="Moneda 2 23" xfId="46506" xr:uid="{CDAD903E-48A4-4131-973C-5A495F776305}"/>
    <cellStyle name="Moneda 2 24" xfId="46548" xr:uid="{D1F79AF4-F67E-4306-9869-49278C3DBB73}"/>
    <cellStyle name="Moneda 2 25" xfId="46586" xr:uid="{B8EFAD4C-92DE-4275-B8E1-593F4CBCA339}"/>
    <cellStyle name="Moneda 2 26" xfId="46623" xr:uid="{24CFB8E6-93C9-4235-B77F-305591C774DD}"/>
    <cellStyle name="Moneda 2 27" xfId="46658" xr:uid="{358FAC50-7BA8-4C07-AB06-E37AA5CB9DC9}"/>
    <cellStyle name="Moneda 2 28" xfId="46692" xr:uid="{8B423AC8-10EB-45C7-9B75-66B19FE0D0AB}"/>
    <cellStyle name="Moneda 2 29" xfId="46726" xr:uid="{86539411-F30C-4A7A-A2C7-6AD12E1B5E0B}"/>
    <cellStyle name="Moneda 2 3" xfId="46140" xr:uid="{C723B1AA-C5D5-4DBA-A21B-FFDABDC3268D}"/>
    <cellStyle name="Moneda 2 3 10" xfId="46269" xr:uid="{2A3E73F8-9588-47EF-B4A6-C18CBB94EB3D}"/>
    <cellStyle name="Moneda 2 3 11" xfId="46285" xr:uid="{CFC66C99-E0BA-4442-8B9A-FEC0C99C5697}"/>
    <cellStyle name="Moneda 2 3 12" xfId="46301" xr:uid="{15519F47-D88B-4CC1-860F-C6D526B5FFF4}"/>
    <cellStyle name="Moneda 2 3 13" xfId="46317" xr:uid="{4F0AF768-0DCB-4A22-8138-73B07D2DA6F7}"/>
    <cellStyle name="Moneda 2 3 14" xfId="46377" xr:uid="{034AA4B4-ED90-4B94-A589-9B7BB6A531F6}"/>
    <cellStyle name="Moneda 2 3 15" xfId="46471" xr:uid="{91711101-41E7-487F-8D2D-CE66AA10CD75}"/>
    <cellStyle name="Moneda 2 3 16" xfId="46511" xr:uid="{F1B5741F-0F7A-4FDB-9560-F07CEFD78FF6}"/>
    <cellStyle name="Moneda 2 3 17" xfId="46553" xr:uid="{08ED10E2-EC35-4B26-A5C6-971C23A53429}"/>
    <cellStyle name="Moneda 2 3 18" xfId="46591" xr:uid="{DB99F2E6-D267-4DB2-844B-491B982E9A2D}"/>
    <cellStyle name="Moneda 2 3 19" xfId="46628" xr:uid="{D32E26C4-BC22-4BA1-849B-E3F49CA3ACE7}"/>
    <cellStyle name="Moneda 2 3 2" xfId="46148" xr:uid="{FBB4EB17-281B-4B57-AFD5-02FCF3D2E0F6}"/>
    <cellStyle name="Moneda 2 3 2 10" xfId="46286" xr:uid="{054A3C31-DCD1-4FEC-9906-9FF8552C6282}"/>
    <cellStyle name="Moneda 2 3 2 11" xfId="46302" xr:uid="{D4330AAD-E967-404D-B10D-C31C03A53BF3}"/>
    <cellStyle name="Moneda 2 3 2 12" xfId="46318" xr:uid="{57570A5C-D68A-4287-A12B-87FE4BFE9B5C}"/>
    <cellStyle name="Moneda 2 3 2 13" xfId="46378" xr:uid="{B1BD6C87-5DF9-413C-B62E-69CC1FE82F5E}"/>
    <cellStyle name="Moneda 2 3 2 14" xfId="46472" xr:uid="{61BD415A-DD41-419F-A74A-179DDE89B9B4}"/>
    <cellStyle name="Moneda 2 3 2 15" xfId="46512" xr:uid="{4C6BDE56-A44A-4331-B447-57B04B0E954F}"/>
    <cellStyle name="Moneda 2 3 2 16" xfId="46554" xr:uid="{B3C0BF61-883C-4050-86A5-BE1345F9DEA7}"/>
    <cellStyle name="Moneda 2 3 2 17" xfId="46592" xr:uid="{295FE94F-E662-4DC8-BE5C-D483234CD968}"/>
    <cellStyle name="Moneda 2 3 2 18" xfId="46629" xr:uid="{805CEC79-DC64-4557-A640-54F1D05396C7}"/>
    <cellStyle name="Moneda 2 3 2 19" xfId="46664" xr:uid="{4CC9F374-09F1-4AA8-8515-80DF4E75F9D6}"/>
    <cellStyle name="Moneda 2 3 2 2" xfId="46158" xr:uid="{1B3FA8DA-07C6-4433-96A8-028FF9B33674}"/>
    <cellStyle name="Moneda 2 3 2 2 10" xfId="46699" xr:uid="{537E31CA-F3C6-4E9C-B3AF-1101980DF44D}"/>
    <cellStyle name="Moneda 2 3 2 2 11" xfId="46733" xr:uid="{5D2BCEA5-5DB9-4A75-A34D-3B097A0331BA}"/>
    <cellStyle name="Moneda 2 3 2 2 12" xfId="46770" xr:uid="{19029E0C-1051-4E47-859E-EEB53891825C}"/>
    <cellStyle name="Moneda 2 3 2 2 13" xfId="46977" xr:uid="{F009942C-CDD8-4A2D-B73D-D2895CF0A7A2}"/>
    <cellStyle name="Moneda 2 3 2 2 14" xfId="47183" xr:uid="{E6336729-3A7A-498A-9250-6586E55002A8}"/>
    <cellStyle name="Moneda 2 3 2 2 15" xfId="47268" xr:uid="{4B27C05B-096A-48A6-B37D-08A9D979099C}"/>
    <cellStyle name="Moneda 2 3 2 2 16" xfId="47515" xr:uid="{4E87CE1C-F65F-45B7-9D60-F95B4E54ED41}"/>
    <cellStyle name="Moneda 2 3 2 2 17" xfId="47623" xr:uid="{9C6A6F43-79DC-499D-BB3C-08A74B46B890}"/>
    <cellStyle name="Moneda 2 3 2 2 18" xfId="47809" xr:uid="{AD5AE97F-3ED7-4CA6-9B6E-1225211C3AC2}"/>
    <cellStyle name="Moneda 2 3 2 2 2" xfId="46339" xr:uid="{7BF1195B-2C62-40FD-ADE0-9881356DDAC2}"/>
    <cellStyle name="Moneda 2 3 2 2 3" xfId="46379" xr:uid="{BCE4F6A4-66DF-423D-A252-43849025C1F9}"/>
    <cellStyle name="Moneda 2 3 2 2 4" xfId="46473" xr:uid="{A0A58950-5E6A-4931-8AE0-E402DE72FA8E}"/>
    <cellStyle name="Moneda 2 3 2 2 5" xfId="46513" xr:uid="{07B61835-9861-4ECD-8D55-5F0A9D4CF55D}"/>
    <cellStyle name="Moneda 2 3 2 2 6" xfId="46555" xr:uid="{A7362636-2C45-4291-9859-31777A254B20}"/>
    <cellStyle name="Moneda 2 3 2 2 7" xfId="46593" xr:uid="{C02D5127-5147-433E-9B10-A410DB7488AF}"/>
    <cellStyle name="Moneda 2 3 2 2 8" xfId="46630" xr:uid="{C2412502-9ABD-4EE3-9776-2050B0A65C68}"/>
    <cellStyle name="Moneda 2 3 2 2 9" xfId="46665" xr:uid="{96AB7264-4551-4A9D-B1AB-F771095E85EB}"/>
    <cellStyle name="Moneda 2 3 2 20" xfId="46698" xr:uid="{859C95A1-D294-4C95-AF91-485C4C358B30}"/>
    <cellStyle name="Moneda 2 3 2 21" xfId="46732" xr:uid="{866F6EB7-C819-46BD-9659-42FC0DAE54DA}"/>
    <cellStyle name="Moneda 2 3 2 22" xfId="46769" xr:uid="{914F9E79-E459-496A-B255-F3C1B575E984}"/>
    <cellStyle name="Moneda 2 3 2 23" xfId="46976" xr:uid="{DA948415-E5A2-443F-AE4B-20D28952F45B}"/>
    <cellStyle name="Moneda 2 3 2 24" xfId="47182" xr:uid="{391F71EC-D1FB-4102-8F41-5CCA2CEA0EE5}"/>
    <cellStyle name="Moneda 2 3 2 25" xfId="47267" xr:uid="{47C368C4-13E6-4A68-8339-9EF279DB39DA}"/>
    <cellStyle name="Moneda 2 3 2 26" xfId="47514" xr:uid="{FDD0F9E9-34EF-4ADF-AFFB-07FA755DC67B}"/>
    <cellStyle name="Moneda 2 3 2 27" xfId="47622" xr:uid="{0302C020-1BA6-423A-ABC4-D4B9DEC3037B}"/>
    <cellStyle name="Moneda 2 3 2 28" xfId="47808" xr:uid="{ADABA92B-04BC-4CF3-BC30-E4E8B24363E0}"/>
    <cellStyle name="Moneda 2 3 2 3" xfId="46174" xr:uid="{D521DE8A-6CB8-4722-850E-23EACAEBE9DB}"/>
    <cellStyle name="Moneda 2 3 2 3 2" xfId="46771" xr:uid="{239AF8AA-AF2F-4FDD-862B-876E7F9A0E0B}"/>
    <cellStyle name="Moneda 2 3 2 3 3" xfId="46978" xr:uid="{4426B99A-D841-488E-A33F-7DD092265166}"/>
    <cellStyle name="Moneda 2 3 2 3 4" xfId="47184" xr:uid="{44EAFA02-8F8D-460E-960F-E46D714FB0C5}"/>
    <cellStyle name="Moneda 2 3 2 3 5" xfId="47269" xr:uid="{3CF24BBF-E1FA-4BEA-8049-48273CD28600}"/>
    <cellStyle name="Moneda 2 3 2 3 6" xfId="47516" xr:uid="{D26FF899-2DF1-4DC1-B758-97D2644077C1}"/>
    <cellStyle name="Moneda 2 3 2 3 7" xfId="47624" xr:uid="{145F87E2-3D2F-4083-B92E-BEE666E81AF2}"/>
    <cellStyle name="Moneda 2 3 2 3 8" xfId="47810" xr:uid="{29DB357F-29F4-4274-8601-7D74D3FA7ADE}"/>
    <cellStyle name="Moneda 2 3 2 4" xfId="46190" xr:uid="{ABAAD2A3-1B80-47BE-B595-C5F060571ECA}"/>
    <cellStyle name="Moneda 2 3 2 4 2" xfId="46949" xr:uid="{FC625951-7DC5-499C-A152-2AF6DEE7581A}"/>
    <cellStyle name="Moneda 2 3 2 4 3" xfId="46979" xr:uid="{84B755BD-1F51-45F0-86CF-C45B7112B8D3}"/>
    <cellStyle name="Moneda 2 3 2 4 4" xfId="47185" xr:uid="{F4231E74-941B-4853-A2DC-2C06849A436F}"/>
    <cellStyle name="Moneda 2 3 2 4 5" xfId="47270" xr:uid="{A9AF9FF2-ADD2-48B1-90C3-1802C2E4F46E}"/>
    <cellStyle name="Moneda 2 3 2 4 6" xfId="47517" xr:uid="{37773062-4BAB-4506-9AE1-5D0D7F83E491}"/>
    <cellStyle name="Moneda 2 3 2 4 7" xfId="47625" xr:uid="{3CB39326-8F4D-4D0D-A956-59D0F396817B}"/>
    <cellStyle name="Moneda 2 3 2 4 8" xfId="47811" xr:uid="{F16FFB27-6701-4529-93B9-35A54A59D90F}"/>
    <cellStyle name="Moneda 2 3 2 5" xfId="46206" xr:uid="{5F896C21-6053-45DD-B992-32624AC868C7}"/>
    <cellStyle name="Moneda 2 3 2 5 2" xfId="46980" xr:uid="{E02FEEBE-3714-4A55-93E7-0AA28A453E66}"/>
    <cellStyle name="Moneda 2 3 2 5 3" xfId="47186" xr:uid="{DFA9C90E-3443-45CB-B171-30E44C9D44FF}"/>
    <cellStyle name="Moneda 2 3 2 5 4" xfId="47271" xr:uid="{E79E025B-17CC-4D3A-94A2-3CB4867B7ACE}"/>
    <cellStyle name="Moneda 2 3 2 5 5" xfId="47518" xr:uid="{4B936194-FA0A-4A82-AB99-15AAA126458F}"/>
    <cellStyle name="Moneda 2 3 2 5 6" xfId="47626" xr:uid="{967A6746-717A-46A4-9DBD-4D2FCAE5F14B}"/>
    <cellStyle name="Moneda 2 3 2 5 7" xfId="47812" xr:uid="{5333A521-3720-49C2-A3F7-339B9EE0ACF4}"/>
    <cellStyle name="Moneda 2 3 2 6" xfId="46222" xr:uid="{A7302804-8FC5-4670-915B-F8CA67269DE0}"/>
    <cellStyle name="Moneda 2 3 2 6 2" xfId="47272" xr:uid="{D32839A3-AE54-4BC9-9452-55E454A73A65}"/>
    <cellStyle name="Moneda 2 3 2 6 3" xfId="47519" xr:uid="{61DA874A-0A3A-4E0C-809D-7A81DA4D5915}"/>
    <cellStyle name="Moneda 2 3 2 6 4" xfId="47627" xr:uid="{306AB05A-234A-43C6-8911-2DAF0553B36F}"/>
    <cellStyle name="Moneda 2 3 2 6 5" xfId="47813" xr:uid="{D723B1F3-9719-497A-97C8-BEFF68C72B6A}"/>
    <cellStyle name="Moneda 2 3 2 7" xfId="46238" xr:uid="{6F276002-0E42-41FC-8B6D-7CD3A1A4EA0C}"/>
    <cellStyle name="Moneda 2 3 2 7 2" xfId="47273" xr:uid="{B042B34F-5C22-4F34-B3CD-B699CD985D09}"/>
    <cellStyle name="Moneda 2 3 2 7 3" xfId="47520" xr:uid="{ACDDB642-9D6A-4097-9A53-E30F4780348C}"/>
    <cellStyle name="Moneda 2 3 2 7 4" xfId="47628" xr:uid="{C48A08EA-0F82-4BBA-9F5E-E30A3B12E8EB}"/>
    <cellStyle name="Moneda 2 3 2 7 5" xfId="47814" xr:uid="{D03ACE30-E724-4E45-AADF-0AC52D46A1A9}"/>
    <cellStyle name="Moneda 2 3 2 8" xfId="46254" xr:uid="{C09F5C83-CDBF-46DF-AA15-A6EF751C740D}"/>
    <cellStyle name="Moneda 2 3 2 8 2" xfId="47629" xr:uid="{0E470C51-8870-4874-B3A2-EC3DB7020C45}"/>
    <cellStyle name="Moneda 2 3 2 8 3" xfId="47815" xr:uid="{167D63CE-F7F2-421F-B00C-D53C77E946FA}"/>
    <cellStyle name="Moneda 2 3 2 9" xfId="46270" xr:uid="{5DB09347-7093-4F43-A25F-0686BF19EB82}"/>
    <cellStyle name="Moneda 2 3 20" xfId="46663" xr:uid="{313CAD5C-2CCD-4BF9-BDE5-BF54C3D2F238}"/>
    <cellStyle name="Moneda 2 3 21" xfId="46697" xr:uid="{7385108B-82BA-40BD-8DA6-84F9CBE40999}"/>
    <cellStyle name="Moneda 2 3 22" xfId="46731" xr:uid="{CC43E57B-92C1-4471-99B6-32067343F1A6}"/>
    <cellStyle name="Moneda 2 3 23" xfId="46768" xr:uid="{4D8CC98C-EB94-46CC-A99C-D03FCB9C678C}"/>
    <cellStyle name="Moneda 2 3 24" xfId="46975" xr:uid="{236BEC9D-D3AC-445F-929B-96AA0F0B5179}"/>
    <cellStyle name="Moneda 2 3 25" xfId="47181" xr:uid="{61C9D1EF-CC70-4CFB-B8DF-E4592268E89C}"/>
    <cellStyle name="Moneda 2 3 26" xfId="47266" xr:uid="{593CCF7B-84C2-48D3-AFE7-9E215CBDC1E4}"/>
    <cellStyle name="Moneda 2 3 27" xfId="47513" xr:uid="{BCDEA823-B5EB-449D-8389-8AB6816D306C}"/>
    <cellStyle name="Moneda 2 3 28" xfId="47621" xr:uid="{651C1BEB-226D-4AB2-AEDC-1C5B9E2ECDC5}"/>
    <cellStyle name="Moneda 2 3 29" xfId="47807" xr:uid="{A0C2AE46-7A94-4AE2-88D4-31858C1F624A}"/>
    <cellStyle name="Moneda 2 3 3" xfId="46157" xr:uid="{FAD8DE53-B8A0-41EA-A567-736347B77C84}"/>
    <cellStyle name="Moneda 2 3 3 10" xfId="46700" xr:uid="{F974EE90-C672-474F-AFFE-EF717D3112C6}"/>
    <cellStyle name="Moneda 2 3 3 11" xfId="46734" xr:uid="{42475DFC-62D8-4D45-A900-1337C1E3E4AD}"/>
    <cellStyle name="Moneda 2 3 3 12" xfId="46772" xr:uid="{B1EFAAD6-6540-4C6C-A826-84312333D2A9}"/>
    <cellStyle name="Moneda 2 3 3 13" xfId="46981" xr:uid="{88920D80-A9D3-4468-B3A7-9ADE60A3B251}"/>
    <cellStyle name="Moneda 2 3 3 14" xfId="47187" xr:uid="{09B2DFCB-85BB-46A0-BE08-65E3BE0DC499}"/>
    <cellStyle name="Moneda 2 3 3 15" xfId="47274" xr:uid="{F1D24658-2865-4258-869B-865BE965C60E}"/>
    <cellStyle name="Moneda 2 3 3 16" xfId="47521" xr:uid="{81EA0DA0-C835-4276-A3DF-2EFCADF88B3D}"/>
    <cellStyle name="Moneda 2 3 3 17" xfId="47630" xr:uid="{B3B11081-D134-4C60-9847-449BF1988199}"/>
    <cellStyle name="Moneda 2 3 3 18" xfId="47816" xr:uid="{81851578-0AC6-4DD6-A91A-706277A6C809}"/>
    <cellStyle name="Moneda 2 3 3 2" xfId="46332" xr:uid="{6CA4178D-9B0E-41D8-B479-6BBDA979D1D9}"/>
    <cellStyle name="Moneda 2 3 3 3" xfId="46380" xr:uid="{89D19792-107B-4D57-8C27-217B92808053}"/>
    <cellStyle name="Moneda 2 3 3 4" xfId="46474" xr:uid="{11400791-0B32-4C3A-BBE4-A81290505853}"/>
    <cellStyle name="Moneda 2 3 3 5" xfId="46514" xr:uid="{F909C2AE-3877-4EDC-BC30-5A067FDB7C26}"/>
    <cellStyle name="Moneda 2 3 3 6" xfId="46556" xr:uid="{631027C9-5E7E-4293-B115-59663EA631FB}"/>
    <cellStyle name="Moneda 2 3 3 7" xfId="46594" xr:uid="{63E05086-3254-4C71-8AB8-600DBA64852C}"/>
    <cellStyle name="Moneda 2 3 3 8" xfId="46631" xr:uid="{FD73575F-CD93-4804-8B9A-5D0A9284149A}"/>
    <cellStyle name="Moneda 2 3 3 9" xfId="46666" xr:uid="{C0E1537E-A12A-4EA9-81C8-2B6A5A440584}"/>
    <cellStyle name="Moneda 2 3 4" xfId="46173" xr:uid="{82CF61B7-47D3-49C6-AB59-C693B960B347}"/>
    <cellStyle name="Moneda 2 3 4 2" xfId="46773" xr:uid="{CA60BD1B-9EC4-4708-8A65-88BC97B14DED}"/>
    <cellStyle name="Moneda 2 3 4 3" xfId="46982" xr:uid="{725BDDB1-B48F-4890-B7A2-82103F1F5CDB}"/>
    <cellStyle name="Moneda 2 3 4 4" xfId="47188" xr:uid="{D3D24305-1D60-41D8-ACFB-33D4271E5FE6}"/>
    <cellStyle name="Moneda 2 3 4 5" xfId="47275" xr:uid="{07CC033D-5336-4C73-95EF-CBCB1236F987}"/>
    <cellStyle name="Moneda 2 3 4 6" xfId="47522" xr:uid="{4219356C-4F90-4496-A79E-039395250305}"/>
    <cellStyle name="Moneda 2 3 4 7" xfId="47631" xr:uid="{05B8533C-ED8C-4B64-AD22-497335CC2CDB}"/>
    <cellStyle name="Moneda 2 3 4 8" xfId="47817" xr:uid="{7D204768-D42C-4680-A98C-B52B38B02D07}"/>
    <cellStyle name="Moneda 2 3 5" xfId="46189" xr:uid="{C91AE971-56D5-4B7A-9506-FE251753BCA1}"/>
    <cellStyle name="Moneda 2 3 5 2" xfId="46942" xr:uid="{E59A28EA-0B57-4EF0-ACB9-79E98789A099}"/>
    <cellStyle name="Moneda 2 3 5 3" xfId="46983" xr:uid="{354E36CC-2ED1-438E-A032-C940D4CFBD21}"/>
    <cellStyle name="Moneda 2 3 5 4" xfId="47189" xr:uid="{36CB20C2-4FBB-4931-BE1E-0E16930BC743}"/>
    <cellStyle name="Moneda 2 3 5 5" xfId="47276" xr:uid="{43E44EC3-EB19-4B3F-8027-D1F991900025}"/>
    <cellStyle name="Moneda 2 3 5 6" xfId="47523" xr:uid="{F09672BF-1903-4434-82DC-47A8FE996ACB}"/>
    <cellStyle name="Moneda 2 3 5 7" xfId="47632" xr:uid="{57618953-8AB0-4A48-ADD0-227DBF2C48D1}"/>
    <cellStyle name="Moneda 2 3 5 8" xfId="47818" xr:uid="{F8CF2F0C-FE55-4BCD-A9ED-A136C6DCB7DF}"/>
    <cellStyle name="Moneda 2 3 6" xfId="46205" xr:uid="{072E80DA-9ADA-4E63-A598-A46E3B3A1B4F}"/>
    <cellStyle name="Moneda 2 3 6 2" xfId="46984" xr:uid="{76C7CE0F-750A-4D90-8F09-F958212178E9}"/>
    <cellStyle name="Moneda 2 3 6 3" xfId="47190" xr:uid="{BE1682C5-1EA4-4E0F-AD7A-CAB39368B3A2}"/>
    <cellStyle name="Moneda 2 3 6 4" xfId="47277" xr:uid="{791F12EF-BE19-4D52-A27D-95C2CDA67945}"/>
    <cellStyle name="Moneda 2 3 6 5" xfId="47524" xr:uid="{83438F29-40C0-4520-AC0D-B5E2168287F6}"/>
    <cellStyle name="Moneda 2 3 6 6" xfId="47633" xr:uid="{04A0E6DF-27FB-44EA-B38B-3424E844258F}"/>
    <cellStyle name="Moneda 2 3 6 7" xfId="47819" xr:uid="{AF726669-5AFA-43E1-8E3D-E1CAF792BB07}"/>
    <cellStyle name="Moneda 2 3 7" xfId="46221" xr:uid="{77FB0292-9068-4770-A0DC-7329DD45ED71}"/>
    <cellStyle name="Moneda 2 3 7 2" xfId="47278" xr:uid="{48483D03-1EB5-42FF-979D-78730E8ABB50}"/>
    <cellStyle name="Moneda 2 3 7 3" xfId="47525" xr:uid="{86C170AF-8812-4572-A3BC-F91BA6377D14}"/>
    <cellStyle name="Moneda 2 3 7 4" xfId="47634" xr:uid="{4235F131-0584-4D41-B4E7-A81F05E7C0E3}"/>
    <cellStyle name="Moneda 2 3 7 5" xfId="47820" xr:uid="{6AD3B0B8-DAE4-48D7-B595-0B103C898176}"/>
    <cellStyle name="Moneda 2 3 8" xfId="46237" xr:uid="{9DF7E30E-8D5B-4DE7-A1CE-3CA0858DCE28}"/>
    <cellStyle name="Moneda 2 3 8 2" xfId="47279" xr:uid="{98EE834E-867A-417C-8061-B30EF56D0EF5}"/>
    <cellStyle name="Moneda 2 3 8 3" xfId="47526" xr:uid="{5EFF6E02-6CFF-4A87-A777-2F0F691885F2}"/>
    <cellStyle name="Moneda 2 3 8 4" xfId="47635" xr:uid="{4D4C9766-525B-4BCC-8130-52CA7E567E07}"/>
    <cellStyle name="Moneda 2 3 8 5" xfId="47821" xr:uid="{7759476C-DD48-437A-A404-1076376C8961}"/>
    <cellStyle name="Moneda 2 3 9" xfId="46253" xr:uid="{68C30476-B9DF-49B5-B397-B8C72EB71151}"/>
    <cellStyle name="Moneda 2 3 9 2" xfId="47636" xr:uid="{5670D225-CC79-44BB-803E-DDD4D98F2AF2}"/>
    <cellStyle name="Moneda 2 3 9 3" xfId="47822" xr:uid="{E3C4969D-6922-45A9-9A6F-4193DE37DDD5}"/>
    <cellStyle name="Moneda 2 30" xfId="46760" xr:uid="{D0EB623E-D818-4EC0-93C7-AB48A8B3092B}"/>
    <cellStyle name="Moneda 2 31" xfId="46961" xr:uid="{462EEE2D-8B5B-4741-A01E-7E20F9FEF7BC}"/>
    <cellStyle name="Moneda 2 32" xfId="47167" xr:uid="{131C415C-023E-49AF-B4FA-1CD9050FF3F6}"/>
    <cellStyle name="Moneda 2 33" xfId="47246" xr:uid="{25927111-95E1-4A0B-BDE0-5B231E71CAB6}"/>
    <cellStyle name="Moneda 2 34" xfId="47493" xr:uid="{4C37DB2D-7959-46E5-9E23-0432F44FC8C8}"/>
    <cellStyle name="Moneda 2 35" xfId="47598" xr:uid="{0F975BB9-8353-4516-8A46-1A66C421024C}"/>
    <cellStyle name="Moneda 2 36" xfId="47784" xr:uid="{5CFA4066-9577-484D-A5AC-0B50A3C6EA5B}"/>
    <cellStyle name="Moneda 2 37" xfId="43541" xr:uid="{4AE31395-37F2-47FC-B309-4BCC7E7E2A1F}"/>
    <cellStyle name="Moneda 2 4" xfId="46141" xr:uid="{446B43BA-7A6E-4431-B4BE-033AD85E71F5}"/>
    <cellStyle name="Moneda 2 4 10" xfId="46271" xr:uid="{4B42DE46-D3FA-4046-8380-3006B158B6B4}"/>
    <cellStyle name="Moneda 2 4 11" xfId="46287" xr:uid="{FC9E619D-E1E2-4AFB-B384-FEFE3E376F24}"/>
    <cellStyle name="Moneda 2 4 12" xfId="46303" xr:uid="{8181CAA1-A1B3-4CB9-A079-66D4BFBF6C7A}"/>
    <cellStyle name="Moneda 2 4 13" xfId="46319" xr:uid="{DFFF1FA9-1BFE-4973-8DA3-2A1B791C783F}"/>
    <cellStyle name="Moneda 2 4 14" xfId="46381" xr:uid="{10FDF4F7-FD06-40BC-B038-FA860D84F800}"/>
    <cellStyle name="Moneda 2 4 15" xfId="46475" xr:uid="{18DE3628-A0E1-4B8D-B4CA-3990071B19F0}"/>
    <cellStyle name="Moneda 2 4 16" xfId="46515" xr:uid="{B01F3C22-C389-4B88-AADA-68EEE29888BB}"/>
    <cellStyle name="Moneda 2 4 17" xfId="46557" xr:uid="{AB9EC39E-445E-4915-A2B2-96E8E9AA3764}"/>
    <cellStyle name="Moneda 2 4 18" xfId="46595" xr:uid="{F9C8F5FD-1853-4208-AD3C-8C77C31C4CF8}"/>
    <cellStyle name="Moneda 2 4 19" xfId="46632" xr:uid="{E8A58C9A-877C-4C5E-8EB9-63AD00D8A54D}"/>
    <cellStyle name="Moneda 2 4 2" xfId="46149" xr:uid="{51438F36-1B64-4C80-9B56-4545E76AA6BF}"/>
    <cellStyle name="Moneda 2 4 2 10" xfId="46288" xr:uid="{F982B6EE-5ABF-4145-A8BE-F490F6E3A701}"/>
    <cellStyle name="Moneda 2 4 2 11" xfId="46304" xr:uid="{B8575DC6-A4EB-4683-9088-C693F611676A}"/>
    <cellStyle name="Moneda 2 4 2 12" xfId="46320" xr:uid="{52586EDB-A3D7-4BBB-AD2E-C44C11CF712C}"/>
    <cellStyle name="Moneda 2 4 2 13" xfId="46382" xr:uid="{9E921BE6-3307-4ACE-9B86-38AE2375D8DE}"/>
    <cellStyle name="Moneda 2 4 2 14" xfId="46476" xr:uid="{63B25F3A-7389-4D12-8E65-F12FC34E435E}"/>
    <cellStyle name="Moneda 2 4 2 15" xfId="46516" xr:uid="{A7ED72A2-D358-4B5A-9477-3C468E9DAFF5}"/>
    <cellStyle name="Moneda 2 4 2 16" xfId="46558" xr:uid="{DBBC52EB-9487-4376-A4AF-618C52CCF611}"/>
    <cellStyle name="Moneda 2 4 2 17" xfId="46596" xr:uid="{A864A1EA-2986-40A0-B4F1-096C1A178A08}"/>
    <cellStyle name="Moneda 2 4 2 18" xfId="46633" xr:uid="{A8CA5873-DD27-44D7-AF7D-304F56F804AF}"/>
    <cellStyle name="Moneda 2 4 2 19" xfId="46668" xr:uid="{6DFEA9FC-6FDB-4D21-8B32-A4991EC2E62D}"/>
    <cellStyle name="Moneda 2 4 2 2" xfId="46160" xr:uid="{678820ED-B610-40C0-B33E-DD3C663A633C}"/>
    <cellStyle name="Moneda 2 4 2 2 10" xfId="46703" xr:uid="{32DB8820-069F-47B1-9D06-0BD0DBB0C251}"/>
    <cellStyle name="Moneda 2 4 2 2 11" xfId="46737" xr:uid="{EBE315DA-CE17-49C8-929B-38A974FA0F32}"/>
    <cellStyle name="Moneda 2 4 2 2 12" xfId="46776" xr:uid="{20EA3A47-AAC5-4E34-8102-C849B2EB4EB6}"/>
    <cellStyle name="Moneda 2 4 2 2 13" xfId="46987" xr:uid="{C2CC94F9-BC88-41B2-93F6-AA4F9761DE58}"/>
    <cellStyle name="Moneda 2 4 2 2 14" xfId="47193" xr:uid="{9AFC20E9-1333-419F-8D6D-24A48659450B}"/>
    <cellStyle name="Moneda 2 4 2 2 15" xfId="47282" xr:uid="{7426A579-9ADD-44CA-B67A-0CBFF589C743}"/>
    <cellStyle name="Moneda 2 4 2 2 16" xfId="47529" xr:uid="{107898BF-DA3A-4C5E-B453-08362FC854C7}"/>
    <cellStyle name="Moneda 2 4 2 2 17" xfId="47639" xr:uid="{2DFFD958-2D32-41F6-BBD5-0414D5738130}"/>
    <cellStyle name="Moneda 2 4 2 2 18" xfId="47825" xr:uid="{47CED38E-9D65-47EB-B162-E12D2C448859}"/>
    <cellStyle name="Moneda 2 4 2 2 2" xfId="46340" xr:uid="{09100547-E344-4D6F-BF35-E141EE9A415C}"/>
    <cellStyle name="Moneda 2 4 2 2 3" xfId="46383" xr:uid="{D6017C14-00CA-4EC7-82D0-E68376DFE1E1}"/>
    <cellStyle name="Moneda 2 4 2 2 4" xfId="46477" xr:uid="{57D93D3E-072F-4790-8627-2E1CDE1E08AC}"/>
    <cellStyle name="Moneda 2 4 2 2 5" xfId="46517" xr:uid="{0C58221E-15F5-4EAE-A7BC-2F6F050CAA3A}"/>
    <cellStyle name="Moneda 2 4 2 2 6" xfId="46559" xr:uid="{70F32DFF-38EF-4619-B272-C55371CCC48D}"/>
    <cellStyle name="Moneda 2 4 2 2 7" xfId="46597" xr:uid="{F8FCCECD-9E08-44B4-9C2F-B5B7295AF2FF}"/>
    <cellStyle name="Moneda 2 4 2 2 8" xfId="46634" xr:uid="{3A97502D-3330-43B1-8668-B5EF2B2D2054}"/>
    <cellStyle name="Moneda 2 4 2 2 9" xfId="46669" xr:uid="{B8463AEA-C81E-45D0-B4A8-E0DF5E97020D}"/>
    <cellStyle name="Moneda 2 4 2 20" xfId="46702" xr:uid="{478E6D7A-58D1-4165-99F4-D1EEC5962F8D}"/>
    <cellStyle name="Moneda 2 4 2 21" xfId="46736" xr:uid="{C08B2175-8214-41DB-9601-EDD0A454DC18}"/>
    <cellStyle name="Moneda 2 4 2 22" xfId="46775" xr:uid="{89133257-D0F3-4E9C-BB49-B54ACB4AD37E}"/>
    <cellStyle name="Moneda 2 4 2 23" xfId="46986" xr:uid="{FF7B09B3-3238-438D-9400-C94E0DDFFF0C}"/>
    <cellStyle name="Moneda 2 4 2 24" xfId="47192" xr:uid="{053D0C28-FDF1-47AE-A0A8-40EBC697BFE9}"/>
    <cellStyle name="Moneda 2 4 2 25" xfId="47281" xr:uid="{DCFF9D3B-4A73-4E1F-9F62-91CD9B7F660A}"/>
    <cellStyle name="Moneda 2 4 2 26" xfId="47528" xr:uid="{ED6A55CD-9314-43F2-B87D-169074722291}"/>
    <cellStyle name="Moneda 2 4 2 27" xfId="47638" xr:uid="{2B8050D9-15CF-46BC-8361-E123D59A4195}"/>
    <cellStyle name="Moneda 2 4 2 28" xfId="47824" xr:uid="{D9ECDF2A-E045-46EA-9535-A7DB2D9E5CE9}"/>
    <cellStyle name="Moneda 2 4 2 3" xfId="46176" xr:uid="{1178D344-6761-40D1-B2C3-A54BA4B875DC}"/>
    <cellStyle name="Moneda 2 4 2 3 2" xfId="46777" xr:uid="{66DC7560-F32C-4E6B-B221-3B8EED5B46B2}"/>
    <cellStyle name="Moneda 2 4 2 3 3" xfId="46988" xr:uid="{CF30B669-36E7-454C-8163-9F811AAB7ABD}"/>
    <cellStyle name="Moneda 2 4 2 3 4" xfId="47194" xr:uid="{CB9A0785-312F-43E7-8CF1-E4303425DC8D}"/>
    <cellStyle name="Moneda 2 4 2 3 5" xfId="47283" xr:uid="{0DC65D3E-98BA-4428-BD54-833F90C71062}"/>
    <cellStyle name="Moneda 2 4 2 3 6" xfId="47530" xr:uid="{780386F3-E886-41A9-8BE5-3EBB13F35C3E}"/>
    <cellStyle name="Moneda 2 4 2 3 7" xfId="47640" xr:uid="{F713B170-0C19-4D5B-BC63-7801CF11C123}"/>
    <cellStyle name="Moneda 2 4 2 3 8" xfId="47826" xr:uid="{AE45FB7F-F216-44A9-AB41-3026603C7B62}"/>
    <cellStyle name="Moneda 2 4 2 4" xfId="46192" xr:uid="{2C1762B2-ACA3-4F5A-BD39-D07F7DF5512B}"/>
    <cellStyle name="Moneda 2 4 2 4 2" xfId="46950" xr:uid="{D003DC7A-239B-4E76-855B-D39D35D72BAD}"/>
    <cellStyle name="Moneda 2 4 2 4 3" xfId="46989" xr:uid="{B7C90F1B-6E89-428A-882C-3732A1CF030C}"/>
    <cellStyle name="Moneda 2 4 2 4 4" xfId="47195" xr:uid="{8869911F-5F2B-44A4-A111-463502908D30}"/>
    <cellStyle name="Moneda 2 4 2 4 5" xfId="47284" xr:uid="{8FAB201A-01E3-4E6E-8655-50BC4D1B84C1}"/>
    <cellStyle name="Moneda 2 4 2 4 6" xfId="47531" xr:uid="{80EFC7F8-8799-4C7E-B713-FDCABAB9D0C8}"/>
    <cellStyle name="Moneda 2 4 2 4 7" xfId="47641" xr:uid="{94913FE0-C85D-4F74-8BE3-7D3093C6844A}"/>
    <cellStyle name="Moneda 2 4 2 4 8" xfId="47827" xr:uid="{EDA5E54B-08D6-44D8-9F04-488F18952236}"/>
    <cellStyle name="Moneda 2 4 2 5" xfId="46208" xr:uid="{832DDB11-E1BE-47C7-AB35-DBFC35991A18}"/>
    <cellStyle name="Moneda 2 4 2 5 2" xfId="46990" xr:uid="{A2B10827-0B4E-4858-A6D3-342A384D438B}"/>
    <cellStyle name="Moneda 2 4 2 5 3" xfId="47196" xr:uid="{EDC5BAAF-6BE3-4FC7-B768-83FB0A6EA4DE}"/>
    <cellStyle name="Moneda 2 4 2 5 4" xfId="47285" xr:uid="{800BCD60-3A0F-4992-B17A-501E5259BBA0}"/>
    <cellStyle name="Moneda 2 4 2 5 5" xfId="47532" xr:uid="{3982075E-981D-4984-9675-6518B9D8EE33}"/>
    <cellStyle name="Moneda 2 4 2 5 6" xfId="47642" xr:uid="{6069F430-61DB-4918-B219-77F288D0E5D1}"/>
    <cellStyle name="Moneda 2 4 2 5 7" xfId="47828" xr:uid="{3EF4AC74-0D74-44BA-997E-9A251997DA21}"/>
    <cellStyle name="Moneda 2 4 2 6" xfId="46224" xr:uid="{C867C249-5B7F-4B75-9A76-F6728057F6B2}"/>
    <cellStyle name="Moneda 2 4 2 6 2" xfId="47286" xr:uid="{00E19BCF-C38D-4BF8-BC58-5B6F3601E502}"/>
    <cellStyle name="Moneda 2 4 2 6 3" xfId="47533" xr:uid="{36D24E66-7F22-4AF6-A94B-D3F8E27C727C}"/>
    <cellStyle name="Moneda 2 4 2 6 4" xfId="47643" xr:uid="{49E89B52-ECD4-40F4-8CFE-10511D7D8289}"/>
    <cellStyle name="Moneda 2 4 2 6 5" xfId="47829" xr:uid="{83851E85-2D57-4B60-A04A-DF5FB669937F}"/>
    <cellStyle name="Moneda 2 4 2 7" xfId="46240" xr:uid="{8D22D1D0-D9EA-40AF-8EA2-8371B18616B4}"/>
    <cellStyle name="Moneda 2 4 2 7 2" xfId="47287" xr:uid="{29DE654D-E6B7-45AC-9934-6F9E4F5B1447}"/>
    <cellStyle name="Moneda 2 4 2 7 3" xfId="47534" xr:uid="{8E70B591-73D0-4094-96A7-55B4E7111C50}"/>
    <cellStyle name="Moneda 2 4 2 7 4" xfId="47644" xr:uid="{1441DB07-97E3-4E38-9481-23FCC093F4E9}"/>
    <cellStyle name="Moneda 2 4 2 7 5" xfId="47830" xr:uid="{8A1456E2-BBBB-493E-B2B7-CB28DA5C09DE}"/>
    <cellStyle name="Moneda 2 4 2 8" xfId="46256" xr:uid="{480EE3BE-0CD0-41A0-9A9B-773BB4EF166D}"/>
    <cellStyle name="Moneda 2 4 2 8 2" xfId="47645" xr:uid="{7F22BD9A-FD40-40DC-85E6-16E9AFC0B81B}"/>
    <cellStyle name="Moneda 2 4 2 8 3" xfId="47831" xr:uid="{65138E3F-037F-41BB-9917-E63AF9DB0CA2}"/>
    <cellStyle name="Moneda 2 4 2 9" xfId="46272" xr:uid="{17768EFE-18A0-4363-86E3-2C433E22AB5C}"/>
    <cellStyle name="Moneda 2 4 20" xfId="46667" xr:uid="{58988725-E61D-405E-A9E8-659A549DC8A4}"/>
    <cellStyle name="Moneda 2 4 21" xfId="46701" xr:uid="{66269BF5-EEFA-4096-A18B-7B1EE598DDA5}"/>
    <cellStyle name="Moneda 2 4 22" xfId="46735" xr:uid="{2518DC77-DB07-43C8-9B1C-6EBA9275A50F}"/>
    <cellStyle name="Moneda 2 4 23" xfId="46774" xr:uid="{D9F15D0A-7A7D-4C91-9A2B-ABA94CA83038}"/>
    <cellStyle name="Moneda 2 4 24" xfId="46985" xr:uid="{D38919C9-5EBF-4E5C-9FCF-6B3B28C4DC3A}"/>
    <cellStyle name="Moneda 2 4 25" xfId="47191" xr:uid="{9483A068-4AAC-455C-BE1B-A53CD1AD587C}"/>
    <cellStyle name="Moneda 2 4 26" xfId="47280" xr:uid="{56C5E268-07D8-4532-8EA7-AF6A589118DA}"/>
    <cellStyle name="Moneda 2 4 27" xfId="47527" xr:uid="{127660B0-1E32-45A6-806B-F94FF18E02A9}"/>
    <cellStyle name="Moneda 2 4 28" xfId="47637" xr:uid="{601E8A67-586F-4934-80DF-B11BAE57EC6B}"/>
    <cellStyle name="Moneda 2 4 29" xfId="47823" xr:uid="{E3CE614E-736D-486F-A037-ABEDA99E60A4}"/>
    <cellStyle name="Moneda 2 4 3" xfId="46159" xr:uid="{78773792-F79E-479C-AAEB-454FC69062C4}"/>
    <cellStyle name="Moneda 2 4 3 10" xfId="46704" xr:uid="{7E4BBEF2-5650-4EEA-B70B-0728E95A09CE}"/>
    <cellStyle name="Moneda 2 4 3 11" xfId="46738" xr:uid="{6EF93D92-9A91-4A99-B722-F215946CA7DD}"/>
    <cellStyle name="Moneda 2 4 3 12" xfId="46778" xr:uid="{5D57F08A-F6D7-4EC1-804C-E35BC9A0737A}"/>
    <cellStyle name="Moneda 2 4 3 13" xfId="46991" xr:uid="{F61C1FFF-7FF0-48A3-8FF9-0BF8F15AF951}"/>
    <cellStyle name="Moneda 2 4 3 14" xfId="47197" xr:uid="{185DC020-A69D-4725-AE1F-D54C6D0FF95F}"/>
    <cellStyle name="Moneda 2 4 3 15" xfId="47288" xr:uid="{9B7EF2D3-8D4A-4DE6-BCFA-5C2E0A791592}"/>
    <cellStyle name="Moneda 2 4 3 16" xfId="47535" xr:uid="{3C016AA7-8498-486B-A731-C9BACD0393BF}"/>
    <cellStyle name="Moneda 2 4 3 17" xfId="47646" xr:uid="{DB32C407-8432-40B7-B995-EDC8B7ADBC73}"/>
    <cellStyle name="Moneda 2 4 3 18" xfId="47832" xr:uid="{80DB3B4D-85CD-4519-9B24-4BF8748B9500}"/>
    <cellStyle name="Moneda 2 4 3 2" xfId="46333" xr:uid="{CB97556C-78B9-4D66-AF6A-02B4409F6567}"/>
    <cellStyle name="Moneda 2 4 3 3" xfId="46384" xr:uid="{CB6DDB86-DFC3-4FDC-A1D2-9EA03F3B6D55}"/>
    <cellStyle name="Moneda 2 4 3 4" xfId="46478" xr:uid="{1480C1C2-BB75-48B1-8305-300619DF2927}"/>
    <cellStyle name="Moneda 2 4 3 5" xfId="46518" xr:uid="{B9D56898-8633-470C-AE61-F179EA9FCFE4}"/>
    <cellStyle name="Moneda 2 4 3 6" xfId="46560" xr:uid="{DE03BE6F-B8D5-4B38-A793-EEC2B05B53D6}"/>
    <cellStyle name="Moneda 2 4 3 7" xfId="46598" xr:uid="{F4CA26C5-6113-488F-B451-7798095AA751}"/>
    <cellStyle name="Moneda 2 4 3 8" xfId="46635" xr:uid="{5AAE97AF-82A7-4A00-A599-3F30B3FA0F84}"/>
    <cellStyle name="Moneda 2 4 3 9" xfId="46670" xr:uid="{3B2B8F19-3E1F-4669-8EE8-59C55AC1A66B}"/>
    <cellStyle name="Moneda 2 4 4" xfId="46175" xr:uid="{5F809B6B-9E93-4E03-B2AD-EA9D4A0F3735}"/>
    <cellStyle name="Moneda 2 4 4 2" xfId="46779" xr:uid="{01D21BDF-9ECB-40CA-9E07-8EA0077F6AA3}"/>
    <cellStyle name="Moneda 2 4 4 3" xfId="46992" xr:uid="{561B7F77-418A-4BCE-9901-C21802DA2302}"/>
    <cellStyle name="Moneda 2 4 4 4" xfId="47198" xr:uid="{2FC148D1-3B2E-42EA-8F11-5C6649442FBA}"/>
    <cellStyle name="Moneda 2 4 4 5" xfId="47289" xr:uid="{93611227-B873-43B2-9F7E-56808019B270}"/>
    <cellStyle name="Moneda 2 4 4 6" xfId="47536" xr:uid="{DBD96DD2-5298-4156-A8D1-353D57DB8B26}"/>
    <cellStyle name="Moneda 2 4 4 7" xfId="47647" xr:uid="{5CA29E9E-E2F8-4E59-9751-8062B444A052}"/>
    <cellStyle name="Moneda 2 4 4 8" xfId="47833" xr:uid="{1D6612E8-5EBA-4F78-A197-4D85825AFC5E}"/>
    <cellStyle name="Moneda 2 4 5" xfId="46191" xr:uid="{9BE8F0D6-D442-49FE-B903-C6760C4C708A}"/>
    <cellStyle name="Moneda 2 4 5 2" xfId="46943" xr:uid="{106AE97F-69C5-454E-B508-E104E2C8F881}"/>
    <cellStyle name="Moneda 2 4 5 3" xfId="46993" xr:uid="{02FB3A96-1B22-4A72-8EDA-F236B0EE205F}"/>
    <cellStyle name="Moneda 2 4 5 4" xfId="47199" xr:uid="{5DBF03C0-AA3C-43CF-A1B2-2A5A3DF3B5C6}"/>
    <cellStyle name="Moneda 2 4 5 5" xfId="47290" xr:uid="{8ECAE383-3C4D-4A07-941D-DA2209A12014}"/>
    <cellStyle name="Moneda 2 4 5 6" xfId="47537" xr:uid="{0A14600C-7DEA-4032-AEEA-1F2A9BC728BE}"/>
    <cellStyle name="Moneda 2 4 5 7" xfId="47648" xr:uid="{5E649298-CBF3-44A5-AF3C-31F72D206477}"/>
    <cellStyle name="Moneda 2 4 5 8" xfId="47834" xr:uid="{75258FD3-A023-4C31-89F9-B650DAD7324D}"/>
    <cellStyle name="Moneda 2 4 6" xfId="46207" xr:uid="{F3C36AC5-A40D-422A-BD60-4A71EF28CBD3}"/>
    <cellStyle name="Moneda 2 4 6 2" xfId="46994" xr:uid="{95E2D10F-721F-4D2B-B896-F321513DE2F7}"/>
    <cellStyle name="Moneda 2 4 6 3" xfId="47200" xr:uid="{1A1D0A8F-6453-4944-B2D1-D61D527F68AF}"/>
    <cellStyle name="Moneda 2 4 6 4" xfId="47291" xr:uid="{2213BEEC-B7E5-426F-8AE6-1B0A49BFC9F6}"/>
    <cellStyle name="Moneda 2 4 6 5" xfId="47538" xr:uid="{A61A6537-FC2F-4D83-B79C-FCB8A38A66DE}"/>
    <cellStyle name="Moneda 2 4 6 6" xfId="47649" xr:uid="{DA4FD93B-D461-4AB4-948B-69B3BD7CC4B5}"/>
    <cellStyle name="Moneda 2 4 6 7" xfId="47835" xr:uid="{4D6BACBC-1627-44B6-A01C-4BEF55128C93}"/>
    <cellStyle name="Moneda 2 4 7" xfId="46223" xr:uid="{D2160223-DCF9-4DB2-8AF7-9CD53BD08A6E}"/>
    <cellStyle name="Moneda 2 4 7 2" xfId="47292" xr:uid="{6C438726-8A7C-47D2-88B5-4F6031EA5F3D}"/>
    <cellStyle name="Moneda 2 4 7 3" xfId="47539" xr:uid="{E3C90318-3E43-4898-8D3B-EB8108B35C26}"/>
    <cellStyle name="Moneda 2 4 7 4" xfId="47650" xr:uid="{8EF9FF57-E42C-4836-86F7-A4F91DEADD8E}"/>
    <cellStyle name="Moneda 2 4 7 5" xfId="47836" xr:uid="{83BCCDCF-1957-4F44-A512-18832A220BB1}"/>
    <cellStyle name="Moneda 2 4 8" xfId="46239" xr:uid="{22656449-C816-4983-9D0A-F2D1E34F51D5}"/>
    <cellStyle name="Moneda 2 4 8 2" xfId="47293" xr:uid="{EEFE19A6-F2B7-4470-9CE0-DFD0D94EC82A}"/>
    <cellStyle name="Moneda 2 4 8 3" xfId="47540" xr:uid="{CAE66654-E0DC-4692-A813-470E3F94210F}"/>
    <cellStyle name="Moneda 2 4 8 4" xfId="47651" xr:uid="{5FE16742-C3EA-48B0-B6D5-5C596C9CC77D}"/>
    <cellStyle name="Moneda 2 4 8 5" xfId="47837" xr:uid="{B5BEDB16-E283-484D-BE85-E60708CDE5EA}"/>
    <cellStyle name="Moneda 2 4 9" xfId="46255" xr:uid="{26D5F6B6-31A7-4742-9149-D32761A62E9B}"/>
    <cellStyle name="Moneda 2 4 9 2" xfId="47652" xr:uid="{9584D7B9-797A-4199-8CE3-8897F2D0AB66}"/>
    <cellStyle name="Moneda 2 4 9 3" xfId="47838" xr:uid="{F27DA074-5EB8-40EB-9F7D-2119CF3811EA}"/>
    <cellStyle name="Moneda 2 5" xfId="46142" xr:uid="{9C465468-31E3-4A58-8FA5-61BDD1187BB5}"/>
    <cellStyle name="Moneda 2 5 10" xfId="46273" xr:uid="{C5FB970C-D68E-46D7-BE3F-BF8B778EF00F}"/>
    <cellStyle name="Moneda 2 5 11" xfId="46289" xr:uid="{CEAF02A5-7C15-449E-A6C8-92905B586C43}"/>
    <cellStyle name="Moneda 2 5 12" xfId="46305" xr:uid="{0787A5C7-4559-4C04-A647-E73DCA31C89A}"/>
    <cellStyle name="Moneda 2 5 13" xfId="46321" xr:uid="{D1103802-DC6A-48F6-859D-71F724988171}"/>
    <cellStyle name="Moneda 2 5 14" xfId="46385" xr:uid="{FA53D6BF-1788-46E1-824F-70A20B62FAE9}"/>
    <cellStyle name="Moneda 2 5 15" xfId="46479" xr:uid="{B2F0576F-9C99-4F67-A30D-C66A93B0F7EA}"/>
    <cellStyle name="Moneda 2 5 16" xfId="46519" xr:uid="{B4731D0E-BC5F-4A1E-955D-0FC8B146E1D7}"/>
    <cellStyle name="Moneda 2 5 17" xfId="46561" xr:uid="{6C766F88-0FDC-4DE6-A550-DFACC0D02B44}"/>
    <cellStyle name="Moneda 2 5 18" xfId="46599" xr:uid="{35757513-F380-4756-BF5C-3F934435434C}"/>
    <cellStyle name="Moneda 2 5 19" xfId="46636" xr:uid="{98202E44-1C7E-4738-B955-9A785C14235E}"/>
    <cellStyle name="Moneda 2 5 2" xfId="46150" xr:uid="{352F8019-9F76-49E0-BD12-9A609B92A080}"/>
    <cellStyle name="Moneda 2 5 2 10" xfId="46290" xr:uid="{4562166A-AFB6-4633-933B-637A9FB2F800}"/>
    <cellStyle name="Moneda 2 5 2 11" xfId="46306" xr:uid="{84062BBB-1626-4596-AA61-CCF9DBD39E64}"/>
    <cellStyle name="Moneda 2 5 2 12" xfId="46322" xr:uid="{69B602A5-276D-4F37-9770-FBECA6E3E759}"/>
    <cellStyle name="Moneda 2 5 2 13" xfId="46386" xr:uid="{E5985296-4E1D-4012-814C-A2124AFD2A3A}"/>
    <cellStyle name="Moneda 2 5 2 14" xfId="46480" xr:uid="{8A61199F-346A-4D5A-A75E-CEC90D5E8001}"/>
    <cellStyle name="Moneda 2 5 2 15" xfId="46520" xr:uid="{BBBEFA5D-B8E6-47D8-892E-A58FE1B6D853}"/>
    <cellStyle name="Moneda 2 5 2 16" xfId="46562" xr:uid="{EE9CC341-3BAC-4C8A-8091-A6A5EA01BD2A}"/>
    <cellStyle name="Moneda 2 5 2 17" xfId="46600" xr:uid="{C83CD3D3-C27A-4F8A-BC4E-BE96037A8EBC}"/>
    <cellStyle name="Moneda 2 5 2 18" xfId="46637" xr:uid="{82BE9F8C-EC8F-41BF-8C4C-0639E28DEFFA}"/>
    <cellStyle name="Moneda 2 5 2 19" xfId="46672" xr:uid="{612C4563-05BF-4B13-93DB-8960FC78460D}"/>
    <cellStyle name="Moneda 2 5 2 2" xfId="46162" xr:uid="{4CFD9BF9-0D26-48D8-9018-B7D09E901881}"/>
    <cellStyle name="Moneda 2 5 2 2 10" xfId="46707" xr:uid="{FD7B9CDE-97A3-410D-9391-6EB7C2EF0A08}"/>
    <cellStyle name="Moneda 2 5 2 2 11" xfId="46741" xr:uid="{34506B5A-3567-467B-B5C3-FA667959D6A3}"/>
    <cellStyle name="Moneda 2 5 2 2 12" xfId="46782" xr:uid="{62204F6C-4F3E-426D-AD87-23ACD78474DC}"/>
    <cellStyle name="Moneda 2 5 2 2 13" xfId="46997" xr:uid="{5143EC78-E996-4338-9367-C408A2A0BE1F}"/>
    <cellStyle name="Moneda 2 5 2 2 14" xfId="47203" xr:uid="{986CC14A-518B-414B-81CB-75F9A24B9077}"/>
    <cellStyle name="Moneda 2 5 2 2 15" xfId="47296" xr:uid="{C8BC2F40-8EA8-4A3D-8587-FD72CD53FD05}"/>
    <cellStyle name="Moneda 2 5 2 2 16" xfId="47543" xr:uid="{59575EAB-17AB-4F9C-9B09-CC04A3CCCB7D}"/>
    <cellStyle name="Moneda 2 5 2 2 17" xfId="47655" xr:uid="{573CFDDF-5D15-417A-90BF-BBFA3764C94B}"/>
    <cellStyle name="Moneda 2 5 2 2 18" xfId="47841" xr:uid="{561B7DA8-7722-47B3-97D6-3849EFFFFF0F}"/>
    <cellStyle name="Moneda 2 5 2 2 2" xfId="46341" xr:uid="{7DD513BB-2137-4FC2-B92A-FF2FF037A024}"/>
    <cellStyle name="Moneda 2 5 2 2 3" xfId="46387" xr:uid="{3630727D-0C4A-408A-B9AF-46EBB5332424}"/>
    <cellStyle name="Moneda 2 5 2 2 4" xfId="46481" xr:uid="{C936A2BE-D821-473F-9F1A-3C589BA73645}"/>
    <cellStyle name="Moneda 2 5 2 2 5" xfId="46521" xr:uid="{D368355E-2669-4F85-AE63-3A09A087D90E}"/>
    <cellStyle name="Moneda 2 5 2 2 6" xfId="46563" xr:uid="{3CD96296-5506-4DC4-ABC3-817B154B5D5D}"/>
    <cellStyle name="Moneda 2 5 2 2 7" xfId="46601" xr:uid="{B78681DE-228B-4EB8-829C-04ABE299CBEF}"/>
    <cellStyle name="Moneda 2 5 2 2 8" xfId="46638" xr:uid="{FD5860F0-E673-4DB1-A5A4-7B88203ECE86}"/>
    <cellStyle name="Moneda 2 5 2 2 9" xfId="46673" xr:uid="{41DD655A-68DF-4224-B858-9655FC887CD7}"/>
    <cellStyle name="Moneda 2 5 2 20" xfId="46706" xr:uid="{38FFDC3B-E670-440E-AE12-ACF5C4DE57E8}"/>
    <cellStyle name="Moneda 2 5 2 21" xfId="46740" xr:uid="{3AF69F91-3DAD-4BC6-A8A9-41CA8142D2D4}"/>
    <cellStyle name="Moneda 2 5 2 22" xfId="46781" xr:uid="{6AB0E3B3-57CF-4E83-A6B9-DE232EC0EAB7}"/>
    <cellStyle name="Moneda 2 5 2 23" xfId="46996" xr:uid="{70115B9B-3C7B-4183-A82F-2CA85F3841A3}"/>
    <cellStyle name="Moneda 2 5 2 24" xfId="47202" xr:uid="{CA97A46E-16EB-4F57-AAC2-92327B64A225}"/>
    <cellStyle name="Moneda 2 5 2 25" xfId="47295" xr:uid="{3EC93147-F5AE-4FDA-BF49-E19540DA76B4}"/>
    <cellStyle name="Moneda 2 5 2 26" xfId="47542" xr:uid="{D755AB19-6F8A-4F69-8912-47FF4AF4F3F9}"/>
    <cellStyle name="Moneda 2 5 2 27" xfId="47654" xr:uid="{6F9417B8-1675-4659-8FD0-2B36B106CFB5}"/>
    <cellStyle name="Moneda 2 5 2 28" xfId="47840" xr:uid="{DE3FC1DC-5586-4F03-8586-F9A19C64BDF0}"/>
    <cellStyle name="Moneda 2 5 2 3" xfId="46178" xr:uid="{DB46C559-3234-47B0-9AE1-613FAB356A4D}"/>
    <cellStyle name="Moneda 2 5 2 3 2" xfId="46783" xr:uid="{3C01169E-9B36-4BC8-9B0A-9BB6650FC7AF}"/>
    <cellStyle name="Moneda 2 5 2 3 3" xfId="46998" xr:uid="{53F9D500-2B3A-4373-823B-F42486245252}"/>
    <cellStyle name="Moneda 2 5 2 3 4" xfId="47204" xr:uid="{C692D16A-7632-4391-992E-EE538C006732}"/>
    <cellStyle name="Moneda 2 5 2 3 5" xfId="47297" xr:uid="{E0331234-1F20-4394-8458-29F79DDFFFF6}"/>
    <cellStyle name="Moneda 2 5 2 3 6" xfId="47544" xr:uid="{A9D78923-4BFD-4C29-AF18-7A22871843B1}"/>
    <cellStyle name="Moneda 2 5 2 3 7" xfId="47656" xr:uid="{3A0D9B89-7FB0-4D4E-9271-1A6453F0C10E}"/>
    <cellStyle name="Moneda 2 5 2 3 8" xfId="47842" xr:uid="{305028C2-6CAF-4592-A61C-503882187FBA}"/>
    <cellStyle name="Moneda 2 5 2 4" xfId="46194" xr:uid="{9D2D60A2-EB74-4E33-9BBD-C1BC23BAE84B}"/>
    <cellStyle name="Moneda 2 5 2 4 2" xfId="46951" xr:uid="{AC261E32-A2C5-4280-951F-5D3A08E407EA}"/>
    <cellStyle name="Moneda 2 5 2 4 3" xfId="46999" xr:uid="{220DEE44-81F2-4C8D-93E6-9FB975D7C882}"/>
    <cellStyle name="Moneda 2 5 2 4 4" xfId="47205" xr:uid="{1367F4DD-361B-471B-8471-288D7FFC32D4}"/>
    <cellStyle name="Moneda 2 5 2 4 5" xfId="47298" xr:uid="{75EDE2FE-2E3B-4C6F-97AE-232BF7FB3D99}"/>
    <cellStyle name="Moneda 2 5 2 4 6" xfId="47545" xr:uid="{5AA13657-1E1A-450A-AC64-6E8BF5F3B471}"/>
    <cellStyle name="Moneda 2 5 2 4 7" xfId="47657" xr:uid="{CA877729-A527-415D-AB4C-DE3058B97C62}"/>
    <cellStyle name="Moneda 2 5 2 4 8" xfId="47843" xr:uid="{D9A8C110-69E9-425D-9962-D2E2B4CA047B}"/>
    <cellStyle name="Moneda 2 5 2 5" xfId="46210" xr:uid="{ED2403BD-8E77-48AA-B4BC-02FFCEF3E574}"/>
    <cellStyle name="Moneda 2 5 2 5 2" xfId="47000" xr:uid="{44E9D169-2029-4427-8BE8-62FD85232F81}"/>
    <cellStyle name="Moneda 2 5 2 5 3" xfId="47206" xr:uid="{0E3F51D2-7EC2-4452-91EF-F1E05B251CCD}"/>
    <cellStyle name="Moneda 2 5 2 5 4" xfId="47299" xr:uid="{FDB14517-B81F-47CD-9971-655808AFD2F6}"/>
    <cellStyle name="Moneda 2 5 2 5 5" xfId="47546" xr:uid="{1179F4D3-35A6-44BC-8FA3-91656A2ECCFC}"/>
    <cellStyle name="Moneda 2 5 2 5 6" xfId="47658" xr:uid="{9601BDA1-A143-4CFD-8E25-8D2EE5FE3AFA}"/>
    <cellStyle name="Moneda 2 5 2 5 7" xfId="47844" xr:uid="{9E116876-4DC2-4FB8-8A0F-BA4F6F41F526}"/>
    <cellStyle name="Moneda 2 5 2 6" xfId="46226" xr:uid="{743830D8-E26F-419A-8232-29C427724AD4}"/>
    <cellStyle name="Moneda 2 5 2 6 2" xfId="47300" xr:uid="{FD28FC69-F78D-4570-98CF-3FEBD500FC22}"/>
    <cellStyle name="Moneda 2 5 2 6 3" xfId="47547" xr:uid="{5100C68A-D966-4EB1-B8CC-73C4D3B0B18A}"/>
    <cellStyle name="Moneda 2 5 2 6 4" xfId="47659" xr:uid="{E1C8ACE3-562D-4A42-862E-78AE083A7552}"/>
    <cellStyle name="Moneda 2 5 2 6 5" xfId="47845" xr:uid="{41A50567-9AEA-4D56-B979-4B1C58769668}"/>
    <cellStyle name="Moneda 2 5 2 7" xfId="46242" xr:uid="{091834DE-C84C-453F-AE35-9E7A18BC04E9}"/>
    <cellStyle name="Moneda 2 5 2 7 2" xfId="47301" xr:uid="{F660133B-E055-4012-BC96-77B7D85DA2C8}"/>
    <cellStyle name="Moneda 2 5 2 7 3" xfId="47548" xr:uid="{6EE37B1B-9604-478D-986E-5599DADB34F4}"/>
    <cellStyle name="Moneda 2 5 2 7 4" xfId="47660" xr:uid="{F82E0A25-E859-437B-B26A-7CEF79743705}"/>
    <cellStyle name="Moneda 2 5 2 7 5" xfId="47846" xr:uid="{EAB85E26-2D73-47AC-AA6A-4CFA1C6F8FB6}"/>
    <cellStyle name="Moneda 2 5 2 8" xfId="46258" xr:uid="{25872648-528D-491B-949B-78F1A508164D}"/>
    <cellStyle name="Moneda 2 5 2 8 2" xfId="47661" xr:uid="{FA6F4DE3-71D4-45AF-B3EF-567676BDB8CF}"/>
    <cellStyle name="Moneda 2 5 2 8 3" xfId="47847" xr:uid="{C23F263A-5FCC-4E7A-8292-EF92F9C2B3A7}"/>
    <cellStyle name="Moneda 2 5 2 9" xfId="46274" xr:uid="{40941AAE-717A-4DEB-91E6-BA55888972F9}"/>
    <cellStyle name="Moneda 2 5 20" xfId="46671" xr:uid="{8EC137F6-1A84-4A8D-A890-34F213BDE279}"/>
    <cellStyle name="Moneda 2 5 21" xfId="46705" xr:uid="{0CFFCD75-A705-4E79-BFC7-5D5A0B1DC00E}"/>
    <cellStyle name="Moneda 2 5 22" xfId="46739" xr:uid="{19A5CB85-8912-4998-BFAE-ACFDAFA5AA21}"/>
    <cellStyle name="Moneda 2 5 23" xfId="46780" xr:uid="{A50B251B-381A-47FF-B6B2-0599C7F6AA44}"/>
    <cellStyle name="Moneda 2 5 24" xfId="46995" xr:uid="{62CED94C-CAA0-4489-B1CE-F1F263899049}"/>
    <cellStyle name="Moneda 2 5 25" xfId="47201" xr:uid="{AAEEA602-BA40-4FE6-BA30-13025CFAF5B0}"/>
    <cellStyle name="Moneda 2 5 26" xfId="47294" xr:uid="{82C38986-87F4-4366-9A20-34953AC5FB34}"/>
    <cellStyle name="Moneda 2 5 27" xfId="47541" xr:uid="{23F343FC-AD69-4ECA-9000-9A6E8A40B105}"/>
    <cellStyle name="Moneda 2 5 28" xfId="47653" xr:uid="{D023CC63-4226-4BFA-9582-060352C3F7E9}"/>
    <cellStyle name="Moneda 2 5 29" xfId="47839" xr:uid="{91CD70B1-2710-4058-89E1-2E8EB46C05A7}"/>
    <cellStyle name="Moneda 2 5 3" xfId="46161" xr:uid="{8E5A3D21-F0B6-4A04-9BF4-09096027842D}"/>
    <cellStyle name="Moneda 2 5 3 10" xfId="46708" xr:uid="{7DBD43A1-B8B9-4D72-A049-CE8830D48E21}"/>
    <cellStyle name="Moneda 2 5 3 11" xfId="46742" xr:uid="{DD1A5B1D-6F50-4308-AD6C-7A88581B4E77}"/>
    <cellStyle name="Moneda 2 5 3 12" xfId="46784" xr:uid="{D1D55E4D-150E-44B1-9EA7-4766FA333DFA}"/>
    <cellStyle name="Moneda 2 5 3 13" xfId="47001" xr:uid="{60E87708-9BEB-48B8-975E-F126C8805511}"/>
    <cellStyle name="Moneda 2 5 3 14" xfId="47207" xr:uid="{29D3E613-AB95-4FA8-A757-CEC327E6E2C0}"/>
    <cellStyle name="Moneda 2 5 3 15" xfId="47302" xr:uid="{5FEE51FC-65E5-42E3-A89E-048292B5311D}"/>
    <cellStyle name="Moneda 2 5 3 16" xfId="47549" xr:uid="{12E1FC32-307B-47E0-93F2-3EF66431B4AC}"/>
    <cellStyle name="Moneda 2 5 3 17" xfId="47662" xr:uid="{6C3A901D-3A07-4464-B36D-08499BB94D02}"/>
    <cellStyle name="Moneda 2 5 3 18" xfId="47848" xr:uid="{C20D21A4-78BF-4951-B004-E561BF2142CE}"/>
    <cellStyle name="Moneda 2 5 3 2" xfId="46334" xr:uid="{53A1DBFC-F0E1-4E03-97D7-36B8CB34F261}"/>
    <cellStyle name="Moneda 2 5 3 3" xfId="46388" xr:uid="{9B97D143-549E-4614-A32C-F8556426F7A0}"/>
    <cellStyle name="Moneda 2 5 3 4" xfId="46482" xr:uid="{56C6D483-CD23-4D32-94D9-428245927FF8}"/>
    <cellStyle name="Moneda 2 5 3 5" xfId="46522" xr:uid="{119BCD77-40B3-406D-AAEB-45B839F31D19}"/>
    <cellStyle name="Moneda 2 5 3 6" xfId="46564" xr:uid="{E0CCBC72-13E2-4721-A1CA-27AA657521D9}"/>
    <cellStyle name="Moneda 2 5 3 7" xfId="46602" xr:uid="{68225A0C-8CBF-4A09-920D-5531F6766F90}"/>
    <cellStyle name="Moneda 2 5 3 8" xfId="46639" xr:uid="{E14DB6B4-C2F9-4BD0-92B9-92334ED96236}"/>
    <cellStyle name="Moneda 2 5 3 9" xfId="46674" xr:uid="{474012D8-07B8-4376-BE87-F3F1CBCE56E1}"/>
    <cellStyle name="Moneda 2 5 4" xfId="46177" xr:uid="{81816C30-42F5-4E63-8178-A0586BD62139}"/>
    <cellStyle name="Moneda 2 5 4 2" xfId="46785" xr:uid="{A0C661B0-2F60-41F9-A63C-F0CF74AA61CC}"/>
    <cellStyle name="Moneda 2 5 4 3" xfId="47002" xr:uid="{EE4459A1-236B-460B-9B71-BCE6098CF7EF}"/>
    <cellStyle name="Moneda 2 5 4 4" xfId="47208" xr:uid="{02E1A761-726E-498B-A550-ACF8E5C4EB6E}"/>
    <cellStyle name="Moneda 2 5 4 5" xfId="47303" xr:uid="{7C634A85-CCA7-4844-984D-55F00261844B}"/>
    <cellStyle name="Moneda 2 5 4 6" xfId="47550" xr:uid="{9F8D2731-7D1B-47C0-A4FA-4E0429FB9EBF}"/>
    <cellStyle name="Moneda 2 5 4 7" xfId="47663" xr:uid="{E5A96FD0-0925-4B3F-AC17-1F09684FAFF3}"/>
    <cellStyle name="Moneda 2 5 4 8" xfId="47849" xr:uid="{581AC217-46EE-4829-B723-9E0C749C1767}"/>
    <cellStyle name="Moneda 2 5 5" xfId="46193" xr:uid="{8724B549-6B7D-4097-97A4-119B16BEA290}"/>
    <cellStyle name="Moneda 2 5 5 2" xfId="46944" xr:uid="{5982A136-AC56-48B7-98A9-7331E2B47734}"/>
    <cellStyle name="Moneda 2 5 5 3" xfId="47003" xr:uid="{4DE695FC-F26E-485F-9FE9-DA9545A1A27E}"/>
    <cellStyle name="Moneda 2 5 5 4" xfId="47209" xr:uid="{36C873C7-1F47-44B8-890F-20CAE7B17556}"/>
    <cellStyle name="Moneda 2 5 5 5" xfId="47304" xr:uid="{DBB943E7-08AA-44B2-B36F-4D022B00FF9E}"/>
    <cellStyle name="Moneda 2 5 5 6" xfId="47551" xr:uid="{5F7C80CF-5050-4A10-B3AE-7C1B1FB03611}"/>
    <cellStyle name="Moneda 2 5 5 7" xfId="47664" xr:uid="{2F3E8AEA-60B6-4187-A297-34C3AD03E964}"/>
    <cellStyle name="Moneda 2 5 5 8" xfId="47850" xr:uid="{083A2244-B111-446C-8B04-F2A21EA5619F}"/>
    <cellStyle name="Moneda 2 5 6" xfId="46209" xr:uid="{519D092D-FF1A-4556-AF24-2D940ED3D717}"/>
    <cellStyle name="Moneda 2 5 6 2" xfId="47004" xr:uid="{AE2659CB-552F-4BA3-8C91-406F219B9774}"/>
    <cellStyle name="Moneda 2 5 6 3" xfId="47210" xr:uid="{EA84CCA8-2BB4-4DB7-AB74-B53C4441EAEF}"/>
    <cellStyle name="Moneda 2 5 6 4" xfId="47305" xr:uid="{295875DE-BABF-4E78-9E00-565E731E9655}"/>
    <cellStyle name="Moneda 2 5 6 5" xfId="47552" xr:uid="{27227BA9-0F62-4F2C-95A2-6285364C8305}"/>
    <cellStyle name="Moneda 2 5 6 6" xfId="47665" xr:uid="{9CC8A290-B71B-4AE7-80E4-96427649E363}"/>
    <cellStyle name="Moneda 2 5 6 7" xfId="47851" xr:uid="{BD712E65-9F54-48AE-9180-DCBA0DA058D8}"/>
    <cellStyle name="Moneda 2 5 7" xfId="46225" xr:uid="{1B56EF54-CBA2-45A6-A25E-CBCDD08FF738}"/>
    <cellStyle name="Moneda 2 5 7 2" xfId="47306" xr:uid="{C5BA5F4F-1F4E-45D9-9EBF-149C3C3769D0}"/>
    <cellStyle name="Moneda 2 5 7 3" xfId="47553" xr:uid="{3A5E34AD-FFD8-4831-BBF5-F2FEA80EA01F}"/>
    <cellStyle name="Moneda 2 5 7 4" xfId="47666" xr:uid="{B55E57AE-E18C-4363-8E6F-2D09D8249C26}"/>
    <cellStyle name="Moneda 2 5 7 5" xfId="47852" xr:uid="{EEC8D6CB-7836-4465-AF04-C36A88D99C18}"/>
    <cellStyle name="Moneda 2 5 8" xfId="46241" xr:uid="{AEB45274-66A6-4EC3-B90D-7EEF5C136AFE}"/>
    <cellStyle name="Moneda 2 5 8 2" xfId="47307" xr:uid="{2B13408D-6B0F-4EAB-B991-D83D5A41565D}"/>
    <cellStyle name="Moneda 2 5 8 3" xfId="47554" xr:uid="{81014E73-CE2A-4EC9-B728-B9F0A940E4EE}"/>
    <cellStyle name="Moneda 2 5 8 4" xfId="47667" xr:uid="{D80323E6-5A72-4FBD-AC17-709C2A5C9571}"/>
    <cellStyle name="Moneda 2 5 8 5" xfId="47853" xr:uid="{7976EEB2-43AC-48CD-ADED-8A9ABE44C4BB}"/>
    <cellStyle name="Moneda 2 5 9" xfId="46257" xr:uid="{B1FBC7BE-1B57-44D7-B135-97FA059ADD4F}"/>
    <cellStyle name="Moneda 2 5 9 2" xfId="47668" xr:uid="{236BA367-8FF1-4D95-A98A-CDB0AED960C0}"/>
    <cellStyle name="Moneda 2 5 9 3" xfId="47854" xr:uid="{82976703-AB2D-4D6B-B394-22268B69D9E4}"/>
    <cellStyle name="Moneda 2 6" xfId="46143" xr:uid="{46CE0C95-D177-4DCA-BAD7-8B28DFCB2391}"/>
    <cellStyle name="Moneda 2 6 10" xfId="46275" xr:uid="{562138C5-6C3C-4D91-924C-5BDF95CBB879}"/>
    <cellStyle name="Moneda 2 6 11" xfId="46291" xr:uid="{3008376A-4641-480E-B00A-4B2B64E6B4B0}"/>
    <cellStyle name="Moneda 2 6 12" xfId="46307" xr:uid="{EF85DAF8-0618-41C6-9DBA-979B3334CAA3}"/>
    <cellStyle name="Moneda 2 6 13" xfId="46323" xr:uid="{5FED9CB1-D1EF-4197-8D54-FE2AED1A5EF2}"/>
    <cellStyle name="Moneda 2 6 14" xfId="46389" xr:uid="{BEBEDD8B-4609-4992-BE61-30216F7E287B}"/>
    <cellStyle name="Moneda 2 6 15" xfId="46483" xr:uid="{FE8D62DC-B164-435A-9CAF-27F236C9A654}"/>
    <cellStyle name="Moneda 2 6 16" xfId="46523" xr:uid="{D93A8AC3-C1FD-452E-96EB-2BEEEAEBC80C}"/>
    <cellStyle name="Moneda 2 6 17" xfId="46565" xr:uid="{64FCBF49-16D9-4872-928E-53D7414918A3}"/>
    <cellStyle name="Moneda 2 6 18" xfId="46603" xr:uid="{F41F4710-2D57-44DE-849D-FDBDAE445144}"/>
    <cellStyle name="Moneda 2 6 19" xfId="46640" xr:uid="{120D4D95-D8E1-4FB6-B79F-5D00F16863CF}"/>
    <cellStyle name="Moneda 2 6 2" xfId="46151" xr:uid="{4FE3B526-12CE-4EDA-963F-38593849EDEC}"/>
    <cellStyle name="Moneda 2 6 2 10" xfId="46292" xr:uid="{FAC9730B-84EB-4422-A0F6-7FB2269BBEA7}"/>
    <cellStyle name="Moneda 2 6 2 11" xfId="46308" xr:uid="{F06A3E44-3F64-4BDD-9E80-EEC486CABCD8}"/>
    <cellStyle name="Moneda 2 6 2 12" xfId="46324" xr:uid="{BFB82CD7-BC87-47E0-99B8-B9D58EBB141F}"/>
    <cellStyle name="Moneda 2 6 2 13" xfId="46390" xr:uid="{D58D552A-0F9C-43F0-BC04-893D113FEF68}"/>
    <cellStyle name="Moneda 2 6 2 14" xfId="46484" xr:uid="{67B961E5-7E9F-4F7C-9BB9-9404AB82C07D}"/>
    <cellStyle name="Moneda 2 6 2 15" xfId="46524" xr:uid="{3EFF9197-4A2E-459E-9D6F-CA3B535DBE09}"/>
    <cellStyle name="Moneda 2 6 2 16" xfId="46566" xr:uid="{2523D737-2FDD-4083-B6CE-1CD71E2EB004}"/>
    <cellStyle name="Moneda 2 6 2 17" xfId="46604" xr:uid="{F0D1A799-C0B0-410A-AA5D-9555038136C1}"/>
    <cellStyle name="Moneda 2 6 2 18" xfId="46641" xr:uid="{97161331-3E5F-45CA-9D66-6D26550DCB0E}"/>
    <cellStyle name="Moneda 2 6 2 19" xfId="46676" xr:uid="{D64941D5-860E-4368-9A05-EDB096003711}"/>
    <cellStyle name="Moneda 2 6 2 2" xfId="46164" xr:uid="{9479E8E1-DA7F-4F36-93C8-3D28CBC3D38F}"/>
    <cellStyle name="Moneda 2 6 2 2 10" xfId="46711" xr:uid="{36AC5F65-6201-4A5C-9DA8-A65EF1F8BF1B}"/>
    <cellStyle name="Moneda 2 6 2 2 11" xfId="46745" xr:uid="{B00BDACC-7447-4567-9EC3-E63C022766D3}"/>
    <cellStyle name="Moneda 2 6 2 2 12" xfId="46788" xr:uid="{01A1ED4B-28A9-4AEE-AC6C-DC2D05E327B4}"/>
    <cellStyle name="Moneda 2 6 2 2 13" xfId="47007" xr:uid="{4C42A976-DD75-42FC-AC4E-4FB094AC9462}"/>
    <cellStyle name="Moneda 2 6 2 2 14" xfId="47213" xr:uid="{0788708F-C440-4702-8D31-D6E7CD74941E}"/>
    <cellStyle name="Moneda 2 6 2 2 15" xfId="47310" xr:uid="{4938D596-A63C-4B7C-84B5-4BD3BB0E9E47}"/>
    <cellStyle name="Moneda 2 6 2 2 16" xfId="47557" xr:uid="{51B19735-D9F6-4780-A874-92630F4FDCA9}"/>
    <cellStyle name="Moneda 2 6 2 2 17" xfId="47671" xr:uid="{0AFCCB93-E5B3-4A45-82D5-A09D37CE58D6}"/>
    <cellStyle name="Moneda 2 6 2 2 18" xfId="47857" xr:uid="{8D759135-5A09-4B1A-8A8E-A038AC10F69A}"/>
    <cellStyle name="Moneda 2 6 2 2 2" xfId="46342" xr:uid="{4DC1A0E1-52B0-4769-A2B0-A1A58117D35C}"/>
    <cellStyle name="Moneda 2 6 2 2 3" xfId="46391" xr:uid="{BB7AC579-AFD8-46D5-A092-E98DEE07941C}"/>
    <cellStyle name="Moneda 2 6 2 2 4" xfId="46485" xr:uid="{B45797E2-925C-4AF7-B675-2742CC821BAF}"/>
    <cellStyle name="Moneda 2 6 2 2 5" xfId="46525" xr:uid="{EC5F8763-5286-4F9E-9079-D51BB724ADDA}"/>
    <cellStyle name="Moneda 2 6 2 2 6" xfId="46567" xr:uid="{103CB9BD-A513-4696-BC00-57403D68F10C}"/>
    <cellStyle name="Moneda 2 6 2 2 7" xfId="46605" xr:uid="{3CDF5826-E8BE-4814-A859-84C4BD95ACBB}"/>
    <cellStyle name="Moneda 2 6 2 2 8" xfId="46642" xr:uid="{E556AC09-187B-4529-9FD0-88EFA8C79DDC}"/>
    <cellStyle name="Moneda 2 6 2 2 9" xfId="46677" xr:uid="{C677DC9E-DB22-4E4D-9E8C-BDC26C1D0F30}"/>
    <cellStyle name="Moneda 2 6 2 20" xfId="46710" xr:uid="{DA450F7E-CCA1-4A6A-80FD-5ED152D54B90}"/>
    <cellStyle name="Moneda 2 6 2 21" xfId="46744" xr:uid="{E4545234-9F2C-4BB1-9421-2F5B9B11B55C}"/>
    <cellStyle name="Moneda 2 6 2 22" xfId="46787" xr:uid="{C445D0D3-20A4-42C8-A3D1-C78C7F3D227C}"/>
    <cellStyle name="Moneda 2 6 2 23" xfId="47006" xr:uid="{0D50D65A-0AF7-4739-9D11-1B89E06627DD}"/>
    <cellStyle name="Moneda 2 6 2 24" xfId="47212" xr:uid="{D6DD070B-2A16-41F0-8E08-4FEEEE445A02}"/>
    <cellStyle name="Moneda 2 6 2 25" xfId="47309" xr:uid="{09D711EA-D2E5-4C41-AA22-2F3E535D6360}"/>
    <cellStyle name="Moneda 2 6 2 26" xfId="47556" xr:uid="{AB0D9BB5-D54C-428A-B12B-BCBEF84EAA20}"/>
    <cellStyle name="Moneda 2 6 2 27" xfId="47670" xr:uid="{7FC30A3C-359C-4FA4-BB2D-F0C983982B15}"/>
    <cellStyle name="Moneda 2 6 2 28" xfId="47856" xr:uid="{B2F24488-7312-4EE2-8AE4-7F706B579B34}"/>
    <cellStyle name="Moneda 2 6 2 3" xfId="46180" xr:uid="{7B117552-64D4-44AD-88BE-EB1825A6426C}"/>
    <cellStyle name="Moneda 2 6 2 3 2" xfId="46789" xr:uid="{B7E581E8-8A23-4874-9A92-CD51EB3B1DD1}"/>
    <cellStyle name="Moneda 2 6 2 3 3" xfId="47008" xr:uid="{097FD966-3059-40AF-871F-D862EAB55403}"/>
    <cellStyle name="Moneda 2 6 2 3 4" xfId="47214" xr:uid="{36F7AE47-A763-4A70-B11A-3900FB5971C6}"/>
    <cellStyle name="Moneda 2 6 2 3 5" xfId="47311" xr:uid="{84990E0D-CE26-4508-84DB-F82ECB7B5EA5}"/>
    <cellStyle name="Moneda 2 6 2 3 6" xfId="47558" xr:uid="{89559149-0FE0-4BAC-B639-E8EF4BB3DC1F}"/>
    <cellStyle name="Moneda 2 6 2 3 7" xfId="47672" xr:uid="{9AEB00D0-B994-4861-BC8F-788EDF79FCCF}"/>
    <cellStyle name="Moneda 2 6 2 3 8" xfId="47858" xr:uid="{8B8B00F8-85A2-42E3-8149-080E8067C593}"/>
    <cellStyle name="Moneda 2 6 2 4" xfId="46196" xr:uid="{8C11C2D2-017D-43C1-B0C5-46FD63F5B872}"/>
    <cellStyle name="Moneda 2 6 2 4 2" xfId="46952" xr:uid="{ECAD2A65-B710-40E2-8870-703EEF18E515}"/>
    <cellStyle name="Moneda 2 6 2 4 3" xfId="47009" xr:uid="{20679F9F-64B4-4477-B652-D6F2C62D8751}"/>
    <cellStyle name="Moneda 2 6 2 4 4" xfId="47215" xr:uid="{CFA4E381-5267-4868-8EAB-AA93A694B20A}"/>
    <cellStyle name="Moneda 2 6 2 4 5" xfId="47312" xr:uid="{48E29F0E-E980-4E06-908B-8AECFFE093C3}"/>
    <cellStyle name="Moneda 2 6 2 4 6" xfId="47559" xr:uid="{E790D404-73FE-4693-9E07-816031EF1BB2}"/>
    <cellStyle name="Moneda 2 6 2 4 7" xfId="47673" xr:uid="{740DEA1B-7037-4182-841C-B93A4BD3649D}"/>
    <cellStyle name="Moneda 2 6 2 4 8" xfId="47859" xr:uid="{EB11DB61-6365-4088-81F3-1406D1F72CEC}"/>
    <cellStyle name="Moneda 2 6 2 5" xfId="46212" xr:uid="{80AEA49B-27A7-43AD-88C6-0D8C7EE4BDF8}"/>
    <cellStyle name="Moneda 2 6 2 5 2" xfId="47010" xr:uid="{A1125F79-1722-4A06-9227-E9A1DBEA3038}"/>
    <cellStyle name="Moneda 2 6 2 5 3" xfId="47216" xr:uid="{014FDCF0-B428-4591-9776-A3F4B8B71317}"/>
    <cellStyle name="Moneda 2 6 2 5 4" xfId="47313" xr:uid="{324EBBD1-6225-4452-BCD9-8E9E22966BBA}"/>
    <cellStyle name="Moneda 2 6 2 5 5" xfId="47560" xr:uid="{6955BAF7-EB19-439E-86D7-9366B2D64DF1}"/>
    <cellStyle name="Moneda 2 6 2 5 6" xfId="47674" xr:uid="{F142818B-5BE9-4D37-9A00-331D340B7E15}"/>
    <cellStyle name="Moneda 2 6 2 5 7" xfId="47860" xr:uid="{6A39A9EF-2C26-4F79-AD3B-F847C14BE712}"/>
    <cellStyle name="Moneda 2 6 2 6" xfId="46228" xr:uid="{C7D6208F-6A62-4BD0-9554-BDB4ED8460F2}"/>
    <cellStyle name="Moneda 2 6 2 6 2" xfId="47314" xr:uid="{42C92EE6-0573-48FF-8D93-386C7B142B12}"/>
    <cellStyle name="Moneda 2 6 2 6 3" xfId="47561" xr:uid="{0327E4CE-6ABE-4859-898D-B1F75438A791}"/>
    <cellStyle name="Moneda 2 6 2 6 4" xfId="47675" xr:uid="{CFBBE1A2-E6F6-44AD-AB8F-450C9C0988EB}"/>
    <cellStyle name="Moneda 2 6 2 6 5" xfId="47861" xr:uid="{2FA6159E-F31B-453C-AA15-B54777CB8D99}"/>
    <cellStyle name="Moneda 2 6 2 7" xfId="46244" xr:uid="{349BCB51-2753-4119-940F-A437573AD99B}"/>
    <cellStyle name="Moneda 2 6 2 7 2" xfId="47315" xr:uid="{12307B4A-29CA-4871-B706-26AD10FBE84A}"/>
    <cellStyle name="Moneda 2 6 2 7 3" xfId="47562" xr:uid="{3B3F4D3A-8623-4741-A3CA-2E1781B0F283}"/>
    <cellStyle name="Moneda 2 6 2 7 4" xfId="47676" xr:uid="{1D305021-605B-4362-9A61-85AC70752C48}"/>
    <cellStyle name="Moneda 2 6 2 7 5" xfId="47862" xr:uid="{C54EE065-8005-4ED9-BAEA-3E813F6ECC0B}"/>
    <cellStyle name="Moneda 2 6 2 8" xfId="46260" xr:uid="{2D54304D-8489-433A-A1D4-4D07F9DE5F01}"/>
    <cellStyle name="Moneda 2 6 2 8 2" xfId="47677" xr:uid="{5E8B9224-3DAF-4345-83DD-FEFFDEE3BD79}"/>
    <cellStyle name="Moneda 2 6 2 8 3" xfId="47863" xr:uid="{D6C56AFD-7AB8-442D-97AC-981BCDCCB0B7}"/>
    <cellStyle name="Moneda 2 6 2 9" xfId="46276" xr:uid="{E263CA31-8073-416D-8CB7-E1C5351C16F1}"/>
    <cellStyle name="Moneda 2 6 20" xfId="46675" xr:uid="{70F39363-6EEA-4BC4-A7D7-CD9F494D6077}"/>
    <cellStyle name="Moneda 2 6 21" xfId="46709" xr:uid="{54CD6A71-7727-4ABA-BC9C-FE9149AA130A}"/>
    <cellStyle name="Moneda 2 6 22" xfId="46743" xr:uid="{B24AE9F4-AF90-4687-BC72-5121711E0D59}"/>
    <cellStyle name="Moneda 2 6 23" xfId="46786" xr:uid="{AA5097E4-47D7-4114-85B2-EE3FB9D7142D}"/>
    <cellStyle name="Moneda 2 6 24" xfId="47005" xr:uid="{198CB202-401F-45C8-A23A-96DE0FF30126}"/>
    <cellStyle name="Moneda 2 6 25" xfId="47211" xr:uid="{2072C304-ED88-4889-8023-C431ACC4B0ED}"/>
    <cellStyle name="Moneda 2 6 26" xfId="47308" xr:uid="{A73B1C8F-A106-4C7E-8A61-8C4CA40D071E}"/>
    <cellStyle name="Moneda 2 6 27" xfId="47555" xr:uid="{DE6AA109-54FB-4827-9579-57EF000667F0}"/>
    <cellStyle name="Moneda 2 6 28" xfId="47669" xr:uid="{00CFAFC3-FD5D-4290-82CF-3A7D3357D703}"/>
    <cellStyle name="Moneda 2 6 29" xfId="47855" xr:uid="{B85EAB41-AFB2-4C81-B8B7-31DAA111BBDC}"/>
    <cellStyle name="Moneda 2 6 3" xfId="46163" xr:uid="{9447CC9E-6CF3-4BE6-93A2-00DCCDA54D1A}"/>
    <cellStyle name="Moneda 2 6 3 10" xfId="46712" xr:uid="{50863ABF-6AAA-41EA-B642-A708E455E945}"/>
    <cellStyle name="Moneda 2 6 3 11" xfId="46746" xr:uid="{289B59AC-1241-4BA6-A88F-CA5B661B5AA1}"/>
    <cellStyle name="Moneda 2 6 3 12" xfId="46790" xr:uid="{38BE478E-F877-488B-9C26-15F80BED9017}"/>
    <cellStyle name="Moneda 2 6 3 13" xfId="47011" xr:uid="{61618AFC-8FB5-4C8B-98D2-A83EF6D79517}"/>
    <cellStyle name="Moneda 2 6 3 14" xfId="47217" xr:uid="{590F6D34-AADD-4C6B-B59C-160B5F28B67B}"/>
    <cellStyle name="Moneda 2 6 3 15" xfId="47316" xr:uid="{61038552-0D8F-45E6-B0F0-38ED44A33820}"/>
    <cellStyle name="Moneda 2 6 3 16" xfId="47563" xr:uid="{ECC2498B-1018-422B-818F-C426508D6381}"/>
    <cellStyle name="Moneda 2 6 3 17" xfId="47678" xr:uid="{856D7FC1-58A3-4B64-972E-75E506093A65}"/>
    <cellStyle name="Moneda 2 6 3 18" xfId="47864" xr:uid="{73C0D0EF-B6FA-411B-BA9C-235C6BBC265F}"/>
    <cellStyle name="Moneda 2 6 3 2" xfId="46335" xr:uid="{A6981023-4FA1-4A90-880F-93DDCA11C8F8}"/>
    <cellStyle name="Moneda 2 6 3 3" xfId="46392" xr:uid="{CDB769C5-B8EC-4AF3-9C31-671C8D12E26B}"/>
    <cellStyle name="Moneda 2 6 3 4" xfId="46486" xr:uid="{27DBF852-5ACA-4F58-9663-311C080DD076}"/>
    <cellStyle name="Moneda 2 6 3 5" xfId="46526" xr:uid="{A0BBEA67-4A43-4E65-BE44-8280AA62ACC9}"/>
    <cellStyle name="Moneda 2 6 3 6" xfId="46568" xr:uid="{0BA2F5B0-C8F3-4B6C-A3DB-C931034D4397}"/>
    <cellStyle name="Moneda 2 6 3 7" xfId="46606" xr:uid="{7D256685-E46D-457E-8FB1-CFD0902BD22A}"/>
    <cellStyle name="Moneda 2 6 3 8" xfId="46643" xr:uid="{27E43E9D-E7B6-4961-A07F-EDD3B8EDFB1E}"/>
    <cellStyle name="Moneda 2 6 3 9" xfId="46678" xr:uid="{1E1987A0-0887-43A0-9067-240553E46D2E}"/>
    <cellStyle name="Moneda 2 6 4" xfId="46179" xr:uid="{CA8FA935-2B7D-4771-B0D6-2F404986135F}"/>
    <cellStyle name="Moneda 2 6 4 2" xfId="46791" xr:uid="{22A7F69C-D65E-4136-9C4D-9AEFC68712D1}"/>
    <cellStyle name="Moneda 2 6 4 3" xfId="47012" xr:uid="{C769959C-6476-402A-9A4A-93463954D819}"/>
    <cellStyle name="Moneda 2 6 4 4" xfId="47218" xr:uid="{DAAD4FF3-EA76-489C-9B5C-35A22A927A69}"/>
    <cellStyle name="Moneda 2 6 4 5" xfId="47317" xr:uid="{44998D6F-7D6B-43ED-B070-ACBBFA2E8C55}"/>
    <cellStyle name="Moneda 2 6 4 6" xfId="47564" xr:uid="{5D6D078B-26A8-4714-92BE-142B82341739}"/>
    <cellStyle name="Moneda 2 6 4 7" xfId="47679" xr:uid="{A5B2C0DE-2F4E-4763-AFD1-918E9FD2B1B9}"/>
    <cellStyle name="Moneda 2 6 4 8" xfId="47865" xr:uid="{756AA1D0-011C-4CBA-939A-BCD5CB5AFF2D}"/>
    <cellStyle name="Moneda 2 6 5" xfId="46195" xr:uid="{947E3985-B5EA-4051-B28B-2224CA56D019}"/>
    <cellStyle name="Moneda 2 6 5 2" xfId="46945" xr:uid="{BD1B788E-28F7-4E29-84D0-2128E9A2C4AD}"/>
    <cellStyle name="Moneda 2 6 5 3" xfId="47013" xr:uid="{9718E30B-6C14-4E70-B541-0D362E06EA23}"/>
    <cellStyle name="Moneda 2 6 5 4" xfId="47219" xr:uid="{DB4BB3B2-7A8C-45D5-9825-881F478F1A7E}"/>
    <cellStyle name="Moneda 2 6 5 5" xfId="47318" xr:uid="{C9A2406E-60D2-4D37-9AB8-F08FE88B6AD7}"/>
    <cellStyle name="Moneda 2 6 5 6" xfId="47565" xr:uid="{42A60A0F-6449-4CD9-8242-01A3E73BDF9F}"/>
    <cellStyle name="Moneda 2 6 5 7" xfId="47680" xr:uid="{3202CC00-793C-4ECC-9965-8EA74C1A4F56}"/>
    <cellStyle name="Moneda 2 6 5 8" xfId="47866" xr:uid="{7B331E61-2B5B-4564-B836-D5664B28D2B1}"/>
    <cellStyle name="Moneda 2 6 6" xfId="46211" xr:uid="{DD8D49BB-365D-46D7-9B7E-D5D40B91559E}"/>
    <cellStyle name="Moneda 2 6 6 2" xfId="47014" xr:uid="{6A3C8372-0EC1-4CEC-871B-BB50A18E3BE5}"/>
    <cellStyle name="Moneda 2 6 6 3" xfId="47220" xr:uid="{05EAE126-123A-4F0C-9F23-DD5A58D307B6}"/>
    <cellStyle name="Moneda 2 6 6 4" xfId="47319" xr:uid="{0C09837C-C8B8-4D0F-B1E0-0C6CEFE34F0B}"/>
    <cellStyle name="Moneda 2 6 6 5" xfId="47566" xr:uid="{F3B004D5-8E0C-4EA8-B520-F2EC163522DE}"/>
    <cellStyle name="Moneda 2 6 6 6" xfId="47681" xr:uid="{308DAF1F-E05A-4534-A7F4-E3BC9A880938}"/>
    <cellStyle name="Moneda 2 6 6 7" xfId="47867" xr:uid="{DDF89B77-69EA-4CCA-BB87-E8879550FD9A}"/>
    <cellStyle name="Moneda 2 6 7" xfId="46227" xr:uid="{D4D9C0F1-F647-4743-8FAF-EEDBD888C224}"/>
    <cellStyle name="Moneda 2 6 7 2" xfId="47320" xr:uid="{DA0BDE9A-BADA-416F-AFE5-C32581DA271E}"/>
    <cellStyle name="Moneda 2 6 7 3" xfId="47567" xr:uid="{14B3EBAA-B99F-4896-8485-C7C0877FFDAC}"/>
    <cellStyle name="Moneda 2 6 7 4" xfId="47682" xr:uid="{851573EB-8C97-47DB-B59C-B6CEA74FA213}"/>
    <cellStyle name="Moneda 2 6 7 5" xfId="47868" xr:uid="{42A9A701-B855-445B-981A-B34F0B9B4D74}"/>
    <cellStyle name="Moneda 2 6 8" xfId="46243" xr:uid="{C92092E5-8C60-46A4-81E6-3F51285BC353}"/>
    <cellStyle name="Moneda 2 6 8 2" xfId="47321" xr:uid="{1BB4F960-E4CC-4C22-95E1-F6CBD1E87EE3}"/>
    <cellStyle name="Moneda 2 6 8 3" xfId="47568" xr:uid="{B35A7B17-CC6C-4AA4-86A8-4B2B6F9A218F}"/>
    <cellStyle name="Moneda 2 6 8 4" xfId="47683" xr:uid="{871D855C-436C-4DEF-B6E5-E9C4D77FB129}"/>
    <cellStyle name="Moneda 2 6 8 5" xfId="47869" xr:uid="{0B5308A9-FB95-4F33-A8EA-DEE1A2245CBB}"/>
    <cellStyle name="Moneda 2 6 9" xfId="46259" xr:uid="{3C3A124A-3DF5-4742-BBBC-1BA2B860F87D}"/>
    <cellStyle name="Moneda 2 6 9 2" xfId="47684" xr:uid="{1689CDE3-292D-47A0-B94B-FED798916B89}"/>
    <cellStyle name="Moneda 2 6 9 3" xfId="47870" xr:uid="{7263CBB9-3154-482B-893F-A5DDD6C5DA10}"/>
    <cellStyle name="Moneda 2 7" xfId="46146" xr:uid="{5B804025-B247-477D-8F47-767D4B380A6F}"/>
    <cellStyle name="Moneda 2 7 10" xfId="46293" xr:uid="{3A91E076-A46B-42A1-A97E-F4634C351C0D}"/>
    <cellStyle name="Moneda 2 7 11" xfId="46309" xr:uid="{79A22C36-BD91-4A50-BB76-8B088F80F6BC}"/>
    <cellStyle name="Moneda 2 7 12" xfId="46325" xr:uid="{7684B5DC-B300-48E8-AC6C-618D1FB68DB0}"/>
    <cellStyle name="Moneda 2 7 13" xfId="46393" xr:uid="{BE507D66-8EA4-478D-895F-690493D8A25C}"/>
    <cellStyle name="Moneda 2 7 14" xfId="46487" xr:uid="{D9E8FFEE-94A6-43AD-8274-B803444728D4}"/>
    <cellStyle name="Moneda 2 7 15" xfId="46527" xr:uid="{C8586399-C990-47F8-8938-E72FC9D5B6FB}"/>
    <cellStyle name="Moneda 2 7 16" xfId="46569" xr:uid="{C9038ACF-FB97-443E-AD6C-7FEDD1361BF7}"/>
    <cellStyle name="Moneda 2 7 17" xfId="46607" xr:uid="{8215DF69-C9F5-4E8E-87E3-6D5CB31415D2}"/>
    <cellStyle name="Moneda 2 7 18" xfId="46644" xr:uid="{88DAA4A8-94B4-4FCB-8171-030B2E967523}"/>
    <cellStyle name="Moneda 2 7 19" xfId="46679" xr:uid="{E2FE4F2F-E988-47D5-921A-46F2F7894DB1}"/>
    <cellStyle name="Moneda 2 7 2" xfId="46165" xr:uid="{1AA13137-74D6-4707-A99F-1C58FDF86784}"/>
    <cellStyle name="Moneda 2 7 2 10" xfId="46714" xr:uid="{00D80332-8D70-4519-9AAE-2CE3F386B79A}"/>
    <cellStyle name="Moneda 2 7 2 11" xfId="46748" xr:uid="{E57441EE-7E9D-49E0-B51B-F5C93C93DDA3}"/>
    <cellStyle name="Moneda 2 7 2 12" xfId="46793" xr:uid="{FC81BD85-77B7-4DE1-82E1-827A45CF210E}"/>
    <cellStyle name="Moneda 2 7 2 13" xfId="47016" xr:uid="{DC0150CA-8426-4E87-A8BF-1772AED2289E}"/>
    <cellStyle name="Moneda 2 7 2 14" xfId="47222" xr:uid="{10C9E014-D1C7-4566-910F-FC60A92B4305}"/>
    <cellStyle name="Moneda 2 7 2 15" xfId="47323" xr:uid="{11C57D46-0828-466E-A836-5E2052F7C924}"/>
    <cellStyle name="Moneda 2 7 2 16" xfId="47570" xr:uid="{DD7D4B25-1CE0-439F-82E3-3170578BB09A}"/>
    <cellStyle name="Moneda 2 7 2 17" xfId="47686" xr:uid="{16F99D91-E438-4EC2-BBB0-0D04A4D8DC15}"/>
    <cellStyle name="Moneda 2 7 2 18" xfId="47872" xr:uid="{329B9AAB-D170-4D56-8473-5AB4290A7448}"/>
    <cellStyle name="Moneda 2 7 2 2" xfId="46337" xr:uid="{C58DAC69-AE1F-412B-9C2A-2B6FFCD9B7E2}"/>
    <cellStyle name="Moneda 2 7 2 3" xfId="46394" xr:uid="{AB48F74F-099C-406F-9774-5BA0323411E1}"/>
    <cellStyle name="Moneda 2 7 2 4" xfId="46488" xr:uid="{C5D4347A-2093-4183-8A8E-3979B78BBFBA}"/>
    <cellStyle name="Moneda 2 7 2 5" xfId="46528" xr:uid="{567D1219-F69E-4A87-82BA-345C19ED90E4}"/>
    <cellStyle name="Moneda 2 7 2 6" xfId="46570" xr:uid="{C66D99B0-2955-4662-A89B-4C9E17FA9751}"/>
    <cellStyle name="Moneda 2 7 2 7" xfId="46608" xr:uid="{1C3FD6A2-56DB-4336-82FD-44EF9FAB8A5D}"/>
    <cellStyle name="Moneda 2 7 2 8" xfId="46645" xr:uid="{85374FFC-D790-478A-A0CF-541481CE15BD}"/>
    <cellStyle name="Moneda 2 7 2 9" xfId="46680" xr:uid="{9D691103-7551-4B52-A676-71E1FA604D6C}"/>
    <cellStyle name="Moneda 2 7 20" xfId="46713" xr:uid="{DCBFFB8F-BAEC-4F65-8172-68D055C0B256}"/>
    <cellStyle name="Moneda 2 7 21" xfId="46747" xr:uid="{BA4D2008-A77B-4BD4-A91A-F713F4CC6A44}"/>
    <cellStyle name="Moneda 2 7 22" xfId="46792" xr:uid="{8CC8EC4B-37C2-4555-B618-8D3A1A403A65}"/>
    <cellStyle name="Moneda 2 7 23" xfId="47015" xr:uid="{41C3B9E9-EA28-4D79-B450-51EE96DDD20A}"/>
    <cellStyle name="Moneda 2 7 24" xfId="47221" xr:uid="{5744330E-808C-4588-BEC0-BE109EA973FC}"/>
    <cellStyle name="Moneda 2 7 25" xfId="47322" xr:uid="{C0CC4449-BBC8-47B2-B8F9-83C12E215B57}"/>
    <cellStyle name="Moneda 2 7 26" xfId="47569" xr:uid="{E3EA03C5-478D-49C5-A59C-19E682CC6447}"/>
    <cellStyle name="Moneda 2 7 27" xfId="47685" xr:uid="{53EB25DF-700C-45A1-99C4-6697D9411478}"/>
    <cellStyle name="Moneda 2 7 28" xfId="47871" xr:uid="{7FD41684-8C45-4EDD-8924-2471340784BF}"/>
    <cellStyle name="Moneda 2 7 3" xfId="46181" xr:uid="{9D8617D7-895D-4979-85F0-5A87B8FCE9FC}"/>
    <cellStyle name="Moneda 2 7 3 2" xfId="46794" xr:uid="{B78B005E-4021-4A5F-9B79-D9A08E3040B9}"/>
    <cellStyle name="Moneda 2 7 3 3" xfId="47017" xr:uid="{27AFCA17-50A4-4A58-A2C4-39B7885E6D02}"/>
    <cellStyle name="Moneda 2 7 3 4" xfId="47223" xr:uid="{26133298-0F84-47ED-9C43-78FC754BD89F}"/>
    <cellStyle name="Moneda 2 7 3 5" xfId="47324" xr:uid="{9CBC332B-4369-42D5-969E-67E607D5866A}"/>
    <cellStyle name="Moneda 2 7 3 6" xfId="47571" xr:uid="{7F77F2A7-4AE5-4FD8-9D24-A6C8369BDD30}"/>
    <cellStyle name="Moneda 2 7 3 7" xfId="47687" xr:uid="{D7FE6275-CE29-4CEF-9E0A-35184456D0E9}"/>
    <cellStyle name="Moneda 2 7 3 8" xfId="47873" xr:uid="{3392A794-7A79-427D-8755-69B804BD507F}"/>
    <cellStyle name="Moneda 2 7 4" xfId="46197" xr:uid="{94F74AFC-3685-49E1-9842-F60F9730DE03}"/>
    <cellStyle name="Moneda 2 7 4 2" xfId="46947" xr:uid="{059696D7-93AE-4F74-A5D5-29499BBD9E7A}"/>
    <cellStyle name="Moneda 2 7 4 3" xfId="47018" xr:uid="{33E15EC0-747D-41C3-9864-9F8CC6E6578D}"/>
    <cellStyle name="Moneda 2 7 4 4" xfId="47224" xr:uid="{DF74BFA1-4CCE-4678-B7E6-602571D0CB02}"/>
    <cellStyle name="Moneda 2 7 4 5" xfId="47325" xr:uid="{C703C80C-AFCE-447F-92CE-819982B3392F}"/>
    <cellStyle name="Moneda 2 7 4 6" xfId="47572" xr:uid="{550F45F3-B4EB-463B-B974-ABB28458DEA2}"/>
    <cellStyle name="Moneda 2 7 4 7" xfId="47688" xr:uid="{EA47C3E9-DCC7-4E81-B450-077ABA0D0AAC}"/>
    <cellStyle name="Moneda 2 7 4 8" xfId="47874" xr:uid="{46D3EEDD-3332-46A6-AB06-5E4392A1B574}"/>
    <cellStyle name="Moneda 2 7 5" xfId="46213" xr:uid="{71284E1B-A117-4562-B1F2-F9ABFA2FDB80}"/>
    <cellStyle name="Moneda 2 7 5 2" xfId="47019" xr:uid="{DF96E285-8E6D-45DD-95FA-CB523C43A458}"/>
    <cellStyle name="Moneda 2 7 5 3" xfId="47225" xr:uid="{FB545D42-3E11-48BA-A87B-81609DFC1AA4}"/>
    <cellStyle name="Moneda 2 7 5 4" xfId="47326" xr:uid="{6E9D4250-4AD8-40A4-98DC-938EF63D67A0}"/>
    <cellStyle name="Moneda 2 7 5 5" xfId="47573" xr:uid="{E98F490F-C46E-46CA-9F11-324A5C17D37A}"/>
    <cellStyle name="Moneda 2 7 5 6" xfId="47689" xr:uid="{084EC6DA-917B-45C4-8BA4-B20CDE428BC7}"/>
    <cellStyle name="Moneda 2 7 5 7" xfId="47875" xr:uid="{2B3294AD-7114-4D7F-A41D-85D81BBBB35C}"/>
    <cellStyle name="Moneda 2 7 6" xfId="46229" xr:uid="{104C519B-71AD-400D-AABE-BF1F124267C3}"/>
    <cellStyle name="Moneda 2 7 6 2" xfId="47327" xr:uid="{43449675-8004-40D2-83C0-43D92D2368D3}"/>
    <cellStyle name="Moneda 2 7 6 3" xfId="47574" xr:uid="{F68D156F-53A5-4DD7-B859-B2C167EEF39A}"/>
    <cellStyle name="Moneda 2 7 6 4" xfId="47690" xr:uid="{F34C06B6-AA1F-4E55-B200-BBA7930DCFCD}"/>
    <cellStyle name="Moneda 2 7 6 5" xfId="47876" xr:uid="{39CD0208-493A-4DDE-80B2-122AF802864B}"/>
    <cellStyle name="Moneda 2 7 7" xfId="46245" xr:uid="{78E48DF7-9350-45BF-A4AF-44F07A4EC758}"/>
    <cellStyle name="Moneda 2 7 7 2" xfId="47328" xr:uid="{84C49FCE-BBDE-4B73-880F-01E40C34B4AB}"/>
    <cellStyle name="Moneda 2 7 7 3" xfId="47575" xr:uid="{FB9C3EAD-0A48-4A32-9573-978EBC588575}"/>
    <cellStyle name="Moneda 2 7 7 4" xfId="47691" xr:uid="{97027B71-C01F-4E49-B74D-F86A3B243DA2}"/>
    <cellStyle name="Moneda 2 7 7 5" xfId="47877" xr:uid="{B557A9EE-52B8-4371-B43F-F692548502BB}"/>
    <cellStyle name="Moneda 2 7 8" xfId="46261" xr:uid="{EEDE2A54-06D7-4956-8E79-44894A5C9AFE}"/>
    <cellStyle name="Moneda 2 7 8 2" xfId="47692" xr:uid="{249EB536-22C2-41FD-9656-532B9E30CF8E}"/>
    <cellStyle name="Moneda 2 7 8 3" xfId="47878" xr:uid="{0B01277E-7BB1-4DBC-B955-EC30F94E24E7}"/>
    <cellStyle name="Moneda 2 7 9" xfId="46277" xr:uid="{4A7FA43D-5CC7-469D-9D92-C0B94BFE66EA}"/>
    <cellStyle name="Moneda 2 8" xfId="44424" xr:uid="{111254BB-831F-4CD1-BAEE-B942532DD1FC}"/>
    <cellStyle name="Moneda 2 8 10" xfId="46294" xr:uid="{290DA9B6-BD42-4E4F-B0C5-52DDA7EA782D}"/>
    <cellStyle name="Moneda 2 8 11" xfId="46310" xr:uid="{EF950CFF-0460-4303-A248-4E90A1CB426D}"/>
    <cellStyle name="Moneda 2 8 12" xfId="46326" xr:uid="{C580FB1B-1CDB-4435-B1A9-1C41DF8482F2}"/>
    <cellStyle name="Moneda 2 8 13" xfId="46395" xr:uid="{9974BEC6-2EC5-4190-B52D-3A7147CBDFCB}"/>
    <cellStyle name="Moneda 2 8 14" xfId="46489" xr:uid="{9F439741-645B-4DB2-96B4-C2E873533D00}"/>
    <cellStyle name="Moneda 2 8 15" xfId="46529" xr:uid="{4790DB31-B5E6-4962-8BB1-55ED326833A2}"/>
    <cellStyle name="Moneda 2 8 16" xfId="46571" xr:uid="{67AF917B-E23A-47C0-A195-578D84AD00C8}"/>
    <cellStyle name="Moneda 2 8 17" xfId="46609" xr:uid="{CD8E1670-63EC-415D-80AA-0DE39670BDED}"/>
    <cellStyle name="Moneda 2 8 18" xfId="46646" xr:uid="{F4DAC3D6-6969-4B4D-8353-9D493432A05D}"/>
    <cellStyle name="Moneda 2 8 19" xfId="46681" xr:uid="{2C7CAF7F-0499-4B25-991E-4DAC1C3FC531}"/>
    <cellStyle name="Moneda 2 8 2" xfId="46166" xr:uid="{1D8F8E19-79B3-4D5F-8535-9D8202C50F5F}"/>
    <cellStyle name="Moneda 2 8 20" xfId="46715" xr:uid="{7BCE9FA8-D37F-4CC6-8E92-A1582A41106B}"/>
    <cellStyle name="Moneda 2 8 21" xfId="46749" xr:uid="{BF8F358F-673E-4F7D-8047-515662D17F6A}"/>
    <cellStyle name="Moneda 2 8 22" xfId="46795" xr:uid="{756E0D92-391A-4584-AB47-3DEE64369F74}"/>
    <cellStyle name="Moneda 2 8 23" xfId="47020" xr:uid="{5114710D-AAFE-4C04-9C38-105B44B6F99C}"/>
    <cellStyle name="Moneda 2 8 24" xfId="47226" xr:uid="{7AA2B084-48AF-49E5-B62C-FCE75E3AF4E6}"/>
    <cellStyle name="Moneda 2 8 25" xfId="47329" xr:uid="{B652907B-2899-48CD-9873-56A1C9108C58}"/>
    <cellStyle name="Moneda 2 8 26" xfId="47576" xr:uid="{7B5C0A27-CA2E-4AAF-B742-1BF757AFA326}"/>
    <cellStyle name="Moneda 2 8 27" xfId="47693" xr:uid="{3077692A-C6BE-4774-A1FF-6C1F1CDEB763}"/>
    <cellStyle name="Moneda 2 8 28" xfId="47879" xr:uid="{33F1BCFD-ADEE-4D4E-8ABA-2E5F81963AEB}"/>
    <cellStyle name="Moneda 2 8 3" xfId="46182" xr:uid="{F45AA7BB-B925-47EC-B07A-D5CB1CD620C2}"/>
    <cellStyle name="Moneda 2 8 4" xfId="46198" xr:uid="{752B79D8-0357-4534-9081-6560BEFE3FA7}"/>
    <cellStyle name="Moneda 2 8 5" xfId="46214" xr:uid="{161C609B-0CF3-4A33-A0F9-CDCE74086A19}"/>
    <cellStyle name="Moneda 2 8 6" xfId="46230" xr:uid="{E9CB996E-76B5-4539-944C-9FFB5D627EAB}"/>
    <cellStyle name="Moneda 2 8 7" xfId="46246" xr:uid="{4B3CF42A-0B78-47DF-95DE-81C995CFB3EC}"/>
    <cellStyle name="Moneda 2 8 8" xfId="46262" xr:uid="{B0659C68-ED6A-410A-A4B3-60C63D71CED7}"/>
    <cellStyle name="Moneda 2 8 9" xfId="46278" xr:uid="{A72526D9-000A-42CE-8840-9C33D10F4A38}"/>
    <cellStyle name="Moneda 2 9" xfId="43563" xr:uid="{3114C582-DFFF-40B3-84EC-B11F1551E725}"/>
    <cellStyle name="Moneda 2 9 10" xfId="46716" xr:uid="{C67BD6B4-1251-4FE2-86E7-CEDD23133F48}"/>
    <cellStyle name="Moneda 2 9 11" xfId="46750" xr:uid="{6E065054-5BCA-4D2A-83A6-7F89AE35390C}"/>
    <cellStyle name="Moneda 2 9 12" xfId="46796" xr:uid="{82C03D53-9760-4F35-8A29-C2D9DBB195BC}"/>
    <cellStyle name="Moneda 2 9 13" xfId="47021" xr:uid="{A2418531-7B33-404D-898B-07FFEB4F3574}"/>
    <cellStyle name="Moneda 2 9 14" xfId="47227" xr:uid="{8A440008-7AB0-44B9-A602-3A12F454FD0F}"/>
    <cellStyle name="Moneda 2 9 15" xfId="47330" xr:uid="{ECB9B7BE-4975-4059-8120-832BB5F6CB1F}"/>
    <cellStyle name="Moneda 2 9 16" xfId="47577" xr:uid="{43076DFF-641F-4BD7-BB8D-DD3CA3D114F7}"/>
    <cellStyle name="Moneda 2 9 17" xfId="47694" xr:uid="{388B3047-969B-4367-A1C2-356BC823E132}"/>
    <cellStyle name="Moneda 2 9 18" xfId="47880" xr:uid="{2DBFF8B3-DFF4-45DA-96E3-4E88AFBBE6E9}"/>
    <cellStyle name="Moneda 2 9 2" xfId="46330" xr:uid="{0123496E-ECC5-43B0-A5FF-F72631928DAD}"/>
    <cellStyle name="Moneda 2 9 3" xfId="46396" xr:uid="{35FC2D0E-23B6-4C9A-BFC9-87C2E7ED0A51}"/>
    <cellStyle name="Moneda 2 9 4" xfId="46490" xr:uid="{A1373596-FFFC-40A6-AC07-D8284ED34D47}"/>
    <cellStyle name="Moneda 2 9 5" xfId="46530" xr:uid="{83AAE7B8-C60F-4DCD-9FA7-F53C3399CD42}"/>
    <cellStyle name="Moneda 2 9 6" xfId="46572" xr:uid="{A9FF090E-0F48-4734-958F-EE753C8B74D1}"/>
    <cellStyle name="Moneda 2 9 7" xfId="46610" xr:uid="{789073BD-0E65-494B-A2C9-35567ABD507E}"/>
    <cellStyle name="Moneda 2 9 8" xfId="46647" xr:uid="{53B1A217-6C2C-4B4A-8C55-2012E74BD16D}"/>
    <cellStyle name="Moneda 2 9 9" xfId="46682" xr:uid="{F6797DD9-73AB-4016-8714-6EE61288F541}"/>
    <cellStyle name="Moneda 20" xfId="46547" xr:uid="{D69CBAD1-E44D-41B8-974C-C7FC51CC6805}"/>
    <cellStyle name="Moneda 21" xfId="46585" xr:uid="{9D7C4850-DF06-4BB3-848C-7E89AEF05BDA}"/>
    <cellStyle name="Moneda 22" xfId="46622" xr:uid="{8630751A-3B12-4603-911E-4A023E27D422}"/>
    <cellStyle name="Moneda 23" xfId="46657" xr:uid="{028EEA1D-E464-4401-B733-6DF10C706973}"/>
    <cellStyle name="Moneda 24" xfId="46691" xr:uid="{38F6BEC6-CE00-420A-B5D7-89EF44F91334}"/>
    <cellStyle name="Moneda 25" xfId="46725" xr:uid="{CEC7ECF8-2E14-493F-8591-2A2AD0A094FC}"/>
    <cellStyle name="Moneda 26" xfId="46759" xr:uid="{ADB85F31-5013-4095-806C-77945C525B10}"/>
    <cellStyle name="Moneda 27" xfId="46960" xr:uid="{2B6C2E74-A36C-428B-9512-FB778D0EC17A}"/>
    <cellStyle name="Moneda 28" xfId="47166" xr:uid="{745688A3-D944-459B-8B11-AFFF981EDBA6}"/>
    <cellStyle name="Moneda 29" xfId="47245" xr:uid="{963AD24D-2A5C-4139-B62A-6648B97777B3}"/>
    <cellStyle name="Moneda 3" xfId="43560" xr:uid="{68816615-8EBB-478B-97B6-A966BB67A923}"/>
    <cellStyle name="Moneda 3 10" xfId="46279" xr:uid="{87928DD7-79A7-4012-81A9-473B796AEE25}"/>
    <cellStyle name="Moneda 3 11" xfId="46295" xr:uid="{E7B03824-6BB3-4248-AC10-1921681EC9A5}"/>
    <cellStyle name="Moneda 3 12" xfId="46311" xr:uid="{6C9DC13C-8D9F-4EBB-A7A9-2B8034C58440}"/>
    <cellStyle name="Moneda 3 13" xfId="46327" xr:uid="{B6E911E1-1FDF-419D-B6F0-DCAA2026AA27}"/>
    <cellStyle name="Moneda 3 14" xfId="46397" xr:uid="{32E9C4E0-54EE-41F1-BF71-AEEA81A4EA1E}"/>
    <cellStyle name="Moneda 3 15" xfId="46491" xr:uid="{65A5E1F6-DB4F-4D2B-B2EC-BC1D376F2D58}"/>
    <cellStyle name="Moneda 3 16" xfId="46531" xr:uid="{B0AF5A40-966F-49F4-AA98-F66C36CC950D}"/>
    <cellStyle name="Moneda 3 17" xfId="46573" xr:uid="{EC4B1A1A-978B-4085-B71C-67FB7E20F9A7}"/>
    <cellStyle name="Moneda 3 18" xfId="46611" xr:uid="{0D5CF6E5-D172-45BB-9428-4E51A77EA1B8}"/>
    <cellStyle name="Moneda 3 19" xfId="46648" xr:uid="{C175D321-75EA-4B35-9F81-ABC70D970E8B}"/>
    <cellStyle name="Moneda 3 2" xfId="43565" xr:uid="{D28A79F4-9C95-4ED8-9D18-9F34D4A71378}"/>
    <cellStyle name="Moneda 3 2 10" xfId="46718" xr:uid="{E3229FD3-A266-488E-B8BD-98D93B42A732}"/>
    <cellStyle name="Moneda 3 2 11" xfId="46752" xr:uid="{8EEFAF4E-0A58-4498-ADC9-E1993958A1EF}"/>
    <cellStyle name="Moneda 3 2 12" xfId="46798" xr:uid="{A3F69F63-5F2F-4457-A775-9CC629FED326}"/>
    <cellStyle name="Moneda 3 2 13" xfId="47023" xr:uid="{609A4EFC-12C0-4DFB-8DFD-323C85CF6F58}"/>
    <cellStyle name="Moneda 3 2 14" xfId="47229" xr:uid="{FF414E83-CFB0-4E2F-8CEB-BFE991AA87A3}"/>
    <cellStyle name="Moneda 3 2 15" xfId="47332" xr:uid="{926CF520-7806-41F1-950F-A97C09F49D8F}"/>
    <cellStyle name="Moneda 3 2 16" xfId="47579" xr:uid="{5C2ED629-B7EE-45FA-A20B-E9AE70E9F28F}"/>
    <cellStyle name="Moneda 3 2 17" xfId="47696" xr:uid="{5C5FB093-FDFB-405B-868B-74E9AF7B4232}"/>
    <cellStyle name="Moneda 3 2 18" xfId="47882" xr:uid="{7EC0CC3B-CE8C-4629-B1F3-43A6B5A4C198}"/>
    <cellStyle name="Moneda 3 2 2" xfId="46329" xr:uid="{C08159AB-C55C-48FB-A230-E132ED6051FC}"/>
    <cellStyle name="Moneda 3 2 3" xfId="46398" xr:uid="{A21C234E-0B74-448A-9AAE-BF0C255E5CF2}"/>
    <cellStyle name="Moneda 3 2 4" xfId="46492" xr:uid="{40FD4D3A-57D1-421E-95C3-625D93163BA7}"/>
    <cellStyle name="Moneda 3 2 5" xfId="46532" xr:uid="{5AB16890-A24A-4161-89F7-6E34E85B0575}"/>
    <cellStyle name="Moneda 3 2 6" xfId="46574" xr:uid="{0B46C2C4-00DB-44D9-81D3-21BC6761E383}"/>
    <cellStyle name="Moneda 3 2 7" xfId="46612" xr:uid="{C91E30B9-4A96-4CB2-8F5B-4223111D9397}"/>
    <cellStyle name="Moneda 3 2 8" xfId="46649" xr:uid="{C56AC2A0-9F30-4E8A-B524-A3A90BA7515D}"/>
    <cellStyle name="Moneda 3 2 9" xfId="46684" xr:uid="{A84342F1-1CB5-47B3-AAF7-9184D95F5DC2}"/>
    <cellStyle name="Moneda 3 20" xfId="46683" xr:uid="{EC870B4C-23FE-4E89-8E6C-5ABFDD11CC2B}"/>
    <cellStyle name="Moneda 3 21" xfId="46717" xr:uid="{6D8BA578-F7A7-4558-B783-8054CE9CB897}"/>
    <cellStyle name="Moneda 3 22" xfId="46751" xr:uid="{74C05C1E-5E68-41B0-A89E-56EB72B9ED76}"/>
    <cellStyle name="Moneda 3 23" xfId="46797" xr:uid="{DD29AAD1-88FB-47EE-B94E-53265DC9DD47}"/>
    <cellStyle name="Moneda 3 24" xfId="47022" xr:uid="{7473D01D-2B04-42E2-AEF7-4E21CE96B92C}"/>
    <cellStyle name="Moneda 3 25" xfId="47228" xr:uid="{6C4F1261-3318-43C7-A3F1-CEAB4157712D}"/>
    <cellStyle name="Moneda 3 26" xfId="47331" xr:uid="{BE5B5087-64E1-46CB-9372-9220E695E52D}"/>
    <cellStyle name="Moneda 3 27" xfId="47578" xr:uid="{51648F5F-F5CF-42FC-B773-FECD9C4467A3}"/>
    <cellStyle name="Moneda 3 28" xfId="47695" xr:uid="{6FE1CE65-CF8A-4053-8006-6C828F348C75}"/>
    <cellStyle name="Moneda 3 29" xfId="47881" xr:uid="{0E1BFBD7-BE43-474E-BD4A-63B0F554BA79}"/>
    <cellStyle name="Moneda 3 3" xfId="46167" xr:uid="{4BF4A607-857A-4B5C-92BE-221C721E2E63}"/>
    <cellStyle name="Moneda 3 3 2" xfId="46799" xr:uid="{BB56A5DA-D84D-40F8-84B4-C27FCBB796F1}"/>
    <cellStyle name="Moneda 3 3 3" xfId="47024" xr:uid="{F1BA24D4-BD8B-4E3F-B929-41F0BD976A69}"/>
    <cellStyle name="Moneda 3 3 4" xfId="47230" xr:uid="{67F8BFBB-6701-4C5B-B1A0-1B7F2788CF0B}"/>
    <cellStyle name="Moneda 3 3 5" xfId="47333" xr:uid="{7FBCE6F7-9FBD-40D7-A2DD-311187BA1515}"/>
    <cellStyle name="Moneda 3 3 6" xfId="47580" xr:uid="{4739E0A0-1605-4028-8FD2-CB3C1D8E3BC9}"/>
    <cellStyle name="Moneda 3 3 7" xfId="47697" xr:uid="{FF5B3FC0-7B2A-4E31-A691-D3390271088A}"/>
    <cellStyle name="Moneda 3 3 8" xfId="47883" xr:uid="{55EF520E-E454-4130-A457-86DEA62B685C}"/>
    <cellStyle name="Moneda 3 4" xfId="46183" xr:uid="{A570FA39-9B2D-4083-909D-8B3CE39A2185}"/>
    <cellStyle name="Moneda 3 4 2" xfId="46863" xr:uid="{19D03494-268A-4FBA-A14D-DEB814948CDF}"/>
    <cellStyle name="Moneda 3 4 3" xfId="47025" xr:uid="{E45A71CE-B4A7-4A9A-A32F-31235A8F8EA3}"/>
    <cellStyle name="Moneda 3 4 4" xfId="47231" xr:uid="{BABAB52E-B993-4973-95A1-3ADA62597910}"/>
    <cellStyle name="Moneda 3 4 5" xfId="47334" xr:uid="{5195B08C-5BDF-4866-842E-C5FF28E585C4}"/>
    <cellStyle name="Moneda 3 4 6" xfId="47581" xr:uid="{C38D722B-8DEC-41DF-AA41-739F5CB07400}"/>
    <cellStyle name="Moneda 3 4 7" xfId="47698" xr:uid="{A7B73F96-61B5-4E0C-8FBA-AFF5BDAB532C}"/>
    <cellStyle name="Moneda 3 4 8" xfId="47884" xr:uid="{6456D5B9-DDC3-4D24-9CEF-D3903FDE08E1}"/>
    <cellStyle name="Moneda 3 5" xfId="46199" xr:uid="{E989D0BB-7E81-42F5-8BF0-1F9EB4ED681D}"/>
    <cellStyle name="Moneda 3 5 2" xfId="47026" xr:uid="{E217F6E1-81E2-40C8-B9DF-37D5E81C80CE}"/>
    <cellStyle name="Moneda 3 5 3" xfId="47232" xr:uid="{715CE841-C57C-4BDD-8D95-4BF1B0FA6162}"/>
    <cellStyle name="Moneda 3 5 4" xfId="47335" xr:uid="{FAAD8061-DFFB-4D1F-B651-DA83C8C85F71}"/>
    <cellStyle name="Moneda 3 5 5" xfId="47582" xr:uid="{1E5B0E32-5D46-4E0E-AD96-50C0797C1955}"/>
    <cellStyle name="Moneda 3 5 6" xfId="47699" xr:uid="{70DF66F1-F8F2-4BE4-BCF6-7C1D61B5105F}"/>
    <cellStyle name="Moneda 3 5 7" xfId="47885" xr:uid="{CB435826-1CD5-4B98-A951-3E6F1F03D79D}"/>
    <cellStyle name="Moneda 3 6" xfId="46215" xr:uid="{38CC1649-F4BB-4458-9C48-BF4D1C477FD6}"/>
    <cellStyle name="Moneda 3 6 2" xfId="47336" xr:uid="{F13B357A-1266-45F5-BB4C-1417AA4F16FA}"/>
    <cellStyle name="Moneda 3 6 3" xfId="47583" xr:uid="{1FD478B5-3E1E-4F7B-9311-AAF596862D6A}"/>
    <cellStyle name="Moneda 3 6 4" xfId="47700" xr:uid="{55EAE929-BAD4-4202-98EA-9051B2C2579A}"/>
    <cellStyle name="Moneda 3 6 5" xfId="47886" xr:uid="{70512024-47E2-4F1B-9FBB-27F7F5C734C6}"/>
    <cellStyle name="Moneda 3 7" xfId="46231" xr:uid="{7C7CAB11-234A-4D63-8D88-C55F89C3E51A}"/>
    <cellStyle name="Moneda 3 7 2" xfId="47337" xr:uid="{E09C4DA6-3827-4CAE-AD7D-9F6F4A858676}"/>
    <cellStyle name="Moneda 3 7 3" xfId="47584" xr:uid="{681B1129-6E9E-4DDF-BD0B-AF06BB98E5DD}"/>
    <cellStyle name="Moneda 3 7 4" xfId="47701" xr:uid="{9E29186E-BC81-4C51-9484-807A732C12F2}"/>
    <cellStyle name="Moneda 3 7 5" xfId="47887" xr:uid="{4E514B29-1955-4705-A3A6-BD668890B24A}"/>
    <cellStyle name="Moneda 3 8" xfId="46247" xr:uid="{FE5BF608-A6D4-4856-9A4E-F54C5ECAF833}"/>
    <cellStyle name="Moneda 3 8 2" xfId="47702" xr:uid="{8D41A2AA-EC2F-405A-8070-4FD68BCD488D}"/>
    <cellStyle name="Moneda 3 8 3" xfId="47888" xr:uid="{3B3E14BC-C9B4-40FB-A197-A96B225D60CC}"/>
    <cellStyle name="Moneda 3 9" xfId="46263" xr:uid="{8556BDCC-61F7-4D9E-8409-2887F932C3B9}"/>
    <cellStyle name="Moneda 30" xfId="47492" xr:uid="{0339EC76-73E9-4852-980D-C541515B8E6E}"/>
    <cellStyle name="Moneda 31" xfId="47596" xr:uid="{FCB15085-504C-44F8-A014-28C210769EE5}"/>
    <cellStyle name="Moneda 32" xfId="47783" xr:uid="{1D7970E4-4CF5-4430-B85C-2D633C44AA04}"/>
    <cellStyle name="Moneda 33" xfId="47899" xr:uid="{F21046C9-B04C-4005-B861-7D08DC9561AD}"/>
    <cellStyle name="Moneda 34" xfId="47903" xr:uid="{53D8A912-F900-4CAF-81C2-FB940FBCE7CE}"/>
    <cellStyle name="Moneda 35" xfId="47909" xr:uid="{6919176F-30E4-46B5-A412-D75A28EC4B2C}"/>
    <cellStyle name="Moneda 36" xfId="47929" xr:uid="{4925D23A-0E6B-4A4B-B7FD-BCBFB6478D4D}"/>
    <cellStyle name="Moneda 37" xfId="47934" xr:uid="{DBFAEECB-F8DF-4CE4-B376-23F5CFB5EB80}"/>
    <cellStyle name="Moneda 38" xfId="47948" xr:uid="{8A801F78-153B-4744-81BC-1FEABAAA87FA}"/>
    <cellStyle name="Moneda 39" xfId="47969" xr:uid="{239FBE3D-D71E-40D2-B26C-073DC37F119C}"/>
    <cellStyle name="Moneda 4" xfId="46145" xr:uid="{0CB4BE79-1395-4984-A198-87CE4997189C}"/>
    <cellStyle name="Moneda 4 10" xfId="46296" xr:uid="{04AEF4C6-4B6B-48DC-84D3-90972F8BF80B}"/>
    <cellStyle name="Moneda 4 11" xfId="46312" xr:uid="{F86C4F84-D2B8-4BF1-A1A7-DA1DFBC62DA9}"/>
    <cellStyle name="Moneda 4 12" xfId="46328" xr:uid="{C02AEEAC-386E-4F6F-9D10-4B26BCA47B65}"/>
    <cellStyle name="Moneda 4 13" xfId="46399" xr:uid="{57727EC7-B274-449F-BF5A-DF194355B0DF}"/>
    <cellStyle name="Moneda 4 14" xfId="46493" xr:uid="{A5800995-7E59-4E2E-80E8-2AF3F0EB69CB}"/>
    <cellStyle name="Moneda 4 15" xfId="46533" xr:uid="{0DC83FD7-14EB-4A1F-A1CB-AB2D14D06E9D}"/>
    <cellStyle name="Moneda 4 16" xfId="46575" xr:uid="{AB1DEE1E-EE98-4B3E-959E-B45CA88B9ACA}"/>
    <cellStyle name="Moneda 4 17" xfId="46613" xr:uid="{1B3FAA1F-C414-4DC6-B450-1F884DF218CE}"/>
    <cellStyle name="Moneda 4 18" xfId="46650" xr:uid="{36AA72AC-5D13-46F6-8DD0-7A1D04CFF02F}"/>
    <cellStyle name="Moneda 4 19" xfId="46685" xr:uid="{3EA0ED25-07F9-438D-B605-D26BABC158D8}"/>
    <cellStyle name="Moneda 4 2" xfId="46168" xr:uid="{6396DEB0-4A53-45CB-9612-CBD6C64E787D}"/>
    <cellStyle name="Moneda 4 2 10" xfId="46720" xr:uid="{2CB6CEB5-EE1F-4DB6-814C-FD0B8C98B144}"/>
    <cellStyle name="Moneda 4 2 11" xfId="46754" xr:uid="{D663810F-F55D-494E-AE41-38F733E55889}"/>
    <cellStyle name="Moneda 4 2 12" xfId="46801" xr:uid="{B90671ED-AB1C-45FE-A78E-194A89CD3B12}"/>
    <cellStyle name="Moneda 4 2 13" xfId="47028" xr:uid="{DD9D3966-C8EE-4190-A6A2-F3FA15642A22}"/>
    <cellStyle name="Moneda 4 2 14" xfId="47234" xr:uid="{598113D8-24EE-47CC-8C32-C0AA3E4CBD70}"/>
    <cellStyle name="Moneda 4 2 15" xfId="47339" xr:uid="{B1710141-2F80-40ED-BD15-C73F2B59C012}"/>
    <cellStyle name="Moneda 4 2 16" xfId="47586" xr:uid="{DEED6705-0F38-4266-8172-AA591EF9CC54}"/>
    <cellStyle name="Moneda 4 2 17" xfId="47704" xr:uid="{814224B7-B046-4B8D-885D-78727702E2DE}"/>
    <cellStyle name="Moneda 4 2 18" xfId="47890" xr:uid="{5307C91A-0B6A-44C8-9951-13746D5E7759}"/>
    <cellStyle name="Moneda 4 2 2" xfId="46336" xr:uid="{AFD68DBD-4079-4177-BCAA-2052E291806F}"/>
    <cellStyle name="Moneda 4 2 3" xfId="46400" xr:uid="{A378F869-73A0-4F9E-855D-5BC26EE6C74E}"/>
    <cellStyle name="Moneda 4 2 4" xfId="46494" xr:uid="{791CD2D7-D679-482F-8462-1589D6A1F04E}"/>
    <cellStyle name="Moneda 4 2 5" xfId="46534" xr:uid="{F670428A-1922-4AA1-BFC4-CFE865F88A48}"/>
    <cellStyle name="Moneda 4 2 6" xfId="46576" xr:uid="{D8087032-8F49-4351-A25A-994A888322F8}"/>
    <cellStyle name="Moneda 4 2 7" xfId="46614" xr:uid="{EFFB400B-71F2-4B1D-9151-72F13C7795A5}"/>
    <cellStyle name="Moneda 4 2 8" xfId="46651" xr:uid="{CB860510-9E9A-4920-B3B1-653B2E22CFB1}"/>
    <cellStyle name="Moneda 4 2 9" xfId="46686" xr:uid="{3DB44F43-7222-413C-A722-92790C1DF7FF}"/>
    <cellStyle name="Moneda 4 20" xfId="46719" xr:uid="{7C8233C6-CA63-4122-A3B1-A2C5748EEFC2}"/>
    <cellStyle name="Moneda 4 21" xfId="46753" xr:uid="{DFC6AFFF-8111-4F3D-B1BB-52C6A026F52B}"/>
    <cellStyle name="Moneda 4 22" xfId="46800" xr:uid="{30EDB158-B15A-449E-B12C-EBC94FD8E4C5}"/>
    <cellStyle name="Moneda 4 23" xfId="47027" xr:uid="{3E460B71-AF27-4AC2-A41F-E0848010512C}"/>
    <cellStyle name="Moneda 4 24" xfId="47233" xr:uid="{714224FF-7885-4CC9-B0C8-2FA80E8F2A3B}"/>
    <cellStyle name="Moneda 4 25" xfId="47338" xr:uid="{E6FAD1D2-6B94-4F24-98DB-9E277EF18EFC}"/>
    <cellStyle name="Moneda 4 26" xfId="47585" xr:uid="{F59E2690-86A0-4E69-99BF-D30575B3A4B3}"/>
    <cellStyle name="Moneda 4 27" xfId="47703" xr:uid="{0930B2F2-6EE5-4319-AF16-1C8DA3AAF50B}"/>
    <cellStyle name="Moneda 4 28" xfId="47889" xr:uid="{AF43239F-D00E-401D-8030-CD25DFCC917B}"/>
    <cellStyle name="Moneda 4 3" xfId="46184" xr:uid="{846DBD29-6CBB-4F97-ACA8-A60EEA296DE7}"/>
    <cellStyle name="Moneda 4 3 2" xfId="46802" xr:uid="{1D89392C-92E8-4C85-9CFD-7383355C2660}"/>
    <cellStyle name="Moneda 4 3 3" xfId="47029" xr:uid="{2BE620F4-60D8-42B7-8CEB-89554A1110D2}"/>
    <cellStyle name="Moneda 4 3 4" xfId="47235" xr:uid="{8997B326-F03B-441D-A0AD-1F22D76082B9}"/>
    <cellStyle name="Moneda 4 3 5" xfId="47340" xr:uid="{94853DED-6DDB-46C6-8C34-63EADFABCB31}"/>
    <cellStyle name="Moneda 4 3 6" xfId="47587" xr:uid="{AD12940F-B76D-488F-969B-176CD31D6F97}"/>
    <cellStyle name="Moneda 4 3 7" xfId="47705" xr:uid="{3CB40D84-0394-464E-A403-73AF48E8CF13}"/>
    <cellStyle name="Moneda 4 3 8" xfId="47891" xr:uid="{2A918D62-024B-4E1C-9081-7A844BA62338}"/>
    <cellStyle name="Moneda 4 4" xfId="46200" xr:uid="{9B2A7720-CDA3-4BAD-BA0B-550CB04F9DF7}"/>
    <cellStyle name="Moneda 4 4 2" xfId="46946" xr:uid="{8F8FF474-CFF2-4B67-B188-03D3F8A318D8}"/>
    <cellStyle name="Moneda 4 4 3" xfId="47030" xr:uid="{67981FD7-FD78-4445-A095-AD1138045868}"/>
    <cellStyle name="Moneda 4 4 4" xfId="47236" xr:uid="{7B680780-1199-4855-BC30-2E792B1098F5}"/>
    <cellStyle name="Moneda 4 4 5" xfId="47341" xr:uid="{99591C3A-4C52-4362-B4C4-C1A88CC884F8}"/>
    <cellStyle name="Moneda 4 4 6" xfId="47588" xr:uid="{A53E33F7-BBF3-4199-AE54-34EC7E97337C}"/>
    <cellStyle name="Moneda 4 4 7" xfId="47706" xr:uid="{66D30228-F939-4C8C-8127-D5BA037A82B9}"/>
    <cellStyle name="Moneda 4 4 8" xfId="47892" xr:uid="{D0C7EC5E-20AC-4F12-A3C0-31E97D9F24E5}"/>
    <cellStyle name="Moneda 4 5" xfId="46216" xr:uid="{819E6BE6-32AA-4162-A26F-365D3BF225EA}"/>
    <cellStyle name="Moneda 4 5 2" xfId="47031" xr:uid="{6C4A1963-5BF2-4B5A-A009-523ABE071650}"/>
    <cellStyle name="Moneda 4 5 3" xfId="47237" xr:uid="{BFCA8E3F-A0C9-4EE5-B343-1848C82AF915}"/>
    <cellStyle name="Moneda 4 5 4" xfId="47342" xr:uid="{CA7F3B56-27DC-4BCD-A24D-2B58349F1D26}"/>
    <cellStyle name="Moneda 4 5 5" xfId="47589" xr:uid="{DADFC07C-EA9B-43F3-A4E4-EF7EA27CC63D}"/>
    <cellStyle name="Moneda 4 5 6" xfId="47707" xr:uid="{006FA4FE-2EDF-4ED4-9BED-5A1F4A0019E0}"/>
    <cellStyle name="Moneda 4 5 7" xfId="47893" xr:uid="{D9B91A2A-4388-464E-BCC5-50015FDE29FB}"/>
    <cellStyle name="Moneda 4 6" xfId="46232" xr:uid="{18E242EC-5F05-4C27-8625-A1E93D63F04C}"/>
    <cellStyle name="Moneda 4 6 2" xfId="47343" xr:uid="{03B26C3E-F412-4059-B280-EFD5D5DD2B19}"/>
    <cellStyle name="Moneda 4 6 3" xfId="47590" xr:uid="{00ABDB89-EDD7-4D49-A956-FA002A5E8135}"/>
    <cellStyle name="Moneda 4 6 4" xfId="47708" xr:uid="{C43C000E-6FEB-413B-974A-D11F1FB900BE}"/>
    <cellStyle name="Moneda 4 6 5" xfId="47894" xr:uid="{5A46F40D-EE3B-4BD6-9987-47470D568C97}"/>
    <cellStyle name="Moneda 4 7" xfId="46248" xr:uid="{20312DCF-EFDC-40F7-BE8B-FC7CAF33B4E2}"/>
    <cellStyle name="Moneda 4 7 2" xfId="47344" xr:uid="{343AEFA1-F06E-4872-AED0-1361F1DBF36C}"/>
    <cellStyle name="Moneda 4 7 3" xfId="47591" xr:uid="{76976AE2-85A8-4916-8DE7-10FD177CBD0C}"/>
    <cellStyle name="Moneda 4 7 4" xfId="47709" xr:uid="{B61A7F85-B9BE-4029-9C1F-BFC67F2996DE}"/>
    <cellStyle name="Moneda 4 7 5" xfId="47895" xr:uid="{3B7CAD66-1BCC-4B56-B3C9-EB804077F456}"/>
    <cellStyle name="Moneda 4 8" xfId="46264" xr:uid="{87079382-9088-4AFA-A698-F0B902E322EF}"/>
    <cellStyle name="Moneda 4 8 2" xfId="47710" xr:uid="{05CC5678-AE60-4A7E-9000-60AC5BA48133}"/>
    <cellStyle name="Moneda 4 8 3" xfId="47896" xr:uid="{66C18A6F-5EFD-4688-B0FF-0635BA2329D2}"/>
    <cellStyle name="Moneda 4 9" xfId="46280" xr:uid="{FF341357-7777-43EE-B850-FE2C077D921C}"/>
    <cellStyle name="Moneda 40" xfId="47978" xr:uid="{B61675C1-F850-4743-B18E-E94A29E32EF0}"/>
    <cellStyle name="Moneda 41" xfId="47981" xr:uid="{52F5D7FB-775D-4818-A839-5D41226FDF82}"/>
    <cellStyle name="Moneda 42" xfId="47986" xr:uid="{16B0AA5E-9BD3-4519-AA97-6F79B26CFEA9}"/>
    <cellStyle name="Moneda 43" xfId="47995" xr:uid="{45AD3AB2-9C09-4208-B302-9F010603B69C}"/>
    <cellStyle name="Moneda 44" xfId="48002" xr:uid="{0412944C-7E91-4FBB-8368-DE182F74B0FE}"/>
    <cellStyle name="Moneda 45" xfId="55" xr:uid="{A7990742-8E50-42E0-BB47-349FF66101AE}"/>
    <cellStyle name="Moneda 46" xfId="41" xr:uid="{7833590C-78D3-4064-A0A0-4AA9CE10A3CC}"/>
    <cellStyle name="Moneda 5" xfId="43562" xr:uid="{6AC418B8-196B-422E-BE52-B6D015A6C53D}"/>
    <cellStyle name="Moneda 5 2" xfId="46803" xr:uid="{3288C435-490C-475D-B070-2AAC0D72AB1B}"/>
    <cellStyle name="Moneda 6" xfId="46153" xr:uid="{AD542BF7-DD78-4B98-BE91-715DDCCBDB5D}"/>
    <cellStyle name="Moneda 6 2" xfId="46954" xr:uid="{D34372D5-1BBA-4ACC-B168-F6A50B173A02}"/>
    <cellStyle name="Moneda 6 3" xfId="47032" xr:uid="{32EF841E-F196-4C93-BE3E-168E8DAEE67D}"/>
    <cellStyle name="Moneda 7" xfId="46169" xr:uid="{18212446-673B-4A82-9E87-045A27FCF217}"/>
    <cellStyle name="Moneda 7 2" xfId="47033" xr:uid="{8710A391-002B-4E1C-A938-0B1081619E03}"/>
    <cellStyle name="Moneda 8" xfId="46185" xr:uid="{EBBB7DCE-6B15-4BAD-819C-BDF5035A7757}"/>
    <cellStyle name="Moneda 8 2" xfId="47345" xr:uid="{74C85DEA-7FF6-4DFD-8C0D-3804A9D0FA46}"/>
    <cellStyle name="Moneda 9" xfId="46201" xr:uid="{F7FBE34D-FEDE-4418-ACCA-45F7494B9C53}"/>
    <cellStyle name="Moneda 9 2" xfId="47346" xr:uid="{B97779F2-1C6F-4F49-90AF-6A730913032D}"/>
    <cellStyle name="Neutral 2" xfId="17869" xr:uid="{C0DB1616-E65A-4DA1-B2F9-944B8C98CCF1}"/>
    <cellStyle name="Neutral 2 10" xfId="17870" xr:uid="{1C77E339-5740-45BC-88CC-A948F8830E5D}"/>
    <cellStyle name="Neutral 2 10 10" xfId="17871" xr:uid="{8947E5C4-A6FA-4BD2-A12C-9418E6166BB5}"/>
    <cellStyle name="Neutral 2 10 11" xfId="17872" xr:uid="{C80E7B43-09E1-497E-AFAA-E371E7C5FB6B}"/>
    <cellStyle name="Neutral 2 10 2" xfId="17873" xr:uid="{83F2BB09-4E7D-418E-8E8D-0CE8085F17E6}"/>
    <cellStyle name="Neutral 2 10 2 10" xfId="17874" xr:uid="{90BDBD1A-0DB6-48CA-8AFA-0AA56549A484}"/>
    <cellStyle name="Neutral 2 10 2 11" xfId="17875" xr:uid="{4F50DDD7-E0FA-4097-9A36-20D16476F984}"/>
    <cellStyle name="Neutral 2 10 2 2" xfId="17876" xr:uid="{2F45BC95-5745-4177-9470-BB94DBB4B604}"/>
    <cellStyle name="Neutral 2 10 2 2 2" xfId="17877" xr:uid="{C1D58BCC-C000-419B-8D03-9DEBAC1E8B9F}"/>
    <cellStyle name="Neutral 2 10 2 2 2 2" xfId="17878" xr:uid="{A1551B0E-CAD0-4AAC-934C-89B8909D6257}"/>
    <cellStyle name="Neutral 2 10 2 2 2 3" xfId="17879" xr:uid="{741CA05D-9844-4370-BB49-B0572322AFB3}"/>
    <cellStyle name="Neutral 2 10 2 2 2 4" xfId="17880" xr:uid="{D13A28E4-9F70-4C64-8973-9B3CF65C7FB7}"/>
    <cellStyle name="Neutral 2 10 2 2 2 5" xfId="17881" xr:uid="{698E492C-77AD-435A-B4C8-5D879E26F10E}"/>
    <cellStyle name="Neutral 2 10 2 2 3" xfId="17882" xr:uid="{5B5B5F18-1C40-4510-BB9B-AAC888857AAF}"/>
    <cellStyle name="Neutral 2 10 2 2 4" xfId="17883" xr:uid="{26438A40-47F8-431C-8345-B8ACBE488D84}"/>
    <cellStyle name="Neutral 2 10 2 2 5" xfId="17884" xr:uid="{9DCD54C4-2E06-422F-AE3E-0D32E573FFEE}"/>
    <cellStyle name="Neutral 2 10 2 3" xfId="17885" xr:uid="{6536BE4C-C12F-44CF-ABDA-7A8FD6FA608B}"/>
    <cellStyle name="Neutral 2 10 2 4" xfId="17886" xr:uid="{A5F8D020-D31F-4249-B93E-3E9743797013}"/>
    <cellStyle name="Neutral 2 10 2 5" xfId="17887" xr:uid="{32CE6CB3-349C-46E8-BC02-A3CF0B908086}"/>
    <cellStyle name="Neutral 2 10 2 6" xfId="17888" xr:uid="{5898243E-6D18-475C-B763-8DE9204FA90E}"/>
    <cellStyle name="Neutral 2 10 2 7" xfId="17889" xr:uid="{5632F91E-5EB3-42A7-8FCE-F9E54DED91D3}"/>
    <cellStyle name="Neutral 2 10 2 8" xfId="17890" xr:uid="{D707E8FF-BA3F-4D20-8118-7CF05C910860}"/>
    <cellStyle name="Neutral 2 10 2 9" xfId="17891" xr:uid="{3EC47549-AEAD-493F-B3D1-9F0241254F87}"/>
    <cellStyle name="Neutral 2 10 3" xfId="17892" xr:uid="{DE0419B1-76E2-4D0E-9495-2B7A1E2F1957}"/>
    <cellStyle name="Neutral 2 10 3 2" xfId="17893" xr:uid="{C5C344F0-24ED-453D-AFC9-EDAFABD7FE9E}"/>
    <cellStyle name="Neutral 2 10 3 2 2" xfId="17894" xr:uid="{66CF64DE-9DA7-4399-93FD-E802EA9FCE70}"/>
    <cellStyle name="Neutral 2 10 3 2 3" xfId="17895" xr:uid="{09ACF134-DD7D-4E63-B723-9E074F961B31}"/>
    <cellStyle name="Neutral 2 10 3 2 4" xfId="17896" xr:uid="{711CE815-99C4-408F-AD39-00286ED9DB93}"/>
    <cellStyle name="Neutral 2 10 3 2 5" xfId="17897" xr:uid="{7EF6B9C6-A417-44F7-A8A6-BB890777166D}"/>
    <cellStyle name="Neutral 2 10 3 3" xfId="17898" xr:uid="{A81F7931-41D6-4136-854D-785EBD6F52C6}"/>
    <cellStyle name="Neutral 2 10 3 4" xfId="17899" xr:uid="{ED2F3E89-E15D-43B6-82A0-1C83F2EA52A3}"/>
    <cellStyle name="Neutral 2 10 3 5" xfId="17900" xr:uid="{87C5D1BD-D489-4019-8BCF-2CFF34539707}"/>
    <cellStyle name="Neutral 2 10 4" xfId="17901" xr:uid="{31F9EEF5-A0AB-46D2-9925-659AADE8B774}"/>
    <cellStyle name="Neutral 2 10 5" xfId="17902" xr:uid="{122A66AF-ADBB-4B4B-835B-760921161A6A}"/>
    <cellStyle name="Neutral 2 10 6" xfId="17903" xr:uid="{3FD9BBFF-A95B-432D-8819-362E6C38CF8F}"/>
    <cellStyle name="Neutral 2 10 7" xfId="17904" xr:uid="{4E50F77C-789E-4BCE-AB86-A61CAB8FF81F}"/>
    <cellStyle name="Neutral 2 10 8" xfId="17905" xr:uid="{8B5661F4-EA40-41DE-AE99-78A0450B8F97}"/>
    <cellStyle name="Neutral 2 10 9" xfId="17906" xr:uid="{22E0B06A-4254-4B6D-A304-C11A4392A4B7}"/>
    <cellStyle name="Neutral 2 11" xfId="17907" xr:uid="{39E1BBC7-0BC1-4AFC-BBDE-444672E17DD3}"/>
    <cellStyle name="Neutral 2 12" xfId="17908" xr:uid="{53D6E249-19BF-423B-8B17-A35B5C8119EB}"/>
    <cellStyle name="Neutral 2 13" xfId="17909" xr:uid="{51FAE614-F56C-46AF-8773-AEDFA5AF42AE}"/>
    <cellStyle name="Neutral 2 14" xfId="43542" xr:uid="{09863612-751C-4582-AD77-F9D27D17719E}"/>
    <cellStyle name="Neutral 2 2" xfId="17910" xr:uid="{2F1DE264-848F-46BB-A42A-49E588BFD66E}"/>
    <cellStyle name="Neutral 2 2 10" xfId="17911" xr:uid="{DE57B474-E86E-41D6-8331-9F68817E009C}"/>
    <cellStyle name="Neutral 2 2 10 10" xfId="17912" xr:uid="{B173E233-1E3F-497C-ADEF-1420C33AF144}"/>
    <cellStyle name="Neutral 2 2 10 11" xfId="17913" xr:uid="{A7B380F2-DE23-4078-A484-A44D67554873}"/>
    <cellStyle name="Neutral 2 2 10 2" xfId="17914" xr:uid="{E6144C3C-2F74-408C-BBE4-DE0F978B8FD3}"/>
    <cellStyle name="Neutral 2 2 10 2 10" xfId="17915" xr:uid="{8E0A4EAC-8063-4A85-9850-C5BB97EA3B94}"/>
    <cellStyle name="Neutral 2 2 10 2 11" xfId="17916" xr:uid="{88A6682C-9266-4D34-86C8-C5D8BE239829}"/>
    <cellStyle name="Neutral 2 2 10 2 2" xfId="17917" xr:uid="{03DD7AF2-FA64-4852-B315-FA0430FA4E75}"/>
    <cellStyle name="Neutral 2 2 10 2 2 2" xfId="17918" xr:uid="{07C4C6E0-8AE1-44E9-92B5-53597ED6BE00}"/>
    <cellStyle name="Neutral 2 2 10 2 2 2 2" xfId="17919" xr:uid="{084DCA6E-367F-48BC-9A8D-C7ED4E870D21}"/>
    <cellStyle name="Neutral 2 2 10 2 2 2 3" xfId="17920" xr:uid="{CF614200-310C-4998-B008-91D8541AAE79}"/>
    <cellStyle name="Neutral 2 2 10 2 2 2 4" xfId="17921" xr:uid="{E72E16FD-F959-4544-AD12-37E7224C9302}"/>
    <cellStyle name="Neutral 2 2 10 2 2 2 5" xfId="17922" xr:uid="{B38E5C24-1A67-4D84-903F-AFD956C434FC}"/>
    <cellStyle name="Neutral 2 2 10 2 2 3" xfId="17923" xr:uid="{82D16589-82EB-4E70-94C1-C6B9DE82094C}"/>
    <cellStyle name="Neutral 2 2 10 2 2 4" xfId="17924" xr:uid="{2DBEBBAF-A50A-4F0A-B4A8-8501604AD37D}"/>
    <cellStyle name="Neutral 2 2 10 2 2 5" xfId="17925" xr:uid="{2D034729-A446-4FDB-BF75-96ABFE4616AC}"/>
    <cellStyle name="Neutral 2 2 10 2 3" xfId="17926" xr:uid="{F7FF5244-DD03-4FF3-9758-B766233C259A}"/>
    <cellStyle name="Neutral 2 2 10 2 4" xfId="17927" xr:uid="{6EA5627D-7FEA-477E-BCF1-E9D5A9C6B4A5}"/>
    <cellStyle name="Neutral 2 2 10 2 5" xfId="17928" xr:uid="{33D1312B-588F-4385-9B1D-A6F817C79DAC}"/>
    <cellStyle name="Neutral 2 2 10 2 6" xfId="17929" xr:uid="{5EF5A03D-80A5-4D9B-9F72-655F9427ED72}"/>
    <cellStyle name="Neutral 2 2 10 2 7" xfId="17930" xr:uid="{C80D8C4F-9EFA-49D4-A87A-2687DFEA54AE}"/>
    <cellStyle name="Neutral 2 2 10 2 8" xfId="17931" xr:uid="{874A2E77-EA8D-408D-A0A8-E07762270458}"/>
    <cellStyle name="Neutral 2 2 10 2 9" xfId="17932" xr:uid="{2A156308-5896-49E5-A75B-AD3AAEBFA32E}"/>
    <cellStyle name="Neutral 2 2 10 3" xfId="17933" xr:uid="{47C68B2C-8224-46E9-ADE4-9FCF1B4D301A}"/>
    <cellStyle name="Neutral 2 2 10 3 2" xfId="17934" xr:uid="{BADB563F-9916-4C17-8ECC-2ABBFCB7B30F}"/>
    <cellStyle name="Neutral 2 2 10 3 2 2" xfId="17935" xr:uid="{888A3BCE-62C7-4907-8726-2955C2BFC3CC}"/>
    <cellStyle name="Neutral 2 2 10 3 2 3" xfId="17936" xr:uid="{B5BB785F-1957-4588-84FA-4C15498960B3}"/>
    <cellStyle name="Neutral 2 2 10 3 2 4" xfId="17937" xr:uid="{F261B31C-30F1-4EB7-89F3-D7FB1ABF2802}"/>
    <cellStyle name="Neutral 2 2 10 3 2 5" xfId="17938" xr:uid="{CEF598AD-E13E-4AEB-9B29-D7A01720EBEE}"/>
    <cellStyle name="Neutral 2 2 10 3 3" xfId="17939" xr:uid="{8ED0BCBC-FAB9-446A-9670-86B30737672D}"/>
    <cellStyle name="Neutral 2 2 10 3 4" xfId="17940" xr:uid="{102F7ED2-3708-4A94-AE86-7B1802443F24}"/>
    <cellStyle name="Neutral 2 2 10 3 5" xfId="17941" xr:uid="{3AFE7015-B89A-4C76-B888-4BEBB194D7F4}"/>
    <cellStyle name="Neutral 2 2 10 4" xfId="17942" xr:uid="{FDF21A26-D4AF-4701-A69F-B7133A8B3A4D}"/>
    <cellStyle name="Neutral 2 2 10 5" xfId="17943" xr:uid="{AC95FB72-48FD-4B97-AF6C-A281365A7F9D}"/>
    <cellStyle name="Neutral 2 2 10 6" xfId="17944" xr:uid="{C61050D8-9529-4A81-816C-F40E1D7D13EA}"/>
    <cellStyle name="Neutral 2 2 10 7" xfId="17945" xr:uid="{C4756B4C-48FC-4B28-909D-4FBDA05AEFBC}"/>
    <cellStyle name="Neutral 2 2 10 8" xfId="17946" xr:uid="{E098DA3C-9D99-469A-94D7-575A4FB4CDCA}"/>
    <cellStyle name="Neutral 2 2 10 9" xfId="17947" xr:uid="{4B4F9CA3-7E50-40B9-8C33-551E1E58DBCF}"/>
    <cellStyle name="Neutral 2 2 11" xfId="17948" xr:uid="{59025E3F-9702-40E4-8E8F-4B0C182E31C6}"/>
    <cellStyle name="Neutral 2 2 12" xfId="17949" xr:uid="{562C5602-3BB9-42FF-B6B0-AEB63C4A62FF}"/>
    <cellStyle name="Neutral 2 2 13" xfId="17950" xr:uid="{4F0BDC3A-A1DC-4BAC-BD0B-BDADB3F2E468}"/>
    <cellStyle name="Neutral 2 2 2" xfId="17951" xr:uid="{FAF66C2B-D698-421B-AAB4-7F29DB7588F2}"/>
    <cellStyle name="Neutral 2 2 2 2" xfId="17952" xr:uid="{65C7ED6E-F0C5-4B3C-8837-C79E7FBB4AA6}"/>
    <cellStyle name="Neutral 2 2 2 2 2" xfId="17953" xr:uid="{D42C9EDE-1E9D-4B1D-836C-18E7A0989CB9}"/>
    <cellStyle name="Neutral 2 2 2 2 2 2" xfId="17954" xr:uid="{01D9D124-5D81-4E57-8A86-7AFAEC1B6C4B}"/>
    <cellStyle name="Neutral 2 2 2 2 2 2 2" xfId="17955" xr:uid="{027995CA-BA0C-41FA-B5D1-69F0DF5E1614}"/>
    <cellStyle name="Neutral 2 2 2 2 2 2 2 2" xfId="17956" xr:uid="{B953167D-7483-4D5E-9B65-84B6BF86130E}"/>
    <cellStyle name="Neutral 2 2 2 2 2 2 2 2 2" xfId="17957" xr:uid="{8BB131E2-A07C-4087-A936-00C5A2780162}"/>
    <cellStyle name="Neutral 2 2 2 2 2 2 2 2 2 2" xfId="17958" xr:uid="{CF787355-25A0-46D2-94EA-08164CCB836D}"/>
    <cellStyle name="Neutral 2 2 2 2 2 2 2 2 2 2 2" xfId="17959" xr:uid="{F5595EBD-4C7A-4287-8FD5-CD7857BC2177}"/>
    <cellStyle name="Neutral 2 2 2 2 2 2 2 2 2 2 2 2" xfId="17960" xr:uid="{05D5A790-4714-4498-9924-4B106660DC48}"/>
    <cellStyle name="Neutral 2 2 2 2 2 2 2 2 2 2 3" xfId="17961" xr:uid="{3982837B-7BAD-434F-9B0A-63CD727C75FC}"/>
    <cellStyle name="Neutral 2 2 2 2 2 2 2 2 2 2 4" xfId="17962" xr:uid="{A1CA8534-F09C-4C07-AB5A-CC74A07DAAE4}"/>
    <cellStyle name="Neutral 2 2 2 2 2 2 2 2 2 3" xfId="17963" xr:uid="{8E4DC1DC-53E0-4E14-9975-830A06C567E1}"/>
    <cellStyle name="Neutral 2 2 2 2 2 2 2 2 2 4" xfId="17964" xr:uid="{B7056865-709E-4AD1-8756-172E1E7366FB}"/>
    <cellStyle name="Neutral 2 2 2 2 2 2 2 2 3" xfId="17965" xr:uid="{202D1F75-1444-40C8-B34B-5BFC9C255089}"/>
    <cellStyle name="Neutral 2 2 2 2 2 2 2 2 4" xfId="17966" xr:uid="{CFBD83FA-528E-476A-B84C-DD21F5A68037}"/>
    <cellStyle name="Neutral 2 2 2 2 2 2 2 2 5" xfId="17967" xr:uid="{9DE5DBC4-972E-496E-87A1-A43CA1B5C631}"/>
    <cellStyle name="Neutral 2 2 2 2 2 2 2 3" xfId="17968" xr:uid="{0F4412F6-6A5C-43E5-A556-7A68F0EDEB14}"/>
    <cellStyle name="Neutral 2 2 2 2 2 2 2 3 10" xfId="17969" xr:uid="{012746CD-682C-439C-9FF6-6451987F7020}"/>
    <cellStyle name="Neutral 2 2 2 2 2 2 2 3 11" xfId="17970" xr:uid="{938820A4-21F0-486A-BE83-AAB1B3094883}"/>
    <cellStyle name="Neutral 2 2 2 2 2 2 2 3 2" xfId="17971" xr:uid="{5C4A2A59-6D0D-4320-8D9E-4E295B067545}"/>
    <cellStyle name="Neutral 2 2 2 2 2 2 2 3 2 2" xfId="17972" xr:uid="{2F67BD54-F3C2-4341-BC31-24FCFA7914E6}"/>
    <cellStyle name="Neutral 2 2 2 2 2 2 2 3 2 2 2" xfId="17973" xr:uid="{FD8FC5D3-FC2B-4257-BD5C-5822AA4F48BC}"/>
    <cellStyle name="Neutral 2 2 2 2 2 2 2 3 2 2 3" xfId="17974" xr:uid="{DA26217B-3D2A-4024-BB87-5584AD31CB3F}"/>
    <cellStyle name="Neutral 2 2 2 2 2 2 2 3 2 2 4" xfId="17975" xr:uid="{9442ACC6-71C0-44C8-8544-042F3EB02151}"/>
    <cellStyle name="Neutral 2 2 2 2 2 2 2 3 2 2 5" xfId="17976" xr:uid="{93DD4243-2107-43EF-B595-E536A9183C04}"/>
    <cellStyle name="Neutral 2 2 2 2 2 2 2 3 2 3" xfId="17977" xr:uid="{F6830DEC-E7DC-47AE-85B4-2704175E3891}"/>
    <cellStyle name="Neutral 2 2 2 2 2 2 2 3 2 4" xfId="17978" xr:uid="{ABE5B67B-27AE-4728-AB62-24A45DAE0F85}"/>
    <cellStyle name="Neutral 2 2 2 2 2 2 2 3 2 5" xfId="17979" xr:uid="{3BAA1ABA-63E2-4D58-A486-B98BE6EB1FDF}"/>
    <cellStyle name="Neutral 2 2 2 2 2 2 2 3 3" xfId="17980" xr:uid="{5EDE402A-7857-4C52-9C40-AC9A34C5EDEF}"/>
    <cellStyle name="Neutral 2 2 2 2 2 2 2 3 4" xfId="17981" xr:uid="{1850DCDE-4381-44B8-BD06-2B1297CBA53D}"/>
    <cellStyle name="Neutral 2 2 2 2 2 2 2 3 5" xfId="17982" xr:uid="{803CF6AB-4A56-48FC-B311-2E64BF714C0D}"/>
    <cellStyle name="Neutral 2 2 2 2 2 2 2 3 6" xfId="17983" xr:uid="{2533BF8E-0337-4E37-9F40-1458ADA5DD67}"/>
    <cellStyle name="Neutral 2 2 2 2 2 2 2 3 7" xfId="17984" xr:uid="{EB161375-7F9E-4F20-BA17-37FB4C34EEDF}"/>
    <cellStyle name="Neutral 2 2 2 2 2 2 2 3 8" xfId="17985" xr:uid="{6FB6B7E3-FAB1-4A6B-90FF-C7B61E4F59C6}"/>
    <cellStyle name="Neutral 2 2 2 2 2 2 2 3 9" xfId="17986" xr:uid="{1F8157A9-BD02-445E-8666-7C4276052C9D}"/>
    <cellStyle name="Neutral 2 2 2 2 2 2 2 4" xfId="17987" xr:uid="{074A9300-F16C-4582-BC65-CE21FC8AA018}"/>
    <cellStyle name="Neutral 2 2 2 2 2 2 2 5" xfId="17988" xr:uid="{0F766FC4-2C54-4CEA-BF38-D5BB59DA3EAE}"/>
    <cellStyle name="Neutral 2 2 2 2 2 2 3" xfId="17989" xr:uid="{DF289C07-DC0A-4DAE-BA88-90B6C53ACDBA}"/>
    <cellStyle name="Neutral 2 2 2 2 2 2 3 10" xfId="17990" xr:uid="{536ADA28-CD1C-4889-A663-AB360635C2D8}"/>
    <cellStyle name="Neutral 2 2 2 2 2 2 3 11" xfId="17991" xr:uid="{7786A003-FD83-42EA-98FD-FA25FB1002FC}"/>
    <cellStyle name="Neutral 2 2 2 2 2 2 3 2" xfId="17992" xr:uid="{89EFF5A3-3995-4DB2-95ED-24714E5A8ECF}"/>
    <cellStyle name="Neutral 2 2 2 2 2 2 3 2 10" xfId="17993" xr:uid="{A420F576-DACD-4CA4-86FF-15955C3E7664}"/>
    <cellStyle name="Neutral 2 2 2 2 2 2 3 2 11" xfId="17994" xr:uid="{55685CD5-4436-4EA7-B5A6-141BC0C70F65}"/>
    <cellStyle name="Neutral 2 2 2 2 2 2 3 2 2" xfId="17995" xr:uid="{A9239891-C5CD-4A88-8B98-029C0417B7E2}"/>
    <cellStyle name="Neutral 2 2 2 2 2 2 3 2 2 2" xfId="17996" xr:uid="{FDE5822B-391B-4860-B096-81862D4D9D32}"/>
    <cellStyle name="Neutral 2 2 2 2 2 2 3 2 2 2 2" xfId="17997" xr:uid="{7159514B-7648-40BF-AAF0-E93536A5A48E}"/>
    <cellStyle name="Neutral 2 2 2 2 2 2 3 2 2 2 3" xfId="17998" xr:uid="{FAF3DE19-99C3-45C1-A3A9-6DC7C4E07040}"/>
    <cellStyle name="Neutral 2 2 2 2 2 2 3 2 2 2 4" xfId="17999" xr:uid="{35F500C2-0CB9-4B47-8C12-7FD9BF1938F8}"/>
    <cellStyle name="Neutral 2 2 2 2 2 2 3 2 2 2 5" xfId="18000" xr:uid="{91E5B751-5625-4B70-8AC8-904C5B0154D3}"/>
    <cellStyle name="Neutral 2 2 2 2 2 2 3 2 2 3" xfId="18001" xr:uid="{ADF10B9E-781A-480C-B9B4-79CFEDF49201}"/>
    <cellStyle name="Neutral 2 2 2 2 2 2 3 2 2 4" xfId="18002" xr:uid="{789E9C29-DCE1-429F-8DA9-43F5A2234F4E}"/>
    <cellStyle name="Neutral 2 2 2 2 2 2 3 2 2 5" xfId="18003" xr:uid="{2C2CF756-9798-4771-894E-8C550554C50F}"/>
    <cellStyle name="Neutral 2 2 2 2 2 2 3 2 3" xfId="18004" xr:uid="{6AE0A944-DD59-4677-9009-43F58D09D78E}"/>
    <cellStyle name="Neutral 2 2 2 2 2 2 3 2 4" xfId="18005" xr:uid="{634F39B8-D445-4B18-B24C-3510FF6CC52E}"/>
    <cellStyle name="Neutral 2 2 2 2 2 2 3 2 5" xfId="18006" xr:uid="{A536A2A1-32C5-430F-84F5-41E7634A86F1}"/>
    <cellStyle name="Neutral 2 2 2 2 2 2 3 2 6" xfId="18007" xr:uid="{E41ABDAD-156F-4C13-A92C-9D772B5329A1}"/>
    <cellStyle name="Neutral 2 2 2 2 2 2 3 2 7" xfId="18008" xr:uid="{B387B27D-632A-4E97-A341-6167A09F5044}"/>
    <cellStyle name="Neutral 2 2 2 2 2 2 3 2 8" xfId="18009" xr:uid="{5C7C5B07-BCFA-4C32-89DC-093CBD43F7BA}"/>
    <cellStyle name="Neutral 2 2 2 2 2 2 3 2 9" xfId="18010" xr:uid="{B4180935-9CFA-4A0E-873B-92989DF9D75D}"/>
    <cellStyle name="Neutral 2 2 2 2 2 2 3 3" xfId="18011" xr:uid="{4FBDF80A-4873-4131-9E2B-F895922B02D5}"/>
    <cellStyle name="Neutral 2 2 2 2 2 2 3 3 2" xfId="18012" xr:uid="{A8C49F2E-B8EF-4D0B-94C8-D77A5C52BF14}"/>
    <cellStyle name="Neutral 2 2 2 2 2 2 3 3 2 2" xfId="18013" xr:uid="{AEEBD290-5198-4FCE-AF94-975961F36A5A}"/>
    <cellStyle name="Neutral 2 2 2 2 2 2 3 3 2 3" xfId="18014" xr:uid="{6EECB76B-0241-47E7-A911-AE0295595714}"/>
    <cellStyle name="Neutral 2 2 2 2 2 2 3 3 2 4" xfId="18015" xr:uid="{A95C6FD6-B82C-4D5E-8FE1-BA461192C1CF}"/>
    <cellStyle name="Neutral 2 2 2 2 2 2 3 3 2 5" xfId="18016" xr:uid="{6A106330-00BE-4107-9761-49EB655B6698}"/>
    <cellStyle name="Neutral 2 2 2 2 2 2 3 3 3" xfId="18017" xr:uid="{6AE8C15E-AF48-49D8-8A29-B1A953FAA6AB}"/>
    <cellStyle name="Neutral 2 2 2 2 2 2 3 3 4" xfId="18018" xr:uid="{6A1013A2-16E3-4CFA-AEEC-ED87385179D5}"/>
    <cellStyle name="Neutral 2 2 2 2 2 2 3 3 5" xfId="18019" xr:uid="{1F2ACDB8-DD68-4839-9B93-954A87CE7BD2}"/>
    <cellStyle name="Neutral 2 2 2 2 2 2 3 4" xfId="18020" xr:uid="{1FC2A6B1-2515-47EA-8B4C-73990401C027}"/>
    <cellStyle name="Neutral 2 2 2 2 2 2 3 5" xfId="18021" xr:uid="{0E43BE67-D4D3-4225-90BA-F1E0DDBCBDFE}"/>
    <cellStyle name="Neutral 2 2 2 2 2 2 3 6" xfId="18022" xr:uid="{AC34A0B2-D72F-459A-B883-5896561EEC87}"/>
    <cellStyle name="Neutral 2 2 2 2 2 2 3 7" xfId="18023" xr:uid="{C3E186D0-C4CB-417F-BE12-9364CD7C5715}"/>
    <cellStyle name="Neutral 2 2 2 2 2 2 3 8" xfId="18024" xr:uid="{FA1F03D1-5325-4947-9544-C26E7EEF8774}"/>
    <cellStyle name="Neutral 2 2 2 2 2 2 3 9" xfId="18025" xr:uid="{C25333F1-AFC8-4416-BE87-2D6590DCE0CF}"/>
    <cellStyle name="Neutral 2 2 2 2 2 2 4" xfId="18026" xr:uid="{BA46E1F4-2A00-41F2-84B8-5B91CFFA4B2F}"/>
    <cellStyle name="Neutral 2 2 2 2 2 2 5" xfId="18027" xr:uid="{CF757B3E-59AA-4CE2-A1D8-F107ECE67E60}"/>
    <cellStyle name="Neutral 2 2 2 2 2 2 6" xfId="18028" xr:uid="{88C06386-4A4A-43E9-A3AF-6B29A08F8302}"/>
    <cellStyle name="Neutral 2 2 2 2 2 3" xfId="18029" xr:uid="{12BDB172-7235-4920-B6B1-338F353FA8D1}"/>
    <cellStyle name="Neutral 2 2 2 2 2 3 10" xfId="18030" xr:uid="{C52D313E-7106-4A6C-A664-F72A191BDE08}"/>
    <cellStyle name="Neutral 2 2 2 2 2 3 11" xfId="18031" xr:uid="{FCE85561-0236-4829-96C9-6332C91F2F91}"/>
    <cellStyle name="Neutral 2 2 2 2 2 3 2" xfId="18032" xr:uid="{50F1D6C8-B560-408B-B613-44310E2B0CBA}"/>
    <cellStyle name="Neutral 2 2 2 2 2 3 2 10" xfId="18033" xr:uid="{E9F1C3AB-8570-4942-88CC-79B19B03DBFE}"/>
    <cellStyle name="Neutral 2 2 2 2 2 3 2 11" xfId="18034" xr:uid="{410BA587-85B1-4E0A-B5F7-05387AF249E2}"/>
    <cellStyle name="Neutral 2 2 2 2 2 3 2 2" xfId="18035" xr:uid="{E1F27D1C-2BD5-4EEE-AAA9-9F1E23CF9269}"/>
    <cellStyle name="Neutral 2 2 2 2 2 3 2 2 2" xfId="18036" xr:uid="{558FD445-D000-423E-B44F-6B2CF9DFCF02}"/>
    <cellStyle name="Neutral 2 2 2 2 2 3 2 2 2 2" xfId="18037" xr:uid="{06B3FF5B-5F4C-432F-844A-6C41243AEAA2}"/>
    <cellStyle name="Neutral 2 2 2 2 2 3 2 2 2 3" xfId="18038" xr:uid="{F3D9FD49-96E3-450C-A72B-9F832B6FDE0F}"/>
    <cellStyle name="Neutral 2 2 2 2 2 3 2 2 2 4" xfId="18039" xr:uid="{EE465D22-E2E0-4A7B-ABCC-D1501FDBD16B}"/>
    <cellStyle name="Neutral 2 2 2 2 2 3 2 2 2 5" xfId="18040" xr:uid="{D22508CB-D5DA-49D0-B694-E4C848C83059}"/>
    <cellStyle name="Neutral 2 2 2 2 2 3 2 2 3" xfId="18041" xr:uid="{3C0E3592-E8E5-4BE7-9CCC-D9582AC70794}"/>
    <cellStyle name="Neutral 2 2 2 2 2 3 2 2 4" xfId="18042" xr:uid="{A2F331F8-717A-4C79-B630-26338A03C3C5}"/>
    <cellStyle name="Neutral 2 2 2 2 2 3 2 2 5" xfId="18043" xr:uid="{D5FE2FF5-C7E7-4C3F-B7AD-EBEA029B1B09}"/>
    <cellStyle name="Neutral 2 2 2 2 2 3 2 3" xfId="18044" xr:uid="{BD401EF7-F802-432D-935A-EED69ED2C3BB}"/>
    <cellStyle name="Neutral 2 2 2 2 2 3 2 4" xfId="18045" xr:uid="{7E8281EA-A6A0-4521-98A0-CCE522458698}"/>
    <cellStyle name="Neutral 2 2 2 2 2 3 2 5" xfId="18046" xr:uid="{36C7335B-CB27-47E8-99FC-DF90D3AD63FB}"/>
    <cellStyle name="Neutral 2 2 2 2 2 3 2 6" xfId="18047" xr:uid="{40ECEF67-4D49-4763-A62D-93DE32E7E520}"/>
    <cellStyle name="Neutral 2 2 2 2 2 3 2 7" xfId="18048" xr:uid="{3295081D-A470-4239-B7F6-5D284DA39279}"/>
    <cellStyle name="Neutral 2 2 2 2 2 3 2 8" xfId="18049" xr:uid="{A2021DED-EEAD-4AA6-9C00-BA045B832973}"/>
    <cellStyle name="Neutral 2 2 2 2 2 3 2 9" xfId="18050" xr:uid="{572EFA3C-3795-4B51-BAB8-A6CFFBEAFA52}"/>
    <cellStyle name="Neutral 2 2 2 2 2 3 3" xfId="18051" xr:uid="{6D8740BE-2EC3-4D29-A1D3-74B880B61804}"/>
    <cellStyle name="Neutral 2 2 2 2 2 3 3 2" xfId="18052" xr:uid="{AFF7B89D-72E4-4C01-8F77-B20ACC9874D6}"/>
    <cellStyle name="Neutral 2 2 2 2 2 3 3 2 2" xfId="18053" xr:uid="{2E4BA900-5D6C-4378-99A4-DF2C4920B26F}"/>
    <cellStyle name="Neutral 2 2 2 2 2 3 3 2 3" xfId="18054" xr:uid="{E9618B66-7C35-4DA6-8940-251560B10C87}"/>
    <cellStyle name="Neutral 2 2 2 2 2 3 3 2 4" xfId="18055" xr:uid="{55D4E49C-0497-4CC2-8E8A-9D7ABCB2CD12}"/>
    <cellStyle name="Neutral 2 2 2 2 2 3 3 2 5" xfId="18056" xr:uid="{C76569D1-04F5-4EE2-A1C1-6E490D57E335}"/>
    <cellStyle name="Neutral 2 2 2 2 2 3 3 3" xfId="18057" xr:uid="{9B777D8C-DF94-45B0-9ABE-51F922D96EF8}"/>
    <cellStyle name="Neutral 2 2 2 2 2 3 3 4" xfId="18058" xr:uid="{0D66F4E8-3764-4EAF-B983-65B8ACB68AA8}"/>
    <cellStyle name="Neutral 2 2 2 2 2 3 3 5" xfId="18059" xr:uid="{CEEA3B6F-6597-4ADE-B79A-E0C85B66437D}"/>
    <cellStyle name="Neutral 2 2 2 2 2 3 4" xfId="18060" xr:uid="{1107E39E-62AD-4DBC-AC4E-01C573301374}"/>
    <cellStyle name="Neutral 2 2 2 2 2 3 5" xfId="18061" xr:uid="{35603C3F-4B0E-471F-8B2E-AD19BEF292C2}"/>
    <cellStyle name="Neutral 2 2 2 2 2 3 6" xfId="18062" xr:uid="{E7FDBAEE-2385-40A2-AF9D-B57CDBA0F272}"/>
    <cellStyle name="Neutral 2 2 2 2 2 3 7" xfId="18063" xr:uid="{68B1369B-2CAA-421D-A5CC-971C832017EC}"/>
    <cellStyle name="Neutral 2 2 2 2 2 3 8" xfId="18064" xr:uid="{61100FEF-4746-42CF-8D78-6032A37AF112}"/>
    <cellStyle name="Neutral 2 2 2 2 2 3 9" xfId="18065" xr:uid="{0DAB8E0D-EAB6-4E63-8583-F7B9A93D18F5}"/>
    <cellStyle name="Neutral 2 2 2 2 2 4" xfId="18066" xr:uid="{3A5F461F-3EFB-46B2-8B38-14FCE5D68589}"/>
    <cellStyle name="Neutral 2 2 2 2 2 5" xfId="18067" xr:uid="{245B18B4-C0D2-4B56-8022-1FDC42695C69}"/>
    <cellStyle name="Neutral 2 2 2 2 2 6" xfId="18068" xr:uid="{2F9413F5-EBB3-4B57-9A36-B20CCA9F2A0B}"/>
    <cellStyle name="Neutral 2 2 2 2 3" xfId="18069" xr:uid="{88AF08FC-251F-43FE-B56F-1C0DE4BB2D88}"/>
    <cellStyle name="Neutral 2 2 2 2 4" xfId="18070" xr:uid="{CC95DB0A-5C76-4861-A114-05EE3B3FF5BA}"/>
    <cellStyle name="Neutral 2 2 2 2 4 10" xfId="18071" xr:uid="{379CC724-0868-489A-80BA-3A4BE6F4DA34}"/>
    <cellStyle name="Neutral 2 2 2 2 4 11" xfId="18072" xr:uid="{5746B9B0-F629-416D-B9E7-8D376BC143A6}"/>
    <cellStyle name="Neutral 2 2 2 2 4 2" xfId="18073" xr:uid="{62418A08-A7FB-4F5E-9905-41F6E1ED1CCE}"/>
    <cellStyle name="Neutral 2 2 2 2 4 2 10" xfId="18074" xr:uid="{0EFB972D-5713-4665-B629-27543F733A94}"/>
    <cellStyle name="Neutral 2 2 2 2 4 2 11" xfId="18075" xr:uid="{EE3FEEC0-C063-475D-9521-E659CB790388}"/>
    <cellStyle name="Neutral 2 2 2 2 4 2 2" xfId="18076" xr:uid="{9C92B892-D420-451F-A4F5-5D2962EE233E}"/>
    <cellStyle name="Neutral 2 2 2 2 4 2 2 2" xfId="18077" xr:uid="{AC58A79B-DEBA-49DE-85DD-56243017F07A}"/>
    <cellStyle name="Neutral 2 2 2 2 4 2 2 2 2" xfId="18078" xr:uid="{B6213251-EB2C-4436-A1CC-E393ECC87A62}"/>
    <cellStyle name="Neutral 2 2 2 2 4 2 2 2 3" xfId="18079" xr:uid="{498F4225-3F9B-4ED9-89C0-68F5E7F54675}"/>
    <cellStyle name="Neutral 2 2 2 2 4 2 2 2 4" xfId="18080" xr:uid="{4980D2B6-97A7-4A16-B0EC-B1A28D44C096}"/>
    <cellStyle name="Neutral 2 2 2 2 4 2 2 2 5" xfId="18081" xr:uid="{B9DFBC7B-6C79-4090-A9D3-A6D1FEF4184E}"/>
    <cellStyle name="Neutral 2 2 2 2 4 2 2 3" xfId="18082" xr:uid="{0E89AD2B-D3EF-4BBE-9DB4-5CE31EE430B7}"/>
    <cellStyle name="Neutral 2 2 2 2 4 2 2 4" xfId="18083" xr:uid="{85F687D6-80BB-46DE-9640-6EE5008910D5}"/>
    <cellStyle name="Neutral 2 2 2 2 4 2 2 5" xfId="18084" xr:uid="{A878015D-D43A-4923-BF17-7B7198216776}"/>
    <cellStyle name="Neutral 2 2 2 2 4 2 3" xfId="18085" xr:uid="{B3A8FDFC-EE65-40F4-9EE3-987F8CA343B0}"/>
    <cellStyle name="Neutral 2 2 2 2 4 2 4" xfId="18086" xr:uid="{CB1C4F11-8DCE-4DB9-9CF5-49FEB0D7E64F}"/>
    <cellStyle name="Neutral 2 2 2 2 4 2 5" xfId="18087" xr:uid="{DFD88B36-C592-4E6D-BC8C-A98FFD9C2965}"/>
    <cellStyle name="Neutral 2 2 2 2 4 2 6" xfId="18088" xr:uid="{104045C7-D411-40D6-A05E-AFBE2D8CE63D}"/>
    <cellStyle name="Neutral 2 2 2 2 4 2 7" xfId="18089" xr:uid="{D79D9E09-186A-48C8-84D4-DCB345702448}"/>
    <cellStyle name="Neutral 2 2 2 2 4 2 8" xfId="18090" xr:uid="{3398EDD2-84FA-435A-BF10-66D92951593B}"/>
    <cellStyle name="Neutral 2 2 2 2 4 2 9" xfId="18091" xr:uid="{E175801D-A00C-45A9-8A71-DF833512510A}"/>
    <cellStyle name="Neutral 2 2 2 2 4 3" xfId="18092" xr:uid="{747B5FA5-6C08-4C56-BB56-FD7A76893E50}"/>
    <cellStyle name="Neutral 2 2 2 2 4 3 2" xfId="18093" xr:uid="{51D3AB80-D892-4EC7-A0BD-BFD0BE358CAE}"/>
    <cellStyle name="Neutral 2 2 2 2 4 3 2 2" xfId="18094" xr:uid="{1DDFA4B8-B64F-4C02-A46C-53F30AB0D241}"/>
    <cellStyle name="Neutral 2 2 2 2 4 3 2 3" xfId="18095" xr:uid="{F7DDCDE1-A7CB-4F0B-894B-1E4D9AF3FACB}"/>
    <cellStyle name="Neutral 2 2 2 2 4 3 2 4" xfId="18096" xr:uid="{06DBB1C2-1A95-4FFB-BD66-65D2C0D2B68D}"/>
    <cellStyle name="Neutral 2 2 2 2 4 3 2 5" xfId="18097" xr:uid="{32D6970E-EFC7-4B81-B811-2EC7E464A04F}"/>
    <cellStyle name="Neutral 2 2 2 2 4 3 3" xfId="18098" xr:uid="{E84ABB89-2831-4B02-9215-9CF35007DC26}"/>
    <cellStyle name="Neutral 2 2 2 2 4 3 4" xfId="18099" xr:uid="{B2210BA2-139E-4927-AC2C-91D6FA661E66}"/>
    <cellStyle name="Neutral 2 2 2 2 4 3 5" xfId="18100" xr:uid="{0AD93FF8-44B5-4973-A572-9D51B41686E2}"/>
    <cellStyle name="Neutral 2 2 2 2 4 4" xfId="18101" xr:uid="{3B96E1AC-59C9-4C2D-ADF7-AD4618441148}"/>
    <cellStyle name="Neutral 2 2 2 2 4 5" xfId="18102" xr:uid="{70D70282-3D07-4AE4-8F74-3FEDFA1684CD}"/>
    <cellStyle name="Neutral 2 2 2 2 4 6" xfId="18103" xr:uid="{F4F6C298-89F5-46B8-BCAE-63C61EED941C}"/>
    <cellStyle name="Neutral 2 2 2 2 4 7" xfId="18104" xr:uid="{BE11C5AC-6EB4-448E-8946-0782289CF7D4}"/>
    <cellStyle name="Neutral 2 2 2 2 4 8" xfId="18105" xr:uid="{DB2354B3-296A-4CB5-AB0E-08B8FD0F52B0}"/>
    <cellStyle name="Neutral 2 2 2 2 4 9" xfId="18106" xr:uid="{8C2F03F9-35E8-4D9F-A255-ED0A969CB5FC}"/>
    <cellStyle name="Neutral 2 2 2 2 5" xfId="18107" xr:uid="{1A5276B4-64E2-401F-BC38-5C8190659094}"/>
    <cellStyle name="Neutral 2 2 2 2 6" xfId="18108" xr:uid="{4D74C090-8A98-49FA-B42D-4EB1C0B41732}"/>
    <cellStyle name="Neutral 2 2 2 2 7" xfId="18109" xr:uid="{3BEFCE52-57F0-44F0-90E4-759B09E0E1C4}"/>
    <cellStyle name="Neutral 2 2 2 3" xfId="18110" xr:uid="{8225E751-F822-4A31-87F0-349D76D5F933}"/>
    <cellStyle name="Neutral 2 2 2 4" xfId="18111" xr:uid="{1E002122-DFBE-4056-9804-3CB398DEBB4A}"/>
    <cellStyle name="Neutral 2 2 2 5" xfId="18112" xr:uid="{8852F1AA-130B-4E4A-907C-3BD2AB26C355}"/>
    <cellStyle name="Neutral 2 2 2 5 10" xfId="18113" xr:uid="{51F1D714-4DE3-4CAB-A6E2-8CC3E4229270}"/>
    <cellStyle name="Neutral 2 2 2 5 11" xfId="18114" xr:uid="{A5D93A3F-996D-4296-8538-B1394FEF1486}"/>
    <cellStyle name="Neutral 2 2 2 5 2" xfId="18115" xr:uid="{1EC9942D-8F47-4C26-9520-00A0BFE6493D}"/>
    <cellStyle name="Neutral 2 2 2 5 2 10" xfId="18116" xr:uid="{D31BDBAE-3E84-4A03-9C11-423FB5B4F9DF}"/>
    <cellStyle name="Neutral 2 2 2 5 2 11" xfId="18117" xr:uid="{7BB314CE-C35F-4223-83D0-ACB494792E83}"/>
    <cellStyle name="Neutral 2 2 2 5 2 2" xfId="18118" xr:uid="{0AAF1825-8AF7-4B97-996D-07060B3A37BA}"/>
    <cellStyle name="Neutral 2 2 2 5 2 2 2" xfId="18119" xr:uid="{96D3F019-2B55-4FF2-B55E-220C2F0B5DA0}"/>
    <cellStyle name="Neutral 2 2 2 5 2 2 2 2" xfId="18120" xr:uid="{9DE012CA-AC25-45B0-AAF9-AAABE6A447B2}"/>
    <cellStyle name="Neutral 2 2 2 5 2 2 2 3" xfId="18121" xr:uid="{BD77BFF4-B6F3-4F31-BBBE-0B9ABF1E0A9C}"/>
    <cellStyle name="Neutral 2 2 2 5 2 2 2 4" xfId="18122" xr:uid="{3FC8ADBA-AA74-47B4-99E7-14CBFA5F6079}"/>
    <cellStyle name="Neutral 2 2 2 5 2 2 2 5" xfId="18123" xr:uid="{4498439E-9EDB-4386-BE2C-F575164A9AC2}"/>
    <cellStyle name="Neutral 2 2 2 5 2 2 3" xfId="18124" xr:uid="{12C896DB-4A20-4B01-96CF-335272A7912E}"/>
    <cellStyle name="Neutral 2 2 2 5 2 2 4" xfId="18125" xr:uid="{20E8AF77-C93C-4885-B989-2D8613B85B31}"/>
    <cellStyle name="Neutral 2 2 2 5 2 2 5" xfId="18126" xr:uid="{DDDD316A-C882-4809-8371-B074266D3E80}"/>
    <cellStyle name="Neutral 2 2 2 5 2 3" xfId="18127" xr:uid="{CC01B3D5-A857-4CC2-9AE2-AF8DC70B71BB}"/>
    <cellStyle name="Neutral 2 2 2 5 2 4" xfId="18128" xr:uid="{7160BB42-A9BB-4A69-8649-0C1F3B51534E}"/>
    <cellStyle name="Neutral 2 2 2 5 2 5" xfId="18129" xr:uid="{D9A29410-E83E-4E29-BBA9-7137FFE521F3}"/>
    <cellStyle name="Neutral 2 2 2 5 2 6" xfId="18130" xr:uid="{A68C19E0-15A0-4659-9DA3-8C26310FA918}"/>
    <cellStyle name="Neutral 2 2 2 5 2 7" xfId="18131" xr:uid="{42735416-C378-4A28-A939-A7BCEBD94415}"/>
    <cellStyle name="Neutral 2 2 2 5 2 8" xfId="18132" xr:uid="{D021E577-635D-44A7-9CEF-1F17923F231F}"/>
    <cellStyle name="Neutral 2 2 2 5 2 9" xfId="18133" xr:uid="{D918B9FA-27DA-4F3D-BA9B-4E8FE616BE96}"/>
    <cellStyle name="Neutral 2 2 2 5 3" xfId="18134" xr:uid="{E919CC21-FDCE-486A-9DDC-397F6A8B648A}"/>
    <cellStyle name="Neutral 2 2 2 5 3 2" xfId="18135" xr:uid="{DB5BE1F6-1D61-41C2-A75F-4E693B5936F3}"/>
    <cellStyle name="Neutral 2 2 2 5 3 2 2" xfId="18136" xr:uid="{D4530872-0000-43BC-BC57-F0301A05A425}"/>
    <cellStyle name="Neutral 2 2 2 5 3 2 3" xfId="18137" xr:uid="{2BD2EEF0-6B28-4C0E-9E45-87E191CB0037}"/>
    <cellStyle name="Neutral 2 2 2 5 3 2 4" xfId="18138" xr:uid="{E3D0A2EE-D81E-49F3-9F74-564CA0D27BCF}"/>
    <cellStyle name="Neutral 2 2 2 5 3 2 5" xfId="18139" xr:uid="{9A3938C6-2EA6-4751-B516-244E3A82E7CE}"/>
    <cellStyle name="Neutral 2 2 2 5 3 3" xfId="18140" xr:uid="{413FCC03-4732-4EF8-9BD3-45B5991FE885}"/>
    <cellStyle name="Neutral 2 2 2 5 3 4" xfId="18141" xr:uid="{0AE50939-7CF4-4D50-9776-7720FF10B4EE}"/>
    <cellStyle name="Neutral 2 2 2 5 3 5" xfId="18142" xr:uid="{679682DE-8D2D-4399-AA84-3E1C3A2AF4EE}"/>
    <cellStyle name="Neutral 2 2 2 5 4" xfId="18143" xr:uid="{0728CEF2-AAA0-42C6-B77E-5B778C6E3742}"/>
    <cellStyle name="Neutral 2 2 2 5 5" xfId="18144" xr:uid="{BB3426F6-A1B8-46E5-9C66-E0C3F9E21FA5}"/>
    <cellStyle name="Neutral 2 2 2 5 6" xfId="18145" xr:uid="{2EA83E4E-A9B4-4585-804A-57A4068F7234}"/>
    <cellStyle name="Neutral 2 2 2 5 7" xfId="18146" xr:uid="{D296C38B-5BAD-424B-889B-9398AD8882B5}"/>
    <cellStyle name="Neutral 2 2 2 5 8" xfId="18147" xr:uid="{1569A719-0798-4BE5-9D72-1E3EB2C2F253}"/>
    <cellStyle name="Neutral 2 2 2 5 9" xfId="18148" xr:uid="{DAAD8149-307E-4D32-837C-CBE0F847F120}"/>
    <cellStyle name="Neutral 2 2 2 6" xfId="18149" xr:uid="{A85CE509-9C0A-4E3D-AE3A-86E5A431E53F}"/>
    <cellStyle name="Neutral 2 2 2 7" xfId="18150" xr:uid="{E87DDC14-0336-4FC9-B58A-236AD55A0C2C}"/>
    <cellStyle name="Neutral 2 2 2 8" xfId="18151" xr:uid="{3179BBDB-A270-401C-8FC3-C8E5AC3ABB71}"/>
    <cellStyle name="Neutral 2 2 3" xfId="18152" xr:uid="{AD095612-D6DD-4668-BE85-468D7E93E555}"/>
    <cellStyle name="Neutral 2 2 4" xfId="18153" xr:uid="{14119BC4-43E5-4087-A9B7-B04F41930076}"/>
    <cellStyle name="Neutral 2 2 5" xfId="18154" xr:uid="{1F3B60DE-4060-4755-A7A9-3DFA11B308EC}"/>
    <cellStyle name="Neutral 2 2 6" xfId="18155" xr:uid="{E3D4617A-227E-4C3C-B253-D50C7AFCC69C}"/>
    <cellStyle name="Neutral 2 2 7" xfId="18156" xr:uid="{AAB6F0F8-90E0-4F52-9EF4-CE30670B8550}"/>
    <cellStyle name="Neutral 2 2 8" xfId="18157" xr:uid="{6501D759-69B1-4799-8207-849C19304E90}"/>
    <cellStyle name="Neutral 2 2 8 2" xfId="18158" xr:uid="{59CF9AE3-58AD-411D-A90F-732B03059742}"/>
    <cellStyle name="Neutral 2 2 9" xfId="18159" xr:uid="{8164CFBC-BB1E-452F-B1DE-571C23E10379}"/>
    <cellStyle name="Neutral 2 3" xfId="18160" xr:uid="{78A1D28C-3C31-46BA-AE2D-AB8FD2DFE325}"/>
    <cellStyle name="Neutral 2 4" xfId="18161" xr:uid="{580A0488-6BA9-46E6-8200-D409B7E39FD1}"/>
    <cellStyle name="Neutral 2 4 10" xfId="18162" xr:uid="{EA4457B2-0A29-43E5-BFFC-FF63F8AE5666}"/>
    <cellStyle name="Neutral 2 4 11" xfId="18163" xr:uid="{E4BBE96B-6389-4DF4-BF72-208C07F84768}"/>
    <cellStyle name="Neutral 2 4 12" xfId="18164" xr:uid="{2151AA3F-DE42-4A5F-9D80-D1CF0B550F0A}"/>
    <cellStyle name="Neutral 2 4 2" xfId="18165" xr:uid="{67DE237F-1BAA-4E9A-91DF-5A400247DD4E}"/>
    <cellStyle name="Neutral 2 4 2 10" xfId="18166" xr:uid="{0B2EFE89-CEB9-40AE-A67E-C89D003368E9}"/>
    <cellStyle name="Neutral 2 4 2 11" xfId="18167" xr:uid="{32E153EC-E9A0-43E8-98C7-07EBE13468DD}"/>
    <cellStyle name="Neutral 2 4 2 12" xfId="18168" xr:uid="{FAAAB8EC-DC09-48C2-828D-C8D36550D287}"/>
    <cellStyle name="Neutral 2 4 2 2" xfId="18169" xr:uid="{46AEB9D8-1BEE-4B49-A730-A883B094F266}"/>
    <cellStyle name="Neutral 2 4 2 2 10" xfId="18170" xr:uid="{43F9A356-7EE0-42A5-92F5-7049619579CE}"/>
    <cellStyle name="Neutral 2 4 2 2 11" xfId="18171" xr:uid="{53C75045-BF45-4D00-8AB5-A30432A452A5}"/>
    <cellStyle name="Neutral 2 4 2 2 2" xfId="18172" xr:uid="{881842F6-F980-49F0-953D-07E3D0EA8296}"/>
    <cellStyle name="Neutral 2 4 2 2 2 10" xfId="18173" xr:uid="{FDE2C1A1-32DA-44A9-B171-478C33B25E2D}"/>
    <cellStyle name="Neutral 2 4 2 2 2 11" xfId="18174" xr:uid="{9CF2D1B1-A3D3-4EDF-904C-96E85F4C999C}"/>
    <cellStyle name="Neutral 2 4 2 2 2 2" xfId="18175" xr:uid="{C2F5DEBD-DEB7-4AC1-9AC3-712448A2BB21}"/>
    <cellStyle name="Neutral 2 4 2 2 2 2 2" xfId="18176" xr:uid="{2CCBFAEB-9517-4641-B67C-14E6EDCD40C8}"/>
    <cellStyle name="Neutral 2 4 2 2 2 2 2 2" xfId="18177" xr:uid="{A7AA6C93-77E5-4FEE-80A1-897EA06E2ADB}"/>
    <cellStyle name="Neutral 2 4 2 2 2 2 2 3" xfId="18178" xr:uid="{15FA5684-22EA-48EE-8B58-96EA223D74B8}"/>
    <cellStyle name="Neutral 2 4 2 2 2 2 2 4" xfId="18179" xr:uid="{4AD3F92C-3444-4B4F-9C77-FA48D078B397}"/>
    <cellStyle name="Neutral 2 4 2 2 2 2 2 5" xfId="18180" xr:uid="{6C500383-4251-4B93-8D5F-B4A9E12E9517}"/>
    <cellStyle name="Neutral 2 4 2 2 2 2 3" xfId="18181" xr:uid="{E5870F0C-9425-4651-A8A1-BA728435D613}"/>
    <cellStyle name="Neutral 2 4 2 2 2 2 4" xfId="18182" xr:uid="{4681CB55-65F1-4CD0-973E-945192071C65}"/>
    <cellStyle name="Neutral 2 4 2 2 2 2 5" xfId="18183" xr:uid="{C4C68AED-2A53-4B68-9F1F-83036E2DE6F3}"/>
    <cellStyle name="Neutral 2 4 2 2 2 3" xfId="18184" xr:uid="{5D7F6945-C024-4282-903F-84F5C48B241D}"/>
    <cellStyle name="Neutral 2 4 2 2 2 4" xfId="18185" xr:uid="{4D491416-862F-46F8-A8D0-72784BB1A12D}"/>
    <cellStyle name="Neutral 2 4 2 2 2 5" xfId="18186" xr:uid="{552B0BCF-1058-4B8E-BBEE-02EDC47DFA50}"/>
    <cellStyle name="Neutral 2 4 2 2 2 6" xfId="18187" xr:uid="{8EB222F4-A2D3-45E6-A9E4-03626640430D}"/>
    <cellStyle name="Neutral 2 4 2 2 2 7" xfId="18188" xr:uid="{0B25008E-DD04-429C-AED8-3ECF247314CB}"/>
    <cellStyle name="Neutral 2 4 2 2 2 8" xfId="18189" xr:uid="{AAED6CD6-1A73-4336-88BE-218686C8A9D2}"/>
    <cellStyle name="Neutral 2 4 2 2 2 9" xfId="18190" xr:uid="{C6C4A6EC-BEC1-4267-8025-B90A1C7AFC94}"/>
    <cellStyle name="Neutral 2 4 2 2 3" xfId="18191" xr:uid="{5FBB4DD9-3622-4E15-B251-E8337006D8D8}"/>
    <cellStyle name="Neutral 2 4 2 2 3 2" xfId="18192" xr:uid="{8EB6FF48-BE1C-4F7A-80DB-6036950752B7}"/>
    <cellStyle name="Neutral 2 4 2 2 3 2 2" xfId="18193" xr:uid="{A9F31D45-B38D-4505-9902-36C2100EFDAB}"/>
    <cellStyle name="Neutral 2 4 2 2 3 2 3" xfId="18194" xr:uid="{9F709657-B5BE-4C75-8012-E71F6BABDCD6}"/>
    <cellStyle name="Neutral 2 4 2 2 3 2 4" xfId="18195" xr:uid="{0C9526BF-E6C7-4BB0-99FE-A7E046CED930}"/>
    <cellStyle name="Neutral 2 4 2 2 3 2 5" xfId="18196" xr:uid="{0E2971BD-AAC0-4D30-BEC1-3FF2C07B5365}"/>
    <cellStyle name="Neutral 2 4 2 2 3 3" xfId="18197" xr:uid="{36E6EE4D-82BD-4246-A4F3-28EA61E4F36A}"/>
    <cellStyle name="Neutral 2 4 2 2 3 4" xfId="18198" xr:uid="{A6BAEC01-1759-452B-ACC3-EE98370BC235}"/>
    <cellStyle name="Neutral 2 4 2 2 3 5" xfId="18199" xr:uid="{EF53BCF9-D092-44CC-8DCB-91FB797948E2}"/>
    <cellStyle name="Neutral 2 4 2 2 4" xfId="18200" xr:uid="{F9E9DACE-9F17-4417-9844-B479D7A520D0}"/>
    <cellStyle name="Neutral 2 4 2 2 5" xfId="18201" xr:uid="{C99ED5C6-7308-48FD-B90B-C2626F623536}"/>
    <cellStyle name="Neutral 2 4 2 2 6" xfId="18202" xr:uid="{889EA332-B346-4B23-909A-7F9D6EB4031C}"/>
    <cellStyle name="Neutral 2 4 2 2 7" xfId="18203" xr:uid="{B1E671BB-5B03-4154-A728-39E65D254B65}"/>
    <cellStyle name="Neutral 2 4 2 2 8" xfId="18204" xr:uid="{4AABB457-7E56-4059-B664-1597C63F1661}"/>
    <cellStyle name="Neutral 2 4 2 2 9" xfId="18205" xr:uid="{25A3A9A8-DE4A-4F66-B485-1107D1AB6021}"/>
    <cellStyle name="Neutral 2 4 2 3" xfId="18206" xr:uid="{09480994-6E14-4C0F-A738-ACAA789258A9}"/>
    <cellStyle name="Neutral 2 4 2 3 2" xfId="18207" xr:uid="{C65B5B5C-7D25-4363-8496-DFF736B8C9BC}"/>
    <cellStyle name="Neutral 2 4 2 3 2 2" xfId="18208" xr:uid="{306B30D7-1A4B-44D1-9CBF-6C1F14193310}"/>
    <cellStyle name="Neutral 2 4 2 3 2 3" xfId="18209" xr:uid="{7CA1E83D-A8D6-4E7F-9A13-9FC4B9EA7CD5}"/>
    <cellStyle name="Neutral 2 4 2 3 2 4" xfId="18210" xr:uid="{AC340587-FEC9-4F94-A2DD-831B13CA61C8}"/>
    <cellStyle name="Neutral 2 4 2 3 2 5" xfId="18211" xr:uid="{BCFDEE0B-1D42-4998-8401-03984BA7B6B9}"/>
    <cellStyle name="Neutral 2 4 2 3 3" xfId="18212" xr:uid="{D2428EDB-EB06-4959-84AD-32C830DF6007}"/>
    <cellStyle name="Neutral 2 4 2 3 4" xfId="18213" xr:uid="{CC98FC8E-EC5F-49C9-9F92-4E55102A8B9A}"/>
    <cellStyle name="Neutral 2 4 2 3 5" xfId="18214" xr:uid="{CDD364A1-716E-47B4-BC2F-A0305CA5B969}"/>
    <cellStyle name="Neutral 2 4 2 4" xfId="18215" xr:uid="{D0D63239-155F-4DA0-9E2A-11F10B0C67F0}"/>
    <cellStyle name="Neutral 2 4 2 5" xfId="18216" xr:uid="{26943499-786D-4654-B09F-570760987A35}"/>
    <cellStyle name="Neutral 2 4 2 6" xfId="18217" xr:uid="{6AA81359-A245-4756-8271-0C7FB03AFF42}"/>
    <cellStyle name="Neutral 2 4 2 7" xfId="18218" xr:uid="{4F1C585C-B29F-46A7-A3BB-CC55EA9792B7}"/>
    <cellStyle name="Neutral 2 4 2 8" xfId="18219" xr:uid="{2437E23A-E28F-4CC2-A75F-A350CBCB3617}"/>
    <cellStyle name="Neutral 2 4 2 9" xfId="18220" xr:uid="{40F051FD-7F8F-46DF-900A-2A214DCD1111}"/>
    <cellStyle name="Neutral 2 4 3" xfId="18221" xr:uid="{7C52012F-BBEE-47FD-A4F0-F1B721EC1BCC}"/>
    <cellStyle name="Neutral 2 4 3 10" xfId="18222" xr:uid="{8DC65B01-9C0C-42C5-BCDB-2F18B0019600}"/>
    <cellStyle name="Neutral 2 4 3 11" xfId="18223" xr:uid="{288D4524-976D-43A9-AFBA-ECDEF8E4ECD9}"/>
    <cellStyle name="Neutral 2 4 3 2" xfId="18224" xr:uid="{43DF5FB7-253A-4614-9654-B94CE2D681A3}"/>
    <cellStyle name="Neutral 2 4 3 2 2" xfId="18225" xr:uid="{CA2F1B39-248E-4E5F-BA30-2DBA20E264ED}"/>
    <cellStyle name="Neutral 2 4 3 2 2 2" xfId="18226" xr:uid="{B7B1A532-296B-4E19-9590-28DDE868E731}"/>
    <cellStyle name="Neutral 2 4 3 2 2 3" xfId="18227" xr:uid="{451B2EFD-21B2-4144-BA8F-80D76655724C}"/>
    <cellStyle name="Neutral 2 4 3 2 2 4" xfId="18228" xr:uid="{81C06645-2AD6-48A4-B6C3-9919215FB989}"/>
    <cellStyle name="Neutral 2 4 3 2 2 5" xfId="18229" xr:uid="{7EF33B0D-971C-441F-BFBD-0AFFF7627004}"/>
    <cellStyle name="Neutral 2 4 3 2 3" xfId="18230" xr:uid="{078B7588-D543-4F39-BD83-27DDA583657B}"/>
    <cellStyle name="Neutral 2 4 3 2 4" xfId="18231" xr:uid="{E4EC9F14-CF1F-4B6C-901A-47C6115E9C39}"/>
    <cellStyle name="Neutral 2 4 3 2 5" xfId="18232" xr:uid="{53E86B32-A064-4980-8D96-1B389AB6A613}"/>
    <cellStyle name="Neutral 2 4 3 3" xfId="18233" xr:uid="{9C88B017-297C-4597-9F8B-DC932289B417}"/>
    <cellStyle name="Neutral 2 4 3 4" xfId="18234" xr:uid="{F28307EA-1F95-422F-ACDD-01B446B3B7C0}"/>
    <cellStyle name="Neutral 2 4 3 5" xfId="18235" xr:uid="{E3621BEF-4286-404E-AD6B-CB13FD1D27C2}"/>
    <cellStyle name="Neutral 2 4 3 6" xfId="18236" xr:uid="{D4CBA49B-15D4-4680-8A38-DC5B2F1CBF4F}"/>
    <cellStyle name="Neutral 2 4 3 7" xfId="18237" xr:uid="{A4B0638D-C9CD-4A1D-B20D-D209D899D8A1}"/>
    <cellStyle name="Neutral 2 4 3 8" xfId="18238" xr:uid="{EC63207D-2419-418D-A60F-44B5FFFA5826}"/>
    <cellStyle name="Neutral 2 4 3 9" xfId="18239" xr:uid="{0BF20854-0B75-445C-9A41-B12AF8C0508E}"/>
    <cellStyle name="Neutral 2 4 4" xfId="18240" xr:uid="{F7D06604-4E69-4CEC-B940-A69AEBFD2ACD}"/>
    <cellStyle name="Neutral 2 4 4 2" xfId="18241" xr:uid="{CBC5B038-075D-4A97-B40B-3604C4B91173}"/>
    <cellStyle name="Neutral 2 4 4 2 2" xfId="18242" xr:uid="{734A8401-BE15-457F-9A87-8CA9FB8FF479}"/>
    <cellStyle name="Neutral 2 4 4 2 3" xfId="18243" xr:uid="{CD8BD23A-2687-4CD5-80D4-8BEA05BC9E72}"/>
    <cellStyle name="Neutral 2 4 4 2 4" xfId="18244" xr:uid="{6B3D896B-9C5A-4671-AE9B-DE7A5E08A90C}"/>
    <cellStyle name="Neutral 2 4 4 2 5" xfId="18245" xr:uid="{BBA1A8B1-C1A6-46BB-98AA-131B0922BFEC}"/>
    <cellStyle name="Neutral 2 4 4 3" xfId="18246" xr:uid="{C6F73902-E52B-4AE0-BF9D-384856E9D749}"/>
    <cellStyle name="Neutral 2 4 4 4" xfId="18247" xr:uid="{D71DE993-3771-4683-A7D5-2657FD24D919}"/>
    <cellStyle name="Neutral 2 4 4 5" xfId="18248" xr:uid="{383D400D-EA7F-42D9-9A1E-3CF740574278}"/>
    <cellStyle name="Neutral 2 4 5" xfId="18249" xr:uid="{427BC71D-7175-4FC5-97EB-8203C249E0CC}"/>
    <cellStyle name="Neutral 2 4 6" xfId="18250" xr:uid="{DD185B29-0DFD-4FC5-8CD5-149BFD8FB302}"/>
    <cellStyle name="Neutral 2 4 7" xfId="18251" xr:uid="{18FBB9CB-65AF-4AFD-A5C4-A1AD9B531657}"/>
    <cellStyle name="Neutral 2 4 8" xfId="18252" xr:uid="{A2273CA5-6320-4F74-A2E1-4D3C0672A845}"/>
    <cellStyle name="Neutral 2 4 9" xfId="18253" xr:uid="{A86D5583-A4B9-4C62-AC62-38B98DE2E34E}"/>
    <cellStyle name="Neutral 2 5" xfId="18254" xr:uid="{F9719A06-E2A1-428E-8526-006835991E37}"/>
    <cellStyle name="Neutral 2 6" xfId="18255" xr:uid="{E3DB939C-0FB3-4039-84C0-ECB943334FBB}"/>
    <cellStyle name="Neutral 2 7" xfId="18256" xr:uid="{62FD1DFC-E696-4EA8-B431-27847FB60E12}"/>
    <cellStyle name="Neutral 2 8" xfId="18257" xr:uid="{24826969-640A-4A74-9C9E-9B5922864053}"/>
    <cellStyle name="Neutral 2 8 2" xfId="18258" xr:uid="{5AFB3FBB-3789-4589-A803-1C5022E04F1C}"/>
    <cellStyle name="Neutral 2 9" xfId="18259" xr:uid="{57003F61-BFD5-40DE-AE6D-813B39250C80}"/>
    <cellStyle name="Neutral 3" xfId="18260" xr:uid="{35B290E3-6762-41C3-9808-EBC111BD1D0F}"/>
    <cellStyle name="Neutral 3 2" xfId="18261" xr:uid="{5C43EC40-74EA-4BF7-A5F2-E4452DC1CEB9}"/>
    <cellStyle name="Neutral 3 3" xfId="18262" xr:uid="{2A965786-47A3-41BB-B298-3EB2BB8CB069}"/>
    <cellStyle name="Neutral 4" xfId="18263" xr:uid="{DF8A1FBD-BC32-412C-8B63-11445A6F7BE9}"/>
    <cellStyle name="Neutral 5" xfId="43479" xr:uid="{AEE078F5-3038-491B-B73D-BBEE9A8B330E}"/>
    <cellStyle name="no dec" xfId="18264" xr:uid="{DA0E8464-DAB3-46E9-80E4-281153E9E956}"/>
    <cellStyle name="Normal" xfId="0" builtinId="0"/>
    <cellStyle name="Normal - Style1" xfId="18265" xr:uid="{DC742E8C-3E4E-467F-B0EC-3DFD2CD24093}"/>
    <cellStyle name="Normal 10" xfId="18266" xr:uid="{7151460D-97C2-41CC-8F6D-59C5B3077478}"/>
    <cellStyle name="Normal 10 10" xfId="18267" xr:uid="{5BDF524D-62D1-40EA-A2ED-235BCB921D48}"/>
    <cellStyle name="Normal 10 11" xfId="18268" xr:uid="{D70623C0-7CE6-47DC-8175-F16538C03578}"/>
    <cellStyle name="Normal 10 12" xfId="18269" xr:uid="{C9B36C45-0A76-46DF-80AF-C46CAE3CCB0E}"/>
    <cellStyle name="Normal 10 13" xfId="18270" xr:uid="{F4380885-AD2F-4370-B8D8-1848E61193CC}"/>
    <cellStyle name="Normal 10 14" xfId="18271" xr:uid="{516217AD-AC3C-48E9-A460-ABDD8FC00739}"/>
    <cellStyle name="Normal 10 15" xfId="18272" xr:uid="{31F174B7-6649-4E4F-A070-BE663033A339}"/>
    <cellStyle name="Normal 10 16" xfId="44425" xr:uid="{3EE9B2ED-0F56-43D7-AB01-523EA647861A}"/>
    <cellStyle name="Normal 10 2" xfId="75" xr:uid="{3BE4C093-CEB5-46B2-BC0B-A7AF360F6BE8}"/>
    <cellStyle name="Normal 10 2 10" xfId="18273" xr:uid="{28E96433-4A85-41E6-883E-14DE088960AA}"/>
    <cellStyle name="Normal 10 2 11" xfId="18274" xr:uid="{08A17722-9E7B-41EA-A89D-A5A66B078C1C}"/>
    <cellStyle name="Normal 10 2 12" xfId="44426" xr:uid="{A2AE6DD0-1243-458E-B13C-E8E4C6AFC220}"/>
    <cellStyle name="Normal 10 2 2" xfId="76" xr:uid="{9DB675BE-A161-4B93-B861-633017DD1BE1}"/>
    <cellStyle name="Normal 10 2 2 2" xfId="44428" xr:uid="{6A1D998E-D20F-4DB4-8AA5-62D0D7741B43}"/>
    <cellStyle name="Normal 10 2 2 3" xfId="44427" xr:uid="{191CE7E5-7762-4CE7-92C9-27AF6230FDFA}"/>
    <cellStyle name="Normal 10 2 3" xfId="77" xr:uid="{28A520AB-27C9-43B4-9FB2-BECAF43FB4CA}"/>
    <cellStyle name="Normal 10 2 3 2" xfId="44429" xr:uid="{032936AC-766E-42BA-A914-FB537EFA3F0E}"/>
    <cellStyle name="Normal 10 2 4" xfId="78" xr:uid="{AA0D7EB0-88E0-44E5-89A1-65B29679DEC5}"/>
    <cellStyle name="Normal 10 2 5" xfId="18275" xr:uid="{319BFEAF-2050-479D-9273-0F23FE87D8E7}"/>
    <cellStyle name="Normal 10 2 6" xfId="18276" xr:uid="{F3AFDFDD-70F7-401E-ADCF-3A17CABBB96A}"/>
    <cellStyle name="Normal 10 2 7" xfId="18277" xr:uid="{4A5C1C79-5A42-49E9-9ED1-880E710D8496}"/>
    <cellStyle name="Normal 10 2 8" xfId="18278" xr:uid="{D75C5806-871E-4834-9CBB-4A02E3D50C8D}"/>
    <cellStyle name="Normal 10 2 9" xfId="18279" xr:uid="{8B40FAB0-94A0-4378-B26E-5CE15C09C733}"/>
    <cellStyle name="Normal 10 3" xfId="79" xr:uid="{6ED39847-EF30-4AF0-9EEE-BEE2FD1DA2A3}"/>
    <cellStyle name="Normal 10 3 10" xfId="18280" xr:uid="{FBD84D9A-1A28-457C-A97B-E473E40DE04D}"/>
    <cellStyle name="Normal 10 3 11" xfId="18281" xr:uid="{3FE223A7-7B7A-44B1-BFC1-C35202EF2117}"/>
    <cellStyle name="Normal 10 3 12" xfId="44430" xr:uid="{15EFCEB2-1723-443B-9995-038394C931F3}"/>
    <cellStyle name="Normal 10 3 2" xfId="80" xr:uid="{29240993-7D95-4E2A-B5ED-02ABE5B7B568}"/>
    <cellStyle name="Normal 10 3 2 2" xfId="44431" xr:uid="{BEE1DDA6-E9FF-4E23-8240-D3068057A901}"/>
    <cellStyle name="Normal 10 3 3" xfId="81" xr:uid="{A6784119-0C34-4CA1-BFC1-32A881EFBDDC}"/>
    <cellStyle name="Normal 10 3 4" xfId="82" xr:uid="{A71E74E1-A73F-4486-B71F-57120D0A80B1}"/>
    <cellStyle name="Normal 10 3 5" xfId="18282" xr:uid="{BCA2ED5B-8452-4C03-AC1A-D77EF9603DA7}"/>
    <cellStyle name="Normal 10 3 6" xfId="18283" xr:uid="{FF514DDF-ECBD-439B-8AE5-DD3445E5EB1C}"/>
    <cellStyle name="Normal 10 3 7" xfId="18284" xr:uid="{934656EA-33A3-4248-95B5-012ABB2F1CDE}"/>
    <cellStyle name="Normal 10 3 8" xfId="18285" xr:uid="{C4B84634-C0C9-496A-BE83-CBC08E6CCF97}"/>
    <cellStyle name="Normal 10 3 9" xfId="18286" xr:uid="{8B4A4DE1-BD04-4ACC-8318-E703ECAD8C36}"/>
    <cellStyle name="Normal 10 4" xfId="83" xr:uid="{80C7CC98-C1A5-4765-84B2-75AE36705A8A}"/>
    <cellStyle name="Normal 10 4 2" xfId="84" xr:uid="{C66FB21A-B0DD-488A-801B-1C507A044C50}"/>
    <cellStyle name="Normal 10 4 3" xfId="85" xr:uid="{0CC3DA2B-E0E1-408E-A67C-099E789ED6C9}"/>
    <cellStyle name="Normal 10 4 4" xfId="86" xr:uid="{E68E8782-EECB-4DD9-955A-57B5F41D6171}"/>
    <cellStyle name="Normal 10 4 5" xfId="18287" xr:uid="{0E039192-6A1B-4403-89F5-528AE33FD8E7}"/>
    <cellStyle name="Normal 10 4 6" xfId="18288" xr:uid="{3CD0A265-3CB1-4559-8496-81E01B8FE2D2}"/>
    <cellStyle name="Normal 10 4 7" xfId="18289" xr:uid="{232AE096-EFC1-47A1-B212-930B03A9343B}"/>
    <cellStyle name="Normal 10 4 8" xfId="44432" xr:uid="{4ACEBBD9-4795-4000-A22F-56F6866AF77A}"/>
    <cellStyle name="Normal 10 5" xfId="87" xr:uid="{C9509531-BD29-471E-B08E-639A5B56B601}"/>
    <cellStyle name="Normal 10 5 2" xfId="88" xr:uid="{08C1E0FC-9AE6-4B97-8745-6A8DF93DCE73}"/>
    <cellStyle name="Normal 10 5 3" xfId="89" xr:uid="{D25BC31D-CDC1-46A7-A4AB-4E8AD7E3AE37}"/>
    <cellStyle name="Normal 10 5 4" xfId="90" xr:uid="{15495305-2541-4346-BA2A-C7A57EA584E3}"/>
    <cellStyle name="Normal 10 5 5" xfId="18290" xr:uid="{89090FE0-494C-4FA6-98BB-FAFC8345AB90}"/>
    <cellStyle name="Normal 10 5 6" xfId="18291" xr:uid="{1019873D-B51A-4BBB-AE1C-83750ACD34D6}"/>
    <cellStyle name="Normal 10 5 7" xfId="18292" xr:uid="{1E78A4FB-27BE-443C-B473-3507592134EB}"/>
    <cellStyle name="Normal 10 6" xfId="91" xr:uid="{C60BE333-21D4-45EF-BBCF-0C6DF2EC1B8D}"/>
    <cellStyle name="Normal 10 6 2" xfId="92" xr:uid="{C12F1CC0-2ACE-4F46-95CF-5560C0A2675A}"/>
    <cellStyle name="Normal 10 6 2 2" xfId="93" xr:uid="{412B6550-29A6-4771-BD1A-B10716269B97}"/>
    <cellStyle name="Normal 10 6 2 3" xfId="94" xr:uid="{EB329288-3BD3-431D-8278-79113608BCE7}"/>
    <cellStyle name="Normal 10 6 2 4" xfId="95" xr:uid="{78ED9EEC-2D45-4672-B315-6391A646219C}"/>
    <cellStyle name="Normal 10 6 3" xfId="96" xr:uid="{F02D87BF-AE9E-457C-98CE-CCA8815E5ADC}"/>
    <cellStyle name="Normal 10 6 3 2" xfId="97" xr:uid="{486CA11C-F09F-4F3B-BA8E-322DEAFA71D1}"/>
    <cellStyle name="Normal 10 6 3 3" xfId="98" xr:uid="{759D9017-6129-49DA-902F-A37A58C93101}"/>
    <cellStyle name="Normal 10 6 3 4" xfId="99" xr:uid="{6F308126-F2C5-47F7-B76E-56F8F501B506}"/>
    <cellStyle name="Normal 10 7" xfId="100" xr:uid="{87CDB67B-72F2-473E-9F6B-FFD7FA03DD91}"/>
    <cellStyle name="Normal 10 7 2" xfId="101" xr:uid="{B7CE7696-B5AD-4D27-AD3F-634388F719B5}"/>
    <cellStyle name="Normal 10 7 3" xfId="102" xr:uid="{B5A03F05-B1C4-4CD5-9B72-146A81D5CEE2}"/>
    <cellStyle name="Normal 10 7 4" xfId="103" xr:uid="{5633090D-8859-4C47-8F81-12DC9C3570E8}"/>
    <cellStyle name="Normal 10 8" xfId="104" xr:uid="{3046CF7A-B09F-4225-8708-761759EC4767}"/>
    <cellStyle name="Normal 10 8 2" xfId="105" xr:uid="{185C59BF-1134-4E12-8941-1ACB6AD487D0}"/>
    <cellStyle name="Normal 10 8 3" xfId="106" xr:uid="{BEA5493E-BF21-4D50-9C2F-2DD3B7737027}"/>
    <cellStyle name="Normal 10 8 4" xfId="107" xr:uid="{82FEF0DB-52E3-40FB-87B0-A3EFD171E2BF}"/>
    <cellStyle name="Normal 10 9" xfId="108" xr:uid="{271DF63C-810F-4C93-934B-9B92427A9A58}"/>
    <cellStyle name="Normal 10 9 2" xfId="109" xr:uid="{85E4749E-9597-4A05-B4BF-0A11A00265D5}"/>
    <cellStyle name="Normal 10 9 3" xfId="110" xr:uid="{91292FE0-E589-479C-B502-60969AF02932}"/>
    <cellStyle name="Normal 10 9 4" xfId="111" xr:uid="{17E6A45F-54A1-47F0-824A-3B973EB0CEB3}"/>
    <cellStyle name="Normal 11" xfId="18293" xr:uid="{C6C6F4E8-0AC2-4B44-8C25-9FA49F1DC8F7}"/>
    <cellStyle name="Normal 11 10" xfId="18294" xr:uid="{2BF8E5A2-C456-44B9-B72E-A83E45DC91E2}"/>
    <cellStyle name="Normal 11 11" xfId="18295" xr:uid="{2751027F-077A-4F2F-8EBD-775B8E145F4A}"/>
    <cellStyle name="Normal 11 12" xfId="18296" xr:uid="{7A2F9239-8CF1-477D-902F-BC5C325056E8}"/>
    <cellStyle name="Normal 11 13" xfId="18297" xr:uid="{177BFC3C-AABA-4025-A407-4C2F3C8C9920}"/>
    <cellStyle name="Normal 11 14" xfId="18298" xr:uid="{D2F75FAB-AC65-42A0-9F15-A2F8E2000FC4}"/>
    <cellStyle name="Normal 11 15" xfId="18299" xr:uid="{19493EC8-143E-4ECE-A301-F2DB2B05EC2E}"/>
    <cellStyle name="Normal 11 16" xfId="44433" xr:uid="{DCDB8627-5494-477F-ADEB-9FC515E9B25D}"/>
    <cellStyle name="Normal 11 2" xfId="112" xr:uid="{30161CED-65F9-4DE1-9EE6-D949BD019CDE}"/>
    <cellStyle name="Normal 11 2 10" xfId="18300" xr:uid="{7A0B5D87-E399-4F66-ABA7-AAF91065C7F9}"/>
    <cellStyle name="Normal 11 2 11" xfId="18301" xr:uid="{B1ABBB83-F830-4583-B0FC-469D38FFDDA9}"/>
    <cellStyle name="Normal 11 2 2" xfId="113" xr:uid="{2D6E38A0-BD88-4479-84DA-F6725163EA44}"/>
    <cellStyle name="Normal 11 2 3" xfId="114" xr:uid="{C877A297-335D-4393-A7CC-1214E13DB80A}"/>
    <cellStyle name="Normal 11 2 4" xfId="115" xr:uid="{5FC4DBD6-0706-492D-9678-4820C2E6A477}"/>
    <cellStyle name="Normal 11 2 5" xfId="18302" xr:uid="{10B99266-461A-4964-90EF-B1C77AA3C667}"/>
    <cellStyle name="Normal 11 2 6" xfId="18303" xr:uid="{C9C57D61-AEAB-492C-9E3A-61F81A8209EC}"/>
    <cellStyle name="Normal 11 2 7" xfId="18304" xr:uid="{DD36423A-1BBB-4FA7-B6E7-87FD0CA72849}"/>
    <cellStyle name="Normal 11 2 8" xfId="18305" xr:uid="{42FF61B0-8670-4E7D-BD27-E1FB5E034DC7}"/>
    <cellStyle name="Normal 11 2 9" xfId="18306" xr:uid="{1753FEDF-9C63-4168-8416-6BE457D98754}"/>
    <cellStyle name="Normal 11 3" xfId="116" xr:uid="{67F6EE15-DA35-4430-B3F6-13DF521AA2FE}"/>
    <cellStyle name="Normal 11 3 10" xfId="18307" xr:uid="{17D59962-6088-4D67-855C-3570791DB440}"/>
    <cellStyle name="Normal 11 3 11" xfId="18308" xr:uid="{94E9DE15-AAA3-4028-A320-3C8F1F89C6F0}"/>
    <cellStyle name="Normal 11 3 2" xfId="117" xr:uid="{E1CE2424-9CC5-4ECC-B59A-7335A8E42E03}"/>
    <cellStyle name="Normal 11 3 3" xfId="118" xr:uid="{D41C2E5A-DD79-48F4-B232-98FB178675D3}"/>
    <cellStyle name="Normal 11 3 4" xfId="119" xr:uid="{F16B62CC-9344-4B44-92D0-038030678448}"/>
    <cellStyle name="Normal 11 3 5" xfId="18309" xr:uid="{9CE1A031-350B-4EE9-8AE6-7CDC381E0684}"/>
    <cellStyle name="Normal 11 3 6" xfId="18310" xr:uid="{8C4A6020-F8EB-45C6-AC16-FE10CCE063EE}"/>
    <cellStyle name="Normal 11 3 7" xfId="18311" xr:uid="{E8BBE1F6-4BF3-4315-9E56-E615C978B24C}"/>
    <cellStyle name="Normal 11 3 8" xfId="18312" xr:uid="{93B48A30-3A1F-4B5C-BCFB-2E54662EAB05}"/>
    <cellStyle name="Normal 11 3 9" xfId="18313" xr:uid="{637848EC-D2FE-491B-94E9-BBFF70156462}"/>
    <cellStyle name="Normal 11 4" xfId="120" xr:uid="{E2D600B9-385E-4B20-8D4A-A54FA782DCD3}"/>
    <cellStyle name="Normal 11 4 2" xfId="121" xr:uid="{7276CEAC-9949-442C-97FA-5F4E8D7BFEE1}"/>
    <cellStyle name="Normal 11 4 3" xfId="122" xr:uid="{8E1BBABC-FD1E-4A57-8A5E-7A637519D54D}"/>
    <cellStyle name="Normal 11 4 4" xfId="123" xr:uid="{874537A1-598F-4D90-AF36-DD64CD411722}"/>
    <cellStyle name="Normal 11 4 5" xfId="18314" xr:uid="{353D57FA-8FAC-4BDA-BD34-8ED73A7890D3}"/>
    <cellStyle name="Normal 11 4 6" xfId="18315" xr:uid="{44F01558-4584-4BB5-98D2-FA70FAA911A6}"/>
    <cellStyle name="Normal 11 4 7" xfId="18316" xr:uid="{B2AF343F-3F1E-4999-ACBC-182BC58C9683}"/>
    <cellStyle name="Normal 11 5" xfId="124" xr:uid="{86792F25-3635-4408-858E-A2D665570BF0}"/>
    <cellStyle name="Normal 11 5 2" xfId="125" xr:uid="{8FCBB093-4188-41D9-A788-0F3E99CD82F2}"/>
    <cellStyle name="Normal 11 5 3" xfId="126" xr:uid="{5901017A-CA0F-4386-B293-499A74F5E208}"/>
    <cellStyle name="Normal 11 5 4" xfId="127" xr:uid="{6CDDC399-8799-42CD-9586-5592CA82B775}"/>
    <cellStyle name="Normal 11 5 5" xfId="18317" xr:uid="{6BB181BB-69AE-4003-9695-D475C12B6F50}"/>
    <cellStyle name="Normal 11 5 6" xfId="18318" xr:uid="{D6A6CCC3-3200-4808-8602-7C643B7B7BC6}"/>
    <cellStyle name="Normal 11 5 7" xfId="18319" xr:uid="{ACAEDDB7-15B7-4686-A057-49AC419C6E32}"/>
    <cellStyle name="Normal 11 6" xfId="128" xr:uid="{694D013A-BF43-44A0-AB05-F58C88ADB101}"/>
    <cellStyle name="Normal 11 6 2" xfId="129" xr:uid="{8B21CED4-7676-4F7B-8157-6D7E1954ED20}"/>
    <cellStyle name="Normal 11 6 2 2" xfId="130" xr:uid="{BD2888D4-92FC-413F-817A-F35EDF3FF61E}"/>
    <cellStyle name="Normal 11 6 2 3" xfId="131" xr:uid="{17BD3237-1657-4903-9973-CE97A78917CC}"/>
    <cellStyle name="Normal 11 6 2 4" xfId="132" xr:uid="{7E3E6BEC-E8CE-4677-BF80-3A462CC62AA4}"/>
    <cellStyle name="Normal 11 6 3" xfId="133" xr:uid="{6A663830-EC13-409B-8AA2-7B26ED675787}"/>
    <cellStyle name="Normal 11 6 3 2" xfId="134" xr:uid="{C4E8CEBC-BA78-4CD0-ABB0-BFA755570DA3}"/>
    <cellStyle name="Normal 11 6 3 3" xfId="135" xr:uid="{8364103C-201F-44BC-804A-93C0141EAFB9}"/>
    <cellStyle name="Normal 11 6 3 4" xfId="136" xr:uid="{15FBF822-C10B-425B-9930-A8849218D74D}"/>
    <cellStyle name="Normal 11 7" xfId="137" xr:uid="{616A980B-3FC2-4881-B9E3-EAE02E0F371C}"/>
    <cellStyle name="Normal 11 7 2" xfId="138" xr:uid="{4AF714FB-A410-4D6B-8F67-622A682076BD}"/>
    <cellStyle name="Normal 11 7 3" xfId="139" xr:uid="{90C23CC4-B59E-41ED-9015-C4BEE70A4C06}"/>
    <cellStyle name="Normal 11 7 4" xfId="140" xr:uid="{7640958F-672E-46C9-BDEA-E49605A9E239}"/>
    <cellStyle name="Normal 11 8" xfId="141" xr:uid="{4A2BE8A1-67AD-46F7-8165-5635B843062A}"/>
    <cellStyle name="Normal 11 8 2" xfId="142" xr:uid="{6349C4C4-9DE8-4D4F-BA39-320BAB317395}"/>
    <cellStyle name="Normal 11 8 3" xfId="143" xr:uid="{78EDFA25-081F-4967-8188-27046586EDBC}"/>
    <cellStyle name="Normal 11 8 4" xfId="144" xr:uid="{FC05B8E1-2535-4953-A4C7-55E51DFDEB2C}"/>
    <cellStyle name="Normal 11 9" xfId="145" xr:uid="{25D281A4-3FCC-44E7-9571-A0586AC268ED}"/>
    <cellStyle name="Normal 11 9 2" xfId="146" xr:uid="{D9544BEE-C33E-4E06-BD52-11943ED0DF7D}"/>
    <cellStyle name="Normal 11 9 3" xfId="147" xr:uid="{A101044D-421E-48A4-8271-2BBB051269C8}"/>
    <cellStyle name="Normal 11 9 4" xfId="148" xr:uid="{0F008384-CD10-4D0D-BF19-683CB10015B2}"/>
    <cellStyle name="Normal 12" xfId="18320" xr:uid="{527907C4-0473-4284-A11A-623DFB2E5BE0}"/>
    <cellStyle name="Normal 12 10" xfId="18321" xr:uid="{7E89C3CE-5536-41CA-936D-1C8BCC641D11}"/>
    <cellStyle name="Normal 12 11" xfId="18322" xr:uid="{5037A65A-A499-4CE1-86EA-CC6D757970B0}"/>
    <cellStyle name="Normal 12 12" xfId="18323" xr:uid="{4C478481-4E96-4487-BC42-A1922A939866}"/>
    <cellStyle name="Normal 12 13" xfId="18324" xr:uid="{92759DBC-F9EB-4793-89E4-882C693EE77A}"/>
    <cellStyle name="Normal 12 14" xfId="18325" xr:uid="{F87DF1E8-0EBE-43EC-B665-7A9B33C2191F}"/>
    <cellStyle name="Normal 12 15" xfId="18326" xr:uid="{A2BF5F2A-CAA7-4090-9BE5-7456721A4869}"/>
    <cellStyle name="Normal 12 16" xfId="44434" xr:uid="{A3BB4342-E0B6-4C8F-94D4-C83246A8CD2A}"/>
    <cellStyle name="Normal 12 2" xfId="149" xr:uid="{604C8D5D-33D7-4AC6-BFED-6A24E1575EA0}"/>
    <cellStyle name="Normal 12 2 10" xfId="18327" xr:uid="{7FC8A958-44BF-4058-B559-E8FF82D20ED2}"/>
    <cellStyle name="Normal 12 2 11" xfId="18328" xr:uid="{496C0FE9-E426-4D8F-A66A-E246D7E1232E}"/>
    <cellStyle name="Normal 12 2 12" xfId="44435" xr:uid="{AC4AC59B-5F47-4220-BACB-6899A40D65A2}"/>
    <cellStyle name="Normal 12 2 2" xfId="150" xr:uid="{C19ED7DE-E0D9-4E5E-97B3-AB9514E73542}"/>
    <cellStyle name="Normal 12 2 3" xfId="151" xr:uid="{C4C6DF1B-C287-4754-935A-A01638157ED3}"/>
    <cellStyle name="Normal 12 2 4" xfId="152" xr:uid="{3FC88871-839D-450E-9B0D-E2A7A2E5E734}"/>
    <cellStyle name="Normal 12 2 5" xfId="18329" xr:uid="{92133FF0-A910-494D-BEC2-D2BC1B71F133}"/>
    <cellStyle name="Normal 12 2 6" xfId="18330" xr:uid="{4F49E2F1-1AA0-48E5-BB0C-C933A74E329E}"/>
    <cellStyle name="Normal 12 2 7" xfId="18331" xr:uid="{464581B6-0D9B-46D5-B465-BC52733A3FAB}"/>
    <cellStyle name="Normal 12 2 8" xfId="18332" xr:uid="{C5B4D1FE-E923-4289-B911-12D118A3C17F}"/>
    <cellStyle name="Normal 12 2 9" xfId="18333" xr:uid="{065CEC66-4B1C-42A0-9DFE-2B97C8D85224}"/>
    <cellStyle name="Normal 12 3" xfId="153" xr:uid="{FFE788CF-E7CE-4BF2-9ECE-566AC95CDC36}"/>
    <cellStyle name="Normal 12 3 10" xfId="18334" xr:uid="{DDD23484-3B79-453F-8ADA-D5D499EF160D}"/>
    <cellStyle name="Normal 12 3 11" xfId="18335" xr:uid="{6106A238-8D8C-4C69-8E91-8D2AAD3B9019}"/>
    <cellStyle name="Normal 12 3 2" xfId="154" xr:uid="{B3BFA1B7-DD9B-4649-B514-F3E0EC85C188}"/>
    <cellStyle name="Normal 12 3 3" xfId="155" xr:uid="{0EE3E3D9-DD5E-4401-9AEC-220F381C1D8A}"/>
    <cellStyle name="Normal 12 3 4" xfId="156" xr:uid="{0FC0411E-0902-430F-9C50-C399D3102782}"/>
    <cellStyle name="Normal 12 3 5" xfId="18336" xr:uid="{1D5C88B1-4CAE-4931-A768-81F76C49EE8D}"/>
    <cellStyle name="Normal 12 3 6" xfId="18337" xr:uid="{1DCABE5A-F8D5-4348-9ED6-A068F2975527}"/>
    <cellStyle name="Normal 12 3 7" xfId="18338" xr:uid="{4669A0BB-DE27-4039-B535-F673598C2511}"/>
    <cellStyle name="Normal 12 3 8" xfId="18339" xr:uid="{FAEC20B7-362B-4532-B22C-15041D21A790}"/>
    <cellStyle name="Normal 12 3 9" xfId="18340" xr:uid="{F0FF4A11-CC2C-4687-A142-D4474067C03A}"/>
    <cellStyle name="Normal 12 4" xfId="157" xr:uid="{166AD03E-2309-4620-ACBE-544D29D9DFF6}"/>
    <cellStyle name="Normal 12 4 2" xfId="158" xr:uid="{4C593BBB-544A-4793-A474-79022D56E1D0}"/>
    <cellStyle name="Normal 12 4 3" xfId="159" xr:uid="{6B2B70DB-05C0-4397-9954-50397D27FE8D}"/>
    <cellStyle name="Normal 12 4 4" xfId="160" xr:uid="{D41402F1-D1F6-46C6-8AB5-B1A2F1EB02E9}"/>
    <cellStyle name="Normal 12 4 5" xfId="18341" xr:uid="{AA9C093C-344D-4653-B7AB-E7D36E35F124}"/>
    <cellStyle name="Normal 12 4 6" xfId="18342" xr:uid="{B3DCDC24-B258-439C-A831-269FFA8FBE67}"/>
    <cellStyle name="Normal 12 4 7" xfId="18343" xr:uid="{B7639D40-3867-4F6D-8DFC-8920A4242448}"/>
    <cellStyle name="Normal 12 5" xfId="161" xr:uid="{48E4B9D4-0152-400F-9917-BE43F88CC666}"/>
    <cellStyle name="Normal 12 5 2" xfId="162" xr:uid="{0004743B-9999-4CA5-A9FE-52F9DF48F7AF}"/>
    <cellStyle name="Normal 12 5 3" xfId="163" xr:uid="{B3DDDD6D-E29D-455D-9BEE-000859955D2C}"/>
    <cellStyle name="Normal 12 5 4" xfId="164" xr:uid="{313294F0-7143-4D73-83B2-94EAF637F06C}"/>
    <cellStyle name="Normal 12 5 5" xfId="18344" xr:uid="{89EEA3F8-30CD-4ED3-B17B-E47CF62A5275}"/>
    <cellStyle name="Normal 12 5 6" xfId="18345" xr:uid="{1AF5F4F6-EE4A-4354-A34B-3BBC0AF56970}"/>
    <cellStyle name="Normal 12 5 7" xfId="18346" xr:uid="{311ABC6C-10C1-481C-9F32-DCB56C3F82A5}"/>
    <cellStyle name="Normal 12 6" xfId="165" xr:uid="{E56DD53D-2AED-4415-A344-ADF26E3C4474}"/>
    <cellStyle name="Normal 12 6 2" xfId="166" xr:uid="{DBF2281F-4361-4587-B2C7-7806E6BEE32B}"/>
    <cellStyle name="Normal 12 6 2 2" xfId="167" xr:uid="{E0CC683E-14F6-490F-B522-F93F3E64E4B5}"/>
    <cellStyle name="Normal 12 6 2 3" xfId="168" xr:uid="{3B9593DC-DB3D-4CEA-BA25-C3784AE71792}"/>
    <cellStyle name="Normal 12 6 2 4" xfId="169" xr:uid="{DED11651-949A-4AB1-A77A-30536BBFB2BD}"/>
    <cellStyle name="Normal 12 6 3" xfId="170" xr:uid="{F3D165F5-73F2-474B-A2B2-9E3813B56B45}"/>
    <cellStyle name="Normal 12 6 3 2" xfId="171" xr:uid="{D251C199-C436-4479-A0F9-0B7ECED8ADEB}"/>
    <cellStyle name="Normal 12 6 3 3" xfId="172" xr:uid="{6A27F389-86D9-4CB0-AA66-80BA781326A5}"/>
    <cellStyle name="Normal 12 6 3 4" xfId="173" xr:uid="{62ED95AF-82A6-45B4-B6CE-2A970A832F3F}"/>
    <cellStyle name="Normal 12 7" xfId="174" xr:uid="{EACFEBDB-B93D-4A5D-B1FC-E2CAB73D7E0A}"/>
    <cellStyle name="Normal 12 7 2" xfId="175" xr:uid="{8C95ECE8-56C9-4A1F-B56A-59419972F087}"/>
    <cellStyle name="Normal 12 7 3" xfId="176" xr:uid="{D420C48A-5D39-4C5A-9D5D-67B971502014}"/>
    <cellStyle name="Normal 12 7 4" xfId="177" xr:uid="{04425DBD-FAE6-495A-AF87-DA19BF3C44D4}"/>
    <cellStyle name="Normal 12 8" xfId="178" xr:uid="{6BA940DA-B994-4B20-9DC4-6D226727EB3B}"/>
    <cellStyle name="Normal 12 8 2" xfId="179" xr:uid="{29807336-A02E-4607-A1D2-EA962DA0F778}"/>
    <cellStyle name="Normal 12 8 3" xfId="180" xr:uid="{01F95C4D-6D44-4889-8B35-0238813F6992}"/>
    <cellStyle name="Normal 12 8 4" xfId="181" xr:uid="{E00BB476-6F94-480D-BE4E-97B00E41FECA}"/>
    <cellStyle name="Normal 12 9" xfId="182" xr:uid="{06E65F7B-9AA0-4F75-9AA9-57CF3ED0792C}"/>
    <cellStyle name="Normal 12 9 2" xfId="183" xr:uid="{4ECA76E8-D563-46F8-87E6-33A4640FE1E1}"/>
    <cellStyle name="Normal 12 9 3" xfId="184" xr:uid="{19D81EE2-04DC-470D-989B-C89CFA94DAF2}"/>
    <cellStyle name="Normal 12 9 4" xfId="185" xr:uid="{15A81826-DEDF-4311-932E-A9057F95227F}"/>
    <cellStyle name="Normal 13" xfId="18347" xr:uid="{A6D8622B-F088-411A-91FF-BA80F07A397C}"/>
    <cellStyle name="Normal 13 10" xfId="18348" xr:uid="{69496730-89E3-4530-8BA6-99B1223EE747}"/>
    <cellStyle name="Normal 13 11" xfId="18349" xr:uid="{B85CF4FF-10F6-4358-B7A4-BED340B8D84E}"/>
    <cellStyle name="Normal 13 12" xfId="18350" xr:uid="{EA5C03AE-6E30-4597-A338-A9EA1386A498}"/>
    <cellStyle name="Normal 13 13" xfId="18351" xr:uid="{3AA282C8-FAE6-493F-ADFE-3E7A021B55E8}"/>
    <cellStyle name="Normal 13 14" xfId="18352" xr:uid="{233BDB8F-EBC4-402B-80FE-AC80F241E63D}"/>
    <cellStyle name="Normal 13 15" xfId="18353" xr:uid="{1393426D-9514-42E7-9F72-C3FD657DD996}"/>
    <cellStyle name="Normal 13 16" xfId="44436" xr:uid="{F0F1C10E-AFD4-4CE1-873B-DD2974AD704D}"/>
    <cellStyle name="Normal 13 2" xfId="186" xr:uid="{84BD37F0-011E-4EB4-80BB-424E7B8691E8}"/>
    <cellStyle name="Normal 13 2 10" xfId="18354" xr:uid="{4A4C554B-42AA-4CD0-B705-ECCF0C87ACF8}"/>
    <cellStyle name="Normal 13 2 11" xfId="18355" xr:uid="{203AE3E4-0CA7-4083-AAB9-87BD31823E2B}"/>
    <cellStyle name="Normal 13 2 12" xfId="44437" xr:uid="{1FC7A21B-A344-4C2B-B07D-7CBAAAB0C3AD}"/>
    <cellStyle name="Normal 13 2 2" xfId="187" xr:uid="{45380995-C66B-45B8-A2BF-4E912D99B822}"/>
    <cellStyle name="Normal 13 2 2 2" xfId="44438" xr:uid="{808ED885-2946-49E3-86AF-9B5E7A25F97D}"/>
    <cellStyle name="Normal 13 2 3" xfId="188" xr:uid="{061EEF46-3172-444F-B65F-536F618F285F}"/>
    <cellStyle name="Normal 13 2 4" xfId="189" xr:uid="{86A5E528-9233-45F4-9750-D50106F197FB}"/>
    <cellStyle name="Normal 13 2 5" xfId="18356" xr:uid="{C108E9C3-E257-4741-9C78-AF1B48CEE16B}"/>
    <cellStyle name="Normal 13 2 6" xfId="18357" xr:uid="{811E33E2-6A21-4944-BEA5-9D54790CFD3C}"/>
    <cellStyle name="Normal 13 2 7" xfId="18358" xr:uid="{58206565-30AA-4526-9AF4-803F52172F97}"/>
    <cellStyle name="Normal 13 2 8" xfId="18359" xr:uid="{E638B383-41CB-44E7-B948-AF8A5BC341CE}"/>
    <cellStyle name="Normal 13 2 9" xfId="18360" xr:uid="{6CB6610F-6845-45D6-B907-B67810F4BFF7}"/>
    <cellStyle name="Normal 13 3" xfId="190" xr:uid="{2174D322-1353-4A1D-8BF1-93F3E89295C7}"/>
    <cellStyle name="Normal 13 3 10" xfId="18361" xr:uid="{A29FBBBA-8F8A-47B4-BE28-447868343635}"/>
    <cellStyle name="Normal 13 3 11" xfId="18362" xr:uid="{08DCA5AF-C63A-42F5-B891-E00E5E553450}"/>
    <cellStyle name="Normal 13 3 12" xfId="44439" xr:uid="{22135589-E4EF-44B2-817D-E71B3749FBB3}"/>
    <cellStyle name="Normal 13 3 2" xfId="191" xr:uid="{7A875A28-41A0-4B0A-B07F-50C4B45DA215}"/>
    <cellStyle name="Normal 13 3 3" xfId="192" xr:uid="{F630E867-9547-4FDC-97DD-EB785F9F91F4}"/>
    <cellStyle name="Normal 13 3 4" xfId="193" xr:uid="{A6AABD23-6744-4899-89E0-D2FCEBC9F896}"/>
    <cellStyle name="Normal 13 3 5" xfId="18363" xr:uid="{BA3C28DF-3881-4964-B088-AB0DAD72A0EF}"/>
    <cellStyle name="Normal 13 3 6" xfId="18364" xr:uid="{F4E8AB7B-36E2-4DAB-87CB-EC61F63E54EC}"/>
    <cellStyle name="Normal 13 3 7" xfId="18365" xr:uid="{6A7B8023-258B-4DA6-9BCD-45E9C348D270}"/>
    <cellStyle name="Normal 13 3 8" xfId="18366" xr:uid="{8BB75564-B4FA-4509-9A4C-598272F9D384}"/>
    <cellStyle name="Normal 13 3 9" xfId="18367" xr:uid="{A9C1335E-CF7C-445E-B087-8B3823F0B9DF}"/>
    <cellStyle name="Normal 13 4" xfId="194" xr:uid="{648378B5-3834-4238-AD27-DC678CDACDDD}"/>
    <cellStyle name="Normal 13 4 2" xfId="195" xr:uid="{60E78F04-B4EF-423C-A7DE-611FB7B4AB75}"/>
    <cellStyle name="Normal 13 4 3" xfId="196" xr:uid="{249C6D38-CE98-40C9-BD7D-EA42C3873181}"/>
    <cellStyle name="Normal 13 4 4" xfId="197" xr:uid="{A2DD8B3C-C17A-4782-BCAC-45B43474C027}"/>
    <cellStyle name="Normal 13 4 5" xfId="18368" xr:uid="{BEF9AA68-1A70-45B2-B9FD-A1CE7E99795E}"/>
    <cellStyle name="Normal 13 4 6" xfId="18369" xr:uid="{D65534A2-1A05-4F7E-8025-9923C1043994}"/>
    <cellStyle name="Normal 13 4 7" xfId="18370" xr:uid="{B0714E1D-0F7D-44AF-8A16-6638FC7140BF}"/>
    <cellStyle name="Normal 13 5" xfId="198" xr:uid="{4EB05B22-45A1-465E-B374-D5496F36A52F}"/>
    <cellStyle name="Normal 13 5 2" xfId="199" xr:uid="{BDBF4C2A-DB0A-4C0A-9F23-E7009C3EAA3D}"/>
    <cellStyle name="Normal 13 5 3" xfId="200" xr:uid="{0B694BB3-2FE2-46A6-A3A9-E8F3B9E42EE5}"/>
    <cellStyle name="Normal 13 5 4" xfId="201" xr:uid="{8442F2F1-BA89-45C0-84EE-176F81971A06}"/>
    <cellStyle name="Normal 13 5 5" xfId="18371" xr:uid="{CAEE0560-5B60-44CE-A503-2BC61A33F28C}"/>
    <cellStyle name="Normal 13 5 6" xfId="18372" xr:uid="{E4B75B8B-70DD-4380-B059-D27A9EC5D880}"/>
    <cellStyle name="Normal 13 5 7" xfId="18373" xr:uid="{449EA821-37E3-4171-9C72-35EBBD9AA718}"/>
    <cellStyle name="Normal 13 6" xfId="202" xr:uid="{D0BF3974-F7BD-4A86-878A-9131B6075D6F}"/>
    <cellStyle name="Normal 13 6 2" xfId="203" xr:uid="{74E36821-4833-4EA4-8D42-24DEBCA6794F}"/>
    <cellStyle name="Normal 13 6 2 2" xfId="204" xr:uid="{959FE259-843A-4B41-98A5-2BF8D1B232D1}"/>
    <cellStyle name="Normal 13 6 2 3" xfId="205" xr:uid="{A411C77A-EF38-40C3-8918-5D683B32AE6C}"/>
    <cellStyle name="Normal 13 6 2 4" xfId="206" xr:uid="{F95637BC-E7DD-4A18-BCB0-937E2C80B3E5}"/>
    <cellStyle name="Normal 13 6 3" xfId="207" xr:uid="{0D99D5C8-3941-41D7-816F-E7EFE1682913}"/>
    <cellStyle name="Normal 13 6 3 2" xfId="208" xr:uid="{38C515E6-0806-4A12-A9BE-6CB4ACC9CF97}"/>
    <cellStyle name="Normal 13 6 3 3" xfId="209" xr:uid="{7E5FCBFF-5DFE-4232-A75C-74D882750552}"/>
    <cellStyle name="Normal 13 6 3 4" xfId="210" xr:uid="{8DDFDD2E-BAD0-461B-8E9C-42B0538C4B43}"/>
    <cellStyle name="Normal 13 7" xfId="211" xr:uid="{4BF040B5-AC18-45B1-92C3-4FF523E81DE0}"/>
    <cellStyle name="Normal 13 7 2" xfId="212" xr:uid="{8EC5C53C-3030-4169-9FEA-3DE8C101109D}"/>
    <cellStyle name="Normal 13 7 3" xfId="213" xr:uid="{AF343DBF-51E7-4BC9-86A2-A873375D381D}"/>
    <cellStyle name="Normal 13 7 4" xfId="214" xr:uid="{A904A147-9547-40A7-9BBC-EB87F558475F}"/>
    <cellStyle name="Normal 13 8" xfId="215" xr:uid="{EF5A4604-DEE7-41CA-B8CE-49B4B72F7230}"/>
    <cellStyle name="Normal 13 8 2" xfId="216" xr:uid="{111D3614-E4DD-4F09-A887-17BB0DFFF707}"/>
    <cellStyle name="Normal 13 8 3" xfId="217" xr:uid="{F99DD366-DA2D-4AF7-B271-F365A9676933}"/>
    <cellStyle name="Normal 13 8 4" xfId="218" xr:uid="{2D469615-C7B9-43F2-AC96-72A294E3BD73}"/>
    <cellStyle name="Normal 13 9" xfId="219" xr:uid="{DA1891B2-ED1C-4E9A-BC71-E1DD6688C0B1}"/>
    <cellStyle name="Normal 13 9 2" xfId="220" xr:uid="{3C98601A-8983-4272-B919-9FA528C39097}"/>
    <cellStyle name="Normal 13 9 3" xfId="221" xr:uid="{4FE3D336-0E4D-4EED-82C7-4015D3426AE6}"/>
    <cellStyle name="Normal 13 9 4" xfId="222" xr:uid="{5589DB5F-99EE-4902-AEDA-B68C38A241CA}"/>
    <cellStyle name="Normal 136" xfId="44440" xr:uid="{37C9E122-0918-47CB-AE55-BF6844DE705A}"/>
    <cellStyle name="Normal 14" xfId="18374" xr:uid="{A345F8EB-13A2-46E1-9C02-A65149120BEC}"/>
    <cellStyle name="Normal 14 10" xfId="18375" xr:uid="{6F400E1D-5C3B-4D90-AC4C-1A9866EFC36B}"/>
    <cellStyle name="Normal 14 11" xfId="18376" xr:uid="{2393A55F-6BAE-46A2-8F7A-3FBE2C53F49F}"/>
    <cellStyle name="Normal 14 12" xfId="18377" xr:uid="{33326F4F-91C8-4DE4-BF28-39B6C7949A8D}"/>
    <cellStyle name="Normal 14 13" xfId="18378" xr:uid="{F23E64FB-6513-40FC-876F-D81EC36F2257}"/>
    <cellStyle name="Normal 14 14" xfId="18379" xr:uid="{3B4D32EF-3A6A-4903-9DDF-313C2AF7AB6E}"/>
    <cellStyle name="Normal 14 15" xfId="18380" xr:uid="{13117343-CEDD-4B34-8B0D-F73875EA6F09}"/>
    <cellStyle name="Normal 14 16" xfId="44441" xr:uid="{0FE2B902-F048-4735-A754-D4096BC16D4E}"/>
    <cellStyle name="Normal 14 2" xfId="18381" xr:uid="{19F20755-7988-4F7F-A2FE-39A40D59B2F4}"/>
    <cellStyle name="Normal 14 2 10" xfId="18382" xr:uid="{D4CB011A-8086-4C26-911E-1FFC7ACD1615}"/>
    <cellStyle name="Normal 14 2 11" xfId="18383" xr:uid="{02A42CB6-AB31-45C0-A2E3-436CEDD5CB2C}"/>
    <cellStyle name="Normal 14 2 12" xfId="44442" xr:uid="{94EB0DF4-99E6-451F-868B-AB027F669E64}"/>
    <cellStyle name="Normal 14 2 2" xfId="18384" xr:uid="{014AC041-D9D5-405F-9762-761E833D7F19}"/>
    <cellStyle name="Normal 14 2 3" xfId="18385" xr:uid="{B1420863-1EA7-4F2B-B723-B756C4C3C47A}"/>
    <cellStyle name="Normal 14 2 4" xfId="18386" xr:uid="{E1931333-C68D-4359-B022-BA3159EB413D}"/>
    <cellStyle name="Normal 14 2 5" xfId="18387" xr:uid="{794972B2-8845-4E97-A419-BF53E15472AA}"/>
    <cellStyle name="Normal 14 2 6" xfId="18388" xr:uid="{456DF0FD-1536-4DEE-97E1-BEE639C00AD7}"/>
    <cellStyle name="Normal 14 2 7" xfId="18389" xr:uid="{F26CB4C3-9E28-4C00-B852-1D2C9485CED6}"/>
    <cellStyle name="Normal 14 2 8" xfId="18390" xr:uid="{7B318042-35FC-49F6-965C-5BA8F469FD4B}"/>
    <cellStyle name="Normal 14 2 9" xfId="18391" xr:uid="{088DC67E-E30E-4644-A1BB-9791C1A8F1CD}"/>
    <cellStyle name="Normal 14 3" xfId="18392" xr:uid="{DD1BC5E3-1BFB-4895-9D3C-C7D507568018}"/>
    <cellStyle name="Normal 14 3 10" xfId="18393" xr:uid="{A93D988B-B832-4A29-8445-FA5B4D37BB2B}"/>
    <cellStyle name="Normal 14 3 11" xfId="18394" xr:uid="{AC60B1BA-1115-475E-86D6-31EA46E5CB01}"/>
    <cellStyle name="Normal 14 3 2" xfId="18395" xr:uid="{9876E159-A617-47EF-967F-487DE7971F51}"/>
    <cellStyle name="Normal 14 3 3" xfId="18396" xr:uid="{E3EA3087-1D50-42AD-82F2-E401384CD9A0}"/>
    <cellStyle name="Normal 14 3 4" xfId="18397" xr:uid="{0BD268B6-23B7-4000-9AC0-90A990194B95}"/>
    <cellStyle name="Normal 14 3 5" xfId="18398" xr:uid="{7BE37E25-03A2-4A78-A9B9-C529BAD8B6C5}"/>
    <cellStyle name="Normal 14 3 6" xfId="18399" xr:uid="{F84121EE-CE34-4BAB-B45E-9D42C4E7C3D1}"/>
    <cellStyle name="Normal 14 3 7" xfId="18400" xr:uid="{A944C5FE-BF07-45D5-9484-E6A802AAD1E0}"/>
    <cellStyle name="Normal 14 3 8" xfId="18401" xr:uid="{0C023B51-8EB5-4249-A380-F5F05C46274A}"/>
    <cellStyle name="Normal 14 3 9" xfId="18402" xr:uid="{BBAA7726-61D0-4AFA-8284-5407D0DEAFCB}"/>
    <cellStyle name="Normal 14 4" xfId="18403" xr:uid="{5273A5A4-69DC-4A2D-8FF4-58EC50BE4FE0}"/>
    <cellStyle name="Normal 14 4 2" xfId="18404" xr:uid="{B9243B42-609F-4962-9135-1157773B09B3}"/>
    <cellStyle name="Normal 14 4 3" xfId="18405" xr:uid="{E7702E90-1714-40F5-BDB2-C2B370044438}"/>
    <cellStyle name="Normal 14 4 4" xfId="18406" xr:uid="{C4942E13-E0C6-46A5-89CF-5BA57C1B7AD3}"/>
    <cellStyle name="Normal 14 4 5" xfId="18407" xr:uid="{481DE907-C39A-43DA-A456-63FB8C40816F}"/>
    <cellStyle name="Normal 14 4 6" xfId="18408" xr:uid="{943A01E1-2623-4EAF-B663-C1C7AE21B3C3}"/>
    <cellStyle name="Normal 14 4 7" xfId="18409" xr:uid="{B22272C0-D22B-4302-B062-F3D0AE9CA587}"/>
    <cellStyle name="Normal 14 5" xfId="18410" xr:uid="{BB0F97BA-5EB7-47FF-9507-FA5358332981}"/>
    <cellStyle name="Normal 14 5 2" xfId="18411" xr:uid="{8EA3BD21-71E6-478F-BA55-0E27E996C002}"/>
    <cellStyle name="Normal 14 5 3" xfId="18412" xr:uid="{FB0FF6B6-BC3E-40DE-B757-0B86FB5A3201}"/>
    <cellStyle name="Normal 14 5 4" xfId="18413" xr:uid="{FE1A090A-1C02-4F37-A57A-792ED92FC85E}"/>
    <cellStyle name="Normal 14 5 5" xfId="18414" xr:uid="{2AFD50CB-8656-4774-AE33-33236085A5BF}"/>
    <cellStyle name="Normal 14 5 6" xfId="18415" xr:uid="{F610F698-717D-4687-A9CB-9C4BCEC37855}"/>
    <cellStyle name="Normal 14 5 7" xfId="18416" xr:uid="{07DD4CD9-9239-4395-AEA4-BB628542176C}"/>
    <cellStyle name="Normal 14 6" xfId="18417" xr:uid="{3B2E4E48-D9DA-4C7D-8147-2BC0BFB56719}"/>
    <cellStyle name="Normal 14 7" xfId="18418" xr:uid="{37CB5A2A-715D-4290-91D7-C584180D8928}"/>
    <cellStyle name="Normal 14 8" xfId="18419" xr:uid="{C0D347EF-0FD6-4652-BA45-1A42E810DA2B}"/>
    <cellStyle name="Normal 14 9" xfId="18420" xr:uid="{121E8105-C41A-4ACF-8F4D-D94EA6ECFDD7}"/>
    <cellStyle name="Normal 144" xfId="44443" xr:uid="{4B1A07F9-E825-49DD-A142-6353840EE46A}"/>
    <cellStyle name="Normal 145" xfId="44444" xr:uid="{9ACA0414-6685-41F7-A380-58C7120C1E03}"/>
    <cellStyle name="Normal 15" xfId="18421" xr:uid="{507DE2C2-F1FD-476A-9DAD-9377041FB9DA}"/>
    <cellStyle name="Normal 15 2" xfId="18422" xr:uid="{79B0FB09-AA91-4D97-89E5-E4EAC8656856}"/>
    <cellStyle name="Normal 15 2 2" xfId="18423" xr:uid="{E160980E-552D-4E0F-8426-D793EA784420}"/>
    <cellStyle name="Normal 15 2 3" xfId="44446" xr:uid="{CF92557E-2EF2-4CB5-A66D-6F2ADA18B91F}"/>
    <cellStyle name="Normal 15 3" xfId="18424" xr:uid="{A094107C-662D-4DB0-8680-E0344563B91F}"/>
    <cellStyle name="Normal 15 3 2" xfId="18425" xr:uid="{C6A1ABC1-DEB2-49B7-9937-6D747193CC5F}"/>
    <cellStyle name="Normal 15 4" xfId="18426" xr:uid="{FBE8A1A3-526F-4550-8CA6-61FC5EA1EB2A}"/>
    <cellStyle name="Normal 15 5" xfId="44445" xr:uid="{F57BA457-735B-457D-BDA0-4CD7E9553B7E}"/>
    <cellStyle name="Normal 16" xfId="18427" xr:uid="{F7130F25-7C07-4842-9C19-D6442C3F80CF}"/>
    <cellStyle name="Normal 16 10" xfId="18428" xr:uid="{E80F2394-0993-4FC4-BD23-86FBB2F8294C}"/>
    <cellStyle name="Normal 16 10 10" xfId="18429" xr:uid="{58E53C68-8CBA-4429-A870-41E2F1247BDC}"/>
    <cellStyle name="Normal 16 10 11" xfId="18430" xr:uid="{4080B9BC-A7FB-46A5-A490-DB1DCDFC5AF0}"/>
    <cellStyle name="Normal 16 10 12" xfId="18431" xr:uid="{7FD5E76F-9FD3-4E61-A51B-16EAB5097FE0}"/>
    <cellStyle name="Normal 16 10 2" xfId="18432" xr:uid="{FA05F08E-369C-4C44-B26D-0B726AF4E572}"/>
    <cellStyle name="Normal 16 10 2 2" xfId="18433" xr:uid="{35D3E834-6CF8-424C-934C-539DEE1E0280}"/>
    <cellStyle name="Normal 16 10 2 2 2" xfId="18434" xr:uid="{99751F53-C1D0-455D-9DA5-E69464571721}"/>
    <cellStyle name="Normal 16 10 2 2 3" xfId="18435" xr:uid="{4E65296A-2DCB-4DEB-A20F-56CA1F2CE359}"/>
    <cellStyle name="Normal 16 10 2 2 4" xfId="18436" xr:uid="{24FD44CB-0EA5-4B95-9807-C9266F6CF67E}"/>
    <cellStyle name="Normal 16 10 2 2 5" xfId="18437" xr:uid="{751C37AF-D0B5-47A6-8C6A-94BBB01A4A97}"/>
    <cellStyle name="Normal 16 10 2 3" xfId="18438" xr:uid="{55A8A70E-2496-4984-91C5-3D8A7587C39E}"/>
    <cellStyle name="Normal 16 10 2 4" xfId="18439" xr:uid="{EE484612-21C6-49AF-A8F7-7C39A3E06048}"/>
    <cellStyle name="Normal 16 10 2 5" xfId="18440" xr:uid="{8F725159-96D6-435F-BAB5-08D250DEC3A6}"/>
    <cellStyle name="Normal 16 10 2 6" xfId="18441" xr:uid="{5CB24EB9-6DD0-4CDA-9B37-0776E8A930BA}"/>
    <cellStyle name="Normal 16 10 3" xfId="18442" xr:uid="{3596F735-7517-4FE7-8DB5-0B97675F069B}"/>
    <cellStyle name="Normal 16 10 3 2" xfId="18443" xr:uid="{1C389458-5616-4AF0-908F-9A1A5779F19F}"/>
    <cellStyle name="Normal 16 10 3 2 2" xfId="18444" xr:uid="{C63FEF41-E78F-4F4C-A7F7-4C2A20076D34}"/>
    <cellStyle name="Normal 16 10 3 2 3" xfId="18445" xr:uid="{96C94393-0C9F-474A-AEAF-1E8CBA0335AC}"/>
    <cellStyle name="Normal 16 10 3 2 4" xfId="18446" xr:uid="{D33E6784-4732-4821-B533-063D2AE2AF21}"/>
    <cellStyle name="Normal 16 10 3 2 5" xfId="18447" xr:uid="{0E6100CF-D9DA-42E7-967A-38547CFF42E6}"/>
    <cellStyle name="Normal 16 10 3 3" xfId="18448" xr:uid="{2F0FBB67-FF53-4886-9953-E265DE08DFE9}"/>
    <cellStyle name="Normal 16 10 3 4" xfId="18449" xr:uid="{114F0F36-9AEB-4DB8-A4E5-F880151CC8E3}"/>
    <cellStyle name="Normal 16 10 3 5" xfId="18450" xr:uid="{7DF632B5-B7C1-457F-AF87-D951B5A6F419}"/>
    <cellStyle name="Normal 16 10 3 6" xfId="18451" xr:uid="{DABBFDCA-7B13-4DE2-AE0A-0922AABCD055}"/>
    <cellStyle name="Normal 16 10 4" xfId="18452" xr:uid="{06EFF171-2888-4AE5-9345-2632E4AC7D5A}"/>
    <cellStyle name="Normal 16 10 4 2" xfId="18453" xr:uid="{E71D53CA-B463-4D25-8ADD-DA4CD871E1B2}"/>
    <cellStyle name="Normal 16 10 4 2 2" xfId="18454" xr:uid="{840AC36C-72BE-413B-A8AA-14EAC856F7F7}"/>
    <cellStyle name="Normal 16 10 4 2 3" xfId="18455" xr:uid="{BF8CCEE2-689D-4E87-9518-5ADE5A6D0E6D}"/>
    <cellStyle name="Normal 16 10 4 2 4" xfId="18456" xr:uid="{2423F0CC-4D2A-4D99-84DF-82B9CC92722F}"/>
    <cellStyle name="Normal 16 10 4 2 5" xfId="18457" xr:uid="{D0BEAA2F-B9BE-4407-B5C7-BEB32C758995}"/>
    <cellStyle name="Normal 16 10 4 3" xfId="18458" xr:uid="{8D4CAF1D-E07A-45AB-9ABB-4FEE6778B295}"/>
    <cellStyle name="Normal 16 10 4 4" xfId="18459" xr:uid="{B4FB8731-FC73-4C71-A048-ABBBF2C70998}"/>
    <cellStyle name="Normal 16 10 4 5" xfId="18460" xr:uid="{DE5A500E-FE84-4B3F-9339-888DD77DC36A}"/>
    <cellStyle name="Normal 16 10 4 6" xfId="18461" xr:uid="{A0500898-7B71-4C5C-9C09-AC3CBF0A2FF0}"/>
    <cellStyle name="Normal 16 10 5" xfId="18462" xr:uid="{285F3593-8814-4E46-99DD-16F1648B7BE6}"/>
    <cellStyle name="Normal 16 10 5 2" xfId="18463" xr:uid="{AAB53A65-78E2-4EAF-BA41-4B61296307B7}"/>
    <cellStyle name="Normal 16 10 5 3" xfId="18464" xr:uid="{C4E91064-9D54-48A8-A970-45AD4F6DABAE}"/>
    <cellStyle name="Normal 16 10 5 4" xfId="18465" xr:uid="{662910AE-A4F7-44D6-A0D6-79F27D5065F5}"/>
    <cellStyle name="Normal 16 10 5 5" xfId="18466" xr:uid="{AC7BAFFD-77F4-4646-878A-496A00F1E8F9}"/>
    <cellStyle name="Normal 16 10 6" xfId="18467" xr:uid="{5DEFB878-7686-4055-84A8-7677BC0DB5F6}"/>
    <cellStyle name="Normal 16 10 6 2" xfId="18468" xr:uid="{14201EF4-E718-4DBF-AB17-0268E4EFCAE3}"/>
    <cellStyle name="Normal 16 10 6 3" xfId="18469" xr:uid="{7F38BFEA-834D-4FFC-B157-98CB9F3336C2}"/>
    <cellStyle name="Normal 16 10 6 4" xfId="18470" xr:uid="{B33CA05C-A214-46A0-8950-EC39581B3D5B}"/>
    <cellStyle name="Normal 16 10 6 5" xfId="18471" xr:uid="{166A8C99-201B-4BDA-A610-A565F59E7118}"/>
    <cellStyle name="Normal 16 10 7" xfId="18472" xr:uid="{B368BA56-9CC1-4B03-80F0-81977658942B}"/>
    <cellStyle name="Normal 16 10 7 2" xfId="18473" xr:uid="{CCC4302C-4F1B-449A-B671-29AAE515F15C}"/>
    <cellStyle name="Normal 16 10 7 3" xfId="18474" xr:uid="{58E32A74-503F-46BF-978B-8EA00D5C4762}"/>
    <cellStyle name="Normal 16 10 7 4" xfId="18475" xr:uid="{F6ACAABB-33E8-4EDB-BE25-E220012D12E0}"/>
    <cellStyle name="Normal 16 10 7 5" xfId="18476" xr:uid="{C4928681-E91C-4C9D-B060-92755E493882}"/>
    <cellStyle name="Normal 16 10 8" xfId="18477" xr:uid="{5FDE1C35-2101-4F22-9EFD-7951B2D74A9F}"/>
    <cellStyle name="Normal 16 10 8 2" xfId="18478" xr:uid="{DD6A2BCC-479B-4AA9-938C-9AF50DD7AA13}"/>
    <cellStyle name="Normal 16 10 8 3" xfId="18479" xr:uid="{496A732A-FAB5-4B0B-BCE5-DA7902A7B6F6}"/>
    <cellStyle name="Normal 16 10 8 4" xfId="18480" xr:uid="{26187840-B656-481A-9793-8BD6525BC32C}"/>
    <cellStyle name="Normal 16 10 8 5" xfId="18481" xr:uid="{9AAB5E6B-0A05-4A00-8B5E-FE9656927072}"/>
    <cellStyle name="Normal 16 10 9" xfId="18482" xr:uid="{4E65D425-171C-41ED-A0AD-8E3B56DBB8F5}"/>
    <cellStyle name="Normal 16 11" xfId="18483" xr:uid="{7737E38E-2A7D-4432-8D90-5CB27BA15654}"/>
    <cellStyle name="Normal 16 11 2" xfId="18484" xr:uid="{A56473E0-4A7A-460D-8A38-54ECDB70DBEB}"/>
    <cellStyle name="Normal 16 11 2 2" xfId="18485" xr:uid="{0F63CFDA-E87C-456D-A46E-D86650A45F03}"/>
    <cellStyle name="Normal 16 11 2 3" xfId="18486" xr:uid="{297F5F2C-190A-4566-A2EB-D948AE6F421E}"/>
    <cellStyle name="Normal 16 11 2 4" xfId="18487" xr:uid="{1B912F09-DD62-486E-A879-1A6AC8B580F9}"/>
    <cellStyle name="Normal 16 11 2 5" xfId="18488" xr:uid="{E4F3E0CC-B2ED-4304-8719-208B9EF7A0E3}"/>
    <cellStyle name="Normal 16 11 3" xfId="18489" xr:uid="{A6E3565F-328B-47EF-97E2-E4B8F571C816}"/>
    <cellStyle name="Normal 16 11 4" xfId="18490" xr:uid="{BE37DF2C-7174-4741-A5E5-1048098153DE}"/>
    <cellStyle name="Normal 16 11 5" xfId="18491" xr:uid="{CE9A02C4-65BA-47BD-92B9-12F8320BC756}"/>
    <cellStyle name="Normal 16 11 6" xfId="18492" xr:uid="{C2AD9561-772F-4393-9B5D-41DD7BBAA7A2}"/>
    <cellStyle name="Normal 16 12" xfId="18493" xr:uid="{46B7DF67-89C4-4D4A-BEEB-14A18AB0D0D5}"/>
    <cellStyle name="Normal 16 12 2" xfId="18494" xr:uid="{051508D4-8DD3-4787-8A0C-C3BF48E2DF25}"/>
    <cellStyle name="Normal 16 12 2 2" xfId="18495" xr:uid="{EE39BDF9-0FAB-49BD-BD54-CB3305EE5EBC}"/>
    <cellStyle name="Normal 16 12 2 3" xfId="18496" xr:uid="{A4076EF8-56F6-42CD-91D0-9B6A7EFBB722}"/>
    <cellStyle name="Normal 16 12 2 4" xfId="18497" xr:uid="{7738C6D1-078E-4153-98FC-16A738A671D7}"/>
    <cellStyle name="Normal 16 12 2 5" xfId="18498" xr:uid="{108EB1E1-D33F-416B-B6F3-8B967489AD9B}"/>
    <cellStyle name="Normal 16 12 3" xfId="18499" xr:uid="{ED9DC430-93B6-4AB3-AEC6-B055052B0919}"/>
    <cellStyle name="Normal 16 12 4" xfId="18500" xr:uid="{50FF3135-841F-4D8E-9E31-8E83C77DFC22}"/>
    <cellStyle name="Normal 16 12 5" xfId="18501" xr:uid="{06BE5251-3B34-4389-867B-295C16699939}"/>
    <cellStyle name="Normal 16 12 6" xfId="18502" xr:uid="{D3BC33A3-2073-4F7E-9EF8-1504982B1DDE}"/>
    <cellStyle name="Normal 16 13" xfId="18503" xr:uid="{C14136D6-B22F-426B-BA8C-EADC8A85E3BB}"/>
    <cellStyle name="Normal 16 13 2" xfId="18504" xr:uid="{D3ACA4AF-9F88-42B5-B2AC-942A8F786B3A}"/>
    <cellStyle name="Normal 16 13 2 2" xfId="18505" xr:uid="{684BE76A-867D-478C-94E7-C6D32A6819A5}"/>
    <cellStyle name="Normal 16 13 2 3" xfId="18506" xr:uid="{8DEE8954-F902-4B40-AED2-1CA35EDC9D13}"/>
    <cellStyle name="Normal 16 13 2 4" xfId="18507" xr:uid="{D81EF04F-3A8B-4744-AC66-E05D04476529}"/>
    <cellStyle name="Normal 16 13 2 5" xfId="18508" xr:uid="{055CC173-487E-455E-BE10-ECE7961CEE66}"/>
    <cellStyle name="Normal 16 13 3" xfId="18509" xr:uid="{C0A6B21E-0570-4022-8AAA-2612404B8EF0}"/>
    <cellStyle name="Normal 16 13 4" xfId="18510" xr:uid="{BF84C174-B3C2-4D2A-8DC8-1FF12724BF3B}"/>
    <cellStyle name="Normal 16 13 5" xfId="18511" xr:uid="{8597F6DC-639B-4D86-96C3-B07486E25C49}"/>
    <cellStyle name="Normal 16 13 6" xfId="18512" xr:uid="{CE6B26C4-7937-41D5-8411-820D2BF92A79}"/>
    <cellStyle name="Normal 16 14" xfId="18513" xr:uid="{5202D01E-23AE-4130-80DC-91CAED9E1655}"/>
    <cellStyle name="Normal 16 14 2" xfId="18514" xr:uid="{8FD693EF-204D-430E-8A35-17A761FC2C93}"/>
    <cellStyle name="Normal 16 14 3" xfId="18515" xr:uid="{DD970DF6-A042-4236-9CDC-DECF9492F657}"/>
    <cellStyle name="Normal 16 14 4" xfId="18516" xr:uid="{B72A6A28-D213-4907-9D9D-E080F5AF3189}"/>
    <cellStyle name="Normal 16 14 5" xfId="18517" xr:uid="{3B39B9B4-CCF7-4A3A-9CC7-D52D3FFB6E08}"/>
    <cellStyle name="Normal 16 15" xfId="18518" xr:uid="{E2BEC119-4F72-4C69-9252-B2F37CD8DD04}"/>
    <cellStyle name="Normal 16 15 2" xfId="18519" xr:uid="{3B1CFF8A-1A15-4E5A-A96B-46743FECDA9C}"/>
    <cellStyle name="Normal 16 15 3" xfId="18520" xr:uid="{478402E8-8A95-40B9-AFE3-2E45128AAB7A}"/>
    <cellStyle name="Normal 16 15 4" xfId="18521" xr:uid="{04B972D1-975C-4A75-9173-C7A513233C40}"/>
    <cellStyle name="Normal 16 15 5" xfId="18522" xr:uid="{24EC6D4F-0FEE-49BB-B1FC-A56AA73EACFA}"/>
    <cellStyle name="Normal 16 16" xfId="18523" xr:uid="{D1558825-D43F-48BA-96F6-9967A0E4C506}"/>
    <cellStyle name="Normal 16 16 2" xfId="18524" xr:uid="{02C4B612-453A-4F03-A6C3-2660020D2A60}"/>
    <cellStyle name="Normal 16 16 3" xfId="18525" xr:uid="{19F4AAA4-0BEE-48EA-B653-FA563C7AB45A}"/>
    <cellStyle name="Normal 16 16 4" xfId="18526" xr:uid="{5018EF2C-BD4C-4EFF-AB35-5E035D426873}"/>
    <cellStyle name="Normal 16 16 5" xfId="18527" xr:uid="{6DCA99BA-FF42-42AD-B468-1D0A863A9113}"/>
    <cellStyle name="Normal 16 17" xfId="18528" xr:uid="{49769E2A-F771-467F-9DB9-0D8596FA31AE}"/>
    <cellStyle name="Normal 16 17 2" xfId="18529" xr:uid="{68E26CB5-CC15-4F4B-BFDD-95D799EA00ED}"/>
    <cellStyle name="Normal 16 17 3" xfId="18530" xr:uid="{9EA8F941-1183-4729-8B98-DF6838B1736A}"/>
    <cellStyle name="Normal 16 17 4" xfId="18531" xr:uid="{D073B189-994B-4D84-B369-31BB8C11090F}"/>
    <cellStyle name="Normal 16 17 5" xfId="18532" xr:uid="{2A9F3A88-33A1-4310-B94A-E194F857EE82}"/>
    <cellStyle name="Normal 16 18" xfId="18533" xr:uid="{52E332F9-E306-4609-960D-E8F9351BC4BE}"/>
    <cellStyle name="Normal 16 19" xfId="18534" xr:uid="{DDA0473A-9FE2-457F-B6FA-32F04FF12621}"/>
    <cellStyle name="Normal 16 2" xfId="18535" xr:uid="{39382623-B7A0-475B-9AA6-EFC8AEA05E80}"/>
    <cellStyle name="Normal 16 2 10" xfId="18536" xr:uid="{1DE06DE4-7036-4CE1-9C2B-EE4C1652D231}"/>
    <cellStyle name="Normal 16 2 10 2" xfId="18537" xr:uid="{88E40DA8-E05E-4C54-81A5-327BD802E54F}"/>
    <cellStyle name="Normal 16 2 10 3" xfId="18538" xr:uid="{EE19AEFE-0DB3-4C06-9DDF-4855571CB417}"/>
    <cellStyle name="Normal 16 2 10 4" xfId="18539" xr:uid="{F0BB3A5F-FADB-42B4-9BDA-A5295A02E0BE}"/>
    <cellStyle name="Normal 16 2 10 5" xfId="18540" xr:uid="{4A714919-FFD7-468B-A17C-F6C70FC8A9C4}"/>
    <cellStyle name="Normal 16 2 11" xfId="18541" xr:uid="{9C27B47E-AEFF-4EF3-824E-23AD58998771}"/>
    <cellStyle name="Normal 16 2 11 2" xfId="18542" xr:uid="{6E03D2F9-D436-4D02-8D99-23A7A214BBC8}"/>
    <cellStyle name="Normal 16 2 11 3" xfId="18543" xr:uid="{1C3E04A1-56E5-4421-802B-8CD938D836CE}"/>
    <cellStyle name="Normal 16 2 11 4" xfId="18544" xr:uid="{5E583017-7276-444F-B80D-249611E59055}"/>
    <cellStyle name="Normal 16 2 11 5" xfId="18545" xr:uid="{4B59E6C1-D0AA-45C4-AACE-7BC60FC1F169}"/>
    <cellStyle name="Normal 16 2 12" xfId="18546" xr:uid="{FAD99B1A-86C7-48E8-A448-5F7D7E39E436}"/>
    <cellStyle name="Normal 16 2 13" xfId="18547" xr:uid="{CB14858E-5FA7-403D-86E9-C0F73CCF84AD}"/>
    <cellStyle name="Normal 16 2 14" xfId="18548" xr:uid="{35D5FE25-995D-4029-84FA-3C5C3F46C7EE}"/>
    <cellStyle name="Normal 16 2 15" xfId="18549" xr:uid="{7997108F-CF1B-4566-89D7-3A485E89DEF8}"/>
    <cellStyle name="Normal 16 2 2" xfId="18550" xr:uid="{87B68B34-B735-44A2-875D-5913C54E141A}"/>
    <cellStyle name="Normal 16 2 2 10" xfId="18551" xr:uid="{701795CD-8672-46C9-9923-64A4C21A214B}"/>
    <cellStyle name="Normal 16 2 2 10 2" xfId="18552" xr:uid="{59CEE4A8-49C3-4900-9214-2492185CA0ED}"/>
    <cellStyle name="Normal 16 2 2 10 3" xfId="18553" xr:uid="{1DE3939B-0842-441C-ABEE-8DF77247234A}"/>
    <cellStyle name="Normal 16 2 2 10 4" xfId="18554" xr:uid="{832ABE74-ACB2-4BFE-8DF9-B9DC237822D0}"/>
    <cellStyle name="Normal 16 2 2 10 5" xfId="18555" xr:uid="{D56B4566-D9A0-4FE1-9A0E-EAF877AFEC6D}"/>
    <cellStyle name="Normal 16 2 2 11" xfId="18556" xr:uid="{42A77721-43DA-40D3-929C-2DA5D88349E0}"/>
    <cellStyle name="Normal 16 2 2 12" xfId="18557" xr:uid="{C0D61D1F-1C28-4EEE-AE35-79E805B1C024}"/>
    <cellStyle name="Normal 16 2 2 13" xfId="18558" xr:uid="{88546E09-8E5B-4304-9AE1-E425C5702F81}"/>
    <cellStyle name="Normal 16 2 2 14" xfId="18559" xr:uid="{7280E74F-741E-43D8-8EA1-DF3ED289086B}"/>
    <cellStyle name="Normal 16 2 2 2" xfId="18560" xr:uid="{7D45F806-AC74-4780-A301-37953295F3A9}"/>
    <cellStyle name="Normal 16 2 2 2 10" xfId="18561" xr:uid="{B335BA2D-62F1-4177-964B-676C17B16286}"/>
    <cellStyle name="Normal 16 2 2 2 11" xfId="18562" xr:uid="{1133D052-0773-45D2-AFC1-87034B696169}"/>
    <cellStyle name="Normal 16 2 2 2 12" xfId="18563" xr:uid="{2B910973-DC86-436C-86F0-7788619ACC54}"/>
    <cellStyle name="Normal 16 2 2 2 13" xfId="18564" xr:uid="{C3964077-1374-40B5-AB61-436C60D40464}"/>
    <cellStyle name="Normal 16 2 2 2 2" xfId="18565" xr:uid="{08DBFAFD-6552-4439-AE2B-D6F33E75F41A}"/>
    <cellStyle name="Normal 16 2 2 2 2 10" xfId="18566" xr:uid="{40069631-0D74-435C-B563-4ABB9246B1F8}"/>
    <cellStyle name="Normal 16 2 2 2 2 11" xfId="18567" xr:uid="{9230511D-E5C0-4BB7-B9A6-D8BD2E999928}"/>
    <cellStyle name="Normal 16 2 2 2 2 12" xfId="18568" xr:uid="{E2085CF2-73BF-4B21-B2F6-AA9011214D21}"/>
    <cellStyle name="Normal 16 2 2 2 2 2" xfId="18569" xr:uid="{9C147E49-2A8E-4174-BDDB-FFF60C6DDFA4}"/>
    <cellStyle name="Normal 16 2 2 2 2 2 2" xfId="18570" xr:uid="{F7C5E19D-5C6E-4CC0-973E-0C071E7177F0}"/>
    <cellStyle name="Normal 16 2 2 2 2 2 2 2" xfId="18571" xr:uid="{CDF67D96-F63D-4B91-9EF2-2D1AB3C77D7A}"/>
    <cellStyle name="Normal 16 2 2 2 2 2 2 3" xfId="18572" xr:uid="{62344D55-F3D7-4789-9D7F-C9F9F605FB79}"/>
    <cellStyle name="Normal 16 2 2 2 2 2 2 4" xfId="18573" xr:uid="{C907A542-C842-482C-8086-6550BCA3420C}"/>
    <cellStyle name="Normal 16 2 2 2 2 2 2 5" xfId="18574" xr:uid="{3372039C-7898-4D46-8681-F2DDC19D1DD4}"/>
    <cellStyle name="Normal 16 2 2 2 2 2 3" xfId="18575" xr:uid="{ABD0FBB3-53F9-4150-814E-5A38636C8CBA}"/>
    <cellStyle name="Normal 16 2 2 2 2 2 4" xfId="18576" xr:uid="{5C006DA6-5E6F-4825-8A42-0762E7B939EB}"/>
    <cellStyle name="Normal 16 2 2 2 2 2 5" xfId="18577" xr:uid="{5149D5A3-6147-4FC6-9663-AE8570ED7A4A}"/>
    <cellStyle name="Normal 16 2 2 2 2 2 6" xfId="18578" xr:uid="{24CA4B86-3CEF-4352-8E01-45B210D6D8A8}"/>
    <cellStyle name="Normal 16 2 2 2 2 3" xfId="18579" xr:uid="{FC926A42-029A-4C4B-934C-96C01E691749}"/>
    <cellStyle name="Normal 16 2 2 2 2 3 2" xfId="18580" xr:uid="{90C9BD10-B647-4BD9-BC32-567BA57F827E}"/>
    <cellStyle name="Normal 16 2 2 2 2 3 2 2" xfId="18581" xr:uid="{109D6FCB-F145-49B0-8953-F4E944E77B01}"/>
    <cellStyle name="Normal 16 2 2 2 2 3 2 3" xfId="18582" xr:uid="{A58428BF-A907-4ADF-92DB-13B46D754F9D}"/>
    <cellStyle name="Normal 16 2 2 2 2 3 2 4" xfId="18583" xr:uid="{29BA576D-E956-4B5A-9674-4300BFDDF565}"/>
    <cellStyle name="Normal 16 2 2 2 2 3 2 5" xfId="18584" xr:uid="{8B8A6CAF-9CC4-4A93-AA82-FFDD63B28D90}"/>
    <cellStyle name="Normal 16 2 2 2 2 3 3" xfId="18585" xr:uid="{F2F2FBA1-7841-4A73-8FE1-921E3D700BD0}"/>
    <cellStyle name="Normal 16 2 2 2 2 3 4" xfId="18586" xr:uid="{77234ED4-E4B2-4D90-91EC-3C26B670C9A8}"/>
    <cellStyle name="Normal 16 2 2 2 2 3 5" xfId="18587" xr:uid="{D8A08356-62B7-4DC9-9AC4-2B0902077C58}"/>
    <cellStyle name="Normal 16 2 2 2 2 3 6" xfId="18588" xr:uid="{BC629A0D-BCD4-4969-AEF0-76A4DB44A6E0}"/>
    <cellStyle name="Normal 16 2 2 2 2 4" xfId="18589" xr:uid="{3530AFC8-BAB2-40C8-A400-26D55FB241CF}"/>
    <cellStyle name="Normal 16 2 2 2 2 4 2" xfId="18590" xr:uid="{9D6C2148-08DE-49F4-A8A5-CE4D53C495F9}"/>
    <cellStyle name="Normal 16 2 2 2 2 4 2 2" xfId="18591" xr:uid="{189D220A-E995-4BC5-BDBC-9DECB1F4B29E}"/>
    <cellStyle name="Normal 16 2 2 2 2 4 2 3" xfId="18592" xr:uid="{A7A2E5E5-DD3A-4C63-A9DB-A662529679D0}"/>
    <cellStyle name="Normal 16 2 2 2 2 4 2 4" xfId="18593" xr:uid="{ABA88C49-B2CF-4EC0-8A20-E07A16E8B498}"/>
    <cellStyle name="Normal 16 2 2 2 2 4 2 5" xfId="18594" xr:uid="{EB1ADC97-7405-4F5D-AF1E-2FF59742D36D}"/>
    <cellStyle name="Normal 16 2 2 2 2 4 3" xfId="18595" xr:uid="{3351FA65-97B5-4342-BCF8-DDBC795F0786}"/>
    <cellStyle name="Normal 16 2 2 2 2 4 4" xfId="18596" xr:uid="{AA7AADDB-3543-430B-AF40-CB523BD70DDB}"/>
    <cellStyle name="Normal 16 2 2 2 2 4 5" xfId="18597" xr:uid="{4FFB9784-21F4-4DCF-839B-C0874D708800}"/>
    <cellStyle name="Normal 16 2 2 2 2 4 6" xfId="18598" xr:uid="{FD063C8B-DE1E-4C59-B1A7-A61715DF2367}"/>
    <cellStyle name="Normal 16 2 2 2 2 5" xfId="18599" xr:uid="{D368345E-AECA-4744-9045-049B896754DE}"/>
    <cellStyle name="Normal 16 2 2 2 2 5 2" xfId="18600" xr:uid="{C35971F9-495B-435B-90A2-CE196DB8CB8C}"/>
    <cellStyle name="Normal 16 2 2 2 2 5 3" xfId="18601" xr:uid="{732F77E0-0780-4ADF-9F33-9A6A249100A5}"/>
    <cellStyle name="Normal 16 2 2 2 2 5 4" xfId="18602" xr:uid="{F969F133-9053-49A3-A4E7-86D9241717C1}"/>
    <cellStyle name="Normal 16 2 2 2 2 5 5" xfId="18603" xr:uid="{5F56AE4C-5608-41B2-BB35-43D1E688E94E}"/>
    <cellStyle name="Normal 16 2 2 2 2 6" xfId="18604" xr:uid="{F78E11C7-A280-4263-84E9-CC32C5CF9D35}"/>
    <cellStyle name="Normal 16 2 2 2 2 6 2" xfId="18605" xr:uid="{0CAB1D93-70E7-4714-8520-5C5DD3049B55}"/>
    <cellStyle name="Normal 16 2 2 2 2 6 3" xfId="18606" xr:uid="{A2CD3978-DC10-4FB4-A44E-477C2DBB9AAD}"/>
    <cellStyle name="Normal 16 2 2 2 2 6 4" xfId="18607" xr:uid="{54FB9A05-617E-4396-B8C8-A435E68E1EEA}"/>
    <cellStyle name="Normal 16 2 2 2 2 6 5" xfId="18608" xr:uid="{E0AF6258-D2A4-49D1-98F0-03C0742EF990}"/>
    <cellStyle name="Normal 16 2 2 2 2 7" xfId="18609" xr:uid="{0C2D7BB2-5D85-437E-A8D0-437D2C0D1B71}"/>
    <cellStyle name="Normal 16 2 2 2 2 7 2" xfId="18610" xr:uid="{C5DDC0E4-401C-48C9-AB6F-E692417973C0}"/>
    <cellStyle name="Normal 16 2 2 2 2 7 3" xfId="18611" xr:uid="{BB6584A7-364C-4822-909E-781F5A8110D5}"/>
    <cellStyle name="Normal 16 2 2 2 2 7 4" xfId="18612" xr:uid="{B2038DA5-9EEE-427B-B142-B9E9AB7C2A83}"/>
    <cellStyle name="Normal 16 2 2 2 2 7 5" xfId="18613" xr:uid="{1E81D3A3-493B-4F58-9345-170AF9AD4503}"/>
    <cellStyle name="Normal 16 2 2 2 2 8" xfId="18614" xr:uid="{E4CE90A5-8B0B-4222-B6FD-6D789C7DB393}"/>
    <cellStyle name="Normal 16 2 2 2 2 8 2" xfId="18615" xr:uid="{C3ECFED2-ED8C-4281-933E-7253D13DEC47}"/>
    <cellStyle name="Normal 16 2 2 2 2 8 3" xfId="18616" xr:uid="{4D7B58C9-33F1-413A-8358-A02865F1DA6D}"/>
    <cellStyle name="Normal 16 2 2 2 2 8 4" xfId="18617" xr:uid="{813F698E-0640-476C-B3A5-2B7A5E33BD29}"/>
    <cellStyle name="Normal 16 2 2 2 2 8 5" xfId="18618" xr:uid="{9272F649-441B-4D42-B3EE-761B4A17AFF6}"/>
    <cellStyle name="Normal 16 2 2 2 2 9" xfId="18619" xr:uid="{0803A4FB-3F6B-4C46-967D-C6252956132C}"/>
    <cellStyle name="Normal 16 2 2 2 3" xfId="18620" xr:uid="{52243FE3-0CE2-401A-AC07-80354B74CB5F}"/>
    <cellStyle name="Normal 16 2 2 2 3 2" xfId="18621" xr:uid="{242A6D17-A7A4-4B1C-99F8-7FA0052F33A8}"/>
    <cellStyle name="Normal 16 2 2 2 3 2 2" xfId="18622" xr:uid="{01CCA965-F11C-4061-862B-32BC1533A17D}"/>
    <cellStyle name="Normal 16 2 2 2 3 2 3" xfId="18623" xr:uid="{0CB9E287-3618-483D-99D7-56FEACC515BB}"/>
    <cellStyle name="Normal 16 2 2 2 3 2 4" xfId="18624" xr:uid="{B18899EB-13E2-4059-A954-BCBB89419128}"/>
    <cellStyle name="Normal 16 2 2 2 3 2 5" xfId="18625" xr:uid="{6AB1F24D-F0DA-4EA9-B007-24F2114C08D2}"/>
    <cellStyle name="Normal 16 2 2 2 3 3" xfId="18626" xr:uid="{A2EC1D97-C04A-4535-80ED-40C1FF074609}"/>
    <cellStyle name="Normal 16 2 2 2 3 4" xfId="18627" xr:uid="{EAD913C1-5D5D-468D-BDAA-026911EEB1C6}"/>
    <cellStyle name="Normal 16 2 2 2 3 5" xfId="18628" xr:uid="{CB6FB9D3-5AC0-4273-BF46-59D2B652118A}"/>
    <cellStyle name="Normal 16 2 2 2 3 6" xfId="18629" xr:uid="{16CA9F77-BAC7-4C33-8A88-93DB99E7E348}"/>
    <cellStyle name="Normal 16 2 2 2 4" xfId="18630" xr:uid="{80F90927-EF38-4A0C-A5EC-9CA8A86E5FCF}"/>
    <cellStyle name="Normal 16 2 2 2 4 2" xfId="18631" xr:uid="{9178850F-3D40-48E7-AEE0-04D2FDC123C9}"/>
    <cellStyle name="Normal 16 2 2 2 4 2 2" xfId="18632" xr:uid="{2B3306D1-114A-448B-AA5D-F5094D3E28E5}"/>
    <cellStyle name="Normal 16 2 2 2 4 2 3" xfId="18633" xr:uid="{9C01F315-EE7B-498F-AAA4-A28C99DA9502}"/>
    <cellStyle name="Normal 16 2 2 2 4 2 4" xfId="18634" xr:uid="{DB25DA10-FA07-4B02-9085-CAF84464BD1A}"/>
    <cellStyle name="Normal 16 2 2 2 4 2 5" xfId="18635" xr:uid="{FA0F1207-F6C9-4A0C-8CA3-DBB791E951FD}"/>
    <cellStyle name="Normal 16 2 2 2 4 3" xfId="18636" xr:uid="{A9370706-9FB5-46B6-BEE3-B6F05AE473D8}"/>
    <cellStyle name="Normal 16 2 2 2 4 4" xfId="18637" xr:uid="{B2E66C8D-292E-4F44-A67F-7B224E508655}"/>
    <cellStyle name="Normal 16 2 2 2 4 5" xfId="18638" xr:uid="{4A66AC1D-C925-4C95-AD37-05A07E1915A5}"/>
    <cellStyle name="Normal 16 2 2 2 4 6" xfId="18639" xr:uid="{CED9FF0C-EA31-4E32-ACE8-CB593FA8EADF}"/>
    <cellStyle name="Normal 16 2 2 2 5" xfId="18640" xr:uid="{D45CFF05-7A8A-4B0A-AFED-A74EECCBA0C0}"/>
    <cellStyle name="Normal 16 2 2 2 5 2" xfId="18641" xr:uid="{0C52DD80-E8BF-4C37-B291-EB19CA024DE1}"/>
    <cellStyle name="Normal 16 2 2 2 5 2 2" xfId="18642" xr:uid="{031CBBC9-30CD-433A-A63B-72C8CED5C1A2}"/>
    <cellStyle name="Normal 16 2 2 2 5 2 3" xfId="18643" xr:uid="{38C4B64C-BF8B-4AD8-8F5F-9C49A1516245}"/>
    <cellStyle name="Normal 16 2 2 2 5 2 4" xfId="18644" xr:uid="{BDBDB4F6-A334-44BD-A8AF-A47A005EA7ED}"/>
    <cellStyle name="Normal 16 2 2 2 5 2 5" xfId="18645" xr:uid="{47ACC337-E0E2-4DBB-9463-35378B1AFAF0}"/>
    <cellStyle name="Normal 16 2 2 2 5 3" xfId="18646" xr:uid="{E9E7CEA0-FE54-483D-ADF2-1274D4F1B004}"/>
    <cellStyle name="Normal 16 2 2 2 5 4" xfId="18647" xr:uid="{24B736F6-7C88-4F3E-9DCE-EF5F866074F3}"/>
    <cellStyle name="Normal 16 2 2 2 5 5" xfId="18648" xr:uid="{17F65E3F-95E6-416F-B02C-E62554F86041}"/>
    <cellStyle name="Normal 16 2 2 2 5 6" xfId="18649" xr:uid="{DC78A144-5940-4FEA-86CC-5C6BCABA7DD0}"/>
    <cellStyle name="Normal 16 2 2 2 6" xfId="18650" xr:uid="{77038DA2-B444-44FF-AB4A-C9A0759FA70D}"/>
    <cellStyle name="Normal 16 2 2 2 6 2" xfId="18651" xr:uid="{996EA5EC-58D3-4A0E-A3EE-0E2DF58D4B77}"/>
    <cellStyle name="Normal 16 2 2 2 6 3" xfId="18652" xr:uid="{F6F286DE-2913-48FE-9B38-BFB439A327C2}"/>
    <cellStyle name="Normal 16 2 2 2 6 4" xfId="18653" xr:uid="{A264606D-E207-4ADD-AC8D-B12E30CCCCA5}"/>
    <cellStyle name="Normal 16 2 2 2 6 5" xfId="18654" xr:uid="{346BAD64-4FC5-4298-84EE-1CEF54B10382}"/>
    <cellStyle name="Normal 16 2 2 2 7" xfId="18655" xr:uid="{B98FF486-6EC0-49A9-81BF-0986F53D7CBD}"/>
    <cellStyle name="Normal 16 2 2 2 7 2" xfId="18656" xr:uid="{935A4B15-9300-4FB6-B0C8-FCDC8CFA539E}"/>
    <cellStyle name="Normal 16 2 2 2 7 3" xfId="18657" xr:uid="{4C44D89F-0164-4614-9469-DF3BC37538D2}"/>
    <cellStyle name="Normal 16 2 2 2 7 4" xfId="18658" xr:uid="{578AD573-7C4F-4F1A-A007-FA2BFADDA2B7}"/>
    <cellStyle name="Normal 16 2 2 2 7 5" xfId="18659" xr:uid="{785B9C89-B636-4F73-9CAD-17D641335F53}"/>
    <cellStyle name="Normal 16 2 2 2 8" xfId="18660" xr:uid="{C977BD23-EF40-4353-AB96-314AE90CF5B7}"/>
    <cellStyle name="Normal 16 2 2 2 8 2" xfId="18661" xr:uid="{8D9A70C2-6E94-4BB6-9B63-338CE2D94254}"/>
    <cellStyle name="Normal 16 2 2 2 8 3" xfId="18662" xr:uid="{5712D1AF-13A6-452A-8AF1-B32B3EF98898}"/>
    <cellStyle name="Normal 16 2 2 2 8 4" xfId="18663" xr:uid="{AC4D8B33-C135-47B6-8815-1C02A052E2A3}"/>
    <cellStyle name="Normal 16 2 2 2 8 5" xfId="18664" xr:uid="{F3AA71C1-D3CC-4365-9C9A-3E5376CB171A}"/>
    <cellStyle name="Normal 16 2 2 2 9" xfId="18665" xr:uid="{175C5AEE-4089-437F-A935-4CFE644CB342}"/>
    <cellStyle name="Normal 16 2 2 2 9 2" xfId="18666" xr:uid="{A78F9184-C603-41F8-A479-9063B828D7DA}"/>
    <cellStyle name="Normal 16 2 2 2 9 3" xfId="18667" xr:uid="{ECEF45DC-0E5F-4308-B268-FDF2BDD673BC}"/>
    <cellStyle name="Normal 16 2 2 2 9 4" xfId="18668" xr:uid="{DCA18C0E-7E00-42B2-98AF-EF1F3DCC68CB}"/>
    <cellStyle name="Normal 16 2 2 2 9 5" xfId="18669" xr:uid="{A3ED6B29-A27D-4996-B373-1321EE665769}"/>
    <cellStyle name="Normal 16 2 2 3" xfId="18670" xr:uid="{29B5F30C-F99A-484F-B5F5-F2638A5F83AB}"/>
    <cellStyle name="Normal 16 2 2 3 10" xfId="18671" xr:uid="{9203ABA0-ADB2-42C5-9BEE-BD6ED7B5A07A}"/>
    <cellStyle name="Normal 16 2 2 3 11" xfId="18672" xr:uid="{FFFBC42E-D529-4430-8E76-7D70F4FEF278}"/>
    <cellStyle name="Normal 16 2 2 3 12" xfId="18673" xr:uid="{6ED1A754-2A1D-41E8-AA64-77D5CEF3F5F8}"/>
    <cellStyle name="Normal 16 2 2 3 2" xfId="18674" xr:uid="{50DDF5C5-1220-4329-A81C-8DCB2465CF1F}"/>
    <cellStyle name="Normal 16 2 2 3 2 2" xfId="18675" xr:uid="{2F08A0A8-3C12-4B89-B5CF-CF8F875CF59F}"/>
    <cellStyle name="Normal 16 2 2 3 2 2 2" xfId="18676" xr:uid="{A266B5FB-16AF-440A-BE18-FA8BE3136E27}"/>
    <cellStyle name="Normal 16 2 2 3 2 2 3" xfId="18677" xr:uid="{BB353BE8-D69A-4B46-B537-14B9C90C361A}"/>
    <cellStyle name="Normal 16 2 2 3 2 2 4" xfId="18678" xr:uid="{9B72A6B7-A2AA-490F-A76E-C39018FCD028}"/>
    <cellStyle name="Normal 16 2 2 3 2 2 5" xfId="18679" xr:uid="{71881805-2589-4290-8405-1AF3E0EC0229}"/>
    <cellStyle name="Normal 16 2 2 3 2 3" xfId="18680" xr:uid="{30B6F405-D2B0-4D51-8E01-76B5C5799939}"/>
    <cellStyle name="Normal 16 2 2 3 2 4" xfId="18681" xr:uid="{5EF724AB-04EB-452D-83D5-5404DEF5EFA8}"/>
    <cellStyle name="Normal 16 2 2 3 2 5" xfId="18682" xr:uid="{20A47D36-F605-479F-8BD3-A409A4ADFE40}"/>
    <cellStyle name="Normal 16 2 2 3 2 6" xfId="18683" xr:uid="{35CFD87D-7435-4F16-9ADB-5662372939EF}"/>
    <cellStyle name="Normal 16 2 2 3 3" xfId="18684" xr:uid="{AE3C2E5C-AC5F-4101-B5FC-EB5FBF886CB7}"/>
    <cellStyle name="Normal 16 2 2 3 3 2" xfId="18685" xr:uid="{A9A47A91-2885-4D17-B4FA-BF4C17B8E95B}"/>
    <cellStyle name="Normal 16 2 2 3 3 2 2" xfId="18686" xr:uid="{27AE61BD-7B30-46B1-B09B-DFD3A44BA81C}"/>
    <cellStyle name="Normal 16 2 2 3 3 2 3" xfId="18687" xr:uid="{0B18150A-704C-4C31-A166-95F51D88F183}"/>
    <cellStyle name="Normal 16 2 2 3 3 2 4" xfId="18688" xr:uid="{1BDECBC6-4E8D-45C4-B5EA-89B5C950D1B0}"/>
    <cellStyle name="Normal 16 2 2 3 3 2 5" xfId="18689" xr:uid="{17130BB1-1FF1-46EC-954D-B2630FDFCD95}"/>
    <cellStyle name="Normal 16 2 2 3 3 3" xfId="18690" xr:uid="{C7E128AB-E03D-4D89-8F7C-1D7156EFDBF5}"/>
    <cellStyle name="Normal 16 2 2 3 3 4" xfId="18691" xr:uid="{2FCCDA95-8C73-486D-A84F-63A07DF3BD1D}"/>
    <cellStyle name="Normal 16 2 2 3 3 5" xfId="18692" xr:uid="{340D663B-C1DA-4539-83B1-8D7AF924EA29}"/>
    <cellStyle name="Normal 16 2 2 3 3 6" xfId="18693" xr:uid="{159B6C37-E591-4EE8-BE88-B209A7E9325C}"/>
    <cellStyle name="Normal 16 2 2 3 4" xfId="18694" xr:uid="{0E3227E0-C1D5-4ABF-B3D2-2FA1941AFEC0}"/>
    <cellStyle name="Normal 16 2 2 3 4 2" xfId="18695" xr:uid="{9D4FAC9C-9BB0-4A67-BD8A-290CFAAFB4A2}"/>
    <cellStyle name="Normal 16 2 2 3 4 2 2" xfId="18696" xr:uid="{F6914F84-FCFA-4670-8538-7A46D8060924}"/>
    <cellStyle name="Normal 16 2 2 3 4 2 3" xfId="18697" xr:uid="{4C01E9A9-1710-4393-A5F0-7DDEC4DB581B}"/>
    <cellStyle name="Normal 16 2 2 3 4 2 4" xfId="18698" xr:uid="{13F7ECCA-940D-41AE-9EA7-232962F9D05B}"/>
    <cellStyle name="Normal 16 2 2 3 4 2 5" xfId="18699" xr:uid="{278DAA97-9141-4EBC-BB86-3444862F0029}"/>
    <cellStyle name="Normal 16 2 2 3 4 3" xfId="18700" xr:uid="{BAD07860-949D-4D3F-8A3F-874CB30AF046}"/>
    <cellStyle name="Normal 16 2 2 3 4 4" xfId="18701" xr:uid="{C0783893-FCCB-4D15-86D9-EE1EF83D7446}"/>
    <cellStyle name="Normal 16 2 2 3 4 5" xfId="18702" xr:uid="{8864E0D2-EA33-450D-BB69-46449F9F0302}"/>
    <cellStyle name="Normal 16 2 2 3 4 6" xfId="18703" xr:uid="{A61CADAA-7A27-43EE-8F5E-38CF9791CD38}"/>
    <cellStyle name="Normal 16 2 2 3 5" xfId="18704" xr:uid="{894ABB0E-C72B-4CB4-A1F9-4D6D8DF46E13}"/>
    <cellStyle name="Normal 16 2 2 3 5 2" xfId="18705" xr:uid="{FFC9EB77-756C-421B-89ED-9C9597355D53}"/>
    <cellStyle name="Normal 16 2 2 3 5 3" xfId="18706" xr:uid="{E6E73C32-D249-45E0-9E98-3B896501F155}"/>
    <cellStyle name="Normal 16 2 2 3 5 4" xfId="18707" xr:uid="{C6EDE7A4-467C-4A18-96EE-27DB222CEDA9}"/>
    <cellStyle name="Normal 16 2 2 3 5 5" xfId="18708" xr:uid="{ED725D74-C7ED-4E7B-878C-17AB96EA0A65}"/>
    <cellStyle name="Normal 16 2 2 3 6" xfId="18709" xr:uid="{E07838B4-C16B-4D19-9662-7FCBC4A38F5C}"/>
    <cellStyle name="Normal 16 2 2 3 6 2" xfId="18710" xr:uid="{DAA759DF-FB1A-4D69-B0D2-864138B5FDEA}"/>
    <cellStyle name="Normal 16 2 2 3 6 3" xfId="18711" xr:uid="{7FE7F679-E2E5-470E-A2E6-200F9CDF8428}"/>
    <cellStyle name="Normal 16 2 2 3 6 4" xfId="18712" xr:uid="{9CE35838-AC64-496C-822F-9BF8F2EC77A4}"/>
    <cellStyle name="Normal 16 2 2 3 6 5" xfId="18713" xr:uid="{2BDC2F84-1F53-4CD7-9C9E-D2615F029354}"/>
    <cellStyle name="Normal 16 2 2 3 7" xfId="18714" xr:uid="{76DBB378-7B99-4996-99CF-066536685D78}"/>
    <cellStyle name="Normal 16 2 2 3 7 2" xfId="18715" xr:uid="{33A5F700-7669-4E41-8FD1-48CAB9B9B0A4}"/>
    <cellStyle name="Normal 16 2 2 3 7 3" xfId="18716" xr:uid="{03A7DD29-F007-45E3-8A6A-9F104DB22F1D}"/>
    <cellStyle name="Normal 16 2 2 3 7 4" xfId="18717" xr:uid="{043B5A95-669B-42FC-A617-D58D29CFE4D8}"/>
    <cellStyle name="Normal 16 2 2 3 7 5" xfId="18718" xr:uid="{FC1EA527-B45A-478C-8E07-2D42D44EB511}"/>
    <cellStyle name="Normal 16 2 2 3 8" xfId="18719" xr:uid="{851874EA-A16E-4829-81ED-A9FF88484444}"/>
    <cellStyle name="Normal 16 2 2 3 8 2" xfId="18720" xr:uid="{D91291C8-F7EF-47D1-AF93-27A142DB3010}"/>
    <cellStyle name="Normal 16 2 2 3 8 3" xfId="18721" xr:uid="{1C19644B-8B64-4568-BA9C-807FE9EAACD6}"/>
    <cellStyle name="Normal 16 2 2 3 8 4" xfId="18722" xr:uid="{205DB122-E4C6-434F-94AC-05B733FE71F7}"/>
    <cellStyle name="Normal 16 2 2 3 8 5" xfId="18723" xr:uid="{4BDDD08A-DAF2-42E1-BFA6-C1B80F5D4007}"/>
    <cellStyle name="Normal 16 2 2 3 9" xfId="18724" xr:uid="{73D9DE26-AE75-4BFA-B615-08BEBEE564D0}"/>
    <cellStyle name="Normal 16 2 2 4" xfId="18725" xr:uid="{0FA19900-E496-44C1-9E9F-25CA588B5D16}"/>
    <cellStyle name="Normal 16 2 2 4 2" xfId="18726" xr:uid="{758418BF-E350-44E0-9457-883845553F22}"/>
    <cellStyle name="Normal 16 2 2 4 2 2" xfId="18727" xr:uid="{CF14DCF5-C77D-42F4-8B6A-278F6B633590}"/>
    <cellStyle name="Normal 16 2 2 4 2 3" xfId="18728" xr:uid="{24A9B99D-2102-4C87-854E-E323FBD4D038}"/>
    <cellStyle name="Normal 16 2 2 4 2 4" xfId="18729" xr:uid="{6E435218-0C1B-49FD-BC8D-8EFDA8476081}"/>
    <cellStyle name="Normal 16 2 2 4 2 5" xfId="18730" xr:uid="{45C9FCC9-C382-48FC-A38A-56BCD06B2DB2}"/>
    <cellStyle name="Normal 16 2 2 4 3" xfId="18731" xr:uid="{B8D59D87-A405-43C4-8B1D-F062E4E380BE}"/>
    <cellStyle name="Normal 16 2 2 4 4" xfId="18732" xr:uid="{B655B1CC-739B-4671-868D-FF007C6C8985}"/>
    <cellStyle name="Normal 16 2 2 4 5" xfId="18733" xr:uid="{BBDD47B9-1155-41D6-82A9-F8B56DBAB990}"/>
    <cellStyle name="Normal 16 2 2 4 6" xfId="18734" xr:uid="{3760A307-1545-40E4-AD25-37488FA1D0A3}"/>
    <cellStyle name="Normal 16 2 2 5" xfId="18735" xr:uid="{51367854-FB9D-40F5-839C-AF4A4EF8231E}"/>
    <cellStyle name="Normal 16 2 2 5 2" xfId="18736" xr:uid="{B61D5F2E-8706-4515-A0BD-31E19031E9C9}"/>
    <cellStyle name="Normal 16 2 2 5 2 2" xfId="18737" xr:uid="{29852D8B-F17F-4E0E-8321-8CFCA4BEAE2C}"/>
    <cellStyle name="Normal 16 2 2 5 2 3" xfId="18738" xr:uid="{0F3C7DBF-467A-4A28-BDC5-1A0A924CB105}"/>
    <cellStyle name="Normal 16 2 2 5 2 4" xfId="18739" xr:uid="{2145A140-E30D-4D77-AB24-B3736C3CA914}"/>
    <cellStyle name="Normal 16 2 2 5 2 5" xfId="18740" xr:uid="{0A404C5B-8C52-436A-A32A-FEF4D394AFB8}"/>
    <cellStyle name="Normal 16 2 2 5 3" xfId="18741" xr:uid="{A4B5A0B6-805F-4BCB-BF5C-B04199B1A0F3}"/>
    <cellStyle name="Normal 16 2 2 5 4" xfId="18742" xr:uid="{A654BB95-6E5F-4879-9005-1EA6DF04D016}"/>
    <cellStyle name="Normal 16 2 2 5 5" xfId="18743" xr:uid="{9B537E03-E159-4194-BA4C-C4BA5D8F18A2}"/>
    <cellStyle name="Normal 16 2 2 5 6" xfId="18744" xr:uid="{49A7E91F-C50A-4537-ABFB-DB52E8BD8246}"/>
    <cellStyle name="Normal 16 2 2 6" xfId="18745" xr:uid="{E40F5698-3633-4F46-A1E0-0C07EAB93A5C}"/>
    <cellStyle name="Normal 16 2 2 6 2" xfId="18746" xr:uid="{4945AD8A-B10E-4FBF-AE28-C0B53E377518}"/>
    <cellStyle name="Normal 16 2 2 6 2 2" xfId="18747" xr:uid="{6A2B8DE7-A250-42E7-824C-E0DBD9453FB9}"/>
    <cellStyle name="Normal 16 2 2 6 2 3" xfId="18748" xr:uid="{2758E366-F62A-45D1-8EB2-8F7474E09AB8}"/>
    <cellStyle name="Normal 16 2 2 6 2 4" xfId="18749" xr:uid="{859117AD-CC98-46D2-9744-9239C3F08D6C}"/>
    <cellStyle name="Normal 16 2 2 6 2 5" xfId="18750" xr:uid="{F71F3CBF-2032-4FC7-806B-D42CECE79BC7}"/>
    <cellStyle name="Normal 16 2 2 6 3" xfId="18751" xr:uid="{3FFA1891-1B2E-4DDA-A97A-877035F08B05}"/>
    <cellStyle name="Normal 16 2 2 6 4" xfId="18752" xr:uid="{5C3FE795-D19D-499C-8EE8-866A8F2A0B92}"/>
    <cellStyle name="Normal 16 2 2 6 5" xfId="18753" xr:uid="{0AFC74C5-38E7-40FC-9645-4867D8896E6E}"/>
    <cellStyle name="Normal 16 2 2 6 6" xfId="18754" xr:uid="{18C83162-DEA3-415C-A738-12B2CFD506CA}"/>
    <cellStyle name="Normal 16 2 2 7" xfId="18755" xr:uid="{377DAF35-BDD2-4A61-8401-55CC34E9B394}"/>
    <cellStyle name="Normal 16 2 2 7 2" xfId="18756" xr:uid="{3272654E-B7CA-4A29-BB2B-AD5E934C9774}"/>
    <cellStyle name="Normal 16 2 2 7 3" xfId="18757" xr:uid="{022067B5-ED05-43D8-87F5-97765DC41BC8}"/>
    <cellStyle name="Normal 16 2 2 7 4" xfId="18758" xr:uid="{BCC91503-D484-4BA3-B495-19875F6467FA}"/>
    <cellStyle name="Normal 16 2 2 7 5" xfId="18759" xr:uid="{46F2F84E-985A-481C-8407-943FBDEDF19B}"/>
    <cellStyle name="Normal 16 2 2 8" xfId="18760" xr:uid="{C6FECE88-5199-483F-986E-CEB1C952E822}"/>
    <cellStyle name="Normal 16 2 2 8 2" xfId="18761" xr:uid="{4CFA10B3-9F36-4F75-BD39-8ADFE4E9EB60}"/>
    <cellStyle name="Normal 16 2 2 8 3" xfId="18762" xr:uid="{9473ACBD-3DB9-4F86-B389-AAED464865CF}"/>
    <cellStyle name="Normal 16 2 2 8 4" xfId="18763" xr:uid="{D6EE4FCE-76F7-4472-8B1A-10770EFF6C24}"/>
    <cellStyle name="Normal 16 2 2 8 5" xfId="18764" xr:uid="{0C495257-88D1-40CA-8885-F494E1FC0DE5}"/>
    <cellStyle name="Normal 16 2 2 9" xfId="18765" xr:uid="{83DA096F-BEB3-43CA-B065-C3D6F99308D8}"/>
    <cellStyle name="Normal 16 2 2 9 2" xfId="18766" xr:uid="{27319E9B-9078-4F2B-8521-1D0BF50EB0F1}"/>
    <cellStyle name="Normal 16 2 2 9 3" xfId="18767" xr:uid="{3C5BF68D-6B9B-4487-A7AC-382640DC9498}"/>
    <cellStyle name="Normal 16 2 2 9 4" xfId="18768" xr:uid="{09E330C2-EE90-4CEC-9A76-69E7A24237F0}"/>
    <cellStyle name="Normal 16 2 2 9 5" xfId="18769" xr:uid="{FE8BE5FE-B586-4303-BF18-1D08112C76D0}"/>
    <cellStyle name="Normal 16 2 3" xfId="18770" xr:uid="{9F041EB8-95F9-47FE-A431-CB33BB50F006}"/>
    <cellStyle name="Normal 16 2 3 10" xfId="18771" xr:uid="{C5B9FDA3-BF7A-405F-B799-CF450ED28338}"/>
    <cellStyle name="Normal 16 2 3 11" xfId="18772" xr:uid="{754D7715-730E-4DD4-8C4C-8FF085CACAA4}"/>
    <cellStyle name="Normal 16 2 3 12" xfId="18773" xr:uid="{C417ACC0-0473-4780-B7A1-C9283D72713E}"/>
    <cellStyle name="Normal 16 2 3 13" xfId="18774" xr:uid="{4ED6C3A6-F842-4A15-BBDA-CB8489C1312F}"/>
    <cellStyle name="Normal 16 2 3 2" xfId="18775" xr:uid="{99171918-4BCB-4707-AD1E-174DA7583DBC}"/>
    <cellStyle name="Normal 16 2 3 2 10" xfId="18776" xr:uid="{07A67448-1BCB-44FB-BB09-8206DA52E1E7}"/>
    <cellStyle name="Normal 16 2 3 2 11" xfId="18777" xr:uid="{05C2CBD9-4DD1-4E26-A6BD-9C46303DE91A}"/>
    <cellStyle name="Normal 16 2 3 2 12" xfId="18778" xr:uid="{7EB2352C-063F-4BD9-A8F0-38BD8A041982}"/>
    <cellStyle name="Normal 16 2 3 2 2" xfId="18779" xr:uid="{8413108F-9F22-478F-B1D4-D3D8F057F5B9}"/>
    <cellStyle name="Normal 16 2 3 2 2 2" xfId="18780" xr:uid="{42C1235B-3FF5-4C7B-AC28-65D52C5868BC}"/>
    <cellStyle name="Normal 16 2 3 2 2 2 2" xfId="18781" xr:uid="{C771044F-43A7-43B0-82DD-8FC011267F6C}"/>
    <cellStyle name="Normal 16 2 3 2 2 2 3" xfId="18782" xr:uid="{E4A33E9C-5843-421F-AAE6-1E8F782F1F9C}"/>
    <cellStyle name="Normal 16 2 3 2 2 2 4" xfId="18783" xr:uid="{85092130-0DE3-4C8C-A58D-C6B9F095DCB6}"/>
    <cellStyle name="Normal 16 2 3 2 2 2 5" xfId="18784" xr:uid="{2F464E6F-002C-4A0D-98C3-BD7B96B65D33}"/>
    <cellStyle name="Normal 16 2 3 2 2 3" xfId="18785" xr:uid="{8E9B2CB2-0CC5-48F9-A805-5C4F75444765}"/>
    <cellStyle name="Normal 16 2 3 2 2 4" xfId="18786" xr:uid="{9E6D0B30-2CE1-490B-ACB1-A661B662BFD9}"/>
    <cellStyle name="Normal 16 2 3 2 2 5" xfId="18787" xr:uid="{3ACF45BB-AA59-41FC-8DE2-6C540B346745}"/>
    <cellStyle name="Normal 16 2 3 2 2 6" xfId="18788" xr:uid="{BD1DC8A8-6CC8-48AE-90B3-3F904BFA3929}"/>
    <cellStyle name="Normal 16 2 3 2 3" xfId="18789" xr:uid="{707E0B59-26E7-4572-941F-10CFDC7C806D}"/>
    <cellStyle name="Normal 16 2 3 2 3 2" xfId="18790" xr:uid="{75F2A8BA-5179-409C-9DA5-01F694AC4D80}"/>
    <cellStyle name="Normal 16 2 3 2 3 2 2" xfId="18791" xr:uid="{E9EDFCF8-EAA4-435C-B742-F4CD24905462}"/>
    <cellStyle name="Normal 16 2 3 2 3 2 3" xfId="18792" xr:uid="{78A5EF82-9F3B-4A52-99D4-1A513CEA0246}"/>
    <cellStyle name="Normal 16 2 3 2 3 2 4" xfId="18793" xr:uid="{DDB92974-9810-49F8-893B-F874B2206FA2}"/>
    <cellStyle name="Normal 16 2 3 2 3 2 5" xfId="18794" xr:uid="{87A180F4-AAFE-4DDE-8A3B-E16AB3C702B4}"/>
    <cellStyle name="Normal 16 2 3 2 3 3" xfId="18795" xr:uid="{36BA5647-A2F3-4EFF-AEB6-C731A23DD18F}"/>
    <cellStyle name="Normal 16 2 3 2 3 4" xfId="18796" xr:uid="{955D6886-6D27-4303-8BBB-32ECA19F53B5}"/>
    <cellStyle name="Normal 16 2 3 2 3 5" xfId="18797" xr:uid="{FCEC14EE-702F-4D58-A17F-72FD9D86020B}"/>
    <cellStyle name="Normal 16 2 3 2 3 6" xfId="18798" xr:uid="{7BAE53B2-1603-40DF-B028-12B428551365}"/>
    <cellStyle name="Normal 16 2 3 2 4" xfId="18799" xr:uid="{B7B5C165-442C-4BF3-ABE9-0108AA54685D}"/>
    <cellStyle name="Normal 16 2 3 2 4 2" xfId="18800" xr:uid="{7AA42FCE-2053-4D03-A3D3-E644203FC4C3}"/>
    <cellStyle name="Normal 16 2 3 2 4 2 2" xfId="18801" xr:uid="{5A0DFEA3-B6CF-4B4A-8440-6EABDBBF0DD5}"/>
    <cellStyle name="Normal 16 2 3 2 4 2 3" xfId="18802" xr:uid="{3C77099A-F6FB-443C-AD93-B230AD5753B1}"/>
    <cellStyle name="Normal 16 2 3 2 4 2 4" xfId="18803" xr:uid="{67355146-DEF8-4A83-BA63-C19147950347}"/>
    <cellStyle name="Normal 16 2 3 2 4 2 5" xfId="18804" xr:uid="{844C2B20-9B7B-44C2-977E-46091E987AE9}"/>
    <cellStyle name="Normal 16 2 3 2 4 3" xfId="18805" xr:uid="{909C73F2-5D5C-4EF0-A531-3B6494A0C483}"/>
    <cellStyle name="Normal 16 2 3 2 4 4" xfId="18806" xr:uid="{1FA74921-A01F-4855-8685-13A927D9AD95}"/>
    <cellStyle name="Normal 16 2 3 2 4 5" xfId="18807" xr:uid="{C5DF1C0C-87B3-4D87-BA6F-D693CA41D5D9}"/>
    <cellStyle name="Normal 16 2 3 2 4 6" xfId="18808" xr:uid="{EDF6AB9C-EBAF-44DA-A0ED-1846387CD671}"/>
    <cellStyle name="Normal 16 2 3 2 5" xfId="18809" xr:uid="{D4292D49-AD84-4A38-89F1-A8D2DF6C31C6}"/>
    <cellStyle name="Normal 16 2 3 2 5 2" xfId="18810" xr:uid="{52C1899E-B7B8-4CAA-9F08-3DDB410FB9B3}"/>
    <cellStyle name="Normal 16 2 3 2 5 3" xfId="18811" xr:uid="{19AFC226-5F1E-4DC0-A0C6-7D952CB44A12}"/>
    <cellStyle name="Normal 16 2 3 2 5 4" xfId="18812" xr:uid="{7F1F85A3-A6AA-4565-AB46-80BEFE3D56E1}"/>
    <cellStyle name="Normal 16 2 3 2 5 5" xfId="18813" xr:uid="{B5E73611-CA40-409A-9E5F-8EFF5119125A}"/>
    <cellStyle name="Normal 16 2 3 2 6" xfId="18814" xr:uid="{239546F3-7C76-4B08-B72A-53BF0468C659}"/>
    <cellStyle name="Normal 16 2 3 2 6 2" xfId="18815" xr:uid="{F74257B0-EC6D-4C02-9D3A-A3A246FA2332}"/>
    <cellStyle name="Normal 16 2 3 2 6 3" xfId="18816" xr:uid="{0F8638B1-5C93-42C7-9075-B287D2842F12}"/>
    <cellStyle name="Normal 16 2 3 2 6 4" xfId="18817" xr:uid="{6CE94B24-905E-456E-965B-F8AE639F8D68}"/>
    <cellStyle name="Normal 16 2 3 2 6 5" xfId="18818" xr:uid="{59701DB6-EB15-4707-9CDE-FD2058774616}"/>
    <cellStyle name="Normal 16 2 3 2 7" xfId="18819" xr:uid="{FDD024AD-2C10-435B-BBAB-ECA570DAB8A6}"/>
    <cellStyle name="Normal 16 2 3 2 7 2" xfId="18820" xr:uid="{7CDB6EEA-2AB2-429C-B23A-51F4EFE24B17}"/>
    <cellStyle name="Normal 16 2 3 2 7 3" xfId="18821" xr:uid="{03FB5557-BDE4-4AA5-9AB3-EB9F9A7FA44B}"/>
    <cellStyle name="Normal 16 2 3 2 7 4" xfId="18822" xr:uid="{5D2D37C8-D36C-43EE-8914-B7BB34248EB1}"/>
    <cellStyle name="Normal 16 2 3 2 7 5" xfId="18823" xr:uid="{AD1FD4AB-31E6-4CC2-ACAF-7BDD7AF06323}"/>
    <cellStyle name="Normal 16 2 3 2 8" xfId="18824" xr:uid="{5BA34189-63F3-4DE8-A97F-580C3E3219E6}"/>
    <cellStyle name="Normal 16 2 3 2 8 2" xfId="18825" xr:uid="{2CA25556-C18C-4CD2-A49D-BC151A342483}"/>
    <cellStyle name="Normal 16 2 3 2 8 3" xfId="18826" xr:uid="{0D14EBAA-9CF5-4065-84C1-378AE2BD950D}"/>
    <cellStyle name="Normal 16 2 3 2 8 4" xfId="18827" xr:uid="{E8475BCB-6A5D-441E-963F-062E9CA36583}"/>
    <cellStyle name="Normal 16 2 3 2 8 5" xfId="18828" xr:uid="{7C21BDF4-3E3E-4470-BF0F-942D3A0D9A44}"/>
    <cellStyle name="Normal 16 2 3 2 9" xfId="18829" xr:uid="{DF1AE739-C031-405F-99CF-E07F1AA3499E}"/>
    <cellStyle name="Normal 16 2 3 3" xfId="18830" xr:uid="{FDD19DDE-10E4-4968-AA8E-C69BF62777A2}"/>
    <cellStyle name="Normal 16 2 3 3 2" xfId="18831" xr:uid="{E54BB9ED-3B74-4041-A540-9F36B098A65B}"/>
    <cellStyle name="Normal 16 2 3 3 2 2" xfId="18832" xr:uid="{3DCA190D-8865-41C8-8C18-3919ADC27766}"/>
    <cellStyle name="Normal 16 2 3 3 2 3" xfId="18833" xr:uid="{3A233BCF-7ECB-4671-9686-50CE049A3FDB}"/>
    <cellStyle name="Normal 16 2 3 3 2 4" xfId="18834" xr:uid="{8A1F0F52-66A9-4131-A43C-B44B91272F80}"/>
    <cellStyle name="Normal 16 2 3 3 2 5" xfId="18835" xr:uid="{1041D4FE-36EE-4D1B-8827-DB114BC017AB}"/>
    <cellStyle name="Normal 16 2 3 3 3" xfId="18836" xr:uid="{14ECEF2A-8FBA-46F7-9CBD-637EA91ADDE5}"/>
    <cellStyle name="Normal 16 2 3 3 4" xfId="18837" xr:uid="{3CAD362F-E87F-4468-AD54-19214453A7BA}"/>
    <cellStyle name="Normal 16 2 3 3 5" xfId="18838" xr:uid="{0788E583-902C-4765-BA51-ADAEC821E5C7}"/>
    <cellStyle name="Normal 16 2 3 3 6" xfId="18839" xr:uid="{1780B15F-4333-4A75-ACE1-7B6A4D656E26}"/>
    <cellStyle name="Normal 16 2 3 4" xfId="18840" xr:uid="{52B8FA86-9576-42E7-9547-DBACB4637E09}"/>
    <cellStyle name="Normal 16 2 3 4 2" xfId="18841" xr:uid="{E7F3E8AA-1209-4A9C-B1B7-2A70A00DCD10}"/>
    <cellStyle name="Normal 16 2 3 4 2 2" xfId="18842" xr:uid="{D7F8C0B1-3559-48DA-91BB-A3200EF93F30}"/>
    <cellStyle name="Normal 16 2 3 4 2 3" xfId="18843" xr:uid="{A2DBAA41-9924-4003-B266-FE56F4CF19CE}"/>
    <cellStyle name="Normal 16 2 3 4 2 4" xfId="18844" xr:uid="{E9783444-59A1-4EB8-AEDD-8CB216B8F9CF}"/>
    <cellStyle name="Normal 16 2 3 4 2 5" xfId="18845" xr:uid="{64FD28FF-974A-44CC-A496-5F83FA32C19C}"/>
    <cellStyle name="Normal 16 2 3 4 3" xfId="18846" xr:uid="{F3D82273-EFCA-4254-8ABC-9C99C7E2ADCD}"/>
    <cellStyle name="Normal 16 2 3 4 4" xfId="18847" xr:uid="{8BE11396-45FF-44CF-83DE-D43F750E15F1}"/>
    <cellStyle name="Normal 16 2 3 4 5" xfId="18848" xr:uid="{4F72F1DE-8D49-4483-B393-4930224861D7}"/>
    <cellStyle name="Normal 16 2 3 4 6" xfId="18849" xr:uid="{B94D71E8-5BEF-4D99-A9A0-60D586124423}"/>
    <cellStyle name="Normal 16 2 3 5" xfId="18850" xr:uid="{2324312D-F694-49DF-A77C-7F528E1837B9}"/>
    <cellStyle name="Normal 16 2 3 5 2" xfId="18851" xr:uid="{08779A2A-564D-457E-8CD1-4499ED3D2C93}"/>
    <cellStyle name="Normal 16 2 3 5 2 2" xfId="18852" xr:uid="{0C1FD7AE-4165-4012-84A1-A303BDCF91C4}"/>
    <cellStyle name="Normal 16 2 3 5 2 3" xfId="18853" xr:uid="{DF1CE857-E3AF-47BD-8CBA-BDE85141D581}"/>
    <cellStyle name="Normal 16 2 3 5 2 4" xfId="18854" xr:uid="{1BE63518-780E-4647-BFC1-BE1A388911CF}"/>
    <cellStyle name="Normal 16 2 3 5 2 5" xfId="18855" xr:uid="{4C75139B-7138-42C9-B47D-F95EE394A28F}"/>
    <cellStyle name="Normal 16 2 3 5 3" xfId="18856" xr:uid="{761B7E99-1F35-449D-895F-106BE19CD832}"/>
    <cellStyle name="Normal 16 2 3 5 4" xfId="18857" xr:uid="{10125111-4A94-4A82-9652-5F3597FA4302}"/>
    <cellStyle name="Normal 16 2 3 5 5" xfId="18858" xr:uid="{FFB18D41-F063-4F17-9F7A-DF663F7D9BEE}"/>
    <cellStyle name="Normal 16 2 3 5 6" xfId="18859" xr:uid="{C53FD11F-F1D9-486A-89F1-8BB5FC022CB2}"/>
    <cellStyle name="Normal 16 2 3 6" xfId="18860" xr:uid="{FF1BC849-A93B-423F-8CE8-8CA76A238A47}"/>
    <cellStyle name="Normal 16 2 3 6 2" xfId="18861" xr:uid="{115D66DE-1D21-4B70-A5C4-4A77C1767F46}"/>
    <cellStyle name="Normal 16 2 3 6 3" xfId="18862" xr:uid="{FDFD3A69-6C13-452B-92E5-ED07F53EEFC5}"/>
    <cellStyle name="Normal 16 2 3 6 4" xfId="18863" xr:uid="{4B789778-4688-4F1F-8511-B9A64C4B1F80}"/>
    <cellStyle name="Normal 16 2 3 6 5" xfId="18864" xr:uid="{DED9AC5F-F8A5-4F6D-96C7-1DBBD41BAC87}"/>
    <cellStyle name="Normal 16 2 3 7" xfId="18865" xr:uid="{9136BD18-FE5E-419A-A517-80A52CB58EF1}"/>
    <cellStyle name="Normal 16 2 3 7 2" xfId="18866" xr:uid="{0807AD70-29F3-493D-B75E-7163DFB208F9}"/>
    <cellStyle name="Normal 16 2 3 7 3" xfId="18867" xr:uid="{9F802537-4713-489D-87B8-CE05B3966678}"/>
    <cellStyle name="Normal 16 2 3 7 4" xfId="18868" xr:uid="{609D023A-3F9F-4EF6-95B2-94D6BBF1357D}"/>
    <cellStyle name="Normal 16 2 3 7 5" xfId="18869" xr:uid="{BC467821-D40F-42D9-A96F-E8643D9BE5B0}"/>
    <cellStyle name="Normal 16 2 3 8" xfId="18870" xr:uid="{A3A0DEF1-245F-424E-A9C8-FAA4D4CECAA4}"/>
    <cellStyle name="Normal 16 2 3 8 2" xfId="18871" xr:uid="{4B0CA866-DDD1-4E88-9DDB-2985BC5CCAFA}"/>
    <cellStyle name="Normal 16 2 3 8 3" xfId="18872" xr:uid="{A63E7551-606D-492F-BF04-2975CDF3C3E3}"/>
    <cellStyle name="Normal 16 2 3 8 4" xfId="18873" xr:uid="{27859BFD-F466-47F7-8D67-6B4417562F38}"/>
    <cellStyle name="Normal 16 2 3 8 5" xfId="18874" xr:uid="{F2CB16B8-5A2C-4F19-8101-E79B277A234E}"/>
    <cellStyle name="Normal 16 2 3 9" xfId="18875" xr:uid="{B9397B01-F079-40F6-9F66-5C1AD589CF8D}"/>
    <cellStyle name="Normal 16 2 3 9 2" xfId="18876" xr:uid="{D3F917F0-D7F7-4024-88D4-9536196A6431}"/>
    <cellStyle name="Normal 16 2 3 9 3" xfId="18877" xr:uid="{8BF9C389-9A5F-48AF-BFE1-A3246B048457}"/>
    <cellStyle name="Normal 16 2 3 9 4" xfId="18878" xr:uid="{A4A2085D-0867-4105-929B-A97F0EAD75ED}"/>
    <cellStyle name="Normal 16 2 3 9 5" xfId="18879" xr:uid="{33E92DA6-C664-4772-A004-179A9FC3734A}"/>
    <cellStyle name="Normal 16 2 4" xfId="18880" xr:uid="{8E4B712F-48EF-4715-813B-94B524C2DA7C}"/>
    <cellStyle name="Normal 16 2 4 10" xfId="18881" xr:uid="{470DD5CE-17CD-4689-ABA1-D2A997CB8F66}"/>
    <cellStyle name="Normal 16 2 4 11" xfId="18882" xr:uid="{A93080E2-AC67-40FD-8034-DC9830FDA144}"/>
    <cellStyle name="Normal 16 2 4 12" xfId="18883" xr:uid="{78AF3199-D340-4BB7-8560-5D1A5FCD04F3}"/>
    <cellStyle name="Normal 16 2 4 2" xfId="18884" xr:uid="{F54FF287-858A-4F68-86A7-15345DFE721E}"/>
    <cellStyle name="Normal 16 2 4 2 2" xfId="18885" xr:uid="{15CECEFC-A252-40FE-961C-8F594BDAED9B}"/>
    <cellStyle name="Normal 16 2 4 2 2 2" xfId="18886" xr:uid="{DB9EE6A8-03D9-464F-8957-E9FE5D93D1E9}"/>
    <cellStyle name="Normal 16 2 4 2 2 3" xfId="18887" xr:uid="{57CEBA1B-E745-447E-B6AB-F24ADC709C7E}"/>
    <cellStyle name="Normal 16 2 4 2 2 4" xfId="18888" xr:uid="{8D88E3E6-79F6-411A-ACA7-9915D059E001}"/>
    <cellStyle name="Normal 16 2 4 2 2 5" xfId="18889" xr:uid="{FCF8D060-71B6-42C2-9130-33E3C18BE732}"/>
    <cellStyle name="Normal 16 2 4 2 3" xfId="18890" xr:uid="{DF81103C-EA16-49BE-87E2-1372EB7DBE1C}"/>
    <cellStyle name="Normal 16 2 4 2 4" xfId="18891" xr:uid="{5AF8C05D-7ADD-4C89-B6EA-DE481C470240}"/>
    <cellStyle name="Normal 16 2 4 2 5" xfId="18892" xr:uid="{557CD36D-D73B-46EE-8D18-0F900A688EC5}"/>
    <cellStyle name="Normal 16 2 4 2 6" xfId="18893" xr:uid="{BAB723C0-11A3-4F9B-A429-D4C0A051B17C}"/>
    <cellStyle name="Normal 16 2 4 3" xfId="18894" xr:uid="{680E24B1-2EAF-4F3D-8A5B-E89289ABF097}"/>
    <cellStyle name="Normal 16 2 4 3 2" xfId="18895" xr:uid="{BA2B01AC-68F9-4F37-9B6A-E3F7099625D0}"/>
    <cellStyle name="Normal 16 2 4 3 2 2" xfId="18896" xr:uid="{9F2607DD-16A4-479B-A7F7-70B52152C85B}"/>
    <cellStyle name="Normal 16 2 4 3 2 3" xfId="18897" xr:uid="{246A4984-D989-487D-94A5-5FBE2EDBB95D}"/>
    <cellStyle name="Normal 16 2 4 3 2 4" xfId="18898" xr:uid="{BDF9AF95-6D01-4692-96B5-995B237C0A7F}"/>
    <cellStyle name="Normal 16 2 4 3 2 5" xfId="18899" xr:uid="{1B41985B-0761-46F9-A0A4-3EB0F6A3C0D7}"/>
    <cellStyle name="Normal 16 2 4 3 3" xfId="18900" xr:uid="{13976892-2FC2-4E9D-B3EF-93F743EB7B51}"/>
    <cellStyle name="Normal 16 2 4 3 4" xfId="18901" xr:uid="{30153718-A9BB-4D49-BA50-9B15CB49A2C6}"/>
    <cellStyle name="Normal 16 2 4 3 5" xfId="18902" xr:uid="{879B3C0A-D4EA-4B23-9F20-C8D7F9AE8704}"/>
    <cellStyle name="Normal 16 2 4 3 6" xfId="18903" xr:uid="{C3DEA1EF-1A6D-4556-A7A9-CB3E62AA9428}"/>
    <cellStyle name="Normal 16 2 4 4" xfId="18904" xr:uid="{90CFBD48-66EB-4107-8B95-15CFD27B6E88}"/>
    <cellStyle name="Normal 16 2 4 4 2" xfId="18905" xr:uid="{64DCCFFC-EF38-451D-8817-46D68999378E}"/>
    <cellStyle name="Normal 16 2 4 4 2 2" xfId="18906" xr:uid="{03689C98-A62D-4291-8CA2-F7186E70C5C0}"/>
    <cellStyle name="Normal 16 2 4 4 2 3" xfId="18907" xr:uid="{9B27A48B-D376-4927-84E4-793BE1426D89}"/>
    <cellStyle name="Normal 16 2 4 4 2 4" xfId="18908" xr:uid="{64D367FB-E0E2-4FAC-8D06-EBD098D0B232}"/>
    <cellStyle name="Normal 16 2 4 4 2 5" xfId="18909" xr:uid="{4F074A57-8BE4-4B1C-84EC-59EE90EED0FC}"/>
    <cellStyle name="Normal 16 2 4 4 3" xfId="18910" xr:uid="{271A80BA-F5C8-410A-A68C-7B737A2C4AEE}"/>
    <cellStyle name="Normal 16 2 4 4 4" xfId="18911" xr:uid="{1307C5DE-00D0-47A5-9825-D5A6BE3DDFBC}"/>
    <cellStyle name="Normal 16 2 4 4 5" xfId="18912" xr:uid="{2AFA6680-8458-4255-B774-4ABB2D66E656}"/>
    <cellStyle name="Normal 16 2 4 4 6" xfId="18913" xr:uid="{9F14C5A4-7852-48FE-A3C6-FC67420A901C}"/>
    <cellStyle name="Normal 16 2 4 5" xfId="18914" xr:uid="{FBFBD23D-87B7-4B75-B179-7A51B1B3F9EB}"/>
    <cellStyle name="Normal 16 2 4 5 2" xfId="18915" xr:uid="{CDF579FB-3ED3-4598-8446-2B4C7216448E}"/>
    <cellStyle name="Normal 16 2 4 5 3" xfId="18916" xr:uid="{9EABD395-207B-4CF8-AD10-19ECF8983629}"/>
    <cellStyle name="Normal 16 2 4 5 4" xfId="18917" xr:uid="{F63E0E89-81DA-4CA8-B198-CC06E10F600D}"/>
    <cellStyle name="Normal 16 2 4 5 5" xfId="18918" xr:uid="{810838DE-5869-4B7E-B6DF-7751036288E6}"/>
    <cellStyle name="Normal 16 2 4 6" xfId="18919" xr:uid="{B983F479-9094-460E-ABAA-205CB038BB22}"/>
    <cellStyle name="Normal 16 2 4 6 2" xfId="18920" xr:uid="{6B835CF1-04C9-47DB-BF70-CE184EA2C1C4}"/>
    <cellStyle name="Normal 16 2 4 6 3" xfId="18921" xr:uid="{EFFE0F77-8406-424D-834E-818D2B2121E4}"/>
    <cellStyle name="Normal 16 2 4 6 4" xfId="18922" xr:uid="{FAD76F4A-AF25-4CB1-B42D-EC711CCDF365}"/>
    <cellStyle name="Normal 16 2 4 6 5" xfId="18923" xr:uid="{A2DED590-C4C0-4568-A7AA-DAE9141BDAFC}"/>
    <cellStyle name="Normal 16 2 4 7" xfId="18924" xr:uid="{378CD63B-6A1E-4E69-9BFD-01094E145FFB}"/>
    <cellStyle name="Normal 16 2 4 7 2" xfId="18925" xr:uid="{2DEE9BA9-1803-4DF8-9631-EF35C885D981}"/>
    <cellStyle name="Normal 16 2 4 7 3" xfId="18926" xr:uid="{58870F9F-5595-4E58-8D6E-4737F457BEF0}"/>
    <cellStyle name="Normal 16 2 4 7 4" xfId="18927" xr:uid="{7FF66C7D-620E-454D-ACEE-06A4A938C27A}"/>
    <cellStyle name="Normal 16 2 4 7 5" xfId="18928" xr:uid="{5734D4ED-491B-4D74-B8B7-A28926396E87}"/>
    <cellStyle name="Normal 16 2 4 8" xfId="18929" xr:uid="{6380CB0C-F712-46BC-87D1-4ECD2C49A5CF}"/>
    <cellStyle name="Normal 16 2 4 8 2" xfId="18930" xr:uid="{07943C6B-3A1F-4373-9048-34352D5CA126}"/>
    <cellStyle name="Normal 16 2 4 8 3" xfId="18931" xr:uid="{1AE8C107-1A8D-4909-89C2-D5C4CA6E592F}"/>
    <cellStyle name="Normal 16 2 4 8 4" xfId="18932" xr:uid="{1C18EFCC-6DCF-49C7-983C-35D2D0E079FD}"/>
    <cellStyle name="Normal 16 2 4 8 5" xfId="18933" xr:uid="{C495C1B5-95FF-4015-8AF7-827D846AF2AE}"/>
    <cellStyle name="Normal 16 2 4 9" xfId="18934" xr:uid="{FAD3D6A9-5764-440A-97A0-299794E0AB31}"/>
    <cellStyle name="Normal 16 2 5" xfId="18935" xr:uid="{61C32B3F-EA8F-4C99-BB45-BA57B5EA4809}"/>
    <cellStyle name="Normal 16 2 5 2" xfId="18936" xr:uid="{9D5E3A2F-E67F-4B44-8C70-38658E77F7BA}"/>
    <cellStyle name="Normal 16 2 5 2 2" xfId="18937" xr:uid="{D63F653C-37A8-4BBC-AFE8-3A91B5E9416A}"/>
    <cellStyle name="Normal 16 2 5 2 3" xfId="18938" xr:uid="{DE2D2CBD-ED6B-4B14-8697-38C8CACBD6B9}"/>
    <cellStyle name="Normal 16 2 5 2 4" xfId="18939" xr:uid="{ECB8C496-BED7-4B1C-8F98-F6D756AB9EF1}"/>
    <cellStyle name="Normal 16 2 5 2 5" xfId="18940" xr:uid="{C8FE6411-C679-4CBA-9266-68B8B405B0D2}"/>
    <cellStyle name="Normal 16 2 5 3" xfId="18941" xr:uid="{E73B7A76-ED9D-4BF8-B082-A3762199A9BE}"/>
    <cellStyle name="Normal 16 2 5 4" xfId="18942" xr:uid="{B6A55785-723B-43CB-A9D5-EC3BEDA98DE5}"/>
    <cellStyle name="Normal 16 2 5 5" xfId="18943" xr:uid="{66BA1267-B471-4071-B9AB-E894ED7CD177}"/>
    <cellStyle name="Normal 16 2 5 6" xfId="18944" xr:uid="{89D0F1E5-1153-4631-8BDC-5C382F8424D9}"/>
    <cellStyle name="Normal 16 2 6" xfId="18945" xr:uid="{D7DFA7F7-4D49-4774-80CC-86D99D743E80}"/>
    <cellStyle name="Normal 16 2 6 2" xfId="18946" xr:uid="{65AA71E4-B257-4C47-86D2-5DF3F3CC4337}"/>
    <cellStyle name="Normal 16 2 6 2 2" xfId="18947" xr:uid="{4BF245B4-32CD-42CB-9DE4-A47DBBFFA071}"/>
    <cellStyle name="Normal 16 2 6 2 3" xfId="18948" xr:uid="{C83ABB16-867E-48E1-8F2F-E627B9C067D5}"/>
    <cellStyle name="Normal 16 2 6 2 4" xfId="18949" xr:uid="{BA552B96-A341-4856-9AFF-3BFAC6B2F0B6}"/>
    <cellStyle name="Normal 16 2 6 2 5" xfId="18950" xr:uid="{C23D3D5E-F7FB-4D38-B9F5-970E28056A4A}"/>
    <cellStyle name="Normal 16 2 6 3" xfId="18951" xr:uid="{F01C0A20-A6ED-4B02-A9CC-9311046D25F5}"/>
    <cellStyle name="Normal 16 2 6 4" xfId="18952" xr:uid="{B44F5BA0-4D8C-4F18-BEF8-8603F95714B0}"/>
    <cellStyle name="Normal 16 2 6 5" xfId="18953" xr:uid="{B478F8ED-C4BE-4431-86C2-28F7C58AA82B}"/>
    <cellStyle name="Normal 16 2 6 6" xfId="18954" xr:uid="{2753B9D0-58B8-486C-8E1C-07B77CD2E5A7}"/>
    <cellStyle name="Normal 16 2 7" xfId="18955" xr:uid="{23BE3AF7-24AF-4845-8C80-B27801EADC3D}"/>
    <cellStyle name="Normal 16 2 7 2" xfId="18956" xr:uid="{6A24F799-F797-47D8-B0A3-3B02E96C0D35}"/>
    <cellStyle name="Normal 16 2 7 2 2" xfId="18957" xr:uid="{23B97A6F-FE0D-4BCD-916B-80CE0699EFD3}"/>
    <cellStyle name="Normal 16 2 7 2 3" xfId="18958" xr:uid="{10E702C0-3CBE-4237-989B-746DD9677595}"/>
    <cellStyle name="Normal 16 2 7 2 4" xfId="18959" xr:uid="{47726EC0-3D91-48EB-B585-C88F689EE6A0}"/>
    <cellStyle name="Normal 16 2 7 2 5" xfId="18960" xr:uid="{48369CDA-CD9F-4A8E-A53C-D7B4256845CE}"/>
    <cellStyle name="Normal 16 2 7 3" xfId="18961" xr:uid="{7BDD44D6-95CF-4880-8B65-98B0D6C74C30}"/>
    <cellStyle name="Normal 16 2 7 4" xfId="18962" xr:uid="{AB117DAC-CBF5-45A1-9180-08CAA6D4DC85}"/>
    <cellStyle name="Normal 16 2 7 5" xfId="18963" xr:uid="{71E5B3DC-37DA-4B92-A4EB-4374AED900AD}"/>
    <cellStyle name="Normal 16 2 7 6" xfId="18964" xr:uid="{66998814-80A1-4A22-B7C7-E6CD690A71EE}"/>
    <cellStyle name="Normal 16 2 8" xfId="18965" xr:uid="{EC4D6749-8243-4ADE-BE52-4008293D29DE}"/>
    <cellStyle name="Normal 16 2 8 2" xfId="18966" xr:uid="{6614ECF5-F765-42A8-AB93-BEB345B80E30}"/>
    <cellStyle name="Normal 16 2 8 3" xfId="18967" xr:uid="{400657EF-82F3-4B72-8007-815FF72F3B73}"/>
    <cellStyle name="Normal 16 2 8 4" xfId="18968" xr:uid="{1627C1A8-36F0-4270-B260-B435702C7BA6}"/>
    <cellStyle name="Normal 16 2 8 5" xfId="18969" xr:uid="{510BF576-1B78-4D52-984E-2B4A03C048B9}"/>
    <cellStyle name="Normal 16 2 9" xfId="18970" xr:uid="{B36607C4-0006-42DF-B07B-78D3141CC300}"/>
    <cellStyle name="Normal 16 2 9 2" xfId="18971" xr:uid="{58CADB1F-E193-4793-B521-E2254F620E3D}"/>
    <cellStyle name="Normal 16 2 9 3" xfId="18972" xr:uid="{B259072B-E063-407B-BF11-0699E2DC527E}"/>
    <cellStyle name="Normal 16 2 9 4" xfId="18973" xr:uid="{DC166292-3236-4807-95B7-60EC437E0C6D}"/>
    <cellStyle name="Normal 16 2 9 5" xfId="18974" xr:uid="{7FD9FDB4-ABE6-4396-99E3-6E6108A97687}"/>
    <cellStyle name="Normal 16 20" xfId="18975" xr:uid="{FBCBF4E0-3D1D-4795-AD71-CE71CC5FA983}"/>
    <cellStyle name="Normal 16 21" xfId="18976" xr:uid="{F211C95E-3654-4EDD-9B2D-05EF7C9F497F}"/>
    <cellStyle name="Normal 16 3" xfId="18977" xr:uid="{3EF0337E-9C08-4634-9509-80D7C4EBDD53}"/>
    <cellStyle name="Normal 16 3 10" xfId="18978" xr:uid="{0B298F7E-C355-45D1-9D62-7CF5FF0A7853}"/>
    <cellStyle name="Normal 16 3 10 2" xfId="18979" xr:uid="{9C72B36E-10DF-4AEE-8686-B2702AB7BABF}"/>
    <cellStyle name="Normal 16 3 10 3" xfId="18980" xr:uid="{8F8B6926-533C-4DBA-8AA7-91E7C785925A}"/>
    <cellStyle name="Normal 16 3 10 4" xfId="18981" xr:uid="{75DB57CF-60A5-4FAE-BCEE-52CC436B1909}"/>
    <cellStyle name="Normal 16 3 10 5" xfId="18982" xr:uid="{868A1EFD-57E3-47F6-9A87-8AEAB414B173}"/>
    <cellStyle name="Normal 16 3 11" xfId="18983" xr:uid="{5956C76F-A14E-49FA-972E-FBDF9582BCB6}"/>
    <cellStyle name="Normal 16 3 11 2" xfId="18984" xr:uid="{73B03D2B-DE8F-4E87-A94A-6766EE648269}"/>
    <cellStyle name="Normal 16 3 11 3" xfId="18985" xr:uid="{EFCA5A5F-C5EA-454C-A298-73F800361F13}"/>
    <cellStyle name="Normal 16 3 11 4" xfId="18986" xr:uid="{6F178415-1AD4-43E6-B85A-E37B5E8FBDB5}"/>
    <cellStyle name="Normal 16 3 11 5" xfId="18987" xr:uid="{E6FE47D5-46A4-4619-A068-3176CD0F11FE}"/>
    <cellStyle name="Normal 16 3 12" xfId="18988" xr:uid="{2788E2E8-595D-4FED-9DCF-BDA3E9FB1C77}"/>
    <cellStyle name="Normal 16 3 13" xfId="18989" xr:uid="{A1ADAB76-A0CF-4CEE-A14A-21FF8DBAC181}"/>
    <cellStyle name="Normal 16 3 14" xfId="18990" xr:uid="{A2684AA4-36C9-4F06-8E63-E1FE879BB391}"/>
    <cellStyle name="Normal 16 3 15" xfId="18991" xr:uid="{A127545B-9F12-4928-8BF2-057A2DAC5372}"/>
    <cellStyle name="Normal 16 3 2" xfId="18992" xr:uid="{6832C5C8-7553-4ED1-9300-BE110439A459}"/>
    <cellStyle name="Normal 16 3 2 10" xfId="18993" xr:uid="{6C342CD6-3F7A-4C19-8091-87FF8828A5D1}"/>
    <cellStyle name="Normal 16 3 2 10 2" xfId="18994" xr:uid="{A6DE806A-7DAF-40DD-BECC-813216072290}"/>
    <cellStyle name="Normal 16 3 2 10 3" xfId="18995" xr:uid="{16426DB9-B252-49FB-8F8A-A40CC1E60DC3}"/>
    <cellStyle name="Normal 16 3 2 10 4" xfId="18996" xr:uid="{EBC750DD-C402-4D0F-AE88-BF6D2FAAD7AA}"/>
    <cellStyle name="Normal 16 3 2 10 5" xfId="18997" xr:uid="{7A420BA6-191E-46AE-8E1A-0F0E017B4579}"/>
    <cellStyle name="Normal 16 3 2 11" xfId="18998" xr:uid="{04FACDC2-8812-4A08-AF49-3486FA61E903}"/>
    <cellStyle name="Normal 16 3 2 12" xfId="18999" xr:uid="{A8D15992-A250-4D35-9D3A-B3C12E0F21AA}"/>
    <cellStyle name="Normal 16 3 2 13" xfId="19000" xr:uid="{07A3799A-8A03-4935-90F3-7C5B6DF817DF}"/>
    <cellStyle name="Normal 16 3 2 14" xfId="19001" xr:uid="{D33A58CC-9FCE-44AA-BF27-5079F9573550}"/>
    <cellStyle name="Normal 16 3 2 2" xfId="19002" xr:uid="{0604CAFF-84D5-4401-9797-5CD1C7D838ED}"/>
    <cellStyle name="Normal 16 3 2 2 10" xfId="19003" xr:uid="{A515725B-99BA-46E6-9D6F-B31E9A74A7CD}"/>
    <cellStyle name="Normal 16 3 2 2 11" xfId="19004" xr:uid="{BDB3522A-213F-4BAE-8E45-54089E127970}"/>
    <cellStyle name="Normal 16 3 2 2 12" xfId="19005" xr:uid="{F9D9EED5-6F90-4734-BF24-856F05EDB8D3}"/>
    <cellStyle name="Normal 16 3 2 2 13" xfId="19006" xr:uid="{BB14FB64-3DC1-4F86-A81E-B2EBE5705075}"/>
    <cellStyle name="Normal 16 3 2 2 2" xfId="19007" xr:uid="{40FC534D-7BF3-4802-9D82-C19F7803A3D0}"/>
    <cellStyle name="Normal 16 3 2 2 2 10" xfId="19008" xr:uid="{DF2361FA-B5F8-46ED-BAFB-BD4904AA4B38}"/>
    <cellStyle name="Normal 16 3 2 2 2 11" xfId="19009" xr:uid="{0D356B33-9580-49D2-9FB7-D464F8F9A204}"/>
    <cellStyle name="Normal 16 3 2 2 2 12" xfId="19010" xr:uid="{AE48712F-C15A-482C-A266-284B09112805}"/>
    <cellStyle name="Normal 16 3 2 2 2 2" xfId="19011" xr:uid="{7C1FB882-E360-4BC0-8CDB-0CCD22308A68}"/>
    <cellStyle name="Normal 16 3 2 2 2 2 2" xfId="19012" xr:uid="{8119CFCB-26C3-4770-9A16-8B119206AB04}"/>
    <cellStyle name="Normal 16 3 2 2 2 2 2 2" xfId="19013" xr:uid="{47840526-1202-48B7-9AC5-1F8EA8E2AF58}"/>
    <cellStyle name="Normal 16 3 2 2 2 2 2 3" xfId="19014" xr:uid="{5F032B78-702D-441E-A3D7-5CDA6AC4FC66}"/>
    <cellStyle name="Normal 16 3 2 2 2 2 2 4" xfId="19015" xr:uid="{C4DCFCE1-70ED-45A4-A48F-ED3FF2116409}"/>
    <cellStyle name="Normal 16 3 2 2 2 2 2 5" xfId="19016" xr:uid="{B4E07A6A-EAB4-4030-B21B-6652577CF6B4}"/>
    <cellStyle name="Normal 16 3 2 2 2 2 3" xfId="19017" xr:uid="{59723568-02EF-424D-93D3-B972C9434DC8}"/>
    <cellStyle name="Normal 16 3 2 2 2 2 4" xfId="19018" xr:uid="{DDB2CD4A-FA2A-4144-B0C3-DAAE3F1D7A50}"/>
    <cellStyle name="Normal 16 3 2 2 2 2 5" xfId="19019" xr:uid="{E9F9DE3C-73D9-4CE5-A009-64AF329506B1}"/>
    <cellStyle name="Normal 16 3 2 2 2 2 6" xfId="19020" xr:uid="{2836A948-1DFF-44BA-A70C-70087BA6DF88}"/>
    <cellStyle name="Normal 16 3 2 2 2 3" xfId="19021" xr:uid="{133573C8-B9AD-438F-816C-EECA29653F9C}"/>
    <cellStyle name="Normal 16 3 2 2 2 3 2" xfId="19022" xr:uid="{199D1B9D-7429-414C-8CCF-14DE1F6D9E74}"/>
    <cellStyle name="Normal 16 3 2 2 2 3 2 2" xfId="19023" xr:uid="{5BFD4D8D-5C26-4880-955A-1C5C563DA78F}"/>
    <cellStyle name="Normal 16 3 2 2 2 3 2 3" xfId="19024" xr:uid="{18847B75-1916-4C8E-93A4-13565A4F5374}"/>
    <cellStyle name="Normal 16 3 2 2 2 3 2 4" xfId="19025" xr:uid="{69C2A767-9464-4729-A7C1-1A5F04BB0448}"/>
    <cellStyle name="Normal 16 3 2 2 2 3 2 5" xfId="19026" xr:uid="{30BBDB7F-F926-4975-9E04-DE91DAC714BD}"/>
    <cellStyle name="Normal 16 3 2 2 2 3 3" xfId="19027" xr:uid="{6BC45DA1-C696-43B2-8C34-5C02A816D871}"/>
    <cellStyle name="Normal 16 3 2 2 2 3 4" xfId="19028" xr:uid="{63F33099-E5C7-4D51-91A1-5646C0F30C4D}"/>
    <cellStyle name="Normal 16 3 2 2 2 3 5" xfId="19029" xr:uid="{79E1B3F9-554B-423F-B2D9-DB471D7EDC9E}"/>
    <cellStyle name="Normal 16 3 2 2 2 3 6" xfId="19030" xr:uid="{A3BE6CCC-F37B-4FAD-8697-637E8A532558}"/>
    <cellStyle name="Normal 16 3 2 2 2 4" xfId="19031" xr:uid="{E01FAEE3-9413-4C07-B2E4-CB898C6BA824}"/>
    <cellStyle name="Normal 16 3 2 2 2 4 2" xfId="19032" xr:uid="{AC742D7E-D5CB-4038-B7B1-6BACDD9B6E30}"/>
    <cellStyle name="Normal 16 3 2 2 2 4 2 2" xfId="19033" xr:uid="{ED021592-01EB-40D8-8EFA-0E0C6BE73FDA}"/>
    <cellStyle name="Normal 16 3 2 2 2 4 2 3" xfId="19034" xr:uid="{D7616C14-9768-428D-BD04-5698B169CA84}"/>
    <cellStyle name="Normal 16 3 2 2 2 4 2 4" xfId="19035" xr:uid="{E08F823B-9AC4-4E75-B087-C3682BA0AD51}"/>
    <cellStyle name="Normal 16 3 2 2 2 4 2 5" xfId="19036" xr:uid="{E552CBE8-8234-4375-8DD5-052F26A6B18F}"/>
    <cellStyle name="Normal 16 3 2 2 2 4 3" xfId="19037" xr:uid="{FE73786A-3ABD-48FA-9B83-5C01B3F0E1F1}"/>
    <cellStyle name="Normal 16 3 2 2 2 4 4" xfId="19038" xr:uid="{790AC43B-7D94-479B-A3BD-8435FF27EF93}"/>
    <cellStyle name="Normal 16 3 2 2 2 4 5" xfId="19039" xr:uid="{8A2D65ED-2A65-4E30-ACBE-F8BFC2952116}"/>
    <cellStyle name="Normal 16 3 2 2 2 4 6" xfId="19040" xr:uid="{A862110C-E89B-47BB-842F-365AA9FC56F0}"/>
    <cellStyle name="Normal 16 3 2 2 2 5" xfId="19041" xr:uid="{74BB8D1D-632B-49C4-802E-A5C24F6DEA69}"/>
    <cellStyle name="Normal 16 3 2 2 2 5 2" xfId="19042" xr:uid="{5EB57BAE-368D-4ED5-BA52-9C8669E31767}"/>
    <cellStyle name="Normal 16 3 2 2 2 5 3" xfId="19043" xr:uid="{DF232DEB-FDD5-4177-97BA-DD2886E059D6}"/>
    <cellStyle name="Normal 16 3 2 2 2 5 4" xfId="19044" xr:uid="{80D5F4A9-C8B5-4691-A6A3-6F9793BEA4E1}"/>
    <cellStyle name="Normal 16 3 2 2 2 5 5" xfId="19045" xr:uid="{A7949CE5-28DB-4BEC-8726-7DDF0ACE64EF}"/>
    <cellStyle name="Normal 16 3 2 2 2 6" xfId="19046" xr:uid="{3A630D3A-CAE9-419E-A8A3-29EDE4B91CC5}"/>
    <cellStyle name="Normal 16 3 2 2 2 6 2" xfId="19047" xr:uid="{09D310DA-81F6-4731-A9D4-FF45FC3C6313}"/>
    <cellStyle name="Normal 16 3 2 2 2 6 3" xfId="19048" xr:uid="{028B92FB-9A3A-4820-A629-E4B10682FCF7}"/>
    <cellStyle name="Normal 16 3 2 2 2 6 4" xfId="19049" xr:uid="{0B71817B-62C2-40F9-AE50-C0952A96D78B}"/>
    <cellStyle name="Normal 16 3 2 2 2 6 5" xfId="19050" xr:uid="{38FA0A22-91F4-4E86-B7C6-9EA5F058CBB3}"/>
    <cellStyle name="Normal 16 3 2 2 2 7" xfId="19051" xr:uid="{57316E29-54E6-403B-8409-C6E06C266255}"/>
    <cellStyle name="Normal 16 3 2 2 2 7 2" xfId="19052" xr:uid="{795185D5-F67D-4B29-A554-8F86BB8096F8}"/>
    <cellStyle name="Normal 16 3 2 2 2 7 3" xfId="19053" xr:uid="{DC240368-5C12-4B9C-8946-4F8B66E85C35}"/>
    <cellStyle name="Normal 16 3 2 2 2 7 4" xfId="19054" xr:uid="{4C40B32D-E6E7-4599-ACAF-559D4D12DE71}"/>
    <cellStyle name="Normal 16 3 2 2 2 7 5" xfId="19055" xr:uid="{D1E31559-F5B0-4E8B-AAF2-9FB8CD5314C9}"/>
    <cellStyle name="Normal 16 3 2 2 2 8" xfId="19056" xr:uid="{82C90E1E-CB57-489D-A1F5-021E5ED47DFC}"/>
    <cellStyle name="Normal 16 3 2 2 2 8 2" xfId="19057" xr:uid="{CE91EF6C-AFB3-471F-81F1-634CE9938441}"/>
    <cellStyle name="Normal 16 3 2 2 2 8 3" xfId="19058" xr:uid="{4F336F7A-607E-46D6-AD11-AC44626D9C30}"/>
    <cellStyle name="Normal 16 3 2 2 2 8 4" xfId="19059" xr:uid="{D5E9456D-5DA8-4FE7-BB1B-096AC2CB49C7}"/>
    <cellStyle name="Normal 16 3 2 2 2 8 5" xfId="19060" xr:uid="{684AC3BD-7386-497B-98A8-EBD257D3E8AD}"/>
    <cellStyle name="Normal 16 3 2 2 2 9" xfId="19061" xr:uid="{4097C442-67C6-4289-A033-153C311E8122}"/>
    <cellStyle name="Normal 16 3 2 2 3" xfId="19062" xr:uid="{C1F31E25-21DB-4BB1-B547-820F4E65E305}"/>
    <cellStyle name="Normal 16 3 2 2 3 2" xfId="19063" xr:uid="{88C6A7FB-E383-48E6-9101-DD174B422849}"/>
    <cellStyle name="Normal 16 3 2 2 3 2 2" xfId="19064" xr:uid="{A2B44E14-0DDE-4FF3-96FB-81418B59B990}"/>
    <cellStyle name="Normal 16 3 2 2 3 2 3" xfId="19065" xr:uid="{212986CA-1425-4265-84A1-61EBFB106422}"/>
    <cellStyle name="Normal 16 3 2 2 3 2 4" xfId="19066" xr:uid="{48068F88-F7A5-4E45-84A4-8A66EC750DB0}"/>
    <cellStyle name="Normal 16 3 2 2 3 2 5" xfId="19067" xr:uid="{B4334F9E-63B7-4368-9BBF-FE355AF58690}"/>
    <cellStyle name="Normal 16 3 2 2 3 3" xfId="19068" xr:uid="{E5CBBABF-16A9-407F-AD79-484873C57CCF}"/>
    <cellStyle name="Normal 16 3 2 2 3 4" xfId="19069" xr:uid="{17669963-7E4E-4B3A-B0C8-7AF4E5DD9C4C}"/>
    <cellStyle name="Normal 16 3 2 2 3 5" xfId="19070" xr:uid="{6302FF50-1E5E-4259-833E-DC69A6538D6A}"/>
    <cellStyle name="Normal 16 3 2 2 3 6" xfId="19071" xr:uid="{CD823DE4-50AC-4B3D-BA27-E300CB8B4C32}"/>
    <cellStyle name="Normal 16 3 2 2 4" xfId="19072" xr:uid="{E3B3C6E4-233E-4F98-8DB9-1B1115FA4160}"/>
    <cellStyle name="Normal 16 3 2 2 4 2" xfId="19073" xr:uid="{87A4B302-351D-4003-8E53-EC25D21505AF}"/>
    <cellStyle name="Normal 16 3 2 2 4 2 2" xfId="19074" xr:uid="{C2BDDBB7-2AB2-4923-9074-59164951704B}"/>
    <cellStyle name="Normal 16 3 2 2 4 2 3" xfId="19075" xr:uid="{1EE2A6E1-6107-4674-AF1E-BC5FCAB89C42}"/>
    <cellStyle name="Normal 16 3 2 2 4 2 4" xfId="19076" xr:uid="{2BCB43B8-E71B-4184-87E8-6161A4C030A6}"/>
    <cellStyle name="Normal 16 3 2 2 4 2 5" xfId="19077" xr:uid="{E56D4875-EC5E-40EF-9AFA-185D0BA36CAE}"/>
    <cellStyle name="Normal 16 3 2 2 4 3" xfId="19078" xr:uid="{A9C8CBEC-F600-42FF-8514-DF460660D9FC}"/>
    <cellStyle name="Normal 16 3 2 2 4 4" xfId="19079" xr:uid="{FE71FE85-7754-42F6-939D-D0B82873FB7D}"/>
    <cellStyle name="Normal 16 3 2 2 4 5" xfId="19080" xr:uid="{BBE0BC1B-8D3F-45FA-9926-0A9FC185FD60}"/>
    <cellStyle name="Normal 16 3 2 2 4 6" xfId="19081" xr:uid="{BF4EA12E-D356-4BAF-8FD0-17A3865EE86D}"/>
    <cellStyle name="Normal 16 3 2 2 5" xfId="19082" xr:uid="{0AD7FA6E-AAA0-4028-A8F5-FAB15E3F91C0}"/>
    <cellStyle name="Normal 16 3 2 2 5 2" xfId="19083" xr:uid="{B884F18F-2BC0-43BD-99C1-9E6F8DD91585}"/>
    <cellStyle name="Normal 16 3 2 2 5 2 2" xfId="19084" xr:uid="{190A6E61-6884-43AA-848E-026CFE86E628}"/>
    <cellStyle name="Normal 16 3 2 2 5 2 3" xfId="19085" xr:uid="{F7249745-544E-4448-B4E0-1364558DAF1C}"/>
    <cellStyle name="Normal 16 3 2 2 5 2 4" xfId="19086" xr:uid="{CA6726A9-C4CD-4EF9-A05F-A98B55F493A6}"/>
    <cellStyle name="Normal 16 3 2 2 5 2 5" xfId="19087" xr:uid="{856DC5A1-5EF4-4295-8511-9D122C5C0438}"/>
    <cellStyle name="Normal 16 3 2 2 5 3" xfId="19088" xr:uid="{B0B1CF41-BC88-403B-A74D-87A847282334}"/>
    <cellStyle name="Normal 16 3 2 2 5 4" xfId="19089" xr:uid="{1C6909E3-144D-42D3-B96C-B32AE5B6431A}"/>
    <cellStyle name="Normal 16 3 2 2 5 5" xfId="19090" xr:uid="{AFD7BB59-6B39-4E8D-B76D-2071474144C8}"/>
    <cellStyle name="Normal 16 3 2 2 5 6" xfId="19091" xr:uid="{AC204FAA-83A4-42AF-BD2C-BAB2A0D7B3FE}"/>
    <cellStyle name="Normal 16 3 2 2 6" xfId="19092" xr:uid="{A3632D65-87E4-4568-8475-6EB83B9EDF81}"/>
    <cellStyle name="Normal 16 3 2 2 6 2" xfId="19093" xr:uid="{5A5ABE01-01D0-4CF8-8AA0-3164CBC52B88}"/>
    <cellStyle name="Normal 16 3 2 2 6 3" xfId="19094" xr:uid="{84B5F15F-5AFB-48D2-AE7E-C7BAF1B236EC}"/>
    <cellStyle name="Normal 16 3 2 2 6 4" xfId="19095" xr:uid="{36E22A05-45D3-49D0-AEBB-FFCA2E2D2D9C}"/>
    <cellStyle name="Normal 16 3 2 2 6 5" xfId="19096" xr:uid="{C64E697A-DA37-4D8E-98BC-998F06B4636C}"/>
    <cellStyle name="Normal 16 3 2 2 7" xfId="19097" xr:uid="{10CE5753-6965-4EED-AE22-8F25707C7E2F}"/>
    <cellStyle name="Normal 16 3 2 2 7 2" xfId="19098" xr:uid="{C60BCA4F-063E-405B-9BBF-266D40575D57}"/>
    <cellStyle name="Normal 16 3 2 2 7 3" xfId="19099" xr:uid="{605D545B-078D-4ADA-812D-8CE4DCD28C09}"/>
    <cellStyle name="Normal 16 3 2 2 7 4" xfId="19100" xr:uid="{8A5F5814-FCEE-464A-B1B2-E15856B93EFA}"/>
    <cellStyle name="Normal 16 3 2 2 7 5" xfId="19101" xr:uid="{B62E7189-3FC1-4A60-BD21-8F48AA033C0A}"/>
    <cellStyle name="Normal 16 3 2 2 8" xfId="19102" xr:uid="{742E418E-66FE-402F-B09F-AC20F8EE01E2}"/>
    <cellStyle name="Normal 16 3 2 2 8 2" xfId="19103" xr:uid="{9BD28714-C637-4898-960F-43C91B177EB8}"/>
    <cellStyle name="Normal 16 3 2 2 8 3" xfId="19104" xr:uid="{4D7D85D5-AC47-4C21-828D-D2CF8E98FB95}"/>
    <cellStyle name="Normal 16 3 2 2 8 4" xfId="19105" xr:uid="{A280E514-BD04-47C5-B250-1F6936AB4604}"/>
    <cellStyle name="Normal 16 3 2 2 8 5" xfId="19106" xr:uid="{1079A104-0D6E-4E2A-8A6C-465CEEEF64E5}"/>
    <cellStyle name="Normal 16 3 2 2 9" xfId="19107" xr:uid="{521879BD-8C73-4D49-8B08-0AD19C31CC93}"/>
    <cellStyle name="Normal 16 3 2 2 9 2" xfId="19108" xr:uid="{B82F3161-4153-4F19-8AC2-A34C319A9891}"/>
    <cellStyle name="Normal 16 3 2 2 9 3" xfId="19109" xr:uid="{3798A031-B57D-4908-BF87-13E6B5132847}"/>
    <cellStyle name="Normal 16 3 2 2 9 4" xfId="19110" xr:uid="{437933E6-30D7-42B0-BF13-A0010D3C9A68}"/>
    <cellStyle name="Normal 16 3 2 2 9 5" xfId="19111" xr:uid="{F0FBBBBE-B7DE-439F-8358-48A9AB7665BC}"/>
    <cellStyle name="Normal 16 3 2 3" xfId="19112" xr:uid="{304A9267-2D36-4583-AB2B-EA5A425CC258}"/>
    <cellStyle name="Normal 16 3 2 3 10" xfId="19113" xr:uid="{B193A332-0F7C-4704-B1AC-ADD0CCAB6612}"/>
    <cellStyle name="Normal 16 3 2 3 11" xfId="19114" xr:uid="{BD50BA5B-7DDF-41B1-AD67-C690E02C2AA1}"/>
    <cellStyle name="Normal 16 3 2 3 12" xfId="19115" xr:uid="{54464BC3-7208-4529-B0CF-712585555D0F}"/>
    <cellStyle name="Normal 16 3 2 3 2" xfId="19116" xr:uid="{CEBE5C6E-7D21-4291-AE90-B250455F07ED}"/>
    <cellStyle name="Normal 16 3 2 3 2 2" xfId="19117" xr:uid="{13B67264-55C3-458F-A2E7-7D3F25838CCD}"/>
    <cellStyle name="Normal 16 3 2 3 2 2 2" xfId="19118" xr:uid="{F596EFE3-CC92-413C-BFF2-F0EEE64D8234}"/>
    <cellStyle name="Normal 16 3 2 3 2 2 3" xfId="19119" xr:uid="{4185FAB1-A5F8-4085-9D2A-AE99F6B751A4}"/>
    <cellStyle name="Normal 16 3 2 3 2 2 4" xfId="19120" xr:uid="{E9EC3E44-5782-4A28-AE93-9C94B9E3FE31}"/>
    <cellStyle name="Normal 16 3 2 3 2 2 5" xfId="19121" xr:uid="{D09060C8-A031-4760-A6EF-700D6AB64F5F}"/>
    <cellStyle name="Normal 16 3 2 3 2 3" xfId="19122" xr:uid="{FBEFBD27-08DA-4766-9BF9-4D65219C45A9}"/>
    <cellStyle name="Normal 16 3 2 3 2 4" xfId="19123" xr:uid="{15436186-B4DE-4497-B3F0-CBBB31A8E07D}"/>
    <cellStyle name="Normal 16 3 2 3 2 5" xfId="19124" xr:uid="{8983F147-1F16-4A41-BC3D-10FF6DACD9C9}"/>
    <cellStyle name="Normal 16 3 2 3 2 6" xfId="19125" xr:uid="{2F3594E0-D260-4F95-907D-83A1520E724E}"/>
    <cellStyle name="Normal 16 3 2 3 3" xfId="19126" xr:uid="{8847592E-69FC-4F4A-AE58-DDA04855C655}"/>
    <cellStyle name="Normal 16 3 2 3 3 2" xfId="19127" xr:uid="{3D61B27F-A751-488D-BA42-3481ED5F7A5D}"/>
    <cellStyle name="Normal 16 3 2 3 3 2 2" xfId="19128" xr:uid="{30E4A3C4-01C8-45BD-87DE-CD32B1D1DC22}"/>
    <cellStyle name="Normal 16 3 2 3 3 2 3" xfId="19129" xr:uid="{3893A617-92CF-4B21-88D3-4E5FB2F85353}"/>
    <cellStyle name="Normal 16 3 2 3 3 2 4" xfId="19130" xr:uid="{D6E4752C-613B-48F4-8A9A-F231C75E2FE4}"/>
    <cellStyle name="Normal 16 3 2 3 3 2 5" xfId="19131" xr:uid="{8F16D58F-F073-4E00-AADB-7C3A69466F98}"/>
    <cellStyle name="Normal 16 3 2 3 3 3" xfId="19132" xr:uid="{453F17F0-967C-468F-87A8-AFE6BD3587C7}"/>
    <cellStyle name="Normal 16 3 2 3 3 4" xfId="19133" xr:uid="{8ED7985B-F21C-4786-BEE8-F098863F420B}"/>
    <cellStyle name="Normal 16 3 2 3 3 5" xfId="19134" xr:uid="{1B418FED-D8D4-4516-A5D5-47EFD9276E8E}"/>
    <cellStyle name="Normal 16 3 2 3 3 6" xfId="19135" xr:uid="{5AE09FD0-F121-4679-8A09-C85E5517B38D}"/>
    <cellStyle name="Normal 16 3 2 3 4" xfId="19136" xr:uid="{F4B4CE12-D2E5-4305-80CD-678A723DCD73}"/>
    <cellStyle name="Normal 16 3 2 3 4 2" xfId="19137" xr:uid="{877C47B4-F33C-4C03-A78B-090604631A3D}"/>
    <cellStyle name="Normal 16 3 2 3 4 2 2" xfId="19138" xr:uid="{FCA014A7-0EAF-4CD8-A796-C83B52E86C7D}"/>
    <cellStyle name="Normal 16 3 2 3 4 2 3" xfId="19139" xr:uid="{A42A92CF-9449-4B9B-B1ED-376777B28044}"/>
    <cellStyle name="Normal 16 3 2 3 4 2 4" xfId="19140" xr:uid="{3E0F1CB7-D8FC-4AE3-9577-55A6DF590E06}"/>
    <cellStyle name="Normal 16 3 2 3 4 2 5" xfId="19141" xr:uid="{0D7BFA49-7CEE-45C8-9831-7B1483BEF1E3}"/>
    <cellStyle name="Normal 16 3 2 3 4 3" xfId="19142" xr:uid="{63859B20-C2F9-4620-809F-7BB2B7F8BFD8}"/>
    <cellStyle name="Normal 16 3 2 3 4 4" xfId="19143" xr:uid="{C8ED06A4-306D-4A4B-B72C-F6016047B1AE}"/>
    <cellStyle name="Normal 16 3 2 3 4 5" xfId="19144" xr:uid="{40EE6B06-7106-43F9-BA17-D37685E2C0E8}"/>
    <cellStyle name="Normal 16 3 2 3 4 6" xfId="19145" xr:uid="{4287516F-1A56-4557-9225-CCD5354D002F}"/>
    <cellStyle name="Normal 16 3 2 3 5" xfId="19146" xr:uid="{EA75A85C-B37F-4E98-B054-26CA58B913C0}"/>
    <cellStyle name="Normal 16 3 2 3 5 2" xfId="19147" xr:uid="{7CC1A05A-0974-4BBE-808E-2019BCB564F9}"/>
    <cellStyle name="Normal 16 3 2 3 5 3" xfId="19148" xr:uid="{101103DB-99FA-45A0-B5D6-0AD54DF6EE43}"/>
    <cellStyle name="Normal 16 3 2 3 5 4" xfId="19149" xr:uid="{8DDC0176-633C-4916-9722-FEE98DFE40A5}"/>
    <cellStyle name="Normal 16 3 2 3 5 5" xfId="19150" xr:uid="{B2005DA4-BA0F-4902-AB00-50E3D286CDE6}"/>
    <cellStyle name="Normal 16 3 2 3 6" xfId="19151" xr:uid="{0606B06B-1067-4D6D-B4B5-38F03D93CFA6}"/>
    <cellStyle name="Normal 16 3 2 3 6 2" xfId="19152" xr:uid="{89AC9FC0-50D8-452E-9ED1-0B17B8B1C16C}"/>
    <cellStyle name="Normal 16 3 2 3 6 3" xfId="19153" xr:uid="{46AB998E-08D1-436D-862C-DD181324CE4B}"/>
    <cellStyle name="Normal 16 3 2 3 6 4" xfId="19154" xr:uid="{718109FA-FFE1-44CB-952C-2160604E6585}"/>
    <cellStyle name="Normal 16 3 2 3 6 5" xfId="19155" xr:uid="{A85391A2-45F8-481B-9CA3-075E4CC20F52}"/>
    <cellStyle name="Normal 16 3 2 3 7" xfId="19156" xr:uid="{6E9B2E7D-5A9A-4B62-9F09-2CFFEFD3B8BA}"/>
    <cellStyle name="Normal 16 3 2 3 7 2" xfId="19157" xr:uid="{CE78FB00-B7F2-48EC-AA48-9255B2F8B901}"/>
    <cellStyle name="Normal 16 3 2 3 7 3" xfId="19158" xr:uid="{DE000F3C-B53A-42F5-96E6-B713029703B2}"/>
    <cellStyle name="Normal 16 3 2 3 7 4" xfId="19159" xr:uid="{BCC2C4E9-A37C-4DDB-A615-5BF958DD93F9}"/>
    <cellStyle name="Normal 16 3 2 3 7 5" xfId="19160" xr:uid="{5CB16BF7-D92D-4013-8A37-D5C78D6D33D5}"/>
    <cellStyle name="Normal 16 3 2 3 8" xfId="19161" xr:uid="{BC79E225-E7A5-4418-95DA-D0D008F98CF3}"/>
    <cellStyle name="Normal 16 3 2 3 8 2" xfId="19162" xr:uid="{018B4756-8BBD-4572-9107-41720E6C9BB7}"/>
    <cellStyle name="Normal 16 3 2 3 8 3" xfId="19163" xr:uid="{68EEC4A7-79AC-4C95-8E7F-21D22497F80F}"/>
    <cellStyle name="Normal 16 3 2 3 8 4" xfId="19164" xr:uid="{B5F93349-7F20-474B-BF91-5443A0912080}"/>
    <cellStyle name="Normal 16 3 2 3 8 5" xfId="19165" xr:uid="{129D373F-D392-4C39-A7DC-2B29337B57A5}"/>
    <cellStyle name="Normal 16 3 2 3 9" xfId="19166" xr:uid="{F4FDFCEA-466D-4822-930D-DD5962680396}"/>
    <cellStyle name="Normal 16 3 2 4" xfId="19167" xr:uid="{216AA5D9-EFC3-4316-96A6-B46091B58070}"/>
    <cellStyle name="Normal 16 3 2 4 2" xfId="19168" xr:uid="{96B34C70-C3AD-4B65-A5F8-FC0B518A58F6}"/>
    <cellStyle name="Normal 16 3 2 4 2 2" xfId="19169" xr:uid="{C694CDC9-B2C3-4002-8C04-C7CAE88BEBEB}"/>
    <cellStyle name="Normal 16 3 2 4 2 3" xfId="19170" xr:uid="{D2AF1764-17CE-4A4E-905D-E573E2BE2B5A}"/>
    <cellStyle name="Normal 16 3 2 4 2 4" xfId="19171" xr:uid="{3C63A415-94AD-4446-A058-7191577785CB}"/>
    <cellStyle name="Normal 16 3 2 4 2 5" xfId="19172" xr:uid="{0ABF279D-65B9-44EF-B421-783EAAC67E66}"/>
    <cellStyle name="Normal 16 3 2 4 3" xfId="19173" xr:uid="{893EC26E-237B-4A84-8D15-9CE32B33E40A}"/>
    <cellStyle name="Normal 16 3 2 4 4" xfId="19174" xr:uid="{E6A5113C-7861-436F-AD2A-B10D75B1BB97}"/>
    <cellStyle name="Normal 16 3 2 4 5" xfId="19175" xr:uid="{985DEB5C-C574-464D-8120-535D6253CA0E}"/>
    <cellStyle name="Normal 16 3 2 4 6" xfId="19176" xr:uid="{A6443836-891A-4E78-B793-11ECE01AC998}"/>
    <cellStyle name="Normal 16 3 2 5" xfId="19177" xr:uid="{FBE4F4F7-09E4-45AE-834C-F1B9FEF307B7}"/>
    <cellStyle name="Normal 16 3 2 5 2" xfId="19178" xr:uid="{99108D8C-89EE-4B02-90C1-1687BEB18ACC}"/>
    <cellStyle name="Normal 16 3 2 5 2 2" xfId="19179" xr:uid="{082995CF-AD4A-4D99-9F52-5A72C73F1B9D}"/>
    <cellStyle name="Normal 16 3 2 5 2 3" xfId="19180" xr:uid="{A1415F92-8698-4592-B3B8-A32D13A5101B}"/>
    <cellStyle name="Normal 16 3 2 5 2 4" xfId="19181" xr:uid="{3ADD9FA4-2FB9-4587-84A2-0C2367957D29}"/>
    <cellStyle name="Normal 16 3 2 5 2 5" xfId="19182" xr:uid="{03D11A36-F8BE-4851-8191-0EE952E42192}"/>
    <cellStyle name="Normal 16 3 2 5 3" xfId="19183" xr:uid="{5A2CC23A-CDAD-4EA1-9A3F-48D97A11FDE9}"/>
    <cellStyle name="Normal 16 3 2 5 4" xfId="19184" xr:uid="{F30F9646-D2A0-4846-8A19-6C706FD3EC03}"/>
    <cellStyle name="Normal 16 3 2 5 5" xfId="19185" xr:uid="{7E63498C-390E-48FB-B3AB-E32711EF6C64}"/>
    <cellStyle name="Normal 16 3 2 5 6" xfId="19186" xr:uid="{C2FB8294-EAA4-480A-94A0-4882A7DDEDA1}"/>
    <cellStyle name="Normal 16 3 2 6" xfId="19187" xr:uid="{4B39DF5B-EB37-4DA1-A39F-BEE543CBE6D3}"/>
    <cellStyle name="Normal 16 3 2 6 2" xfId="19188" xr:uid="{AACF2A2A-CF8D-4932-A318-417FEF12F1E3}"/>
    <cellStyle name="Normal 16 3 2 6 2 2" xfId="19189" xr:uid="{48823429-8CC2-4DFB-A519-7C87FF06FDC8}"/>
    <cellStyle name="Normal 16 3 2 6 2 3" xfId="19190" xr:uid="{AE691FC5-E9A7-4ED1-AD15-D9E54CA1F9A9}"/>
    <cellStyle name="Normal 16 3 2 6 2 4" xfId="19191" xr:uid="{B17FB1C2-91B8-4018-83C7-63C06BAA5D10}"/>
    <cellStyle name="Normal 16 3 2 6 2 5" xfId="19192" xr:uid="{6B91C219-A68F-439D-A5ED-52E1B6CF7C05}"/>
    <cellStyle name="Normal 16 3 2 6 3" xfId="19193" xr:uid="{8250A73D-2720-41E2-B450-5E9D6F2106E5}"/>
    <cellStyle name="Normal 16 3 2 6 4" xfId="19194" xr:uid="{B937BD01-9E6F-49FF-B00E-5B9711B0E909}"/>
    <cellStyle name="Normal 16 3 2 6 5" xfId="19195" xr:uid="{83BC2924-E1A3-493F-B6AF-223CC6D11C46}"/>
    <cellStyle name="Normal 16 3 2 6 6" xfId="19196" xr:uid="{4194A849-3D6A-4BC2-B99C-17C7E3D502E7}"/>
    <cellStyle name="Normal 16 3 2 7" xfId="19197" xr:uid="{BFE29720-2CD5-472E-ACF8-C4D565F4988A}"/>
    <cellStyle name="Normal 16 3 2 7 2" xfId="19198" xr:uid="{1031DF27-92FC-46B3-A284-0BE7454F8C05}"/>
    <cellStyle name="Normal 16 3 2 7 3" xfId="19199" xr:uid="{BC55C71B-2A97-409B-9CBC-86DEDDAB1964}"/>
    <cellStyle name="Normal 16 3 2 7 4" xfId="19200" xr:uid="{0A1EE2E4-EF5A-4DC3-AC76-D767EAFE37DA}"/>
    <cellStyle name="Normal 16 3 2 7 5" xfId="19201" xr:uid="{E630EDF8-5F2C-4CAB-A565-3252ED72E958}"/>
    <cellStyle name="Normal 16 3 2 8" xfId="19202" xr:uid="{56B10E67-E127-4A6A-AAF4-80166D1FE273}"/>
    <cellStyle name="Normal 16 3 2 8 2" xfId="19203" xr:uid="{AC1B48C8-F69B-47B6-98A4-A47578E8F566}"/>
    <cellStyle name="Normal 16 3 2 8 3" xfId="19204" xr:uid="{A8B7C61C-9606-41F3-AE1C-062677894C64}"/>
    <cellStyle name="Normal 16 3 2 8 4" xfId="19205" xr:uid="{BED5DF1E-775E-4DB7-805B-B3C5F10EB0F4}"/>
    <cellStyle name="Normal 16 3 2 8 5" xfId="19206" xr:uid="{07ACC808-7155-4B96-9826-788307B2B251}"/>
    <cellStyle name="Normal 16 3 2 9" xfId="19207" xr:uid="{7F445EAE-81EE-47F2-BB35-DB714246E5F4}"/>
    <cellStyle name="Normal 16 3 2 9 2" xfId="19208" xr:uid="{59DAAB07-5FF0-4EA0-B878-3BC95ED76031}"/>
    <cellStyle name="Normal 16 3 2 9 3" xfId="19209" xr:uid="{54A2868E-3143-4DB7-ABF2-D4033B4A9E60}"/>
    <cellStyle name="Normal 16 3 2 9 4" xfId="19210" xr:uid="{27BA8534-EF36-4DA1-8D36-D91C21036202}"/>
    <cellStyle name="Normal 16 3 2 9 5" xfId="19211" xr:uid="{0557D411-DB1D-44AB-BF39-B5694D504225}"/>
    <cellStyle name="Normal 16 3 3" xfId="19212" xr:uid="{95E81FBD-EE75-4FB5-8AB1-532CBFF1D610}"/>
    <cellStyle name="Normal 16 3 3 10" xfId="19213" xr:uid="{39868E2E-21F7-486C-BF82-645D46304B32}"/>
    <cellStyle name="Normal 16 3 3 11" xfId="19214" xr:uid="{7DFE04DE-67C4-4F9A-98B3-63FFE1AB0711}"/>
    <cellStyle name="Normal 16 3 3 12" xfId="19215" xr:uid="{163E008A-0FDF-48EA-AC22-A5A212E3ACA0}"/>
    <cellStyle name="Normal 16 3 3 13" xfId="19216" xr:uid="{4A04FC82-04F8-4ADC-B918-A3A99DD74ADB}"/>
    <cellStyle name="Normal 16 3 3 2" xfId="19217" xr:uid="{E909EB2F-4E24-4B57-9486-1DC09C5E5EC6}"/>
    <cellStyle name="Normal 16 3 3 2 10" xfId="19218" xr:uid="{44430949-FF71-406C-954D-8F00017CDB58}"/>
    <cellStyle name="Normal 16 3 3 2 11" xfId="19219" xr:uid="{C0EDD082-E11B-4BAE-A168-E46BFE8067C3}"/>
    <cellStyle name="Normal 16 3 3 2 12" xfId="19220" xr:uid="{8622C4E6-8542-48ED-AEF7-928D34E92847}"/>
    <cellStyle name="Normal 16 3 3 2 2" xfId="19221" xr:uid="{267F2F29-8F96-498D-8CB1-C5A1BC61CA00}"/>
    <cellStyle name="Normal 16 3 3 2 2 2" xfId="19222" xr:uid="{79CBADFB-EF2B-443D-813D-0F4E9D832876}"/>
    <cellStyle name="Normal 16 3 3 2 2 2 2" xfId="19223" xr:uid="{569BD8FC-64BF-4AC5-965D-4454AA326FB8}"/>
    <cellStyle name="Normal 16 3 3 2 2 2 3" xfId="19224" xr:uid="{D065EC0C-D063-4A12-B2E6-FB9E00420B05}"/>
    <cellStyle name="Normal 16 3 3 2 2 2 4" xfId="19225" xr:uid="{EA1E4203-C8D4-47C7-AE5F-E16285963051}"/>
    <cellStyle name="Normal 16 3 3 2 2 2 5" xfId="19226" xr:uid="{38060611-9E45-413F-AD3A-2F077B9F44CB}"/>
    <cellStyle name="Normal 16 3 3 2 2 3" xfId="19227" xr:uid="{4743BA2A-240B-4DD0-87AE-F71181D1F6EB}"/>
    <cellStyle name="Normal 16 3 3 2 2 4" xfId="19228" xr:uid="{13282FF2-F877-4996-8347-F63B2DD0EA66}"/>
    <cellStyle name="Normal 16 3 3 2 2 5" xfId="19229" xr:uid="{4A6D3257-A4BB-4F4A-8349-388BABCFB384}"/>
    <cellStyle name="Normal 16 3 3 2 2 6" xfId="19230" xr:uid="{8E418864-8F13-4F05-9B89-EF516777C236}"/>
    <cellStyle name="Normal 16 3 3 2 3" xfId="19231" xr:uid="{F3A357D2-CC2F-4374-B64C-952C41F6C03C}"/>
    <cellStyle name="Normal 16 3 3 2 3 2" xfId="19232" xr:uid="{7CD1D331-936F-48DD-A8C7-9669B16337E4}"/>
    <cellStyle name="Normal 16 3 3 2 3 2 2" xfId="19233" xr:uid="{1B917A80-907F-49F1-845A-A7DBCC4DB662}"/>
    <cellStyle name="Normal 16 3 3 2 3 2 3" xfId="19234" xr:uid="{E4B86C4B-DCCA-45B8-8F6A-9270A7CE9786}"/>
    <cellStyle name="Normal 16 3 3 2 3 2 4" xfId="19235" xr:uid="{7BC7906D-41E2-4D13-A659-2C18487173F8}"/>
    <cellStyle name="Normal 16 3 3 2 3 2 5" xfId="19236" xr:uid="{43EE250F-0585-4C8A-9798-B9E2C91BC1AF}"/>
    <cellStyle name="Normal 16 3 3 2 3 3" xfId="19237" xr:uid="{EBB46F9D-1B5F-4596-8620-A80C173FA03F}"/>
    <cellStyle name="Normal 16 3 3 2 3 4" xfId="19238" xr:uid="{14E590C2-E463-4CB5-91B2-37927E558A14}"/>
    <cellStyle name="Normal 16 3 3 2 3 5" xfId="19239" xr:uid="{16EB997A-A947-4378-8D9F-387C57FF9811}"/>
    <cellStyle name="Normal 16 3 3 2 3 6" xfId="19240" xr:uid="{D9A736FA-5364-41C2-ABF1-586B95FA758C}"/>
    <cellStyle name="Normal 16 3 3 2 4" xfId="19241" xr:uid="{F4BC1155-C2B4-4336-8DB2-9385C3555AB4}"/>
    <cellStyle name="Normal 16 3 3 2 4 2" xfId="19242" xr:uid="{1D7EE166-7161-4EC1-A8C7-93188FD78ED5}"/>
    <cellStyle name="Normal 16 3 3 2 4 2 2" xfId="19243" xr:uid="{A6EA0024-94D7-47F9-833A-1B0841D1CF1D}"/>
    <cellStyle name="Normal 16 3 3 2 4 2 3" xfId="19244" xr:uid="{4B23E59C-DBFC-4711-B9EC-475E80A0D72A}"/>
    <cellStyle name="Normal 16 3 3 2 4 2 4" xfId="19245" xr:uid="{55F1F482-A383-4133-88F0-B99F127BF6B5}"/>
    <cellStyle name="Normal 16 3 3 2 4 2 5" xfId="19246" xr:uid="{F12B772B-AE8F-4A2F-86D3-E94829978AB1}"/>
    <cellStyle name="Normal 16 3 3 2 4 3" xfId="19247" xr:uid="{8DE6C533-4866-45EF-9C9E-3986D14486F1}"/>
    <cellStyle name="Normal 16 3 3 2 4 4" xfId="19248" xr:uid="{EF0BDFFC-FFBE-4745-8A31-6A97B35654CA}"/>
    <cellStyle name="Normal 16 3 3 2 4 5" xfId="19249" xr:uid="{56BC9863-6EAB-4471-9093-11E1369721D8}"/>
    <cellStyle name="Normal 16 3 3 2 4 6" xfId="19250" xr:uid="{0BA0238C-7211-4DFF-B684-9B884551AA48}"/>
    <cellStyle name="Normal 16 3 3 2 5" xfId="19251" xr:uid="{117AC637-4B97-4099-8829-DD979E9E0AC7}"/>
    <cellStyle name="Normal 16 3 3 2 5 2" xfId="19252" xr:uid="{55D64144-9E6D-4E89-B36B-D050D7632A1E}"/>
    <cellStyle name="Normal 16 3 3 2 5 3" xfId="19253" xr:uid="{3AA43E2B-3E85-466B-8572-8DC7EE236D79}"/>
    <cellStyle name="Normal 16 3 3 2 5 4" xfId="19254" xr:uid="{02FB7AB9-F818-4492-96AC-D3FD9CCE45F6}"/>
    <cellStyle name="Normal 16 3 3 2 5 5" xfId="19255" xr:uid="{CB93E8BA-4342-4038-9357-FBAF5D7DEC2E}"/>
    <cellStyle name="Normal 16 3 3 2 6" xfId="19256" xr:uid="{009FAA57-F0DF-4A15-94B9-9B508FE64FF8}"/>
    <cellStyle name="Normal 16 3 3 2 6 2" xfId="19257" xr:uid="{EB7FB980-64C0-4251-B074-4CBD7C3A4EC9}"/>
    <cellStyle name="Normal 16 3 3 2 6 3" xfId="19258" xr:uid="{920F7CCB-5398-4670-AD5E-14F9F8988071}"/>
    <cellStyle name="Normal 16 3 3 2 6 4" xfId="19259" xr:uid="{4AFDD4A4-7013-4EE4-8E18-32A127CFD2F8}"/>
    <cellStyle name="Normal 16 3 3 2 6 5" xfId="19260" xr:uid="{A4F90C56-7FCC-4615-AB0E-DC646AA7E606}"/>
    <cellStyle name="Normal 16 3 3 2 7" xfId="19261" xr:uid="{1A072764-D6D8-408C-B5C6-55F5D12DC29D}"/>
    <cellStyle name="Normal 16 3 3 2 7 2" xfId="19262" xr:uid="{49EA372A-39F5-4BFE-83C3-6237BC45FC27}"/>
    <cellStyle name="Normal 16 3 3 2 7 3" xfId="19263" xr:uid="{C559A764-BFBC-4351-8409-F9FEB584A9C9}"/>
    <cellStyle name="Normal 16 3 3 2 7 4" xfId="19264" xr:uid="{B6BFB251-BEEC-4F48-82FF-E7C2FD6CED3A}"/>
    <cellStyle name="Normal 16 3 3 2 7 5" xfId="19265" xr:uid="{4B0D8C45-B850-406B-B39B-23993BC1D4A2}"/>
    <cellStyle name="Normal 16 3 3 2 8" xfId="19266" xr:uid="{FE2CFB98-3B42-4CE2-A76A-4836F98C190F}"/>
    <cellStyle name="Normal 16 3 3 2 8 2" xfId="19267" xr:uid="{655DDB8A-0D7D-4249-A5AA-DD66BCBCCDDD}"/>
    <cellStyle name="Normal 16 3 3 2 8 3" xfId="19268" xr:uid="{36D74627-B3D9-42B5-AE34-526C89809FD2}"/>
    <cellStyle name="Normal 16 3 3 2 8 4" xfId="19269" xr:uid="{3A94D35D-45E6-4CC0-B746-E42DE542AFE4}"/>
    <cellStyle name="Normal 16 3 3 2 8 5" xfId="19270" xr:uid="{BF361322-6D65-4D05-8B88-5E9E884C0544}"/>
    <cellStyle name="Normal 16 3 3 2 9" xfId="19271" xr:uid="{08A8C4D9-8BDF-486A-90E5-69A98E474FCE}"/>
    <cellStyle name="Normal 16 3 3 3" xfId="19272" xr:uid="{53C30B28-6C22-42CF-A765-F1113E08F576}"/>
    <cellStyle name="Normal 16 3 3 3 2" xfId="19273" xr:uid="{275C7602-B1CD-4E83-891F-D58AED5C3229}"/>
    <cellStyle name="Normal 16 3 3 3 2 2" xfId="19274" xr:uid="{2C2E1B23-9F88-4B67-90F3-FE7FAFC08E85}"/>
    <cellStyle name="Normal 16 3 3 3 2 3" xfId="19275" xr:uid="{63F5FC66-0F91-4616-8A9F-7BA0F8C624B0}"/>
    <cellStyle name="Normal 16 3 3 3 2 4" xfId="19276" xr:uid="{1FD448DB-067C-40B1-9B77-700EEFD09278}"/>
    <cellStyle name="Normal 16 3 3 3 2 5" xfId="19277" xr:uid="{882F9135-7C19-41FB-BF31-CCF3740993A1}"/>
    <cellStyle name="Normal 16 3 3 3 3" xfId="19278" xr:uid="{DF7C6551-DABB-464C-82C1-BDE1246D1E5B}"/>
    <cellStyle name="Normal 16 3 3 3 4" xfId="19279" xr:uid="{7817504A-9E18-4EE7-B306-5BCABDDCFC2A}"/>
    <cellStyle name="Normal 16 3 3 3 5" xfId="19280" xr:uid="{670671D5-BB3A-4188-B621-26EF200C57BB}"/>
    <cellStyle name="Normal 16 3 3 3 6" xfId="19281" xr:uid="{234AA9C8-B16D-41C0-8F05-AAE5D6921915}"/>
    <cellStyle name="Normal 16 3 3 4" xfId="19282" xr:uid="{59AD82F2-E625-4CA3-B826-FA3AE7099636}"/>
    <cellStyle name="Normal 16 3 3 4 2" xfId="19283" xr:uid="{6C8A63C5-5702-4606-8AEB-0C2AD14606E7}"/>
    <cellStyle name="Normal 16 3 3 4 2 2" xfId="19284" xr:uid="{6D031952-BC03-4D6D-ACF0-6DDBC2B35A05}"/>
    <cellStyle name="Normal 16 3 3 4 2 3" xfId="19285" xr:uid="{E1F5F16B-A8F6-4908-ADF2-77632B8A8548}"/>
    <cellStyle name="Normal 16 3 3 4 2 4" xfId="19286" xr:uid="{91826EE6-2E93-42CC-BD5B-12C7AFF144FB}"/>
    <cellStyle name="Normal 16 3 3 4 2 5" xfId="19287" xr:uid="{6F56A83D-E951-485A-B5E9-56A5379D3A8F}"/>
    <cellStyle name="Normal 16 3 3 4 3" xfId="19288" xr:uid="{B1082725-C1A6-4960-AD14-EA68D08B1C66}"/>
    <cellStyle name="Normal 16 3 3 4 4" xfId="19289" xr:uid="{25A34666-9A30-416A-A25E-C2779E336070}"/>
    <cellStyle name="Normal 16 3 3 4 5" xfId="19290" xr:uid="{21336F9B-25CA-4F78-AAA2-1F7A1455ACD7}"/>
    <cellStyle name="Normal 16 3 3 4 6" xfId="19291" xr:uid="{B9C97A03-9E9A-4A50-9199-7FDC800FD8F0}"/>
    <cellStyle name="Normal 16 3 3 5" xfId="19292" xr:uid="{DDCA041C-DD3D-4391-B56B-24151D84B9E0}"/>
    <cellStyle name="Normal 16 3 3 5 2" xfId="19293" xr:uid="{07C9CEF6-770F-460D-A172-09E8487143AC}"/>
    <cellStyle name="Normal 16 3 3 5 2 2" xfId="19294" xr:uid="{9384DDD9-5FE3-4C8A-A046-EFACA985900E}"/>
    <cellStyle name="Normal 16 3 3 5 2 3" xfId="19295" xr:uid="{AB03CFF3-20AE-4D87-B2E3-69ADABCA8FAF}"/>
    <cellStyle name="Normal 16 3 3 5 2 4" xfId="19296" xr:uid="{7804F048-3117-4A8B-9AA0-B2F152E31B4D}"/>
    <cellStyle name="Normal 16 3 3 5 2 5" xfId="19297" xr:uid="{4A83E4C2-C670-47F4-AA5A-E8AF5AA8D0C9}"/>
    <cellStyle name="Normal 16 3 3 5 3" xfId="19298" xr:uid="{66A977D6-EE43-4267-B4D2-F9629C7FAC83}"/>
    <cellStyle name="Normal 16 3 3 5 4" xfId="19299" xr:uid="{04CAFA31-E59C-452E-BC18-7540C96A6A54}"/>
    <cellStyle name="Normal 16 3 3 5 5" xfId="19300" xr:uid="{52AD60E4-AF73-4C14-9D68-98D6EC525F94}"/>
    <cellStyle name="Normal 16 3 3 5 6" xfId="19301" xr:uid="{2459FC1C-F371-4BD6-94A4-233119EFF8BC}"/>
    <cellStyle name="Normal 16 3 3 6" xfId="19302" xr:uid="{7DE26D6F-22F9-4AA8-8C6E-0BE9FD518F93}"/>
    <cellStyle name="Normal 16 3 3 6 2" xfId="19303" xr:uid="{A6A07444-CF9E-472E-B832-068868A32047}"/>
    <cellStyle name="Normal 16 3 3 6 3" xfId="19304" xr:uid="{C67D5B5D-0B96-4742-A296-B3BD0C0DBA2D}"/>
    <cellStyle name="Normal 16 3 3 6 4" xfId="19305" xr:uid="{4EA786DE-006A-4261-93E2-6BBECEF5CF7C}"/>
    <cellStyle name="Normal 16 3 3 6 5" xfId="19306" xr:uid="{9C317170-D04D-4172-8D3E-634CAB2C2B51}"/>
    <cellStyle name="Normal 16 3 3 7" xfId="19307" xr:uid="{A41562DC-79FD-4789-BB28-E7094B2337F9}"/>
    <cellStyle name="Normal 16 3 3 7 2" xfId="19308" xr:uid="{F1D3FE14-85B3-4FCA-ACD4-D207A533C720}"/>
    <cellStyle name="Normal 16 3 3 7 3" xfId="19309" xr:uid="{66E80F0A-6E2D-470C-A9C1-2EA3BC4E1AAF}"/>
    <cellStyle name="Normal 16 3 3 7 4" xfId="19310" xr:uid="{712D3E04-135F-4A7E-BA00-E77037541702}"/>
    <cellStyle name="Normal 16 3 3 7 5" xfId="19311" xr:uid="{DCB79A1E-FBB9-4829-9A03-A62E86D5A6CB}"/>
    <cellStyle name="Normal 16 3 3 8" xfId="19312" xr:uid="{C4454420-AE5F-4784-8892-934A205576BC}"/>
    <cellStyle name="Normal 16 3 3 8 2" xfId="19313" xr:uid="{49DEB849-0CA7-4006-98DC-D793185948AA}"/>
    <cellStyle name="Normal 16 3 3 8 3" xfId="19314" xr:uid="{9B0F88D5-18C1-4EC9-AE58-D449842B79B3}"/>
    <cellStyle name="Normal 16 3 3 8 4" xfId="19315" xr:uid="{8051B8F5-0346-4845-BA2A-8A8F86ECEF28}"/>
    <cellStyle name="Normal 16 3 3 8 5" xfId="19316" xr:uid="{5DDA79BB-A357-4F66-B4CA-01AD1F195346}"/>
    <cellStyle name="Normal 16 3 3 9" xfId="19317" xr:uid="{16DBE9FF-F778-4C10-B430-CB21C7CAB5DA}"/>
    <cellStyle name="Normal 16 3 3 9 2" xfId="19318" xr:uid="{3A072EA1-3F00-4037-B451-AB3077904163}"/>
    <cellStyle name="Normal 16 3 3 9 3" xfId="19319" xr:uid="{7A872F24-8340-4254-B1B7-A75B160C6A17}"/>
    <cellStyle name="Normal 16 3 3 9 4" xfId="19320" xr:uid="{AD001BFE-15B8-4D92-A365-2E87001FA0B7}"/>
    <cellStyle name="Normal 16 3 3 9 5" xfId="19321" xr:uid="{061ED84F-FB19-4C5B-A281-E7C4E90BEC84}"/>
    <cellStyle name="Normal 16 3 4" xfId="19322" xr:uid="{FAF47FEA-0082-40E3-8C1C-10A2D516795F}"/>
    <cellStyle name="Normal 16 3 4 10" xfId="19323" xr:uid="{CDB93E00-8674-41B7-8858-F31C2A3BBC23}"/>
    <cellStyle name="Normal 16 3 4 11" xfId="19324" xr:uid="{16CCC9A1-E79D-47E8-9256-7FAEA09C117D}"/>
    <cellStyle name="Normal 16 3 4 12" xfId="19325" xr:uid="{39144A95-5670-4F93-B613-00B886FDB8E8}"/>
    <cellStyle name="Normal 16 3 4 2" xfId="19326" xr:uid="{70C6BAC9-3BCA-4171-B56C-40FCE7FD2F17}"/>
    <cellStyle name="Normal 16 3 4 2 2" xfId="19327" xr:uid="{400A11E1-C30B-4570-AAF1-10ACFE90874A}"/>
    <cellStyle name="Normal 16 3 4 2 2 2" xfId="19328" xr:uid="{C3E0580D-6BDF-4330-95C4-0289BF0887AF}"/>
    <cellStyle name="Normal 16 3 4 2 2 3" xfId="19329" xr:uid="{AE860D62-50C9-461A-A96D-2940F67D2D07}"/>
    <cellStyle name="Normal 16 3 4 2 2 4" xfId="19330" xr:uid="{5CABC0FB-C7D3-46CE-81BD-5723AEBC0362}"/>
    <cellStyle name="Normal 16 3 4 2 2 5" xfId="19331" xr:uid="{95D60527-B033-4423-B3C2-4DC608625C91}"/>
    <cellStyle name="Normal 16 3 4 2 3" xfId="19332" xr:uid="{45FFFEAE-0178-4744-A976-84B8A82883D5}"/>
    <cellStyle name="Normal 16 3 4 2 4" xfId="19333" xr:uid="{D8FB579F-FED5-496F-8F46-AB3B38D80B3E}"/>
    <cellStyle name="Normal 16 3 4 2 5" xfId="19334" xr:uid="{FA60B422-9CBD-489B-A8DE-FF87B5380D91}"/>
    <cellStyle name="Normal 16 3 4 2 6" xfId="19335" xr:uid="{E4A67142-FF9F-4BE5-977B-69627E58F5E5}"/>
    <cellStyle name="Normal 16 3 4 3" xfId="19336" xr:uid="{4B829863-43F8-48FB-A885-F01DA2BE260F}"/>
    <cellStyle name="Normal 16 3 4 3 2" xfId="19337" xr:uid="{BDF2DBA9-7E57-4CB5-9DDC-49575598A68D}"/>
    <cellStyle name="Normal 16 3 4 3 2 2" xfId="19338" xr:uid="{C36484A4-FDBD-48C2-BEB2-FC1DB775BDB0}"/>
    <cellStyle name="Normal 16 3 4 3 2 3" xfId="19339" xr:uid="{83DD2D08-FFF6-48EE-AB81-9B84D057F9ED}"/>
    <cellStyle name="Normal 16 3 4 3 2 4" xfId="19340" xr:uid="{6CB3E33F-4C8D-4DD2-A012-38CBC69391A7}"/>
    <cellStyle name="Normal 16 3 4 3 2 5" xfId="19341" xr:uid="{BEB8E06D-F49B-4850-B1D5-D486B8843229}"/>
    <cellStyle name="Normal 16 3 4 3 3" xfId="19342" xr:uid="{27FA091E-C0B7-4FE9-822D-F9D439DC761E}"/>
    <cellStyle name="Normal 16 3 4 3 4" xfId="19343" xr:uid="{EEECD33B-C9F0-46DD-A1CB-A253F39F1A6A}"/>
    <cellStyle name="Normal 16 3 4 3 5" xfId="19344" xr:uid="{00B06551-0213-4514-9DE7-89368CC58B9C}"/>
    <cellStyle name="Normal 16 3 4 3 6" xfId="19345" xr:uid="{702EBB09-1667-48FE-938C-5E97AA53559B}"/>
    <cellStyle name="Normal 16 3 4 4" xfId="19346" xr:uid="{CD6BCA8B-D8B1-4219-A3C4-D755EC9FDE33}"/>
    <cellStyle name="Normal 16 3 4 4 2" xfId="19347" xr:uid="{1EAC214D-0DDE-4C5D-A363-8791C5758EE6}"/>
    <cellStyle name="Normal 16 3 4 4 2 2" xfId="19348" xr:uid="{24C92FCD-0702-48BD-BF7C-EDE99A7AEFA1}"/>
    <cellStyle name="Normal 16 3 4 4 2 3" xfId="19349" xr:uid="{88891736-71B9-477D-A264-593C8FFD1376}"/>
    <cellStyle name="Normal 16 3 4 4 2 4" xfId="19350" xr:uid="{7C36DD87-CAFE-4627-86C2-0BDCF887522F}"/>
    <cellStyle name="Normal 16 3 4 4 2 5" xfId="19351" xr:uid="{8C57AB18-80B4-45AE-B66A-1CC31DA37F23}"/>
    <cellStyle name="Normal 16 3 4 4 3" xfId="19352" xr:uid="{6E11CDB8-621E-4ECF-9694-A17E5FE33DF0}"/>
    <cellStyle name="Normal 16 3 4 4 4" xfId="19353" xr:uid="{6AA8F9D8-2762-4391-BF91-CFEDCD92F251}"/>
    <cellStyle name="Normal 16 3 4 4 5" xfId="19354" xr:uid="{332A7DDA-2FDD-414E-A7A7-2A50342E7159}"/>
    <cellStyle name="Normal 16 3 4 4 6" xfId="19355" xr:uid="{78051D88-11A2-487A-8E3E-246DB2A990DE}"/>
    <cellStyle name="Normal 16 3 4 5" xfId="19356" xr:uid="{7BE6A8A6-0310-43B5-8FC9-DAAE593B0DA3}"/>
    <cellStyle name="Normal 16 3 4 5 2" xfId="19357" xr:uid="{CA79A0F1-C3EE-471C-87F9-C7EF471D92FB}"/>
    <cellStyle name="Normal 16 3 4 5 3" xfId="19358" xr:uid="{71220AC7-0D2B-4799-9DF5-77C9B75ACF4E}"/>
    <cellStyle name="Normal 16 3 4 5 4" xfId="19359" xr:uid="{A42619E5-2088-4276-88A4-06E8E1AAE907}"/>
    <cellStyle name="Normal 16 3 4 5 5" xfId="19360" xr:uid="{542780FA-478D-4707-A848-3726C4DD8D96}"/>
    <cellStyle name="Normal 16 3 4 6" xfId="19361" xr:uid="{22F173E6-C20E-41B7-A379-A18808A696C5}"/>
    <cellStyle name="Normal 16 3 4 6 2" xfId="19362" xr:uid="{8EB160C6-BFE7-4D1E-8AD5-41AB9DC20FD4}"/>
    <cellStyle name="Normal 16 3 4 6 3" xfId="19363" xr:uid="{63F8CDEA-DF40-45B1-96BA-0CFD63354468}"/>
    <cellStyle name="Normal 16 3 4 6 4" xfId="19364" xr:uid="{5C382EE3-A8F3-40E6-A334-EE3DC0FEBB79}"/>
    <cellStyle name="Normal 16 3 4 6 5" xfId="19365" xr:uid="{3D03ABA0-CDBA-4723-A4F6-29BA16A5D0F0}"/>
    <cellStyle name="Normal 16 3 4 7" xfId="19366" xr:uid="{D66902DC-7472-4506-819F-B20969EABDF2}"/>
    <cellStyle name="Normal 16 3 4 7 2" xfId="19367" xr:uid="{D4C58CCD-4F02-4252-9702-B5FE7D22A98A}"/>
    <cellStyle name="Normal 16 3 4 7 3" xfId="19368" xr:uid="{69B20A01-6694-4278-82C0-ED361271456B}"/>
    <cellStyle name="Normal 16 3 4 7 4" xfId="19369" xr:uid="{6019EE46-1EF6-4E0F-ACC7-CB20823B4822}"/>
    <cellStyle name="Normal 16 3 4 7 5" xfId="19370" xr:uid="{0F906C82-D1EA-430D-BC2A-436C9FFFD1E9}"/>
    <cellStyle name="Normal 16 3 4 8" xfId="19371" xr:uid="{2C2C252F-2F47-43E9-A572-F79627899245}"/>
    <cellStyle name="Normal 16 3 4 8 2" xfId="19372" xr:uid="{718E9224-43E5-4E16-817E-EC138FD4B06A}"/>
    <cellStyle name="Normal 16 3 4 8 3" xfId="19373" xr:uid="{781D3E7E-61A8-4975-861E-59E778419D7C}"/>
    <cellStyle name="Normal 16 3 4 8 4" xfId="19374" xr:uid="{8956C5C9-8E96-4FE5-A26E-B9995248A026}"/>
    <cellStyle name="Normal 16 3 4 8 5" xfId="19375" xr:uid="{60339E76-3B62-401B-9B8D-EFCB50202055}"/>
    <cellStyle name="Normal 16 3 4 9" xfId="19376" xr:uid="{4AB8A6B9-EACF-4A99-8CAA-6A7FDEC075C0}"/>
    <cellStyle name="Normal 16 3 5" xfId="19377" xr:uid="{5CCBA668-E5D4-4CE0-9A41-75EFF885301B}"/>
    <cellStyle name="Normal 16 3 5 2" xfId="19378" xr:uid="{F4938525-ACB6-42D9-8BAA-E18E16D14D16}"/>
    <cellStyle name="Normal 16 3 5 2 2" xfId="19379" xr:uid="{3BBE30D2-6B0B-4D33-A36D-826A4081B1DC}"/>
    <cellStyle name="Normal 16 3 5 2 3" xfId="19380" xr:uid="{8DC21AD1-40C5-4864-B29B-0B7D24358AA7}"/>
    <cellStyle name="Normal 16 3 5 2 4" xfId="19381" xr:uid="{3A586863-8AFD-4CA4-9D6A-8A2E2F6430D9}"/>
    <cellStyle name="Normal 16 3 5 2 5" xfId="19382" xr:uid="{1FB06469-65FE-4BA2-AE8D-A23E5DA184B1}"/>
    <cellStyle name="Normal 16 3 5 3" xfId="19383" xr:uid="{3E30167C-CA8B-4671-8C35-A8F9AD0A472F}"/>
    <cellStyle name="Normal 16 3 5 4" xfId="19384" xr:uid="{5F21A8BE-923B-4C8C-8E22-BEE0C5A57AA4}"/>
    <cellStyle name="Normal 16 3 5 5" xfId="19385" xr:uid="{11FCC792-C3F7-488A-9ED0-4CCAAA67674D}"/>
    <cellStyle name="Normal 16 3 5 6" xfId="19386" xr:uid="{526E9897-7FD2-4287-8CC0-05942FF725DF}"/>
    <cellStyle name="Normal 16 3 6" xfId="19387" xr:uid="{A6375739-FBD9-4140-9D51-FBC1F575A84A}"/>
    <cellStyle name="Normal 16 3 6 2" xfId="19388" xr:uid="{6079735A-56C3-4CD9-BC03-E75C81F0D57C}"/>
    <cellStyle name="Normal 16 3 6 2 2" xfId="19389" xr:uid="{801C02D0-BF19-4B51-A1E5-6B803F6DFCB8}"/>
    <cellStyle name="Normal 16 3 6 2 3" xfId="19390" xr:uid="{33341639-3E8B-4B3A-952A-5A9615901C3E}"/>
    <cellStyle name="Normal 16 3 6 2 4" xfId="19391" xr:uid="{FD50080C-E15A-42C0-8C99-02EF7F5A0D5D}"/>
    <cellStyle name="Normal 16 3 6 2 5" xfId="19392" xr:uid="{35B95265-C4C6-47F0-918F-D1868473C18E}"/>
    <cellStyle name="Normal 16 3 6 3" xfId="19393" xr:uid="{BB66A98B-74EA-45EE-A6FA-72A3C7EBEA76}"/>
    <cellStyle name="Normal 16 3 6 4" xfId="19394" xr:uid="{6DEEB8E3-B1AC-466B-BC91-F61C507B12F7}"/>
    <cellStyle name="Normal 16 3 6 5" xfId="19395" xr:uid="{5DE6BC49-3BB7-46D8-9F21-651D55D5E22C}"/>
    <cellStyle name="Normal 16 3 6 6" xfId="19396" xr:uid="{B2BFCF46-319B-4C98-A074-608B0A3AF707}"/>
    <cellStyle name="Normal 16 3 7" xfId="19397" xr:uid="{89A7FBED-FBFE-4825-9E23-77D6AE869617}"/>
    <cellStyle name="Normal 16 3 7 2" xfId="19398" xr:uid="{2C52BDA9-3B0F-4C78-AEBF-3EF8A3A39D9A}"/>
    <cellStyle name="Normal 16 3 7 2 2" xfId="19399" xr:uid="{11B1B17D-539D-4DC1-9051-48609319A855}"/>
    <cellStyle name="Normal 16 3 7 2 3" xfId="19400" xr:uid="{AF510CE5-60AD-46B1-8A3A-D2036BCDA2CB}"/>
    <cellStyle name="Normal 16 3 7 2 4" xfId="19401" xr:uid="{51D09C1F-315B-4C84-A6DC-0200C688C752}"/>
    <cellStyle name="Normal 16 3 7 2 5" xfId="19402" xr:uid="{A2A8B2DE-16E7-4C15-BCC2-EED1696734EE}"/>
    <cellStyle name="Normal 16 3 7 3" xfId="19403" xr:uid="{1311FB6A-7034-4DD8-905A-DA939893EEA9}"/>
    <cellStyle name="Normal 16 3 7 4" xfId="19404" xr:uid="{5986984D-A5EE-45E4-9156-F4BED78FB594}"/>
    <cellStyle name="Normal 16 3 7 5" xfId="19405" xr:uid="{5C62D1D3-6F8D-4E7D-916F-D6779E699979}"/>
    <cellStyle name="Normal 16 3 7 6" xfId="19406" xr:uid="{DBC882B5-4B73-472D-BD94-F87A4BBE14C8}"/>
    <cellStyle name="Normal 16 3 8" xfId="19407" xr:uid="{6B209D78-F894-403A-854D-F26F4BD9AB3B}"/>
    <cellStyle name="Normal 16 3 8 2" xfId="19408" xr:uid="{61787CBE-02CB-43FE-8937-C18DB3EDEE22}"/>
    <cellStyle name="Normal 16 3 8 3" xfId="19409" xr:uid="{064D3DED-135B-4C08-BDA5-77639AA46DE9}"/>
    <cellStyle name="Normal 16 3 8 4" xfId="19410" xr:uid="{0A7CF4D8-F52E-42FF-8433-56050C25E28B}"/>
    <cellStyle name="Normal 16 3 8 5" xfId="19411" xr:uid="{E2EFF2F7-983E-4020-A252-B6B309808D95}"/>
    <cellStyle name="Normal 16 3 9" xfId="19412" xr:uid="{6FDCF0CA-10A3-41C3-A9A4-478C7794C7F2}"/>
    <cellStyle name="Normal 16 3 9 2" xfId="19413" xr:uid="{EF02BEF6-2DDC-4400-A589-E714084694C7}"/>
    <cellStyle name="Normal 16 3 9 3" xfId="19414" xr:uid="{8EF02947-A976-4C4B-B968-343C097E3E2D}"/>
    <cellStyle name="Normal 16 3 9 4" xfId="19415" xr:uid="{1D69C8F9-8135-44A8-AE30-69F622F77B89}"/>
    <cellStyle name="Normal 16 3 9 5" xfId="19416" xr:uid="{9E40CDD7-3905-4140-A52B-1299DEF73037}"/>
    <cellStyle name="Normal 16 4" xfId="19417" xr:uid="{1F33944A-03D5-4A8A-9D58-BC1330D518D5}"/>
    <cellStyle name="Normal 16 4 10" xfId="19418" xr:uid="{3B22C337-6FE8-4DC0-8C50-9832D2B03D86}"/>
    <cellStyle name="Normal 16 4 10 2" xfId="19419" xr:uid="{F7BFC810-CD6A-4D93-ACB6-EA2FFD6E409F}"/>
    <cellStyle name="Normal 16 4 10 3" xfId="19420" xr:uid="{9C83F026-31C0-455C-8BFA-7DC7647B922B}"/>
    <cellStyle name="Normal 16 4 10 4" xfId="19421" xr:uid="{A550094A-106C-44A6-8861-CA6DA22263E2}"/>
    <cellStyle name="Normal 16 4 10 5" xfId="19422" xr:uid="{BF38F5C3-38F7-4471-AEEB-B15EC29D99A4}"/>
    <cellStyle name="Normal 16 4 11" xfId="19423" xr:uid="{DF99A8C7-4C61-4531-90C3-5B52B62D9B7A}"/>
    <cellStyle name="Normal 16 4 11 2" xfId="19424" xr:uid="{D57795C2-86CB-4695-AD1D-A13357AB640E}"/>
    <cellStyle name="Normal 16 4 11 3" xfId="19425" xr:uid="{B2501D57-39EA-4DD2-8247-9964D394E604}"/>
    <cellStyle name="Normal 16 4 11 4" xfId="19426" xr:uid="{3350B051-F1FC-4A2F-9C69-6BC6868139B7}"/>
    <cellStyle name="Normal 16 4 11 5" xfId="19427" xr:uid="{23A8A5F3-B72C-4ED6-A6E9-52328E8F0C80}"/>
    <cellStyle name="Normal 16 4 12" xfId="19428" xr:uid="{CCA1FE41-BB02-4846-9B67-6CE23BFA8127}"/>
    <cellStyle name="Normal 16 4 13" xfId="19429" xr:uid="{D0A39740-92F8-4BC5-AF99-3D8D6DFB7D40}"/>
    <cellStyle name="Normal 16 4 14" xfId="19430" xr:uid="{73F663A2-20BA-4DD1-8279-4DC080BA3E66}"/>
    <cellStyle name="Normal 16 4 15" xfId="19431" xr:uid="{F7FB2AA2-532E-40C0-8773-36DCA00E19B4}"/>
    <cellStyle name="Normal 16 4 2" xfId="19432" xr:uid="{9B195CD1-C171-46A1-AA67-6D15A6231491}"/>
    <cellStyle name="Normal 16 4 2 10" xfId="19433" xr:uid="{34E6790D-DD2F-4822-9F28-42D63DDA1B90}"/>
    <cellStyle name="Normal 16 4 2 10 2" xfId="19434" xr:uid="{E92993B1-1A63-4EF1-AF5B-50B80606159B}"/>
    <cellStyle name="Normal 16 4 2 10 3" xfId="19435" xr:uid="{03E61095-70E1-4136-AAFC-5EF09317E749}"/>
    <cellStyle name="Normal 16 4 2 10 4" xfId="19436" xr:uid="{ECA66435-E60B-46C8-9640-66BD5492F787}"/>
    <cellStyle name="Normal 16 4 2 10 5" xfId="19437" xr:uid="{CA886D5B-8240-4518-AAD9-CB3F3F254A11}"/>
    <cellStyle name="Normal 16 4 2 11" xfId="19438" xr:uid="{B5F0F982-047D-4530-B5DB-4371C6C89129}"/>
    <cellStyle name="Normal 16 4 2 12" xfId="19439" xr:uid="{CE29054C-4646-42B2-A058-C55453F357C8}"/>
    <cellStyle name="Normal 16 4 2 13" xfId="19440" xr:uid="{103F2422-0FF4-4D47-ABBF-B86D8E3C0FF5}"/>
    <cellStyle name="Normal 16 4 2 14" xfId="19441" xr:uid="{F0E9A61D-02CC-4927-96C2-AD1070163749}"/>
    <cellStyle name="Normal 16 4 2 2" xfId="19442" xr:uid="{2A508658-5BF4-44CC-A978-E13E08DAAC82}"/>
    <cellStyle name="Normal 16 4 2 2 10" xfId="19443" xr:uid="{34B52BD0-E80F-46CD-B528-D5F94E03D842}"/>
    <cellStyle name="Normal 16 4 2 2 11" xfId="19444" xr:uid="{F3CC37D1-22C4-4D2A-9534-8D0DAF09D96B}"/>
    <cellStyle name="Normal 16 4 2 2 12" xfId="19445" xr:uid="{240FCC8C-C282-4DEA-AF51-4AB646455388}"/>
    <cellStyle name="Normal 16 4 2 2 13" xfId="19446" xr:uid="{C83C133B-68D8-486F-9C71-375F91CD9FFF}"/>
    <cellStyle name="Normal 16 4 2 2 2" xfId="19447" xr:uid="{C222C8DE-CAFD-455E-9785-6299056B3E06}"/>
    <cellStyle name="Normal 16 4 2 2 2 10" xfId="19448" xr:uid="{427DC98C-E8CC-42A5-9297-4A53B7C0E63E}"/>
    <cellStyle name="Normal 16 4 2 2 2 11" xfId="19449" xr:uid="{1C3EACDE-9D17-4E53-8FD9-5A60D0CF8623}"/>
    <cellStyle name="Normal 16 4 2 2 2 12" xfId="19450" xr:uid="{58E5723A-EF79-433F-9409-8F547536A7E0}"/>
    <cellStyle name="Normal 16 4 2 2 2 2" xfId="19451" xr:uid="{21C176DD-061C-468B-A369-21432F66779C}"/>
    <cellStyle name="Normal 16 4 2 2 2 2 2" xfId="19452" xr:uid="{168B9E9D-9138-47D3-B25B-B33089012D6A}"/>
    <cellStyle name="Normal 16 4 2 2 2 2 2 2" xfId="19453" xr:uid="{F57F180C-7058-46EF-A347-5EFC0BD5125F}"/>
    <cellStyle name="Normal 16 4 2 2 2 2 2 3" xfId="19454" xr:uid="{221BDD2D-9907-443D-8071-CFA4AD6E32AA}"/>
    <cellStyle name="Normal 16 4 2 2 2 2 2 4" xfId="19455" xr:uid="{8DE34132-4F1B-4114-AAAE-95E9BCB98C75}"/>
    <cellStyle name="Normal 16 4 2 2 2 2 2 5" xfId="19456" xr:uid="{C98E6E12-EB62-4F26-9226-FAAA0FB4DAC0}"/>
    <cellStyle name="Normal 16 4 2 2 2 2 3" xfId="19457" xr:uid="{A5835DC8-5B42-4FF5-B180-3E2DE8E57352}"/>
    <cellStyle name="Normal 16 4 2 2 2 2 4" xfId="19458" xr:uid="{4B7BDB42-E133-4733-928D-E1BA5FE8036C}"/>
    <cellStyle name="Normal 16 4 2 2 2 2 5" xfId="19459" xr:uid="{F2497923-8112-4876-A1AF-419AEEBFC33F}"/>
    <cellStyle name="Normal 16 4 2 2 2 2 6" xfId="19460" xr:uid="{FB133E55-69F7-4E70-AAA9-4A1BB4712324}"/>
    <cellStyle name="Normal 16 4 2 2 2 3" xfId="19461" xr:uid="{A6D2F86D-907D-41A4-B386-B1973A0155E0}"/>
    <cellStyle name="Normal 16 4 2 2 2 3 2" xfId="19462" xr:uid="{A9B22671-D7C2-4D7A-81B8-2C4E24745BC1}"/>
    <cellStyle name="Normal 16 4 2 2 2 3 2 2" xfId="19463" xr:uid="{A0F36BF4-8471-4FF5-888B-9C6DF2494321}"/>
    <cellStyle name="Normal 16 4 2 2 2 3 2 3" xfId="19464" xr:uid="{6CB5F6AD-3B52-4526-A0C7-429D57065EF7}"/>
    <cellStyle name="Normal 16 4 2 2 2 3 2 4" xfId="19465" xr:uid="{1440543E-23DF-448C-BB24-6B2BD5590178}"/>
    <cellStyle name="Normal 16 4 2 2 2 3 2 5" xfId="19466" xr:uid="{A4EDE54E-C2D9-49D6-86CF-F05E1ED9A63A}"/>
    <cellStyle name="Normal 16 4 2 2 2 3 3" xfId="19467" xr:uid="{C7AB34E7-0B69-4242-96D6-388E603FFC1E}"/>
    <cellStyle name="Normal 16 4 2 2 2 3 4" xfId="19468" xr:uid="{DA1B5B21-3358-47BA-AEBE-241560768A2F}"/>
    <cellStyle name="Normal 16 4 2 2 2 3 5" xfId="19469" xr:uid="{3964F92A-9BCB-438D-B2D9-5F22D5664B92}"/>
    <cellStyle name="Normal 16 4 2 2 2 3 6" xfId="19470" xr:uid="{412A863F-640C-42B0-9A50-8E1E1CC66AC5}"/>
    <cellStyle name="Normal 16 4 2 2 2 4" xfId="19471" xr:uid="{1CC5918F-9D45-42B9-A57D-38B419737AF2}"/>
    <cellStyle name="Normal 16 4 2 2 2 4 2" xfId="19472" xr:uid="{F90E2680-D78E-4641-BF3C-551040ED3DD0}"/>
    <cellStyle name="Normal 16 4 2 2 2 4 2 2" xfId="19473" xr:uid="{2DABF406-4DC7-450E-B592-1A95449BBAA5}"/>
    <cellStyle name="Normal 16 4 2 2 2 4 2 3" xfId="19474" xr:uid="{EA3F981D-6E96-42B4-8CB1-841F6E12B3A3}"/>
    <cellStyle name="Normal 16 4 2 2 2 4 2 4" xfId="19475" xr:uid="{75ACAD46-E9FF-42DD-94FC-2831F8BA3693}"/>
    <cellStyle name="Normal 16 4 2 2 2 4 2 5" xfId="19476" xr:uid="{9BABE5D4-8AAF-46FA-BF5A-955EFF8E070D}"/>
    <cellStyle name="Normal 16 4 2 2 2 4 3" xfId="19477" xr:uid="{B79F5B0B-1446-4682-816F-87834DFFDEFC}"/>
    <cellStyle name="Normal 16 4 2 2 2 4 4" xfId="19478" xr:uid="{7B830F12-DFC6-499E-96BA-416598116FD7}"/>
    <cellStyle name="Normal 16 4 2 2 2 4 5" xfId="19479" xr:uid="{DB8363B4-3C85-4F9B-A1F1-59A1E85B4DB0}"/>
    <cellStyle name="Normal 16 4 2 2 2 4 6" xfId="19480" xr:uid="{EC85543B-4D1C-4C0C-BDC1-EBCBB035399A}"/>
    <cellStyle name="Normal 16 4 2 2 2 5" xfId="19481" xr:uid="{B1FBEB75-309F-4F26-9DE4-6C1E1D8CC653}"/>
    <cellStyle name="Normal 16 4 2 2 2 5 2" xfId="19482" xr:uid="{2AA13E9D-F6C8-4A54-8952-8E2ADB988011}"/>
    <cellStyle name="Normal 16 4 2 2 2 5 3" xfId="19483" xr:uid="{3E044229-93BF-4D10-8B81-23C5A6EA99EB}"/>
    <cellStyle name="Normal 16 4 2 2 2 5 4" xfId="19484" xr:uid="{8D707726-CFCC-4682-B177-74CC83E7CC69}"/>
    <cellStyle name="Normal 16 4 2 2 2 5 5" xfId="19485" xr:uid="{075480EF-6E31-42AC-9BD1-6510C8705042}"/>
    <cellStyle name="Normal 16 4 2 2 2 6" xfId="19486" xr:uid="{25E79D20-28BC-4FB3-9F33-25C83EC17741}"/>
    <cellStyle name="Normal 16 4 2 2 2 6 2" xfId="19487" xr:uid="{D2BDF656-3DAC-4D8F-A7D9-EFA8E79806FF}"/>
    <cellStyle name="Normal 16 4 2 2 2 6 3" xfId="19488" xr:uid="{6E6BE235-030A-4DC8-B26D-0D233DFB0C87}"/>
    <cellStyle name="Normal 16 4 2 2 2 6 4" xfId="19489" xr:uid="{E7837515-F801-4789-9DF7-D630B6069E49}"/>
    <cellStyle name="Normal 16 4 2 2 2 6 5" xfId="19490" xr:uid="{91DE2F16-4DC6-4E65-884A-26C72F4F86BB}"/>
    <cellStyle name="Normal 16 4 2 2 2 7" xfId="19491" xr:uid="{29FB7705-9628-4C9C-B6F7-F2BFB6EA9925}"/>
    <cellStyle name="Normal 16 4 2 2 2 7 2" xfId="19492" xr:uid="{EAD35928-0426-490A-9B18-B93083E517C4}"/>
    <cellStyle name="Normal 16 4 2 2 2 7 3" xfId="19493" xr:uid="{BFE5C867-B1EE-4ED4-BF30-5D9084B6070F}"/>
    <cellStyle name="Normal 16 4 2 2 2 7 4" xfId="19494" xr:uid="{2FEB9A74-0A17-4710-98D9-754DD65B894F}"/>
    <cellStyle name="Normal 16 4 2 2 2 7 5" xfId="19495" xr:uid="{89BA935D-45A9-443C-8679-E144A1AED834}"/>
    <cellStyle name="Normal 16 4 2 2 2 8" xfId="19496" xr:uid="{13EA30D1-9BA0-4080-900F-CEED60D7ED35}"/>
    <cellStyle name="Normal 16 4 2 2 2 8 2" xfId="19497" xr:uid="{0A6CCD21-B035-4A7E-B35E-A97C0A53E17D}"/>
    <cellStyle name="Normal 16 4 2 2 2 8 3" xfId="19498" xr:uid="{652CB2F9-7E51-41DA-8BD7-95CF01123687}"/>
    <cellStyle name="Normal 16 4 2 2 2 8 4" xfId="19499" xr:uid="{5CEF99DF-381F-4E43-8858-5DD764168069}"/>
    <cellStyle name="Normal 16 4 2 2 2 8 5" xfId="19500" xr:uid="{F7EED169-A2AA-48F0-B246-E9F3CB1AE6AF}"/>
    <cellStyle name="Normal 16 4 2 2 2 9" xfId="19501" xr:uid="{998B4CAE-AF60-4F2C-A6D4-63A506CD4851}"/>
    <cellStyle name="Normal 16 4 2 2 3" xfId="19502" xr:uid="{CD2D2EF3-39CC-49AF-83C7-0C6E65AEE95A}"/>
    <cellStyle name="Normal 16 4 2 2 3 2" xfId="19503" xr:uid="{5FBA3FAE-1BFF-4746-99F9-569B512C5BDA}"/>
    <cellStyle name="Normal 16 4 2 2 3 2 2" xfId="19504" xr:uid="{B093B6D7-563D-4021-9749-C131A92C4133}"/>
    <cellStyle name="Normal 16 4 2 2 3 2 3" xfId="19505" xr:uid="{19F92394-1F60-4213-B505-3BD6DC094A5A}"/>
    <cellStyle name="Normal 16 4 2 2 3 2 4" xfId="19506" xr:uid="{DD02B77F-978D-4171-B20B-8F440CE68C09}"/>
    <cellStyle name="Normal 16 4 2 2 3 2 5" xfId="19507" xr:uid="{B0BE7090-BD72-4FF3-AC4C-19D0A26B506F}"/>
    <cellStyle name="Normal 16 4 2 2 3 3" xfId="19508" xr:uid="{E7AA47B5-FD54-4BA3-AA6F-BD1F856ECDFE}"/>
    <cellStyle name="Normal 16 4 2 2 3 4" xfId="19509" xr:uid="{5CC29A8F-707A-4C4F-AA3E-F62800311607}"/>
    <cellStyle name="Normal 16 4 2 2 3 5" xfId="19510" xr:uid="{E4281597-7045-4656-9150-DD1EF73602D8}"/>
    <cellStyle name="Normal 16 4 2 2 3 6" xfId="19511" xr:uid="{0854175C-A5B6-4AD4-87AC-927BB9E9C74F}"/>
    <cellStyle name="Normal 16 4 2 2 4" xfId="19512" xr:uid="{CA0FE299-7E4F-42D1-99BC-E0F3677117B9}"/>
    <cellStyle name="Normal 16 4 2 2 4 2" xfId="19513" xr:uid="{5A4F3748-391F-45D8-AEDC-2137FC73A7E9}"/>
    <cellStyle name="Normal 16 4 2 2 4 2 2" xfId="19514" xr:uid="{A7048963-E531-492D-81BF-CC43C1649888}"/>
    <cellStyle name="Normal 16 4 2 2 4 2 3" xfId="19515" xr:uid="{88EFEF04-24C6-4E16-AA88-B1CAAB6B1B9E}"/>
    <cellStyle name="Normal 16 4 2 2 4 2 4" xfId="19516" xr:uid="{AA36AAE0-CBBE-460E-A343-6B9112C989BE}"/>
    <cellStyle name="Normal 16 4 2 2 4 2 5" xfId="19517" xr:uid="{4E9AA727-710A-4DDA-9486-25A8BF2A1EB7}"/>
    <cellStyle name="Normal 16 4 2 2 4 3" xfId="19518" xr:uid="{A2BFAE25-9A5C-4EA7-8210-DEAFCCC81CED}"/>
    <cellStyle name="Normal 16 4 2 2 4 4" xfId="19519" xr:uid="{F47FFD73-0210-441F-9E72-C4B2BE837DC5}"/>
    <cellStyle name="Normal 16 4 2 2 4 5" xfId="19520" xr:uid="{00DDFAC7-3B2F-499C-A1B7-5C59B3A17B4A}"/>
    <cellStyle name="Normal 16 4 2 2 4 6" xfId="19521" xr:uid="{24019F92-4677-48AA-A93A-0571A17CE630}"/>
    <cellStyle name="Normal 16 4 2 2 5" xfId="19522" xr:uid="{5C61AEA8-7AE5-4CEA-8B3F-57A3E1A759AD}"/>
    <cellStyle name="Normal 16 4 2 2 5 2" xfId="19523" xr:uid="{E703786D-278F-4D4C-9A86-AC60C4FB04DB}"/>
    <cellStyle name="Normal 16 4 2 2 5 2 2" xfId="19524" xr:uid="{C9718E08-ADAD-41BA-8B04-1BDCE9ACB4A9}"/>
    <cellStyle name="Normal 16 4 2 2 5 2 3" xfId="19525" xr:uid="{1AFB3892-966C-4FF1-9130-D8395C8B54FC}"/>
    <cellStyle name="Normal 16 4 2 2 5 2 4" xfId="19526" xr:uid="{9F393699-7475-45BD-BD65-74F2399AA9FB}"/>
    <cellStyle name="Normal 16 4 2 2 5 2 5" xfId="19527" xr:uid="{5C63458D-F8F3-4E15-97AD-2844512FC2CB}"/>
    <cellStyle name="Normal 16 4 2 2 5 3" xfId="19528" xr:uid="{73CC8EB9-239F-407E-9EE7-67559FFE3A10}"/>
    <cellStyle name="Normal 16 4 2 2 5 4" xfId="19529" xr:uid="{796994CD-5FEE-48C1-AB71-81C7F8D2F4E4}"/>
    <cellStyle name="Normal 16 4 2 2 5 5" xfId="19530" xr:uid="{4A04E4FB-06D3-4DB3-89F0-A82E08554192}"/>
    <cellStyle name="Normal 16 4 2 2 5 6" xfId="19531" xr:uid="{5B9437B4-4C50-4D85-BDEC-74FA513029BB}"/>
    <cellStyle name="Normal 16 4 2 2 6" xfId="19532" xr:uid="{BC001D86-3E9B-411F-AD00-BACDDBAB44AD}"/>
    <cellStyle name="Normal 16 4 2 2 6 2" xfId="19533" xr:uid="{6E4D7A8A-415A-4795-BC86-41DD9E3C6C8E}"/>
    <cellStyle name="Normal 16 4 2 2 6 3" xfId="19534" xr:uid="{A855DE67-1617-49F1-B0DD-4E472EE8EE5B}"/>
    <cellStyle name="Normal 16 4 2 2 6 4" xfId="19535" xr:uid="{C9682B38-99A9-498E-8F91-719F5AFE3CFF}"/>
    <cellStyle name="Normal 16 4 2 2 6 5" xfId="19536" xr:uid="{A18C4F64-7894-4845-BCD2-EF438AD6084F}"/>
    <cellStyle name="Normal 16 4 2 2 7" xfId="19537" xr:uid="{7BC6D1F3-8FAA-47DE-9C7D-350B55A58C6A}"/>
    <cellStyle name="Normal 16 4 2 2 7 2" xfId="19538" xr:uid="{D2340D61-5445-45D3-8B82-980FACA4575F}"/>
    <cellStyle name="Normal 16 4 2 2 7 3" xfId="19539" xr:uid="{F6BEE3A7-B8C2-40C4-80DC-EC5BFB4B3632}"/>
    <cellStyle name="Normal 16 4 2 2 7 4" xfId="19540" xr:uid="{6F6C181E-CDA4-4B16-BE25-4B7702517A7D}"/>
    <cellStyle name="Normal 16 4 2 2 7 5" xfId="19541" xr:uid="{4324FB11-F8A1-40E1-9E82-B6B22698E368}"/>
    <cellStyle name="Normal 16 4 2 2 8" xfId="19542" xr:uid="{31C020AA-FB02-4C90-B4F7-CD681DE60693}"/>
    <cellStyle name="Normal 16 4 2 2 8 2" xfId="19543" xr:uid="{E2D47277-DE09-4A52-90DA-E33668C5D2F7}"/>
    <cellStyle name="Normal 16 4 2 2 8 3" xfId="19544" xr:uid="{4B5B0D0C-F2B2-45C3-ACDA-16966888C219}"/>
    <cellStyle name="Normal 16 4 2 2 8 4" xfId="19545" xr:uid="{8E3F9E71-A1E9-4616-B0A2-67234BA091E2}"/>
    <cellStyle name="Normal 16 4 2 2 8 5" xfId="19546" xr:uid="{9DA0D833-7EEF-4D81-8331-B49263457648}"/>
    <cellStyle name="Normal 16 4 2 2 9" xfId="19547" xr:uid="{8C3AD69A-21F1-42A7-AD44-4FF85BA86AC1}"/>
    <cellStyle name="Normal 16 4 2 2 9 2" xfId="19548" xr:uid="{E68A09F2-82B0-470F-906A-EC3FC2FF02F8}"/>
    <cellStyle name="Normal 16 4 2 2 9 3" xfId="19549" xr:uid="{CA3D9BB5-C229-4506-9C0A-2279497506CC}"/>
    <cellStyle name="Normal 16 4 2 2 9 4" xfId="19550" xr:uid="{6A424380-9EA2-4CBF-9382-048756F5907D}"/>
    <cellStyle name="Normal 16 4 2 2 9 5" xfId="19551" xr:uid="{141BCB43-7F59-4A71-8DAE-14F7404FB114}"/>
    <cellStyle name="Normal 16 4 2 3" xfId="19552" xr:uid="{06148EDE-0B91-45D7-952D-F045A6BEF0D5}"/>
    <cellStyle name="Normal 16 4 2 3 10" xfId="19553" xr:uid="{C15635F6-1A8F-453F-8093-4901E27927D9}"/>
    <cellStyle name="Normal 16 4 2 3 11" xfId="19554" xr:uid="{1ED801D2-10D4-4AA1-824B-E2C89A8750F3}"/>
    <cellStyle name="Normal 16 4 2 3 12" xfId="19555" xr:uid="{5B2E351D-BDB3-4F21-BE21-FD3391C88E49}"/>
    <cellStyle name="Normal 16 4 2 3 2" xfId="19556" xr:uid="{7A0AD7CC-5532-45EB-ABBB-7EA32ED767A1}"/>
    <cellStyle name="Normal 16 4 2 3 2 2" xfId="19557" xr:uid="{FFF27318-3738-4D65-89CB-20AD52772ADB}"/>
    <cellStyle name="Normal 16 4 2 3 2 2 2" xfId="19558" xr:uid="{23B4CAE8-BD27-414A-84A2-ECA5855B5C7C}"/>
    <cellStyle name="Normal 16 4 2 3 2 2 3" xfId="19559" xr:uid="{82CACFF6-10D0-491D-832D-7F56A40AB7F5}"/>
    <cellStyle name="Normal 16 4 2 3 2 2 4" xfId="19560" xr:uid="{33A95363-37AE-46A2-9327-470C21862BA6}"/>
    <cellStyle name="Normal 16 4 2 3 2 2 5" xfId="19561" xr:uid="{E7AC0E12-4A91-4D61-8A27-F5501D204D1F}"/>
    <cellStyle name="Normal 16 4 2 3 2 3" xfId="19562" xr:uid="{96CB96A3-0CCA-4F8B-A436-DDAC38D3B93F}"/>
    <cellStyle name="Normal 16 4 2 3 2 4" xfId="19563" xr:uid="{8BF0EC34-DB54-4B98-86C5-B11058A094F9}"/>
    <cellStyle name="Normal 16 4 2 3 2 5" xfId="19564" xr:uid="{F408F29F-B12F-493F-96F4-3D7C2D92A396}"/>
    <cellStyle name="Normal 16 4 2 3 2 6" xfId="19565" xr:uid="{BD990EA0-B6D3-4C71-9698-46036D873B46}"/>
    <cellStyle name="Normal 16 4 2 3 3" xfId="19566" xr:uid="{4548C45B-6C64-4FEE-AC93-EC14804ED68D}"/>
    <cellStyle name="Normal 16 4 2 3 3 2" xfId="19567" xr:uid="{D2826045-071A-40CF-8248-5EE2D02C5ACA}"/>
    <cellStyle name="Normal 16 4 2 3 3 2 2" xfId="19568" xr:uid="{46144379-71B5-495E-A016-8B49F102EF57}"/>
    <cellStyle name="Normal 16 4 2 3 3 2 3" xfId="19569" xr:uid="{4D6A179C-E7F2-4242-ACDA-7907550D9776}"/>
    <cellStyle name="Normal 16 4 2 3 3 2 4" xfId="19570" xr:uid="{07E58763-5E16-4E98-BDF8-1A724720ED36}"/>
    <cellStyle name="Normal 16 4 2 3 3 2 5" xfId="19571" xr:uid="{7B2C86A0-C976-4AD0-87D6-ACAD12FC7D14}"/>
    <cellStyle name="Normal 16 4 2 3 3 3" xfId="19572" xr:uid="{3311E7D3-8BFC-4022-8661-A66588D4018D}"/>
    <cellStyle name="Normal 16 4 2 3 3 4" xfId="19573" xr:uid="{832290DF-19F3-489A-B4CF-BF98D6F2831A}"/>
    <cellStyle name="Normal 16 4 2 3 3 5" xfId="19574" xr:uid="{5AFD881B-69A3-4EB7-9A54-066E83019DD6}"/>
    <cellStyle name="Normal 16 4 2 3 3 6" xfId="19575" xr:uid="{98CECC8D-77AA-4D67-BD19-92251718F60C}"/>
    <cellStyle name="Normal 16 4 2 3 4" xfId="19576" xr:uid="{EFB04EE8-146F-4252-985D-06B05BB1875D}"/>
    <cellStyle name="Normal 16 4 2 3 4 2" xfId="19577" xr:uid="{505D15C8-441D-4F8B-8ADF-B94FC8EBEDE7}"/>
    <cellStyle name="Normal 16 4 2 3 4 2 2" xfId="19578" xr:uid="{0241D10F-E013-4D45-817E-CE0ADE6A2B85}"/>
    <cellStyle name="Normal 16 4 2 3 4 2 3" xfId="19579" xr:uid="{97E5E85A-35C6-451D-8731-11C7AEFB3974}"/>
    <cellStyle name="Normal 16 4 2 3 4 2 4" xfId="19580" xr:uid="{FC547AE0-F727-4F12-837B-0DB8CB6270D4}"/>
    <cellStyle name="Normal 16 4 2 3 4 2 5" xfId="19581" xr:uid="{E7036C3E-76F1-483B-8950-578C645845AC}"/>
    <cellStyle name="Normal 16 4 2 3 4 3" xfId="19582" xr:uid="{5F7676C8-08BC-4E99-8B4C-4D66C0AFDB1D}"/>
    <cellStyle name="Normal 16 4 2 3 4 4" xfId="19583" xr:uid="{90898F4A-ABB8-4943-8307-D7506E656815}"/>
    <cellStyle name="Normal 16 4 2 3 4 5" xfId="19584" xr:uid="{4E835D56-E85C-443E-94E3-AA08612C458E}"/>
    <cellStyle name="Normal 16 4 2 3 4 6" xfId="19585" xr:uid="{7B0D0429-6A67-46F8-9E64-02186A573B31}"/>
    <cellStyle name="Normal 16 4 2 3 5" xfId="19586" xr:uid="{5A7D2159-BCD0-4B84-AB0D-C256D7E7B417}"/>
    <cellStyle name="Normal 16 4 2 3 5 2" xfId="19587" xr:uid="{56FEF157-69FA-4C7F-98F9-91B3FD8239BA}"/>
    <cellStyle name="Normal 16 4 2 3 5 3" xfId="19588" xr:uid="{D2FDFF34-53B2-4353-A6E7-286BEEBB929E}"/>
    <cellStyle name="Normal 16 4 2 3 5 4" xfId="19589" xr:uid="{BE893099-22BA-40BA-98F5-F35A9F990B05}"/>
    <cellStyle name="Normal 16 4 2 3 5 5" xfId="19590" xr:uid="{0E11893C-D3D5-4596-9308-2AA9A8147950}"/>
    <cellStyle name="Normal 16 4 2 3 6" xfId="19591" xr:uid="{3B2E04CF-DB38-4659-8B1E-B240C96FF781}"/>
    <cellStyle name="Normal 16 4 2 3 6 2" xfId="19592" xr:uid="{E89668CA-60DE-456E-B4E7-C1B4FC2361EB}"/>
    <cellStyle name="Normal 16 4 2 3 6 3" xfId="19593" xr:uid="{0F954814-E189-4154-9EC2-52F39D7770E8}"/>
    <cellStyle name="Normal 16 4 2 3 6 4" xfId="19594" xr:uid="{C9E0AF07-0DCE-48B4-9975-84F3F1FD609D}"/>
    <cellStyle name="Normal 16 4 2 3 6 5" xfId="19595" xr:uid="{DF4654F7-1BFA-4F1E-8D4C-7B696D311BA8}"/>
    <cellStyle name="Normal 16 4 2 3 7" xfId="19596" xr:uid="{0F9BEBA5-BDCD-461D-BF3C-B2E5FC43637F}"/>
    <cellStyle name="Normal 16 4 2 3 7 2" xfId="19597" xr:uid="{A62219C9-5D69-4E59-AF29-39583A012FA8}"/>
    <cellStyle name="Normal 16 4 2 3 7 3" xfId="19598" xr:uid="{C9069F69-6A8E-4E36-8FAC-3DD134494E5E}"/>
    <cellStyle name="Normal 16 4 2 3 7 4" xfId="19599" xr:uid="{420C42FB-5776-4577-ABCF-371261AEEED8}"/>
    <cellStyle name="Normal 16 4 2 3 7 5" xfId="19600" xr:uid="{D6E100B2-DC8C-47D1-9CBE-B977CEAC3DA0}"/>
    <cellStyle name="Normal 16 4 2 3 8" xfId="19601" xr:uid="{BC58E9EE-C0A0-4BC5-BF34-E3E1816DFCB7}"/>
    <cellStyle name="Normal 16 4 2 3 8 2" xfId="19602" xr:uid="{BF224C68-9F21-4FDA-A65C-D905BF6D655B}"/>
    <cellStyle name="Normal 16 4 2 3 8 3" xfId="19603" xr:uid="{34898D80-C00D-45F7-B0FD-378D3A794D2B}"/>
    <cellStyle name="Normal 16 4 2 3 8 4" xfId="19604" xr:uid="{22061F76-A25B-4997-BB2B-7478402AE9B7}"/>
    <cellStyle name="Normal 16 4 2 3 8 5" xfId="19605" xr:uid="{52177C50-50B8-4E04-AC26-534763A9FBB2}"/>
    <cellStyle name="Normal 16 4 2 3 9" xfId="19606" xr:uid="{BCC18235-22DE-4A64-8DDF-E1E309583D15}"/>
    <cellStyle name="Normal 16 4 2 4" xfId="19607" xr:uid="{63095CF4-B4D9-49A6-92E4-BCD115E12422}"/>
    <cellStyle name="Normal 16 4 2 4 2" xfId="19608" xr:uid="{336EC1C4-0CB0-4060-B4DA-BAF121927E69}"/>
    <cellStyle name="Normal 16 4 2 4 2 2" xfId="19609" xr:uid="{98E5C1DD-CD4B-488A-93FD-F4D8EA860D39}"/>
    <cellStyle name="Normal 16 4 2 4 2 3" xfId="19610" xr:uid="{9F262BF0-72CE-47A2-BA50-7F9957DFE7C7}"/>
    <cellStyle name="Normal 16 4 2 4 2 4" xfId="19611" xr:uid="{DF4E0D84-F096-4874-AD63-D59508E5861A}"/>
    <cellStyle name="Normal 16 4 2 4 2 5" xfId="19612" xr:uid="{183400CE-2B26-4254-888C-44D3D3EDAB49}"/>
    <cellStyle name="Normal 16 4 2 4 3" xfId="19613" xr:uid="{3DF1481A-8033-48C1-996E-1148DEFE7C1F}"/>
    <cellStyle name="Normal 16 4 2 4 4" xfId="19614" xr:uid="{49CE999F-567A-4A03-9FD7-BD4E81A962ED}"/>
    <cellStyle name="Normal 16 4 2 4 5" xfId="19615" xr:uid="{04F33F0F-7ED3-4555-90DA-CBC8CCE793BD}"/>
    <cellStyle name="Normal 16 4 2 4 6" xfId="19616" xr:uid="{94DED217-6F2C-40EC-B54B-1F742B93A961}"/>
    <cellStyle name="Normal 16 4 2 5" xfId="19617" xr:uid="{28FD24BA-A405-42F6-AB5D-163CCAB3A3E4}"/>
    <cellStyle name="Normal 16 4 2 5 2" xfId="19618" xr:uid="{0A83D290-8A11-490F-88E9-4B15715D6E9E}"/>
    <cellStyle name="Normal 16 4 2 5 2 2" xfId="19619" xr:uid="{292772C2-B30A-41B5-8EF8-5C423BE02C66}"/>
    <cellStyle name="Normal 16 4 2 5 2 3" xfId="19620" xr:uid="{32CE7E26-ED96-44EC-B251-BAD0983CAD4F}"/>
    <cellStyle name="Normal 16 4 2 5 2 4" xfId="19621" xr:uid="{6950C939-FFD3-40DC-BBD4-3CBF70FC6AB0}"/>
    <cellStyle name="Normal 16 4 2 5 2 5" xfId="19622" xr:uid="{5C01CBB0-D41D-410B-9739-831E4898AC02}"/>
    <cellStyle name="Normal 16 4 2 5 3" xfId="19623" xr:uid="{4575547F-6102-4B0E-982F-7C2E96D1BF0C}"/>
    <cellStyle name="Normal 16 4 2 5 4" xfId="19624" xr:uid="{3ADE19D5-E90E-403F-8ADD-CE3419651D3A}"/>
    <cellStyle name="Normal 16 4 2 5 5" xfId="19625" xr:uid="{9A756054-9DAD-4D11-8509-67599D99D5AF}"/>
    <cellStyle name="Normal 16 4 2 5 6" xfId="19626" xr:uid="{30EA600D-A408-4D80-B10D-BAF98651F2D3}"/>
    <cellStyle name="Normal 16 4 2 6" xfId="19627" xr:uid="{DACABAA2-EC01-4F3A-8218-E946D196EB5F}"/>
    <cellStyle name="Normal 16 4 2 6 2" xfId="19628" xr:uid="{E5A112F2-0B58-4247-AC9B-E2D0BCD670CA}"/>
    <cellStyle name="Normal 16 4 2 6 2 2" xfId="19629" xr:uid="{45C6ACFD-655D-4389-8F2A-908D41633889}"/>
    <cellStyle name="Normal 16 4 2 6 2 3" xfId="19630" xr:uid="{B610DA37-FA2E-41B7-B7FC-89F78DA1E51E}"/>
    <cellStyle name="Normal 16 4 2 6 2 4" xfId="19631" xr:uid="{74B82F5E-C8CD-42CE-9528-03946DF346A9}"/>
    <cellStyle name="Normal 16 4 2 6 2 5" xfId="19632" xr:uid="{765309A6-AC54-4FB6-802C-E91DFA950DA7}"/>
    <cellStyle name="Normal 16 4 2 6 3" xfId="19633" xr:uid="{A3AE5C33-ADB3-42AB-8CC0-C7A9C2BC40C2}"/>
    <cellStyle name="Normal 16 4 2 6 4" xfId="19634" xr:uid="{C36D6DBF-D408-4381-97FD-6D19A93F779C}"/>
    <cellStyle name="Normal 16 4 2 6 5" xfId="19635" xr:uid="{B30944D2-B269-4535-901C-516F4ED00D35}"/>
    <cellStyle name="Normal 16 4 2 6 6" xfId="19636" xr:uid="{87C91DA9-282D-4369-BF78-FE91D863AC52}"/>
    <cellStyle name="Normal 16 4 2 7" xfId="19637" xr:uid="{3C4945F0-333E-404F-8FF3-493133554EC9}"/>
    <cellStyle name="Normal 16 4 2 7 2" xfId="19638" xr:uid="{E8CC6658-F294-48D8-9724-24FCEA9A504C}"/>
    <cellStyle name="Normal 16 4 2 7 3" xfId="19639" xr:uid="{D965F306-3818-43AE-8D66-ABD288635D1D}"/>
    <cellStyle name="Normal 16 4 2 7 4" xfId="19640" xr:uid="{FFAA2725-11F8-40E7-B5C4-64412EF4AE80}"/>
    <cellStyle name="Normal 16 4 2 7 5" xfId="19641" xr:uid="{AC4D3D7E-61FD-45FD-92C9-54041ECB77D1}"/>
    <cellStyle name="Normal 16 4 2 8" xfId="19642" xr:uid="{4763D47D-640B-428C-BE9B-E2528BCA5FB1}"/>
    <cellStyle name="Normal 16 4 2 8 2" xfId="19643" xr:uid="{D9B86E27-36DC-4A53-B004-BEBF9B1F794B}"/>
    <cellStyle name="Normal 16 4 2 8 3" xfId="19644" xr:uid="{B6C9FA40-B51E-48F2-AAEF-6D6FC5446F99}"/>
    <cellStyle name="Normal 16 4 2 8 4" xfId="19645" xr:uid="{981A1931-D40A-46EF-976D-187DFB4D33ED}"/>
    <cellStyle name="Normal 16 4 2 8 5" xfId="19646" xr:uid="{1064AB41-4344-4BF5-8BB2-D788AD1DBDB0}"/>
    <cellStyle name="Normal 16 4 2 9" xfId="19647" xr:uid="{353F910B-7F0F-43EB-95FF-6B5295FF9F76}"/>
    <cellStyle name="Normal 16 4 2 9 2" xfId="19648" xr:uid="{38DACF6A-92A9-4D47-962D-BD2A66DF20CB}"/>
    <cellStyle name="Normal 16 4 2 9 3" xfId="19649" xr:uid="{5BDEE954-7E9E-48F3-A567-DE4C2F42DC41}"/>
    <cellStyle name="Normal 16 4 2 9 4" xfId="19650" xr:uid="{13C7A90C-C7E8-4440-86C4-CD9690244B1C}"/>
    <cellStyle name="Normal 16 4 2 9 5" xfId="19651" xr:uid="{8552ABF4-6B2D-44C7-BD34-E02F1FEEFA8D}"/>
    <cellStyle name="Normal 16 4 3" xfId="19652" xr:uid="{40A2DD54-41EF-4A43-A21A-5F85DE85A1B7}"/>
    <cellStyle name="Normal 16 4 3 10" xfId="19653" xr:uid="{350479AC-1818-4D1E-90D8-235332AF710D}"/>
    <cellStyle name="Normal 16 4 3 11" xfId="19654" xr:uid="{BEAF3406-E484-426C-BCD3-E5FF0698294A}"/>
    <cellStyle name="Normal 16 4 3 12" xfId="19655" xr:uid="{56D58032-977E-4793-9675-6AE5AF169664}"/>
    <cellStyle name="Normal 16 4 3 13" xfId="19656" xr:uid="{AE57C021-A8BB-4D4F-B699-7D097501A0A5}"/>
    <cellStyle name="Normal 16 4 3 2" xfId="19657" xr:uid="{40BC82D5-9975-4F67-A099-EDD6D5657B45}"/>
    <cellStyle name="Normal 16 4 3 2 10" xfId="19658" xr:uid="{792D6B96-A5CD-4C06-AF9A-66630454AD08}"/>
    <cellStyle name="Normal 16 4 3 2 11" xfId="19659" xr:uid="{CB5824D8-9885-41E2-9A60-AB9142E72117}"/>
    <cellStyle name="Normal 16 4 3 2 12" xfId="19660" xr:uid="{99F21FF0-2565-4FAA-BEB4-CF4AE6D7C829}"/>
    <cellStyle name="Normal 16 4 3 2 2" xfId="19661" xr:uid="{004B12BC-EC4E-463F-8E70-3A93D2C8875A}"/>
    <cellStyle name="Normal 16 4 3 2 2 2" xfId="19662" xr:uid="{F3799866-2D65-432B-9A54-716EB351FB52}"/>
    <cellStyle name="Normal 16 4 3 2 2 2 2" xfId="19663" xr:uid="{A33CAEEF-2307-4FF5-A67D-BE7F62076FE7}"/>
    <cellStyle name="Normal 16 4 3 2 2 2 3" xfId="19664" xr:uid="{3D798C6B-1300-4DD6-A900-1CCE1E5B5AD9}"/>
    <cellStyle name="Normal 16 4 3 2 2 2 4" xfId="19665" xr:uid="{492138CE-6EF4-4F08-BF9E-B4BA5CD875E6}"/>
    <cellStyle name="Normal 16 4 3 2 2 2 5" xfId="19666" xr:uid="{8C15B529-7A44-45D4-964C-E12BDCB4575B}"/>
    <cellStyle name="Normal 16 4 3 2 2 3" xfId="19667" xr:uid="{8B3B617E-1DB7-4084-B4C6-36D1D2F91206}"/>
    <cellStyle name="Normal 16 4 3 2 2 4" xfId="19668" xr:uid="{BB0C8852-63E3-47E7-B94B-6AA19AB9FC5B}"/>
    <cellStyle name="Normal 16 4 3 2 2 5" xfId="19669" xr:uid="{1AB703CD-D791-4F9F-A531-2D3377668A7A}"/>
    <cellStyle name="Normal 16 4 3 2 2 6" xfId="19670" xr:uid="{26876CF0-DB01-4BFD-BF42-85E8AE48CFE4}"/>
    <cellStyle name="Normal 16 4 3 2 3" xfId="19671" xr:uid="{9BB496C4-2C95-4BAA-8838-7DDBF9A81FA5}"/>
    <cellStyle name="Normal 16 4 3 2 3 2" xfId="19672" xr:uid="{29974FB9-4271-4BD3-BE98-FC988605C52E}"/>
    <cellStyle name="Normal 16 4 3 2 3 2 2" xfId="19673" xr:uid="{8547BB5D-DB79-437B-AE26-C4FA06EFB377}"/>
    <cellStyle name="Normal 16 4 3 2 3 2 3" xfId="19674" xr:uid="{22DCDD8E-C432-4DD0-83EF-A80C1EBBC80B}"/>
    <cellStyle name="Normal 16 4 3 2 3 2 4" xfId="19675" xr:uid="{499FCACC-D1CA-4B14-B8EC-F97D12D7A27B}"/>
    <cellStyle name="Normal 16 4 3 2 3 2 5" xfId="19676" xr:uid="{B88F519E-02B1-4116-A84A-FD602E8BDDAB}"/>
    <cellStyle name="Normal 16 4 3 2 3 3" xfId="19677" xr:uid="{CA78A498-7778-431C-9743-0852D092B0A9}"/>
    <cellStyle name="Normal 16 4 3 2 3 4" xfId="19678" xr:uid="{3D130CF6-BA62-485C-A56F-D1E738568448}"/>
    <cellStyle name="Normal 16 4 3 2 3 5" xfId="19679" xr:uid="{57886CA8-DBC8-4D6D-BA8A-F8A4286DC30B}"/>
    <cellStyle name="Normal 16 4 3 2 3 6" xfId="19680" xr:uid="{9A50F796-F577-4732-A2EC-8D7513577997}"/>
    <cellStyle name="Normal 16 4 3 2 4" xfId="19681" xr:uid="{A04DDDD2-C4A0-4423-BD9A-E6E01ABBF378}"/>
    <cellStyle name="Normal 16 4 3 2 4 2" xfId="19682" xr:uid="{D5E225DA-0EB8-46FC-A25E-F93C385E1978}"/>
    <cellStyle name="Normal 16 4 3 2 4 2 2" xfId="19683" xr:uid="{D592B0F3-E494-46F1-A6FF-94A99B0E01D5}"/>
    <cellStyle name="Normal 16 4 3 2 4 2 3" xfId="19684" xr:uid="{F45F3736-A05C-4AB2-AFCD-09A5FDB884BE}"/>
    <cellStyle name="Normal 16 4 3 2 4 2 4" xfId="19685" xr:uid="{1BAD8CAA-0A60-4010-A5DF-097A49A688C2}"/>
    <cellStyle name="Normal 16 4 3 2 4 2 5" xfId="19686" xr:uid="{83E5B2AC-2934-4F6F-B1D4-09F86B0D2E83}"/>
    <cellStyle name="Normal 16 4 3 2 4 3" xfId="19687" xr:uid="{4BD42A85-6FED-4605-B7BE-893E9CE4BFAD}"/>
    <cellStyle name="Normal 16 4 3 2 4 4" xfId="19688" xr:uid="{33B9E55B-81CF-435F-B5F4-97CF0FCA27B1}"/>
    <cellStyle name="Normal 16 4 3 2 4 5" xfId="19689" xr:uid="{813754D7-480C-470E-8D64-2C9D6E29E465}"/>
    <cellStyle name="Normal 16 4 3 2 4 6" xfId="19690" xr:uid="{A185EC73-C019-4E2F-9507-96BD1A203BD9}"/>
    <cellStyle name="Normal 16 4 3 2 5" xfId="19691" xr:uid="{E05C70ED-008E-42C4-BEB2-171E489B5572}"/>
    <cellStyle name="Normal 16 4 3 2 5 2" xfId="19692" xr:uid="{3DC836A7-0F3F-4557-9C02-037855FE84DF}"/>
    <cellStyle name="Normal 16 4 3 2 5 3" xfId="19693" xr:uid="{E8BDB1FF-1154-4A8C-A9D9-372981286F57}"/>
    <cellStyle name="Normal 16 4 3 2 5 4" xfId="19694" xr:uid="{18257E43-1CFD-4BFD-8AC6-B35A7A7E1106}"/>
    <cellStyle name="Normal 16 4 3 2 5 5" xfId="19695" xr:uid="{4844B6FF-2E60-418E-82B7-14524D32ED8D}"/>
    <cellStyle name="Normal 16 4 3 2 6" xfId="19696" xr:uid="{7A044372-41CC-499C-87C5-D27C5D947081}"/>
    <cellStyle name="Normal 16 4 3 2 6 2" xfId="19697" xr:uid="{C6969BF4-6A89-45AE-8DE7-830DA04CC00D}"/>
    <cellStyle name="Normal 16 4 3 2 6 3" xfId="19698" xr:uid="{6FE70EEC-D363-4641-8105-192685D61F0B}"/>
    <cellStyle name="Normal 16 4 3 2 6 4" xfId="19699" xr:uid="{01D25BAE-4917-4877-9DFF-BA936CDE6B34}"/>
    <cellStyle name="Normal 16 4 3 2 6 5" xfId="19700" xr:uid="{3BE9931C-0B3B-4ECA-9BC8-580D947E49FF}"/>
    <cellStyle name="Normal 16 4 3 2 7" xfId="19701" xr:uid="{4448E4BF-F77E-46FD-A3E3-AB4F3D1C2C45}"/>
    <cellStyle name="Normal 16 4 3 2 7 2" xfId="19702" xr:uid="{BAB8D383-A544-466B-8DC9-DBE82C1956BC}"/>
    <cellStyle name="Normal 16 4 3 2 7 3" xfId="19703" xr:uid="{A3D60128-B431-4EED-B5FD-119C4BB5A81F}"/>
    <cellStyle name="Normal 16 4 3 2 7 4" xfId="19704" xr:uid="{2F8AF33D-DC7B-4536-8412-766D1B11968F}"/>
    <cellStyle name="Normal 16 4 3 2 7 5" xfId="19705" xr:uid="{1826811E-102E-4A13-847E-3891F59ABBC1}"/>
    <cellStyle name="Normal 16 4 3 2 8" xfId="19706" xr:uid="{B4DE18B1-ADB4-45AD-8973-1BE22DD93394}"/>
    <cellStyle name="Normal 16 4 3 2 8 2" xfId="19707" xr:uid="{3BFA2A94-4E3C-40AF-AC10-2CBF73C06528}"/>
    <cellStyle name="Normal 16 4 3 2 8 3" xfId="19708" xr:uid="{12B4D8B1-F762-427D-B705-657DD89C7F81}"/>
    <cellStyle name="Normal 16 4 3 2 8 4" xfId="19709" xr:uid="{AB1B2BBD-CB2D-4D45-A079-F2D571014459}"/>
    <cellStyle name="Normal 16 4 3 2 8 5" xfId="19710" xr:uid="{0665B630-76C1-4D0F-8E3E-CEA08E11685B}"/>
    <cellStyle name="Normal 16 4 3 2 9" xfId="19711" xr:uid="{7FDD80BA-6CDF-400A-B1E3-C2E2A7757EAD}"/>
    <cellStyle name="Normal 16 4 3 3" xfId="19712" xr:uid="{B01066E4-EC81-4D58-82F9-1BDDB13C72B2}"/>
    <cellStyle name="Normal 16 4 3 3 2" xfId="19713" xr:uid="{AB1650B7-8EBE-4ED6-9954-8B3BEEB937C7}"/>
    <cellStyle name="Normal 16 4 3 3 2 2" xfId="19714" xr:uid="{B30EA77B-E680-4214-8533-6CEC96EBDABE}"/>
    <cellStyle name="Normal 16 4 3 3 2 3" xfId="19715" xr:uid="{F1908B44-5537-49AA-A41E-D4099075BB61}"/>
    <cellStyle name="Normal 16 4 3 3 2 4" xfId="19716" xr:uid="{4E6A41A9-C795-48F7-9F91-3670D4746207}"/>
    <cellStyle name="Normal 16 4 3 3 2 5" xfId="19717" xr:uid="{E7AD8CB4-956C-499F-8791-E5045962135B}"/>
    <cellStyle name="Normal 16 4 3 3 3" xfId="19718" xr:uid="{97FB5D67-0D09-4222-BF55-8F9AB7928566}"/>
    <cellStyle name="Normal 16 4 3 3 4" xfId="19719" xr:uid="{B5D41EC7-F19B-4137-9E52-E13A922797A8}"/>
    <cellStyle name="Normal 16 4 3 3 5" xfId="19720" xr:uid="{3DDF1D9D-EC2B-4602-83AB-CAF1C963B15E}"/>
    <cellStyle name="Normal 16 4 3 3 6" xfId="19721" xr:uid="{1C877279-91BE-4C4F-B797-CC2B578E9AC8}"/>
    <cellStyle name="Normal 16 4 3 4" xfId="19722" xr:uid="{44752C34-3F03-469E-ABCC-B4C7DA489B81}"/>
    <cellStyle name="Normal 16 4 3 4 2" xfId="19723" xr:uid="{D7F1B891-ED4B-470B-AA9B-BBA84FEF6E25}"/>
    <cellStyle name="Normal 16 4 3 4 2 2" xfId="19724" xr:uid="{F5E58A2E-9E0A-4FCF-ACB5-6F91B184C8E9}"/>
    <cellStyle name="Normal 16 4 3 4 2 3" xfId="19725" xr:uid="{79766E15-45AF-4352-BC45-24E3C1899A48}"/>
    <cellStyle name="Normal 16 4 3 4 2 4" xfId="19726" xr:uid="{5B079E25-F515-41FE-9B4B-AB061357CC71}"/>
    <cellStyle name="Normal 16 4 3 4 2 5" xfId="19727" xr:uid="{BEE5451C-41E2-4CAE-8A61-E7F135D753BD}"/>
    <cellStyle name="Normal 16 4 3 4 3" xfId="19728" xr:uid="{8BCF6266-E24C-4056-9EFE-4CC2F49E78B8}"/>
    <cellStyle name="Normal 16 4 3 4 4" xfId="19729" xr:uid="{4B54ADF0-FD40-4A2C-9FF3-48FEA05569D4}"/>
    <cellStyle name="Normal 16 4 3 4 5" xfId="19730" xr:uid="{A53CD44C-1002-462B-9093-C8EB00456E8C}"/>
    <cellStyle name="Normal 16 4 3 4 6" xfId="19731" xr:uid="{67F8B19F-BED6-444E-836E-D043D4F5C181}"/>
    <cellStyle name="Normal 16 4 3 5" xfId="19732" xr:uid="{1618B4DB-45E5-4924-A4DF-9645CC6FEB69}"/>
    <cellStyle name="Normal 16 4 3 5 2" xfId="19733" xr:uid="{FFEF8E54-A139-4A00-A6E4-C02B8D65C5D3}"/>
    <cellStyle name="Normal 16 4 3 5 2 2" xfId="19734" xr:uid="{CA382D1E-4FB0-424C-816E-74C788D50509}"/>
    <cellStyle name="Normal 16 4 3 5 2 3" xfId="19735" xr:uid="{8A663787-B74E-4F03-B01E-AB1219E18606}"/>
    <cellStyle name="Normal 16 4 3 5 2 4" xfId="19736" xr:uid="{9DD45C78-B0A1-4A12-B816-792A00990966}"/>
    <cellStyle name="Normal 16 4 3 5 2 5" xfId="19737" xr:uid="{1D849688-B83F-4600-8E87-B4E42B697057}"/>
    <cellStyle name="Normal 16 4 3 5 3" xfId="19738" xr:uid="{40D73F68-919B-442F-8134-48611EE8DB7F}"/>
    <cellStyle name="Normal 16 4 3 5 4" xfId="19739" xr:uid="{BEDD1E45-D4E3-45BC-AB41-79E399E1ED06}"/>
    <cellStyle name="Normal 16 4 3 5 5" xfId="19740" xr:uid="{56B8EDFA-B936-47FC-9760-A51E71210AF5}"/>
    <cellStyle name="Normal 16 4 3 5 6" xfId="19741" xr:uid="{0E0F4C21-C567-494D-B065-2D06F1BB74CD}"/>
    <cellStyle name="Normal 16 4 3 6" xfId="19742" xr:uid="{06BCA8FE-AF62-4705-8806-3DA263E49305}"/>
    <cellStyle name="Normal 16 4 3 6 2" xfId="19743" xr:uid="{EC31EBA3-1CB8-4D00-A655-F549710DB081}"/>
    <cellStyle name="Normal 16 4 3 6 3" xfId="19744" xr:uid="{7FA4C393-D690-4479-B58E-29F2322AAA1A}"/>
    <cellStyle name="Normal 16 4 3 6 4" xfId="19745" xr:uid="{54D417B3-CB6E-4ACE-953F-86BA23D1E34C}"/>
    <cellStyle name="Normal 16 4 3 6 5" xfId="19746" xr:uid="{29A122F3-C003-482E-9304-5B637D51B960}"/>
    <cellStyle name="Normal 16 4 3 7" xfId="19747" xr:uid="{BE8E59F9-251B-414A-8768-F1B52EF59AC7}"/>
    <cellStyle name="Normal 16 4 3 7 2" xfId="19748" xr:uid="{BA5C3116-C894-4515-8F96-0253BD1FCFEC}"/>
    <cellStyle name="Normal 16 4 3 7 3" xfId="19749" xr:uid="{16BFDF80-8E22-4BAC-8E86-E57C1A5570B3}"/>
    <cellStyle name="Normal 16 4 3 7 4" xfId="19750" xr:uid="{05D638F2-228F-407E-8810-6DDA65F308DD}"/>
    <cellStyle name="Normal 16 4 3 7 5" xfId="19751" xr:uid="{96A51E7C-187C-484D-91DF-EE82E9AD59D0}"/>
    <cellStyle name="Normal 16 4 3 8" xfId="19752" xr:uid="{E9496217-38DC-491E-92AA-C8ED1ED4A196}"/>
    <cellStyle name="Normal 16 4 3 8 2" xfId="19753" xr:uid="{44C44FDD-625C-45FD-85E8-EA2A3968E9E7}"/>
    <cellStyle name="Normal 16 4 3 8 3" xfId="19754" xr:uid="{C1369EC3-D77D-4F5D-97DA-3550CE3500F2}"/>
    <cellStyle name="Normal 16 4 3 8 4" xfId="19755" xr:uid="{B5EEB868-0047-40E9-9C73-5070C3E38F92}"/>
    <cellStyle name="Normal 16 4 3 8 5" xfId="19756" xr:uid="{3E12650E-118B-4350-9717-2435B8ECB76D}"/>
    <cellStyle name="Normal 16 4 3 9" xfId="19757" xr:uid="{9E17B985-8269-45D4-9A2B-BE4A073D3938}"/>
    <cellStyle name="Normal 16 4 3 9 2" xfId="19758" xr:uid="{F6C7471B-581A-413A-880F-F5DE67CBF0B1}"/>
    <cellStyle name="Normal 16 4 3 9 3" xfId="19759" xr:uid="{585C5A3E-83D2-4A45-A10B-72AE3F4AE9BD}"/>
    <cellStyle name="Normal 16 4 3 9 4" xfId="19760" xr:uid="{B1C95F1A-2F23-4C78-97F7-1AE0A8E2DA25}"/>
    <cellStyle name="Normal 16 4 3 9 5" xfId="19761" xr:uid="{A8D92B33-DA22-45E4-97B8-3930EE7EA8BA}"/>
    <cellStyle name="Normal 16 4 4" xfId="19762" xr:uid="{167EF95E-F27E-430E-899E-0B423E09E8F3}"/>
    <cellStyle name="Normal 16 4 4 10" xfId="19763" xr:uid="{A67DB54E-0F6A-429B-B748-2AEB1097903B}"/>
    <cellStyle name="Normal 16 4 4 11" xfId="19764" xr:uid="{2C8D3C22-8374-4337-8235-CBB7A530CAAE}"/>
    <cellStyle name="Normal 16 4 4 12" xfId="19765" xr:uid="{82883DEB-2E0B-4FBB-8507-D9A3BC709CAE}"/>
    <cellStyle name="Normal 16 4 4 2" xfId="19766" xr:uid="{C1AB4E5C-9539-44BA-BB4F-4C2ADC197F92}"/>
    <cellStyle name="Normal 16 4 4 2 2" xfId="19767" xr:uid="{9BD074DA-BEA0-48F6-88C8-7620E696BDF5}"/>
    <cellStyle name="Normal 16 4 4 2 2 2" xfId="19768" xr:uid="{C3114310-BB62-48A6-931B-C8130763822C}"/>
    <cellStyle name="Normal 16 4 4 2 2 3" xfId="19769" xr:uid="{FC9F6526-386F-4FF9-B7F9-ED91744680FF}"/>
    <cellStyle name="Normal 16 4 4 2 2 4" xfId="19770" xr:uid="{65F056F5-09C5-44D3-B0C6-F37A86D4B684}"/>
    <cellStyle name="Normal 16 4 4 2 2 5" xfId="19771" xr:uid="{FE84BFF4-E43F-48C7-BC69-4E02EE2E4F92}"/>
    <cellStyle name="Normal 16 4 4 2 3" xfId="19772" xr:uid="{0B685D92-00B2-45F5-9B75-BB07D448E6F1}"/>
    <cellStyle name="Normal 16 4 4 2 4" xfId="19773" xr:uid="{9D029C7F-9D40-4680-A626-F5DDEC715AD5}"/>
    <cellStyle name="Normal 16 4 4 2 5" xfId="19774" xr:uid="{0B9C6DA0-B7F8-4A37-82E0-6D7B476A29C2}"/>
    <cellStyle name="Normal 16 4 4 2 6" xfId="19775" xr:uid="{6A3F5ECC-B5D7-4F06-A2BE-57665A8CC12E}"/>
    <cellStyle name="Normal 16 4 4 3" xfId="19776" xr:uid="{8ED9DB18-3EB5-4CE9-ADF4-FB713F245F0B}"/>
    <cellStyle name="Normal 16 4 4 3 2" xfId="19777" xr:uid="{F1FBEE74-D733-4437-B7AE-D600B08BB10C}"/>
    <cellStyle name="Normal 16 4 4 3 2 2" xfId="19778" xr:uid="{106DA3C7-8CC8-4834-B5F9-15630F464A48}"/>
    <cellStyle name="Normal 16 4 4 3 2 3" xfId="19779" xr:uid="{40FE0C80-4B51-4486-974C-B2A91916D255}"/>
    <cellStyle name="Normal 16 4 4 3 2 4" xfId="19780" xr:uid="{94176820-DFDE-48A2-953B-29BBE3BCDA74}"/>
    <cellStyle name="Normal 16 4 4 3 2 5" xfId="19781" xr:uid="{AB28C3A9-9C5D-496F-91BD-7D86904312C9}"/>
    <cellStyle name="Normal 16 4 4 3 3" xfId="19782" xr:uid="{639D31C5-9BBA-4EEF-8755-48D9146A9C0C}"/>
    <cellStyle name="Normal 16 4 4 3 4" xfId="19783" xr:uid="{C6F26F09-D868-4BC4-977B-71060180EC4C}"/>
    <cellStyle name="Normal 16 4 4 3 5" xfId="19784" xr:uid="{E5EDBCCE-985D-49B0-88C3-3F88FF4DF394}"/>
    <cellStyle name="Normal 16 4 4 3 6" xfId="19785" xr:uid="{3728CFE2-53B8-405C-B18D-47AFBF8AF6EC}"/>
    <cellStyle name="Normal 16 4 4 4" xfId="19786" xr:uid="{90D4CDAE-D74A-4EF5-BA31-C72B5C99A54F}"/>
    <cellStyle name="Normal 16 4 4 4 2" xfId="19787" xr:uid="{3DF44FDE-0AAB-4456-8BB1-0F6C6BBCCF44}"/>
    <cellStyle name="Normal 16 4 4 4 2 2" xfId="19788" xr:uid="{DDE80EBF-AF4A-4413-9E70-F7FED8F3C3E7}"/>
    <cellStyle name="Normal 16 4 4 4 2 3" xfId="19789" xr:uid="{51C71E8C-D52B-4843-9CED-5BD456213F3B}"/>
    <cellStyle name="Normal 16 4 4 4 2 4" xfId="19790" xr:uid="{91BBCAC5-3828-412C-9DA7-02D588606E14}"/>
    <cellStyle name="Normal 16 4 4 4 2 5" xfId="19791" xr:uid="{D1F59B43-CDB0-48D7-9F9E-45A3BF2EA909}"/>
    <cellStyle name="Normal 16 4 4 4 3" xfId="19792" xr:uid="{0AB527B2-8D0C-4200-AC52-4037D9CBF9C1}"/>
    <cellStyle name="Normal 16 4 4 4 4" xfId="19793" xr:uid="{1239DF06-44C4-4982-B6A6-63B97AD9C65B}"/>
    <cellStyle name="Normal 16 4 4 4 5" xfId="19794" xr:uid="{14C8C894-4BFC-44FE-A183-0D194450D464}"/>
    <cellStyle name="Normal 16 4 4 4 6" xfId="19795" xr:uid="{3C2AD040-9678-4EBA-8696-43D79BBB1F55}"/>
    <cellStyle name="Normal 16 4 4 5" xfId="19796" xr:uid="{27E919C2-6A5D-42D2-895E-6E24E0B5CA38}"/>
    <cellStyle name="Normal 16 4 4 5 2" xfId="19797" xr:uid="{349B904A-0AC1-475A-93DC-0C6BE71690EE}"/>
    <cellStyle name="Normal 16 4 4 5 3" xfId="19798" xr:uid="{EE7ABCE1-4EE3-4200-85A8-80FF94EFB15D}"/>
    <cellStyle name="Normal 16 4 4 5 4" xfId="19799" xr:uid="{20C9C5E1-D9E1-4B44-992D-0936C046FDBA}"/>
    <cellStyle name="Normal 16 4 4 5 5" xfId="19800" xr:uid="{6EB5359D-D925-4083-A616-70A7E98952FE}"/>
    <cellStyle name="Normal 16 4 4 6" xfId="19801" xr:uid="{DFF1D31D-B6BD-4F3D-9DA7-9FEE4F56362D}"/>
    <cellStyle name="Normal 16 4 4 6 2" xfId="19802" xr:uid="{8F488F80-603E-4C13-AB8D-D2684F59D5C2}"/>
    <cellStyle name="Normal 16 4 4 6 3" xfId="19803" xr:uid="{998DF2E4-FF94-42C1-94C7-91F1B2F817A6}"/>
    <cellStyle name="Normal 16 4 4 6 4" xfId="19804" xr:uid="{6D0B0725-F439-4F2E-A906-299020749100}"/>
    <cellStyle name="Normal 16 4 4 6 5" xfId="19805" xr:uid="{92144A59-969B-4CD1-B77D-C6DEDE0F7B3A}"/>
    <cellStyle name="Normal 16 4 4 7" xfId="19806" xr:uid="{89D065B7-C4C1-448B-AB92-9FCA69873D0D}"/>
    <cellStyle name="Normal 16 4 4 7 2" xfId="19807" xr:uid="{A10518A9-CA55-4037-8E60-BC11C649441F}"/>
    <cellStyle name="Normal 16 4 4 7 3" xfId="19808" xr:uid="{E8676A5F-B5B6-4107-9BF4-70A4DD50B20D}"/>
    <cellStyle name="Normal 16 4 4 7 4" xfId="19809" xr:uid="{09184542-A272-4DA7-A5D9-D94C0AC7DD69}"/>
    <cellStyle name="Normal 16 4 4 7 5" xfId="19810" xr:uid="{BE9137F6-64E5-425E-8D4E-C2E79F071579}"/>
    <cellStyle name="Normal 16 4 4 8" xfId="19811" xr:uid="{BEACB838-AFD4-4AC0-BB11-AD591EEC4C2C}"/>
    <cellStyle name="Normal 16 4 4 8 2" xfId="19812" xr:uid="{498776C7-C199-455E-A1A5-66C166965C68}"/>
    <cellStyle name="Normal 16 4 4 8 3" xfId="19813" xr:uid="{07B74155-1CAA-4621-A5EF-585BD05F0955}"/>
    <cellStyle name="Normal 16 4 4 8 4" xfId="19814" xr:uid="{C0074198-C4DC-4020-8C87-C9BF19C77E82}"/>
    <cellStyle name="Normal 16 4 4 8 5" xfId="19815" xr:uid="{C52DAA3E-1936-4571-BBF1-7462B7680391}"/>
    <cellStyle name="Normal 16 4 4 9" xfId="19816" xr:uid="{E7016332-F33C-4233-9801-D453898993EB}"/>
    <cellStyle name="Normal 16 4 5" xfId="19817" xr:uid="{19C839D0-60CD-427B-AFAE-C9A238A5086E}"/>
    <cellStyle name="Normal 16 4 5 2" xfId="19818" xr:uid="{D16D2C5A-1872-46F0-AD73-502591A708DE}"/>
    <cellStyle name="Normal 16 4 5 2 2" xfId="19819" xr:uid="{E5F941A7-0123-4CC3-9C8F-E606B9BA3D96}"/>
    <cellStyle name="Normal 16 4 5 2 3" xfId="19820" xr:uid="{3C6C3C0B-4E8A-40CE-B841-F8DE603A6FD7}"/>
    <cellStyle name="Normal 16 4 5 2 4" xfId="19821" xr:uid="{3FC4DBAD-0B25-4D59-B02E-DCF1240F7BDD}"/>
    <cellStyle name="Normal 16 4 5 2 5" xfId="19822" xr:uid="{105FEE51-4B57-49F9-A664-9E7C88D740F7}"/>
    <cellStyle name="Normal 16 4 5 3" xfId="19823" xr:uid="{46E3A5A6-6CAC-411B-917A-45B068D301FB}"/>
    <cellStyle name="Normal 16 4 5 4" xfId="19824" xr:uid="{899283BA-57C4-4237-88C4-87B9E80D12BD}"/>
    <cellStyle name="Normal 16 4 5 5" xfId="19825" xr:uid="{822DE4A3-3262-4FDD-8FC3-485B4745959C}"/>
    <cellStyle name="Normal 16 4 5 6" xfId="19826" xr:uid="{04EC13B5-7910-4CFF-A6C8-67DE84E090CF}"/>
    <cellStyle name="Normal 16 4 6" xfId="19827" xr:uid="{4749DA0C-8A4D-4740-9F8E-CD6761978308}"/>
    <cellStyle name="Normal 16 4 6 2" xfId="19828" xr:uid="{6FB19CF0-B4A5-4D00-B470-3DD817598836}"/>
    <cellStyle name="Normal 16 4 6 2 2" xfId="19829" xr:uid="{51AA2FAB-64F3-4FF4-B730-9317E9A80482}"/>
    <cellStyle name="Normal 16 4 6 2 3" xfId="19830" xr:uid="{FA69417A-8EF7-425B-BCE2-F1CEA81E66E0}"/>
    <cellStyle name="Normal 16 4 6 2 4" xfId="19831" xr:uid="{2DB00516-EC38-4363-B67B-E687E1E7A9D6}"/>
    <cellStyle name="Normal 16 4 6 2 5" xfId="19832" xr:uid="{68EB0F4F-E10A-4C91-B6F3-346347B10E2F}"/>
    <cellStyle name="Normal 16 4 6 3" xfId="19833" xr:uid="{13EEFF29-F8D4-4D43-A0AE-216363969487}"/>
    <cellStyle name="Normal 16 4 6 4" xfId="19834" xr:uid="{83FEE0AC-EFCC-4D3C-9B0B-E35EF9BF9DAE}"/>
    <cellStyle name="Normal 16 4 6 5" xfId="19835" xr:uid="{207C359F-52BB-4E92-B0F6-816F60C3C6AC}"/>
    <cellStyle name="Normal 16 4 6 6" xfId="19836" xr:uid="{7BB54055-C7FA-492D-AB20-8C23D309A776}"/>
    <cellStyle name="Normal 16 4 7" xfId="19837" xr:uid="{32A3B7B3-E68E-4920-8902-F0AF944CDEBB}"/>
    <cellStyle name="Normal 16 4 7 2" xfId="19838" xr:uid="{BAAF6956-7D6E-4A0F-9ED2-893B503C64C1}"/>
    <cellStyle name="Normal 16 4 7 2 2" xfId="19839" xr:uid="{6139AA27-D89D-486F-AB3C-587379CCCD06}"/>
    <cellStyle name="Normal 16 4 7 2 3" xfId="19840" xr:uid="{1547A25B-EE4C-4535-A370-0537D77DCA02}"/>
    <cellStyle name="Normal 16 4 7 2 4" xfId="19841" xr:uid="{EE8974F2-CE76-43A0-B7A8-73D05084D97B}"/>
    <cellStyle name="Normal 16 4 7 2 5" xfId="19842" xr:uid="{14F2579B-3F8A-4F0E-B12D-EEBD93FEE08E}"/>
    <cellStyle name="Normal 16 4 7 3" xfId="19843" xr:uid="{D7E84604-92DC-4595-B278-7D4B1A886AB2}"/>
    <cellStyle name="Normal 16 4 7 4" xfId="19844" xr:uid="{43B24630-0273-43DF-908F-1B701F3C83DC}"/>
    <cellStyle name="Normal 16 4 7 5" xfId="19845" xr:uid="{8159BCE2-6850-446B-A17F-ACDBBA43CB92}"/>
    <cellStyle name="Normal 16 4 7 6" xfId="19846" xr:uid="{C51BF264-5134-4E40-A8CF-0918C5B5A863}"/>
    <cellStyle name="Normal 16 4 8" xfId="19847" xr:uid="{E0F3F0E3-B85E-4A97-AAB3-5572B00E8EB8}"/>
    <cellStyle name="Normal 16 4 8 2" xfId="19848" xr:uid="{016191A1-1AF4-4E3A-8449-1836AA60D663}"/>
    <cellStyle name="Normal 16 4 8 3" xfId="19849" xr:uid="{0DB37AD5-666F-4E5A-8FDA-25641A344C3F}"/>
    <cellStyle name="Normal 16 4 8 4" xfId="19850" xr:uid="{A0433A4C-D0F9-46F6-9E1E-7081A2487981}"/>
    <cellStyle name="Normal 16 4 8 5" xfId="19851" xr:uid="{7A348C36-69C6-4F96-A5C5-55D3E0C1E690}"/>
    <cellStyle name="Normal 16 4 9" xfId="19852" xr:uid="{D780C213-B86E-4CE5-9F85-D1082261DFB6}"/>
    <cellStyle name="Normal 16 4 9 2" xfId="19853" xr:uid="{0DAAEF83-9A83-48C1-BA81-7F322D71A07C}"/>
    <cellStyle name="Normal 16 4 9 3" xfId="19854" xr:uid="{D5CD2C97-8E04-49F3-B127-5160E616EB35}"/>
    <cellStyle name="Normal 16 4 9 4" xfId="19855" xr:uid="{74E8679E-1498-492B-89A2-DBE274FE86C4}"/>
    <cellStyle name="Normal 16 4 9 5" xfId="19856" xr:uid="{91D6EF63-05EF-477D-AAA1-E57D29750C8A}"/>
    <cellStyle name="Normal 16 5" xfId="19857" xr:uid="{69D18BC8-D44F-4CD0-B2B9-C5B5CEA38589}"/>
    <cellStyle name="Normal 16 5 10" xfId="19858" xr:uid="{AFD43048-3810-4F9F-A39F-3CF5E233FFA0}"/>
    <cellStyle name="Normal 16 5 10 2" xfId="19859" xr:uid="{E0F41165-3779-4C1C-84D8-9ABAC05927DA}"/>
    <cellStyle name="Normal 16 5 10 3" xfId="19860" xr:uid="{5EA1FFE7-A452-4397-9BC0-C4E1C9013829}"/>
    <cellStyle name="Normal 16 5 10 4" xfId="19861" xr:uid="{23DC3A7D-CD0F-403F-BA64-1341944C8BC8}"/>
    <cellStyle name="Normal 16 5 10 5" xfId="19862" xr:uid="{72258F45-311F-4116-97A4-62C3DF9927A8}"/>
    <cellStyle name="Normal 16 5 11" xfId="19863" xr:uid="{9C273902-2D35-41F1-8902-4B6FA09A0381}"/>
    <cellStyle name="Normal 16 5 11 2" xfId="19864" xr:uid="{1C35283B-A979-490C-B82E-000B39406EBF}"/>
    <cellStyle name="Normal 16 5 11 3" xfId="19865" xr:uid="{B58C886E-2096-4E2F-A682-214AEB4521DC}"/>
    <cellStyle name="Normal 16 5 11 4" xfId="19866" xr:uid="{98E07544-BEBE-42C5-9A40-E3B59BF065B4}"/>
    <cellStyle name="Normal 16 5 11 5" xfId="19867" xr:uid="{F78F9CB9-F476-41D6-B5C7-1050B4AC35EC}"/>
    <cellStyle name="Normal 16 5 12" xfId="19868" xr:uid="{B16FC007-2E29-40B9-9A76-CF3E6033DC58}"/>
    <cellStyle name="Normal 16 5 13" xfId="19869" xr:uid="{A5441AC3-7F54-412C-A410-1DD92C4A5C5C}"/>
    <cellStyle name="Normal 16 5 14" xfId="19870" xr:uid="{645089A4-B938-4C2C-9C09-86379595FA52}"/>
    <cellStyle name="Normal 16 5 15" xfId="19871" xr:uid="{99831212-B020-4B07-819E-CA816EEB60DE}"/>
    <cellStyle name="Normal 16 5 2" xfId="19872" xr:uid="{E4D34E98-5A2B-4799-82BA-61F3969B9902}"/>
    <cellStyle name="Normal 16 5 2 10" xfId="19873" xr:uid="{F72658FC-5EE3-49B2-8F90-7248CD4AA5C7}"/>
    <cellStyle name="Normal 16 5 2 10 2" xfId="19874" xr:uid="{5E729BF5-3A0C-425A-832A-19398639C29E}"/>
    <cellStyle name="Normal 16 5 2 10 3" xfId="19875" xr:uid="{D5DA4476-86F2-4CEC-95B3-04F869C8511E}"/>
    <cellStyle name="Normal 16 5 2 10 4" xfId="19876" xr:uid="{07A1F2AC-79E8-429A-BB1E-DFA7847B8678}"/>
    <cellStyle name="Normal 16 5 2 10 5" xfId="19877" xr:uid="{A27C4A62-3226-4441-AE20-AE04124EB5BC}"/>
    <cellStyle name="Normal 16 5 2 11" xfId="19878" xr:uid="{097D98AA-D547-49D1-A15B-970DF49EC06F}"/>
    <cellStyle name="Normal 16 5 2 12" xfId="19879" xr:uid="{5AAC91FD-842E-420D-A63A-D41027547072}"/>
    <cellStyle name="Normal 16 5 2 13" xfId="19880" xr:uid="{8B0442DD-44F0-4866-B54D-67FF49000628}"/>
    <cellStyle name="Normal 16 5 2 14" xfId="19881" xr:uid="{FC489D8B-33E1-45ED-A2C8-3C796BB6EFC9}"/>
    <cellStyle name="Normal 16 5 2 2" xfId="19882" xr:uid="{E240EFA4-A651-457A-BF35-973F5D7B1AB0}"/>
    <cellStyle name="Normal 16 5 2 2 10" xfId="19883" xr:uid="{0E343EB5-354B-477A-9B6E-7D7CCF45AA7E}"/>
    <cellStyle name="Normal 16 5 2 2 11" xfId="19884" xr:uid="{157830A8-30B0-4DF6-ADF6-E9105FF83F99}"/>
    <cellStyle name="Normal 16 5 2 2 12" xfId="19885" xr:uid="{E0696094-11F1-499B-BAD2-814C94E0E3C1}"/>
    <cellStyle name="Normal 16 5 2 2 13" xfId="19886" xr:uid="{F8FD0C7A-C54C-4F0D-B43F-C253C71C4812}"/>
    <cellStyle name="Normal 16 5 2 2 2" xfId="19887" xr:uid="{6195F570-228E-4517-AABB-29C733C8CB08}"/>
    <cellStyle name="Normal 16 5 2 2 2 10" xfId="19888" xr:uid="{310D454D-B2B3-400A-BF0E-A248205B4472}"/>
    <cellStyle name="Normal 16 5 2 2 2 11" xfId="19889" xr:uid="{5C9A6A51-F403-4CD9-904B-D7297BDEE0AD}"/>
    <cellStyle name="Normal 16 5 2 2 2 12" xfId="19890" xr:uid="{4F739713-B4B7-44D1-BBAF-4A5D922A6BA9}"/>
    <cellStyle name="Normal 16 5 2 2 2 2" xfId="19891" xr:uid="{AF2B907F-FBE3-412B-80AA-349D46B59E04}"/>
    <cellStyle name="Normal 16 5 2 2 2 2 2" xfId="19892" xr:uid="{C063DD7D-5DC6-4AE9-A586-66C834D0DFAF}"/>
    <cellStyle name="Normal 16 5 2 2 2 2 2 2" xfId="19893" xr:uid="{B0EA3DF9-7C15-4F34-8DF0-550C8746A973}"/>
    <cellStyle name="Normal 16 5 2 2 2 2 2 3" xfId="19894" xr:uid="{E3156998-9059-4AD9-82F4-C49640D0F26D}"/>
    <cellStyle name="Normal 16 5 2 2 2 2 2 4" xfId="19895" xr:uid="{BFFD73CF-2ADD-4F04-8D6B-99BBBBD95C36}"/>
    <cellStyle name="Normal 16 5 2 2 2 2 2 5" xfId="19896" xr:uid="{4FCD9D8B-A4B2-4763-A274-E728DACCBE10}"/>
    <cellStyle name="Normal 16 5 2 2 2 2 3" xfId="19897" xr:uid="{AD753669-4298-4DF5-B612-A7CF56BEB4F5}"/>
    <cellStyle name="Normal 16 5 2 2 2 2 4" xfId="19898" xr:uid="{B312CD7E-1502-4FEB-A791-7EA6FD7F8AF3}"/>
    <cellStyle name="Normal 16 5 2 2 2 2 5" xfId="19899" xr:uid="{16F90D8D-18E6-42D5-B684-4FB958D3552E}"/>
    <cellStyle name="Normal 16 5 2 2 2 2 6" xfId="19900" xr:uid="{1423A97A-E242-48DE-B061-E68CE3A5F09A}"/>
    <cellStyle name="Normal 16 5 2 2 2 3" xfId="19901" xr:uid="{0910C1A4-FA93-4BF5-B473-B30FE889C2E1}"/>
    <cellStyle name="Normal 16 5 2 2 2 3 2" xfId="19902" xr:uid="{3B52D20F-8D25-45B9-A3A4-A192D82B3523}"/>
    <cellStyle name="Normal 16 5 2 2 2 3 2 2" xfId="19903" xr:uid="{74C502E2-03DE-461F-89C6-88F8DABD1562}"/>
    <cellStyle name="Normal 16 5 2 2 2 3 2 3" xfId="19904" xr:uid="{F82CFB83-DA2D-4370-99ED-473943485E69}"/>
    <cellStyle name="Normal 16 5 2 2 2 3 2 4" xfId="19905" xr:uid="{C12ED6BC-F527-41F8-A1BD-6D798B892619}"/>
    <cellStyle name="Normal 16 5 2 2 2 3 2 5" xfId="19906" xr:uid="{314CF158-1A49-4B1F-A01D-D75DBF09FD54}"/>
    <cellStyle name="Normal 16 5 2 2 2 3 3" xfId="19907" xr:uid="{D6F821F0-7EE8-47C1-BFDF-ABD9DA71900A}"/>
    <cellStyle name="Normal 16 5 2 2 2 3 4" xfId="19908" xr:uid="{7890324D-1B0B-4431-AB0F-44EBD65FBB7A}"/>
    <cellStyle name="Normal 16 5 2 2 2 3 5" xfId="19909" xr:uid="{6B33E6F0-7829-49A2-8090-6C29ADA781E6}"/>
    <cellStyle name="Normal 16 5 2 2 2 3 6" xfId="19910" xr:uid="{EFE4ADF7-AB04-4D50-9430-B4744FBFDCFF}"/>
    <cellStyle name="Normal 16 5 2 2 2 4" xfId="19911" xr:uid="{31087AD4-448F-450B-84A6-3152FF782751}"/>
    <cellStyle name="Normal 16 5 2 2 2 4 2" xfId="19912" xr:uid="{3789792B-9CE5-4D5F-BA87-0DCE7A721780}"/>
    <cellStyle name="Normal 16 5 2 2 2 4 2 2" xfId="19913" xr:uid="{827F4A1E-8B93-4754-B136-5FBF1DC5FAA0}"/>
    <cellStyle name="Normal 16 5 2 2 2 4 2 3" xfId="19914" xr:uid="{E461C395-BC4E-40CC-A86B-C24C4CFF6D8C}"/>
    <cellStyle name="Normal 16 5 2 2 2 4 2 4" xfId="19915" xr:uid="{29595A26-2B90-4A84-AF2C-50F7AF18D699}"/>
    <cellStyle name="Normal 16 5 2 2 2 4 2 5" xfId="19916" xr:uid="{CF54253F-5643-4E56-8EE7-C18A5BF7A25A}"/>
    <cellStyle name="Normal 16 5 2 2 2 4 3" xfId="19917" xr:uid="{758213F4-389F-40FD-AE06-07E46D11CE1B}"/>
    <cellStyle name="Normal 16 5 2 2 2 4 4" xfId="19918" xr:uid="{DC5C2902-90F2-4001-A6DE-EA88CBD20CB8}"/>
    <cellStyle name="Normal 16 5 2 2 2 4 5" xfId="19919" xr:uid="{FB83303C-FC57-4EF2-9B93-2F3E6F1A70C6}"/>
    <cellStyle name="Normal 16 5 2 2 2 4 6" xfId="19920" xr:uid="{0AC8FC3F-3150-4C83-8E51-231D872E967E}"/>
    <cellStyle name="Normal 16 5 2 2 2 5" xfId="19921" xr:uid="{0FBD1203-82A1-4467-9752-1937C4F2D0ED}"/>
    <cellStyle name="Normal 16 5 2 2 2 5 2" xfId="19922" xr:uid="{0A530822-69AA-4238-91E7-977CB5CB9940}"/>
    <cellStyle name="Normal 16 5 2 2 2 5 3" xfId="19923" xr:uid="{EA34631D-E82A-4D83-84F0-6E42DC9BC5B0}"/>
    <cellStyle name="Normal 16 5 2 2 2 5 4" xfId="19924" xr:uid="{2CE99519-538C-4A96-B028-3505DBCE0A78}"/>
    <cellStyle name="Normal 16 5 2 2 2 5 5" xfId="19925" xr:uid="{A6CE086C-EC4A-4973-956D-5E856534E541}"/>
    <cellStyle name="Normal 16 5 2 2 2 6" xfId="19926" xr:uid="{DEF15416-96CE-4623-8446-E40BD86905CA}"/>
    <cellStyle name="Normal 16 5 2 2 2 6 2" xfId="19927" xr:uid="{67EA7908-1000-461D-859F-4E19BF62AABF}"/>
    <cellStyle name="Normal 16 5 2 2 2 6 3" xfId="19928" xr:uid="{0CDED625-1212-44B0-A451-3CA06EE03498}"/>
    <cellStyle name="Normal 16 5 2 2 2 6 4" xfId="19929" xr:uid="{799D2FC9-6C02-42B4-8F51-2B9D1A7109D6}"/>
    <cellStyle name="Normal 16 5 2 2 2 6 5" xfId="19930" xr:uid="{4898D17D-1579-45BE-84A0-A8A76EE43B96}"/>
    <cellStyle name="Normal 16 5 2 2 2 7" xfId="19931" xr:uid="{F9DC1A41-930A-4DCF-B5D6-52D8E0422986}"/>
    <cellStyle name="Normal 16 5 2 2 2 7 2" xfId="19932" xr:uid="{567B5806-FF30-423A-8330-14CA86A8F495}"/>
    <cellStyle name="Normal 16 5 2 2 2 7 3" xfId="19933" xr:uid="{EB21C08B-524C-45DD-80A7-52A5E190580A}"/>
    <cellStyle name="Normal 16 5 2 2 2 7 4" xfId="19934" xr:uid="{3198449A-84FA-45FC-B9F1-A3917A2D0D59}"/>
    <cellStyle name="Normal 16 5 2 2 2 7 5" xfId="19935" xr:uid="{AF4E7112-8504-4F62-BC5B-2A0B13836FB7}"/>
    <cellStyle name="Normal 16 5 2 2 2 8" xfId="19936" xr:uid="{59D10C67-0ADD-4C5F-BE9E-BCB50E881F2C}"/>
    <cellStyle name="Normal 16 5 2 2 2 8 2" xfId="19937" xr:uid="{21F8C444-88FB-40A9-A04C-B20D232DB4D3}"/>
    <cellStyle name="Normal 16 5 2 2 2 8 3" xfId="19938" xr:uid="{C25BDC43-D2C7-406D-BEAC-8D3100C301C6}"/>
    <cellStyle name="Normal 16 5 2 2 2 8 4" xfId="19939" xr:uid="{05EC8DDA-1F51-4295-8BF7-848DF3FC9C0A}"/>
    <cellStyle name="Normal 16 5 2 2 2 8 5" xfId="19940" xr:uid="{5722A9FA-01EF-4904-9069-7B89E497B8E2}"/>
    <cellStyle name="Normal 16 5 2 2 2 9" xfId="19941" xr:uid="{06ED3F81-66C7-4D4B-BFC4-1843A4E544C0}"/>
    <cellStyle name="Normal 16 5 2 2 3" xfId="19942" xr:uid="{5A5A2543-E184-403A-BCE4-4722243B7353}"/>
    <cellStyle name="Normal 16 5 2 2 3 2" xfId="19943" xr:uid="{3A524042-F0BC-494C-AE7C-7AA1ADD8925F}"/>
    <cellStyle name="Normal 16 5 2 2 3 2 2" xfId="19944" xr:uid="{917D6D5A-7242-47D4-BD91-D8C977C0FFAC}"/>
    <cellStyle name="Normal 16 5 2 2 3 2 3" xfId="19945" xr:uid="{CECB5F40-E1DA-4EF7-B0FD-21F1D57106E0}"/>
    <cellStyle name="Normal 16 5 2 2 3 2 4" xfId="19946" xr:uid="{FB0B6883-6609-4263-BBAF-6BF5D640C732}"/>
    <cellStyle name="Normal 16 5 2 2 3 2 5" xfId="19947" xr:uid="{A7E25420-2217-4CA3-BD43-6E849382EB4E}"/>
    <cellStyle name="Normal 16 5 2 2 3 3" xfId="19948" xr:uid="{935FBFD7-DE6C-4BCB-A5B7-6687E64EED62}"/>
    <cellStyle name="Normal 16 5 2 2 3 4" xfId="19949" xr:uid="{4C638173-77B4-4F52-8D7B-218E146AB0FB}"/>
    <cellStyle name="Normal 16 5 2 2 3 5" xfId="19950" xr:uid="{E11D799B-B3AE-4041-BD46-6E3D6B7C2A48}"/>
    <cellStyle name="Normal 16 5 2 2 3 6" xfId="19951" xr:uid="{4D05E78B-D6CB-4DBE-8E70-F62F1168F0B4}"/>
    <cellStyle name="Normal 16 5 2 2 4" xfId="19952" xr:uid="{BCF05961-2198-48A8-B4D6-78CEC55F066F}"/>
    <cellStyle name="Normal 16 5 2 2 4 2" xfId="19953" xr:uid="{A4471F6D-5AE5-46CF-BD8B-DECE099F5FE7}"/>
    <cellStyle name="Normal 16 5 2 2 4 2 2" xfId="19954" xr:uid="{01AE272A-7129-4BD8-B827-3F3BD37F15F6}"/>
    <cellStyle name="Normal 16 5 2 2 4 2 3" xfId="19955" xr:uid="{11803B88-96E1-4A3E-8A3E-FAE1C95998E4}"/>
    <cellStyle name="Normal 16 5 2 2 4 2 4" xfId="19956" xr:uid="{74CE79D3-7CB2-4345-9844-ECFD5E38E377}"/>
    <cellStyle name="Normal 16 5 2 2 4 2 5" xfId="19957" xr:uid="{BC0FBB30-C793-4F84-9489-E99AAB2E32E2}"/>
    <cellStyle name="Normal 16 5 2 2 4 3" xfId="19958" xr:uid="{40B33A3D-7026-41B4-942D-936396ED27EB}"/>
    <cellStyle name="Normal 16 5 2 2 4 4" xfId="19959" xr:uid="{E527888D-099C-4D66-9B70-645E6976F070}"/>
    <cellStyle name="Normal 16 5 2 2 4 5" xfId="19960" xr:uid="{4CCA3443-D60E-4F16-8811-7E5D219B6778}"/>
    <cellStyle name="Normal 16 5 2 2 4 6" xfId="19961" xr:uid="{C260971E-C53E-49C8-9780-E0FAB79CDE19}"/>
    <cellStyle name="Normal 16 5 2 2 5" xfId="19962" xr:uid="{DDC8DB80-97A1-46D7-8B4E-5627279FF904}"/>
    <cellStyle name="Normal 16 5 2 2 5 2" xfId="19963" xr:uid="{6726FB47-C344-49CD-8E3E-6BDF4924DDB5}"/>
    <cellStyle name="Normal 16 5 2 2 5 2 2" xfId="19964" xr:uid="{E8CC3916-516F-479A-83A0-9A90137A6191}"/>
    <cellStyle name="Normal 16 5 2 2 5 2 3" xfId="19965" xr:uid="{DFDCFB8E-305C-49C0-89FB-1646A35D1F8D}"/>
    <cellStyle name="Normal 16 5 2 2 5 2 4" xfId="19966" xr:uid="{9CF78740-C644-4068-A72D-6BCB3BBD4852}"/>
    <cellStyle name="Normal 16 5 2 2 5 2 5" xfId="19967" xr:uid="{ADB8281F-BCF2-4E17-BC2A-918436122105}"/>
    <cellStyle name="Normal 16 5 2 2 5 3" xfId="19968" xr:uid="{DD2F23F8-0238-463D-B707-09E21C0ECDEC}"/>
    <cellStyle name="Normal 16 5 2 2 5 4" xfId="19969" xr:uid="{819DDC46-9403-40DA-9556-065D5B527723}"/>
    <cellStyle name="Normal 16 5 2 2 5 5" xfId="19970" xr:uid="{5FBB4783-D2F4-487B-862A-9C73D82F09B6}"/>
    <cellStyle name="Normal 16 5 2 2 5 6" xfId="19971" xr:uid="{56B72D10-A4D5-464A-9E89-532DE8049E8D}"/>
    <cellStyle name="Normal 16 5 2 2 6" xfId="19972" xr:uid="{FB0F1F53-DD9B-4970-8F09-258AA0E5CD45}"/>
    <cellStyle name="Normal 16 5 2 2 6 2" xfId="19973" xr:uid="{94C7E03F-507A-407E-B11F-770B6FDA4FF3}"/>
    <cellStyle name="Normal 16 5 2 2 6 3" xfId="19974" xr:uid="{3BD5C91F-C6FE-476C-A79A-0AC7E6F0B2F9}"/>
    <cellStyle name="Normal 16 5 2 2 6 4" xfId="19975" xr:uid="{C53DAE6C-C88B-4C11-B79F-150010B3A302}"/>
    <cellStyle name="Normal 16 5 2 2 6 5" xfId="19976" xr:uid="{58854AC2-DB68-4DDE-A013-EE3192307718}"/>
    <cellStyle name="Normal 16 5 2 2 7" xfId="19977" xr:uid="{8563D1D4-805E-45C8-B81C-FD7249B14C03}"/>
    <cellStyle name="Normal 16 5 2 2 7 2" xfId="19978" xr:uid="{0F909CCE-F794-47FA-822F-3665E82A3CDC}"/>
    <cellStyle name="Normal 16 5 2 2 7 3" xfId="19979" xr:uid="{E2749502-D372-4CAE-BC77-162ECCECC774}"/>
    <cellStyle name="Normal 16 5 2 2 7 4" xfId="19980" xr:uid="{741429D1-1F2C-4C99-8E43-3A88D1E92E30}"/>
    <cellStyle name="Normal 16 5 2 2 7 5" xfId="19981" xr:uid="{DF4D3D49-D3C3-4F20-AE36-11C0F365639E}"/>
    <cellStyle name="Normal 16 5 2 2 8" xfId="19982" xr:uid="{213DF7F5-5E00-4DE1-9D57-A25E07A66222}"/>
    <cellStyle name="Normal 16 5 2 2 8 2" xfId="19983" xr:uid="{5B9F45E9-95D7-4DAF-B9D6-5ECBCFDBDCCB}"/>
    <cellStyle name="Normal 16 5 2 2 8 3" xfId="19984" xr:uid="{192CFC4B-FFA7-42A3-9A1F-F9A41E38327B}"/>
    <cellStyle name="Normal 16 5 2 2 8 4" xfId="19985" xr:uid="{1448E51C-B296-4DD2-8708-D13C8B151DA9}"/>
    <cellStyle name="Normal 16 5 2 2 8 5" xfId="19986" xr:uid="{8AD38AAB-C9DA-40EA-B6C4-3014E778DE48}"/>
    <cellStyle name="Normal 16 5 2 2 9" xfId="19987" xr:uid="{C6CC3D74-2810-4155-8416-0591242498D2}"/>
    <cellStyle name="Normal 16 5 2 2 9 2" xfId="19988" xr:uid="{23183387-A99B-492D-AB32-C07ED8A11467}"/>
    <cellStyle name="Normal 16 5 2 2 9 3" xfId="19989" xr:uid="{972A8190-D29F-4C47-BEA8-07E2743DC6E3}"/>
    <cellStyle name="Normal 16 5 2 2 9 4" xfId="19990" xr:uid="{CFBDC7AD-4EF9-493D-946F-908FC3F4449F}"/>
    <cellStyle name="Normal 16 5 2 2 9 5" xfId="19991" xr:uid="{2C5DF606-6724-4A89-A031-092DFAA5DCF9}"/>
    <cellStyle name="Normal 16 5 2 3" xfId="19992" xr:uid="{2577AD2A-3DFB-4377-98DF-F7C546D697D7}"/>
    <cellStyle name="Normal 16 5 2 3 10" xfId="19993" xr:uid="{11D5C09C-18A2-441E-95C2-25EB4847197A}"/>
    <cellStyle name="Normal 16 5 2 3 11" xfId="19994" xr:uid="{31F5203F-0E33-4D31-BD04-131D90D94750}"/>
    <cellStyle name="Normal 16 5 2 3 12" xfId="19995" xr:uid="{EBF6685D-F37E-4D56-8DD2-888ACB263473}"/>
    <cellStyle name="Normal 16 5 2 3 2" xfId="19996" xr:uid="{58CB2453-1A32-490E-8C55-8C4BB8372A30}"/>
    <cellStyle name="Normal 16 5 2 3 2 2" xfId="19997" xr:uid="{2F645EBE-87B0-41BE-BBD7-31528C35AB4A}"/>
    <cellStyle name="Normal 16 5 2 3 2 2 2" xfId="19998" xr:uid="{C1C3C779-FC57-428D-8FE4-3BF7F7A09B82}"/>
    <cellStyle name="Normal 16 5 2 3 2 2 3" xfId="19999" xr:uid="{A2A01E8A-E3FF-41C9-8CCB-F21D86B07EC1}"/>
    <cellStyle name="Normal 16 5 2 3 2 2 4" xfId="20000" xr:uid="{79DA509A-07A5-4C7C-B3D2-468997E422BC}"/>
    <cellStyle name="Normal 16 5 2 3 2 2 5" xfId="20001" xr:uid="{6EC838A7-A85D-40C2-ACFD-48C2F4EFCF7B}"/>
    <cellStyle name="Normal 16 5 2 3 2 3" xfId="20002" xr:uid="{D276A4E8-D45E-43A4-99B8-8A3E79CEF376}"/>
    <cellStyle name="Normal 16 5 2 3 2 4" xfId="20003" xr:uid="{D2D2E66C-94BE-45A1-B305-D28747E315D0}"/>
    <cellStyle name="Normal 16 5 2 3 2 5" xfId="20004" xr:uid="{97D957EE-B6B5-4215-922A-84027870199C}"/>
    <cellStyle name="Normal 16 5 2 3 2 6" xfId="20005" xr:uid="{CB66D7C2-BB46-4A83-88A3-FBF543B33317}"/>
    <cellStyle name="Normal 16 5 2 3 3" xfId="20006" xr:uid="{F3789814-98B7-445F-A349-D96FC8FD5F28}"/>
    <cellStyle name="Normal 16 5 2 3 3 2" xfId="20007" xr:uid="{21109CB3-39C3-4E3E-A616-DF93629FD096}"/>
    <cellStyle name="Normal 16 5 2 3 3 2 2" xfId="20008" xr:uid="{074C512B-C0BA-425E-8C8A-39A1C6B849C1}"/>
    <cellStyle name="Normal 16 5 2 3 3 2 3" xfId="20009" xr:uid="{A3AF15F4-2DA1-495A-AE75-23764C7B05A1}"/>
    <cellStyle name="Normal 16 5 2 3 3 2 4" xfId="20010" xr:uid="{F0B502DB-C215-4758-B2F8-2D3713561B10}"/>
    <cellStyle name="Normal 16 5 2 3 3 2 5" xfId="20011" xr:uid="{A3679CDE-746A-4D47-ABA4-D5641ADD7CF7}"/>
    <cellStyle name="Normal 16 5 2 3 3 3" xfId="20012" xr:uid="{96B36833-A919-4C55-A0BC-D8C8F0E96404}"/>
    <cellStyle name="Normal 16 5 2 3 3 4" xfId="20013" xr:uid="{A17482E4-5DEB-477F-A093-EE604DF8A00B}"/>
    <cellStyle name="Normal 16 5 2 3 3 5" xfId="20014" xr:uid="{5C74AAEE-1D13-441C-8F34-26F2B6BC5DD2}"/>
    <cellStyle name="Normal 16 5 2 3 3 6" xfId="20015" xr:uid="{A13FECD8-0AD8-465D-A950-AB1D09606B97}"/>
    <cellStyle name="Normal 16 5 2 3 4" xfId="20016" xr:uid="{48FEDC50-84F9-416E-A777-2E79A1C4AE07}"/>
    <cellStyle name="Normal 16 5 2 3 4 2" xfId="20017" xr:uid="{EA7B7551-BA52-4FD4-8CD0-604D0C7212E6}"/>
    <cellStyle name="Normal 16 5 2 3 4 2 2" xfId="20018" xr:uid="{1A083B90-77F1-4077-854B-9C9EC7F6D61E}"/>
    <cellStyle name="Normal 16 5 2 3 4 2 3" xfId="20019" xr:uid="{84B41C57-5BBD-4776-AC9D-D73A324CF91A}"/>
    <cellStyle name="Normal 16 5 2 3 4 2 4" xfId="20020" xr:uid="{881014B4-B4D5-404B-B131-D3BF346B1624}"/>
    <cellStyle name="Normal 16 5 2 3 4 2 5" xfId="20021" xr:uid="{8F977B23-BF9D-4A76-B889-C427BB1DDD2D}"/>
    <cellStyle name="Normal 16 5 2 3 4 3" xfId="20022" xr:uid="{4CC8D372-4A67-4E8F-8A5C-381B7FA5C3E6}"/>
    <cellStyle name="Normal 16 5 2 3 4 4" xfId="20023" xr:uid="{03D2C044-BDD6-49CC-8657-452C73D9898D}"/>
    <cellStyle name="Normal 16 5 2 3 4 5" xfId="20024" xr:uid="{26CD752A-712F-45BF-9025-011CED627B31}"/>
    <cellStyle name="Normal 16 5 2 3 4 6" xfId="20025" xr:uid="{B05236DA-A4C1-4984-8ACB-3B748C96C67B}"/>
    <cellStyle name="Normal 16 5 2 3 5" xfId="20026" xr:uid="{F9B3E19B-B297-49D2-815F-EA282E31FC4F}"/>
    <cellStyle name="Normal 16 5 2 3 5 2" xfId="20027" xr:uid="{A4809DE4-2669-430D-BD76-9CCF145574BF}"/>
    <cellStyle name="Normal 16 5 2 3 5 3" xfId="20028" xr:uid="{13B27D94-9A9F-44D3-90ED-C662660808C3}"/>
    <cellStyle name="Normal 16 5 2 3 5 4" xfId="20029" xr:uid="{CFC3C604-98CC-4848-9969-4E6E740AB1EF}"/>
    <cellStyle name="Normal 16 5 2 3 5 5" xfId="20030" xr:uid="{029EB0B8-9BE6-4E6D-967E-6427A9D83AEF}"/>
    <cellStyle name="Normal 16 5 2 3 6" xfId="20031" xr:uid="{3367B9BC-05C4-4912-AAB5-522CDB0410D3}"/>
    <cellStyle name="Normal 16 5 2 3 6 2" xfId="20032" xr:uid="{71DD9D52-2E42-4260-BE94-C2BE8BFBAAB8}"/>
    <cellStyle name="Normal 16 5 2 3 6 3" xfId="20033" xr:uid="{A6AEBBD0-2AF9-4399-9C8E-FB320DAA2B59}"/>
    <cellStyle name="Normal 16 5 2 3 6 4" xfId="20034" xr:uid="{96D1A3D4-321C-41FA-9B57-4BF9BEA5238C}"/>
    <cellStyle name="Normal 16 5 2 3 6 5" xfId="20035" xr:uid="{59A356F6-0BE9-4D28-8FEC-7E54D86A1CFD}"/>
    <cellStyle name="Normal 16 5 2 3 7" xfId="20036" xr:uid="{8C95A408-31FF-425A-9F7E-0B8A13FE4E22}"/>
    <cellStyle name="Normal 16 5 2 3 7 2" xfId="20037" xr:uid="{C61AB96F-67D2-41E5-AC23-6343AE164F40}"/>
    <cellStyle name="Normal 16 5 2 3 7 3" xfId="20038" xr:uid="{C1963B53-5556-443F-A666-3DA4DA8C1698}"/>
    <cellStyle name="Normal 16 5 2 3 7 4" xfId="20039" xr:uid="{10537F3F-F3A6-45F0-9986-4DE3AD4F66F4}"/>
    <cellStyle name="Normal 16 5 2 3 7 5" xfId="20040" xr:uid="{B8C60032-E5C1-47A9-AA2A-74458CF7A583}"/>
    <cellStyle name="Normal 16 5 2 3 8" xfId="20041" xr:uid="{5E232416-80D3-4FC6-AD0E-52CE79A76C1C}"/>
    <cellStyle name="Normal 16 5 2 3 8 2" xfId="20042" xr:uid="{1C3E31D2-24B2-47E0-AD33-14D14C76D067}"/>
    <cellStyle name="Normal 16 5 2 3 8 3" xfId="20043" xr:uid="{8FC73EA6-C838-4A28-988F-582F8F06374B}"/>
    <cellStyle name="Normal 16 5 2 3 8 4" xfId="20044" xr:uid="{198BDD50-44A0-4CED-9C9B-14FEE9D0AAC7}"/>
    <cellStyle name="Normal 16 5 2 3 8 5" xfId="20045" xr:uid="{688FAF60-8792-46F2-B59B-4DB6F5A4F645}"/>
    <cellStyle name="Normal 16 5 2 3 9" xfId="20046" xr:uid="{05E53819-2D60-487D-B759-96F016B5A01A}"/>
    <cellStyle name="Normal 16 5 2 4" xfId="20047" xr:uid="{A59DE429-A198-4329-89A9-4FAD2EA0B2FD}"/>
    <cellStyle name="Normal 16 5 2 4 2" xfId="20048" xr:uid="{B088BF67-5138-4E29-A839-2AB72E3D9EAB}"/>
    <cellStyle name="Normal 16 5 2 4 2 2" xfId="20049" xr:uid="{E8B874A8-1DFE-4BB5-BD4A-8E0467059B01}"/>
    <cellStyle name="Normal 16 5 2 4 2 3" xfId="20050" xr:uid="{7D75CF0C-4D6D-4105-B2AF-5D4407BA0BC5}"/>
    <cellStyle name="Normal 16 5 2 4 2 4" xfId="20051" xr:uid="{3D5234C7-1CA3-4BBC-90C2-1BFD65615A07}"/>
    <cellStyle name="Normal 16 5 2 4 2 5" xfId="20052" xr:uid="{10378319-57D7-4176-9F45-0037E7E8F474}"/>
    <cellStyle name="Normal 16 5 2 4 3" xfId="20053" xr:uid="{6C04BC25-D91B-4984-AD1A-6D2D4656849F}"/>
    <cellStyle name="Normal 16 5 2 4 4" xfId="20054" xr:uid="{0FDF15F7-8787-435B-A4B7-BBF9C7B8E734}"/>
    <cellStyle name="Normal 16 5 2 4 5" xfId="20055" xr:uid="{55DF997E-5003-4683-A0B8-86915563E647}"/>
    <cellStyle name="Normal 16 5 2 4 6" xfId="20056" xr:uid="{5D4A615A-FB12-4D53-9490-2D38A71113DC}"/>
    <cellStyle name="Normal 16 5 2 5" xfId="20057" xr:uid="{A4110355-55F1-4C7D-B8A2-DB821D9ACEB0}"/>
    <cellStyle name="Normal 16 5 2 5 2" xfId="20058" xr:uid="{1A6D612B-B112-432A-9D69-95F3B3672E59}"/>
    <cellStyle name="Normal 16 5 2 5 2 2" xfId="20059" xr:uid="{8495DE1D-5BDE-44AD-8D38-29E3F3ED6053}"/>
    <cellStyle name="Normal 16 5 2 5 2 3" xfId="20060" xr:uid="{E2088791-1FC5-46B1-84C5-3A5AEAE13484}"/>
    <cellStyle name="Normal 16 5 2 5 2 4" xfId="20061" xr:uid="{9DBA52E6-EA1C-4E23-829E-24FE3D6F2D3B}"/>
    <cellStyle name="Normal 16 5 2 5 2 5" xfId="20062" xr:uid="{79E82B3B-48FF-40E7-9945-C93AB344D675}"/>
    <cellStyle name="Normal 16 5 2 5 3" xfId="20063" xr:uid="{D12A4A8A-9EFD-4FB8-907A-C5DA3EFB2771}"/>
    <cellStyle name="Normal 16 5 2 5 4" xfId="20064" xr:uid="{D3417F2C-FFF5-49BC-9A41-1E57622E62CE}"/>
    <cellStyle name="Normal 16 5 2 5 5" xfId="20065" xr:uid="{8CBFF3D8-D0AD-42F1-9D56-39EB631B5FFC}"/>
    <cellStyle name="Normal 16 5 2 5 6" xfId="20066" xr:uid="{E8AA1AC2-5912-41C0-912C-B5EF4FFA2D3F}"/>
    <cellStyle name="Normal 16 5 2 6" xfId="20067" xr:uid="{1A26C920-3ABD-44B0-B32D-807CA5F09E1F}"/>
    <cellStyle name="Normal 16 5 2 6 2" xfId="20068" xr:uid="{5958E719-6926-44AB-AB35-E2A54169D6F4}"/>
    <cellStyle name="Normal 16 5 2 6 2 2" xfId="20069" xr:uid="{E153A046-2B51-4825-974B-2F65FB788387}"/>
    <cellStyle name="Normal 16 5 2 6 2 3" xfId="20070" xr:uid="{E98F1F61-3AA8-464E-B020-9C280C95439F}"/>
    <cellStyle name="Normal 16 5 2 6 2 4" xfId="20071" xr:uid="{65C9C595-0D4E-4776-803A-7BEFCD66AD0B}"/>
    <cellStyle name="Normal 16 5 2 6 2 5" xfId="20072" xr:uid="{BE9CB555-989A-4972-8EF6-6D14ACE5640D}"/>
    <cellStyle name="Normal 16 5 2 6 3" xfId="20073" xr:uid="{06D2C56C-6A1A-441B-AF05-658E9CE7CF8F}"/>
    <cellStyle name="Normal 16 5 2 6 4" xfId="20074" xr:uid="{DA1F3F89-5EB6-4448-98AE-57175C9F41CA}"/>
    <cellStyle name="Normal 16 5 2 6 5" xfId="20075" xr:uid="{1EBBCA75-5F32-4ECE-A4B6-52E5CD05070C}"/>
    <cellStyle name="Normal 16 5 2 6 6" xfId="20076" xr:uid="{3FD45C4C-8CFF-433C-B081-4CC25379E726}"/>
    <cellStyle name="Normal 16 5 2 7" xfId="20077" xr:uid="{74D64E6B-62E5-4960-94E3-353B613B65E6}"/>
    <cellStyle name="Normal 16 5 2 7 2" xfId="20078" xr:uid="{3AA7E36F-4919-44F0-8FE9-2EE7C210A4D0}"/>
    <cellStyle name="Normal 16 5 2 7 3" xfId="20079" xr:uid="{8B16745A-560E-4C8D-8D96-0777EF4C1AED}"/>
    <cellStyle name="Normal 16 5 2 7 4" xfId="20080" xr:uid="{5ADB895D-4C03-4027-834A-ABD411CA9120}"/>
    <cellStyle name="Normal 16 5 2 7 5" xfId="20081" xr:uid="{F811416A-B0BF-4DD4-9781-F59F2A569D7A}"/>
    <cellStyle name="Normal 16 5 2 8" xfId="20082" xr:uid="{A77F54C8-C859-4E56-9F2D-5B34E3DD785B}"/>
    <cellStyle name="Normal 16 5 2 8 2" xfId="20083" xr:uid="{0A9FC762-B4CE-494A-B6E8-C2630D33FB6D}"/>
    <cellStyle name="Normal 16 5 2 8 3" xfId="20084" xr:uid="{1A860F18-DAAA-473C-A154-7208FAFAF36D}"/>
    <cellStyle name="Normal 16 5 2 8 4" xfId="20085" xr:uid="{C0C6211E-586A-4E7A-90DF-836B7A4F4899}"/>
    <cellStyle name="Normal 16 5 2 8 5" xfId="20086" xr:uid="{88D765B5-DF07-423D-9E56-794E606F9465}"/>
    <cellStyle name="Normal 16 5 2 9" xfId="20087" xr:uid="{08E8F08C-94C2-40CB-9006-38F8D5E7C5A9}"/>
    <cellStyle name="Normal 16 5 2 9 2" xfId="20088" xr:uid="{494D7CFF-FBB6-4E26-B701-C7069B1BAE90}"/>
    <cellStyle name="Normal 16 5 2 9 3" xfId="20089" xr:uid="{B9455C20-6F21-4CEB-A2D9-BA4852C54E15}"/>
    <cellStyle name="Normal 16 5 2 9 4" xfId="20090" xr:uid="{887BCD65-2F5D-4651-9F3E-B94296EB6BBF}"/>
    <cellStyle name="Normal 16 5 2 9 5" xfId="20091" xr:uid="{6A2976BD-7423-4B00-80EE-0AEC5029B372}"/>
    <cellStyle name="Normal 16 5 3" xfId="20092" xr:uid="{52ADAE83-0A4D-4172-88D5-36A5E2FE62A5}"/>
    <cellStyle name="Normal 16 5 3 10" xfId="20093" xr:uid="{4BDB931C-4E82-4256-AD8D-E2B89939947A}"/>
    <cellStyle name="Normal 16 5 3 11" xfId="20094" xr:uid="{DA879F75-65FA-4874-8924-BB0AC8E6C40B}"/>
    <cellStyle name="Normal 16 5 3 12" xfId="20095" xr:uid="{E2EE067F-08D9-46EA-9136-10FCA6B5E346}"/>
    <cellStyle name="Normal 16 5 3 13" xfId="20096" xr:uid="{E3960A08-3985-4E4F-A832-80121C427480}"/>
    <cellStyle name="Normal 16 5 3 2" xfId="20097" xr:uid="{4EDDA96F-A3C9-4AE8-A838-0B70C6A72FBB}"/>
    <cellStyle name="Normal 16 5 3 2 10" xfId="20098" xr:uid="{DEFCD2D0-949D-499E-AF7B-D87C9AAB22F8}"/>
    <cellStyle name="Normal 16 5 3 2 11" xfId="20099" xr:uid="{D49D989F-71C3-40A7-A20D-CD811B212580}"/>
    <cellStyle name="Normal 16 5 3 2 12" xfId="20100" xr:uid="{B7D81C3B-109B-4015-88F7-1BDE65F2900A}"/>
    <cellStyle name="Normal 16 5 3 2 2" xfId="20101" xr:uid="{BA4025F3-1BE7-4F52-8AE1-3682BDE5DA11}"/>
    <cellStyle name="Normal 16 5 3 2 2 2" xfId="20102" xr:uid="{964F52AA-3543-46D4-978E-F3DAB26105A3}"/>
    <cellStyle name="Normal 16 5 3 2 2 2 2" xfId="20103" xr:uid="{F2D9B008-B9D0-43E6-ACDD-1BF2983871AE}"/>
    <cellStyle name="Normal 16 5 3 2 2 2 3" xfId="20104" xr:uid="{8C249C5C-37D9-453C-A521-F544D64473BE}"/>
    <cellStyle name="Normal 16 5 3 2 2 2 4" xfId="20105" xr:uid="{4E13FA16-CC03-48FD-AC87-CF4AC37E8772}"/>
    <cellStyle name="Normal 16 5 3 2 2 2 5" xfId="20106" xr:uid="{BBDB3159-1A17-44F0-8AAB-BA17B78BF9DB}"/>
    <cellStyle name="Normal 16 5 3 2 2 3" xfId="20107" xr:uid="{D486B24C-87A9-45A3-A966-8BB19D0A9ECA}"/>
    <cellStyle name="Normal 16 5 3 2 2 4" xfId="20108" xr:uid="{44593F0C-4715-4BFC-B988-BF22DF59ED0D}"/>
    <cellStyle name="Normal 16 5 3 2 2 5" xfId="20109" xr:uid="{38A559D6-E3BA-4B21-8024-2898E566510C}"/>
    <cellStyle name="Normal 16 5 3 2 2 6" xfId="20110" xr:uid="{1B655595-9A87-4C6F-9461-D688EB5797C8}"/>
    <cellStyle name="Normal 16 5 3 2 3" xfId="20111" xr:uid="{DD091BE3-65F4-429E-BFF2-1019DB6DEB3E}"/>
    <cellStyle name="Normal 16 5 3 2 3 2" xfId="20112" xr:uid="{34C14BD4-E8E9-492D-B8CC-9E891B9C36AE}"/>
    <cellStyle name="Normal 16 5 3 2 3 2 2" xfId="20113" xr:uid="{93A84375-D837-43CB-BC08-2A053018FD28}"/>
    <cellStyle name="Normal 16 5 3 2 3 2 3" xfId="20114" xr:uid="{5D4BF0FB-B07A-4929-9479-AD40297F33F2}"/>
    <cellStyle name="Normal 16 5 3 2 3 2 4" xfId="20115" xr:uid="{8216F07F-0059-486D-9590-0865AF25CCA7}"/>
    <cellStyle name="Normal 16 5 3 2 3 2 5" xfId="20116" xr:uid="{86879F8D-3F58-4368-9537-1EF53AAC89CC}"/>
    <cellStyle name="Normal 16 5 3 2 3 3" xfId="20117" xr:uid="{CEC3DF5E-B422-4989-BD9A-03BFADA93503}"/>
    <cellStyle name="Normal 16 5 3 2 3 4" xfId="20118" xr:uid="{ABDFE3A1-C901-48ED-B047-5FB82CD882ED}"/>
    <cellStyle name="Normal 16 5 3 2 3 5" xfId="20119" xr:uid="{28DAFFFD-5A22-4C6B-A53E-C51AC142BC1C}"/>
    <cellStyle name="Normal 16 5 3 2 3 6" xfId="20120" xr:uid="{69056105-A225-4857-8FB8-3F66DB488226}"/>
    <cellStyle name="Normal 16 5 3 2 4" xfId="20121" xr:uid="{0B17BD38-AE10-4DA4-AEFE-A6A06CA91143}"/>
    <cellStyle name="Normal 16 5 3 2 4 2" xfId="20122" xr:uid="{375292E4-0A1D-4B3C-B111-431DF7CF1563}"/>
    <cellStyle name="Normal 16 5 3 2 4 2 2" xfId="20123" xr:uid="{48DC3E33-A6CB-4350-A53E-77A17749D25F}"/>
    <cellStyle name="Normal 16 5 3 2 4 2 3" xfId="20124" xr:uid="{A6F697E1-5E5B-4B42-B857-F0627D2DD5CE}"/>
    <cellStyle name="Normal 16 5 3 2 4 2 4" xfId="20125" xr:uid="{CA65958B-E7D2-498F-8C59-03BCB99269F6}"/>
    <cellStyle name="Normal 16 5 3 2 4 2 5" xfId="20126" xr:uid="{C53CDB3B-FA4D-4EB3-BA4F-54CAC66DB112}"/>
    <cellStyle name="Normal 16 5 3 2 4 3" xfId="20127" xr:uid="{D8B163FE-77EC-46CB-ACEF-FBF42D310065}"/>
    <cellStyle name="Normal 16 5 3 2 4 4" xfId="20128" xr:uid="{3BA963A5-D7DF-450F-A37C-AC5A0AE2B155}"/>
    <cellStyle name="Normal 16 5 3 2 4 5" xfId="20129" xr:uid="{3BB35D94-5C5E-48E1-9BD5-1E3F4EF888CD}"/>
    <cellStyle name="Normal 16 5 3 2 4 6" xfId="20130" xr:uid="{2CE6CCA7-B637-4DE6-BF07-0A142C73A8C9}"/>
    <cellStyle name="Normal 16 5 3 2 5" xfId="20131" xr:uid="{79B7ED1F-AF02-4CA9-AF69-B5473A9EC878}"/>
    <cellStyle name="Normal 16 5 3 2 5 2" xfId="20132" xr:uid="{33952E25-176E-48BD-8E59-A80C618D72E7}"/>
    <cellStyle name="Normal 16 5 3 2 5 3" xfId="20133" xr:uid="{6A0FB1D2-6CA0-4AA4-857E-F256199CD54E}"/>
    <cellStyle name="Normal 16 5 3 2 5 4" xfId="20134" xr:uid="{66A34908-867F-4018-89EF-5E58D5A44B4E}"/>
    <cellStyle name="Normal 16 5 3 2 5 5" xfId="20135" xr:uid="{3B5CDAAD-BEDE-4C09-8BE0-6DC2B6FE653A}"/>
    <cellStyle name="Normal 16 5 3 2 6" xfId="20136" xr:uid="{41E061F3-9512-4605-AB61-2B02BB3180A7}"/>
    <cellStyle name="Normal 16 5 3 2 6 2" xfId="20137" xr:uid="{E18F96C1-E908-4A79-B35B-5FE6E74EA3DF}"/>
    <cellStyle name="Normal 16 5 3 2 6 3" xfId="20138" xr:uid="{E19A4BA8-7882-4CE9-A053-9BF916EFB7E8}"/>
    <cellStyle name="Normal 16 5 3 2 6 4" xfId="20139" xr:uid="{3F539983-39D7-41CE-A63C-7D3AC1CF08E0}"/>
    <cellStyle name="Normal 16 5 3 2 6 5" xfId="20140" xr:uid="{BA32498E-7EC3-482A-983D-C47B8BF8903F}"/>
    <cellStyle name="Normal 16 5 3 2 7" xfId="20141" xr:uid="{7BFE8224-4D63-445F-8C35-F4D1AA70BA09}"/>
    <cellStyle name="Normal 16 5 3 2 7 2" xfId="20142" xr:uid="{B8745636-89F3-41DF-97B8-441CE96834FE}"/>
    <cellStyle name="Normal 16 5 3 2 7 3" xfId="20143" xr:uid="{2474036E-95B2-479D-BD55-8962FB5F6990}"/>
    <cellStyle name="Normal 16 5 3 2 7 4" xfId="20144" xr:uid="{4494D022-1C7D-49CF-B3DD-71913C9C00B3}"/>
    <cellStyle name="Normal 16 5 3 2 7 5" xfId="20145" xr:uid="{87469026-D5A7-4886-87CB-BDE50832FA6C}"/>
    <cellStyle name="Normal 16 5 3 2 8" xfId="20146" xr:uid="{50DE4424-7C23-4312-A62D-9C98EF6F4BDD}"/>
    <cellStyle name="Normal 16 5 3 2 8 2" xfId="20147" xr:uid="{972792CE-D0BD-4C77-8D08-52EC43413B15}"/>
    <cellStyle name="Normal 16 5 3 2 8 3" xfId="20148" xr:uid="{532BC80F-A263-4BBB-98CF-861739E969AF}"/>
    <cellStyle name="Normal 16 5 3 2 8 4" xfId="20149" xr:uid="{09389E9B-9518-4323-9616-BFE897A68CE3}"/>
    <cellStyle name="Normal 16 5 3 2 8 5" xfId="20150" xr:uid="{B56BAF76-ED6E-4218-83CE-C4D354C2F1D3}"/>
    <cellStyle name="Normal 16 5 3 2 9" xfId="20151" xr:uid="{6C841A50-0209-451A-8B08-F62C1A7EC2B1}"/>
    <cellStyle name="Normal 16 5 3 3" xfId="20152" xr:uid="{24AE833C-4C27-4AF8-89D8-9A5CFBD74417}"/>
    <cellStyle name="Normal 16 5 3 3 2" xfId="20153" xr:uid="{BAAAF606-3813-4AEB-AE83-AE944C193689}"/>
    <cellStyle name="Normal 16 5 3 3 2 2" xfId="20154" xr:uid="{AA69FE48-004A-495C-BB8A-A6B8197AC668}"/>
    <cellStyle name="Normal 16 5 3 3 2 3" xfId="20155" xr:uid="{4621341C-8A70-44AF-B913-C0FECFEED869}"/>
    <cellStyle name="Normal 16 5 3 3 2 4" xfId="20156" xr:uid="{73988852-2F02-47E9-8F5D-5EB7EB2AAE99}"/>
    <cellStyle name="Normal 16 5 3 3 2 5" xfId="20157" xr:uid="{FFBB0D21-1588-4111-8868-CB3AF0CFEC9F}"/>
    <cellStyle name="Normal 16 5 3 3 3" xfId="20158" xr:uid="{889C1AA7-B67B-4491-940D-2D79FAE09110}"/>
    <cellStyle name="Normal 16 5 3 3 4" xfId="20159" xr:uid="{B4FC1FDB-B270-47DE-A84F-910E810E1D3C}"/>
    <cellStyle name="Normal 16 5 3 3 5" xfId="20160" xr:uid="{5DD754C1-B097-416C-BEDF-360971CE7BEB}"/>
    <cellStyle name="Normal 16 5 3 3 6" xfId="20161" xr:uid="{829DF718-B0EE-44A2-AB27-8D9B53712709}"/>
    <cellStyle name="Normal 16 5 3 4" xfId="20162" xr:uid="{F1D1EC29-091A-4FD4-BE41-EFBDD6484293}"/>
    <cellStyle name="Normal 16 5 3 4 2" xfId="20163" xr:uid="{547BA927-7329-467F-BDAF-61ACDCEAD80C}"/>
    <cellStyle name="Normal 16 5 3 4 2 2" xfId="20164" xr:uid="{F5CA66C8-A348-40A7-A8CC-DED3ABE7DA7D}"/>
    <cellStyle name="Normal 16 5 3 4 2 3" xfId="20165" xr:uid="{0E876688-4C19-4D53-8F55-3BEB580487E3}"/>
    <cellStyle name="Normal 16 5 3 4 2 4" xfId="20166" xr:uid="{97412506-6402-4274-A7C1-22E8FC468C47}"/>
    <cellStyle name="Normal 16 5 3 4 2 5" xfId="20167" xr:uid="{BCA76CCB-1086-498F-8169-97AFBA6756C3}"/>
    <cellStyle name="Normal 16 5 3 4 3" xfId="20168" xr:uid="{D3C2DC1F-2049-47C5-AD50-F35659FA694F}"/>
    <cellStyle name="Normal 16 5 3 4 4" xfId="20169" xr:uid="{FF4A1986-F951-4E30-BC93-E5E5BCFBF67C}"/>
    <cellStyle name="Normal 16 5 3 4 5" xfId="20170" xr:uid="{800A988B-AE6D-43CB-ACEE-DACB3763D34A}"/>
    <cellStyle name="Normal 16 5 3 4 6" xfId="20171" xr:uid="{CAADCE96-3EFD-40E4-9F89-29BA9319AADE}"/>
    <cellStyle name="Normal 16 5 3 5" xfId="20172" xr:uid="{7DB5D94A-2509-48D0-A165-5D11AE616128}"/>
    <cellStyle name="Normal 16 5 3 5 2" xfId="20173" xr:uid="{59CEEF78-58B1-439D-9860-5EA1051DAB08}"/>
    <cellStyle name="Normal 16 5 3 5 2 2" xfId="20174" xr:uid="{C25CE445-C60C-4557-9843-7A821CEC50A3}"/>
    <cellStyle name="Normal 16 5 3 5 2 3" xfId="20175" xr:uid="{6BC20C78-722B-425D-A3F9-42E2CADA70F1}"/>
    <cellStyle name="Normal 16 5 3 5 2 4" xfId="20176" xr:uid="{744C197B-B581-480A-A4CE-3A4D109A2FA1}"/>
    <cellStyle name="Normal 16 5 3 5 2 5" xfId="20177" xr:uid="{4237274D-C49E-41EE-B682-6ADDBC9E8E08}"/>
    <cellStyle name="Normal 16 5 3 5 3" xfId="20178" xr:uid="{17A79333-ACA2-42FF-B14D-A3C87A35722E}"/>
    <cellStyle name="Normal 16 5 3 5 4" xfId="20179" xr:uid="{7B74B008-DAD7-442D-AE27-53E5B2681F11}"/>
    <cellStyle name="Normal 16 5 3 5 5" xfId="20180" xr:uid="{2FE07438-6776-4C8E-BA14-922E4D0402A7}"/>
    <cellStyle name="Normal 16 5 3 5 6" xfId="20181" xr:uid="{6DCEF99E-C34E-40F5-85F0-25B06A0430C9}"/>
    <cellStyle name="Normal 16 5 3 6" xfId="20182" xr:uid="{3D93B367-6FD6-4399-8E76-3E504A471B20}"/>
    <cellStyle name="Normal 16 5 3 6 2" xfId="20183" xr:uid="{67D910AC-E90C-4336-8B2E-800AC8E67F7E}"/>
    <cellStyle name="Normal 16 5 3 6 3" xfId="20184" xr:uid="{346CD539-22E0-4851-9329-992550EB4979}"/>
    <cellStyle name="Normal 16 5 3 6 4" xfId="20185" xr:uid="{32C36DF3-7B80-4BD5-9901-ACB74185EBF7}"/>
    <cellStyle name="Normal 16 5 3 6 5" xfId="20186" xr:uid="{F79F53EB-7639-4AB6-8DC3-4A03364A490F}"/>
    <cellStyle name="Normal 16 5 3 7" xfId="20187" xr:uid="{DBD856A2-8CC7-47CC-A107-8E3D5B0DBD65}"/>
    <cellStyle name="Normal 16 5 3 7 2" xfId="20188" xr:uid="{223DEC38-651F-4632-9A54-F3B5082DE86D}"/>
    <cellStyle name="Normal 16 5 3 7 3" xfId="20189" xr:uid="{C2C85CCE-9CCA-4AA9-8977-DA2B9089F825}"/>
    <cellStyle name="Normal 16 5 3 7 4" xfId="20190" xr:uid="{87D44A24-7DB8-475F-AE33-8B2F6CD54176}"/>
    <cellStyle name="Normal 16 5 3 7 5" xfId="20191" xr:uid="{C5B1703F-C4D9-4A02-8DC1-13E0E0F979D6}"/>
    <cellStyle name="Normal 16 5 3 8" xfId="20192" xr:uid="{A6EC2F25-7BF3-4A4D-8379-D4FF39E79E78}"/>
    <cellStyle name="Normal 16 5 3 8 2" xfId="20193" xr:uid="{113E7AAC-882B-4862-9D29-AA937444C974}"/>
    <cellStyle name="Normal 16 5 3 8 3" xfId="20194" xr:uid="{1B46D31A-2864-4E51-8EBD-DB7721D7C776}"/>
    <cellStyle name="Normal 16 5 3 8 4" xfId="20195" xr:uid="{F49204BA-021F-4B16-A877-72F0ACC10EB1}"/>
    <cellStyle name="Normal 16 5 3 8 5" xfId="20196" xr:uid="{5CE0B391-8785-4709-8291-9FE3A9FE94C6}"/>
    <cellStyle name="Normal 16 5 3 9" xfId="20197" xr:uid="{C01F2609-926B-4029-B631-358E51072083}"/>
    <cellStyle name="Normal 16 5 3 9 2" xfId="20198" xr:uid="{77A749F0-811B-44C7-A354-47B483BCAFA9}"/>
    <cellStyle name="Normal 16 5 3 9 3" xfId="20199" xr:uid="{2C5B2376-339D-4428-83BA-0A178DA33C8F}"/>
    <cellStyle name="Normal 16 5 3 9 4" xfId="20200" xr:uid="{2422BC72-404D-4CF5-A602-C6133387F42D}"/>
    <cellStyle name="Normal 16 5 3 9 5" xfId="20201" xr:uid="{3E49C6AC-1A7E-4A8E-A33D-6262E7EE2FA2}"/>
    <cellStyle name="Normal 16 5 4" xfId="20202" xr:uid="{BD919ED1-6F87-4EB8-A7E9-3935E9AD1717}"/>
    <cellStyle name="Normal 16 5 4 10" xfId="20203" xr:uid="{D7538805-F70D-4CE7-92D0-B6B021B7B4C0}"/>
    <cellStyle name="Normal 16 5 4 11" xfId="20204" xr:uid="{186BAA06-6B6F-4791-A2EB-E26247E51A5D}"/>
    <cellStyle name="Normal 16 5 4 12" xfId="20205" xr:uid="{93AE3600-3F03-49B9-AA3B-226A8D8B6FBB}"/>
    <cellStyle name="Normal 16 5 4 2" xfId="20206" xr:uid="{B799E048-F030-4931-9094-279AAA994328}"/>
    <cellStyle name="Normal 16 5 4 2 2" xfId="20207" xr:uid="{8B211C72-C213-40A1-BEDE-28982D93452C}"/>
    <cellStyle name="Normal 16 5 4 2 2 2" xfId="20208" xr:uid="{60233B2E-C740-411E-90AF-D05C301F41D1}"/>
    <cellStyle name="Normal 16 5 4 2 2 3" xfId="20209" xr:uid="{EC7B2659-0FC3-4D85-B8AE-B2007DB8F29E}"/>
    <cellStyle name="Normal 16 5 4 2 2 4" xfId="20210" xr:uid="{641AF3EF-7EBF-47F9-83CF-1F9FFB488214}"/>
    <cellStyle name="Normal 16 5 4 2 2 5" xfId="20211" xr:uid="{A70B9C91-8F68-46F0-A1E8-950ADB937158}"/>
    <cellStyle name="Normal 16 5 4 2 3" xfId="20212" xr:uid="{AFDDA7A2-ECD5-43DD-8203-8EEEB6B2C3FC}"/>
    <cellStyle name="Normal 16 5 4 2 4" xfId="20213" xr:uid="{011D69FF-BFF7-4F1F-9A77-4F87AFC1587B}"/>
    <cellStyle name="Normal 16 5 4 2 5" xfId="20214" xr:uid="{0D9F1EA7-F6B8-4E9B-92D5-41117523ACF9}"/>
    <cellStyle name="Normal 16 5 4 2 6" xfId="20215" xr:uid="{466E270D-4AB9-4720-A87B-F0E1C8968673}"/>
    <cellStyle name="Normal 16 5 4 3" xfId="20216" xr:uid="{C8B575ED-AC61-4678-9BF2-93F683B6BF67}"/>
    <cellStyle name="Normal 16 5 4 3 2" xfId="20217" xr:uid="{08964202-12DA-4B2C-BB76-E9B827CBAE85}"/>
    <cellStyle name="Normal 16 5 4 3 2 2" xfId="20218" xr:uid="{C35188DE-6C36-4EF5-A988-21B24DCEE105}"/>
    <cellStyle name="Normal 16 5 4 3 2 3" xfId="20219" xr:uid="{34582972-AAD2-470B-99E9-5B0EF976DD62}"/>
    <cellStyle name="Normal 16 5 4 3 2 4" xfId="20220" xr:uid="{21EF3DE0-58BD-45A4-9E47-E7C6A791C46E}"/>
    <cellStyle name="Normal 16 5 4 3 2 5" xfId="20221" xr:uid="{A6000016-CAB3-46E7-A05C-B7AB13C14347}"/>
    <cellStyle name="Normal 16 5 4 3 3" xfId="20222" xr:uid="{A950D2AB-AE48-4D05-A85D-ABBF560C41B4}"/>
    <cellStyle name="Normal 16 5 4 3 4" xfId="20223" xr:uid="{4E8AC321-BB06-45AD-8F97-42152717F1A5}"/>
    <cellStyle name="Normal 16 5 4 3 5" xfId="20224" xr:uid="{0607F92D-D0AD-488C-B69D-C383FFA39C5F}"/>
    <cellStyle name="Normal 16 5 4 3 6" xfId="20225" xr:uid="{F7168552-71C5-4B03-960E-6EEAC08E6F01}"/>
    <cellStyle name="Normal 16 5 4 4" xfId="20226" xr:uid="{E4FA856D-B53B-4743-A3F4-3DD264CF59B8}"/>
    <cellStyle name="Normal 16 5 4 4 2" xfId="20227" xr:uid="{7F150F86-700C-4CE3-B11E-3C15F706F794}"/>
    <cellStyle name="Normal 16 5 4 4 2 2" xfId="20228" xr:uid="{BBCE9995-BE73-4202-AD1B-859A453F3DB3}"/>
    <cellStyle name="Normal 16 5 4 4 2 3" xfId="20229" xr:uid="{6C987A5F-3AED-41DE-962F-BFEF64C75C33}"/>
    <cellStyle name="Normal 16 5 4 4 2 4" xfId="20230" xr:uid="{89C0284E-3BB7-41FA-93A9-F093C7F47ECA}"/>
    <cellStyle name="Normal 16 5 4 4 2 5" xfId="20231" xr:uid="{C0BDE704-C29B-45F3-A44E-39874041B3ED}"/>
    <cellStyle name="Normal 16 5 4 4 3" xfId="20232" xr:uid="{DBE4D834-8216-43A4-AFC7-5299673D5296}"/>
    <cellStyle name="Normal 16 5 4 4 4" xfId="20233" xr:uid="{2F467793-C143-4E2A-95C8-209292204864}"/>
    <cellStyle name="Normal 16 5 4 4 5" xfId="20234" xr:uid="{21DD0582-4497-47C3-A3DC-33E8BCFAA804}"/>
    <cellStyle name="Normal 16 5 4 4 6" xfId="20235" xr:uid="{ED88EFD4-ED6E-447D-8734-AF68BA905490}"/>
    <cellStyle name="Normal 16 5 4 5" xfId="20236" xr:uid="{A5897F9E-9EA2-40C4-AB02-0AA61B96A254}"/>
    <cellStyle name="Normal 16 5 4 5 2" xfId="20237" xr:uid="{E38DE7F8-A077-4226-A11C-5BDB28D52B1C}"/>
    <cellStyle name="Normal 16 5 4 5 3" xfId="20238" xr:uid="{20FB0833-36F5-4DFD-8B55-8FBCD3011602}"/>
    <cellStyle name="Normal 16 5 4 5 4" xfId="20239" xr:uid="{E720D477-917B-4643-9004-AA4E7E48A1FB}"/>
    <cellStyle name="Normal 16 5 4 5 5" xfId="20240" xr:uid="{D2984325-616A-4C30-B741-F72AC87D1D82}"/>
    <cellStyle name="Normal 16 5 4 6" xfId="20241" xr:uid="{79498C74-9760-4C5E-9498-A8060A6619A9}"/>
    <cellStyle name="Normal 16 5 4 6 2" xfId="20242" xr:uid="{2798B419-4E1A-4EB0-8D87-70165A6B95FC}"/>
    <cellStyle name="Normal 16 5 4 6 3" xfId="20243" xr:uid="{C6983F7E-0A82-4328-94E0-83A744F66D74}"/>
    <cellStyle name="Normal 16 5 4 6 4" xfId="20244" xr:uid="{F2F99E41-2F36-4237-9F36-77008AF953D1}"/>
    <cellStyle name="Normal 16 5 4 6 5" xfId="20245" xr:uid="{EB27D902-6CDB-4799-AB5E-CD365CDE1A6A}"/>
    <cellStyle name="Normal 16 5 4 7" xfId="20246" xr:uid="{AE1332CE-F064-4188-AC48-D5F0C93ADCBC}"/>
    <cellStyle name="Normal 16 5 4 7 2" xfId="20247" xr:uid="{D58B9BAA-E2CC-43AE-A37E-E42E26890A97}"/>
    <cellStyle name="Normal 16 5 4 7 3" xfId="20248" xr:uid="{1BE15ACA-C304-4DC1-B39A-5DACE563368D}"/>
    <cellStyle name="Normal 16 5 4 7 4" xfId="20249" xr:uid="{3D31E808-64B2-40EC-B068-4D6415EC0A34}"/>
    <cellStyle name="Normal 16 5 4 7 5" xfId="20250" xr:uid="{71E6833D-0CF0-4DB4-9D1B-90C8E403F6B1}"/>
    <cellStyle name="Normal 16 5 4 8" xfId="20251" xr:uid="{F3AF99DD-B5E5-4E8C-B82D-617A414D2F46}"/>
    <cellStyle name="Normal 16 5 4 8 2" xfId="20252" xr:uid="{2DDC45C6-D9B2-412C-AF0E-1C990AC3B9D7}"/>
    <cellStyle name="Normal 16 5 4 8 3" xfId="20253" xr:uid="{586097C9-368D-4E5E-86E3-C901BAA97F12}"/>
    <cellStyle name="Normal 16 5 4 8 4" xfId="20254" xr:uid="{25811E14-1320-4849-A57D-4291A56FE92F}"/>
    <cellStyle name="Normal 16 5 4 8 5" xfId="20255" xr:uid="{69BFA0BD-9C3D-4D8D-BC05-249AE2026C60}"/>
    <cellStyle name="Normal 16 5 4 9" xfId="20256" xr:uid="{060A0C7F-E965-4D51-9540-2E7BA59252D5}"/>
    <cellStyle name="Normal 16 5 5" xfId="20257" xr:uid="{97042E39-7A9A-45BB-BD16-4DFB80185627}"/>
    <cellStyle name="Normal 16 5 5 2" xfId="20258" xr:uid="{CE4B2E34-FB24-48D6-B2BD-A6E69D36CBFD}"/>
    <cellStyle name="Normal 16 5 5 2 2" xfId="20259" xr:uid="{41D015FB-E552-44F0-8F27-1524ABDA299B}"/>
    <cellStyle name="Normal 16 5 5 2 3" xfId="20260" xr:uid="{AC72913E-F17D-4597-B376-966FFD96B134}"/>
    <cellStyle name="Normal 16 5 5 2 4" xfId="20261" xr:uid="{77D5A3A2-D46D-4375-9E45-38E13E04492D}"/>
    <cellStyle name="Normal 16 5 5 2 5" xfId="20262" xr:uid="{523CD922-5651-4F71-BCEB-68559DAA97F6}"/>
    <cellStyle name="Normal 16 5 5 3" xfId="20263" xr:uid="{7B333F25-0EC6-4E98-B03C-A9CEDFA4A1D2}"/>
    <cellStyle name="Normal 16 5 5 4" xfId="20264" xr:uid="{D0B9E334-F395-4768-8AEB-6945BD9AEC19}"/>
    <cellStyle name="Normal 16 5 5 5" xfId="20265" xr:uid="{2B75EFAD-4C15-4F11-B0AF-2B6F845DDFFF}"/>
    <cellStyle name="Normal 16 5 5 6" xfId="20266" xr:uid="{44A57FA6-A597-4D8F-95C5-14D9F01625BC}"/>
    <cellStyle name="Normal 16 5 6" xfId="20267" xr:uid="{C66BA530-CB51-4DF2-B421-1C933CF1F8CD}"/>
    <cellStyle name="Normal 16 5 6 2" xfId="20268" xr:uid="{46C31797-E8E3-46E3-8DC7-FF184B6387FD}"/>
    <cellStyle name="Normal 16 5 6 2 2" xfId="20269" xr:uid="{A2165BCE-8C1C-4CB4-8916-4EFA6580916B}"/>
    <cellStyle name="Normal 16 5 6 2 3" xfId="20270" xr:uid="{BFB18E89-BD35-49BA-A131-0125A4C24450}"/>
    <cellStyle name="Normal 16 5 6 2 4" xfId="20271" xr:uid="{D4BEA272-41F6-4631-B98F-7B3DF27B9E5F}"/>
    <cellStyle name="Normal 16 5 6 2 5" xfId="20272" xr:uid="{6185A936-4F9F-40E3-B3A5-B273E80C0D3A}"/>
    <cellStyle name="Normal 16 5 6 3" xfId="20273" xr:uid="{0FBDF987-3AC5-4853-824A-FCD91E5AB500}"/>
    <cellStyle name="Normal 16 5 6 4" xfId="20274" xr:uid="{67D03110-B266-4645-94EB-AB8C38428989}"/>
    <cellStyle name="Normal 16 5 6 5" xfId="20275" xr:uid="{A2A150FE-FBFB-49A8-8729-EE8F3E2C2C2B}"/>
    <cellStyle name="Normal 16 5 6 6" xfId="20276" xr:uid="{09A0C2B0-6995-4A91-9D87-0E72E9AA007B}"/>
    <cellStyle name="Normal 16 5 7" xfId="20277" xr:uid="{F25DECF1-384A-4002-B249-19D18F45E860}"/>
    <cellStyle name="Normal 16 5 7 2" xfId="20278" xr:uid="{D30B6CA0-7682-4536-86FE-AC6A8A1F7036}"/>
    <cellStyle name="Normal 16 5 7 2 2" xfId="20279" xr:uid="{410D2FC1-1417-4767-8413-ADA4DD94653A}"/>
    <cellStyle name="Normal 16 5 7 2 3" xfId="20280" xr:uid="{7727BADE-D086-4C21-95C9-718E819403D3}"/>
    <cellStyle name="Normal 16 5 7 2 4" xfId="20281" xr:uid="{E0DD856D-E8FC-428D-A3CC-AFEFF0D17E5C}"/>
    <cellStyle name="Normal 16 5 7 2 5" xfId="20282" xr:uid="{7394294D-6210-437B-A145-285399AFAEAE}"/>
    <cellStyle name="Normal 16 5 7 3" xfId="20283" xr:uid="{5D6ABF62-00E0-4D3B-A3C5-02C0A606F88E}"/>
    <cellStyle name="Normal 16 5 7 4" xfId="20284" xr:uid="{4424A915-26B7-4B4E-ACD1-1ED11C36196A}"/>
    <cellStyle name="Normal 16 5 7 5" xfId="20285" xr:uid="{87210482-B010-4530-921B-30B739555A50}"/>
    <cellStyle name="Normal 16 5 7 6" xfId="20286" xr:uid="{87A3F455-C8A7-4260-91D1-39A65BAF49FD}"/>
    <cellStyle name="Normal 16 5 8" xfId="20287" xr:uid="{2DACC48E-FFFE-4A2F-ACC9-DE55591B7203}"/>
    <cellStyle name="Normal 16 5 8 2" xfId="20288" xr:uid="{EFF7A2A5-02FF-4A58-900D-4E161B0D8BAF}"/>
    <cellStyle name="Normal 16 5 8 3" xfId="20289" xr:uid="{FB97D8F1-E72F-4A7F-B52F-2F461CDB662A}"/>
    <cellStyle name="Normal 16 5 8 4" xfId="20290" xr:uid="{D659BEA3-682A-4895-B4FC-62E27CB5BB74}"/>
    <cellStyle name="Normal 16 5 8 5" xfId="20291" xr:uid="{DBCDAF5B-E0F8-431B-87FA-0E814309D9E4}"/>
    <cellStyle name="Normal 16 5 9" xfId="20292" xr:uid="{2AD6227D-F5B1-49A0-BB5F-0BC3C9E04225}"/>
    <cellStyle name="Normal 16 5 9 2" xfId="20293" xr:uid="{E25384F3-9058-4110-92BF-1CEE2864D240}"/>
    <cellStyle name="Normal 16 5 9 3" xfId="20294" xr:uid="{25BEA39C-826D-47C0-8CE5-803AA959320C}"/>
    <cellStyle name="Normal 16 5 9 4" xfId="20295" xr:uid="{7CEE8BDA-96C6-4DC9-999C-B6E5D329EEC7}"/>
    <cellStyle name="Normal 16 5 9 5" xfId="20296" xr:uid="{4997D6B8-C6A0-4387-8322-5140E53C437A}"/>
    <cellStyle name="Normal 16 6" xfId="20297" xr:uid="{8CDAD73B-7E4B-415A-BFA0-024E784A80D8}"/>
    <cellStyle name="Normal 16 6 10" xfId="20298" xr:uid="{83DA3F89-2376-4D6F-82D3-F05E111760B9}"/>
    <cellStyle name="Normal 16 6 10 2" xfId="20299" xr:uid="{1DBCAACA-213B-4F28-817B-74D45FC605D8}"/>
    <cellStyle name="Normal 16 6 10 3" xfId="20300" xr:uid="{8E5584CC-6A30-4EEB-8499-40A34BB2EEDA}"/>
    <cellStyle name="Normal 16 6 10 4" xfId="20301" xr:uid="{468FEDD9-F6D6-439D-9813-23FE076373FB}"/>
    <cellStyle name="Normal 16 6 10 5" xfId="20302" xr:uid="{DD281F3B-8839-4D3B-B654-8BDA1981516C}"/>
    <cellStyle name="Normal 16 6 11" xfId="20303" xr:uid="{19145134-787B-403B-8A46-A351A31C1759}"/>
    <cellStyle name="Normal 16 6 11 2" xfId="20304" xr:uid="{F03E34C2-F21F-48CA-BA2E-E6398ECA5DA7}"/>
    <cellStyle name="Normal 16 6 11 3" xfId="20305" xr:uid="{4C24DA32-B6FD-41A2-94D4-F85470BC1391}"/>
    <cellStyle name="Normal 16 6 11 4" xfId="20306" xr:uid="{6BAAC30D-43B7-4242-9877-11909FA2EC40}"/>
    <cellStyle name="Normal 16 6 11 5" xfId="20307" xr:uid="{018FADFF-C346-4208-8E05-BC76A2D8A53B}"/>
    <cellStyle name="Normal 16 6 12" xfId="20308" xr:uid="{F4DE217A-CBA2-40B4-BAF8-A0EA44390821}"/>
    <cellStyle name="Normal 16 6 13" xfId="20309" xr:uid="{524EBABF-CD08-4F8F-ACEB-88FABAC43842}"/>
    <cellStyle name="Normal 16 6 14" xfId="20310" xr:uid="{4B7768B7-77D4-42AB-B9C1-F6DA378B7718}"/>
    <cellStyle name="Normal 16 6 15" xfId="20311" xr:uid="{CC02E3A4-B9B9-40F6-A952-F18F83C44C53}"/>
    <cellStyle name="Normal 16 6 2" xfId="20312" xr:uid="{EB0A4DA2-B468-49D5-B78A-8C62AE359221}"/>
    <cellStyle name="Normal 16 6 2 10" xfId="20313" xr:uid="{4C731EA7-0F12-4841-AB28-9EB0327FA29C}"/>
    <cellStyle name="Normal 16 6 2 10 2" xfId="20314" xr:uid="{748F92A1-0D71-4EE4-AA5C-76BB27555F3D}"/>
    <cellStyle name="Normal 16 6 2 10 3" xfId="20315" xr:uid="{01FE78E8-8BA3-49EE-9D67-5084522A2D9C}"/>
    <cellStyle name="Normal 16 6 2 10 4" xfId="20316" xr:uid="{8AEBA58A-704C-488A-BDE2-ED6A8B8FC539}"/>
    <cellStyle name="Normal 16 6 2 10 5" xfId="20317" xr:uid="{E527735B-A0D0-45E1-8A46-4F2AB5D08978}"/>
    <cellStyle name="Normal 16 6 2 11" xfId="20318" xr:uid="{A47CF207-1517-40A4-A24A-A332E319519E}"/>
    <cellStyle name="Normal 16 6 2 12" xfId="20319" xr:uid="{47978904-5387-40F4-96D0-FC8C9C075029}"/>
    <cellStyle name="Normal 16 6 2 13" xfId="20320" xr:uid="{14C8EF25-9B19-4288-9371-1C0B1E90BF6E}"/>
    <cellStyle name="Normal 16 6 2 14" xfId="20321" xr:uid="{C7F633FB-D54A-43F7-B317-05088F232273}"/>
    <cellStyle name="Normal 16 6 2 2" xfId="20322" xr:uid="{5BA58B7A-1CC8-45D9-AF79-9976849D5736}"/>
    <cellStyle name="Normal 16 6 2 2 10" xfId="20323" xr:uid="{15AD02B3-A7CC-42BF-A036-315CC8FB9399}"/>
    <cellStyle name="Normal 16 6 2 2 11" xfId="20324" xr:uid="{5BCC9376-6D82-44D1-9EFE-D589BF7FA6F7}"/>
    <cellStyle name="Normal 16 6 2 2 12" xfId="20325" xr:uid="{FE0BEAC8-7923-4D46-91BA-4940835AD6C6}"/>
    <cellStyle name="Normal 16 6 2 2 13" xfId="20326" xr:uid="{E62DC172-CA8B-462F-B479-1F1670B28563}"/>
    <cellStyle name="Normal 16 6 2 2 2" xfId="20327" xr:uid="{484E81E6-3E16-4818-879E-7B682EEAA45E}"/>
    <cellStyle name="Normal 16 6 2 2 2 10" xfId="20328" xr:uid="{62BADD91-F80F-4415-A3A4-AC2486C6D677}"/>
    <cellStyle name="Normal 16 6 2 2 2 11" xfId="20329" xr:uid="{92C7D070-9B6F-463F-AE53-99A79BA231E4}"/>
    <cellStyle name="Normal 16 6 2 2 2 12" xfId="20330" xr:uid="{453646E6-A872-4E6C-AB23-781895E2EFD3}"/>
    <cellStyle name="Normal 16 6 2 2 2 2" xfId="20331" xr:uid="{FF3F6AF0-329E-4E20-A488-F2613C9BE0E7}"/>
    <cellStyle name="Normal 16 6 2 2 2 2 2" xfId="20332" xr:uid="{D3D9BE6D-425E-4391-BC16-634F393BAEC5}"/>
    <cellStyle name="Normal 16 6 2 2 2 2 2 2" xfId="20333" xr:uid="{A9281720-3274-4FCC-8FCC-2DE1755A5B9F}"/>
    <cellStyle name="Normal 16 6 2 2 2 2 2 3" xfId="20334" xr:uid="{202F2CA0-F6CD-4F44-A990-B73DB88322EA}"/>
    <cellStyle name="Normal 16 6 2 2 2 2 2 4" xfId="20335" xr:uid="{D7F147AF-A2CB-4F27-B604-CEE74A9BF223}"/>
    <cellStyle name="Normal 16 6 2 2 2 2 2 5" xfId="20336" xr:uid="{4B9FCC3E-FD89-4C72-AF74-70E2D234EA78}"/>
    <cellStyle name="Normal 16 6 2 2 2 2 3" xfId="20337" xr:uid="{14F0E83F-B699-4655-B633-78E467DFD2D6}"/>
    <cellStyle name="Normal 16 6 2 2 2 2 4" xfId="20338" xr:uid="{827A8BC3-ED48-41F1-88E8-9B7EF8060A84}"/>
    <cellStyle name="Normal 16 6 2 2 2 2 5" xfId="20339" xr:uid="{1D7793E7-287C-4B6D-9F94-6556F4B6CF82}"/>
    <cellStyle name="Normal 16 6 2 2 2 2 6" xfId="20340" xr:uid="{8E863443-27C2-4932-9A4D-DA9E073258CE}"/>
    <cellStyle name="Normal 16 6 2 2 2 3" xfId="20341" xr:uid="{0785DA28-7665-468C-B4E3-6CCD99923277}"/>
    <cellStyle name="Normal 16 6 2 2 2 3 2" xfId="20342" xr:uid="{0F685B6D-12AC-4A8E-82E6-EBEBE3D9AA9D}"/>
    <cellStyle name="Normal 16 6 2 2 2 3 2 2" xfId="20343" xr:uid="{B097A997-4D27-43BC-9A83-C43AF788505B}"/>
    <cellStyle name="Normal 16 6 2 2 2 3 2 3" xfId="20344" xr:uid="{19903134-594A-4F47-8506-5705E359902F}"/>
    <cellStyle name="Normal 16 6 2 2 2 3 2 4" xfId="20345" xr:uid="{894C1BDD-1215-4B16-8183-89D910938AA0}"/>
    <cellStyle name="Normal 16 6 2 2 2 3 2 5" xfId="20346" xr:uid="{65D13797-9591-448C-8690-7109DF430AEE}"/>
    <cellStyle name="Normal 16 6 2 2 2 3 3" xfId="20347" xr:uid="{6C9B09FE-2885-44FF-A2F8-DA526A14A011}"/>
    <cellStyle name="Normal 16 6 2 2 2 3 4" xfId="20348" xr:uid="{05D86351-AAF8-4DBB-9ED2-164F3C1DC49C}"/>
    <cellStyle name="Normal 16 6 2 2 2 3 5" xfId="20349" xr:uid="{FFCCB06B-E295-4C16-882C-25138D53C4EB}"/>
    <cellStyle name="Normal 16 6 2 2 2 3 6" xfId="20350" xr:uid="{ACE49496-8F11-44DE-B78E-B6F0E6FB4AFF}"/>
    <cellStyle name="Normal 16 6 2 2 2 4" xfId="20351" xr:uid="{128FD7B2-4032-4F70-88D1-771D2A956835}"/>
    <cellStyle name="Normal 16 6 2 2 2 4 2" xfId="20352" xr:uid="{AC18959A-0A4C-44EC-A106-C4BE0F988732}"/>
    <cellStyle name="Normal 16 6 2 2 2 4 2 2" xfId="20353" xr:uid="{D63A267F-DE09-4A94-806A-E5DA6539037F}"/>
    <cellStyle name="Normal 16 6 2 2 2 4 2 3" xfId="20354" xr:uid="{DF66E50E-CBC4-4294-9470-F680225E2FA4}"/>
    <cellStyle name="Normal 16 6 2 2 2 4 2 4" xfId="20355" xr:uid="{622AB854-151D-4F4F-97D7-DCCB35C25EEA}"/>
    <cellStyle name="Normal 16 6 2 2 2 4 2 5" xfId="20356" xr:uid="{B68605C8-4AC1-422D-A124-5FB9916ABFAA}"/>
    <cellStyle name="Normal 16 6 2 2 2 4 3" xfId="20357" xr:uid="{771D10B0-9BC9-453E-93D9-267A391AF14C}"/>
    <cellStyle name="Normal 16 6 2 2 2 4 4" xfId="20358" xr:uid="{AD1C04D3-0E3B-4E01-945F-77A2E4CBAD59}"/>
    <cellStyle name="Normal 16 6 2 2 2 4 5" xfId="20359" xr:uid="{5A8C0704-00BB-4D87-829C-BDC792A509C5}"/>
    <cellStyle name="Normal 16 6 2 2 2 4 6" xfId="20360" xr:uid="{C7C627DB-A85B-4BE1-A090-150DE85F945B}"/>
    <cellStyle name="Normal 16 6 2 2 2 5" xfId="20361" xr:uid="{DADAA0A0-8945-47B9-92A8-B44EF80A4D1A}"/>
    <cellStyle name="Normal 16 6 2 2 2 5 2" xfId="20362" xr:uid="{37B2B088-A145-472D-9CBF-E60306DF40CA}"/>
    <cellStyle name="Normal 16 6 2 2 2 5 3" xfId="20363" xr:uid="{E6B59610-6E68-4413-AD35-499153744834}"/>
    <cellStyle name="Normal 16 6 2 2 2 5 4" xfId="20364" xr:uid="{1D9415E3-C19D-4EB7-ADF7-5EDBF706385F}"/>
    <cellStyle name="Normal 16 6 2 2 2 5 5" xfId="20365" xr:uid="{577569B3-F7D9-43A1-99DA-BC739005A500}"/>
    <cellStyle name="Normal 16 6 2 2 2 6" xfId="20366" xr:uid="{3F3BC99F-40C4-4412-A3DC-2E4CDDA37EFD}"/>
    <cellStyle name="Normal 16 6 2 2 2 6 2" xfId="20367" xr:uid="{B3854DCD-BC23-48BF-9626-279175F8CDF6}"/>
    <cellStyle name="Normal 16 6 2 2 2 6 3" xfId="20368" xr:uid="{1222F656-8358-431D-BECD-30B60E2E0C97}"/>
    <cellStyle name="Normal 16 6 2 2 2 6 4" xfId="20369" xr:uid="{7AFCC065-3920-4431-A93C-6EB319D05FFA}"/>
    <cellStyle name="Normal 16 6 2 2 2 6 5" xfId="20370" xr:uid="{5C5F0BE1-8A0E-435D-B89E-21C02587310B}"/>
    <cellStyle name="Normal 16 6 2 2 2 7" xfId="20371" xr:uid="{ADB8E9CE-CD82-46CF-BFDA-7C6367594039}"/>
    <cellStyle name="Normal 16 6 2 2 2 7 2" xfId="20372" xr:uid="{A91EEE8A-D4C9-42F5-AB36-E4B56031CA69}"/>
    <cellStyle name="Normal 16 6 2 2 2 7 3" xfId="20373" xr:uid="{DC1D82A9-705C-4DAD-ADF7-23C686E8C19A}"/>
    <cellStyle name="Normal 16 6 2 2 2 7 4" xfId="20374" xr:uid="{73ADA4E7-574E-4D79-86C4-55DCB089A32E}"/>
    <cellStyle name="Normal 16 6 2 2 2 7 5" xfId="20375" xr:uid="{027FF881-D0C6-431E-9444-0BA219FD91DA}"/>
    <cellStyle name="Normal 16 6 2 2 2 8" xfId="20376" xr:uid="{FC453F7F-04E0-46C1-8FC4-3A5E2304D01A}"/>
    <cellStyle name="Normal 16 6 2 2 2 8 2" xfId="20377" xr:uid="{975C0CE3-B2FC-42F0-AEE2-044BE6758BAD}"/>
    <cellStyle name="Normal 16 6 2 2 2 8 3" xfId="20378" xr:uid="{24EB91EE-68FC-4316-BCB0-D829A4910834}"/>
    <cellStyle name="Normal 16 6 2 2 2 8 4" xfId="20379" xr:uid="{68163420-459F-4B49-88F7-8957C4DC06BF}"/>
    <cellStyle name="Normal 16 6 2 2 2 8 5" xfId="20380" xr:uid="{52ABF591-1508-4A37-ACBE-0EF7FE7D9121}"/>
    <cellStyle name="Normal 16 6 2 2 2 9" xfId="20381" xr:uid="{C33F8535-A488-4E6A-AADC-1288D4911621}"/>
    <cellStyle name="Normal 16 6 2 2 3" xfId="20382" xr:uid="{13634F12-1A11-429D-913E-B78C5A23488E}"/>
    <cellStyle name="Normal 16 6 2 2 3 2" xfId="20383" xr:uid="{F8D2CCC2-AACF-4A77-9536-12099048FAA0}"/>
    <cellStyle name="Normal 16 6 2 2 3 2 2" xfId="20384" xr:uid="{2978FBCE-C18E-47CB-BD87-A9E2AA328BA2}"/>
    <cellStyle name="Normal 16 6 2 2 3 2 3" xfId="20385" xr:uid="{56123939-71B0-4C1F-9719-69E431840BC2}"/>
    <cellStyle name="Normal 16 6 2 2 3 2 4" xfId="20386" xr:uid="{8C24240F-F8AE-405B-A2E4-EE281572B4AF}"/>
    <cellStyle name="Normal 16 6 2 2 3 2 5" xfId="20387" xr:uid="{2120E877-E8B4-4378-B773-53ABF1052527}"/>
    <cellStyle name="Normal 16 6 2 2 3 3" xfId="20388" xr:uid="{7625D209-3A0B-481F-B1E2-F44B9502DDD1}"/>
    <cellStyle name="Normal 16 6 2 2 3 4" xfId="20389" xr:uid="{A2E13A63-9E65-40A7-8AB9-13777366BA9F}"/>
    <cellStyle name="Normal 16 6 2 2 3 5" xfId="20390" xr:uid="{1C3FC467-5365-41DD-8791-2D6EB6D8225C}"/>
    <cellStyle name="Normal 16 6 2 2 3 6" xfId="20391" xr:uid="{16FCAA85-A1AA-41DE-B59C-B879C90A2E60}"/>
    <cellStyle name="Normal 16 6 2 2 4" xfId="20392" xr:uid="{4F689AD7-6E60-460B-BCEB-4F4AA72BCF7E}"/>
    <cellStyle name="Normal 16 6 2 2 4 2" xfId="20393" xr:uid="{16A80788-67BA-43F1-9D9A-DEC6CAA9FA49}"/>
    <cellStyle name="Normal 16 6 2 2 4 2 2" xfId="20394" xr:uid="{E81882F8-7417-49F9-B436-FE0A782BAE8D}"/>
    <cellStyle name="Normal 16 6 2 2 4 2 3" xfId="20395" xr:uid="{3C1E83C3-E39E-4AB6-B6F1-6A88324C1EC8}"/>
    <cellStyle name="Normal 16 6 2 2 4 2 4" xfId="20396" xr:uid="{92B6D6B8-3605-48E2-80CD-3E0E3542DD57}"/>
    <cellStyle name="Normal 16 6 2 2 4 2 5" xfId="20397" xr:uid="{491D9D8B-899E-4B06-9843-C411CD74408C}"/>
    <cellStyle name="Normal 16 6 2 2 4 3" xfId="20398" xr:uid="{57CE4052-621F-4BCF-8A0D-6885D37EA546}"/>
    <cellStyle name="Normal 16 6 2 2 4 4" xfId="20399" xr:uid="{BFFA48CF-8A21-4C9B-926F-576924EE9B88}"/>
    <cellStyle name="Normal 16 6 2 2 4 5" xfId="20400" xr:uid="{0BAE07E6-6E89-44F8-8194-30CF89A87CE0}"/>
    <cellStyle name="Normal 16 6 2 2 4 6" xfId="20401" xr:uid="{19899E04-496A-4F9B-BBE0-573E10BF82E8}"/>
    <cellStyle name="Normal 16 6 2 2 5" xfId="20402" xr:uid="{7462AB6A-E6CD-4F56-BADA-4AB0C6AB28FE}"/>
    <cellStyle name="Normal 16 6 2 2 5 2" xfId="20403" xr:uid="{D75C384C-37E4-420E-A1D7-52F42D8A57B5}"/>
    <cellStyle name="Normal 16 6 2 2 5 2 2" xfId="20404" xr:uid="{A86AEA47-87C4-4DF4-9B2D-1F41C61F19DF}"/>
    <cellStyle name="Normal 16 6 2 2 5 2 3" xfId="20405" xr:uid="{86FF79F0-18A4-4965-9823-92858B7FC6FE}"/>
    <cellStyle name="Normal 16 6 2 2 5 2 4" xfId="20406" xr:uid="{EAB7AE42-2E31-4A9E-B639-A8399E00AEF2}"/>
    <cellStyle name="Normal 16 6 2 2 5 2 5" xfId="20407" xr:uid="{BA4EA377-7C89-417A-9E76-ED00A78D05B7}"/>
    <cellStyle name="Normal 16 6 2 2 5 3" xfId="20408" xr:uid="{2B2D13CD-5545-4FEB-8385-35F45B003C8F}"/>
    <cellStyle name="Normal 16 6 2 2 5 4" xfId="20409" xr:uid="{CC55C83F-A750-4968-A8DC-FDD758B45D97}"/>
    <cellStyle name="Normal 16 6 2 2 5 5" xfId="20410" xr:uid="{E7C9CA52-5277-487A-837B-22130A029D5E}"/>
    <cellStyle name="Normal 16 6 2 2 5 6" xfId="20411" xr:uid="{872BE8DE-81EF-450A-A4B2-9C5C8DC22090}"/>
    <cellStyle name="Normal 16 6 2 2 6" xfId="20412" xr:uid="{ED23C803-C993-4B3C-8454-48FF1942F374}"/>
    <cellStyle name="Normal 16 6 2 2 6 2" xfId="20413" xr:uid="{6E5CE32B-97BB-4CE1-A7C3-3AC727812E0E}"/>
    <cellStyle name="Normal 16 6 2 2 6 3" xfId="20414" xr:uid="{B5401AAA-7DA4-4EEF-B834-D147D18FEF5F}"/>
    <cellStyle name="Normal 16 6 2 2 6 4" xfId="20415" xr:uid="{3A01ABC7-1A75-4C7D-A163-1CF4B870D83A}"/>
    <cellStyle name="Normal 16 6 2 2 6 5" xfId="20416" xr:uid="{BE7D71FD-E152-44B2-810A-786EEEEFA299}"/>
    <cellStyle name="Normal 16 6 2 2 7" xfId="20417" xr:uid="{B9DA6B61-3305-44BF-8847-C9236AA6A80F}"/>
    <cellStyle name="Normal 16 6 2 2 7 2" xfId="20418" xr:uid="{DDA5E2A0-34FB-41FA-AE21-CCC2E3B8710E}"/>
    <cellStyle name="Normal 16 6 2 2 7 3" xfId="20419" xr:uid="{84A803CF-1FE5-475E-BA7E-282FE5631D73}"/>
    <cellStyle name="Normal 16 6 2 2 7 4" xfId="20420" xr:uid="{2ED6B6D6-299B-4322-A220-F5885F2F6209}"/>
    <cellStyle name="Normal 16 6 2 2 7 5" xfId="20421" xr:uid="{04BAD4A5-337B-493F-92FD-30A4FFE775F2}"/>
    <cellStyle name="Normal 16 6 2 2 8" xfId="20422" xr:uid="{9F0EFF14-EB2B-4E46-938F-52BCD1A763DF}"/>
    <cellStyle name="Normal 16 6 2 2 8 2" xfId="20423" xr:uid="{E646DD72-B233-4BC0-A5DC-D2FB83B0E1CB}"/>
    <cellStyle name="Normal 16 6 2 2 8 3" xfId="20424" xr:uid="{B091AE3B-CFE5-447A-8BDB-41084FB57105}"/>
    <cellStyle name="Normal 16 6 2 2 8 4" xfId="20425" xr:uid="{14E46D62-E9D0-4911-8366-8E7C5B5F3E59}"/>
    <cellStyle name="Normal 16 6 2 2 8 5" xfId="20426" xr:uid="{A1F0C16D-41EB-4D49-AB1F-0044F25768D4}"/>
    <cellStyle name="Normal 16 6 2 2 9" xfId="20427" xr:uid="{F53FE944-D0F3-410F-B836-15AB5ADECE99}"/>
    <cellStyle name="Normal 16 6 2 2 9 2" xfId="20428" xr:uid="{C71FAB55-8045-41EB-856F-70D94FF2ADA4}"/>
    <cellStyle name="Normal 16 6 2 2 9 3" xfId="20429" xr:uid="{FEFAF7A6-D72F-4D2C-A223-8EC1FA6DC2A2}"/>
    <cellStyle name="Normal 16 6 2 2 9 4" xfId="20430" xr:uid="{8D3ABFBA-DA4F-4001-83CE-49263CD8F1B3}"/>
    <cellStyle name="Normal 16 6 2 2 9 5" xfId="20431" xr:uid="{2B8191F7-EE34-4E77-82E4-0D5ACC5CE8C1}"/>
    <cellStyle name="Normal 16 6 2 3" xfId="20432" xr:uid="{D1828323-BD0E-4D9C-9610-403E444E261B}"/>
    <cellStyle name="Normal 16 6 2 3 10" xfId="20433" xr:uid="{3B24E861-1EB8-4350-9299-ABA9B7B54332}"/>
    <cellStyle name="Normal 16 6 2 3 11" xfId="20434" xr:uid="{1AF2D165-D08C-48FF-A341-D10A90A914FE}"/>
    <cellStyle name="Normal 16 6 2 3 12" xfId="20435" xr:uid="{DFF51A9F-0F98-422A-A2C0-5888EA65970D}"/>
    <cellStyle name="Normal 16 6 2 3 2" xfId="20436" xr:uid="{91C59EC9-BFD6-422C-A296-2AD78BFDEA58}"/>
    <cellStyle name="Normal 16 6 2 3 2 2" xfId="20437" xr:uid="{1B131D82-2A21-4242-BBB5-EF69C497EB3B}"/>
    <cellStyle name="Normal 16 6 2 3 2 2 2" xfId="20438" xr:uid="{7B2A2A54-591A-4EF3-832B-29BA43D8A67A}"/>
    <cellStyle name="Normal 16 6 2 3 2 2 3" xfId="20439" xr:uid="{722B1D07-4B75-4131-BD02-76874CC7FEBF}"/>
    <cellStyle name="Normal 16 6 2 3 2 2 4" xfId="20440" xr:uid="{1AA338C0-A53F-4E40-90B5-0229D213BBCA}"/>
    <cellStyle name="Normal 16 6 2 3 2 2 5" xfId="20441" xr:uid="{A9375A74-0E44-433E-BA70-73364BD799B9}"/>
    <cellStyle name="Normal 16 6 2 3 2 3" xfId="20442" xr:uid="{19ED8DBA-2A02-4D52-AFAE-BED1218032D5}"/>
    <cellStyle name="Normal 16 6 2 3 2 4" xfId="20443" xr:uid="{70690232-C6A8-4FE4-89E4-228B06DB001B}"/>
    <cellStyle name="Normal 16 6 2 3 2 5" xfId="20444" xr:uid="{88DC3389-73ED-4CA5-8199-7DDA62C15F89}"/>
    <cellStyle name="Normal 16 6 2 3 2 6" xfId="20445" xr:uid="{23F90E5C-A53F-4523-809F-1990AE41C23A}"/>
    <cellStyle name="Normal 16 6 2 3 3" xfId="20446" xr:uid="{4AE9DF9A-3B69-4E6E-8A3D-5A86948F5B66}"/>
    <cellStyle name="Normal 16 6 2 3 3 2" xfId="20447" xr:uid="{C9421390-BB9C-4794-A282-7719F7254453}"/>
    <cellStyle name="Normal 16 6 2 3 3 2 2" xfId="20448" xr:uid="{16BCA066-55A0-46D7-86B4-DCFC7B0BE37D}"/>
    <cellStyle name="Normal 16 6 2 3 3 2 3" xfId="20449" xr:uid="{2BF9FCE9-1E69-4335-8448-6610A1F767C4}"/>
    <cellStyle name="Normal 16 6 2 3 3 2 4" xfId="20450" xr:uid="{A83EC2C3-0B5C-4FBD-9DD0-B6D98280CC80}"/>
    <cellStyle name="Normal 16 6 2 3 3 2 5" xfId="20451" xr:uid="{93BF648C-C06C-49FF-9EED-F475EE08C9D9}"/>
    <cellStyle name="Normal 16 6 2 3 3 3" xfId="20452" xr:uid="{CA046505-1DB3-4D13-8389-7B8CA965ED53}"/>
    <cellStyle name="Normal 16 6 2 3 3 4" xfId="20453" xr:uid="{983CFBC9-8F78-48ED-9D53-02D86377BBCD}"/>
    <cellStyle name="Normal 16 6 2 3 3 5" xfId="20454" xr:uid="{401AB09D-2967-4264-98BB-D4E1EC20026F}"/>
    <cellStyle name="Normal 16 6 2 3 3 6" xfId="20455" xr:uid="{8B6C9131-C304-449F-97E0-C63C718A623A}"/>
    <cellStyle name="Normal 16 6 2 3 4" xfId="20456" xr:uid="{51C883C0-83A6-41BF-A806-387431425E63}"/>
    <cellStyle name="Normal 16 6 2 3 4 2" xfId="20457" xr:uid="{025B3E50-DEFC-45C4-82EB-1104E04FD489}"/>
    <cellStyle name="Normal 16 6 2 3 4 2 2" xfId="20458" xr:uid="{CF623F12-18B8-4687-8869-F54A9FC33417}"/>
    <cellStyle name="Normal 16 6 2 3 4 2 3" xfId="20459" xr:uid="{AFC79FCE-5DCB-4A3C-BBC0-21D8C3BDFDD4}"/>
    <cellStyle name="Normal 16 6 2 3 4 2 4" xfId="20460" xr:uid="{7695E178-03DB-45BA-AE37-6833D465477C}"/>
    <cellStyle name="Normal 16 6 2 3 4 2 5" xfId="20461" xr:uid="{CAAC7C82-FFD7-4197-A9D0-40B7D6954D2C}"/>
    <cellStyle name="Normal 16 6 2 3 4 3" xfId="20462" xr:uid="{B396464C-CB98-4089-9331-990B360B553B}"/>
    <cellStyle name="Normal 16 6 2 3 4 4" xfId="20463" xr:uid="{7B59B275-050F-4A48-A8CD-7428462B5F64}"/>
    <cellStyle name="Normal 16 6 2 3 4 5" xfId="20464" xr:uid="{53AE06C3-D8C6-4912-AFAC-DD45F625E38D}"/>
    <cellStyle name="Normal 16 6 2 3 4 6" xfId="20465" xr:uid="{DAE29D74-DC05-480A-8FB6-72076D6E0CBB}"/>
    <cellStyle name="Normal 16 6 2 3 5" xfId="20466" xr:uid="{122BBC17-348F-4F26-BF89-00E79C589FF3}"/>
    <cellStyle name="Normal 16 6 2 3 5 2" xfId="20467" xr:uid="{183D57EF-549D-4C77-8091-FC3B4EA213A8}"/>
    <cellStyle name="Normal 16 6 2 3 5 3" xfId="20468" xr:uid="{E875A14E-B3AB-4617-935C-55BF26A8CAF4}"/>
    <cellStyle name="Normal 16 6 2 3 5 4" xfId="20469" xr:uid="{65C175C3-662D-4323-8216-4F0DBA64C527}"/>
    <cellStyle name="Normal 16 6 2 3 5 5" xfId="20470" xr:uid="{1BD963E3-B6BB-4C44-96A6-BB8561181E90}"/>
    <cellStyle name="Normal 16 6 2 3 6" xfId="20471" xr:uid="{6BC99C29-4DCA-46C7-9FD8-2C5013D587A4}"/>
    <cellStyle name="Normal 16 6 2 3 6 2" xfId="20472" xr:uid="{CB98FF2C-CB85-4D3C-953A-169F331569FB}"/>
    <cellStyle name="Normal 16 6 2 3 6 3" xfId="20473" xr:uid="{194DBD53-7321-434B-A3E7-1E11A1ECA961}"/>
    <cellStyle name="Normal 16 6 2 3 6 4" xfId="20474" xr:uid="{A2108B8B-B724-412A-AD2E-E3F4C9BFAA26}"/>
    <cellStyle name="Normal 16 6 2 3 6 5" xfId="20475" xr:uid="{FB687455-828B-4A85-90FF-870C78C3910C}"/>
    <cellStyle name="Normal 16 6 2 3 7" xfId="20476" xr:uid="{654613C3-540B-4274-832F-21648C1E436E}"/>
    <cellStyle name="Normal 16 6 2 3 7 2" xfId="20477" xr:uid="{07E5527B-193A-48DE-A0B1-85DC643F1627}"/>
    <cellStyle name="Normal 16 6 2 3 7 3" xfId="20478" xr:uid="{756FEF74-B80A-4C5C-9DCF-733A115F593E}"/>
    <cellStyle name="Normal 16 6 2 3 7 4" xfId="20479" xr:uid="{1B5E62EF-FF4E-44B0-A6D6-7098619D4A52}"/>
    <cellStyle name="Normal 16 6 2 3 7 5" xfId="20480" xr:uid="{7A4FD22A-A83C-4209-9DDD-62365A4E0157}"/>
    <cellStyle name="Normal 16 6 2 3 8" xfId="20481" xr:uid="{7483B2DA-521E-458C-A098-09B90266AFC9}"/>
    <cellStyle name="Normal 16 6 2 3 8 2" xfId="20482" xr:uid="{31CB2872-AD3C-44EA-BE2A-1F8D1E6881C7}"/>
    <cellStyle name="Normal 16 6 2 3 8 3" xfId="20483" xr:uid="{75E2B030-5787-4E38-8EBF-97BB58FCCED3}"/>
    <cellStyle name="Normal 16 6 2 3 8 4" xfId="20484" xr:uid="{A3620D7E-BC1B-4FC4-8C13-CCAEE8BB7B15}"/>
    <cellStyle name="Normal 16 6 2 3 8 5" xfId="20485" xr:uid="{3EC53B08-65B5-4872-AE58-4DD0E25F3763}"/>
    <cellStyle name="Normal 16 6 2 3 9" xfId="20486" xr:uid="{B2379F7C-D518-4067-AFF9-6E4577A4989D}"/>
    <cellStyle name="Normal 16 6 2 4" xfId="20487" xr:uid="{39A967A0-CE06-4440-987F-DD05CF8A510F}"/>
    <cellStyle name="Normal 16 6 2 4 2" xfId="20488" xr:uid="{6F0F3D4B-8425-4F77-BB78-77831020B0AD}"/>
    <cellStyle name="Normal 16 6 2 4 2 2" xfId="20489" xr:uid="{3103F8C5-D101-4361-A2FC-12A3F1BA85F3}"/>
    <cellStyle name="Normal 16 6 2 4 2 3" xfId="20490" xr:uid="{6C8BE763-8650-4331-AC98-27460B0B6E59}"/>
    <cellStyle name="Normal 16 6 2 4 2 4" xfId="20491" xr:uid="{F2F75F41-43F5-4DCD-BF2B-7F1D6D622B54}"/>
    <cellStyle name="Normal 16 6 2 4 2 5" xfId="20492" xr:uid="{C7ABA98D-637F-451F-BAA5-078F5770249C}"/>
    <cellStyle name="Normal 16 6 2 4 3" xfId="20493" xr:uid="{A4C838A6-A16E-47EC-9397-32ACD98F5217}"/>
    <cellStyle name="Normal 16 6 2 4 4" xfId="20494" xr:uid="{EAE7D43B-D1DA-4A95-8AD7-80EF07246526}"/>
    <cellStyle name="Normal 16 6 2 4 5" xfId="20495" xr:uid="{73EF9F1E-5115-4076-971B-ABD0B7B2107C}"/>
    <cellStyle name="Normal 16 6 2 4 6" xfId="20496" xr:uid="{09A9F3C7-7B88-4C2D-9E5D-54333507CB8E}"/>
    <cellStyle name="Normal 16 6 2 5" xfId="20497" xr:uid="{7BD6DE43-6C2A-49EB-869F-369A26D5A94E}"/>
    <cellStyle name="Normal 16 6 2 5 2" xfId="20498" xr:uid="{500799F6-A92A-47D3-B4B4-745F2D3415CF}"/>
    <cellStyle name="Normal 16 6 2 5 2 2" xfId="20499" xr:uid="{C743CFFC-D9E4-4582-9D86-C505CC5909CE}"/>
    <cellStyle name="Normal 16 6 2 5 2 3" xfId="20500" xr:uid="{EEE93577-19DD-41C7-801D-5DA8213C6460}"/>
    <cellStyle name="Normal 16 6 2 5 2 4" xfId="20501" xr:uid="{55A6E89C-F605-43E0-8D75-1179E53A6F20}"/>
    <cellStyle name="Normal 16 6 2 5 2 5" xfId="20502" xr:uid="{134C54E2-32FB-44F9-81CA-5E9B554F56B0}"/>
    <cellStyle name="Normal 16 6 2 5 3" xfId="20503" xr:uid="{192C4FBA-5041-40E1-9E04-3CCFAC019463}"/>
    <cellStyle name="Normal 16 6 2 5 4" xfId="20504" xr:uid="{3E803D9B-82A8-4612-8045-163945B7346C}"/>
    <cellStyle name="Normal 16 6 2 5 5" xfId="20505" xr:uid="{4ED0D995-C1CA-4DF2-8C95-7928075A9310}"/>
    <cellStyle name="Normal 16 6 2 5 6" xfId="20506" xr:uid="{10ABA3F7-0020-42D2-910B-3BA41693EB75}"/>
    <cellStyle name="Normal 16 6 2 6" xfId="20507" xr:uid="{C13C273B-7509-4799-971E-90C44799BFDF}"/>
    <cellStyle name="Normal 16 6 2 6 2" xfId="20508" xr:uid="{AEA57A55-6D45-4DE7-92D8-4199F0AE2111}"/>
    <cellStyle name="Normal 16 6 2 6 2 2" xfId="20509" xr:uid="{5B60EBD5-5A55-49B7-AFF1-FA492F6A1DAB}"/>
    <cellStyle name="Normal 16 6 2 6 2 3" xfId="20510" xr:uid="{4A9C7E54-2DC3-464B-8ACA-5AC39A799993}"/>
    <cellStyle name="Normal 16 6 2 6 2 4" xfId="20511" xr:uid="{2A76D5F0-7674-4BDC-88BB-261759EA9AF3}"/>
    <cellStyle name="Normal 16 6 2 6 2 5" xfId="20512" xr:uid="{7DE19C97-B0ED-448A-B9B5-8EB1D96F33F2}"/>
    <cellStyle name="Normal 16 6 2 6 3" xfId="20513" xr:uid="{3978AACE-C16F-4B3F-B9B4-41A271EEFF79}"/>
    <cellStyle name="Normal 16 6 2 6 4" xfId="20514" xr:uid="{61970C54-F6D0-4389-BE99-1C31D5657F01}"/>
    <cellStyle name="Normal 16 6 2 6 5" xfId="20515" xr:uid="{C4178741-3ADA-409E-8C88-E81AD821D351}"/>
    <cellStyle name="Normal 16 6 2 6 6" xfId="20516" xr:uid="{812459C9-A64D-4130-AD4B-1DBABF062BCE}"/>
    <cellStyle name="Normal 16 6 2 7" xfId="20517" xr:uid="{D57E1C9B-6307-4607-9CE0-52C7D0AB96B4}"/>
    <cellStyle name="Normal 16 6 2 7 2" xfId="20518" xr:uid="{059DB12B-7CF9-4445-BA70-9D240F05529E}"/>
    <cellStyle name="Normal 16 6 2 7 3" xfId="20519" xr:uid="{DC4E20AD-F8CB-4420-95EC-1349B4261C9A}"/>
    <cellStyle name="Normal 16 6 2 7 4" xfId="20520" xr:uid="{16F7DEDD-E84A-4340-A2F5-4A3894B2B452}"/>
    <cellStyle name="Normal 16 6 2 7 5" xfId="20521" xr:uid="{09B41634-6EB3-49FF-B4B7-98309D2CBD9D}"/>
    <cellStyle name="Normal 16 6 2 8" xfId="20522" xr:uid="{8F471290-A1C3-4838-82DE-83BBE7100652}"/>
    <cellStyle name="Normal 16 6 2 8 2" xfId="20523" xr:uid="{C874D169-E8A7-4B8A-9681-037FD512AF8D}"/>
    <cellStyle name="Normal 16 6 2 8 3" xfId="20524" xr:uid="{FAB8B33A-E70C-4859-977D-49FAE410BCCD}"/>
    <cellStyle name="Normal 16 6 2 8 4" xfId="20525" xr:uid="{2FFF84D3-3D95-4A2F-843F-F27CEBC3A50D}"/>
    <cellStyle name="Normal 16 6 2 8 5" xfId="20526" xr:uid="{B5E4E5BC-D4FD-4C2D-95BD-B335A5FCC10A}"/>
    <cellStyle name="Normal 16 6 2 9" xfId="20527" xr:uid="{E0D9D6ED-103D-4D33-A52D-BD49C4FD030A}"/>
    <cellStyle name="Normal 16 6 2 9 2" xfId="20528" xr:uid="{4CBBD076-9372-427F-84FC-AA27CD052CD3}"/>
    <cellStyle name="Normal 16 6 2 9 3" xfId="20529" xr:uid="{89BB897A-1BFB-497C-9A47-DA05611DFB36}"/>
    <cellStyle name="Normal 16 6 2 9 4" xfId="20530" xr:uid="{BEC1DA1C-342E-49FA-BA59-C6777C75CBDB}"/>
    <cellStyle name="Normal 16 6 2 9 5" xfId="20531" xr:uid="{D2373A9F-31D5-4FEE-B4A2-C45914D3127B}"/>
    <cellStyle name="Normal 16 6 3" xfId="20532" xr:uid="{C0A421A3-0CC1-4BBE-A153-30B3FEAD3942}"/>
    <cellStyle name="Normal 16 6 3 10" xfId="20533" xr:uid="{E4C9E790-6878-4578-8A0E-2FC5A952D21C}"/>
    <cellStyle name="Normal 16 6 3 11" xfId="20534" xr:uid="{C34AA48D-07D8-4EE1-B6C1-970AC510741F}"/>
    <cellStyle name="Normal 16 6 3 12" xfId="20535" xr:uid="{175A361E-6E08-4B6E-BC49-15122D69A642}"/>
    <cellStyle name="Normal 16 6 3 13" xfId="20536" xr:uid="{A11FE74D-D57B-453C-B2AB-8CCDC3D251AF}"/>
    <cellStyle name="Normal 16 6 3 2" xfId="20537" xr:uid="{060EDCEE-6F96-4E34-B22E-B37B2EF69996}"/>
    <cellStyle name="Normal 16 6 3 2 10" xfId="20538" xr:uid="{80DFEF82-60F7-4F68-913A-872972695264}"/>
    <cellStyle name="Normal 16 6 3 2 11" xfId="20539" xr:uid="{44E6F678-4BEE-45D3-8C54-547691AF6B96}"/>
    <cellStyle name="Normal 16 6 3 2 12" xfId="20540" xr:uid="{B0732488-BD01-4358-8FA3-B6C7109F91F1}"/>
    <cellStyle name="Normal 16 6 3 2 2" xfId="20541" xr:uid="{4441EB52-CD2C-482C-87ED-9E4B7DF63999}"/>
    <cellStyle name="Normal 16 6 3 2 2 2" xfId="20542" xr:uid="{FF0C50E4-B620-492D-9705-33415D7E7C13}"/>
    <cellStyle name="Normal 16 6 3 2 2 2 2" xfId="20543" xr:uid="{DD74C660-253D-4722-B073-0D850979E3B3}"/>
    <cellStyle name="Normal 16 6 3 2 2 2 3" xfId="20544" xr:uid="{A8586536-7ED5-4C9E-92BD-2165DEA6C66A}"/>
    <cellStyle name="Normal 16 6 3 2 2 2 4" xfId="20545" xr:uid="{AB06A331-61F9-4D58-81E2-AC3116EB45FC}"/>
    <cellStyle name="Normal 16 6 3 2 2 2 5" xfId="20546" xr:uid="{0521400A-64A8-4979-AD24-6F39614F67F8}"/>
    <cellStyle name="Normal 16 6 3 2 2 3" xfId="20547" xr:uid="{687C8D39-164F-4610-8A6E-F8B144865779}"/>
    <cellStyle name="Normal 16 6 3 2 2 4" xfId="20548" xr:uid="{3D8F850A-9F1B-41F4-A707-E0AE6B2DE074}"/>
    <cellStyle name="Normal 16 6 3 2 2 5" xfId="20549" xr:uid="{9EAADFFD-15CE-4209-B033-DD01802CCB00}"/>
    <cellStyle name="Normal 16 6 3 2 2 6" xfId="20550" xr:uid="{3EE62D82-0F8B-474D-8C6B-E1E67763F83E}"/>
    <cellStyle name="Normal 16 6 3 2 3" xfId="20551" xr:uid="{408DA5C9-3856-42DD-8C0E-2F33A46482C9}"/>
    <cellStyle name="Normal 16 6 3 2 3 2" xfId="20552" xr:uid="{81CF10E8-F6AD-4137-A31B-794F10EEE694}"/>
    <cellStyle name="Normal 16 6 3 2 3 2 2" xfId="20553" xr:uid="{95951E6A-DDA4-42F9-B40D-CB549076CC4E}"/>
    <cellStyle name="Normal 16 6 3 2 3 2 3" xfId="20554" xr:uid="{97ABD3AC-C728-4349-80D8-CEF34B630652}"/>
    <cellStyle name="Normal 16 6 3 2 3 2 4" xfId="20555" xr:uid="{420620AD-28CE-408E-B22D-48602E8EE46F}"/>
    <cellStyle name="Normal 16 6 3 2 3 2 5" xfId="20556" xr:uid="{7799C72D-7EF3-4060-B3E0-956024D250B2}"/>
    <cellStyle name="Normal 16 6 3 2 3 3" xfId="20557" xr:uid="{4C90548E-B7ED-41DA-BA64-F959D6BEF181}"/>
    <cellStyle name="Normal 16 6 3 2 3 4" xfId="20558" xr:uid="{698FEE46-8C02-4ED3-B1B9-9710A1F3D228}"/>
    <cellStyle name="Normal 16 6 3 2 3 5" xfId="20559" xr:uid="{15251F1E-56A6-4387-B2EE-1A0A9ABA2FB2}"/>
    <cellStyle name="Normal 16 6 3 2 3 6" xfId="20560" xr:uid="{2EDD034F-466C-488D-819E-56A124DF6C5B}"/>
    <cellStyle name="Normal 16 6 3 2 4" xfId="20561" xr:uid="{F541B4AF-FFB2-4D17-951C-842720D73E49}"/>
    <cellStyle name="Normal 16 6 3 2 4 2" xfId="20562" xr:uid="{9FD0BA10-3FF8-4D7A-A420-09ED74F0092E}"/>
    <cellStyle name="Normal 16 6 3 2 4 2 2" xfId="20563" xr:uid="{E336B20A-A2C4-4829-A4DF-D85D45D98F6B}"/>
    <cellStyle name="Normal 16 6 3 2 4 2 3" xfId="20564" xr:uid="{357DF478-41F6-4E14-A802-C46B22D508DC}"/>
    <cellStyle name="Normal 16 6 3 2 4 2 4" xfId="20565" xr:uid="{6412D198-6113-408A-A119-7E7CE9F9044B}"/>
    <cellStyle name="Normal 16 6 3 2 4 2 5" xfId="20566" xr:uid="{553C777E-53B4-46CE-93F7-0EDB8722C968}"/>
    <cellStyle name="Normal 16 6 3 2 4 3" xfId="20567" xr:uid="{7DBA263E-5F94-4AE4-9DE4-B1A747F83481}"/>
    <cellStyle name="Normal 16 6 3 2 4 4" xfId="20568" xr:uid="{4221E7EB-30E8-4EB5-B958-905348B7D5D1}"/>
    <cellStyle name="Normal 16 6 3 2 4 5" xfId="20569" xr:uid="{88D9B476-D8CE-449F-B7BC-EEDF8FE54938}"/>
    <cellStyle name="Normal 16 6 3 2 4 6" xfId="20570" xr:uid="{5DC49675-20C0-4A88-9D8A-A5184D021746}"/>
    <cellStyle name="Normal 16 6 3 2 5" xfId="20571" xr:uid="{1D347575-FA6D-4012-85DE-72B10A2F2D3E}"/>
    <cellStyle name="Normal 16 6 3 2 5 2" xfId="20572" xr:uid="{EB62B7F0-D603-494B-885C-F2A18816F61B}"/>
    <cellStyle name="Normal 16 6 3 2 5 3" xfId="20573" xr:uid="{93CE8F7F-376F-4511-99A0-76F4921C5CC8}"/>
    <cellStyle name="Normal 16 6 3 2 5 4" xfId="20574" xr:uid="{C54D06A9-8EAF-47C1-8E2C-628CCCBD5898}"/>
    <cellStyle name="Normal 16 6 3 2 5 5" xfId="20575" xr:uid="{9307B47E-8A9C-4B24-9C94-FE2F32454417}"/>
    <cellStyle name="Normal 16 6 3 2 6" xfId="20576" xr:uid="{EEDE256F-BC50-4214-A8F2-132656CE8423}"/>
    <cellStyle name="Normal 16 6 3 2 6 2" xfId="20577" xr:uid="{5FFBB823-C5B3-4AC4-816F-1D8A0E4965BD}"/>
    <cellStyle name="Normal 16 6 3 2 6 3" xfId="20578" xr:uid="{9CC09298-853B-4CA1-A0A4-BC951586F780}"/>
    <cellStyle name="Normal 16 6 3 2 6 4" xfId="20579" xr:uid="{AF47CB38-18D0-46D1-B3A2-291384CA09DB}"/>
    <cellStyle name="Normal 16 6 3 2 6 5" xfId="20580" xr:uid="{1E5593CA-5085-4206-859C-94CED488D818}"/>
    <cellStyle name="Normal 16 6 3 2 7" xfId="20581" xr:uid="{30AD7BAD-0CF7-4E55-A8C1-0AADF2C27DC7}"/>
    <cellStyle name="Normal 16 6 3 2 7 2" xfId="20582" xr:uid="{5403123E-D246-4EE4-BC95-664AB96AAEA7}"/>
    <cellStyle name="Normal 16 6 3 2 7 3" xfId="20583" xr:uid="{62432512-5F6E-4B3B-8205-F1A6E1C92D26}"/>
    <cellStyle name="Normal 16 6 3 2 7 4" xfId="20584" xr:uid="{806FE335-A599-456F-8194-A5FFA3E18DEB}"/>
    <cellStyle name="Normal 16 6 3 2 7 5" xfId="20585" xr:uid="{BDFC12FB-47E1-4510-B4DF-E65152D03D0B}"/>
    <cellStyle name="Normal 16 6 3 2 8" xfId="20586" xr:uid="{67164AA0-0C29-4911-9E8F-2384D94CFCD6}"/>
    <cellStyle name="Normal 16 6 3 2 8 2" xfId="20587" xr:uid="{72BA23F8-8E84-4039-92CB-D1410CFBE482}"/>
    <cellStyle name="Normal 16 6 3 2 8 3" xfId="20588" xr:uid="{11B26EC9-02F1-4C37-98D6-369FF18943DA}"/>
    <cellStyle name="Normal 16 6 3 2 8 4" xfId="20589" xr:uid="{96DC3FCC-2D2D-44E1-8806-4C60DE5CDAB6}"/>
    <cellStyle name="Normal 16 6 3 2 8 5" xfId="20590" xr:uid="{0CE8FB18-BB3A-4BEC-800A-D7F0E03F1590}"/>
    <cellStyle name="Normal 16 6 3 2 9" xfId="20591" xr:uid="{436E409E-F18D-4D4A-A83C-B868B75D7287}"/>
    <cellStyle name="Normal 16 6 3 3" xfId="20592" xr:uid="{81B2A28D-BD79-464F-AE74-1EDC541D21AD}"/>
    <cellStyle name="Normal 16 6 3 3 2" xfId="20593" xr:uid="{4F903296-2E08-46B8-9755-79D7698B5398}"/>
    <cellStyle name="Normal 16 6 3 3 2 2" xfId="20594" xr:uid="{9DDB65DF-B116-48DD-AE6D-CC1AA1E12B4E}"/>
    <cellStyle name="Normal 16 6 3 3 2 3" xfId="20595" xr:uid="{F7F301A9-530E-4DFD-B24A-B74941474794}"/>
    <cellStyle name="Normal 16 6 3 3 2 4" xfId="20596" xr:uid="{EB8EE452-D503-4ED2-AC82-078D5D3EAA9E}"/>
    <cellStyle name="Normal 16 6 3 3 2 5" xfId="20597" xr:uid="{DBCE7A5D-3A9B-4AEB-8BD0-2B4858868A86}"/>
    <cellStyle name="Normal 16 6 3 3 3" xfId="20598" xr:uid="{679DF7AE-8D95-49D3-9B88-108808AC1DED}"/>
    <cellStyle name="Normal 16 6 3 3 4" xfId="20599" xr:uid="{764650C9-95BF-4BB1-AC6B-9701578E948D}"/>
    <cellStyle name="Normal 16 6 3 3 5" xfId="20600" xr:uid="{15C1B7DB-35CE-4EFD-967B-5B1F66A7ABE7}"/>
    <cellStyle name="Normal 16 6 3 3 6" xfId="20601" xr:uid="{1357E4DE-8A15-40BE-B26C-97C066D29529}"/>
    <cellStyle name="Normal 16 6 3 4" xfId="20602" xr:uid="{02F0409A-577C-4DC7-9C4D-D3A83FC9B092}"/>
    <cellStyle name="Normal 16 6 3 4 2" xfId="20603" xr:uid="{CB38FED9-368E-4892-B0BB-1BE75583B3E6}"/>
    <cellStyle name="Normal 16 6 3 4 2 2" xfId="20604" xr:uid="{98952914-37C4-4648-ACAF-BFCF63E82671}"/>
    <cellStyle name="Normal 16 6 3 4 2 3" xfId="20605" xr:uid="{2A5E1F1F-6879-421C-ABC8-F48E79F18C2A}"/>
    <cellStyle name="Normal 16 6 3 4 2 4" xfId="20606" xr:uid="{4888B4C3-2802-4992-B01D-C1E31746BD73}"/>
    <cellStyle name="Normal 16 6 3 4 2 5" xfId="20607" xr:uid="{D18A920D-C168-434E-BEEE-528C0A6234E6}"/>
    <cellStyle name="Normal 16 6 3 4 3" xfId="20608" xr:uid="{A491C068-1FE0-4A1D-A59B-C2926276C0C7}"/>
    <cellStyle name="Normal 16 6 3 4 4" xfId="20609" xr:uid="{A2D395A3-8E9A-474D-81FC-52A87F98E115}"/>
    <cellStyle name="Normal 16 6 3 4 5" xfId="20610" xr:uid="{4A0C47A6-15C3-4255-AF77-7D430BDFFFA5}"/>
    <cellStyle name="Normal 16 6 3 4 6" xfId="20611" xr:uid="{7B4380A3-D8E6-4493-97C9-00603583852C}"/>
    <cellStyle name="Normal 16 6 3 5" xfId="20612" xr:uid="{7D04AD61-48BD-4EF6-ACC0-F3E4ABF06E22}"/>
    <cellStyle name="Normal 16 6 3 5 2" xfId="20613" xr:uid="{44417636-DE7E-4F0B-8ACB-7A8633BD96CC}"/>
    <cellStyle name="Normal 16 6 3 5 2 2" xfId="20614" xr:uid="{BED91DE5-4ED2-4EA2-9871-3F8563180C62}"/>
    <cellStyle name="Normal 16 6 3 5 2 3" xfId="20615" xr:uid="{C65CABC5-4C6B-494B-B554-978BB06CD8F1}"/>
    <cellStyle name="Normal 16 6 3 5 2 4" xfId="20616" xr:uid="{276934E0-A729-40C8-957D-BD921F36B89F}"/>
    <cellStyle name="Normal 16 6 3 5 2 5" xfId="20617" xr:uid="{6165A9B4-80F2-4CE8-94CE-FAF6B8A19A96}"/>
    <cellStyle name="Normal 16 6 3 5 3" xfId="20618" xr:uid="{6565DB42-5B04-4850-87D6-4117309BE0FA}"/>
    <cellStyle name="Normal 16 6 3 5 4" xfId="20619" xr:uid="{A2017A15-A39B-4838-94DC-E46A45BFEE30}"/>
    <cellStyle name="Normal 16 6 3 5 5" xfId="20620" xr:uid="{69693A6A-C812-42C5-8448-DD8FD9BB7B5F}"/>
    <cellStyle name="Normal 16 6 3 5 6" xfId="20621" xr:uid="{D90B4C3B-EA4A-4F45-BD69-5B5DB15836C0}"/>
    <cellStyle name="Normal 16 6 3 6" xfId="20622" xr:uid="{0DBB3503-DF19-40E3-93CE-A71B4FC2C781}"/>
    <cellStyle name="Normal 16 6 3 6 2" xfId="20623" xr:uid="{BBFD0642-03CC-4ABD-93F7-96B7541AF751}"/>
    <cellStyle name="Normal 16 6 3 6 3" xfId="20624" xr:uid="{9D547E2E-97F5-4D55-81CF-36E01D30F68C}"/>
    <cellStyle name="Normal 16 6 3 6 4" xfId="20625" xr:uid="{CECD24A0-96B1-407A-B5E4-56BB38BA6D5D}"/>
    <cellStyle name="Normal 16 6 3 6 5" xfId="20626" xr:uid="{B3E5317D-08BA-43E4-95C0-3A56200F1E7C}"/>
    <cellStyle name="Normal 16 6 3 7" xfId="20627" xr:uid="{073A253B-6FB7-4504-B9A9-42B1E3A71CD0}"/>
    <cellStyle name="Normal 16 6 3 7 2" xfId="20628" xr:uid="{A966D07D-C0ED-4767-B1AD-51D0B8ED5622}"/>
    <cellStyle name="Normal 16 6 3 7 3" xfId="20629" xr:uid="{9D64A54E-A71F-4A4B-B01D-E41173A5455D}"/>
    <cellStyle name="Normal 16 6 3 7 4" xfId="20630" xr:uid="{E3C06C8C-9A17-4AB4-BC75-091883C2CDEA}"/>
    <cellStyle name="Normal 16 6 3 7 5" xfId="20631" xr:uid="{B5C7E3E2-7581-4249-ACD6-3BB41FDC1F21}"/>
    <cellStyle name="Normal 16 6 3 8" xfId="20632" xr:uid="{49A52363-A0C5-46A4-844A-09D2F5359C35}"/>
    <cellStyle name="Normal 16 6 3 8 2" xfId="20633" xr:uid="{74EBD6D4-6C69-4D60-B701-3746462A3F00}"/>
    <cellStyle name="Normal 16 6 3 8 3" xfId="20634" xr:uid="{7037F663-4C0B-4774-AAEC-3E2C54A943BD}"/>
    <cellStyle name="Normal 16 6 3 8 4" xfId="20635" xr:uid="{74F5891C-78E8-42FF-AC09-F938D9F68CC8}"/>
    <cellStyle name="Normal 16 6 3 8 5" xfId="20636" xr:uid="{D88673E6-55DC-47D2-B756-8DE46D0E4D75}"/>
    <cellStyle name="Normal 16 6 3 9" xfId="20637" xr:uid="{3112451E-8242-4C82-9AB5-C7F756FCA615}"/>
    <cellStyle name="Normal 16 6 3 9 2" xfId="20638" xr:uid="{ED9681B4-70E1-4C3C-842B-4CD555B48CC5}"/>
    <cellStyle name="Normal 16 6 3 9 3" xfId="20639" xr:uid="{BEB38E9A-D5EA-4F84-BE51-314B4D8C2D01}"/>
    <cellStyle name="Normal 16 6 3 9 4" xfId="20640" xr:uid="{69B76759-B751-40EF-BB21-659D1566C60E}"/>
    <cellStyle name="Normal 16 6 3 9 5" xfId="20641" xr:uid="{4A8F4414-DF04-404F-9EE6-9A647773C233}"/>
    <cellStyle name="Normal 16 6 4" xfId="20642" xr:uid="{35AF464A-315F-455C-92D2-2ECEABBE0BF3}"/>
    <cellStyle name="Normal 16 6 4 10" xfId="20643" xr:uid="{A165168C-1106-4BC8-95BA-A52187610084}"/>
    <cellStyle name="Normal 16 6 4 11" xfId="20644" xr:uid="{60844DB9-8F82-4DF0-B187-49C2C78E346D}"/>
    <cellStyle name="Normal 16 6 4 12" xfId="20645" xr:uid="{88BCDF87-8D42-44CA-99EA-5BB74213C6B3}"/>
    <cellStyle name="Normal 16 6 4 2" xfId="20646" xr:uid="{82B43099-8D6B-4A1A-89E6-BFBB8E223ED1}"/>
    <cellStyle name="Normal 16 6 4 2 2" xfId="20647" xr:uid="{C86C7A65-AC98-4EA3-B7DB-3A60D3C7B34E}"/>
    <cellStyle name="Normal 16 6 4 2 2 2" xfId="20648" xr:uid="{E5E9C608-C8B8-4D61-9947-640F4BE13EB5}"/>
    <cellStyle name="Normal 16 6 4 2 2 3" xfId="20649" xr:uid="{96C98BC3-1028-46A7-A068-ECD23CEFAA8D}"/>
    <cellStyle name="Normal 16 6 4 2 2 4" xfId="20650" xr:uid="{AFFADBE1-FC06-406B-8D93-71DA438888D3}"/>
    <cellStyle name="Normal 16 6 4 2 2 5" xfId="20651" xr:uid="{2F65A48A-6109-4A61-9D89-04FC4434EF59}"/>
    <cellStyle name="Normal 16 6 4 2 3" xfId="20652" xr:uid="{DACEF9A1-6160-4267-ABC6-C69C72795C77}"/>
    <cellStyle name="Normal 16 6 4 2 4" xfId="20653" xr:uid="{06D8ABEA-400A-48B7-911E-FBE3DBBE38EA}"/>
    <cellStyle name="Normal 16 6 4 2 5" xfId="20654" xr:uid="{30844D14-2A87-46A8-90B4-74BF454D37BD}"/>
    <cellStyle name="Normal 16 6 4 2 6" xfId="20655" xr:uid="{226F0031-BA53-48C6-A694-590F1E2F474C}"/>
    <cellStyle name="Normal 16 6 4 3" xfId="20656" xr:uid="{B20BA97F-7A56-4C23-875F-475BE6B6C793}"/>
    <cellStyle name="Normal 16 6 4 3 2" xfId="20657" xr:uid="{DA7CDF79-A306-42F7-B281-0E46E57543D8}"/>
    <cellStyle name="Normal 16 6 4 3 2 2" xfId="20658" xr:uid="{4BA590B8-FF8D-49BF-8CC9-A3C8A55E93BE}"/>
    <cellStyle name="Normal 16 6 4 3 2 3" xfId="20659" xr:uid="{E1F562D9-68EC-4444-97C3-A94D3C03B264}"/>
    <cellStyle name="Normal 16 6 4 3 2 4" xfId="20660" xr:uid="{20D0B462-EA21-4991-A89C-1657C2C91210}"/>
    <cellStyle name="Normal 16 6 4 3 2 5" xfId="20661" xr:uid="{C5CC3012-ED3D-4A3E-9EEE-3E9DFC0C5EFD}"/>
    <cellStyle name="Normal 16 6 4 3 3" xfId="20662" xr:uid="{D60DF88F-04B2-43FF-85EE-BA2C47ADAAC1}"/>
    <cellStyle name="Normal 16 6 4 3 4" xfId="20663" xr:uid="{6BA8FC5C-1044-4C4E-99DE-F219FDF0ED08}"/>
    <cellStyle name="Normal 16 6 4 3 5" xfId="20664" xr:uid="{88044ADD-B1B5-40DE-B88E-6598EF3C72C7}"/>
    <cellStyle name="Normal 16 6 4 3 6" xfId="20665" xr:uid="{D8216FAD-950B-43B1-9787-E40538040C27}"/>
    <cellStyle name="Normal 16 6 4 4" xfId="20666" xr:uid="{D172F04A-D658-4DF7-9DD1-A7773DA334B6}"/>
    <cellStyle name="Normal 16 6 4 4 2" xfId="20667" xr:uid="{18C212D2-5B7C-45E2-A407-AE3127805CC6}"/>
    <cellStyle name="Normal 16 6 4 4 2 2" xfId="20668" xr:uid="{05A57C36-1D00-458D-B5A2-6FF04674051E}"/>
    <cellStyle name="Normal 16 6 4 4 2 3" xfId="20669" xr:uid="{3EAD6C2B-472A-4B32-8FC9-6CB2544B0C15}"/>
    <cellStyle name="Normal 16 6 4 4 2 4" xfId="20670" xr:uid="{FE06B2F2-A6BE-453A-80CD-1EBA1543096D}"/>
    <cellStyle name="Normal 16 6 4 4 2 5" xfId="20671" xr:uid="{6921D946-9D93-45F4-9AEF-1B5BC6331869}"/>
    <cellStyle name="Normal 16 6 4 4 3" xfId="20672" xr:uid="{78C1EAC1-2397-4771-A8DD-EFDCE76A2639}"/>
    <cellStyle name="Normal 16 6 4 4 4" xfId="20673" xr:uid="{2E40613C-A8AB-4154-9023-2B3E923C732A}"/>
    <cellStyle name="Normal 16 6 4 4 5" xfId="20674" xr:uid="{B1542BB9-27FE-437E-8166-80D5D9C1D03F}"/>
    <cellStyle name="Normal 16 6 4 4 6" xfId="20675" xr:uid="{FF4CC983-0BAE-459F-8449-3EDC5FFAA4B7}"/>
    <cellStyle name="Normal 16 6 4 5" xfId="20676" xr:uid="{1EFF9942-6A14-41D8-B6AB-948FFB7B8139}"/>
    <cellStyle name="Normal 16 6 4 5 2" xfId="20677" xr:uid="{7606FBD3-0263-4D95-BF26-C9E4B1D023C4}"/>
    <cellStyle name="Normal 16 6 4 5 3" xfId="20678" xr:uid="{A097924F-EE75-41EA-9CE4-2F6561BEB0D9}"/>
    <cellStyle name="Normal 16 6 4 5 4" xfId="20679" xr:uid="{24B2B6A5-2FF1-42EE-9030-1312522B6383}"/>
    <cellStyle name="Normal 16 6 4 5 5" xfId="20680" xr:uid="{E95DB1A7-AD4C-4F25-92C4-3A50F80B9A43}"/>
    <cellStyle name="Normal 16 6 4 6" xfId="20681" xr:uid="{86193E68-98FE-4AAD-8AA3-A79427D1545E}"/>
    <cellStyle name="Normal 16 6 4 6 2" xfId="20682" xr:uid="{62AD79DB-E5A8-417C-9FA7-42749B02E916}"/>
    <cellStyle name="Normal 16 6 4 6 3" xfId="20683" xr:uid="{A57C02AE-C41E-42A0-9263-4633E1CDBB7B}"/>
    <cellStyle name="Normal 16 6 4 6 4" xfId="20684" xr:uid="{B75B8202-0A57-41CF-BA38-014F9CD02EDF}"/>
    <cellStyle name="Normal 16 6 4 6 5" xfId="20685" xr:uid="{8952FF8E-CC3E-4A96-8621-BE3BDDD73977}"/>
    <cellStyle name="Normal 16 6 4 7" xfId="20686" xr:uid="{55FA7490-05C7-4622-869B-74041D9D6E84}"/>
    <cellStyle name="Normal 16 6 4 7 2" xfId="20687" xr:uid="{DB95F29E-D642-4951-ABF3-275FEDE3C1E8}"/>
    <cellStyle name="Normal 16 6 4 7 3" xfId="20688" xr:uid="{8B785690-1C3D-4369-9D12-408722FE97C5}"/>
    <cellStyle name="Normal 16 6 4 7 4" xfId="20689" xr:uid="{49774A63-91A7-4129-9B94-0B71B58CE2F0}"/>
    <cellStyle name="Normal 16 6 4 7 5" xfId="20690" xr:uid="{1E163219-E54A-4306-A665-E3F6D0486587}"/>
    <cellStyle name="Normal 16 6 4 8" xfId="20691" xr:uid="{AB914989-C91E-461F-BCD3-ACA2066CA85C}"/>
    <cellStyle name="Normal 16 6 4 8 2" xfId="20692" xr:uid="{405A07D4-9111-4995-9505-877F104A5724}"/>
    <cellStyle name="Normal 16 6 4 8 3" xfId="20693" xr:uid="{592D6344-DCA2-4A18-BEE6-3D698894E2FC}"/>
    <cellStyle name="Normal 16 6 4 8 4" xfId="20694" xr:uid="{35C96D40-2175-402F-A07E-02D1BDC755A4}"/>
    <cellStyle name="Normal 16 6 4 8 5" xfId="20695" xr:uid="{E17F36C4-735D-4118-9E29-8D5E2FF8FC62}"/>
    <cellStyle name="Normal 16 6 4 9" xfId="20696" xr:uid="{E544542F-DCE3-4CAE-9599-D419FA8C8CF5}"/>
    <cellStyle name="Normal 16 6 5" xfId="20697" xr:uid="{E7B97596-70AE-4256-B0CE-4E28982566C6}"/>
    <cellStyle name="Normal 16 6 5 2" xfId="20698" xr:uid="{2204DF52-4301-4984-9F0A-52C6BAC65026}"/>
    <cellStyle name="Normal 16 6 5 2 2" xfId="20699" xr:uid="{377425E3-DCD0-4CFD-89B0-8450B51C006B}"/>
    <cellStyle name="Normal 16 6 5 2 3" xfId="20700" xr:uid="{B6C9D4D8-7079-419E-B5CF-7DB76215DDD8}"/>
    <cellStyle name="Normal 16 6 5 2 4" xfId="20701" xr:uid="{524F85D8-FF07-4FDB-BC5F-83C6F78AE6DA}"/>
    <cellStyle name="Normal 16 6 5 2 5" xfId="20702" xr:uid="{206E68DA-B616-42FB-93FD-F7FCA0E86F58}"/>
    <cellStyle name="Normal 16 6 5 3" xfId="20703" xr:uid="{DA2EBC8B-C22A-4D95-9C54-575A93F62569}"/>
    <cellStyle name="Normal 16 6 5 4" xfId="20704" xr:uid="{62B7F4E1-C2E5-43AE-818F-0C3F6F04F4C7}"/>
    <cellStyle name="Normal 16 6 5 5" xfId="20705" xr:uid="{17FBE8D7-6B43-4999-BAC0-9D253700A412}"/>
    <cellStyle name="Normal 16 6 5 6" xfId="20706" xr:uid="{B393379C-7A1B-4CA0-B9DA-0A169F59C5A4}"/>
    <cellStyle name="Normal 16 6 6" xfId="20707" xr:uid="{37872674-C7DC-4083-94D6-C5943689DBB2}"/>
    <cellStyle name="Normal 16 6 6 2" xfId="20708" xr:uid="{AC61DE9C-80FD-456A-AEB3-6CB3B7543B33}"/>
    <cellStyle name="Normal 16 6 6 2 2" xfId="20709" xr:uid="{B965EDFA-34F8-4772-9185-7FFC55502894}"/>
    <cellStyle name="Normal 16 6 6 2 3" xfId="20710" xr:uid="{D6303DF4-B9CF-4C44-B79B-2696C4245CBA}"/>
    <cellStyle name="Normal 16 6 6 2 4" xfId="20711" xr:uid="{D2C3E020-C4D1-49EE-8165-4A75449044E0}"/>
    <cellStyle name="Normal 16 6 6 2 5" xfId="20712" xr:uid="{11C0B721-858B-4BE3-8541-733684E1E48A}"/>
    <cellStyle name="Normal 16 6 6 3" xfId="20713" xr:uid="{33CA9271-7A95-448D-904B-0BDAEE4FAABB}"/>
    <cellStyle name="Normal 16 6 6 4" xfId="20714" xr:uid="{8399BE5B-BA62-47AC-8831-A417F9C3E3E3}"/>
    <cellStyle name="Normal 16 6 6 5" xfId="20715" xr:uid="{7138C063-45B8-4346-97FA-A50C22C25BA5}"/>
    <cellStyle name="Normal 16 6 6 6" xfId="20716" xr:uid="{209DA340-059B-4C50-8794-E93A5D44EC24}"/>
    <cellStyle name="Normal 16 6 7" xfId="20717" xr:uid="{22F871F2-AEC6-4D93-A15C-B1AE3FEA05DC}"/>
    <cellStyle name="Normal 16 6 7 2" xfId="20718" xr:uid="{47E2CC5F-B1D8-4C25-892F-C8197087A5B4}"/>
    <cellStyle name="Normal 16 6 7 2 2" xfId="20719" xr:uid="{66E787AF-6981-419C-8B6F-6B00D767FD67}"/>
    <cellStyle name="Normal 16 6 7 2 3" xfId="20720" xr:uid="{A71DF494-D7BE-4046-B491-B298396F0F41}"/>
    <cellStyle name="Normal 16 6 7 2 4" xfId="20721" xr:uid="{3D0DC4E6-5F79-4F11-AAF1-F7E8E663B75F}"/>
    <cellStyle name="Normal 16 6 7 2 5" xfId="20722" xr:uid="{C06C4D5C-882E-4B8A-A602-B6710E92F7DA}"/>
    <cellStyle name="Normal 16 6 7 3" xfId="20723" xr:uid="{8A48DBDA-633A-4B34-9737-9C598CB8B6FA}"/>
    <cellStyle name="Normal 16 6 7 4" xfId="20724" xr:uid="{13EFBAE1-39D3-48D8-A53F-64EE87C6BFDA}"/>
    <cellStyle name="Normal 16 6 7 5" xfId="20725" xr:uid="{790FD529-D4AE-49B8-8B21-C64154317FC1}"/>
    <cellStyle name="Normal 16 6 7 6" xfId="20726" xr:uid="{136CE8DA-E203-4C74-A98B-49EA445594A8}"/>
    <cellStyle name="Normal 16 6 8" xfId="20727" xr:uid="{D87F0033-4F58-41E2-8F0B-FCD6DFE9DFBA}"/>
    <cellStyle name="Normal 16 6 8 2" xfId="20728" xr:uid="{883EE0D1-1433-4DCB-9CFF-C10BFC248863}"/>
    <cellStyle name="Normal 16 6 8 3" xfId="20729" xr:uid="{F19F9575-399E-4C8F-B888-AF48A8C22407}"/>
    <cellStyle name="Normal 16 6 8 4" xfId="20730" xr:uid="{6CCB40B2-E2F9-453D-8AF2-DEEF582E780C}"/>
    <cellStyle name="Normal 16 6 8 5" xfId="20731" xr:uid="{4F31B2B1-9568-4FDB-99B4-1137ACE60AF3}"/>
    <cellStyle name="Normal 16 6 9" xfId="20732" xr:uid="{2E266670-81A3-49CF-BB35-8705748882B2}"/>
    <cellStyle name="Normal 16 6 9 2" xfId="20733" xr:uid="{0CE5AC3B-E307-43E0-BDBF-8313CC2320EA}"/>
    <cellStyle name="Normal 16 6 9 3" xfId="20734" xr:uid="{873FAFA3-5DD9-4B02-9951-EB2940879940}"/>
    <cellStyle name="Normal 16 6 9 4" xfId="20735" xr:uid="{8A5CAD50-6CE3-4E0D-A48B-C3DAB5176896}"/>
    <cellStyle name="Normal 16 6 9 5" xfId="20736" xr:uid="{25363061-E643-4F37-8861-5235FFCB6DF0}"/>
    <cellStyle name="Normal 16 7" xfId="20737" xr:uid="{15053D8C-B2B3-4CF2-923B-6A7777346840}"/>
    <cellStyle name="Normal 16 7 10" xfId="20738" xr:uid="{DAC4662C-E5FC-4AC3-907C-779A62E29DBD}"/>
    <cellStyle name="Normal 16 7 10 2" xfId="20739" xr:uid="{1DB998ED-8945-4021-BB7A-3F3EC137A0D6}"/>
    <cellStyle name="Normal 16 7 10 3" xfId="20740" xr:uid="{320C667E-7A37-471A-9834-433CFA227B8F}"/>
    <cellStyle name="Normal 16 7 10 4" xfId="20741" xr:uid="{AD21D0DB-363E-4FDC-9C68-831496C6C5B8}"/>
    <cellStyle name="Normal 16 7 10 5" xfId="20742" xr:uid="{3C4348A4-7621-4C54-977A-B4B2713888FE}"/>
    <cellStyle name="Normal 16 7 11" xfId="20743" xr:uid="{BFBD3B47-6F08-4407-B8D6-85FC25392175}"/>
    <cellStyle name="Normal 16 7 11 2" xfId="20744" xr:uid="{D89CFC27-51C2-4333-80AE-7CD8F1ED8136}"/>
    <cellStyle name="Normal 16 7 11 3" xfId="20745" xr:uid="{1F702520-D21A-4ADC-8DD1-311005F47DF4}"/>
    <cellStyle name="Normal 16 7 11 4" xfId="20746" xr:uid="{22C568A3-0727-4CCE-B74C-CBB5C767A329}"/>
    <cellStyle name="Normal 16 7 11 5" xfId="20747" xr:uid="{A888180F-DEF3-4CEC-A3D1-27C7F583963C}"/>
    <cellStyle name="Normal 16 7 12" xfId="20748" xr:uid="{51CC712A-93CC-4628-861E-E7F01F15AFE9}"/>
    <cellStyle name="Normal 16 7 13" xfId="20749" xr:uid="{1D1A9E79-DFCB-4CC2-A87E-BE9859599BCB}"/>
    <cellStyle name="Normal 16 7 14" xfId="20750" xr:uid="{68C1B147-ADDF-4B1F-BA67-13A5ADF4FB1E}"/>
    <cellStyle name="Normal 16 7 15" xfId="20751" xr:uid="{DBF7F520-DC53-4D77-9F47-489882598FC0}"/>
    <cellStyle name="Normal 16 7 2" xfId="20752" xr:uid="{BA9D9C8D-0BD9-4D81-97E6-14C74F372826}"/>
    <cellStyle name="Normal 16 7 2 10" xfId="20753" xr:uid="{4DCAF524-2081-4514-BC39-B5C6F69EB687}"/>
    <cellStyle name="Normal 16 7 2 10 2" xfId="20754" xr:uid="{6609E768-D2B5-4799-917F-C5F90DD01CBC}"/>
    <cellStyle name="Normal 16 7 2 10 3" xfId="20755" xr:uid="{86DACACA-FD2F-4FE2-87CA-C963CF2DD6E1}"/>
    <cellStyle name="Normal 16 7 2 10 4" xfId="20756" xr:uid="{17CC1363-B2C4-4276-8179-EC71E54E44C3}"/>
    <cellStyle name="Normal 16 7 2 10 5" xfId="20757" xr:uid="{57FA77E0-88D8-4F97-9A66-D95A19A153C8}"/>
    <cellStyle name="Normal 16 7 2 11" xfId="20758" xr:uid="{97D32093-FF27-4627-9ED5-627DCFD4BA75}"/>
    <cellStyle name="Normal 16 7 2 12" xfId="20759" xr:uid="{1E0F2C01-0631-4001-89FA-0493F2BCA783}"/>
    <cellStyle name="Normal 16 7 2 13" xfId="20760" xr:uid="{08894ECB-608C-4482-B595-A32E08C06379}"/>
    <cellStyle name="Normal 16 7 2 14" xfId="20761" xr:uid="{EF2E28C2-9026-483B-A4CD-A6FB32D605EB}"/>
    <cellStyle name="Normal 16 7 2 2" xfId="20762" xr:uid="{30DF2FF5-4BB2-4F79-BEFE-3667872781F8}"/>
    <cellStyle name="Normal 16 7 2 2 10" xfId="20763" xr:uid="{D01C0549-E350-45F1-B40D-F76245E7F835}"/>
    <cellStyle name="Normal 16 7 2 2 11" xfId="20764" xr:uid="{84925C96-E4A8-4D60-BCE0-8F864AE3490D}"/>
    <cellStyle name="Normal 16 7 2 2 12" xfId="20765" xr:uid="{F146F3CA-4D3A-4DBC-8317-EE471B54CE32}"/>
    <cellStyle name="Normal 16 7 2 2 13" xfId="20766" xr:uid="{74B2F056-83B6-452E-9D78-CD4E8E8F6114}"/>
    <cellStyle name="Normal 16 7 2 2 2" xfId="20767" xr:uid="{0B1E4C8B-5C79-4B80-A69E-5C73A15FF332}"/>
    <cellStyle name="Normal 16 7 2 2 2 10" xfId="20768" xr:uid="{60FBB472-6DEC-4327-8D5D-C11487FB4A4F}"/>
    <cellStyle name="Normal 16 7 2 2 2 11" xfId="20769" xr:uid="{20583D33-310C-4355-9559-36B4E8661C45}"/>
    <cellStyle name="Normal 16 7 2 2 2 12" xfId="20770" xr:uid="{50E389A7-2ADD-4650-A20F-F321B83BD4A7}"/>
    <cellStyle name="Normal 16 7 2 2 2 2" xfId="20771" xr:uid="{466B13A3-3CD8-4381-8BB9-C084A0EC5491}"/>
    <cellStyle name="Normal 16 7 2 2 2 2 2" xfId="20772" xr:uid="{8A674D56-7BF3-4A0F-B603-FA1C052BCA51}"/>
    <cellStyle name="Normal 16 7 2 2 2 2 2 2" xfId="20773" xr:uid="{285A9232-8DEF-43DE-AB7F-F36E6C262CC2}"/>
    <cellStyle name="Normal 16 7 2 2 2 2 2 3" xfId="20774" xr:uid="{63F499EC-8CD1-4205-9846-D757A60B5968}"/>
    <cellStyle name="Normal 16 7 2 2 2 2 2 4" xfId="20775" xr:uid="{B7A06A25-BE8A-4255-9D24-C7F7D84A5A1E}"/>
    <cellStyle name="Normal 16 7 2 2 2 2 2 5" xfId="20776" xr:uid="{0CB9B4AD-FFD5-46A7-B93B-6CDC55C4FB71}"/>
    <cellStyle name="Normal 16 7 2 2 2 2 3" xfId="20777" xr:uid="{DA65DC48-146A-4980-9EB6-2BA71F7587BB}"/>
    <cellStyle name="Normal 16 7 2 2 2 2 4" xfId="20778" xr:uid="{CEF9BA77-859D-4015-B90E-110358905602}"/>
    <cellStyle name="Normal 16 7 2 2 2 2 5" xfId="20779" xr:uid="{5AE4DD18-7239-448C-B8F6-D9C8B7503399}"/>
    <cellStyle name="Normal 16 7 2 2 2 2 6" xfId="20780" xr:uid="{979A3006-8AE9-4DDE-BFB0-8EF773ED33D3}"/>
    <cellStyle name="Normal 16 7 2 2 2 3" xfId="20781" xr:uid="{ADB60BD1-4C98-426C-B6E3-C4C6587DE104}"/>
    <cellStyle name="Normal 16 7 2 2 2 3 2" xfId="20782" xr:uid="{0067F59A-B7BE-44A4-BA90-CF827ABABB23}"/>
    <cellStyle name="Normal 16 7 2 2 2 3 2 2" xfId="20783" xr:uid="{9B63426E-F790-40F7-A43D-953CCF61AE9D}"/>
    <cellStyle name="Normal 16 7 2 2 2 3 2 3" xfId="20784" xr:uid="{3B3CA144-431E-4A8D-BD01-7C5FBFA21F9C}"/>
    <cellStyle name="Normal 16 7 2 2 2 3 2 4" xfId="20785" xr:uid="{8C806A81-BD27-479A-90AF-BE680DCC97DE}"/>
    <cellStyle name="Normal 16 7 2 2 2 3 2 5" xfId="20786" xr:uid="{D6C59A57-E663-45F5-9AD9-BE021CBB31F4}"/>
    <cellStyle name="Normal 16 7 2 2 2 3 3" xfId="20787" xr:uid="{D3C30245-449C-434E-A33E-AAC024F875EB}"/>
    <cellStyle name="Normal 16 7 2 2 2 3 4" xfId="20788" xr:uid="{D4B187BB-F8BF-41DF-A01E-F4BCC58321C7}"/>
    <cellStyle name="Normal 16 7 2 2 2 3 5" xfId="20789" xr:uid="{9296D50A-3094-415F-9C9C-A09301E7313F}"/>
    <cellStyle name="Normal 16 7 2 2 2 3 6" xfId="20790" xr:uid="{E9E9C11D-0AEF-4FE9-BE38-D304B9FA80BE}"/>
    <cellStyle name="Normal 16 7 2 2 2 4" xfId="20791" xr:uid="{258A1743-DA3A-4BE5-B472-D01EAA6047DF}"/>
    <cellStyle name="Normal 16 7 2 2 2 4 2" xfId="20792" xr:uid="{FA6A89F7-D79C-49AB-A502-B17600BB9F25}"/>
    <cellStyle name="Normal 16 7 2 2 2 4 2 2" xfId="20793" xr:uid="{28B979CF-C141-4D99-8E43-0C1CA366FB33}"/>
    <cellStyle name="Normal 16 7 2 2 2 4 2 3" xfId="20794" xr:uid="{0636D871-5FE7-4E3C-A95C-3824E10B07CA}"/>
    <cellStyle name="Normal 16 7 2 2 2 4 2 4" xfId="20795" xr:uid="{7F1CDF4B-F974-49BA-B149-2430C66049CB}"/>
    <cellStyle name="Normal 16 7 2 2 2 4 2 5" xfId="20796" xr:uid="{EB9BD62D-0555-41F0-AD5F-E4C1ECC01C6E}"/>
    <cellStyle name="Normal 16 7 2 2 2 4 3" xfId="20797" xr:uid="{E78E4AFF-27C3-4E9A-9A57-5E2E6F97F7BC}"/>
    <cellStyle name="Normal 16 7 2 2 2 4 4" xfId="20798" xr:uid="{D56C3997-5A0B-40BE-AB0C-98039FC4C69B}"/>
    <cellStyle name="Normal 16 7 2 2 2 4 5" xfId="20799" xr:uid="{324F032D-8E83-4F68-8F75-132FB50C221C}"/>
    <cellStyle name="Normal 16 7 2 2 2 4 6" xfId="20800" xr:uid="{1D5070DF-4061-4BBA-80BA-3EEAAFC6D09E}"/>
    <cellStyle name="Normal 16 7 2 2 2 5" xfId="20801" xr:uid="{2614EB6E-4EB4-43AA-8DEA-DBB83A7D3F82}"/>
    <cellStyle name="Normal 16 7 2 2 2 5 2" xfId="20802" xr:uid="{EE6FD1BF-6CA7-4B03-98C1-5AB49679139B}"/>
    <cellStyle name="Normal 16 7 2 2 2 5 3" xfId="20803" xr:uid="{CC45BD19-5475-4542-9480-EB5B3F56502F}"/>
    <cellStyle name="Normal 16 7 2 2 2 5 4" xfId="20804" xr:uid="{8FD486FF-0C8B-48BC-B1BA-B6E49650106B}"/>
    <cellStyle name="Normal 16 7 2 2 2 5 5" xfId="20805" xr:uid="{2F04A717-06F7-46B3-A32E-37051A3B1D4F}"/>
    <cellStyle name="Normal 16 7 2 2 2 6" xfId="20806" xr:uid="{2F932C9B-7E8E-4710-B88C-90F0919091AE}"/>
    <cellStyle name="Normal 16 7 2 2 2 6 2" xfId="20807" xr:uid="{6696FEE2-B768-4D4A-AB01-7159196F6C19}"/>
    <cellStyle name="Normal 16 7 2 2 2 6 3" xfId="20808" xr:uid="{EB04F546-94C8-4050-88A1-79ED3EF8ADAD}"/>
    <cellStyle name="Normal 16 7 2 2 2 6 4" xfId="20809" xr:uid="{72690D91-D71B-4F36-A06F-25634DAFC684}"/>
    <cellStyle name="Normal 16 7 2 2 2 6 5" xfId="20810" xr:uid="{5A563981-16EF-4A0D-BCE2-3B57E11667F2}"/>
    <cellStyle name="Normal 16 7 2 2 2 7" xfId="20811" xr:uid="{74D947BA-5DF5-4051-9CF1-7630D866E775}"/>
    <cellStyle name="Normal 16 7 2 2 2 7 2" xfId="20812" xr:uid="{632533A9-28F8-4E7A-B504-0040B43F4E31}"/>
    <cellStyle name="Normal 16 7 2 2 2 7 3" xfId="20813" xr:uid="{356EAC9D-DABC-45C7-B430-AA66EEDE7C9F}"/>
    <cellStyle name="Normal 16 7 2 2 2 7 4" xfId="20814" xr:uid="{3D3C548C-EEBD-4D21-90BE-CC9A0E47885D}"/>
    <cellStyle name="Normal 16 7 2 2 2 7 5" xfId="20815" xr:uid="{D7AB161A-D289-4D73-94A7-DE1376760A2B}"/>
    <cellStyle name="Normal 16 7 2 2 2 8" xfId="20816" xr:uid="{89C954BE-3CCD-46E9-88DA-0B3C8DBADF96}"/>
    <cellStyle name="Normal 16 7 2 2 2 8 2" xfId="20817" xr:uid="{5378B1E6-526C-4BB2-B389-593174D0CADB}"/>
    <cellStyle name="Normal 16 7 2 2 2 8 3" xfId="20818" xr:uid="{C6245BE3-14D9-478E-8599-6F61566C06ED}"/>
    <cellStyle name="Normal 16 7 2 2 2 8 4" xfId="20819" xr:uid="{867473F4-F7B1-4371-B485-1E5A9CAC26E7}"/>
    <cellStyle name="Normal 16 7 2 2 2 8 5" xfId="20820" xr:uid="{50BF080B-B698-467B-B955-5BFB6FA881E4}"/>
    <cellStyle name="Normal 16 7 2 2 2 9" xfId="20821" xr:uid="{65008751-3605-4F6D-87DC-0FC1C25BF388}"/>
    <cellStyle name="Normal 16 7 2 2 3" xfId="20822" xr:uid="{B018A93B-C677-4E5D-88A0-F2BFB75BC9BE}"/>
    <cellStyle name="Normal 16 7 2 2 3 2" xfId="20823" xr:uid="{B741FACC-2575-4575-A819-D247A0EF79C1}"/>
    <cellStyle name="Normal 16 7 2 2 3 2 2" xfId="20824" xr:uid="{9B0EFCA7-2467-4856-AAC8-148DCE7AE12D}"/>
    <cellStyle name="Normal 16 7 2 2 3 2 3" xfId="20825" xr:uid="{A65010A6-D037-4BC1-B330-BB5AA6F5F1AA}"/>
    <cellStyle name="Normal 16 7 2 2 3 2 4" xfId="20826" xr:uid="{13352AF9-EA90-403C-997C-17EC75FE5429}"/>
    <cellStyle name="Normal 16 7 2 2 3 2 5" xfId="20827" xr:uid="{95684230-3CDD-4C7C-8C8F-02FB73026ECB}"/>
    <cellStyle name="Normal 16 7 2 2 3 3" xfId="20828" xr:uid="{8C59A15D-25EE-4A7F-9EA3-0995A3AE8E1F}"/>
    <cellStyle name="Normal 16 7 2 2 3 4" xfId="20829" xr:uid="{F6E9F7DA-A6CF-4B39-9073-C29229DE749B}"/>
    <cellStyle name="Normal 16 7 2 2 3 5" xfId="20830" xr:uid="{AB9A8BAA-829F-4443-9AAE-CC2BE20D3084}"/>
    <cellStyle name="Normal 16 7 2 2 3 6" xfId="20831" xr:uid="{F0B1C51C-0D43-4EA8-BD88-019556E41205}"/>
    <cellStyle name="Normal 16 7 2 2 4" xfId="20832" xr:uid="{ABBEFCE7-0CF0-4C24-9E13-A142B580AA6F}"/>
    <cellStyle name="Normal 16 7 2 2 4 2" xfId="20833" xr:uid="{BB1063FD-6733-4263-86DE-AA08C5C6CFF0}"/>
    <cellStyle name="Normal 16 7 2 2 4 2 2" xfId="20834" xr:uid="{CE87AD57-E97E-4DEF-A9BF-DC2A4FE72147}"/>
    <cellStyle name="Normal 16 7 2 2 4 2 3" xfId="20835" xr:uid="{8F360D7B-9CAD-46A0-B965-6EE06699A9FB}"/>
    <cellStyle name="Normal 16 7 2 2 4 2 4" xfId="20836" xr:uid="{2D3B2823-EFEA-4801-8961-2AF0A9050ECA}"/>
    <cellStyle name="Normal 16 7 2 2 4 2 5" xfId="20837" xr:uid="{3F01D0A5-46DA-453E-824A-22C9D84E442C}"/>
    <cellStyle name="Normal 16 7 2 2 4 3" xfId="20838" xr:uid="{E23E49AE-E548-448F-A9E8-B640F8FA59EB}"/>
    <cellStyle name="Normal 16 7 2 2 4 4" xfId="20839" xr:uid="{CC862D89-381B-4D2D-9456-0A77E6E7B50F}"/>
    <cellStyle name="Normal 16 7 2 2 4 5" xfId="20840" xr:uid="{9BCE1238-5D71-40C6-956B-85E07DA9195C}"/>
    <cellStyle name="Normal 16 7 2 2 4 6" xfId="20841" xr:uid="{A61A12D0-0D60-44B6-85E9-2B853DD49474}"/>
    <cellStyle name="Normal 16 7 2 2 5" xfId="20842" xr:uid="{C2F0896F-8743-49A3-9809-742302E0EDDB}"/>
    <cellStyle name="Normal 16 7 2 2 5 2" xfId="20843" xr:uid="{6382705E-0455-4EC2-91A6-63E42370F930}"/>
    <cellStyle name="Normal 16 7 2 2 5 2 2" xfId="20844" xr:uid="{DA961207-3860-446C-9B6D-4E607CA33A39}"/>
    <cellStyle name="Normal 16 7 2 2 5 2 3" xfId="20845" xr:uid="{121F573F-0C38-402D-95D6-83990B7BAA58}"/>
    <cellStyle name="Normal 16 7 2 2 5 2 4" xfId="20846" xr:uid="{899072FE-B72B-481F-B0F4-1873D6D74F12}"/>
    <cellStyle name="Normal 16 7 2 2 5 2 5" xfId="20847" xr:uid="{6984FFBB-18B0-41A2-9B3A-8D8DCC968CC8}"/>
    <cellStyle name="Normal 16 7 2 2 5 3" xfId="20848" xr:uid="{66CAF119-F192-47D4-B3B9-3F085C33ECED}"/>
    <cellStyle name="Normal 16 7 2 2 5 4" xfId="20849" xr:uid="{FC2B37D7-F837-4C3F-9DF0-8AF36E8FFAC2}"/>
    <cellStyle name="Normal 16 7 2 2 5 5" xfId="20850" xr:uid="{7E68F974-C40F-427C-9655-B84EF478F7F2}"/>
    <cellStyle name="Normal 16 7 2 2 5 6" xfId="20851" xr:uid="{5E4165E3-8075-42D6-8370-AAC44039C2B7}"/>
    <cellStyle name="Normal 16 7 2 2 6" xfId="20852" xr:uid="{9216985B-C1B8-4C77-8AD0-86D40178CCED}"/>
    <cellStyle name="Normal 16 7 2 2 6 2" xfId="20853" xr:uid="{F69DE343-6F7B-4378-A363-B928EB4F137E}"/>
    <cellStyle name="Normal 16 7 2 2 6 3" xfId="20854" xr:uid="{262A300A-BA6B-465D-A552-1F2DCD9F8CA3}"/>
    <cellStyle name="Normal 16 7 2 2 6 4" xfId="20855" xr:uid="{513D2030-0EB9-49C1-BE9F-54D87650C32F}"/>
    <cellStyle name="Normal 16 7 2 2 6 5" xfId="20856" xr:uid="{4A9434DF-BBD1-43C8-9235-57D1598C56D4}"/>
    <cellStyle name="Normal 16 7 2 2 7" xfId="20857" xr:uid="{798C79D7-F1EC-49FF-9390-770C1EA1FC2A}"/>
    <cellStyle name="Normal 16 7 2 2 7 2" xfId="20858" xr:uid="{1E13328E-6DC5-4EC8-85B3-90D9DCE0F730}"/>
    <cellStyle name="Normal 16 7 2 2 7 3" xfId="20859" xr:uid="{BC57EA00-948B-403E-A477-66E1771D5551}"/>
    <cellStyle name="Normal 16 7 2 2 7 4" xfId="20860" xr:uid="{9E6C49DB-121E-4D97-8731-766E51B62D37}"/>
    <cellStyle name="Normal 16 7 2 2 7 5" xfId="20861" xr:uid="{9271AE25-F731-431D-8C29-918FD5315B34}"/>
    <cellStyle name="Normal 16 7 2 2 8" xfId="20862" xr:uid="{CB808834-4467-4C65-A5C4-40103CED3592}"/>
    <cellStyle name="Normal 16 7 2 2 8 2" xfId="20863" xr:uid="{73B22888-6C5B-4D69-BC26-E8DDFF653372}"/>
    <cellStyle name="Normal 16 7 2 2 8 3" xfId="20864" xr:uid="{E471A5EB-6EA1-4405-9C7F-71F17E5B895E}"/>
    <cellStyle name="Normal 16 7 2 2 8 4" xfId="20865" xr:uid="{6E983CD0-DEDD-4AB0-BEA6-E624930376D7}"/>
    <cellStyle name="Normal 16 7 2 2 8 5" xfId="20866" xr:uid="{4434AC82-B925-44EF-A933-1B39CFECCDEA}"/>
    <cellStyle name="Normal 16 7 2 2 9" xfId="20867" xr:uid="{6777D472-3767-4409-AB73-4EF3230AD223}"/>
    <cellStyle name="Normal 16 7 2 2 9 2" xfId="20868" xr:uid="{F360DE96-E47F-4274-98F5-76B022F68DC5}"/>
    <cellStyle name="Normal 16 7 2 2 9 3" xfId="20869" xr:uid="{1FDFD0A0-4AEF-4A08-A027-E09D67A43F87}"/>
    <cellStyle name="Normal 16 7 2 2 9 4" xfId="20870" xr:uid="{9003E7DB-8981-4284-A40B-041F480E92B2}"/>
    <cellStyle name="Normal 16 7 2 2 9 5" xfId="20871" xr:uid="{4B5446F1-C3E3-4E09-8E28-3EA3ED1FEAB2}"/>
    <cellStyle name="Normal 16 7 2 3" xfId="20872" xr:uid="{7721E0D2-A4DC-4E68-87B6-09F0A29FA983}"/>
    <cellStyle name="Normal 16 7 2 3 10" xfId="20873" xr:uid="{D5CFF862-4416-4CD7-BBCE-38F1604B3C9A}"/>
    <cellStyle name="Normal 16 7 2 3 11" xfId="20874" xr:uid="{90FAE753-4453-42C5-82CC-F72378861CC4}"/>
    <cellStyle name="Normal 16 7 2 3 12" xfId="20875" xr:uid="{68742ED0-6A1B-4C41-8E13-509A037FCF15}"/>
    <cellStyle name="Normal 16 7 2 3 2" xfId="20876" xr:uid="{A3570C37-8312-478B-B36F-2B8A724F823F}"/>
    <cellStyle name="Normal 16 7 2 3 2 2" xfId="20877" xr:uid="{272AC797-5F64-40A5-93A7-6C3E1499E556}"/>
    <cellStyle name="Normal 16 7 2 3 2 2 2" xfId="20878" xr:uid="{E19D124F-7824-4B16-A936-FFD042820039}"/>
    <cellStyle name="Normal 16 7 2 3 2 2 3" xfId="20879" xr:uid="{5096F444-9FCE-40F1-9C69-259F45723FED}"/>
    <cellStyle name="Normal 16 7 2 3 2 2 4" xfId="20880" xr:uid="{C1B0F198-C70E-4789-A4F1-1AAACEAC3234}"/>
    <cellStyle name="Normal 16 7 2 3 2 2 5" xfId="20881" xr:uid="{368E78C6-CCEE-4723-B0FE-57D028CD7E3B}"/>
    <cellStyle name="Normal 16 7 2 3 2 3" xfId="20882" xr:uid="{5B928BCD-0AF2-4D1F-9E17-AE696836FEA0}"/>
    <cellStyle name="Normal 16 7 2 3 2 4" xfId="20883" xr:uid="{21B73EF0-1DE0-432D-A8D7-7ECD0A1B139D}"/>
    <cellStyle name="Normal 16 7 2 3 2 5" xfId="20884" xr:uid="{7CF2890A-37F4-40E2-B342-D133BC9F5CDB}"/>
    <cellStyle name="Normal 16 7 2 3 2 6" xfId="20885" xr:uid="{ED796259-9230-41C8-8AF9-3AE9B1A277D1}"/>
    <cellStyle name="Normal 16 7 2 3 3" xfId="20886" xr:uid="{377C4C3A-24A0-45B2-A834-AD3D57B5B4A0}"/>
    <cellStyle name="Normal 16 7 2 3 3 2" xfId="20887" xr:uid="{87A7CC11-F7AA-4970-8372-749AE798510E}"/>
    <cellStyle name="Normal 16 7 2 3 3 2 2" xfId="20888" xr:uid="{3AFB52D6-CE05-420E-A69D-EE394441481F}"/>
    <cellStyle name="Normal 16 7 2 3 3 2 3" xfId="20889" xr:uid="{7CD02850-416B-455B-AFAB-DD793DC8FB59}"/>
    <cellStyle name="Normal 16 7 2 3 3 2 4" xfId="20890" xr:uid="{0E9A1694-1441-4641-B202-C2FC61F52C64}"/>
    <cellStyle name="Normal 16 7 2 3 3 2 5" xfId="20891" xr:uid="{345C3525-ADDD-42F4-A4DF-F21966694F0B}"/>
    <cellStyle name="Normal 16 7 2 3 3 3" xfId="20892" xr:uid="{B3FD71BF-0E7F-48F1-8989-E2D3B1BBC9BC}"/>
    <cellStyle name="Normal 16 7 2 3 3 4" xfId="20893" xr:uid="{1DA121C6-4CFB-4EBA-8ACB-B580C4232B66}"/>
    <cellStyle name="Normal 16 7 2 3 3 5" xfId="20894" xr:uid="{1C5C2A38-2C29-4843-97D2-84E93C09C2D5}"/>
    <cellStyle name="Normal 16 7 2 3 3 6" xfId="20895" xr:uid="{35A557C2-3FB2-4EC7-B5F3-1517B33D85CC}"/>
    <cellStyle name="Normal 16 7 2 3 4" xfId="20896" xr:uid="{2EB70DE5-2611-42E2-9F0B-1A99A2926674}"/>
    <cellStyle name="Normal 16 7 2 3 4 2" xfId="20897" xr:uid="{931D841D-16A5-48E2-A90E-7F69957CC6F8}"/>
    <cellStyle name="Normal 16 7 2 3 4 2 2" xfId="20898" xr:uid="{FA06606A-37DD-44E3-B5D3-A8D52F7D8DCD}"/>
    <cellStyle name="Normal 16 7 2 3 4 2 3" xfId="20899" xr:uid="{01D3536E-713B-4852-809A-E3856FE0CC3E}"/>
    <cellStyle name="Normal 16 7 2 3 4 2 4" xfId="20900" xr:uid="{2BBBC338-7B0A-4E31-AF63-F11169E89C41}"/>
    <cellStyle name="Normal 16 7 2 3 4 2 5" xfId="20901" xr:uid="{182A37FB-956F-4CD2-9C42-A768CBE1B525}"/>
    <cellStyle name="Normal 16 7 2 3 4 3" xfId="20902" xr:uid="{531A9238-BECB-46A9-9209-8B30D551FF76}"/>
    <cellStyle name="Normal 16 7 2 3 4 4" xfId="20903" xr:uid="{C6F6858F-7A45-41EB-8224-298FFD1CEB2E}"/>
    <cellStyle name="Normal 16 7 2 3 4 5" xfId="20904" xr:uid="{6617077F-DB77-4F8F-AAA7-D5A234876F22}"/>
    <cellStyle name="Normal 16 7 2 3 4 6" xfId="20905" xr:uid="{8C83E350-1EE7-4CB0-920C-7CA6A75855E6}"/>
    <cellStyle name="Normal 16 7 2 3 5" xfId="20906" xr:uid="{288ABA55-AC20-49D8-95D1-99BDF83B8428}"/>
    <cellStyle name="Normal 16 7 2 3 5 2" xfId="20907" xr:uid="{3080579B-869F-404D-BB85-413811F54FB8}"/>
    <cellStyle name="Normal 16 7 2 3 5 3" xfId="20908" xr:uid="{9CA22660-00AF-443F-8819-E23CD345D052}"/>
    <cellStyle name="Normal 16 7 2 3 5 4" xfId="20909" xr:uid="{294DCF63-7CA3-4E3B-B3C4-A48A487E2338}"/>
    <cellStyle name="Normal 16 7 2 3 5 5" xfId="20910" xr:uid="{FA6C345D-4EE2-47EB-8498-F2730E402E34}"/>
    <cellStyle name="Normal 16 7 2 3 6" xfId="20911" xr:uid="{7C1D7C16-A5E6-4540-8475-00C24636F4C6}"/>
    <cellStyle name="Normal 16 7 2 3 6 2" xfId="20912" xr:uid="{9DA471B1-092C-4B1C-9CC5-6AAEAD987461}"/>
    <cellStyle name="Normal 16 7 2 3 6 3" xfId="20913" xr:uid="{020C15E9-7DEF-447B-A94C-14C769A1DD61}"/>
    <cellStyle name="Normal 16 7 2 3 6 4" xfId="20914" xr:uid="{E2948436-3D4E-439C-A5A5-50C185586B86}"/>
    <cellStyle name="Normal 16 7 2 3 6 5" xfId="20915" xr:uid="{7D90CA76-6AF7-41EC-92B7-B53BFCE190C6}"/>
    <cellStyle name="Normal 16 7 2 3 7" xfId="20916" xr:uid="{AFDBC0D8-201D-4B98-A6E4-E92BF8C17E7B}"/>
    <cellStyle name="Normal 16 7 2 3 7 2" xfId="20917" xr:uid="{B13F5B38-5F93-48BC-A93C-C96600417F1C}"/>
    <cellStyle name="Normal 16 7 2 3 7 3" xfId="20918" xr:uid="{31253178-342B-463C-8360-FB3A3ED5FE8B}"/>
    <cellStyle name="Normal 16 7 2 3 7 4" xfId="20919" xr:uid="{25F4DB42-5CAD-470A-8259-45B1C8A51027}"/>
    <cellStyle name="Normal 16 7 2 3 7 5" xfId="20920" xr:uid="{C5672C4B-9BB0-42FC-8F9E-021AE37DD75A}"/>
    <cellStyle name="Normal 16 7 2 3 8" xfId="20921" xr:uid="{B029CBE5-433E-4623-A25E-246901CD3E8C}"/>
    <cellStyle name="Normal 16 7 2 3 8 2" xfId="20922" xr:uid="{CAAA4AD1-6B48-4614-BDA9-55B1A36CF4BC}"/>
    <cellStyle name="Normal 16 7 2 3 8 3" xfId="20923" xr:uid="{E080A83D-8B4A-4700-8182-C765067A8B71}"/>
    <cellStyle name="Normal 16 7 2 3 8 4" xfId="20924" xr:uid="{79DD3C5B-3CEF-492F-80F8-C8A39D3E97A3}"/>
    <cellStyle name="Normal 16 7 2 3 8 5" xfId="20925" xr:uid="{9AA50579-8C41-4A30-B782-4F3E2BF06C0A}"/>
    <cellStyle name="Normal 16 7 2 3 9" xfId="20926" xr:uid="{053E22AF-B355-42D7-A535-6EBF203F25C8}"/>
    <cellStyle name="Normal 16 7 2 4" xfId="20927" xr:uid="{4C5E4E09-7947-46B0-8F93-1047B4FBD1F5}"/>
    <cellStyle name="Normal 16 7 2 4 2" xfId="20928" xr:uid="{369AC2CC-51F6-4DFF-AB59-8492B906514B}"/>
    <cellStyle name="Normal 16 7 2 4 2 2" xfId="20929" xr:uid="{AAA98AF1-A971-492D-9A06-17893AB70262}"/>
    <cellStyle name="Normal 16 7 2 4 2 3" xfId="20930" xr:uid="{C62FFC7F-0E96-48E6-BF27-3BB51DE5CADF}"/>
    <cellStyle name="Normal 16 7 2 4 2 4" xfId="20931" xr:uid="{ED2E5A23-6C60-4E91-A5ED-6B7C6CC86077}"/>
    <cellStyle name="Normal 16 7 2 4 2 5" xfId="20932" xr:uid="{684117BE-39DA-46D1-90D6-49CA3DED5C1E}"/>
    <cellStyle name="Normal 16 7 2 4 3" xfId="20933" xr:uid="{D6E0BCA6-EE40-4B13-B0B4-55A85F1856E9}"/>
    <cellStyle name="Normal 16 7 2 4 4" xfId="20934" xr:uid="{7462A868-5682-48CF-9A68-C8608D561B4D}"/>
    <cellStyle name="Normal 16 7 2 4 5" xfId="20935" xr:uid="{931381B2-9B93-47E0-954D-6811A4BBC032}"/>
    <cellStyle name="Normal 16 7 2 4 6" xfId="20936" xr:uid="{A75FA20C-8E0B-4B10-934D-3BA4827A46D3}"/>
    <cellStyle name="Normal 16 7 2 5" xfId="20937" xr:uid="{7307CA4F-6E9C-4C27-81DA-E70FE10633D3}"/>
    <cellStyle name="Normal 16 7 2 5 2" xfId="20938" xr:uid="{7AA5C5C9-0127-45D6-820C-E480216DACA1}"/>
    <cellStyle name="Normal 16 7 2 5 2 2" xfId="20939" xr:uid="{F2B21EE6-64C0-46B0-9E38-E9B510F5C5FB}"/>
    <cellStyle name="Normal 16 7 2 5 2 3" xfId="20940" xr:uid="{6AA507ED-2B27-4614-9F6D-581CC9436F47}"/>
    <cellStyle name="Normal 16 7 2 5 2 4" xfId="20941" xr:uid="{0C38031A-E188-4B62-A3A4-A4198094392C}"/>
    <cellStyle name="Normal 16 7 2 5 2 5" xfId="20942" xr:uid="{A1698330-55E5-4734-B2CE-2DD7A30ACEE9}"/>
    <cellStyle name="Normal 16 7 2 5 3" xfId="20943" xr:uid="{CC726D9A-B70E-43D9-ADD6-C30EACA31E5C}"/>
    <cellStyle name="Normal 16 7 2 5 4" xfId="20944" xr:uid="{987A2F6A-6046-4253-86B8-864665AF8E8E}"/>
    <cellStyle name="Normal 16 7 2 5 5" xfId="20945" xr:uid="{35279181-E724-4047-8ED6-C615FA3FC8FE}"/>
    <cellStyle name="Normal 16 7 2 5 6" xfId="20946" xr:uid="{86F1354D-C82D-4C15-8C85-F16928DA7EC4}"/>
    <cellStyle name="Normal 16 7 2 6" xfId="20947" xr:uid="{3C706E89-17A6-4E29-A131-6DCC46B3DA94}"/>
    <cellStyle name="Normal 16 7 2 6 2" xfId="20948" xr:uid="{B03D5D4C-02C7-44C3-83B9-897889BBDC86}"/>
    <cellStyle name="Normal 16 7 2 6 2 2" xfId="20949" xr:uid="{11E0F0E2-F7E7-434B-864B-A7F3309545BD}"/>
    <cellStyle name="Normal 16 7 2 6 2 3" xfId="20950" xr:uid="{0245317C-1213-4284-8CB4-C0228DCC7965}"/>
    <cellStyle name="Normal 16 7 2 6 2 4" xfId="20951" xr:uid="{FD5755BA-DA44-4D2A-B997-353C796D5A0D}"/>
    <cellStyle name="Normal 16 7 2 6 2 5" xfId="20952" xr:uid="{31E58593-9233-4EC1-B196-92873E2A92FB}"/>
    <cellStyle name="Normal 16 7 2 6 3" xfId="20953" xr:uid="{F65C778E-FE51-4B73-AD6D-7DA38236013F}"/>
    <cellStyle name="Normal 16 7 2 6 4" xfId="20954" xr:uid="{906E63D8-3867-49CF-9C04-3B701FF1AE6A}"/>
    <cellStyle name="Normal 16 7 2 6 5" xfId="20955" xr:uid="{0E13057D-F937-436E-974E-3BB43917A1F1}"/>
    <cellStyle name="Normal 16 7 2 6 6" xfId="20956" xr:uid="{8CA18939-9EFA-4593-B37E-54F224F92C2F}"/>
    <cellStyle name="Normal 16 7 2 7" xfId="20957" xr:uid="{E4D05D01-5D5E-4C8A-9D53-520A5B87C0FF}"/>
    <cellStyle name="Normal 16 7 2 7 2" xfId="20958" xr:uid="{1CC144ED-9AB0-4022-9F18-F883C7AC22A8}"/>
    <cellStyle name="Normal 16 7 2 7 3" xfId="20959" xr:uid="{3985DF1E-8282-45D2-A3B9-A4B9423F0289}"/>
    <cellStyle name="Normal 16 7 2 7 4" xfId="20960" xr:uid="{16E42596-A4BA-4348-88EC-2291A8AE5B49}"/>
    <cellStyle name="Normal 16 7 2 7 5" xfId="20961" xr:uid="{06800DAD-4196-45CD-8944-D656CFFA4757}"/>
    <cellStyle name="Normal 16 7 2 8" xfId="20962" xr:uid="{B8597BFD-C5F9-415D-8602-403CA28AF528}"/>
    <cellStyle name="Normal 16 7 2 8 2" xfId="20963" xr:uid="{BFA66626-1488-459C-BB60-DE4CFE8C812B}"/>
    <cellStyle name="Normal 16 7 2 8 3" xfId="20964" xr:uid="{5C3D68E4-C391-4D53-9154-13C94A05EA4C}"/>
    <cellStyle name="Normal 16 7 2 8 4" xfId="20965" xr:uid="{0FB8A53B-02C9-47D6-A6FD-62876F5DDA59}"/>
    <cellStyle name="Normal 16 7 2 8 5" xfId="20966" xr:uid="{333A84CE-7D50-4BFA-A177-2B5595CF39F9}"/>
    <cellStyle name="Normal 16 7 2 9" xfId="20967" xr:uid="{79C1B27C-8F54-4C32-8248-9278FA3BA22D}"/>
    <cellStyle name="Normal 16 7 2 9 2" xfId="20968" xr:uid="{BE115CC0-B73B-4AEF-B740-A4A4445F08CC}"/>
    <cellStyle name="Normal 16 7 2 9 3" xfId="20969" xr:uid="{D1004297-7B09-4E37-887E-3EE806ED292F}"/>
    <cellStyle name="Normal 16 7 2 9 4" xfId="20970" xr:uid="{DBB027F9-D306-401A-A040-B0BA855DBCED}"/>
    <cellStyle name="Normal 16 7 2 9 5" xfId="20971" xr:uid="{89FB0429-05D9-4899-B2D0-51563AC67B99}"/>
    <cellStyle name="Normal 16 7 3" xfId="20972" xr:uid="{87F213F5-1887-46A6-90F7-A1110C5B55A1}"/>
    <cellStyle name="Normal 16 7 3 10" xfId="20973" xr:uid="{CE416459-434A-4A8F-A95A-A97B8C5E3FF8}"/>
    <cellStyle name="Normal 16 7 3 11" xfId="20974" xr:uid="{F56038C3-4C8C-4CC0-B703-53214DE84EF9}"/>
    <cellStyle name="Normal 16 7 3 12" xfId="20975" xr:uid="{06B9FA9B-884F-4A0E-9607-CAD67BA3C9FF}"/>
    <cellStyle name="Normal 16 7 3 13" xfId="20976" xr:uid="{060E3DB4-0286-44C4-8A2B-530D1D9FB29E}"/>
    <cellStyle name="Normal 16 7 3 2" xfId="20977" xr:uid="{2BAB5855-2309-4257-AA6A-BD2C8A8A09C6}"/>
    <cellStyle name="Normal 16 7 3 2 10" xfId="20978" xr:uid="{F20A9C35-A55F-41DF-B8D6-2EEA3EBD5C8C}"/>
    <cellStyle name="Normal 16 7 3 2 11" xfId="20979" xr:uid="{F38EA321-BA0F-4A32-BE44-B57B915B5FC6}"/>
    <cellStyle name="Normal 16 7 3 2 12" xfId="20980" xr:uid="{CBBE2F7D-217A-41FC-A582-6929EB782CC5}"/>
    <cellStyle name="Normal 16 7 3 2 2" xfId="20981" xr:uid="{1A400269-5B3B-4D02-A079-9BDE487D18CD}"/>
    <cellStyle name="Normal 16 7 3 2 2 2" xfId="20982" xr:uid="{878D59C7-744F-4D58-B7A5-7A74E256ABC5}"/>
    <cellStyle name="Normal 16 7 3 2 2 2 2" xfId="20983" xr:uid="{9C9E7E33-66A8-4CF2-9E30-E6F476ACA302}"/>
    <cellStyle name="Normal 16 7 3 2 2 2 3" xfId="20984" xr:uid="{0280946C-8B98-41B7-837F-D0A2A16A5373}"/>
    <cellStyle name="Normal 16 7 3 2 2 2 4" xfId="20985" xr:uid="{9F4916C0-7639-4C05-9D19-9BD504EC1E23}"/>
    <cellStyle name="Normal 16 7 3 2 2 2 5" xfId="20986" xr:uid="{710EAFD6-97A6-4390-951D-2B428B8EA437}"/>
    <cellStyle name="Normal 16 7 3 2 2 3" xfId="20987" xr:uid="{7FB83A98-7867-4039-85B3-04CE904AA355}"/>
    <cellStyle name="Normal 16 7 3 2 2 4" xfId="20988" xr:uid="{9E4ABF7B-6ACD-462B-BCA3-2C2C3942968E}"/>
    <cellStyle name="Normal 16 7 3 2 2 5" xfId="20989" xr:uid="{E0CB4B40-AB80-4358-955B-A4CC4C605B97}"/>
    <cellStyle name="Normal 16 7 3 2 2 6" xfId="20990" xr:uid="{4935ACCB-8945-4DB9-9425-8A38F682D613}"/>
    <cellStyle name="Normal 16 7 3 2 3" xfId="20991" xr:uid="{ED8D741A-0375-4ECE-BD15-B2A29A33E0AF}"/>
    <cellStyle name="Normal 16 7 3 2 3 2" xfId="20992" xr:uid="{7242D4F7-8DF0-4035-82EB-F8278EAA0EF8}"/>
    <cellStyle name="Normal 16 7 3 2 3 2 2" xfId="20993" xr:uid="{21B88E89-D45E-42AE-8FB4-CD802200C07C}"/>
    <cellStyle name="Normal 16 7 3 2 3 2 3" xfId="20994" xr:uid="{3A5B6A27-CA5D-4F25-B2C2-1F1578844DD1}"/>
    <cellStyle name="Normal 16 7 3 2 3 2 4" xfId="20995" xr:uid="{137CEF5D-0CA6-4D97-BA6F-AB59F839E5D4}"/>
    <cellStyle name="Normal 16 7 3 2 3 2 5" xfId="20996" xr:uid="{38E40C4D-E8DB-428D-BE9A-23FB7DE5981C}"/>
    <cellStyle name="Normal 16 7 3 2 3 3" xfId="20997" xr:uid="{266AE4CE-4BCF-429F-84D9-9AEF52FB83FD}"/>
    <cellStyle name="Normal 16 7 3 2 3 4" xfId="20998" xr:uid="{8FE7A4D7-10FA-4AA6-B1B5-9FFDBE2CE9EF}"/>
    <cellStyle name="Normal 16 7 3 2 3 5" xfId="20999" xr:uid="{FFF55FEF-17DC-4009-B430-0B22481ABEEF}"/>
    <cellStyle name="Normal 16 7 3 2 3 6" xfId="21000" xr:uid="{399B034B-0870-4D8A-9F45-534EE40C64F3}"/>
    <cellStyle name="Normal 16 7 3 2 4" xfId="21001" xr:uid="{3463342A-DFB6-431E-BC85-18F003AE98F5}"/>
    <cellStyle name="Normal 16 7 3 2 4 2" xfId="21002" xr:uid="{E10947A1-5D50-4CBF-B7C2-39F288696C83}"/>
    <cellStyle name="Normal 16 7 3 2 4 2 2" xfId="21003" xr:uid="{7CC10544-2016-422C-96A2-31C8E0A36411}"/>
    <cellStyle name="Normal 16 7 3 2 4 2 3" xfId="21004" xr:uid="{CD98283A-4B5F-47E0-B6F1-5AD9AB6C5B7B}"/>
    <cellStyle name="Normal 16 7 3 2 4 2 4" xfId="21005" xr:uid="{CAB11E23-0488-4611-B55D-B9801D78061F}"/>
    <cellStyle name="Normal 16 7 3 2 4 2 5" xfId="21006" xr:uid="{DB34417D-9FC6-4C4B-985D-89D93D36F6C5}"/>
    <cellStyle name="Normal 16 7 3 2 4 3" xfId="21007" xr:uid="{14C718CB-5932-4753-902A-50063FA8FA54}"/>
    <cellStyle name="Normal 16 7 3 2 4 4" xfId="21008" xr:uid="{E56A4F6D-9E3F-48BB-BA48-825CBAD4B5C7}"/>
    <cellStyle name="Normal 16 7 3 2 4 5" xfId="21009" xr:uid="{1B9B16A3-5572-4EA9-95AB-6A4D9BCF5E47}"/>
    <cellStyle name="Normal 16 7 3 2 4 6" xfId="21010" xr:uid="{40D54FBF-93D4-4F28-BDE8-14B5125F87AB}"/>
    <cellStyle name="Normal 16 7 3 2 5" xfId="21011" xr:uid="{3549F7CD-ADFA-4DFA-BC2A-85237C299613}"/>
    <cellStyle name="Normal 16 7 3 2 5 2" xfId="21012" xr:uid="{7D43CEAF-76E5-4E8C-805B-5BDEC9BCE50B}"/>
    <cellStyle name="Normal 16 7 3 2 5 3" xfId="21013" xr:uid="{6EF831E9-4817-49AC-B8E8-F5F2335FF3B8}"/>
    <cellStyle name="Normal 16 7 3 2 5 4" xfId="21014" xr:uid="{7E710DE5-A767-47EA-B482-B9FE901FE5E1}"/>
    <cellStyle name="Normal 16 7 3 2 5 5" xfId="21015" xr:uid="{B099A246-A92D-4ECE-9600-0D9C7F69F246}"/>
    <cellStyle name="Normal 16 7 3 2 6" xfId="21016" xr:uid="{1D9FECE7-0684-42F3-AEE8-1C638A1C851B}"/>
    <cellStyle name="Normal 16 7 3 2 6 2" xfId="21017" xr:uid="{44B3677A-B13E-47CD-AA51-A40F1B82BAA9}"/>
    <cellStyle name="Normal 16 7 3 2 6 3" xfId="21018" xr:uid="{B8001BD1-0CA6-4546-A057-7C6CC15461CA}"/>
    <cellStyle name="Normal 16 7 3 2 6 4" xfId="21019" xr:uid="{A7EF36F7-3000-4162-BFD2-F9862CA05ED7}"/>
    <cellStyle name="Normal 16 7 3 2 6 5" xfId="21020" xr:uid="{6E21A3AB-CD35-43D7-B0CE-5F4026F8146F}"/>
    <cellStyle name="Normal 16 7 3 2 7" xfId="21021" xr:uid="{0FAB81AB-7F38-42E0-B2E3-00A4DDD09739}"/>
    <cellStyle name="Normal 16 7 3 2 7 2" xfId="21022" xr:uid="{65434E95-CC53-41AE-9E6B-E0338920ECA8}"/>
    <cellStyle name="Normal 16 7 3 2 7 3" xfId="21023" xr:uid="{2171AEAA-BB41-48B2-B249-05C239F6B64F}"/>
    <cellStyle name="Normal 16 7 3 2 7 4" xfId="21024" xr:uid="{1F756383-4783-453D-9446-799569BED0BB}"/>
    <cellStyle name="Normal 16 7 3 2 7 5" xfId="21025" xr:uid="{5B928200-8C21-473C-88AF-E29707E5882B}"/>
    <cellStyle name="Normal 16 7 3 2 8" xfId="21026" xr:uid="{F5249BA7-2061-4926-8952-6EE20DA72A3F}"/>
    <cellStyle name="Normal 16 7 3 2 8 2" xfId="21027" xr:uid="{C0867B9E-CC40-4711-8929-5FE824FE7020}"/>
    <cellStyle name="Normal 16 7 3 2 8 3" xfId="21028" xr:uid="{F3924835-1DEB-4EA2-B3DD-ACBA54F9C0D7}"/>
    <cellStyle name="Normal 16 7 3 2 8 4" xfId="21029" xr:uid="{721BD920-D5CA-405E-869E-356D3AAE1B5C}"/>
    <cellStyle name="Normal 16 7 3 2 8 5" xfId="21030" xr:uid="{90BEE30D-F09D-478E-B176-B7E682564379}"/>
    <cellStyle name="Normal 16 7 3 2 9" xfId="21031" xr:uid="{69C69FF3-8CE0-428F-A0B5-D942A7D9E7A5}"/>
    <cellStyle name="Normal 16 7 3 3" xfId="21032" xr:uid="{A9189D9D-AFB7-4E7F-9AA3-F67605C48673}"/>
    <cellStyle name="Normal 16 7 3 3 2" xfId="21033" xr:uid="{D8E69FBD-12DF-4D56-A515-53E122BD86B2}"/>
    <cellStyle name="Normal 16 7 3 3 2 2" xfId="21034" xr:uid="{599BA5AC-61BB-46D5-9E8B-A6A57E7386E6}"/>
    <cellStyle name="Normal 16 7 3 3 2 3" xfId="21035" xr:uid="{F3FEAEB9-2280-4319-BF32-6FD22563079B}"/>
    <cellStyle name="Normal 16 7 3 3 2 4" xfId="21036" xr:uid="{19ED0936-93CB-4A61-B768-C16D6543CBFB}"/>
    <cellStyle name="Normal 16 7 3 3 2 5" xfId="21037" xr:uid="{9F19E04E-FB27-4301-8FEB-CAB91BF7D487}"/>
    <cellStyle name="Normal 16 7 3 3 3" xfId="21038" xr:uid="{89E180C4-F56A-4EC4-B54D-3B9A70D39B08}"/>
    <cellStyle name="Normal 16 7 3 3 4" xfId="21039" xr:uid="{FC56562F-49A5-43C0-85C6-557BBD4AE74A}"/>
    <cellStyle name="Normal 16 7 3 3 5" xfId="21040" xr:uid="{0D78E60D-7841-429B-95C6-259AA47D402B}"/>
    <cellStyle name="Normal 16 7 3 3 6" xfId="21041" xr:uid="{2857E857-2C2A-4D36-9266-49FABC812E95}"/>
    <cellStyle name="Normal 16 7 3 4" xfId="21042" xr:uid="{CBDFE264-C0C8-4782-B101-6B9051C7484B}"/>
    <cellStyle name="Normal 16 7 3 4 2" xfId="21043" xr:uid="{E13A7A4B-FC7E-4CF1-901A-BE889BEBBE98}"/>
    <cellStyle name="Normal 16 7 3 4 2 2" xfId="21044" xr:uid="{53572A70-64D4-42E8-9AA9-E61EBAAE9479}"/>
    <cellStyle name="Normal 16 7 3 4 2 3" xfId="21045" xr:uid="{5D64B273-3F4C-471E-9B7D-986661A773E5}"/>
    <cellStyle name="Normal 16 7 3 4 2 4" xfId="21046" xr:uid="{F5B1F266-352A-4D66-9A99-39E963DF75B0}"/>
    <cellStyle name="Normal 16 7 3 4 2 5" xfId="21047" xr:uid="{05B677C2-BB66-49A5-9854-001B6DA5F2D4}"/>
    <cellStyle name="Normal 16 7 3 4 3" xfId="21048" xr:uid="{B8F7E82A-A7EE-4C4D-B9D9-F3EEAE9D7843}"/>
    <cellStyle name="Normal 16 7 3 4 4" xfId="21049" xr:uid="{D7C19B5B-93C9-45C2-84F5-23EF4A31AEED}"/>
    <cellStyle name="Normal 16 7 3 4 5" xfId="21050" xr:uid="{71AFE97A-071C-4D07-964B-D2BD6E939764}"/>
    <cellStyle name="Normal 16 7 3 4 6" xfId="21051" xr:uid="{7B0D84CB-B19E-4FBF-8947-5848F1CB2A98}"/>
    <cellStyle name="Normal 16 7 3 5" xfId="21052" xr:uid="{BF00629B-7276-4C87-872D-6AB6B537B7BA}"/>
    <cellStyle name="Normal 16 7 3 5 2" xfId="21053" xr:uid="{723D53D6-4119-4E4B-98A5-3B1CB35A435B}"/>
    <cellStyle name="Normal 16 7 3 5 2 2" xfId="21054" xr:uid="{CF64E079-FD96-4E6F-95A8-085CE9647271}"/>
    <cellStyle name="Normal 16 7 3 5 2 3" xfId="21055" xr:uid="{26834CEB-5CCF-4971-885B-8FFAEF772715}"/>
    <cellStyle name="Normal 16 7 3 5 2 4" xfId="21056" xr:uid="{6424CC0C-6FD8-471F-87DD-938EBBA460CA}"/>
    <cellStyle name="Normal 16 7 3 5 2 5" xfId="21057" xr:uid="{4787197D-8A93-44B8-B8DA-613BC8D30C96}"/>
    <cellStyle name="Normal 16 7 3 5 3" xfId="21058" xr:uid="{08E48C2E-A28D-411F-ADEE-7B9108E55036}"/>
    <cellStyle name="Normal 16 7 3 5 4" xfId="21059" xr:uid="{2FF4E1C0-661E-47A1-B37B-7EEEAA8D5A8F}"/>
    <cellStyle name="Normal 16 7 3 5 5" xfId="21060" xr:uid="{98F0F909-AEB9-4F70-B16E-23E47D5BD147}"/>
    <cellStyle name="Normal 16 7 3 5 6" xfId="21061" xr:uid="{3BA59B5E-60FF-4B1F-8F10-80A576790908}"/>
    <cellStyle name="Normal 16 7 3 6" xfId="21062" xr:uid="{1054A414-DD2D-4058-BFCE-0960312072CF}"/>
    <cellStyle name="Normal 16 7 3 6 2" xfId="21063" xr:uid="{9D68B9DB-9114-4BCD-8057-CDA4CB9B0699}"/>
    <cellStyle name="Normal 16 7 3 6 3" xfId="21064" xr:uid="{97EED5FC-3E75-4492-8D76-4077E6032D46}"/>
    <cellStyle name="Normal 16 7 3 6 4" xfId="21065" xr:uid="{60ED29C4-50FE-4962-A8F9-175823351738}"/>
    <cellStyle name="Normal 16 7 3 6 5" xfId="21066" xr:uid="{53DA7934-7073-42E6-8FFB-F7F3D7C8CE74}"/>
    <cellStyle name="Normal 16 7 3 7" xfId="21067" xr:uid="{2D2032D0-5102-4829-B9C4-F56DD968EB81}"/>
    <cellStyle name="Normal 16 7 3 7 2" xfId="21068" xr:uid="{ABB47A89-9982-4994-9516-BDA70F2A9C73}"/>
    <cellStyle name="Normal 16 7 3 7 3" xfId="21069" xr:uid="{5808A92E-75BE-4583-83A6-7BD3C5110D1A}"/>
    <cellStyle name="Normal 16 7 3 7 4" xfId="21070" xr:uid="{88B6AD76-FFBF-4B21-9997-70F781438C1F}"/>
    <cellStyle name="Normal 16 7 3 7 5" xfId="21071" xr:uid="{5AFE5994-B255-47CF-8249-CE807983D2F4}"/>
    <cellStyle name="Normal 16 7 3 8" xfId="21072" xr:uid="{404A570D-DAA7-433D-9E54-EF8A84CB9268}"/>
    <cellStyle name="Normal 16 7 3 8 2" xfId="21073" xr:uid="{668AA55B-251F-4E48-9797-C9DE095B0ADE}"/>
    <cellStyle name="Normal 16 7 3 8 3" xfId="21074" xr:uid="{51977D13-CB54-4D77-BE5A-AE870E9F25DC}"/>
    <cellStyle name="Normal 16 7 3 8 4" xfId="21075" xr:uid="{AC978461-05CF-4FC9-8231-41A5B169F558}"/>
    <cellStyle name="Normal 16 7 3 8 5" xfId="21076" xr:uid="{CB240DD4-8719-49A2-86ED-8BE3BBF7386F}"/>
    <cellStyle name="Normal 16 7 3 9" xfId="21077" xr:uid="{774D0635-A466-4E99-AB44-BDD3686EC56F}"/>
    <cellStyle name="Normal 16 7 3 9 2" xfId="21078" xr:uid="{74E13F95-BFFE-48BA-B642-1F5F67202E38}"/>
    <cellStyle name="Normal 16 7 3 9 3" xfId="21079" xr:uid="{B8E9321C-9CA4-4351-BC54-E390FBAFFCA3}"/>
    <cellStyle name="Normal 16 7 3 9 4" xfId="21080" xr:uid="{A1E5BAD3-0DDD-483E-9D2C-A85651A507B0}"/>
    <cellStyle name="Normal 16 7 3 9 5" xfId="21081" xr:uid="{E56B3763-C6E6-48BE-8AC8-153707773EF3}"/>
    <cellStyle name="Normal 16 7 4" xfId="21082" xr:uid="{8040C5E2-DF18-4063-BA32-DD2A3FD356AB}"/>
    <cellStyle name="Normal 16 7 4 10" xfId="21083" xr:uid="{5CF1543A-C8B2-4CB6-A408-1011E62CA925}"/>
    <cellStyle name="Normal 16 7 4 11" xfId="21084" xr:uid="{07C816B3-77D5-4E9C-95D3-C86A407FC07D}"/>
    <cellStyle name="Normal 16 7 4 12" xfId="21085" xr:uid="{BCAFD252-A7FF-4F1D-9FA8-B4370A9BFE0D}"/>
    <cellStyle name="Normal 16 7 4 2" xfId="21086" xr:uid="{603CBAC7-ECE5-4665-B424-E9E26AC67750}"/>
    <cellStyle name="Normal 16 7 4 2 2" xfId="21087" xr:uid="{70F74242-F1CF-457A-8780-1C9C47E9997D}"/>
    <cellStyle name="Normal 16 7 4 2 2 2" xfId="21088" xr:uid="{ACB35A4C-3984-437A-8CDD-7D3C7DC01038}"/>
    <cellStyle name="Normal 16 7 4 2 2 3" xfId="21089" xr:uid="{05833657-9E8B-429B-9B50-1D4A73E52FE4}"/>
    <cellStyle name="Normal 16 7 4 2 2 4" xfId="21090" xr:uid="{50A3E14D-FD45-43F6-99CC-7F00A38B2296}"/>
    <cellStyle name="Normal 16 7 4 2 2 5" xfId="21091" xr:uid="{4A845ECA-3C2A-40F8-8ACA-FA75E1271BAC}"/>
    <cellStyle name="Normal 16 7 4 2 3" xfId="21092" xr:uid="{F1636079-50CF-45C1-BD01-C917294D60B9}"/>
    <cellStyle name="Normal 16 7 4 2 4" xfId="21093" xr:uid="{D414A9BE-E185-4685-8AEB-B2CADB128D0E}"/>
    <cellStyle name="Normal 16 7 4 2 5" xfId="21094" xr:uid="{536F7BF2-19CE-4DB9-823D-B8A80124D3B2}"/>
    <cellStyle name="Normal 16 7 4 2 6" xfId="21095" xr:uid="{3E839E6F-D27E-4F46-9387-77A093E46AEE}"/>
    <cellStyle name="Normal 16 7 4 3" xfId="21096" xr:uid="{CDC9193C-84B7-4694-AFF1-F3AB2F0BF321}"/>
    <cellStyle name="Normal 16 7 4 3 2" xfId="21097" xr:uid="{170921ED-47A0-4688-AC80-98DFEB7F701E}"/>
    <cellStyle name="Normal 16 7 4 3 2 2" xfId="21098" xr:uid="{D58DCCC3-08EF-4C74-B089-88C3F2021EF6}"/>
    <cellStyle name="Normal 16 7 4 3 2 3" xfId="21099" xr:uid="{B7DAB013-0F92-4E38-86AF-D8505EF11D15}"/>
    <cellStyle name="Normal 16 7 4 3 2 4" xfId="21100" xr:uid="{C2AEB1DA-FCCF-48C4-9609-D5B348B1C978}"/>
    <cellStyle name="Normal 16 7 4 3 2 5" xfId="21101" xr:uid="{D097553B-7B37-4D82-B775-D504A86F2654}"/>
    <cellStyle name="Normal 16 7 4 3 3" xfId="21102" xr:uid="{9CD3DAC2-6DAE-432C-9D40-CC14A481B7FC}"/>
    <cellStyle name="Normal 16 7 4 3 4" xfId="21103" xr:uid="{79C00110-BB9E-4DE2-A345-06E8F56599C5}"/>
    <cellStyle name="Normal 16 7 4 3 5" xfId="21104" xr:uid="{A8D6BD3C-9F07-431F-B6A7-68309CE105DF}"/>
    <cellStyle name="Normal 16 7 4 3 6" xfId="21105" xr:uid="{73C38404-8E31-45D6-83C9-A8149363683F}"/>
    <cellStyle name="Normal 16 7 4 4" xfId="21106" xr:uid="{A9CC6C2B-9908-4610-8C65-C4409CC80423}"/>
    <cellStyle name="Normal 16 7 4 4 2" xfId="21107" xr:uid="{46A1AE06-62CA-4A46-ADFB-D66A6AB85FF8}"/>
    <cellStyle name="Normal 16 7 4 4 2 2" xfId="21108" xr:uid="{FF4AFF1C-4282-44E7-9190-835257BD2E44}"/>
    <cellStyle name="Normal 16 7 4 4 2 3" xfId="21109" xr:uid="{BA3A1E4C-F47E-4CC9-8E26-B87BE8A63DD5}"/>
    <cellStyle name="Normal 16 7 4 4 2 4" xfId="21110" xr:uid="{54CFE9F9-4C21-4831-9874-CE2DA143CD95}"/>
    <cellStyle name="Normal 16 7 4 4 2 5" xfId="21111" xr:uid="{7589CFCB-0C60-45B2-8DD3-901C424873A8}"/>
    <cellStyle name="Normal 16 7 4 4 3" xfId="21112" xr:uid="{D544FEF8-9548-4F49-8E0F-11E9EA8A789D}"/>
    <cellStyle name="Normal 16 7 4 4 4" xfId="21113" xr:uid="{068135C6-E3E6-4A8F-A152-EC0C18EAE7CE}"/>
    <cellStyle name="Normal 16 7 4 4 5" xfId="21114" xr:uid="{B586C944-E19A-4CED-BDAD-E8F001BDEB4F}"/>
    <cellStyle name="Normal 16 7 4 4 6" xfId="21115" xr:uid="{0B8395F9-3841-4E58-81F0-3ABA04241E64}"/>
    <cellStyle name="Normal 16 7 4 5" xfId="21116" xr:uid="{FE9CCF92-B79F-4FF4-9D28-FB165674BE67}"/>
    <cellStyle name="Normal 16 7 4 5 2" xfId="21117" xr:uid="{A68B2813-7229-486A-8662-5C0AF2145F74}"/>
    <cellStyle name="Normal 16 7 4 5 3" xfId="21118" xr:uid="{5FE4E7AC-55E3-441E-B114-31FBDE973E46}"/>
    <cellStyle name="Normal 16 7 4 5 4" xfId="21119" xr:uid="{85CDFA4A-2A6E-4866-8CA4-590BE93A2BDE}"/>
    <cellStyle name="Normal 16 7 4 5 5" xfId="21120" xr:uid="{0DDC3BAE-E6EF-4723-BEE1-DD0543262966}"/>
    <cellStyle name="Normal 16 7 4 6" xfId="21121" xr:uid="{FF53DA5A-6C8B-431E-9DB4-C5E078B160D7}"/>
    <cellStyle name="Normal 16 7 4 6 2" xfId="21122" xr:uid="{05C6C0C2-BA16-49AB-B9B7-952BAE2F9FCF}"/>
    <cellStyle name="Normal 16 7 4 6 3" xfId="21123" xr:uid="{2D0BBBCC-51DC-4656-BDCB-266092C81559}"/>
    <cellStyle name="Normal 16 7 4 6 4" xfId="21124" xr:uid="{08D95B14-F86C-44BA-9D9C-A168C32C771A}"/>
    <cellStyle name="Normal 16 7 4 6 5" xfId="21125" xr:uid="{70DABBC9-49CA-41CB-B2A7-18E774CA64BE}"/>
    <cellStyle name="Normal 16 7 4 7" xfId="21126" xr:uid="{5226B93F-0C9C-447A-BD73-F0074299749C}"/>
    <cellStyle name="Normal 16 7 4 7 2" xfId="21127" xr:uid="{252CFAE2-A2B0-4167-BAE6-69DB22716C18}"/>
    <cellStyle name="Normal 16 7 4 7 3" xfId="21128" xr:uid="{D1F594D5-AEFC-480E-89F3-FC21B9B418A7}"/>
    <cellStyle name="Normal 16 7 4 7 4" xfId="21129" xr:uid="{294B75B8-1C8E-4257-9FB2-DC6DDCFC80D3}"/>
    <cellStyle name="Normal 16 7 4 7 5" xfId="21130" xr:uid="{778D478F-27B9-4682-95A4-735F3D99481C}"/>
    <cellStyle name="Normal 16 7 4 8" xfId="21131" xr:uid="{3306CACD-9835-42C3-8F48-2DC35ED5738B}"/>
    <cellStyle name="Normal 16 7 4 8 2" xfId="21132" xr:uid="{FE02A8AA-966B-4F6B-B0D7-25D807441F63}"/>
    <cellStyle name="Normal 16 7 4 8 3" xfId="21133" xr:uid="{76DF4A6C-7FCA-40B5-AF18-0EF30B0BC04A}"/>
    <cellStyle name="Normal 16 7 4 8 4" xfId="21134" xr:uid="{7F40512B-B492-4FC6-B9C6-BCE55C876117}"/>
    <cellStyle name="Normal 16 7 4 8 5" xfId="21135" xr:uid="{AEBA7990-34DC-4E80-A495-642F753BFBA0}"/>
    <cellStyle name="Normal 16 7 4 9" xfId="21136" xr:uid="{82FFC72E-A27B-4F04-A856-D9EFD6349840}"/>
    <cellStyle name="Normal 16 7 5" xfId="21137" xr:uid="{85B482AE-FB0A-480A-B9A7-ACC5ACDD666F}"/>
    <cellStyle name="Normal 16 7 5 2" xfId="21138" xr:uid="{F36EA3D5-BE3A-463F-9CFF-D6739ADC1AF2}"/>
    <cellStyle name="Normal 16 7 5 2 2" xfId="21139" xr:uid="{6AE00127-6516-415D-A8EE-1BACC60EE3AB}"/>
    <cellStyle name="Normal 16 7 5 2 3" xfId="21140" xr:uid="{A84E65FE-E6CF-40AC-AF8C-E122383B9C6C}"/>
    <cellStyle name="Normal 16 7 5 2 4" xfId="21141" xr:uid="{E13BF829-8CF2-478C-8ADD-79C14C73F210}"/>
    <cellStyle name="Normal 16 7 5 2 5" xfId="21142" xr:uid="{385B893F-318B-49A4-BEB6-EFA25A5E839B}"/>
    <cellStyle name="Normal 16 7 5 3" xfId="21143" xr:uid="{3D310F8D-3481-465B-A3C8-29E88533958B}"/>
    <cellStyle name="Normal 16 7 5 4" xfId="21144" xr:uid="{0DAE4B58-0E39-4E08-8B36-BA002094E372}"/>
    <cellStyle name="Normal 16 7 5 5" xfId="21145" xr:uid="{09D6D9BE-F98D-4174-B451-B0D016951543}"/>
    <cellStyle name="Normal 16 7 5 6" xfId="21146" xr:uid="{15C7C40A-06D6-4D0F-ADDA-091A43786F7D}"/>
    <cellStyle name="Normal 16 7 6" xfId="21147" xr:uid="{16831138-DA97-4E04-A3C6-F5EEFBEE30EE}"/>
    <cellStyle name="Normal 16 7 6 2" xfId="21148" xr:uid="{C340A5CA-A794-48DE-9441-1A54587B89E6}"/>
    <cellStyle name="Normal 16 7 6 2 2" xfId="21149" xr:uid="{0F27A62F-5F58-45A7-AEFB-F1C463C2C70C}"/>
    <cellStyle name="Normal 16 7 6 2 3" xfId="21150" xr:uid="{D64AA3B7-A3D0-48E6-B4CF-FD9C4B1C055D}"/>
    <cellStyle name="Normal 16 7 6 2 4" xfId="21151" xr:uid="{2F68850F-95A6-4CD3-8BAA-4466CE133AA6}"/>
    <cellStyle name="Normal 16 7 6 2 5" xfId="21152" xr:uid="{22181725-205C-45D2-9B3F-2A7F84E4BF53}"/>
    <cellStyle name="Normal 16 7 6 3" xfId="21153" xr:uid="{C8972ED7-C181-4E77-8BD7-22BA6ACCA299}"/>
    <cellStyle name="Normal 16 7 6 4" xfId="21154" xr:uid="{5D56D80C-4300-4291-99A4-522947C521E3}"/>
    <cellStyle name="Normal 16 7 6 5" xfId="21155" xr:uid="{3703BEEC-848D-4872-B57E-49F58B197F06}"/>
    <cellStyle name="Normal 16 7 6 6" xfId="21156" xr:uid="{57D430EC-0BBD-4710-8869-6CD7CD8E3AC1}"/>
    <cellStyle name="Normal 16 7 7" xfId="21157" xr:uid="{C686A0E9-46BE-47FF-9F01-8F79411C2CA9}"/>
    <cellStyle name="Normal 16 7 7 2" xfId="21158" xr:uid="{45B4C5CE-5BA9-4DC7-AF08-FA98FB7A2789}"/>
    <cellStyle name="Normal 16 7 7 2 2" xfId="21159" xr:uid="{A0992CE9-86A6-4F48-9185-D413B5622F53}"/>
    <cellStyle name="Normal 16 7 7 2 3" xfId="21160" xr:uid="{0AF7EAD6-469B-473C-BAE6-62797EDA4680}"/>
    <cellStyle name="Normal 16 7 7 2 4" xfId="21161" xr:uid="{310DE748-D82B-41FF-949E-4A9D14D3CDB9}"/>
    <cellStyle name="Normal 16 7 7 2 5" xfId="21162" xr:uid="{6D92F1B1-8197-4CC0-A2A0-6199A768DFFB}"/>
    <cellStyle name="Normal 16 7 7 3" xfId="21163" xr:uid="{6574B03D-3BB8-485A-8A67-A2CA69A0D546}"/>
    <cellStyle name="Normal 16 7 7 4" xfId="21164" xr:uid="{1EE8A362-2E46-40A8-AF31-7D481D6B8FE9}"/>
    <cellStyle name="Normal 16 7 7 5" xfId="21165" xr:uid="{59083258-58AD-4D13-AF4A-682848069B7E}"/>
    <cellStyle name="Normal 16 7 7 6" xfId="21166" xr:uid="{5FA0F2A0-A9A6-4EE8-ABAB-4B7F1D8E44D4}"/>
    <cellStyle name="Normal 16 7 8" xfId="21167" xr:uid="{F31BD9B6-7F41-47AB-87E3-36B0F2DA3411}"/>
    <cellStyle name="Normal 16 7 8 2" xfId="21168" xr:uid="{8713FA63-CAA9-4E5E-A04E-A5B1BFA1683D}"/>
    <cellStyle name="Normal 16 7 8 3" xfId="21169" xr:uid="{3ED49EF0-944A-4726-BDED-FC14AAA02A2D}"/>
    <cellStyle name="Normal 16 7 8 4" xfId="21170" xr:uid="{5459B88C-D033-4C20-B4DF-3464B7F0EF9E}"/>
    <cellStyle name="Normal 16 7 8 5" xfId="21171" xr:uid="{C7DC541F-396D-47B6-A744-5F6EFE39FAF4}"/>
    <cellStyle name="Normal 16 7 9" xfId="21172" xr:uid="{5BA293E5-A1FE-43CC-AA47-C78F6305F5A1}"/>
    <cellStyle name="Normal 16 7 9 2" xfId="21173" xr:uid="{C5AD0AE1-D1CA-4509-963D-7378EF7E4AAA}"/>
    <cellStyle name="Normal 16 7 9 3" xfId="21174" xr:uid="{FEDFA099-B90B-462B-A2A5-1EEAC23FF777}"/>
    <cellStyle name="Normal 16 7 9 4" xfId="21175" xr:uid="{4098C065-428D-44B6-A22D-9AC43408C39A}"/>
    <cellStyle name="Normal 16 7 9 5" xfId="21176" xr:uid="{96787595-18AB-4341-B9D6-5AF637951016}"/>
    <cellStyle name="Normal 16 8" xfId="21177" xr:uid="{55EBEC76-FC19-4353-B213-8B26E5A28910}"/>
    <cellStyle name="Normal 16 8 10" xfId="21178" xr:uid="{B7C7F195-DE1B-4B11-AB1C-3D0A51D77359}"/>
    <cellStyle name="Normal 16 8 10 2" xfId="21179" xr:uid="{A1B5707B-45A5-461D-B5D5-BE857EBA4ACC}"/>
    <cellStyle name="Normal 16 8 10 3" xfId="21180" xr:uid="{33D3C793-A3A1-42A3-B60D-85821A8DCEAB}"/>
    <cellStyle name="Normal 16 8 10 4" xfId="21181" xr:uid="{6766DB61-7335-48CB-ACDB-3E64F09626B0}"/>
    <cellStyle name="Normal 16 8 10 5" xfId="21182" xr:uid="{F79841D1-A1C0-46ED-8BAA-5521507974E5}"/>
    <cellStyle name="Normal 16 8 11" xfId="21183" xr:uid="{AED2E534-EED6-479D-A7FB-6DAC2F306354}"/>
    <cellStyle name="Normal 16 8 12" xfId="21184" xr:uid="{75400CB3-B666-4E28-8A34-944B4211B409}"/>
    <cellStyle name="Normal 16 8 13" xfId="21185" xr:uid="{B9917CA6-FE24-43EA-9C6E-6C45A0C6F8F4}"/>
    <cellStyle name="Normal 16 8 14" xfId="21186" xr:uid="{8ACDD80C-0A3A-4016-964F-DA07DE7EF720}"/>
    <cellStyle name="Normal 16 8 2" xfId="21187" xr:uid="{69DAB487-A227-43F5-B6C1-D037C76BE7E7}"/>
    <cellStyle name="Normal 16 8 2 10" xfId="21188" xr:uid="{A80C0108-B0B3-42E9-AF38-A2393D1FFB9D}"/>
    <cellStyle name="Normal 16 8 2 11" xfId="21189" xr:uid="{05BE356B-17CF-4479-954C-C2ECE62DD6DC}"/>
    <cellStyle name="Normal 16 8 2 12" xfId="21190" xr:uid="{2E213649-6E54-4A59-946D-08BC72703B5A}"/>
    <cellStyle name="Normal 16 8 2 13" xfId="21191" xr:uid="{90EC51B6-7A25-47BB-9E06-2B88AA6EFDC9}"/>
    <cellStyle name="Normal 16 8 2 2" xfId="21192" xr:uid="{05A9615F-9AE3-43E8-9CE8-A8415E612142}"/>
    <cellStyle name="Normal 16 8 2 2 10" xfId="21193" xr:uid="{5A509082-F500-40AF-BE8B-AEB4A207D76F}"/>
    <cellStyle name="Normal 16 8 2 2 11" xfId="21194" xr:uid="{22671668-4CF5-4F70-AB18-7AC02103627A}"/>
    <cellStyle name="Normal 16 8 2 2 12" xfId="21195" xr:uid="{D1D6E8DF-B668-404C-BAF9-4533CC770FE5}"/>
    <cellStyle name="Normal 16 8 2 2 2" xfId="21196" xr:uid="{A38B71BC-BACE-42B9-BF35-1645635E8361}"/>
    <cellStyle name="Normal 16 8 2 2 2 2" xfId="21197" xr:uid="{B18D10FD-4715-4BF1-A3B8-342DD37062A9}"/>
    <cellStyle name="Normal 16 8 2 2 2 2 2" xfId="21198" xr:uid="{98212806-C93A-4843-AF50-741CD0438245}"/>
    <cellStyle name="Normal 16 8 2 2 2 2 3" xfId="21199" xr:uid="{F8C891C5-05FA-4FFA-9837-B78D39C144D4}"/>
    <cellStyle name="Normal 16 8 2 2 2 2 4" xfId="21200" xr:uid="{DB899F8B-BA2F-4306-A63F-85C4065B7C1F}"/>
    <cellStyle name="Normal 16 8 2 2 2 2 5" xfId="21201" xr:uid="{D53C56B7-EC79-46D9-977C-DCC1BE8A2211}"/>
    <cellStyle name="Normal 16 8 2 2 2 3" xfId="21202" xr:uid="{A211E753-A02E-4ECD-B9A9-D1D07E48FC1A}"/>
    <cellStyle name="Normal 16 8 2 2 2 4" xfId="21203" xr:uid="{1AE2E830-DFAF-4E64-8C6A-1A3B7467135D}"/>
    <cellStyle name="Normal 16 8 2 2 2 5" xfId="21204" xr:uid="{1D78B65F-57E7-4D15-8BC4-3DB93E7C076E}"/>
    <cellStyle name="Normal 16 8 2 2 2 6" xfId="21205" xr:uid="{479395B2-F65D-4B4C-99A5-CB1FE3C9BE65}"/>
    <cellStyle name="Normal 16 8 2 2 3" xfId="21206" xr:uid="{8C2AC8EC-F866-4913-8363-848BEC2F7E2B}"/>
    <cellStyle name="Normal 16 8 2 2 3 2" xfId="21207" xr:uid="{7E356747-2D60-48A2-B19B-E90A9CB241ED}"/>
    <cellStyle name="Normal 16 8 2 2 3 2 2" xfId="21208" xr:uid="{6A44AB08-0AEA-47A9-9A59-56130A6B9547}"/>
    <cellStyle name="Normal 16 8 2 2 3 2 3" xfId="21209" xr:uid="{E0D4B242-CA26-491F-9915-DB31BD9367D3}"/>
    <cellStyle name="Normal 16 8 2 2 3 2 4" xfId="21210" xr:uid="{43BF6079-EF24-4EDF-BDCC-738F706C9AEE}"/>
    <cellStyle name="Normal 16 8 2 2 3 2 5" xfId="21211" xr:uid="{F02543E1-7887-4310-8483-15EDFBEA982F}"/>
    <cellStyle name="Normal 16 8 2 2 3 3" xfId="21212" xr:uid="{ED76BC1C-FCF8-4CCC-AD14-5DD7B7C26D30}"/>
    <cellStyle name="Normal 16 8 2 2 3 4" xfId="21213" xr:uid="{4852CD44-8FA6-4F6E-9408-8C7AFBBF5A6C}"/>
    <cellStyle name="Normal 16 8 2 2 3 5" xfId="21214" xr:uid="{28D4CFAD-CC83-4B54-899D-121FF76AE17B}"/>
    <cellStyle name="Normal 16 8 2 2 3 6" xfId="21215" xr:uid="{3C199FB7-59D9-40B5-A67E-FFB613D7BE09}"/>
    <cellStyle name="Normal 16 8 2 2 4" xfId="21216" xr:uid="{30199DB0-DE56-4C20-8ECC-B75B929B4A8A}"/>
    <cellStyle name="Normal 16 8 2 2 4 2" xfId="21217" xr:uid="{1BAD24A6-B12E-4118-BBB9-921309E0E576}"/>
    <cellStyle name="Normal 16 8 2 2 4 2 2" xfId="21218" xr:uid="{238F3A33-3E3E-45DE-BD70-B2B06F29C94C}"/>
    <cellStyle name="Normal 16 8 2 2 4 2 3" xfId="21219" xr:uid="{5BC3715C-7BA1-4F6E-8B5E-EFE31E637C6B}"/>
    <cellStyle name="Normal 16 8 2 2 4 2 4" xfId="21220" xr:uid="{F699808E-1A2C-4349-9022-109C909A2FBB}"/>
    <cellStyle name="Normal 16 8 2 2 4 2 5" xfId="21221" xr:uid="{208C7BD3-A181-4D3A-92CB-AE6F860E6A37}"/>
    <cellStyle name="Normal 16 8 2 2 4 3" xfId="21222" xr:uid="{A46564CA-5A1E-4A5D-943B-AE7BE89CCB6B}"/>
    <cellStyle name="Normal 16 8 2 2 4 4" xfId="21223" xr:uid="{C58DEA12-2496-414A-B52B-8E272EF5A1F1}"/>
    <cellStyle name="Normal 16 8 2 2 4 5" xfId="21224" xr:uid="{87B4288A-B386-4706-B309-053E925EAA62}"/>
    <cellStyle name="Normal 16 8 2 2 4 6" xfId="21225" xr:uid="{9C13617E-BEE3-4808-B5F7-B26F8159A5D3}"/>
    <cellStyle name="Normal 16 8 2 2 5" xfId="21226" xr:uid="{51D8F56A-CB62-4DE2-A744-10F463B59A80}"/>
    <cellStyle name="Normal 16 8 2 2 5 2" xfId="21227" xr:uid="{1AFCA048-5A2E-4092-9A5B-848F7BD8DC3F}"/>
    <cellStyle name="Normal 16 8 2 2 5 3" xfId="21228" xr:uid="{4CA8DC75-3373-48D9-8E97-53EAF3FD7838}"/>
    <cellStyle name="Normal 16 8 2 2 5 4" xfId="21229" xr:uid="{BBAC466B-4057-402D-985F-4E66B84D7232}"/>
    <cellStyle name="Normal 16 8 2 2 5 5" xfId="21230" xr:uid="{479548F2-DDFC-461F-A347-CFB18686AB0E}"/>
    <cellStyle name="Normal 16 8 2 2 6" xfId="21231" xr:uid="{257D491F-6EC6-40B6-9E87-FD6642EE7854}"/>
    <cellStyle name="Normal 16 8 2 2 6 2" xfId="21232" xr:uid="{D918838D-942A-4169-8A0E-3B7BC42215D7}"/>
    <cellStyle name="Normal 16 8 2 2 6 3" xfId="21233" xr:uid="{768430AD-B272-4402-8F12-BB62B2E4A11B}"/>
    <cellStyle name="Normal 16 8 2 2 6 4" xfId="21234" xr:uid="{4F428D56-E6EA-483C-BF35-CFAAE2844B0A}"/>
    <cellStyle name="Normal 16 8 2 2 6 5" xfId="21235" xr:uid="{1ADCA85E-950F-4D78-B087-A7AA3A915C42}"/>
    <cellStyle name="Normal 16 8 2 2 7" xfId="21236" xr:uid="{142F339C-FABC-44BB-80CE-0B8BBB2A0CED}"/>
    <cellStyle name="Normal 16 8 2 2 7 2" xfId="21237" xr:uid="{960CEE4E-712C-4561-A023-128910E65E54}"/>
    <cellStyle name="Normal 16 8 2 2 7 3" xfId="21238" xr:uid="{1E88A8C2-D9A9-4653-9D43-3C4C0D4AC149}"/>
    <cellStyle name="Normal 16 8 2 2 7 4" xfId="21239" xr:uid="{1D1AE521-8189-4635-BE45-210EAE7DF417}"/>
    <cellStyle name="Normal 16 8 2 2 7 5" xfId="21240" xr:uid="{63FFFEF0-2132-4EC5-AADE-6FA914C74355}"/>
    <cellStyle name="Normal 16 8 2 2 8" xfId="21241" xr:uid="{C41A107C-D7E6-48A8-8561-3E21F4A31B89}"/>
    <cellStyle name="Normal 16 8 2 2 8 2" xfId="21242" xr:uid="{DBD24509-76DE-4611-A528-095C1FC42F44}"/>
    <cellStyle name="Normal 16 8 2 2 8 3" xfId="21243" xr:uid="{CC38467C-1C0C-4271-9EBB-EA5D1A07F55D}"/>
    <cellStyle name="Normal 16 8 2 2 8 4" xfId="21244" xr:uid="{414EDB21-F52F-4BFA-AA30-41CDC7B2F40C}"/>
    <cellStyle name="Normal 16 8 2 2 8 5" xfId="21245" xr:uid="{E1B03FA2-09BD-4746-B747-1E4307042A6F}"/>
    <cellStyle name="Normal 16 8 2 2 9" xfId="21246" xr:uid="{44E12B07-4892-4D8A-9411-8CAFBA2C103A}"/>
    <cellStyle name="Normal 16 8 2 3" xfId="21247" xr:uid="{1BB0AE0B-6A64-49E7-82E1-ABD2AB076F89}"/>
    <cellStyle name="Normal 16 8 2 3 2" xfId="21248" xr:uid="{3F821BAE-F94B-494D-95BB-7031FCF48047}"/>
    <cellStyle name="Normal 16 8 2 3 2 2" xfId="21249" xr:uid="{2522F19E-50BB-4B1F-B687-8984DDA4B4BB}"/>
    <cellStyle name="Normal 16 8 2 3 2 3" xfId="21250" xr:uid="{28634386-D700-4D70-98B7-B7C86C0903BA}"/>
    <cellStyle name="Normal 16 8 2 3 2 4" xfId="21251" xr:uid="{127D918F-6670-40FF-8C9A-7D939949535E}"/>
    <cellStyle name="Normal 16 8 2 3 2 5" xfId="21252" xr:uid="{AF286A1C-56CD-473A-9183-2EB2C72B7C52}"/>
    <cellStyle name="Normal 16 8 2 3 3" xfId="21253" xr:uid="{F3BA0FEE-CAA8-4D01-8EA1-63603BA228AF}"/>
    <cellStyle name="Normal 16 8 2 3 4" xfId="21254" xr:uid="{E6F0F98A-5720-43F7-AB30-DD49637B366F}"/>
    <cellStyle name="Normal 16 8 2 3 5" xfId="21255" xr:uid="{86F7CD4E-045A-49F5-BDD3-4F77340E1B28}"/>
    <cellStyle name="Normal 16 8 2 3 6" xfId="21256" xr:uid="{49DBC844-CCA8-46A5-8305-C155A52E624C}"/>
    <cellStyle name="Normal 16 8 2 4" xfId="21257" xr:uid="{708EEFC4-0139-4F45-9043-682ACF87129C}"/>
    <cellStyle name="Normal 16 8 2 4 2" xfId="21258" xr:uid="{5632015D-25CC-45EE-9541-870DE3263572}"/>
    <cellStyle name="Normal 16 8 2 4 2 2" xfId="21259" xr:uid="{CDE06D25-891D-45C7-B7D8-D1A0EC061AC0}"/>
    <cellStyle name="Normal 16 8 2 4 2 3" xfId="21260" xr:uid="{81EB3323-E95E-4DFE-AC64-E1D5F2CBF07E}"/>
    <cellStyle name="Normal 16 8 2 4 2 4" xfId="21261" xr:uid="{F490F406-02E4-438F-B67B-BE902E2611B0}"/>
    <cellStyle name="Normal 16 8 2 4 2 5" xfId="21262" xr:uid="{AE35E54D-674C-4F84-A1B1-02CB682704D8}"/>
    <cellStyle name="Normal 16 8 2 4 3" xfId="21263" xr:uid="{124787C9-ABD4-4EDB-A1FA-C003875E4F50}"/>
    <cellStyle name="Normal 16 8 2 4 4" xfId="21264" xr:uid="{D31F474B-71ED-426D-B7B8-FD1678FD6A5C}"/>
    <cellStyle name="Normal 16 8 2 4 5" xfId="21265" xr:uid="{59136991-90D5-454C-8910-9DBCED78B73A}"/>
    <cellStyle name="Normal 16 8 2 4 6" xfId="21266" xr:uid="{39CE99BF-4268-4871-B19F-F3F9DCE3053E}"/>
    <cellStyle name="Normal 16 8 2 5" xfId="21267" xr:uid="{164F7A9D-2D03-48D9-A5CD-B60296292FBF}"/>
    <cellStyle name="Normal 16 8 2 5 2" xfId="21268" xr:uid="{9926FF55-3432-4939-860D-571C16380106}"/>
    <cellStyle name="Normal 16 8 2 5 2 2" xfId="21269" xr:uid="{67A740BD-8906-4EF9-B3A0-C774BC1AAA09}"/>
    <cellStyle name="Normal 16 8 2 5 2 3" xfId="21270" xr:uid="{8270149B-B754-4755-A179-AD12E15118DA}"/>
    <cellStyle name="Normal 16 8 2 5 2 4" xfId="21271" xr:uid="{A4E9945F-425A-4D71-8601-3F85545B22B1}"/>
    <cellStyle name="Normal 16 8 2 5 2 5" xfId="21272" xr:uid="{CD442667-2F94-47BA-A12D-3E2C85ADC9C4}"/>
    <cellStyle name="Normal 16 8 2 5 3" xfId="21273" xr:uid="{B28CC186-96E3-40C8-9ADC-9C6356BE57DD}"/>
    <cellStyle name="Normal 16 8 2 5 4" xfId="21274" xr:uid="{B0251079-30D5-4563-AB94-07348599881E}"/>
    <cellStyle name="Normal 16 8 2 5 5" xfId="21275" xr:uid="{627A887B-BB85-4BAB-A80B-4AA4AD40477C}"/>
    <cellStyle name="Normal 16 8 2 5 6" xfId="21276" xr:uid="{FF80A4F4-4BF7-4FBF-B65D-D7445B926AAC}"/>
    <cellStyle name="Normal 16 8 2 6" xfId="21277" xr:uid="{812F40F8-6499-4CE7-8C18-41872BD43CA7}"/>
    <cellStyle name="Normal 16 8 2 6 2" xfId="21278" xr:uid="{D53A28BF-231A-4A1D-9356-758547875E9C}"/>
    <cellStyle name="Normal 16 8 2 6 3" xfId="21279" xr:uid="{03FE9F70-0A50-41EB-8750-1DA0666A5847}"/>
    <cellStyle name="Normal 16 8 2 6 4" xfId="21280" xr:uid="{64EADBB5-F0AA-48FC-A02A-476677E3F583}"/>
    <cellStyle name="Normal 16 8 2 6 5" xfId="21281" xr:uid="{207ADE8A-0529-42C0-AB7B-48E62058B342}"/>
    <cellStyle name="Normal 16 8 2 7" xfId="21282" xr:uid="{87423202-915D-489A-A319-0826776F3401}"/>
    <cellStyle name="Normal 16 8 2 7 2" xfId="21283" xr:uid="{04F864A0-ADC4-487C-89E3-54C01D0CD6D2}"/>
    <cellStyle name="Normal 16 8 2 7 3" xfId="21284" xr:uid="{6C975B0E-3E3D-4E29-BCBC-414D3700095E}"/>
    <cellStyle name="Normal 16 8 2 7 4" xfId="21285" xr:uid="{3B1814E4-8D15-4203-A110-2A0669604132}"/>
    <cellStyle name="Normal 16 8 2 7 5" xfId="21286" xr:uid="{16054EAD-BD3B-442C-A30B-D72AF708182E}"/>
    <cellStyle name="Normal 16 8 2 8" xfId="21287" xr:uid="{ADC1A061-6888-4E67-A345-B9C314A04717}"/>
    <cellStyle name="Normal 16 8 2 8 2" xfId="21288" xr:uid="{DAA28168-9D32-4274-A29C-A66441CB39AB}"/>
    <cellStyle name="Normal 16 8 2 8 3" xfId="21289" xr:uid="{0E1746B1-7CDA-49BD-9EC8-B2FA6B9AE5D7}"/>
    <cellStyle name="Normal 16 8 2 8 4" xfId="21290" xr:uid="{6747F3A2-5B0E-4A27-A050-A6F43CD51559}"/>
    <cellStyle name="Normal 16 8 2 8 5" xfId="21291" xr:uid="{EFE2E7DE-A4CF-44A3-998D-683378DF2879}"/>
    <cellStyle name="Normal 16 8 2 9" xfId="21292" xr:uid="{4EDF517B-5224-40A9-B594-9669E2B3A1B6}"/>
    <cellStyle name="Normal 16 8 2 9 2" xfId="21293" xr:uid="{7C58A759-C3F9-425E-99CD-FA890CD54B98}"/>
    <cellStyle name="Normal 16 8 2 9 3" xfId="21294" xr:uid="{867DABEB-4A69-4925-B19E-6ED6E38933FB}"/>
    <cellStyle name="Normal 16 8 2 9 4" xfId="21295" xr:uid="{5171441F-00CC-4258-9D77-A576A3244A86}"/>
    <cellStyle name="Normal 16 8 2 9 5" xfId="21296" xr:uid="{3111B01B-0227-4238-98E9-649A0ECFFD1E}"/>
    <cellStyle name="Normal 16 8 3" xfId="21297" xr:uid="{A64BA4C5-F5FA-4A00-9DBC-177C19BA5037}"/>
    <cellStyle name="Normal 16 8 3 10" xfId="21298" xr:uid="{75157A26-CD42-420A-8655-006CB02A64EC}"/>
    <cellStyle name="Normal 16 8 3 11" xfId="21299" xr:uid="{B60697F4-CDC1-4A62-9986-2C878F579F56}"/>
    <cellStyle name="Normal 16 8 3 12" xfId="21300" xr:uid="{DCAC811C-6DB3-4B96-B613-6EE08E65E000}"/>
    <cellStyle name="Normal 16 8 3 2" xfId="21301" xr:uid="{C15C3AE5-C744-45E0-AB0A-B0003CBEE75D}"/>
    <cellStyle name="Normal 16 8 3 2 2" xfId="21302" xr:uid="{85BC1A5B-FB67-4750-83FF-FAA08D5562E6}"/>
    <cellStyle name="Normal 16 8 3 2 2 2" xfId="21303" xr:uid="{C44321CE-2352-4D27-9808-5E98B8496BE8}"/>
    <cellStyle name="Normal 16 8 3 2 2 3" xfId="21304" xr:uid="{67398040-905E-45D3-AC94-CE9B93D9C5AB}"/>
    <cellStyle name="Normal 16 8 3 2 2 4" xfId="21305" xr:uid="{2D58EC64-DF36-44FD-B08F-32383CE9F68A}"/>
    <cellStyle name="Normal 16 8 3 2 2 5" xfId="21306" xr:uid="{FCC583E8-2993-47C2-959D-CA7F4D9868D7}"/>
    <cellStyle name="Normal 16 8 3 2 3" xfId="21307" xr:uid="{4E8651A0-2A23-4BB9-90A3-D55D8AC5AAAF}"/>
    <cellStyle name="Normal 16 8 3 2 4" xfId="21308" xr:uid="{EBD90984-1FD1-42B6-8DF0-F140FFE9F556}"/>
    <cellStyle name="Normal 16 8 3 2 5" xfId="21309" xr:uid="{F9339499-10A6-4369-9483-48D7F8843888}"/>
    <cellStyle name="Normal 16 8 3 2 6" xfId="21310" xr:uid="{3D187176-52DD-4910-A712-DFEE2E20889F}"/>
    <cellStyle name="Normal 16 8 3 3" xfId="21311" xr:uid="{AA22EAF9-2996-4278-B5ED-A9DF54105875}"/>
    <cellStyle name="Normal 16 8 3 3 2" xfId="21312" xr:uid="{85BB671E-A632-4D0E-BC58-A3CE135E6FD6}"/>
    <cellStyle name="Normal 16 8 3 3 2 2" xfId="21313" xr:uid="{CF2855A3-4B57-4721-89A4-FAEC8DC09B7D}"/>
    <cellStyle name="Normal 16 8 3 3 2 3" xfId="21314" xr:uid="{1DC3BDCA-263F-4C34-B95C-54B520ED5812}"/>
    <cellStyle name="Normal 16 8 3 3 2 4" xfId="21315" xr:uid="{AF83C1BB-DBF8-44EE-A877-8A885EE83218}"/>
    <cellStyle name="Normal 16 8 3 3 2 5" xfId="21316" xr:uid="{F7AF160C-70F8-482C-8547-C24AA0F4E242}"/>
    <cellStyle name="Normal 16 8 3 3 3" xfId="21317" xr:uid="{1F9160D8-3477-410F-B902-D8568B6418EB}"/>
    <cellStyle name="Normal 16 8 3 3 4" xfId="21318" xr:uid="{B28D4AC2-BAF7-4ABE-B81D-872F78043D99}"/>
    <cellStyle name="Normal 16 8 3 3 5" xfId="21319" xr:uid="{F0E713F4-CB9C-4F64-8DCC-D2BD8D85BEB8}"/>
    <cellStyle name="Normal 16 8 3 3 6" xfId="21320" xr:uid="{C7FDB78F-A164-4156-A285-92C7CE16EE95}"/>
    <cellStyle name="Normal 16 8 3 4" xfId="21321" xr:uid="{EA264FFE-AA51-4A11-A64E-C327E3288066}"/>
    <cellStyle name="Normal 16 8 3 4 2" xfId="21322" xr:uid="{106E32D5-028D-44CC-A9D2-3864A522D495}"/>
    <cellStyle name="Normal 16 8 3 4 2 2" xfId="21323" xr:uid="{79A569CC-5453-4F6A-A9FD-3CCC6B153FEF}"/>
    <cellStyle name="Normal 16 8 3 4 2 3" xfId="21324" xr:uid="{62E9E912-CE29-4E1D-8273-B20C78C1FB6C}"/>
    <cellStyle name="Normal 16 8 3 4 2 4" xfId="21325" xr:uid="{F0443DEB-B54E-4934-8F10-1A873D86636F}"/>
    <cellStyle name="Normal 16 8 3 4 2 5" xfId="21326" xr:uid="{9123A6B9-E19F-4477-8562-D0DE40E9EDFE}"/>
    <cellStyle name="Normal 16 8 3 4 3" xfId="21327" xr:uid="{6802D945-7332-4383-B321-62C00F325C39}"/>
    <cellStyle name="Normal 16 8 3 4 4" xfId="21328" xr:uid="{394A884C-7C05-4E69-87E6-574828AD9815}"/>
    <cellStyle name="Normal 16 8 3 4 5" xfId="21329" xr:uid="{A099E096-55CD-484E-903C-F44A7306DB1E}"/>
    <cellStyle name="Normal 16 8 3 4 6" xfId="21330" xr:uid="{5935B119-FF8A-48ED-920A-1363F43FA3CE}"/>
    <cellStyle name="Normal 16 8 3 5" xfId="21331" xr:uid="{2E8447D2-11BD-4597-B8C8-7E720286F33C}"/>
    <cellStyle name="Normal 16 8 3 5 2" xfId="21332" xr:uid="{246DAF6F-226C-4FCA-AD4A-2A7951CDA55E}"/>
    <cellStyle name="Normal 16 8 3 5 3" xfId="21333" xr:uid="{C3210FAF-F68F-41A2-B257-2D9BAAC5E69B}"/>
    <cellStyle name="Normal 16 8 3 5 4" xfId="21334" xr:uid="{2FD0C00B-1D75-4E54-90CC-00382D147576}"/>
    <cellStyle name="Normal 16 8 3 5 5" xfId="21335" xr:uid="{AEE4AC9F-B0EC-4483-809D-15FC2FFC726D}"/>
    <cellStyle name="Normal 16 8 3 6" xfId="21336" xr:uid="{3F196681-CA3D-4A6A-A265-8B686A0CFAE7}"/>
    <cellStyle name="Normal 16 8 3 6 2" xfId="21337" xr:uid="{CF641153-0944-4463-88D5-7A8E1557FF5D}"/>
    <cellStyle name="Normal 16 8 3 6 3" xfId="21338" xr:uid="{10FBA274-0563-470B-A196-F583AAB8E951}"/>
    <cellStyle name="Normal 16 8 3 6 4" xfId="21339" xr:uid="{9FB98065-FCFF-42CA-81C1-C15FC0A9E1E2}"/>
    <cellStyle name="Normal 16 8 3 6 5" xfId="21340" xr:uid="{9D4F2DD6-255B-497B-9C25-9B8A884F4FC4}"/>
    <cellStyle name="Normal 16 8 3 7" xfId="21341" xr:uid="{53BB03D7-5236-453E-9B37-E9CEEDEAF9AB}"/>
    <cellStyle name="Normal 16 8 3 7 2" xfId="21342" xr:uid="{0986F794-7653-48E2-B373-ECC273DC39C1}"/>
    <cellStyle name="Normal 16 8 3 7 3" xfId="21343" xr:uid="{C0DD6218-8BFF-480E-B6AB-96FBE8BAD936}"/>
    <cellStyle name="Normal 16 8 3 7 4" xfId="21344" xr:uid="{F3279260-7DFF-4EC1-AB9A-B4F37BD1252B}"/>
    <cellStyle name="Normal 16 8 3 7 5" xfId="21345" xr:uid="{43A1AFAF-4340-446E-B83B-BD637766B57F}"/>
    <cellStyle name="Normal 16 8 3 8" xfId="21346" xr:uid="{F3777DD8-F3BE-41ED-BEEB-6EE8AAFBCFC1}"/>
    <cellStyle name="Normal 16 8 3 8 2" xfId="21347" xr:uid="{1C033534-7A33-4385-92B7-F98C595999C7}"/>
    <cellStyle name="Normal 16 8 3 8 3" xfId="21348" xr:uid="{4E8FF804-108C-40B8-8CF5-F86ABD0CA707}"/>
    <cellStyle name="Normal 16 8 3 8 4" xfId="21349" xr:uid="{2E891F50-F1DB-434C-881E-3505D55D4B25}"/>
    <cellStyle name="Normal 16 8 3 8 5" xfId="21350" xr:uid="{7256B6CA-FBBA-423A-A316-CD181CDA08B1}"/>
    <cellStyle name="Normal 16 8 3 9" xfId="21351" xr:uid="{5745451E-3E64-4FB4-BE8D-9A985CF8EA41}"/>
    <cellStyle name="Normal 16 8 4" xfId="21352" xr:uid="{C6A6C268-7AF6-480E-84B3-018D88CE0C7C}"/>
    <cellStyle name="Normal 16 8 4 2" xfId="21353" xr:uid="{74516814-6A66-4038-8039-9F0031F95B3A}"/>
    <cellStyle name="Normal 16 8 4 2 2" xfId="21354" xr:uid="{003EECF7-F680-483F-A4B9-34D41917C1FF}"/>
    <cellStyle name="Normal 16 8 4 2 3" xfId="21355" xr:uid="{708D8EEE-8B10-42A4-A142-DF9C488366D5}"/>
    <cellStyle name="Normal 16 8 4 2 4" xfId="21356" xr:uid="{7380CF42-B67D-4B9A-9FF5-C71DC58340F0}"/>
    <cellStyle name="Normal 16 8 4 2 5" xfId="21357" xr:uid="{41A1AE4E-07F1-428B-87EB-F735849FF164}"/>
    <cellStyle name="Normal 16 8 4 3" xfId="21358" xr:uid="{CBF8F657-3E54-4D06-BBCE-013120E4D3C4}"/>
    <cellStyle name="Normal 16 8 4 4" xfId="21359" xr:uid="{3FD2F167-AB80-4FAE-BA26-8A0F18FFE597}"/>
    <cellStyle name="Normal 16 8 4 5" xfId="21360" xr:uid="{5BF50464-40C8-4DD5-8657-654AAE3703DC}"/>
    <cellStyle name="Normal 16 8 4 6" xfId="21361" xr:uid="{727551DE-583E-4B8B-86C9-D899C424A552}"/>
    <cellStyle name="Normal 16 8 5" xfId="21362" xr:uid="{26879CC7-6AB2-4404-A079-657C4D318CF0}"/>
    <cellStyle name="Normal 16 8 5 2" xfId="21363" xr:uid="{A07D7931-FD57-477B-855D-D443AC82FBD2}"/>
    <cellStyle name="Normal 16 8 5 2 2" xfId="21364" xr:uid="{D08E6427-4422-4AE8-B3BE-5DDCE3D8D75C}"/>
    <cellStyle name="Normal 16 8 5 2 3" xfId="21365" xr:uid="{3D4C5909-53AE-4EE0-86FC-14CB54AF0331}"/>
    <cellStyle name="Normal 16 8 5 2 4" xfId="21366" xr:uid="{AB4B5160-C25F-4C68-8EE3-DDACF9DEE68B}"/>
    <cellStyle name="Normal 16 8 5 2 5" xfId="21367" xr:uid="{A055FB04-7164-4DA7-B274-7C7DC239E94A}"/>
    <cellStyle name="Normal 16 8 5 3" xfId="21368" xr:uid="{7D6434C0-8DE2-474F-90BC-0647D9057290}"/>
    <cellStyle name="Normal 16 8 5 4" xfId="21369" xr:uid="{BA1FFA7C-562D-4256-AD9B-1FFF759CA8D3}"/>
    <cellStyle name="Normal 16 8 5 5" xfId="21370" xr:uid="{4672C067-4DA2-4045-AA69-0C0E4ED101E0}"/>
    <cellStyle name="Normal 16 8 5 6" xfId="21371" xr:uid="{A90EDA4C-8DEC-4695-B1B9-376C9F90B1BD}"/>
    <cellStyle name="Normal 16 8 6" xfId="21372" xr:uid="{8E1B43DA-01B0-4851-8BB4-337C1A13DDD8}"/>
    <cellStyle name="Normal 16 8 6 2" xfId="21373" xr:uid="{03796338-A4E8-4E29-A172-703205472287}"/>
    <cellStyle name="Normal 16 8 6 2 2" xfId="21374" xr:uid="{338C514C-8706-454B-A189-877B98FF77E4}"/>
    <cellStyle name="Normal 16 8 6 2 3" xfId="21375" xr:uid="{E7A65559-8B50-451C-A857-40D02C89C8A1}"/>
    <cellStyle name="Normal 16 8 6 2 4" xfId="21376" xr:uid="{9E86FA66-7469-48B5-974D-8A5530D020D7}"/>
    <cellStyle name="Normal 16 8 6 2 5" xfId="21377" xr:uid="{4B3CA46C-A49B-4B12-9683-587208898ED6}"/>
    <cellStyle name="Normal 16 8 6 3" xfId="21378" xr:uid="{C74E2091-59DE-40EA-9AEE-133C8B70F10C}"/>
    <cellStyle name="Normal 16 8 6 4" xfId="21379" xr:uid="{CE2F3F7F-DE4B-45AF-842F-0AE526746E49}"/>
    <cellStyle name="Normal 16 8 6 5" xfId="21380" xr:uid="{8AED4FFC-E4ED-436D-B166-D4E6E818B5B2}"/>
    <cellStyle name="Normal 16 8 6 6" xfId="21381" xr:uid="{6CEB3D3E-8A14-4DED-A2EC-99B01FF89FC3}"/>
    <cellStyle name="Normal 16 8 7" xfId="21382" xr:uid="{1BF3CD51-4E3D-4E09-A2AE-89FDA4F4AF80}"/>
    <cellStyle name="Normal 16 8 7 2" xfId="21383" xr:uid="{B0385FA7-0331-4792-BF1E-FF34C9653B00}"/>
    <cellStyle name="Normal 16 8 7 3" xfId="21384" xr:uid="{59D3EEBC-7214-4D27-A5E7-473462DEE6B4}"/>
    <cellStyle name="Normal 16 8 7 4" xfId="21385" xr:uid="{01A129F9-28E9-4E7F-B097-8B33256E91A6}"/>
    <cellStyle name="Normal 16 8 7 5" xfId="21386" xr:uid="{953130D4-5C68-4842-84D7-E0331B91CCE4}"/>
    <cellStyle name="Normal 16 8 8" xfId="21387" xr:uid="{CA6769B1-0B1D-4A09-B089-9827B28603F2}"/>
    <cellStyle name="Normal 16 8 8 2" xfId="21388" xr:uid="{B57CDFF4-C663-4422-914A-367F3B4E232C}"/>
    <cellStyle name="Normal 16 8 8 3" xfId="21389" xr:uid="{59ED34B2-0D07-4980-83C5-3E66B6BE7F95}"/>
    <cellStyle name="Normal 16 8 8 4" xfId="21390" xr:uid="{0F29E808-167E-4D1C-A5E2-4F2A5C5B3DA1}"/>
    <cellStyle name="Normal 16 8 8 5" xfId="21391" xr:uid="{7AAEB8BF-D927-4CDB-9B88-1F7AFD7C6B95}"/>
    <cellStyle name="Normal 16 8 9" xfId="21392" xr:uid="{26D34612-9F03-45DF-994E-A92118D053FC}"/>
    <cellStyle name="Normal 16 8 9 2" xfId="21393" xr:uid="{B0A3DFB6-58B0-4C92-B0A0-89C9928739E1}"/>
    <cellStyle name="Normal 16 8 9 3" xfId="21394" xr:uid="{10C268BA-9429-407F-BDE6-4C836D1336F7}"/>
    <cellStyle name="Normal 16 8 9 4" xfId="21395" xr:uid="{945A4316-2C26-4D45-9577-E7639EFBB860}"/>
    <cellStyle name="Normal 16 8 9 5" xfId="21396" xr:uid="{EF713070-2A1F-43D0-94FB-B03F9E98771D}"/>
    <cellStyle name="Normal 16 9" xfId="21397" xr:uid="{722FC2E2-AEE1-4FBA-A48D-40718C138AFA}"/>
    <cellStyle name="Normal 16 9 10" xfId="21398" xr:uid="{5AFC2862-E9AF-4A8A-8D84-947DA8401A12}"/>
    <cellStyle name="Normal 16 9 11" xfId="21399" xr:uid="{60382E8F-130F-4073-BC9D-4EDE42220F63}"/>
    <cellStyle name="Normal 16 9 12" xfId="21400" xr:uid="{10C78138-8AD6-478F-84FE-79AA1A94580C}"/>
    <cellStyle name="Normal 16 9 13" xfId="21401" xr:uid="{98AB1D95-6EA3-463D-9540-306EBC40E776}"/>
    <cellStyle name="Normal 16 9 2" xfId="21402" xr:uid="{F89E1C20-4439-4C09-8825-FE194F8D9FF6}"/>
    <cellStyle name="Normal 16 9 2 10" xfId="21403" xr:uid="{88A2A890-C60B-483F-BE8D-C4A9620DF349}"/>
    <cellStyle name="Normal 16 9 2 11" xfId="21404" xr:uid="{5E65D6DF-A7AF-4955-A5C2-4C0AC52A46F4}"/>
    <cellStyle name="Normal 16 9 2 12" xfId="21405" xr:uid="{865121ED-18E5-468C-B4F9-0AFA4298677C}"/>
    <cellStyle name="Normal 16 9 2 2" xfId="21406" xr:uid="{51D0EFD4-4744-4261-A231-EBBE1BC69492}"/>
    <cellStyle name="Normal 16 9 2 2 2" xfId="21407" xr:uid="{8EA947A1-99F9-40AB-B2AA-762F9029A52D}"/>
    <cellStyle name="Normal 16 9 2 2 2 2" xfId="21408" xr:uid="{C59B7BBB-80B7-483F-842A-ADBABF9BD7DA}"/>
    <cellStyle name="Normal 16 9 2 2 2 3" xfId="21409" xr:uid="{09C7DD8B-7D49-400B-A4C6-67650311445F}"/>
    <cellStyle name="Normal 16 9 2 2 2 4" xfId="21410" xr:uid="{40DBEB60-5F8B-4F9E-A63B-CB0EA91448CC}"/>
    <cellStyle name="Normal 16 9 2 2 2 5" xfId="21411" xr:uid="{2DE4574F-142B-4785-970F-604AAFCC9654}"/>
    <cellStyle name="Normal 16 9 2 2 3" xfId="21412" xr:uid="{997F1F4D-6B46-4524-9A44-47CD369DC812}"/>
    <cellStyle name="Normal 16 9 2 2 4" xfId="21413" xr:uid="{BE53278C-E9E3-41E3-87A2-BC5B09A28F0F}"/>
    <cellStyle name="Normal 16 9 2 2 5" xfId="21414" xr:uid="{ABBF468E-575D-47A2-B49D-4FB921A9901B}"/>
    <cellStyle name="Normal 16 9 2 2 6" xfId="21415" xr:uid="{15DCF231-C5A6-4927-BBFA-8B71A0037605}"/>
    <cellStyle name="Normal 16 9 2 3" xfId="21416" xr:uid="{B9544B22-BEF3-4263-9AD4-14E08CBCF878}"/>
    <cellStyle name="Normal 16 9 2 3 2" xfId="21417" xr:uid="{B38CBE83-809B-40CF-B8A8-38606B7E99D4}"/>
    <cellStyle name="Normal 16 9 2 3 2 2" xfId="21418" xr:uid="{661020FA-089E-459B-AE99-70D66299FC30}"/>
    <cellStyle name="Normal 16 9 2 3 2 3" xfId="21419" xr:uid="{BFD094F8-4ADE-485F-91EF-06FCAC804CA4}"/>
    <cellStyle name="Normal 16 9 2 3 2 4" xfId="21420" xr:uid="{0404DD42-A968-4E8D-A01F-C5F41FB5289B}"/>
    <cellStyle name="Normal 16 9 2 3 2 5" xfId="21421" xr:uid="{B3155D08-23A2-4DE4-B150-80AEE9F75700}"/>
    <cellStyle name="Normal 16 9 2 3 3" xfId="21422" xr:uid="{E1FD318C-5374-4067-A684-C7B13B292A15}"/>
    <cellStyle name="Normal 16 9 2 3 4" xfId="21423" xr:uid="{31D0B27D-A2DD-4DC9-BE9A-80F847295657}"/>
    <cellStyle name="Normal 16 9 2 3 5" xfId="21424" xr:uid="{84D6D479-38B2-4E31-83DA-E91B52D7C048}"/>
    <cellStyle name="Normal 16 9 2 3 6" xfId="21425" xr:uid="{666D9B47-B2DA-427E-8BCA-179BDA34E9D0}"/>
    <cellStyle name="Normal 16 9 2 4" xfId="21426" xr:uid="{349FAACF-2FCA-424A-9D7B-2A5C125BE606}"/>
    <cellStyle name="Normal 16 9 2 4 2" xfId="21427" xr:uid="{653FF50E-EEDB-48E8-A86B-56087CBFEC1F}"/>
    <cellStyle name="Normal 16 9 2 4 2 2" xfId="21428" xr:uid="{4C0B3B2D-1B22-4BB0-81D8-DBAA9C0E1580}"/>
    <cellStyle name="Normal 16 9 2 4 2 3" xfId="21429" xr:uid="{43B7B01C-7A06-4395-8769-588412FAB978}"/>
    <cellStyle name="Normal 16 9 2 4 2 4" xfId="21430" xr:uid="{8A7AF96E-D8A4-405A-A422-0E2F2AC51C09}"/>
    <cellStyle name="Normal 16 9 2 4 2 5" xfId="21431" xr:uid="{2EC09994-A5B2-446F-B004-B58F73F214D1}"/>
    <cellStyle name="Normal 16 9 2 4 3" xfId="21432" xr:uid="{2B99D824-1F4A-4A48-AEFA-734B5E46563B}"/>
    <cellStyle name="Normal 16 9 2 4 4" xfId="21433" xr:uid="{BCBD661C-6EA0-43E4-BB31-014A39712174}"/>
    <cellStyle name="Normal 16 9 2 4 5" xfId="21434" xr:uid="{C09E1992-5F0C-445D-BB0A-4CC0F9BC6EAF}"/>
    <cellStyle name="Normal 16 9 2 4 6" xfId="21435" xr:uid="{5DE9E72A-CC2A-43AF-9338-1620C0810C5B}"/>
    <cellStyle name="Normal 16 9 2 5" xfId="21436" xr:uid="{5796343B-F9E2-4D66-BAEF-483A4E43EF1F}"/>
    <cellStyle name="Normal 16 9 2 5 2" xfId="21437" xr:uid="{8D7D58D2-5926-42C1-8879-EFCFD354A9B5}"/>
    <cellStyle name="Normal 16 9 2 5 3" xfId="21438" xr:uid="{8E4C944E-1A33-4B2B-AD24-BCB976CBB757}"/>
    <cellStyle name="Normal 16 9 2 5 4" xfId="21439" xr:uid="{37EF7130-A906-48DA-A730-519609D1B423}"/>
    <cellStyle name="Normal 16 9 2 5 5" xfId="21440" xr:uid="{91EF6BE5-EA61-454A-B133-185D852BDCC8}"/>
    <cellStyle name="Normal 16 9 2 6" xfId="21441" xr:uid="{11BCC5E8-B298-41FE-A812-F9D50A4CAED6}"/>
    <cellStyle name="Normal 16 9 2 6 2" xfId="21442" xr:uid="{ADA10356-666C-4E57-AB47-1A5E6CC957E9}"/>
    <cellStyle name="Normal 16 9 2 6 3" xfId="21443" xr:uid="{DD258319-16A1-4DFA-8525-46CE664CD609}"/>
    <cellStyle name="Normal 16 9 2 6 4" xfId="21444" xr:uid="{D7B2A101-DAC2-484D-8174-5D2F378B52EC}"/>
    <cellStyle name="Normal 16 9 2 6 5" xfId="21445" xr:uid="{C0C27953-BB0D-4A47-AE49-FDE2D6B2BD79}"/>
    <cellStyle name="Normal 16 9 2 7" xfId="21446" xr:uid="{9063EFC1-9921-4134-9666-B667E0761B4D}"/>
    <cellStyle name="Normal 16 9 2 7 2" xfId="21447" xr:uid="{35FB02B0-5A49-448D-8E8C-8248C044D3FF}"/>
    <cellStyle name="Normal 16 9 2 7 3" xfId="21448" xr:uid="{BC4DFFAD-F656-429B-909E-E6811A684266}"/>
    <cellStyle name="Normal 16 9 2 7 4" xfId="21449" xr:uid="{E55CF7DB-3F86-4312-A1AA-D2F3A4C554E5}"/>
    <cellStyle name="Normal 16 9 2 7 5" xfId="21450" xr:uid="{4D0498D6-2633-417C-8330-E9F3FA5FB0EF}"/>
    <cellStyle name="Normal 16 9 2 8" xfId="21451" xr:uid="{BE255941-0325-4C65-BDFA-7B3DACFE71DA}"/>
    <cellStyle name="Normal 16 9 2 8 2" xfId="21452" xr:uid="{7C566C3F-FD82-48F2-905B-98F7A7059219}"/>
    <cellStyle name="Normal 16 9 2 8 3" xfId="21453" xr:uid="{0806983A-029A-4021-AA49-491E56E4588E}"/>
    <cellStyle name="Normal 16 9 2 8 4" xfId="21454" xr:uid="{ED815BC7-2A24-4252-A083-1C62D8839521}"/>
    <cellStyle name="Normal 16 9 2 8 5" xfId="21455" xr:uid="{AAEF8CF8-6D03-404D-B361-62FA77A25C67}"/>
    <cellStyle name="Normal 16 9 2 9" xfId="21456" xr:uid="{D83C46A6-DEC8-485E-BD3D-2C3E5F916F63}"/>
    <cellStyle name="Normal 16 9 3" xfId="21457" xr:uid="{06EE50B7-CDA2-4348-9FD3-C8772363108A}"/>
    <cellStyle name="Normal 16 9 3 2" xfId="21458" xr:uid="{00D560E8-59F8-4771-A4EF-0D6196D20E41}"/>
    <cellStyle name="Normal 16 9 3 2 2" xfId="21459" xr:uid="{5B3981CD-EF46-4E4F-BEF9-39ACC7EF4F99}"/>
    <cellStyle name="Normal 16 9 3 2 3" xfId="21460" xr:uid="{57E182FC-0A6D-47EE-B93A-0492EC59B1C0}"/>
    <cellStyle name="Normal 16 9 3 2 4" xfId="21461" xr:uid="{07E88260-23EE-476C-AF32-D5BAAC4F6E81}"/>
    <cellStyle name="Normal 16 9 3 2 5" xfId="21462" xr:uid="{53CF9B32-0311-4B29-BA41-79D03E71F1AD}"/>
    <cellStyle name="Normal 16 9 3 3" xfId="21463" xr:uid="{70E16C66-BDF5-405B-A156-6E0D1699F78C}"/>
    <cellStyle name="Normal 16 9 3 4" xfId="21464" xr:uid="{75C4DE11-ED6B-44E5-A57F-E220A99DAAA3}"/>
    <cellStyle name="Normal 16 9 3 5" xfId="21465" xr:uid="{E80B74D6-55D1-4A77-8543-0B8B44C9B301}"/>
    <cellStyle name="Normal 16 9 3 6" xfId="21466" xr:uid="{E205B92E-96A6-4EAE-8AD2-DB27A50D52EB}"/>
    <cellStyle name="Normal 16 9 4" xfId="21467" xr:uid="{1AFDD6BB-DC93-47DD-B0AA-382F6565AF40}"/>
    <cellStyle name="Normal 16 9 4 2" xfId="21468" xr:uid="{9F93D12D-C4AC-435E-9F79-8F434EB75778}"/>
    <cellStyle name="Normal 16 9 4 2 2" xfId="21469" xr:uid="{E8384FE8-8E44-47F5-A1D3-3F5B64524E75}"/>
    <cellStyle name="Normal 16 9 4 2 3" xfId="21470" xr:uid="{77543579-2A2B-4BB2-8644-83DF817E4D2A}"/>
    <cellStyle name="Normal 16 9 4 2 4" xfId="21471" xr:uid="{D65E8691-4C98-4830-8A61-16E5E2D00D2F}"/>
    <cellStyle name="Normal 16 9 4 2 5" xfId="21472" xr:uid="{8C0B2B85-FF90-40AE-B28A-452D51FC7E35}"/>
    <cellStyle name="Normal 16 9 4 3" xfId="21473" xr:uid="{9421A33E-B185-479E-B753-44C772CC667C}"/>
    <cellStyle name="Normal 16 9 4 4" xfId="21474" xr:uid="{D17D8F85-61EF-48F1-B225-F8B301F76861}"/>
    <cellStyle name="Normal 16 9 4 5" xfId="21475" xr:uid="{F0C2A39F-5DD9-4796-B849-66DFDF1C803A}"/>
    <cellStyle name="Normal 16 9 4 6" xfId="21476" xr:uid="{3FC5D5CE-BC30-41A3-B205-7530AAB35E06}"/>
    <cellStyle name="Normal 16 9 5" xfId="21477" xr:uid="{B4EAD6C5-E946-47B2-9E05-BC9D82ADCCFB}"/>
    <cellStyle name="Normal 16 9 5 2" xfId="21478" xr:uid="{DBA1961D-164A-4DCF-BE61-F1E8828D879B}"/>
    <cellStyle name="Normal 16 9 5 2 2" xfId="21479" xr:uid="{7A785EA4-0F1D-4D98-B8FA-2E215802CD79}"/>
    <cellStyle name="Normal 16 9 5 2 3" xfId="21480" xr:uid="{524BDCDC-6B68-4EFF-A1F3-3D780E153525}"/>
    <cellStyle name="Normal 16 9 5 2 4" xfId="21481" xr:uid="{EB063240-ACC6-4666-BA09-3272C19AE9EC}"/>
    <cellStyle name="Normal 16 9 5 2 5" xfId="21482" xr:uid="{B6A579DC-CC4F-44CC-AC40-EF37DE7253AB}"/>
    <cellStyle name="Normal 16 9 5 3" xfId="21483" xr:uid="{48F6178F-AC93-4ADF-A572-64479278F3D0}"/>
    <cellStyle name="Normal 16 9 5 4" xfId="21484" xr:uid="{2FD1CB9C-5A92-4C1C-AD63-AA0A7F6FBA31}"/>
    <cellStyle name="Normal 16 9 5 5" xfId="21485" xr:uid="{EE054897-89A2-46EF-B558-A1CEE6423C08}"/>
    <cellStyle name="Normal 16 9 5 6" xfId="21486" xr:uid="{403ABA04-61D5-45B5-B7F6-1C0E0C8E69FC}"/>
    <cellStyle name="Normal 16 9 6" xfId="21487" xr:uid="{DF0FE848-2A46-432E-91EB-A18AA99B0DAD}"/>
    <cellStyle name="Normal 16 9 6 2" xfId="21488" xr:uid="{FC637902-626C-4E3B-8FB5-F3E5C885D30B}"/>
    <cellStyle name="Normal 16 9 6 3" xfId="21489" xr:uid="{1710299C-6F28-4E47-BC90-D9ED5BA48DB5}"/>
    <cellStyle name="Normal 16 9 6 4" xfId="21490" xr:uid="{3562D863-71A2-4325-9B81-C37A1247FBA5}"/>
    <cellStyle name="Normal 16 9 6 5" xfId="21491" xr:uid="{75510308-29F7-4F64-BAF2-385A6320FE70}"/>
    <cellStyle name="Normal 16 9 7" xfId="21492" xr:uid="{C7D8ABA3-ED2B-4F42-9ECD-BCF1079B71DB}"/>
    <cellStyle name="Normal 16 9 7 2" xfId="21493" xr:uid="{33671C7A-0FB9-4ED3-AB92-CF0AF68F788B}"/>
    <cellStyle name="Normal 16 9 7 3" xfId="21494" xr:uid="{BF42A125-85D9-4ADB-9BED-C0A3A9312703}"/>
    <cellStyle name="Normal 16 9 7 4" xfId="21495" xr:uid="{D135745B-0BE3-4079-8907-4CFDA8C0382C}"/>
    <cellStyle name="Normal 16 9 7 5" xfId="21496" xr:uid="{146C40E1-B8E4-44D9-869E-EACB6FA5C55B}"/>
    <cellStyle name="Normal 16 9 8" xfId="21497" xr:uid="{CF2FAF4A-979E-4EE3-9ECF-E2A8EEC7C038}"/>
    <cellStyle name="Normal 16 9 8 2" xfId="21498" xr:uid="{2934FE85-C236-4A77-9BB5-6DC7B84435B3}"/>
    <cellStyle name="Normal 16 9 8 3" xfId="21499" xr:uid="{3D248B0B-D7D2-47A0-87BF-2BDF59E6D965}"/>
    <cellStyle name="Normal 16 9 8 4" xfId="21500" xr:uid="{E4541412-B18C-4E55-B1D4-27090EF94CB9}"/>
    <cellStyle name="Normal 16 9 8 5" xfId="21501" xr:uid="{62DD7D04-0E6B-444E-ADEE-43E0A05D1D9F}"/>
    <cellStyle name="Normal 16 9 9" xfId="21502" xr:uid="{A268B1BA-31CD-4949-8431-B385FF3D9FBE}"/>
    <cellStyle name="Normal 16 9 9 2" xfId="21503" xr:uid="{2D29F0C2-B78A-45ED-95A2-2448B763CE7D}"/>
    <cellStyle name="Normal 16 9 9 3" xfId="21504" xr:uid="{9A00045C-A820-474F-B040-F26271F0684F}"/>
    <cellStyle name="Normal 16 9 9 4" xfId="21505" xr:uid="{B425E807-446A-4CE1-BDD5-B72419ACA532}"/>
    <cellStyle name="Normal 16 9 9 5" xfId="21506" xr:uid="{0E09426B-4FE4-4064-9ABB-DBF9CCD22B43}"/>
    <cellStyle name="Normal 17" xfId="21507" xr:uid="{755E5ACB-F0A3-4F3A-8F6F-AC103CF2008D}"/>
    <cellStyle name="Normal 17 2" xfId="21508" xr:uid="{CA9F4440-256C-45F6-BF34-E23F3E84341F}"/>
    <cellStyle name="Normal 17 2 10" xfId="21509" xr:uid="{DCD9AABD-F01E-4C6C-A80A-3541488B8EBB}"/>
    <cellStyle name="Normal 17 2 11" xfId="21510" xr:uid="{DB10D300-2DDC-48FA-87DE-43D187EEC9D5}"/>
    <cellStyle name="Normal 17 2 12" xfId="21511" xr:uid="{B4128FE2-C830-41EC-8041-1380406363F5}"/>
    <cellStyle name="Normal 17 2 2" xfId="21512" xr:uid="{2254D506-58F1-4975-8A51-D41514687CAD}"/>
    <cellStyle name="Normal 17 2 2 2" xfId="21513" xr:uid="{34A6160D-7388-45B0-90D3-0C50C18BAF82}"/>
    <cellStyle name="Normal 17 2 2 2 2" xfId="21514" xr:uid="{6039C031-411A-42DC-8714-A614F30C7AF0}"/>
    <cellStyle name="Normal 17 2 2 2 3" xfId="21515" xr:uid="{63405AC1-757E-40BD-94BD-8B2516D72A65}"/>
    <cellStyle name="Normal 17 2 2 2 4" xfId="21516" xr:uid="{46B9B820-76DC-40D4-A246-4984E154497B}"/>
    <cellStyle name="Normal 17 2 2 2 5" xfId="21517" xr:uid="{CF7FEBEB-B199-4F35-BD1F-E93BB0B01B4B}"/>
    <cellStyle name="Normal 17 2 2 3" xfId="21518" xr:uid="{62892679-8CA7-4AC5-8EE6-924970A14AEA}"/>
    <cellStyle name="Normal 17 2 2 4" xfId="21519" xr:uid="{FAE8AAF5-578A-4F02-B60A-C8916AC9DE1B}"/>
    <cellStyle name="Normal 17 2 2 5" xfId="21520" xr:uid="{ACC1404A-0A74-436F-9CB2-A8A214672F79}"/>
    <cellStyle name="Normal 17 2 2 6" xfId="21521" xr:uid="{956B4AC8-E59E-4E2F-B250-6AEEB2BA24ED}"/>
    <cellStyle name="Normal 17 2 3" xfId="21522" xr:uid="{CB18126F-15E1-4EE2-AC7C-E16897E05223}"/>
    <cellStyle name="Normal 17 2 3 2" xfId="21523" xr:uid="{CE18C658-AA21-4C39-ABD4-5B672F24CBCF}"/>
    <cellStyle name="Normal 17 2 3 2 2" xfId="21524" xr:uid="{26008EF5-AF1C-43DD-9F23-74F34B013F4D}"/>
    <cellStyle name="Normal 17 2 3 2 3" xfId="21525" xr:uid="{8FF77F22-8C68-4586-915C-0C1A9388103F}"/>
    <cellStyle name="Normal 17 2 3 2 4" xfId="21526" xr:uid="{A49C78D3-9632-4D9A-9697-8B37793CB5B3}"/>
    <cellStyle name="Normal 17 2 3 2 5" xfId="21527" xr:uid="{252572BA-47E4-47C7-A45A-6E35472A9BCF}"/>
    <cellStyle name="Normal 17 2 3 3" xfId="21528" xr:uid="{4C8E7D7E-0AC2-4139-A8AD-1A57A68E81C8}"/>
    <cellStyle name="Normal 17 2 3 4" xfId="21529" xr:uid="{3FD6CA2F-0999-4A24-A0D4-4B07016F1E6D}"/>
    <cellStyle name="Normal 17 2 3 5" xfId="21530" xr:uid="{60B839F4-236F-4160-B162-39DA6EC169B3}"/>
    <cellStyle name="Normal 17 2 3 6" xfId="21531" xr:uid="{009EEAD3-6AB0-41CA-8E08-42AC46066017}"/>
    <cellStyle name="Normal 17 2 4" xfId="21532" xr:uid="{CB3A0C62-B996-4449-B989-E5BEF0E9B5F3}"/>
    <cellStyle name="Normal 17 2 4 2" xfId="21533" xr:uid="{A6F4284B-03CA-4069-BD92-377BAF48FB74}"/>
    <cellStyle name="Normal 17 2 4 2 2" xfId="21534" xr:uid="{E0328DB8-2417-445C-BD3A-66149B2D6B94}"/>
    <cellStyle name="Normal 17 2 4 2 3" xfId="21535" xr:uid="{8276E318-B0DD-49F3-A81B-0EBCEEFFA916}"/>
    <cellStyle name="Normal 17 2 4 2 4" xfId="21536" xr:uid="{5DD49E65-8076-480F-AF6A-0669D2F88B02}"/>
    <cellStyle name="Normal 17 2 4 2 5" xfId="21537" xr:uid="{C6D0C8DB-CF18-41EF-820B-64A44D465032}"/>
    <cellStyle name="Normal 17 2 4 3" xfId="21538" xr:uid="{EF6FBF2F-E60C-437F-AD79-3EFCF5BE1DA9}"/>
    <cellStyle name="Normal 17 2 4 4" xfId="21539" xr:uid="{23B03603-B6A1-4834-A30A-3FB1E3686C6A}"/>
    <cellStyle name="Normal 17 2 4 5" xfId="21540" xr:uid="{A46CA479-5E31-4DCA-9BB2-191CCA6B0E7F}"/>
    <cellStyle name="Normal 17 2 4 6" xfId="21541" xr:uid="{4E9CFF32-F7A5-43E1-9F31-1CD1B3708709}"/>
    <cellStyle name="Normal 17 2 5" xfId="21542" xr:uid="{A51FAED3-29AA-4BC7-9BAA-DF80BBE52376}"/>
    <cellStyle name="Normal 17 2 5 2" xfId="21543" xr:uid="{5872E95E-B5C7-4413-9729-AA7D94EB01C0}"/>
    <cellStyle name="Normal 17 2 5 3" xfId="21544" xr:uid="{973B27B5-F7F1-43E1-ABC5-F18F093F711D}"/>
    <cellStyle name="Normal 17 2 5 4" xfId="21545" xr:uid="{782AD613-9776-4826-9D8F-9754A5C2409D}"/>
    <cellStyle name="Normal 17 2 5 5" xfId="21546" xr:uid="{5010AE11-4EDB-4751-98B0-DD323CB3A3EF}"/>
    <cellStyle name="Normal 17 2 6" xfId="21547" xr:uid="{12DF555D-8C9E-415A-9C6C-B071EDBA7F3E}"/>
    <cellStyle name="Normal 17 2 6 2" xfId="21548" xr:uid="{DB9FF19B-1005-41A0-AE41-C780C894C015}"/>
    <cellStyle name="Normal 17 2 6 3" xfId="21549" xr:uid="{EC64B2DE-A618-467B-983A-5B6C2EA4993F}"/>
    <cellStyle name="Normal 17 2 6 4" xfId="21550" xr:uid="{BCCBF4D0-F6CA-480D-9403-13E61C39C480}"/>
    <cellStyle name="Normal 17 2 6 5" xfId="21551" xr:uid="{7AA85DCE-1864-4AD0-9D6F-93EA046313BA}"/>
    <cellStyle name="Normal 17 2 7" xfId="21552" xr:uid="{6C997B75-18A0-4C6E-A2CD-10759CA2F06E}"/>
    <cellStyle name="Normal 17 2 7 2" xfId="21553" xr:uid="{6352444B-382F-49B0-9262-4274B982F203}"/>
    <cellStyle name="Normal 17 2 7 3" xfId="21554" xr:uid="{19F2589E-E1B7-4097-927A-6BA20F1BC313}"/>
    <cellStyle name="Normal 17 2 7 4" xfId="21555" xr:uid="{4ED5966E-FAD6-4289-9879-3874D2E4E6C0}"/>
    <cellStyle name="Normal 17 2 7 5" xfId="21556" xr:uid="{E6985E80-8690-4881-966D-1F434B4DBA25}"/>
    <cellStyle name="Normal 17 2 8" xfId="21557" xr:uid="{EF947CE7-52E8-4694-B920-66C5639EC40C}"/>
    <cellStyle name="Normal 17 2 8 2" xfId="21558" xr:uid="{11E44204-9D21-4247-9649-E0B569EE7FC2}"/>
    <cellStyle name="Normal 17 2 8 3" xfId="21559" xr:uid="{DAD8089D-F89C-4C99-BD08-CC41C8C153FA}"/>
    <cellStyle name="Normal 17 2 8 4" xfId="21560" xr:uid="{8B8A8AFE-76D6-48A4-B6BE-A2A8617A0D94}"/>
    <cellStyle name="Normal 17 2 8 5" xfId="21561" xr:uid="{0B464714-DF61-4504-BBD6-6DB7796161DD}"/>
    <cellStyle name="Normal 17 2 9" xfId="21562" xr:uid="{9ECC375F-37A8-4334-82BF-E75A80C1D48A}"/>
    <cellStyle name="Normal 17 3" xfId="21563" xr:uid="{C8F3F42D-4B1C-4571-B011-99F78713A629}"/>
    <cellStyle name="Normal 17 3 10" xfId="21564" xr:uid="{CD5238E3-25AA-4D74-8D92-5E5008DC1A41}"/>
    <cellStyle name="Normal 17 3 11" xfId="21565" xr:uid="{242E3B1D-D332-4981-BCB1-ABB47D701A1A}"/>
    <cellStyle name="Normal 17 3 2" xfId="21566" xr:uid="{39103372-4087-45C2-80C0-B96F97F6D6FC}"/>
    <cellStyle name="Normal 17 3 2 2" xfId="21567" xr:uid="{C9A549AA-0D4E-469C-B81D-651D9DBCED0F}"/>
    <cellStyle name="Normal 17 3 2 2 2" xfId="21568" xr:uid="{B1D91D42-4AA2-45A7-8965-25233FF25CAE}"/>
    <cellStyle name="Normal 17 3 2 2 3" xfId="21569" xr:uid="{E952D310-9A16-41DB-8714-3CECBF005307}"/>
    <cellStyle name="Normal 17 3 2 2 4" xfId="21570" xr:uid="{8D8AB997-E710-4DE2-8453-4593BE6ED24E}"/>
    <cellStyle name="Normal 17 3 2 2 5" xfId="21571" xr:uid="{9EDC6C74-96DD-4795-A128-BA79933D27BE}"/>
    <cellStyle name="Normal 17 3 2 3" xfId="21572" xr:uid="{1A51AA31-5DEB-4FDC-8F69-CE80247E6349}"/>
    <cellStyle name="Normal 17 3 2 4" xfId="21573" xr:uid="{C2522875-709C-48A6-AF50-CAD1A55C3902}"/>
    <cellStyle name="Normal 17 3 2 5" xfId="21574" xr:uid="{C57BC49E-239B-431E-9AC6-6D3250173142}"/>
    <cellStyle name="Normal 17 3 2 6" xfId="21575" xr:uid="{52EA211C-3AAA-4EC1-9E3A-8BECF817DFC1}"/>
    <cellStyle name="Normal 17 3 3" xfId="21576" xr:uid="{B6112DA6-5913-401A-BC12-DC3944CCDEE4}"/>
    <cellStyle name="Normal 17 3 3 2" xfId="21577" xr:uid="{2978282E-59DF-4360-B565-E9ACF56806B7}"/>
    <cellStyle name="Normal 17 3 3 2 2" xfId="21578" xr:uid="{E2DC5FA5-EFC3-4C64-B4FE-CEEB49C13E66}"/>
    <cellStyle name="Normal 17 3 3 2 3" xfId="21579" xr:uid="{9F771191-57AF-4F94-A83F-638B4105CDEA}"/>
    <cellStyle name="Normal 17 3 3 2 4" xfId="21580" xr:uid="{5B4DEA31-658F-4644-B652-58D00C47E28A}"/>
    <cellStyle name="Normal 17 3 3 2 5" xfId="21581" xr:uid="{E417FAC7-3F95-4B87-B465-4FB946B514B9}"/>
    <cellStyle name="Normal 17 3 3 3" xfId="21582" xr:uid="{B2DDD736-18D0-499D-BC53-6BC96EA46973}"/>
    <cellStyle name="Normal 17 3 3 4" xfId="21583" xr:uid="{8917CA97-013E-4967-9472-7198DAAB7D6F}"/>
    <cellStyle name="Normal 17 3 3 5" xfId="21584" xr:uid="{130E4C7D-525E-4B89-9BCC-F2005DE93436}"/>
    <cellStyle name="Normal 17 3 3 6" xfId="21585" xr:uid="{302EA238-5824-4DFC-B16A-3420A0AF24E0}"/>
    <cellStyle name="Normal 17 3 4" xfId="21586" xr:uid="{FA949E0F-D137-43C2-BB68-AE377A3EAD40}"/>
    <cellStyle name="Normal 17 3 4 2" xfId="21587" xr:uid="{FB9048CA-2A84-4329-B112-BDA71E3B1C73}"/>
    <cellStyle name="Normal 17 3 4 2 2" xfId="21588" xr:uid="{701C34EE-093E-404C-84F5-46F8F631149D}"/>
    <cellStyle name="Normal 17 3 4 2 3" xfId="21589" xr:uid="{A6CBD952-9A14-45F7-B791-71BF8A64ECCD}"/>
    <cellStyle name="Normal 17 3 4 2 4" xfId="21590" xr:uid="{7017430A-34AE-474F-B0C4-E6BE4C0BBABA}"/>
    <cellStyle name="Normal 17 3 4 2 5" xfId="21591" xr:uid="{29D5D3B8-3B95-48B1-9E78-70595E0C553A}"/>
    <cellStyle name="Normal 17 3 4 3" xfId="21592" xr:uid="{C6620B0F-FEC1-4B39-840F-C0F4BB388F1D}"/>
    <cellStyle name="Normal 17 3 4 4" xfId="21593" xr:uid="{DC8DAB87-CB93-42CA-8C9A-40E2777BECE7}"/>
    <cellStyle name="Normal 17 3 4 5" xfId="21594" xr:uid="{2F1C7A8C-7E1D-4782-9EBF-3D906BB86361}"/>
    <cellStyle name="Normal 17 3 4 6" xfId="21595" xr:uid="{57686BDD-F029-4F69-9BA4-92DA6DCB9519}"/>
    <cellStyle name="Normal 17 3 5" xfId="21596" xr:uid="{9ADC4878-ECAD-4763-9E22-B4BEA2FF9C9A}"/>
    <cellStyle name="Normal 17 3 5 2" xfId="21597" xr:uid="{9FE347CD-7BA3-428A-BD47-4E42E0036EFA}"/>
    <cellStyle name="Normal 17 3 5 3" xfId="21598" xr:uid="{900A07B4-0177-41DB-9F6C-C059F78E5C05}"/>
    <cellStyle name="Normal 17 3 5 4" xfId="21599" xr:uid="{0E9CA435-F841-4AF7-A5B5-F87A868480B0}"/>
    <cellStyle name="Normal 17 3 5 5" xfId="21600" xr:uid="{B5D9922E-5C7B-4B94-A660-3BFAE8A15C9D}"/>
    <cellStyle name="Normal 17 3 6" xfId="21601" xr:uid="{153B801F-69E8-4CAE-BB35-841987BE6872}"/>
    <cellStyle name="Normal 17 3 6 2" xfId="21602" xr:uid="{4C94BA26-46B8-4EA7-A64B-6F7BD94DE8C1}"/>
    <cellStyle name="Normal 17 3 6 3" xfId="21603" xr:uid="{F159CAEE-3581-4CBD-81C4-E1222892C938}"/>
    <cellStyle name="Normal 17 3 6 4" xfId="21604" xr:uid="{73EB7222-DF3A-414E-81E4-728454E05E60}"/>
    <cellStyle name="Normal 17 3 6 5" xfId="21605" xr:uid="{0460AC6C-59F8-485C-8E8D-2B15499CD74B}"/>
    <cellStyle name="Normal 17 3 7" xfId="21606" xr:uid="{F00740BE-EC46-4BA3-9F9E-38C279E63C3D}"/>
    <cellStyle name="Normal 17 3 7 2" xfId="21607" xr:uid="{47B4533E-2B97-4CE7-926B-CD6BF28E12A5}"/>
    <cellStyle name="Normal 17 3 7 3" xfId="21608" xr:uid="{E1EA896B-ED25-4C18-B66E-8382BE65CAE2}"/>
    <cellStyle name="Normal 17 3 7 4" xfId="21609" xr:uid="{15DF41BF-1C11-41DB-AC9F-F2CBFB883311}"/>
    <cellStyle name="Normal 17 3 7 5" xfId="21610" xr:uid="{16F1BCFB-B8EC-4D6A-9808-7626C8FB9C9B}"/>
    <cellStyle name="Normal 17 3 8" xfId="21611" xr:uid="{FA5680DF-1B6D-4CB0-83CF-FE1D1677907E}"/>
    <cellStyle name="Normal 17 3 9" xfId="21612" xr:uid="{9F818110-BE04-4B70-9529-BF73177D27EC}"/>
    <cellStyle name="Normal 17 4" xfId="21613" xr:uid="{ECF3A176-4161-464C-BC4F-A43E609ABCDC}"/>
    <cellStyle name="Normal 17 4 2" xfId="21614" xr:uid="{9AA93D7E-4A4F-4D11-B150-C44C73F61905}"/>
    <cellStyle name="Normal 17 4 3" xfId="21615" xr:uid="{CA110B4A-43ED-4963-B16F-85DCC93F2CDF}"/>
    <cellStyle name="Normal 17 4 4" xfId="21616" xr:uid="{9B5D725C-DB35-4597-8605-D37EA6F7464E}"/>
    <cellStyle name="Normal 17 4 5" xfId="21617" xr:uid="{E33B2053-10DB-4E99-8548-4ADCB84079B3}"/>
    <cellStyle name="Normal 17 5" xfId="44447" xr:uid="{A6CECDC6-7998-488B-8DA3-FE919868561F}"/>
    <cellStyle name="Normal 18" xfId="21618" xr:uid="{7323874F-17E7-4AB2-A98D-857031EC9203}"/>
    <cellStyle name="Normal 18 10" xfId="21619" xr:uid="{454396CD-6D6F-4FD1-B041-E6FB44CF950A}"/>
    <cellStyle name="Normal 18 10 2" xfId="21620" xr:uid="{A2BDBC6B-D250-4C2A-ABF2-70A4297C8A78}"/>
    <cellStyle name="Normal 18 10 3" xfId="21621" xr:uid="{14576ADE-BA33-4624-B76A-B324B0838D55}"/>
    <cellStyle name="Normal 18 10 4" xfId="21622" xr:uid="{B5014409-7B3C-47E3-ABD0-D4BCA8B3619D}"/>
    <cellStyle name="Normal 18 10 5" xfId="21623" xr:uid="{A472998D-3103-4EC3-8486-F9A2CE79C629}"/>
    <cellStyle name="Normal 18 11" xfId="21624" xr:uid="{5A4D99DC-5547-4D42-9B21-FABF8577CD55}"/>
    <cellStyle name="Normal 18 11 2" xfId="21625" xr:uid="{4610F3F8-5953-44E0-A8B0-C2E71B5AF474}"/>
    <cellStyle name="Normal 18 11 3" xfId="21626" xr:uid="{EBB3D9A7-7E19-4F75-930C-3A9353E00D1D}"/>
    <cellStyle name="Normal 18 11 4" xfId="21627" xr:uid="{0D018879-0525-4ACC-8345-BA5A8A13335C}"/>
    <cellStyle name="Normal 18 11 5" xfId="21628" xr:uid="{69584799-BE56-42AB-8F14-166AC100ED72}"/>
    <cellStyle name="Normal 18 12" xfId="21629" xr:uid="{FC73BBBE-1E42-4597-9A7B-9AC7EC5CB04C}"/>
    <cellStyle name="Normal 18 13" xfId="21630" xr:uid="{08529A2E-5A24-4DDE-857E-AE85C066D6AD}"/>
    <cellStyle name="Normal 18 14" xfId="21631" xr:uid="{45421A55-E780-4E44-8E44-5967661CE2CB}"/>
    <cellStyle name="Normal 18 15" xfId="21632" xr:uid="{8CB0AE61-BE7A-4665-B664-C393B9FD3544}"/>
    <cellStyle name="Normal 18 2" xfId="21633" xr:uid="{06A65EC6-B646-466E-B28E-ED0E2A80EF78}"/>
    <cellStyle name="Normal 18 2 10" xfId="21634" xr:uid="{022576AA-12CC-4862-9707-31CD28D0C09A}"/>
    <cellStyle name="Normal 18 2 10 2" xfId="21635" xr:uid="{D28A17F8-2A30-486C-B3BD-43489EC1597F}"/>
    <cellStyle name="Normal 18 2 10 3" xfId="21636" xr:uid="{6D4478BA-A233-43E7-98D1-0EE55C1C1181}"/>
    <cellStyle name="Normal 18 2 10 4" xfId="21637" xr:uid="{B501F511-4544-4F73-A21F-0F7757231F33}"/>
    <cellStyle name="Normal 18 2 10 5" xfId="21638" xr:uid="{7CC59E46-FB8F-40F7-BBE8-340CA34A52C4}"/>
    <cellStyle name="Normal 18 2 11" xfId="21639" xr:uid="{75DAFDB6-7D71-4B5E-82CC-015F33BF1F7B}"/>
    <cellStyle name="Normal 18 2 12" xfId="21640" xr:uid="{5F160A87-8A3A-40D5-88CD-FB1CD46DFFCF}"/>
    <cellStyle name="Normal 18 2 13" xfId="21641" xr:uid="{86EBCB3A-4A2E-401C-A4A9-E38663062A0B}"/>
    <cellStyle name="Normal 18 2 14" xfId="21642" xr:uid="{C0B72CF8-B3B7-437E-8442-7C297136B1C6}"/>
    <cellStyle name="Normal 18 2 2" xfId="21643" xr:uid="{CECE151A-46E4-47AB-BE0A-FA91E9BEBFA5}"/>
    <cellStyle name="Normal 18 2 2 10" xfId="21644" xr:uid="{3BEC65A4-21AD-4328-A0BB-5A8116B1067C}"/>
    <cellStyle name="Normal 18 2 2 11" xfId="21645" xr:uid="{93A54DC9-9876-4962-8B47-831C030FA25F}"/>
    <cellStyle name="Normal 18 2 2 12" xfId="21646" xr:uid="{5E7BEC1A-4058-4A6B-B278-33DA59705288}"/>
    <cellStyle name="Normal 18 2 2 13" xfId="21647" xr:uid="{CCF06D9C-35FD-43DE-9D24-A8C9F8E91995}"/>
    <cellStyle name="Normal 18 2 2 2" xfId="21648" xr:uid="{1D5AC4A9-044E-41D0-AAB0-CA66D6447246}"/>
    <cellStyle name="Normal 18 2 2 2 10" xfId="21649" xr:uid="{76CBAF50-5A2E-4CE6-950E-87032CAC74B5}"/>
    <cellStyle name="Normal 18 2 2 2 11" xfId="21650" xr:uid="{C765166E-847A-4BAB-B070-EA4B37B94319}"/>
    <cellStyle name="Normal 18 2 2 2 12" xfId="21651" xr:uid="{45C2E429-3693-497B-83F5-4D42014AF063}"/>
    <cellStyle name="Normal 18 2 2 2 2" xfId="21652" xr:uid="{9412CA59-ECC2-4C45-882D-15800A0177B8}"/>
    <cellStyle name="Normal 18 2 2 2 2 2" xfId="21653" xr:uid="{5B2B1C64-8AF9-479B-90B6-665E37993096}"/>
    <cellStyle name="Normal 18 2 2 2 2 2 2" xfId="21654" xr:uid="{BF4A0949-9866-4698-9009-7C3F8B78062F}"/>
    <cellStyle name="Normal 18 2 2 2 2 2 3" xfId="21655" xr:uid="{C54E35FE-600B-4CBF-987F-EC99BB2118D1}"/>
    <cellStyle name="Normal 18 2 2 2 2 2 4" xfId="21656" xr:uid="{3B9F736E-9651-493B-B69C-6CC8E127977C}"/>
    <cellStyle name="Normal 18 2 2 2 2 2 5" xfId="21657" xr:uid="{6EF38C45-11B8-432C-881C-12486ADD1E18}"/>
    <cellStyle name="Normal 18 2 2 2 2 3" xfId="21658" xr:uid="{C0EE9350-5B9A-4CE2-9B7E-C66308F90B82}"/>
    <cellStyle name="Normal 18 2 2 2 2 4" xfId="21659" xr:uid="{1641A7BE-221A-4419-A2E2-5EDA41424F78}"/>
    <cellStyle name="Normal 18 2 2 2 2 5" xfId="21660" xr:uid="{7173ABB6-14AF-47C3-9A8D-CC689C5A4DB4}"/>
    <cellStyle name="Normal 18 2 2 2 2 6" xfId="21661" xr:uid="{8FD2A025-2A58-490B-80D0-B2BD65CE9858}"/>
    <cellStyle name="Normal 18 2 2 2 3" xfId="21662" xr:uid="{CFFD0127-BBAC-40EB-B0E4-F974D2C39B06}"/>
    <cellStyle name="Normal 18 2 2 2 3 2" xfId="21663" xr:uid="{B0E93A5D-2293-4D20-B549-D50DE0DC403A}"/>
    <cellStyle name="Normal 18 2 2 2 3 2 2" xfId="21664" xr:uid="{07751C97-A8F6-4E1E-926A-15546B32A085}"/>
    <cellStyle name="Normal 18 2 2 2 3 2 3" xfId="21665" xr:uid="{8ACAC722-A3D0-4E15-BC81-281F99C55338}"/>
    <cellStyle name="Normal 18 2 2 2 3 2 4" xfId="21666" xr:uid="{E0C2B5B5-7BF7-49F9-A274-02CEE5105505}"/>
    <cellStyle name="Normal 18 2 2 2 3 2 5" xfId="21667" xr:uid="{3A016777-E1F9-425B-B956-7B9DA85060AE}"/>
    <cellStyle name="Normal 18 2 2 2 3 3" xfId="21668" xr:uid="{C092A102-BE4D-419E-ACEA-BF4CCC4138CB}"/>
    <cellStyle name="Normal 18 2 2 2 3 4" xfId="21669" xr:uid="{F1053431-78A2-4D2A-AA0A-211E12461935}"/>
    <cellStyle name="Normal 18 2 2 2 3 5" xfId="21670" xr:uid="{824E84AD-6650-414A-A761-886471D86BAD}"/>
    <cellStyle name="Normal 18 2 2 2 3 6" xfId="21671" xr:uid="{7FBCC037-7827-41BD-937B-A026E1D7717B}"/>
    <cellStyle name="Normal 18 2 2 2 4" xfId="21672" xr:uid="{2BBC2525-B8B2-41CE-80AE-4A9A3A63F778}"/>
    <cellStyle name="Normal 18 2 2 2 4 2" xfId="21673" xr:uid="{FC800F67-C27E-4CC1-BEB4-E083FE4D6D2B}"/>
    <cellStyle name="Normal 18 2 2 2 4 2 2" xfId="21674" xr:uid="{E87ADAFC-DE61-4C71-8A8D-425BE3BA7CB7}"/>
    <cellStyle name="Normal 18 2 2 2 4 2 3" xfId="21675" xr:uid="{A8F6BF07-E548-48A0-816E-9632C143B99B}"/>
    <cellStyle name="Normal 18 2 2 2 4 2 4" xfId="21676" xr:uid="{2BE45987-775A-4354-BDCD-F30645357938}"/>
    <cellStyle name="Normal 18 2 2 2 4 2 5" xfId="21677" xr:uid="{13C9F2D1-E53C-4CB9-AD1C-090A0E557D78}"/>
    <cellStyle name="Normal 18 2 2 2 4 3" xfId="21678" xr:uid="{175F194C-3655-429A-918B-5FCF4D0B3D87}"/>
    <cellStyle name="Normal 18 2 2 2 4 4" xfId="21679" xr:uid="{AC21C4E5-40D9-4D6E-B31A-7D22CECC8923}"/>
    <cellStyle name="Normal 18 2 2 2 4 5" xfId="21680" xr:uid="{51AED6C1-9813-42D4-AB03-FA61DAED3DC2}"/>
    <cellStyle name="Normal 18 2 2 2 4 6" xfId="21681" xr:uid="{C49E5E1A-FB9D-43C1-AF62-EA230B9D1565}"/>
    <cellStyle name="Normal 18 2 2 2 5" xfId="21682" xr:uid="{31D5DB9D-617A-4FB4-A8A9-888F42BA988F}"/>
    <cellStyle name="Normal 18 2 2 2 5 2" xfId="21683" xr:uid="{0D8C921D-B36C-43DB-8CC1-F2BA3815B232}"/>
    <cellStyle name="Normal 18 2 2 2 5 3" xfId="21684" xr:uid="{754985F6-1B59-4233-90E5-8D7267952E4A}"/>
    <cellStyle name="Normal 18 2 2 2 5 4" xfId="21685" xr:uid="{701A8F6A-5564-4F51-B990-B2618CD5295D}"/>
    <cellStyle name="Normal 18 2 2 2 5 5" xfId="21686" xr:uid="{BE3B2704-D623-46AC-92FD-FCA249FD9034}"/>
    <cellStyle name="Normal 18 2 2 2 6" xfId="21687" xr:uid="{D524DCD7-CEE3-472B-A7AB-3A67F6B0BB6E}"/>
    <cellStyle name="Normal 18 2 2 2 6 2" xfId="21688" xr:uid="{985B894A-CA11-47C0-BF80-DB020E771490}"/>
    <cellStyle name="Normal 18 2 2 2 6 3" xfId="21689" xr:uid="{6C64EA77-6A1E-4024-9D6E-C8F82AD22F3D}"/>
    <cellStyle name="Normal 18 2 2 2 6 4" xfId="21690" xr:uid="{EA31F7EB-414F-453A-9F6B-B2FFC8D34371}"/>
    <cellStyle name="Normal 18 2 2 2 6 5" xfId="21691" xr:uid="{9620AD48-CA8E-4A72-820C-A59DFCF7C53D}"/>
    <cellStyle name="Normal 18 2 2 2 7" xfId="21692" xr:uid="{BCF9D52D-7EB5-48ED-B9D2-4E1B8330E364}"/>
    <cellStyle name="Normal 18 2 2 2 7 2" xfId="21693" xr:uid="{254CFD56-9CFE-4DBE-BDAD-A3A61D7984FD}"/>
    <cellStyle name="Normal 18 2 2 2 7 3" xfId="21694" xr:uid="{3B98897B-3251-4059-AFB9-B35DEE493E6A}"/>
    <cellStyle name="Normal 18 2 2 2 7 4" xfId="21695" xr:uid="{E154C9F7-1E7C-4234-A127-F36A4748B94C}"/>
    <cellStyle name="Normal 18 2 2 2 7 5" xfId="21696" xr:uid="{1C9F1938-056B-452E-A01E-2A69CE3034BD}"/>
    <cellStyle name="Normal 18 2 2 2 8" xfId="21697" xr:uid="{E087AC5F-F89C-41FA-AA0F-B51D91CBBCE7}"/>
    <cellStyle name="Normal 18 2 2 2 8 2" xfId="21698" xr:uid="{F9D3FA4F-D995-4E23-976D-B1A3057A85F8}"/>
    <cellStyle name="Normal 18 2 2 2 8 3" xfId="21699" xr:uid="{A294D979-17CA-4C29-BBDB-8825F998CE89}"/>
    <cellStyle name="Normal 18 2 2 2 8 4" xfId="21700" xr:uid="{7DE7BF2F-F27A-44EA-A94C-B6A97731CAD6}"/>
    <cellStyle name="Normal 18 2 2 2 8 5" xfId="21701" xr:uid="{A54D8659-512A-4112-B3CF-620B7239C705}"/>
    <cellStyle name="Normal 18 2 2 2 9" xfId="21702" xr:uid="{2CA4C87C-2C10-4E35-8D08-579B5962477D}"/>
    <cellStyle name="Normal 18 2 2 3" xfId="21703" xr:uid="{9B6A47C9-E1A0-4B73-B799-83E6AA9BF4E0}"/>
    <cellStyle name="Normal 18 2 2 3 2" xfId="21704" xr:uid="{36F96691-AB7B-47FE-BC5A-6590569C3BBE}"/>
    <cellStyle name="Normal 18 2 2 3 2 2" xfId="21705" xr:uid="{5D7AC9C6-C145-40C7-9993-91BE8C558D00}"/>
    <cellStyle name="Normal 18 2 2 3 2 3" xfId="21706" xr:uid="{58EE1456-F49B-4E52-AA55-43B8CD2777FD}"/>
    <cellStyle name="Normal 18 2 2 3 2 4" xfId="21707" xr:uid="{2EB8504B-C103-482D-B981-A85C61B18743}"/>
    <cellStyle name="Normal 18 2 2 3 2 5" xfId="21708" xr:uid="{C4FA4CA2-A7EC-424F-B935-78668F07A4B0}"/>
    <cellStyle name="Normal 18 2 2 3 3" xfId="21709" xr:uid="{A66A018F-CCBE-476B-9967-DF93CC105228}"/>
    <cellStyle name="Normal 18 2 2 3 4" xfId="21710" xr:uid="{F585DA76-0B3C-4C2A-88E4-8FF6352471BD}"/>
    <cellStyle name="Normal 18 2 2 3 5" xfId="21711" xr:uid="{5FE38731-FB54-4D5D-BD1D-10C79F1A9E27}"/>
    <cellStyle name="Normal 18 2 2 3 6" xfId="21712" xr:uid="{5FCE3AAA-A32C-4066-A95A-641A7DB706F4}"/>
    <cellStyle name="Normal 18 2 2 4" xfId="21713" xr:uid="{0EF6C214-3C97-4471-84CC-2C807A96A616}"/>
    <cellStyle name="Normal 18 2 2 4 2" xfId="21714" xr:uid="{A4FB9F8A-3A15-4603-BE68-216768C8DCC1}"/>
    <cellStyle name="Normal 18 2 2 4 2 2" xfId="21715" xr:uid="{F994C1E7-DE0D-4146-BCD7-BFEB95F4BBF0}"/>
    <cellStyle name="Normal 18 2 2 4 2 3" xfId="21716" xr:uid="{DC86FC23-99FB-4D10-88F7-AFB2CA673876}"/>
    <cellStyle name="Normal 18 2 2 4 2 4" xfId="21717" xr:uid="{C4749B28-9F9D-4193-830A-A0194CD22263}"/>
    <cellStyle name="Normal 18 2 2 4 2 5" xfId="21718" xr:uid="{954BB22B-5566-4A2F-8DC6-CDD8E5BE9B70}"/>
    <cellStyle name="Normal 18 2 2 4 3" xfId="21719" xr:uid="{77EAE728-D310-4A81-81F5-960B31B8B1B4}"/>
    <cellStyle name="Normal 18 2 2 4 4" xfId="21720" xr:uid="{2B25F82C-B8BA-4364-8E82-41610C1A9802}"/>
    <cellStyle name="Normal 18 2 2 4 5" xfId="21721" xr:uid="{565E1958-5B69-4284-9F67-C901862D5989}"/>
    <cellStyle name="Normal 18 2 2 4 6" xfId="21722" xr:uid="{21DA4FAF-F596-42B8-8218-FD2644158CCE}"/>
    <cellStyle name="Normal 18 2 2 5" xfId="21723" xr:uid="{37E41DCC-575B-4715-813C-582084525076}"/>
    <cellStyle name="Normal 18 2 2 5 2" xfId="21724" xr:uid="{3BA41D1E-586D-455F-AD8D-2F860109B1D5}"/>
    <cellStyle name="Normal 18 2 2 5 2 2" xfId="21725" xr:uid="{49DB2E4B-8386-44C9-A2E1-D9F721BDAEDD}"/>
    <cellStyle name="Normal 18 2 2 5 2 3" xfId="21726" xr:uid="{853088DD-2F71-4FDA-A79F-C0C0278B1B7D}"/>
    <cellStyle name="Normal 18 2 2 5 2 4" xfId="21727" xr:uid="{5EE4EAFC-A909-4B0E-A2EE-8446BB2C2F1F}"/>
    <cellStyle name="Normal 18 2 2 5 2 5" xfId="21728" xr:uid="{54A57917-7E7C-4851-B204-D521428F8839}"/>
    <cellStyle name="Normal 18 2 2 5 3" xfId="21729" xr:uid="{B8C25D7C-D330-4575-86DC-22C17FA5C8F0}"/>
    <cellStyle name="Normal 18 2 2 5 4" xfId="21730" xr:uid="{F895F768-A825-4848-B1F1-2AA356865FA7}"/>
    <cellStyle name="Normal 18 2 2 5 5" xfId="21731" xr:uid="{92C2F292-4279-47CD-B2DE-D8248F823E6D}"/>
    <cellStyle name="Normal 18 2 2 5 6" xfId="21732" xr:uid="{AD122C25-ABEE-4438-A876-189214855290}"/>
    <cellStyle name="Normal 18 2 2 6" xfId="21733" xr:uid="{D43412CF-39A0-47CE-BA81-8295B271F1FB}"/>
    <cellStyle name="Normal 18 2 2 6 2" xfId="21734" xr:uid="{17DB7D05-9D0A-46E8-8567-42FA9E8171F3}"/>
    <cellStyle name="Normal 18 2 2 6 3" xfId="21735" xr:uid="{B4299408-5F38-4097-A8D7-369653651D44}"/>
    <cellStyle name="Normal 18 2 2 6 4" xfId="21736" xr:uid="{74961663-11F9-452B-B71F-1EC71EE2017E}"/>
    <cellStyle name="Normal 18 2 2 6 5" xfId="21737" xr:uid="{3F1C38A2-947E-407E-BCAD-39470A04C7D7}"/>
    <cellStyle name="Normal 18 2 2 7" xfId="21738" xr:uid="{6C41CF1D-E0E4-4BCF-B9D6-9B8DBA7735E8}"/>
    <cellStyle name="Normal 18 2 2 7 2" xfId="21739" xr:uid="{5F243089-72B5-44D2-ADCA-B99FE8860C29}"/>
    <cellStyle name="Normal 18 2 2 7 3" xfId="21740" xr:uid="{AFBC2723-570F-40DF-8C75-D2D305AD66DB}"/>
    <cellStyle name="Normal 18 2 2 7 4" xfId="21741" xr:uid="{8A53540B-5C46-41DA-89EC-45ADBD4EAF8A}"/>
    <cellStyle name="Normal 18 2 2 7 5" xfId="21742" xr:uid="{11A408A4-3FA9-4B82-947C-AEADF2AE0203}"/>
    <cellStyle name="Normal 18 2 2 8" xfId="21743" xr:uid="{5F0E3A1A-3EA3-4B2E-82BE-CCA33F99F10C}"/>
    <cellStyle name="Normal 18 2 2 8 2" xfId="21744" xr:uid="{F061776E-6E9C-4E73-B60C-B9B082FEA786}"/>
    <cellStyle name="Normal 18 2 2 8 3" xfId="21745" xr:uid="{FF190851-41C7-4A17-AAB3-C7704B68B6B7}"/>
    <cellStyle name="Normal 18 2 2 8 4" xfId="21746" xr:uid="{46F20400-F2C8-4F38-9717-4D5F6DD40DBE}"/>
    <cellStyle name="Normal 18 2 2 8 5" xfId="21747" xr:uid="{FE62F0D6-3C12-463B-AB7C-F55BD4C091CB}"/>
    <cellStyle name="Normal 18 2 2 9" xfId="21748" xr:uid="{B6247379-6CEB-41F6-BCF1-0AC6DD5C5A96}"/>
    <cellStyle name="Normal 18 2 2 9 2" xfId="21749" xr:uid="{87BB4B43-6D93-4DF3-AA3F-B30F705DAE18}"/>
    <cellStyle name="Normal 18 2 2 9 3" xfId="21750" xr:uid="{775D2B47-613E-4826-9E50-6FE1C2975EDA}"/>
    <cellStyle name="Normal 18 2 2 9 4" xfId="21751" xr:uid="{7F0A229B-1E21-48DF-944F-BDC074193938}"/>
    <cellStyle name="Normal 18 2 2 9 5" xfId="21752" xr:uid="{77BC9946-913E-41DC-AEB7-8E48E9DD3AC4}"/>
    <cellStyle name="Normal 18 2 3" xfId="21753" xr:uid="{A2DFA732-589D-4BEE-BF09-21AE83784DFA}"/>
    <cellStyle name="Normal 18 2 3 10" xfId="21754" xr:uid="{5AA4306E-F54D-4C04-AFE5-F29869B6611A}"/>
    <cellStyle name="Normal 18 2 3 11" xfId="21755" xr:uid="{AEB2DFCC-A7D7-4F30-8672-66BC0E65C1E6}"/>
    <cellStyle name="Normal 18 2 3 12" xfId="21756" xr:uid="{2541CEE0-9C65-4D3A-A608-9983B0687F31}"/>
    <cellStyle name="Normal 18 2 3 2" xfId="21757" xr:uid="{55B189A0-6EB7-4066-9296-52597F3B3EBF}"/>
    <cellStyle name="Normal 18 2 3 2 2" xfId="21758" xr:uid="{36ED5568-7970-412D-B556-64D08318478A}"/>
    <cellStyle name="Normal 18 2 3 2 2 2" xfId="21759" xr:uid="{B27D4166-2259-4B33-9A4E-7B422E971C1B}"/>
    <cellStyle name="Normal 18 2 3 2 2 3" xfId="21760" xr:uid="{8913F193-5690-425B-A6C9-698744126764}"/>
    <cellStyle name="Normal 18 2 3 2 2 4" xfId="21761" xr:uid="{559E5414-50D2-4EBD-B9DB-C3353D87768B}"/>
    <cellStyle name="Normal 18 2 3 2 2 5" xfId="21762" xr:uid="{32979FEE-4CF9-4161-AA39-10AC138CA606}"/>
    <cellStyle name="Normal 18 2 3 2 3" xfId="21763" xr:uid="{ADF28713-0A38-410E-85DB-C57EEDE8313D}"/>
    <cellStyle name="Normal 18 2 3 2 4" xfId="21764" xr:uid="{BF2EE629-F1CE-4EF1-8D62-4E73160BBA09}"/>
    <cellStyle name="Normal 18 2 3 2 5" xfId="21765" xr:uid="{F76E0186-851A-4A8E-81A1-E052AED8ACF0}"/>
    <cellStyle name="Normal 18 2 3 2 6" xfId="21766" xr:uid="{F5AB3486-E463-446E-8D58-29D178CDAFBC}"/>
    <cellStyle name="Normal 18 2 3 3" xfId="21767" xr:uid="{552D389A-70E9-471E-B78B-F734566236DC}"/>
    <cellStyle name="Normal 18 2 3 3 2" xfId="21768" xr:uid="{4C95A791-BB25-43EB-BB1A-B053F80C8526}"/>
    <cellStyle name="Normal 18 2 3 3 2 2" xfId="21769" xr:uid="{563F17F1-6609-40AA-B5F3-A6DD94ED8C50}"/>
    <cellStyle name="Normal 18 2 3 3 2 3" xfId="21770" xr:uid="{78A166AD-6BF9-4100-8821-CCB9C65FD140}"/>
    <cellStyle name="Normal 18 2 3 3 2 4" xfId="21771" xr:uid="{FAF14123-4BA0-4150-8A74-FBEDCEAC2FE3}"/>
    <cellStyle name="Normal 18 2 3 3 2 5" xfId="21772" xr:uid="{55ABCED8-688F-44BA-AF00-BC6115AAA409}"/>
    <cellStyle name="Normal 18 2 3 3 3" xfId="21773" xr:uid="{64F7431D-88AA-4F0D-9F12-E0EEA8651EEE}"/>
    <cellStyle name="Normal 18 2 3 3 4" xfId="21774" xr:uid="{140C14F2-DAAF-488F-B027-C510048BE783}"/>
    <cellStyle name="Normal 18 2 3 3 5" xfId="21775" xr:uid="{A789A8FB-DC2E-4A7B-8235-7197CE0F5700}"/>
    <cellStyle name="Normal 18 2 3 3 6" xfId="21776" xr:uid="{A34EA1EC-87DB-49AD-8F74-8555FC826C2E}"/>
    <cellStyle name="Normal 18 2 3 4" xfId="21777" xr:uid="{EE86C44E-55F6-4452-819D-DE0C05238D51}"/>
    <cellStyle name="Normal 18 2 3 4 2" xfId="21778" xr:uid="{64B1CAC4-701B-430A-BC2C-2FE45332DA92}"/>
    <cellStyle name="Normal 18 2 3 4 2 2" xfId="21779" xr:uid="{C361005F-AAA7-40A3-BB9D-70CB867A90C7}"/>
    <cellStyle name="Normal 18 2 3 4 2 3" xfId="21780" xr:uid="{14639DC8-D2B8-40D0-8257-E8BF456851BF}"/>
    <cellStyle name="Normal 18 2 3 4 2 4" xfId="21781" xr:uid="{C8B56758-FF5B-40F6-AE59-0921BB83B893}"/>
    <cellStyle name="Normal 18 2 3 4 2 5" xfId="21782" xr:uid="{2EE2CE85-C6CF-4708-B323-0A60DDF86C9E}"/>
    <cellStyle name="Normal 18 2 3 4 3" xfId="21783" xr:uid="{9805BFA8-B0BF-48A9-8F18-565789EA2871}"/>
    <cellStyle name="Normal 18 2 3 4 4" xfId="21784" xr:uid="{42E9518E-374D-4342-882A-75591DAC55A5}"/>
    <cellStyle name="Normal 18 2 3 4 5" xfId="21785" xr:uid="{D385F6E3-F4B4-4679-975C-992EE0EE092C}"/>
    <cellStyle name="Normal 18 2 3 4 6" xfId="21786" xr:uid="{48FF9D9A-E26D-463F-BF01-8424B37ED3D0}"/>
    <cellStyle name="Normal 18 2 3 5" xfId="21787" xr:uid="{943BD112-9F76-4FC0-A9AB-312B07BC6997}"/>
    <cellStyle name="Normal 18 2 3 5 2" xfId="21788" xr:uid="{AD43EC4B-4139-4A6D-9FA2-B4C8E67D76AD}"/>
    <cellStyle name="Normal 18 2 3 5 3" xfId="21789" xr:uid="{A8CDD8B5-2949-4AAB-8504-C8767667FE6A}"/>
    <cellStyle name="Normal 18 2 3 5 4" xfId="21790" xr:uid="{8838BEA4-731E-4783-A8A9-815A165FCB46}"/>
    <cellStyle name="Normal 18 2 3 5 5" xfId="21791" xr:uid="{71069C5F-6EE4-4A85-8686-B63BCE92DF05}"/>
    <cellStyle name="Normal 18 2 3 6" xfId="21792" xr:uid="{DDE07079-F6CF-4FED-8290-B885C442E1F7}"/>
    <cellStyle name="Normal 18 2 3 6 2" xfId="21793" xr:uid="{0487CF52-F017-4A34-B703-B54DDFC52DEA}"/>
    <cellStyle name="Normal 18 2 3 6 3" xfId="21794" xr:uid="{4ED29919-EF4E-4F09-98B1-4C7C713806C0}"/>
    <cellStyle name="Normal 18 2 3 6 4" xfId="21795" xr:uid="{E914AE32-AB58-4855-82B3-AFEE9404CEFF}"/>
    <cellStyle name="Normal 18 2 3 6 5" xfId="21796" xr:uid="{DF4B9262-56C1-46C7-83B8-72F7AEC5A16D}"/>
    <cellStyle name="Normal 18 2 3 7" xfId="21797" xr:uid="{55C4DF9C-420F-4226-B043-5A8B2FF231AE}"/>
    <cellStyle name="Normal 18 2 3 7 2" xfId="21798" xr:uid="{88F84EAD-B6FE-4076-8616-89B67E6F0A60}"/>
    <cellStyle name="Normal 18 2 3 7 3" xfId="21799" xr:uid="{E0A8F519-4A20-431B-9ADB-95879B2012A5}"/>
    <cellStyle name="Normal 18 2 3 7 4" xfId="21800" xr:uid="{5881394C-B67E-4076-9E5C-7D27941457B8}"/>
    <cellStyle name="Normal 18 2 3 7 5" xfId="21801" xr:uid="{9F577E9D-3598-4B99-AA4E-45053FEA5396}"/>
    <cellStyle name="Normal 18 2 3 8" xfId="21802" xr:uid="{4B3BD196-DE16-4564-A0EF-56ABB6EA8D99}"/>
    <cellStyle name="Normal 18 2 3 8 2" xfId="21803" xr:uid="{8DA657D3-48AA-4449-AAD2-B927877D1CB7}"/>
    <cellStyle name="Normal 18 2 3 8 3" xfId="21804" xr:uid="{E980598E-7270-4FFA-94ED-145C071A5112}"/>
    <cellStyle name="Normal 18 2 3 8 4" xfId="21805" xr:uid="{0E172FBF-45A6-4356-A747-4D98B2C6EF08}"/>
    <cellStyle name="Normal 18 2 3 8 5" xfId="21806" xr:uid="{B8D8C3F7-C06E-41FC-BE66-D98C1FCB5068}"/>
    <cellStyle name="Normal 18 2 3 9" xfId="21807" xr:uid="{F75FFDE5-416C-4B4E-994F-06876E5AEAFE}"/>
    <cellStyle name="Normal 18 2 4" xfId="21808" xr:uid="{64DFF075-403D-4499-9D4A-8712F4C31F39}"/>
    <cellStyle name="Normal 18 2 4 2" xfId="21809" xr:uid="{3D024966-1C49-4C31-92CD-81539B0FD105}"/>
    <cellStyle name="Normal 18 2 4 2 2" xfId="21810" xr:uid="{38ECBE58-01AD-40E4-9D21-12E76F6E48A0}"/>
    <cellStyle name="Normal 18 2 4 2 3" xfId="21811" xr:uid="{5E9A2EDB-3203-43A5-864B-1E22F4751C51}"/>
    <cellStyle name="Normal 18 2 4 2 4" xfId="21812" xr:uid="{5EB2EEF8-E161-4289-84A4-DA5A5B7BE6B5}"/>
    <cellStyle name="Normal 18 2 4 2 5" xfId="21813" xr:uid="{ABD1BCDF-DDFD-431F-940F-F869FB732B86}"/>
    <cellStyle name="Normal 18 2 4 3" xfId="21814" xr:uid="{4633F246-74AD-442C-9990-0D9AE0F191A1}"/>
    <cellStyle name="Normal 18 2 4 4" xfId="21815" xr:uid="{EF54C9D4-35CC-4858-A3CF-31E35F187736}"/>
    <cellStyle name="Normal 18 2 4 5" xfId="21816" xr:uid="{685FEE9A-7840-43C2-B8AD-617F3A33794A}"/>
    <cellStyle name="Normal 18 2 4 6" xfId="21817" xr:uid="{8360503D-7990-4986-AB03-3C37F2A64FF9}"/>
    <cellStyle name="Normal 18 2 5" xfId="21818" xr:uid="{5EF161C1-C853-4D31-8A0B-18783536A32F}"/>
    <cellStyle name="Normal 18 2 5 2" xfId="21819" xr:uid="{0C286294-C7CF-4660-90AA-1C1B7757FD4A}"/>
    <cellStyle name="Normal 18 2 5 2 2" xfId="21820" xr:uid="{E5CFCAC5-07F1-4BC2-846A-010D749B5D1D}"/>
    <cellStyle name="Normal 18 2 5 2 3" xfId="21821" xr:uid="{53F7EF85-6BBA-4859-B246-1732C444E167}"/>
    <cellStyle name="Normal 18 2 5 2 4" xfId="21822" xr:uid="{6B1DBB36-E113-4560-9989-1EB5260753DC}"/>
    <cellStyle name="Normal 18 2 5 2 5" xfId="21823" xr:uid="{6CA34F8C-F326-4075-AF3C-868DBBA94DCB}"/>
    <cellStyle name="Normal 18 2 5 3" xfId="21824" xr:uid="{BC6D3320-D472-4B58-A158-50D219D66F09}"/>
    <cellStyle name="Normal 18 2 5 4" xfId="21825" xr:uid="{604CA81D-E209-4482-BB6A-54D48C73DCA6}"/>
    <cellStyle name="Normal 18 2 5 5" xfId="21826" xr:uid="{FCFA1AEA-1740-49E1-8453-7C488EA1CA53}"/>
    <cellStyle name="Normal 18 2 5 6" xfId="21827" xr:uid="{77FDE228-6017-435F-B8AE-E98209C40F6B}"/>
    <cellStyle name="Normal 18 2 6" xfId="21828" xr:uid="{0E85DD9D-5D44-4631-84A1-79CA3FAA3621}"/>
    <cellStyle name="Normal 18 2 6 2" xfId="21829" xr:uid="{1DDBBCF0-EA4E-4BDC-9434-B3EB85B59FD7}"/>
    <cellStyle name="Normal 18 2 6 2 2" xfId="21830" xr:uid="{C739BC9D-5447-4E54-976C-06A620D4EBA6}"/>
    <cellStyle name="Normal 18 2 6 2 3" xfId="21831" xr:uid="{9E90D4BC-5B6B-4217-B535-A4178B701F2C}"/>
    <cellStyle name="Normal 18 2 6 2 4" xfId="21832" xr:uid="{372540D3-2248-42DB-BE08-F658863C27C1}"/>
    <cellStyle name="Normal 18 2 6 2 5" xfId="21833" xr:uid="{2B1462C8-01FE-40E0-A562-8A2016E4A200}"/>
    <cellStyle name="Normal 18 2 6 3" xfId="21834" xr:uid="{ADC50A5D-B059-4B4E-8C7A-D792598F70C0}"/>
    <cellStyle name="Normal 18 2 6 4" xfId="21835" xr:uid="{7C5E3700-CD66-4645-A756-1EDD071A6D4D}"/>
    <cellStyle name="Normal 18 2 6 5" xfId="21836" xr:uid="{8BDB35A1-9F85-40C1-A6B2-5EB6EA56FDCD}"/>
    <cellStyle name="Normal 18 2 6 6" xfId="21837" xr:uid="{5CE8A561-15B0-46D6-983C-CF4FEB3D2AFA}"/>
    <cellStyle name="Normal 18 2 7" xfId="21838" xr:uid="{95C79468-CC9F-4D3A-B8FA-9D7DB4C1739A}"/>
    <cellStyle name="Normal 18 2 7 2" xfId="21839" xr:uid="{CA323205-1973-4B06-9662-D8E69C71897E}"/>
    <cellStyle name="Normal 18 2 7 3" xfId="21840" xr:uid="{10B6BBEF-39D5-4B42-AC10-84B0645DF627}"/>
    <cellStyle name="Normal 18 2 7 4" xfId="21841" xr:uid="{65527FCB-AE6C-48E4-9A74-926C3FC1D9E7}"/>
    <cellStyle name="Normal 18 2 7 5" xfId="21842" xr:uid="{EC58960B-AA96-4696-9727-86B70430F3C8}"/>
    <cellStyle name="Normal 18 2 8" xfId="21843" xr:uid="{09493894-9DD1-41BF-8243-E0E1CD679099}"/>
    <cellStyle name="Normal 18 2 8 2" xfId="21844" xr:uid="{D199121E-0BF1-4DE2-8292-F5F1293C6730}"/>
    <cellStyle name="Normal 18 2 8 3" xfId="21845" xr:uid="{FDC327F2-3324-4BA1-A6DD-A5C004B8F2AC}"/>
    <cellStyle name="Normal 18 2 8 4" xfId="21846" xr:uid="{CA2B65FA-48B9-4732-AC01-C9A1C88302DE}"/>
    <cellStyle name="Normal 18 2 8 5" xfId="21847" xr:uid="{31056582-1512-4A49-BA15-11BF6D37A470}"/>
    <cellStyle name="Normal 18 2 9" xfId="21848" xr:uid="{57E078A3-8E9C-439B-83EE-40DBFA3AEE48}"/>
    <cellStyle name="Normal 18 2 9 2" xfId="21849" xr:uid="{CE695ED3-40ED-4597-96FB-44BD11F7CDC8}"/>
    <cellStyle name="Normal 18 2 9 3" xfId="21850" xr:uid="{F89DADD5-FC6A-4358-A5A7-B1BC0FF65421}"/>
    <cellStyle name="Normal 18 2 9 4" xfId="21851" xr:uid="{8837E1FA-B514-4251-8C70-1AFCB7C7DDE3}"/>
    <cellStyle name="Normal 18 2 9 5" xfId="21852" xr:uid="{B6E967FB-FD7C-4102-B4D3-5D933830D98E}"/>
    <cellStyle name="Normal 18 3" xfId="21853" xr:uid="{85851268-2357-44AD-80DD-B7CE0EC3AFD7}"/>
    <cellStyle name="Normal 18 3 10" xfId="21854" xr:uid="{2FAF50D3-637A-462D-8BC5-8E62C2D55507}"/>
    <cellStyle name="Normal 18 3 11" xfId="21855" xr:uid="{C8796739-6CB5-4F7C-8183-116B7640ADFB}"/>
    <cellStyle name="Normal 18 3 12" xfId="21856" xr:uid="{B6B48E40-7A0D-4543-BA48-F81DE8A53B9B}"/>
    <cellStyle name="Normal 18 3 13" xfId="21857" xr:uid="{ED5A8B77-D323-4106-9AE6-B1C96D2F9B81}"/>
    <cellStyle name="Normal 18 3 2" xfId="21858" xr:uid="{B092AAE4-FC8A-4DFB-B674-182DCA82F1D3}"/>
    <cellStyle name="Normal 18 3 2 10" xfId="21859" xr:uid="{28DA9BC4-1C86-4BA5-9D18-528E22DB2861}"/>
    <cellStyle name="Normal 18 3 2 11" xfId="21860" xr:uid="{96D96FCA-3C4D-4CB1-999C-24EC5928D7EF}"/>
    <cellStyle name="Normal 18 3 2 12" xfId="21861" xr:uid="{BB56EBE0-2417-4D47-B3F4-40F21B687C33}"/>
    <cellStyle name="Normal 18 3 2 2" xfId="21862" xr:uid="{4712924D-305C-48A8-BA3C-148187645066}"/>
    <cellStyle name="Normal 18 3 2 2 2" xfId="21863" xr:uid="{74CDCFAA-DE83-4FF2-AE3E-55C303FD3676}"/>
    <cellStyle name="Normal 18 3 2 2 2 2" xfId="21864" xr:uid="{F57EB850-AE6A-4A34-A999-676C02DA8B2C}"/>
    <cellStyle name="Normal 18 3 2 2 2 3" xfId="21865" xr:uid="{C1E856E7-BD13-4C92-9983-07AC41D0DD39}"/>
    <cellStyle name="Normal 18 3 2 2 2 4" xfId="21866" xr:uid="{A5420631-F57B-45DD-ACB0-37DA7FD7F0F9}"/>
    <cellStyle name="Normal 18 3 2 2 2 5" xfId="21867" xr:uid="{5DE0AB3A-DD32-4E61-BE55-00DDAC946468}"/>
    <cellStyle name="Normal 18 3 2 2 3" xfId="21868" xr:uid="{044F407C-ED25-47C3-A79D-993ADE597319}"/>
    <cellStyle name="Normal 18 3 2 2 4" xfId="21869" xr:uid="{8052BE14-6E5F-48B1-A3AD-E551127DF02B}"/>
    <cellStyle name="Normal 18 3 2 2 5" xfId="21870" xr:uid="{79D935D8-8B05-467F-9EA5-56FBB92E82A9}"/>
    <cellStyle name="Normal 18 3 2 2 6" xfId="21871" xr:uid="{70B2EA3F-A0BA-4673-982D-29DA2885F50E}"/>
    <cellStyle name="Normal 18 3 2 3" xfId="21872" xr:uid="{FB226068-5710-411C-8CE6-356E5C61D4B3}"/>
    <cellStyle name="Normal 18 3 2 3 2" xfId="21873" xr:uid="{7D90A25F-C226-4A78-9D0E-3E24FBC5F2A7}"/>
    <cellStyle name="Normal 18 3 2 3 2 2" xfId="21874" xr:uid="{40990C31-59E6-4D1C-B6AA-6BC96FF2AB66}"/>
    <cellStyle name="Normal 18 3 2 3 2 3" xfId="21875" xr:uid="{4BF2D0D8-C973-4385-A727-1B7DEF9EEE12}"/>
    <cellStyle name="Normal 18 3 2 3 2 4" xfId="21876" xr:uid="{899AFD3C-4E1E-474B-B409-393A70CF4AE6}"/>
    <cellStyle name="Normal 18 3 2 3 2 5" xfId="21877" xr:uid="{0B278B40-DF43-4365-A1E4-467B665FDE6D}"/>
    <cellStyle name="Normal 18 3 2 3 3" xfId="21878" xr:uid="{3CCED2BD-FE61-4558-80A8-87B33F66B6AF}"/>
    <cellStyle name="Normal 18 3 2 3 4" xfId="21879" xr:uid="{BCF11EAB-E8AA-400A-84F6-BF73F49AADB8}"/>
    <cellStyle name="Normal 18 3 2 3 5" xfId="21880" xr:uid="{64C56415-9E32-496E-8D0C-5E2B9113D12B}"/>
    <cellStyle name="Normal 18 3 2 3 6" xfId="21881" xr:uid="{1314F51A-0D90-423E-83EA-8B3E88E12578}"/>
    <cellStyle name="Normal 18 3 2 4" xfId="21882" xr:uid="{E25952AB-1515-4AFE-AF6C-C428808BE3EA}"/>
    <cellStyle name="Normal 18 3 2 4 2" xfId="21883" xr:uid="{463391C6-3BC9-4692-B9A6-8C86D870A615}"/>
    <cellStyle name="Normal 18 3 2 4 2 2" xfId="21884" xr:uid="{886A1239-5633-40A6-9559-C3F7C9AA8552}"/>
    <cellStyle name="Normal 18 3 2 4 2 3" xfId="21885" xr:uid="{893D95E2-D8FE-4676-A1CE-03E09B0C366C}"/>
    <cellStyle name="Normal 18 3 2 4 2 4" xfId="21886" xr:uid="{D31913F8-8CC0-4FEA-B112-8C0BFE4AE376}"/>
    <cellStyle name="Normal 18 3 2 4 2 5" xfId="21887" xr:uid="{8A271A03-F040-4F4C-B3B1-E2B357C3058A}"/>
    <cellStyle name="Normal 18 3 2 4 3" xfId="21888" xr:uid="{89FBFCC7-8F71-4969-B261-F80CD9478A8B}"/>
    <cellStyle name="Normal 18 3 2 4 4" xfId="21889" xr:uid="{CD8959EA-A333-49B1-BFA0-D7B25E99F640}"/>
    <cellStyle name="Normal 18 3 2 4 5" xfId="21890" xr:uid="{1396E286-91BC-4887-A1D1-D8CFDE24B963}"/>
    <cellStyle name="Normal 18 3 2 4 6" xfId="21891" xr:uid="{8425A9D3-13E2-4B03-8406-5F1438671ACF}"/>
    <cellStyle name="Normal 18 3 2 5" xfId="21892" xr:uid="{A01FDF0A-3BBC-41AF-ABC1-BEF67B67ED3E}"/>
    <cellStyle name="Normal 18 3 2 5 2" xfId="21893" xr:uid="{FFE35C4B-08D0-462A-8DC7-CCAD73096ABC}"/>
    <cellStyle name="Normal 18 3 2 5 3" xfId="21894" xr:uid="{ED9499C7-2657-40E1-B1F4-76C8C4820D08}"/>
    <cellStyle name="Normal 18 3 2 5 4" xfId="21895" xr:uid="{EAD1070B-B2A8-45D4-AD80-7544FE0F5B3A}"/>
    <cellStyle name="Normal 18 3 2 5 5" xfId="21896" xr:uid="{8D2C7657-1D82-4DCF-B9C4-0B594FF8566C}"/>
    <cellStyle name="Normal 18 3 2 6" xfId="21897" xr:uid="{AE08A60A-053A-4316-8169-E7886771BAF2}"/>
    <cellStyle name="Normal 18 3 2 6 2" xfId="21898" xr:uid="{2A5DB2FE-E47C-4B98-A340-D8BE0E76ED08}"/>
    <cellStyle name="Normal 18 3 2 6 3" xfId="21899" xr:uid="{53CFABC5-B161-4BAC-9056-B30B1B720E60}"/>
    <cellStyle name="Normal 18 3 2 6 4" xfId="21900" xr:uid="{115E6AF2-0339-4FCF-9C33-6E916A0953FE}"/>
    <cellStyle name="Normal 18 3 2 6 5" xfId="21901" xr:uid="{3387E68E-AC43-4041-89A8-BF192B887313}"/>
    <cellStyle name="Normal 18 3 2 7" xfId="21902" xr:uid="{C1961B74-0E27-4288-B276-C754952625DE}"/>
    <cellStyle name="Normal 18 3 2 7 2" xfId="21903" xr:uid="{B8C453C6-E39B-45B2-BFB8-096E31237578}"/>
    <cellStyle name="Normal 18 3 2 7 3" xfId="21904" xr:uid="{9EE8059D-7F4A-4A4B-A5AE-8F40DD60875D}"/>
    <cellStyle name="Normal 18 3 2 7 4" xfId="21905" xr:uid="{EE36E7BB-6818-4D10-9496-384A1622FA71}"/>
    <cellStyle name="Normal 18 3 2 7 5" xfId="21906" xr:uid="{5AA2D53E-171C-4C3F-8F26-28928AFB5302}"/>
    <cellStyle name="Normal 18 3 2 8" xfId="21907" xr:uid="{CA414DB1-CD15-4702-B079-E6CBEFCCDB28}"/>
    <cellStyle name="Normal 18 3 2 8 2" xfId="21908" xr:uid="{773BBE43-7AA5-4C4B-BED2-5BD0AF400C18}"/>
    <cellStyle name="Normal 18 3 2 8 3" xfId="21909" xr:uid="{BF1596F2-6C44-46A2-B4B7-643B783174E0}"/>
    <cellStyle name="Normal 18 3 2 8 4" xfId="21910" xr:uid="{884AFE3B-6914-4481-8193-E8A65647BEA7}"/>
    <cellStyle name="Normal 18 3 2 8 5" xfId="21911" xr:uid="{F4B75312-E06C-4139-8966-3EDB44FDDDED}"/>
    <cellStyle name="Normal 18 3 2 9" xfId="21912" xr:uid="{6CE18AB3-CD9E-42F2-A193-2966A0B08C42}"/>
    <cellStyle name="Normal 18 3 3" xfId="21913" xr:uid="{57BB1DF4-67AF-402D-A4E2-769F03C52002}"/>
    <cellStyle name="Normal 18 3 3 2" xfId="21914" xr:uid="{677454BC-9EE8-4D71-BBB0-0576CDE1AE09}"/>
    <cellStyle name="Normal 18 3 3 2 2" xfId="21915" xr:uid="{346B8EEF-81C3-4A85-AEEA-74A2051A3070}"/>
    <cellStyle name="Normal 18 3 3 2 3" xfId="21916" xr:uid="{BD15E034-EAF7-4E64-888A-13635576CFFE}"/>
    <cellStyle name="Normal 18 3 3 2 4" xfId="21917" xr:uid="{9D6A55CC-12E5-426B-874B-E6BA627855A9}"/>
    <cellStyle name="Normal 18 3 3 2 5" xfId="21918" xr:uid="{D571BAA2-9584-4423-82F5-267AF047146C}"/>
    <cellStyle name="Normal 18 3 3 3" xfId="21919" xr:uid="{33A77FDA-B1C5-4CBC-A287-FE66AF656DEF}"/>
    <cellStyle name="Normal 18 3 3 4" xfId="21920" xr:uid="{F688C1E5-928C-4B9E-B409-68C25C9167FE}"/>
    <cellStyle name="Normal 18 3 3 5" xfId="21921" xr:uid="{1351DC36-38D1-4C14-93A8-C6C100D5BA5E}"/>
    <cellStyle name="Normal 18 3 3 6" xfId="21922" xr:uid="{EE5AAF40-719A-458C-AC2A-D42CED14BA26}"/>
    <cellStyle name="Normal 18 3 4" xfId="21923" xr:uid="{13C6418B-4B36-422C-A5E7-0B1E2062E079}"/>
    <cellStyle name="Normal 18 3 4 2" xfId="21924" xr:uid="{655E5750-8BAB-45BA-B9B5-04171AF75682}"/>
    <cellStyle name="Normal 18 3 4 2 2" xfId="21925" xr:uid="{A72FA74C-A7DE-4FB6-958C-B8CF3A98D0D2}"/>
    <cellStyle name="Normal 18 3 4 2 3" xfId="21926" xr:uid="{9074AF5D-54C0-4226-ADFD-873244095DCD}"/>
    <cellStyle name="Normal 18 3 4 2 4" xfId="21927" xr:uid="{9E137192-FA05-4737-9B19-39D7C8487AC1}"/>
    <cellStyle name="Normal 18 3 4 2 5" xfId="21928" xr:uid="{2C33CCEC-B850-44C8-B945-946BC67AE330}"/>
    <cellStyle name="Normal 18 3 4 3" xfId="21929" xr:uid="{43FE3375-9299-40F0-8317-94ACF9D16B0F}"/>
    <cellStyle name="Normal 18 3 4 4" xfId="21930" xr:uid="{D8F1DCB5-5071-461E-ADE0-4A6C98C448FA}"/>
    <cellStyle name="Normal 18 3 4 5" xfId="21931" xr:uid="{B58F1D84-E382-49E2-8BE2-E615357ECCC2}"/>
    <cellStyle name="Normal 18 3 4 6" xfId="21932" xr:uid="{5817C79A-61C2-4939-864D-D9E22EF9824A}"/>
    <cellStyle name="Normal 18 3 5" xfId="21933" xr:uid="{DBC77ACE-2FA0-4FCC-AC0E-FFE9E63B57A4}"/>
    <cellStyle name="Normal 18 3 5 2" xfId="21934" xr:uid="{A2B1DCBC-2E57-466E-91FF-987BF8CA68C7}"/>
    <cellStyle name="Normal 18 3 5 2 2" xfId="21935" xr:uid="{5B34CECB-154F-48B0-B99A-65FC4D694B07}"/>
    <cellStyle name="Normal 18 3 5 2 3" xfId="21936" xr:uid="{20C87C4F-3566-4EF9-9124-E6F353D064D4}"/>
    <cellStyle name="Normal 18 3 5 2 4" xfId="21937" xr:uid="{A875ACB9-7453-406E-B0D7-18D010940025}"/>
    <cellStyle name="Normal 18 3 5 2 5" xfId="21938" xr:uid="{F32B624F-D126-42D6-86C8-311F1314F3D4}"/>
    <cellStyle name="Normal 18 3 5 3" xfId="21939" xr:uid="{33F735EB-0503-4E09-9A6A-76DF9C392293}"/>
    <cellStyle name="Normal 18 3 5 4" xfId="21940" xr:uid="{8AF71524-8790-483F-B24B-88C9051649AD}"/>
    <cellStyle name="Normal 18 3 5 5" xfId="21941" xr:uid="{1D9B8610-F578-4B32-BFC0-D85D45EFDA9B}"/>
    <cellStyle name="Normal 18 3 5 6" xfId="21942" xr:uid="{875DDFD3-9C25-4611-A393-041BABDCB635}"/>
    <cellStyle name="Normal 18 3 6" xfId="21943" xr:uid="{9D865959-CA51-4F56-BDEB-8DE16DB5BEB2}"/>
    <cellStyle name="Normal 18 3 6 2" xfId="21944" xr:uid="{6AAD8DC0-78E0-4FCC-A60C-793260D28C5B}"/>
    <cellStyle name="Normal 18 3 6 3" xfId="21945" xr:uid="{EA57E30A-031E-4CD1-96AD-3425FAE4DB62}"/>
    <cellStyle name="Normal 18 3 6 4" xfId="21946" xr:uid="{9AA8B465-A8B1-4794-9DE1-52DA40A41E3D}"/>
    <cellStyle name="Normal 18 3 6 5" xfId="21947" xr:uid="{AAF73DEE-5101-4109-8C9F-1B3C976154F1}"/>
    <cellStyle name="Normal 18 3 7" xfId="21948" xr:uid="{3AE51F8A-7FA6-492F-818A-306710499E7B}"/>
    <cellStyle name="Normal 18 3 7 2" xfId="21949" xr:uid="{E6C77DD7-FFAF-454E-9644-2B2E15112C28}"/>
    <cellStyle name="Normal 18 3 7 3" xfId="21950" xr:uid="{64C74313-64A5-4F20-AA55-0D8220567598}"/>
    <cellStyle name="Normal 18 3 7 4" xfId="21951" xr:uid="{226A5486-0C0E-49C0-95D5-3F77067079F0}"/>
    <cellStyle name="Normal 18 3 7 5" xfId="21952" xr:uid="{688A2243-B5FD-4132-A210-4481F2D266F5}"/>
    <cellStyle name="Normal 18 3 8" xfId="21953" xr:uid="{BA5ADED5-753B-40BA-B39F-D8716DAB3E64}"/>
    <cellStyle name="Normal 18 3 8 2" xfId="21954" xr:uid="{FE8CDA23-828E-4318-BE26-DA098C68AF37}"/>
    <cellStyle name="Normal 18 3 8 3" xfId="21955" xr:uid="{23796033-6BC3-4BA8-965E-25E7FD08A2DA}"/>
    <cellStyle name="Normal 18 3 8 4" xfId="21956" xr:uid="{DE21191C-7902-4C4E-AA72-E2E09F70050D}"/>
    <cellStyle name="Normal 18 3 8 5" xfId="21957" xr:uid="{8F5A8F27-B35B-47BA-97C7-8A47C3C186E1}"/>
    <cellStyle name="Normal 18 3 9" xfId="21958" xr:uid="{DD869B28-8CA9-4380-857F-5BC26AD22120}"/>
    <cellStyle name="Normal 18 3 9 2" xfId="21959" xr:uid="{597CE3E5-5816-4135-B4F3-194E7901D6DD}"/>
    <cellStyle name="Normal 18 3 9 3" xfId="21960" xr:uid="{8ABC2701-411E-4D2B-81B2-A613EEAB5A3E}"/>
    <cellStyle name="Normal 18 3 9 4" xfId="21961" xr:uid="{3E81E572-174C-4A29-90EC-1943B76FEFB3}"/>
    <cellStyle name="Normal 18 3 9 5" xfId="21962" xr:uid="{9CA49F2E-9229-400C-8DA2-E9BB3A3D2F5F}"/>
    <cellStyle name="Normal 18 4" xfId="21963" xr:uid="{FD877F7B-968F-48FD-9C58-A26187B9846E}"/>
    <cellStyle name="Normal 18 4 10" xfId="21964" xr:uid="{8B1B71D9-A603-4ED2-9E39-465E9B8C66F4}"/>
    <cellStyle name="Normal 18 4 11" xfId="21965" xr:uid="{DE3BF57A-B357-4332-8DCB-DF71C562E9F5}"/>
    <cellStyle name="Normal 18 4 12" xfId="21966" xr:uid="{A17EA04F-A79A-4C36-A468-8F8FA80400B1}"/>
    <cellStyle name="Normal 18 4 2" xfId="21967" xr:uid="{297A5486-CE2A-4D04-886B-6245E8872F73}"/>
    <cellStyle name="Normal 18 4 2 2" xfId="21968" xr:uid="{D5603EBB-67B3-4919-AEDF-737E7D6100B8}"/>
    <cellStyle name="Normal 18 4 2 2 2" xfId="21969" xr:uid="{C3358C31-0A34-4696-BD89-5CF4D200D07F}"/>
    <cellStyle name="Normal 18 4 2 2 3" xfId="21970" xr:uid="{7CAAA9C2-89DD-4236-A371-5E3F04CFD430}"/>
    <cellStyle name="Normal 18 4 2 2 4" xfId="21971" xr:uid="{FACF0FE0-C534-4072-AD40-DF208666F949}"/>
    <cellStyle name="Normal 18 4 2 2 5" xfId="21972" xr:uid="{63BDBB01-14E5-4C88-8ED9-BC4667F15DAB}"/>
    <cellStyle name="Normal 18 4 2 3" xfId="21973" xr:uid="{D6B4AC5F-E189-44AC-9EA2-4A2794BE7500}"/>
    <cellStyle name="Normal 18 4 2 4" xfId="21974" xr:uid="{F05DDD4B-D12B-49A8-A3CE-3FF855F14CAC}"/>
    <cellStyle name="Normal 18 4 2 5" xfId="21975" xr:uid="{ADB44ED1-B201-4F16-AAA1-765C44F19E6B}"/>
    <cellStyle name="Normal 18 4 2 6" xfId="21976" xr:uid="{C449D494-6BD1-4A62-B606-4D96C047A368}"/>
    <cellStyle name="Normal 18 4 3" xfId="21977" xr:uid="{40710646-F64E-4B8D-9B4F-84D6CE91E7B1}"/>
    <cellStyle name="Normal 18 4 3 2" xfId="21978" xr:uid="{0940DF16-9108-48A5-A9F8-BF9DBB1B6FFA}"/>
    <cellStyle name="Normal 18 4 3 2 2" xfId="21979" xr:uid="{7FB5CCA3-F813-4A44-A111-DDEE164A5941}"/>
    <cellStyle name="Normal 18 4 3 2 3" xfId="21980" xr:uid="{EF0CCCAA-C559-43AC-87DF-87B241CB356D}"/>
    <cellStyle name="Normal 18 4 3 2 4" xfId="21981" xr:uid="{22E5B9C4-4AEE-4EF0-AB24-24385542A63E}"/>
    <cellStyle name="Normal 18 4 3 2 5" xfId="21982" xr:uid="{83D7F857-707E-4EC6-99FC-412A52310215}"/>
    <cellStyle name="Normal 18 4 3 3" xfId="21983" xr:uid="{4517B97E-31DF-4C66-9B7B-967494E52F8B}"/>
    <cellStyle name="Normal 18 4 3 4" xfId="21984" xr:uid="{1E229DB0-F544-4EFD-B1A8-A8E60FF2CFC3}"/>
    <cellStyle name="Normal 18 4 3 5" xfId="21985" xr:uid="{6D714466-1255-428A-88D0-33BEFD2E40BA}"/>
    <cellStyle name="Normal 18 4 3 6" xfId="21986" xr:uid="{6B83D7DE-C813-4F07-97F6-73BE5942B345}"/>
    <cellStyle name="Normal 18 4 4" xfId="21987" xr:uid="{C8B19822-7730-4D1E-B2C7-9C54E78051B6}"/>
    <cellStyle name="Normal 18 4 4 2" xfId="21988" xr:uid="{32B6B679-CB5F-4C30-950D-9681D97EA17E}"/>
    <cellStyle name="Normal 18 4 4 2 2" xfId="21989" xr:uid="{DC3B82CD-CC08-4DAF-B8D2-F468A945402B}"/>
    <cellStyle name="Normal 18 4 4 2 3" xfId="21990" xr:uid="{91A7007F-C531-4FB8-9D82-366B067A436F}"/>
    <cellStyle name="Normal 18 4 4 2 4" xfId="21991" xr:uid="{9BF9D479-AA73-4089-A2ED-765BB1FD7AE7}"/>
    <cellStyle name="Normal 18 4 4 2 5" xfId="21992" xr:uid="{CA91F6E9-0A54-468C-97C1-AAA557801207}"/>
    <cellStyle name="Normal 18 4 4 3" xfId="21993" xr:uid="{EDB0C745-F38F-4927-8661-A30FECC9C765}"/>
    <cellStyle name="Normal 18 4 4 4" xfId="21994" xr:uid="{346D1126-918C-4690-B8D1-0FDA321C748D}"/>
    <cellStyle name="Normal 18 4 4 5" xfId="21995" xr:uid="{284E6CAA-E276-404B-B72A-C867CF0E5E95}"/>
    <cellStyle name="Normal 18 4 4 6" xfId="21996" xr:uid="{3161246B-9932-491F-A14C-002629B1E629}"/>
    <cellStyle name="Normal 18 4 5" xfId="21997" xr:uid="{010B8BE4-629B-4533-B2C6-2C8898B19A3B}"/>
    <cellStyle name="Normal 18 4 5 2" xfId="21998" xr:uid="{91DA27AD-F2A9-49C3-AE3E-94DE6F35658F}"/>
    <cellStyle name="Normal 18 4 5 3" xfId="21999" xr:uid="{4AE14748-E8FC-4E12-88C9-9C76F18217CA}"/>
    <cellStyle name="Normal 18 4 5 4" xfId="22000" xr:uid="{C5CDC2F5-F4A1-4AA3-84FA-1C97A93F8BC9}"/>
    <cellStyle name="Normal 18 4 5 5" xfId="22001" xr:uid="{78DB0572-FD2F-4E79-AE16-4704DAE1779D}"/>
    <cellStyle name="Normal 18 4 6" xfId="22002" xr:uid="{DD5D2EE5-692B-4ED7-80E4-09D532B201C5}"/>
    <cellStyle name="Normal 18 4 6 2" xfId="22003" xr:uid="{A8FA5F4B-5C85-44E0-920C-7314E3DCDA7A}"/>
    <cellStyle name="Normal 18 4 6 3" xfId="22004" xr:uid="{4FA435EC-5AD9-442B-94BB-E584BC8D3CBE}"/>
    <cellStyle name="Normal 18 4 6 4" xfId="22005" xr:uid="{4CC52989-172C-48C4-BFB4-7D09E38CF7D3}"/>
    <cellStyle name="Normal 18 4 6 5" xfId="22006" xr:uid="{B12665FA-682F-4E8D-BEB0-D0F63A1BEDA6}"/>
    <cellStyle name="Normal 18 4 7" xfId="22007" xr:uid="{0B16A678-55FE-4CD3-9DD8-F06ED1EB0878}"/>
    <cellStyle name="Normal 18 4 7 2" xfId="22008" xr:uid="{C779C082-C5C6-4DEE-AE34-B2593A0B2A3A}"/>
    <cellStyle name="Normal 18 4 7 3" xfId="22009" xr:uid="{E77A1680-5D78-4B58-84FE-FEBAA8D26D55}"/>
    <cellStyle name="Normal 18 4 7 4" xfId="22010" xr:uid="{9C0E66C6-C88B-488A-AFCD-F600935A376C}"/>
    <cellStyle name="Normal 18 4 7 5" xfId="22011" xr:uid="{5530E943-375E-40ED-ADF0-B18A51964D73}"/>
    <cellStyle name="Normal 18 4 8" xfId="22012" xr:uid="{C73A4DBD-1DCD-4AB9-B518-292E892E1E32}"/>
    <cellStyle name="Normal 18 4 8 2" xfId="22013" xr:uid="{4C04979B-105C-4F5B-8358-7B736AA6D1BB}"/>
    <cellStyle name="Normal 18 4 8 3" xfId="22014" xr:uid="{CFB0D2FB-D7FC-4593-A25D-96DBFF730052}"/>
    <cellStyle name="Normal 18 4 8 4" xfId="22015" xr:uid="{C10D16F8-CD84-45C9-B7FA-B973403C5A0B}"/>
    <cellStyle name="Normal 18 4 8 5" xfId="22016" xr:uid="{4A2B271F-E273-407B-B1A9-DA430C0A6F34}"/>
    <cellStyle name="Normal 18 4 9" xfId="22017" xr:uid="{6F15CDE5-4D28-4738-9B05-4EA22D4C0750}"/>
    <cellStyle name="Normal 18 5" xfId="22018" xr:uid="{CB81489D-2D60-4602-979C-CD6040AC3161}"/>
    <cellStyle name="Normal 18 5 2" xfId="22019" xr:uid="{937D60A3-E09B-4363-B2B0-1F3AF6CC0A5B}"/>
    <cellStyle name="Normal 18 5 2 2" xfId="22020" xr:uid="{DFC23593-CF74-4C1C-999D-B6C6949B6FB3}"/>
    <cellStyle name="Normal 18 5 2 3" xfId="22021" xr:uid="{A5C7788D-E23F-4AF1-958D-7283756847F8}"/>
    <cellStyle name="Normal 18 5 2 4" xfId="22022" xr:uid="{29C11B77-6B1E-4143-84C9-8ACACAB21628}"/>
    <cellStyle name="Normal 18 5 2 5" xfId="22023" xr:uid="{C88F7CE3-F719-4C59-ABB6-EEE9E7B1C952}"/>
    <cellStyle name="Normal 18 5 3" xfId="22024" xr:uid="{6709305B-B32C-4FE4-AF56-E83B038C8AED}"/>
    <cellStyle name="Normal 18 5 4" xfId="22025" xr:uid="{8C476E21-436A-4FC9-9601-DBA37D253319}"/>
    <cellStyle name="Normal 18 5 5" xfId="22026" xr:uid="{26DA23A5-6653-435F-8EC9-AF2493D3396A}"/>
    <cellStyle name="Normal 18 5 6" xfId="22027" xr:uid="{0A166DD6-613A-4E5D-B0F2-DDDDEEF5A57E}"/>
    <cellStyle name="Normal 18 6" xfId="22028" xr:uid="{5A9DF977-1169-4DF7-9D72-02F8C1B9536B}"/>
    <cellStyle name="Normal 18 6 2" xfId="22029" xr:uid="{791B79C2-3AFF-4E2B-8883-C3436E6B1DBD}"/>
    <cellStyle name="Normal 18 6 2 2" xfId="22030" xr:uid="{75A6FA88-D7F8-42E5-8F6B-CD1A2A799B80}"/>
    <cellStyle name="Normal 18 6 2 3" xfId="22031" xr:uid="{82264061-F053-44E6-98CA-FE8359A42F3F}"/>
    <cellStyle name="Normal 18 6 2 4" xfId="22032" xr:uid="{176123A9-4792-4E36-AFC1-C9CD5E1D33B1}"/>
    <cellStyle name="Normal 18 6 2 5" xfId="22033" xr:uid="{7A218CA3-5CA2-4D26-8900-AB7838BC4015}"/>
    <cellStyle name="Normal 18 6 3" xfId="22034" xr:uid="{63205B98-C4C0-46C0-A1EE-AF113FE9D465}"/>
    <cellStyle name="Normal 18 6 4" xfId="22035" xr:uid="{E87308A3-EAA2-43DB-8A76-2BC584AF0403}"/>
    <cellStyle name="Normal 18 6 5" xfId="22036" xr:uid="{00BB19D6-682E-40F0-BE4C-7752E64E3569}"/>
    <cellStyle name="Normal 18 6 6" xfId="22037" xr:uid="{AEFED20E-7F00-46F0-9270-6EB459511D33}"/>
    <cellStyle name="Normal 18 7" xfId="22038" xr:uid="{5201F41F-F092-4526-859F-32DCBB9DFFE3}"/>
    <cellStyle name="Normal 18 7 2" xfId="22039" xr:uid="{767FFBB4-BFC6-4F1B-916C-DCC51A9E427B}"/>
    <cellStyle name="Normal 18 7 2 2" xfId="22040" xr:uid="{F9C63914-A2CF-464D-9955-CE4DEB6EB0A9}"/>
    <cellStyle name="Normal 18 7 2 3" xfId="22041" xr:uid="{2EA885F8-7DA4-4E6F-8987-5F840531A6B1}"/>
    <cellStyle name="Normal 18 7 2 4" xfId="22042" xr:uid="{5F6E062C-DA92-42D7-A887-213590A1ECE2}"/>
    <cellStyle name="Normal 18 7 2 5" xfId="22043" xr:uid="{DFCDAC2B-D387-4316-BA05-E12C157E71E8}"/>
    <cellStyle name="Normal 18 7 3" xfId="22044" xr:uid="{4BA48ECA-ABF5-4122-BBF5-07BAE4B07087}"/>
    <cellStyle name="Normal 18 7 4" xfId="22045" xr:uid="{46FBB9FF-D186-4910-813A-119284DEC3A8}"/>
    <cellStyle name="Normal 18 7 5" xfId="22046" xr:uid="{39D20574-3DA0-4A26-B53B-CCF40D351F30}"/>
    <cellStyle name="Normal 18 7 6" xfId="22047" xr:uid="{969E3D30-3690-403C-9D4E-5D6F5E7698F6}"/>
    <cellStyle name="Normal 18 8" xfId="22048" xr:uid="{7CA2BA8E-E4C3-4154-B48D-3C4B86159E9B}"/>
    <cellStyle name="Normal 18 8 2" xfId="22049" xr:uid="{D4EC4DFF-1430-4132-872C-60EE24D96630}"/>
    <cellStyle name="Normal 18 8 3" xfId="22050" xr:uid="{B5735358-3291-4D53-AA7E-FDAB35A0E75A}"/>
    <cellStyle name="Normal 18 8 4" xfId="22051" xr:uid="{7E6BFF31-BB68-4699-84C6-5945F56FC917}"/>
    <cellStyle name="Normal 18 8 5" xfId="22052" xr:uid="{D76B78FD-F37B-4AB3-8E36-DF63F3CF1BAD}"/>
    <cellStyle name="Normal 18 9" xfId="22053" xr:uid="{055D5C51-5CC4-40AC-AFD7-CF4F5391D84E}"/>
    <cellStyle name="Normal 18 9 2" xfId="22054" xr:uid="{25F620A5-C48D-4761-99DE-1C36322857A2}"/>
    <cellStyle name="Normal 18 9 3" xfId="22055" xr:uid="{588B3FC9-F3EE-4481-B9A9-844B51FED5B0}"/>
    <cellStyle name="Normal 18 9 4" xfId="22056" xr:uid="{B21A28BD-4F63-46F1-B95C-DA5071AB25CC}"/>
    <cellStyle name="Normal 18 9 5" xfId="22057" xr:uid="{36058ED4-CD14-47A2-9955-6C9786221D5B}"/>
    <cellStyle name="Normal 180" xfId="44448" xr:uid="{41D0C2DE-E942-45D4-8A7B-BBA8044E55CA}"/>
    <cellStyle name="Normal 181" xfId="44449" xr:uid="{CE7B8542-FEB9-4DAC-8A80-79AB81397951}"/>
    <cellStyle name="Normal 182" xfId="44450" xr:uid="{11B1BA69-8641-476F-B0A3-D554FA9AB7AB}"/>
    <cellStyle name="Normal 183" xfId="44451" xr:uid="{1CFCB021-5794-49EA-86B8-0F903C30C98B}"/>
    <cellStyle name="Normal 184" xfId="44452" xr:uid="{4274DA18-2C1B-4EDE-8ADE-9E56F1B5C2F5}"/>
    <cellStyle name="Normal 185" xfId="44453" xr:uid="{DBF1328D-532A-4FCC-BED6-26F6EF8EC18A}"/>
    <cellStyle name="Normal 186" xfId="44454" xr:uid="{514F15C2-1EE5-48B5-B92A-4370FE7FA480}"/>
    <cellStyle name="Normal 19" xfId="22058" xr:uid="{3871E055-EFD3-4C92-B51C-AFB07439A006}"/>
    <cellStyle name="Normal 19 10" xfId="22059" xr:uid="{57840133-D6E2-4A36-ACCC-B51EC03F27A6}"/>
    <cellStyle name="Normal 19 11" xfId="22060" xr:uid="{137947D4-B811-446C-81E3-CED9E0F1AF03}"/>
    <cellStyle name="Normal 19 12" xfId="22061" xr:uid="{D76F370D-0D54-48A7-A037-CC4C2E2DEB56}"/>
    <cellStyle name="Normal 19 13" xfId="44455" xr:uid="{DAD7F49E-D3F5-48BF-8F11-88D9EF7997C5}"/>
    <cellStyle name="Normal 19 2" xfId="22062" xr:uid="{E7530A33-2B80-4838-8372-52ED7EB26810}"/>
    <cellStyle name="Normal 19 2 2" xfId="22063" xr:uid="{30D809C0-5FAA-4CDC-84DC-C6EA356EA853}"/>
    <cellStyle name="Normal 19 2 2 2" xfId="22064" xr:uid="{2AAED940-334F-43B1-8D19-C2B3C1BBCBFA}"/>
    <cellStyle name="Normal 19 2 2 3" xfId="22065" xr:uid="{DFD1A7FE-556D-4EE1-889E-E1BC641D9D7D}"/>
    <cellStyle name="Normal 19 2 2 4" xfId="22066" xr:uid="{01F87355-680E-4254-9FF8-29A60D9434C5}"/>
    <cellStyle name="Normal 19 2 2 5" xfId="22067" xr:uid="{E5F4A443-128D-41F3-923D-213A80F04140}"/>
    <cellStyle name="Normal 19 2 3" xfId="22068" xr:uid="{206C13AC-853E-4B1B-9D8A-41A82FF72D33}"/>
    <cellStyle name="Normal 19 2 4" xfId="22069" xr:uid="{55666D01-0CFA-40B8-BAFF-08EB82609259}"/>
    <cellStyle name="Normal 19 2 4 2" xfId="44456" xr:uid="{1570026B-F250-4AE9-95A1-D2A0FBBAD5C5}"/>
    <cellStyle name="Normal 19 2 5" xfId="22070" xr:uid="{773C7EF9-4BEC-48F2-B7F4-035E6F228E96}"/>
    <cellStyle name="Normal 19 2 6" xfId="22071" xr:uid="{344532C7-F812-49DA-8530-27A0EB9FD59A}"/>
    <cellStyle name="Normal 19 3" xfId="22072" xr:uid="{E084EF8D-C5CA-4EC3-9516-814397CE322F}"/>
    <cellStyle name="Normal 19 3 2" xfId="22073" xr:uid="{80C099AB-AF54-4A1C-9103-A8688C79D1D9}"/>
    <cellStyle name="Normal 19 3 2 2" xfId="22074" xr:uid="{B440B44B-F59B-4B48-9352-51F39B354756}"/>
    <cellStyle name="Normal 19 3 2 3" xfId="22075" xr:uid="{E4B30052-55ED-45A1-96D2-280731F79094}"/>
    <cellStyle name="Normal 19 3 2 4" xfId="22076" xr:uid="{EA274A9B-242B-4DD8-A8AD-102BEA1CAFF4}"/>
    <cellStyle name="Normal 19 3 2 5" xfId="22077" xr:uid="{59F13708-6401-4857-8931-4632D07219B6}"/>
    <cellStyle name="Normal 19 3 3" xfId="22078" xr:uid="{761D4A95-14D1-4132-A1BC-4EB42FFFE0FC}"/>
    <cellStyle name="Normal 19 3 4" xfId="22079" xr:uid="{E6A1FCAA-4A4B-4880-9B33-B4B4980BA0C3}"/>
    <cellStyle name="Normal 19 3 5" xfId="22080" xr:uid="{D4AE595D-6590-4C13-9795-63BC29337762}"/>
    <cellStyle name="Normal 19 3 6" xfId="22081" xr:uid="{B8CAE05F-71AA-42B4-BDFA-83A080460A6B}"/>
    <cellStyle name="Normal 19 4" xfId="22082" xr:uid="{05DC1EB2-62E0-463D-A450-B38DD8E91235}"/>
    <cellStyle name="Normal 19 4 2" xfId="22083" xr:uid="{2A04C194-87CA-4E41-84D5-5BBD9C40C1E2}"/>
    <cellStyle name="Normal 19 4 2 2" xfId="22084" xr:uid="{1D1CD101-F42C-4563-A7C9-79F877FD770C}"/>
    <cellStyle name="Normal 19 4 2 3" xfId="22085" xr:uid="{280F4DEF-F159-404B-A2D8-437F903C3901}"/>
    <cellStyle name="Normal 19 4 2 4" xfId="22086" xr:uid="{02F08B9A-D28D-408E-99CB-937B79D28754}"/>
    <cellStyle name="Normal 19 4 2 5" xfId="22087" xr:uid="{D3E6A206-3468-4F07-9307-DBF4B42FBE5E}"/>
    <cellStyle name="Normal 19 4 3" xfId="22088" xr:uid="{B896B246-8CFE-448E-A25F-A20D15C9E111}"/>
    <cellStyle name="Normal 19 4 4" xfId="22089" xr:uid="{B63E3715-04E4-4B6A-89D5-6378AAB2BC36}"/>
    <cellStyle name="Normal 19 4 5" xfId="22090" xr:uid="{C2E761D5-C161-49F9-BF16-115F4E02BD5B}"/>
    <cellStyle name="Normal 19 4 6" xfId="22091" xr:uid="{4A3C17CB-9BCD-4366-A98B-C0B426E37B2A}"/>
    <cellStyle name="Normal 19 5" xfId="22092" xr:uid="{EB00C669-EA9C-425E-AD25-15B011576CB5}"/>
    <cellStyle name="Normal 19 5 2" xfId="22093" xr:uid="{B3FE7374-F04E-4A3C-BF09-2C3C31995CBC}"/>
    <cellStyle name="Normal 19 5 3" xfId="22094" xr:uid="{3E774098-6866-4519-A96B-2E35B4E4F336}"/>
    <cellStyle name="Normal 19 5 4" xfId="22095" xr:uid="{D672FA85-E1AA-4B83-BDFF-28A8A1417D25}"/>
    <cellStyle name="Normal 19 5 5" xfId="22096" xr:uid="{B2A7F0AB-4551-4A32-80A3-383356C63D0B}"/>
    <cellStyle name="Normal 19 5 6" xfId="44457" xr:uid="{BEDD9A61-10AD-4795-BAC7-E9C28A2E7887}"/>
    <cellStyle name="Normal 19 6" xfId="22097" xr:uid="{C3A4B5E0-A099-4926-A630-64386891C98B}"/>
    <cellStyle name="Normal 19 6 2" xfId="22098" xr:uid="{AE81E19B-AA03-4569-9BA6-77BF6B164F76}"/>
    <cellStyle name="Normal 19 6 3" xfId="22099" xr:uid="{9A9CF7F4-4AC7-4A4F-9F00-8371101AE702}"/>
    <cellStyle name="Normal 19 6 4" xfId="22100" xr:uid="{5FD75FAD-3266-412B-8C14-341227BF0482}"/>
    <cellStyle name="Normal 19 6 5" xfId="22101" xr:uid="{3358F1D0-B228-48F9-9353-3C09CFED8B08}"/>
    <cellStyle name="Normal 19 7" xfId="22102" xr:uid="{EB5747F2-F3A6-47A7-B951-7CDCCE966CE8}"/>
    <cellStyle name="Normal 19 7 2" xfId="22103" xr:uid="{9F1B81C4-F3FD-4BD6-A6A1-2436F5D8B406}"/>
    <cellStyle name="Normal 19 7 3" xfId="22104" xr:uid="{918FBE20-6B8E-4440-A5FB-BF53BABE2CCF}"/>
    <cellStyle name="Normal 19 7 4" xfId="22105" xr:uid="{0BB8407D-376A-458B-99DD-D00B9D5AA8A2}"/>
    <cellStyle name="Normal 19 7 5" xfId="22106" xr:uid="{D3C49BE2-C5D4-4C8B-A30E-8F98F26E069D}"/>
    <cellStyle name="Normal 19 8" xfId="22107" xr:uid="{B3991EBD-9CC5-4BE0-B3A0-20B448950E74}"/>
    <cellStyle name="Normal 19 8 2" xfId="22108" xr:uid="{DAA8BD52-4023-4A92-A79C-1DE39F44C336}"/>
    <cellStyle name="Normal 19 8 3" xfId="22109" xr:uid="{921136F5-36B5-4604-8825-FB8808958AA6}"/>
    <cellStyle name="Normal 19 8 4" xfId="22110" xr:uid="{E605ABD7-4E03-445F-B307-E8AAF3798A2B}"/>
    <cellStyle name="Normal 19 8 5" xfId="22111" xr:uid="{4BDB6C04-2410-4681-8A35-B3646BBDD36D}"/>
    <cellStyle name="Normal 19 9" xfId="22112" xr:uid="{E8EA6F77-7F07-432B-B9C0-654FB32B811B}"/>
    <cellStyle name="Normal 192" xfId="44458" xr:uid="{AB51F218-EE61-4914-A382-2C6AB31A2F59}"/>
    <cellStyle name="Normal 2" xfId="51" xr:uid="{E80B8F18-9547-4A32-893E-CCE15E1889F0}"/>
    <cellStyle name="Normal 2 10" xfId="223" xr:uid="{2182F054-EEF6-404C-997C-B24AC218C98D}"/>
    <cellStyle name="Normal 2 10 10" xfId="22113" xr:uid="{04B7685D-E856-489A-985B-D9ECAB7765D1}"/>
    <cellStyle name="Normal 2 10 10 2" xfId="22114" xr:uid="{6BF3ADC0-D673-4F6E-8A44-E8B02DE10EF9}"/>
    <cellStyle name="Normal 2 10 10 3" xfId="22115" xr:uid="{3557BA0E-780C-4993-8E54-1873125BE8B7}"/>
    <cellStyle name="Normal 2 10 10 4" xfId="22116" xr:uid="{EFE80B9A-B4EC-482A-A3C8-5EF667D9B341}"/>
    <cellStyle name="Normal 2 10 10 5" xfId="22117" xr:uid="{EA4780AF-5F32-4FA5-B4C3-9A8429832279}"/>
    <cellStyle name="Normal 2 10 11" xfId="22118" xr:uid="{135542DF-4DCD-41DC-92BB-58BC86DC58F9}"/>
    <cellStyle name="Normal 2 10 11 2" xfId="22119" xr:uid="{5F8B6AD4-5E23-4E2A-AFF9-1BA52A048BD4}"/>
    <cellStyle name="Normal 2 10 11 3" xfId="22120" xr:uid="{A27FE75B-8957-4324-9CE1-7901CC015146}"/>
    <cellStyle name="Normal 2 10 11 4" xfId="22121" xr:uid="{70D0A2AB-425C-4A93-B85A-F5D9D86C5842}"/>
    <cellStyle name="Normal 2 10 11 5" xfId="22122" xr:uid="{84E6A15C-E6C1-4990-A48C-2AC9538DAECD}"/>
    <cellStyle name="Normal 2 10 12" xfId="22123" xr:uid="{B1F1D0D3-D4D5-4C30-BC46-249449D85C7E}"/>
    <cellStyle name="Normal 2 10 13" xfId="22124" xr:uid="{D68F0B6A-8205-4144-9913-6CEF9936B9AD}"/>
    <cellStyle name="Normal 2 10 14" xfId="22125" xr:uid="{10632E21-256C-4A01-AB5B-1080B11885DB}"/>
    <cellStyle name="Normal 2 10 15" xfId="22126" xr:uid="{22A8BDA5-B64E-4B44-B3A2-5CBE28A9BC2B}"/>
    <cellStyle name="Normal 2 10 2" xfId="22127" xr:uid="{906350EA-E457-4CDD-B6AC-9508EF9C1193}"/>
    <cellStyle name="Normal 2 10 2 10" xfId="22128" xr:uid="{DA582BC6-035C-4593-8914-403B21EC4EED}"/>
    <cellStyle name="Normal 2 10 2 10 2" xfId="22129" xr:uid="{99C28541-DD8E-4F63-9794-2C923F71A1AE}"/>
    <cellStyle name="Normal 2 10 2 10 3" xfId="22130" xr:uid="{FBF0B6A8-7082-4BA1-963C-93A0F893555C}"/>
    <cellStyle name="Normal 2 10 2 10 4" xfId="22131" xr:uid="{254E7D4A-73F9-4808-86DF-7113C8C8F0AE}"/>
    <cellStyle name="Normal 2 10 2 10 5" xfId="22132" xr:uid="{60FD949B-ED54-4788-A1DF-DBF241908B86}"/>
    <cellStyle name="Normal 2 10 2 11" xfId="22133" xr:uid="{236243F9-9C4E-4D83-A03C-9CF27832F117}"/>
    <cellStyle name="Normal 2 10 2 12" xfId="22134" xr:uid="{90325E0E-030A-4D98-B70A-603448B891F6}"/>
    <cellStyle name="Normal 2 10 2 13" xfId="22135" xr:uid="{CAC10B2C-6E4F-4832-AAD0-5471F47E711E}"/>
    <cellStyle name="Normal 2 10 2 14" xfId="22136" xr:uid="{9D427A46-161C-4D2B-9001-47920C937FE6}"/>
    <cellStyle name="Normal 2 10 2 2" xfId="22137" xr:uid="{4809D31D-A89E-4B3B-BF1C-6CF009E910AB}"/>
    <cellStyle name="Normal 2 10 2 2 10" xfId="22138" xr:uid="{2607E68E-CCFD-4A0B-A529-143D0334BC82}"/>
    <cellStyle name="Normal 2 10 2 2 11" xfId="22139" xr:uid="{D1B8DC64-6BB9-4BDB-B72F-2E411379B439}"/>
    <cellStyle name="Normal 2 10 2 2 12" xfId="22140" xr:uid="{77865659-6038-4EE8-9051-3B3FC53EC89E}"/>
    <cellStyle name="Normal 2 10 2 2 13" xfId="22141" xr:uid="{30741ED8-C509-4CAF-88C1-F63EC87629C6}"/>
    <cellStyle name="Normal 2 10 2 2 2" xfId="22142" xr:uid="{246967F8-77B7-47B4-9E40-32F370405FB5}"/>
    <cellStyle name="Normal 2 10 2 2 2 10" xfId="22143" xr:uid="{FD61C742-3E47-478D-ABD5-F6AA53730368}"/>
    <cellStyle name="Normal 2 10 2 2 2 11" xfId="22144" xr:uid="{7FD710C4-971D-4280-943E-4041B173AE55}"/>
    <cellStyle name="Normal 2 10 2 2 2 12" xfId="22145" xr:uid="{A1DF685C-D560-4219-BAC8-4CEFA2D2FABF}"/>
    <cellStyle name="Normal 2 10 2 2 2 2" xfId="22146" xr:uid="{7E8B54B7-99C8-4297-AE1C-B5240D75A524}"/>
    <cellStyle name="Normal 2 10 2 2 2 2 2" xfId="22147" xr:uid="{5D8881A3-3C52-413B-8927-80DDE90848E1}"/>
    <cellStyle name="Normal 2 10 2 2 2 2 2 2" xfId="22148" xr:uid="{6DCFAE7A-B530-4CE4-91CB-005A260C3F83}"/>
    <cellStyle name="Normal 2 10 2 2 2 2 2 3" xfId="22149" xr:uid="{C051362A-A40C-49FF-B46A-74768DAF0A9E}"/>
    <cellStyle name="Normal 2 10 2 2 2 2 2 4" xfId="22150" xr:uid="{0152E676-05C5-4C5A-B0E5-F4CC9DDD9E62}"/>
    <cellStyle name="Normal 2 10 2 2 2 2 2 5" xfId="22151" xr:uid="{A417515A-87E3-49CE-ABEB-910771F668CE}"/>
    <cellStyle name="Normal 2 10 2 2 2 2 3" xfId="22152" xr:uid="{902E8DDD-6566-478E-933A-DB3A0DF7416A}"/>
    <cellStyle name="Normal 2 10 2 2 2 2 4" xfId="22153" xr:uid="{4F8CA618-3F95-41F5-9056-B74EB2A01032}"/>
    <cellStyle name="Normal 2 10 2 2 2 2 5" xfId="22154" xr:uid="{2C8EB37D-33CF-4DD2-A9DD-0F2C0F045DD6}"/>
    <cellStyle name="Normal 2 10 2 2 2 2 6" xfId="22155" xr:uid="{3F9BBB19-EC6E-4E18-9782-901A0D081AD0}"/>
    <cellStyle name="Normal 2 10 2 2 2 3" xfId="22156" xr:uid="{FFCBD30D-8DCE-491A-877E-644107BDDA5A}"/>
    <cellStyle name="Normal 2 10 2 2 2 3 2" xfId="22157" xr:uid="{CA2521E0-679C-477E-8AB2-7C0648A39A18}"/>
    <cellStyle name="Normal 2 10 2 2 2 3 2 2" xfId="22158" xr:uid="{81A965F8-FEB9-4CA8-9836-D2EB174718C0}"/>
    <cellStyle name="Normal 2 10 2 2 2 3 2 3" xfId="22159" xr:uid="{F6D95524-9F63-4B26-8CE1-4427C6D7D185}"/>
    <cellStyle name="Normal 2 10 2 2 2 3 2 4" xfId="22160" xr:uid="{8BB9CDF9-2588-47A6-87E6-6DCAE353B2E2}"/>
    <cellStyle name="Normal 2 10 2 2 2 3 2 5" xfId="22161" xr:uid="{8A2B6832-89E7-4192-8FB8-D1AFC605D0FA}"/>
    <cellStyle name="Normal 2 10 2 2 2 3 3" xfId="22162" xr:uid="{36CCB656-CBD9-4352-AE94-9812C61E1F38}"/>
    <cellStyle name="Normal 2 10 2 2 2 3 4" xfId="22163" xr:uid="{36CB9E52-4B2B-4DFE-98AC-7D644570A39F}"/>
    <cellStyle name="Normal 2 10 2 2 2 3 5" xfId="22164" xr:uid="{576D2B3B-5290-40E2-AA46-68AEE4182841}"/>
    <cellStyle name="Normal 2 10 2 2 2 3 6" xfId="22165" xr:uid="{F877F4FC-F249-4EAB-813C-A27C394302AE}"/>
    <cellStyle name="Normal 2 10 2 2 2 4" xfId="22166" xr:uid="{82E03EE0-F14C-4D72-BE30-29D82D433FA5}"/>
    <cellStyle name="Normal 2 10 2 2 2 4 2" xfId="22167" xr:uid="{7691F2CF-0862-452B-AB64-75C4E3E8159D}"/>
    <cellStyle name="Normal 2 10 2 2 2 4 2 2" xfId="22168" xr:uid="{37B28B9A-CBD1-4B43-BDDC-B87EFABC2AA0}"/>
    <cellStyle name="Normal 2 10 2 2 2 4 2 3" xfId="22169" xr:uid="{5CB36C5C-F1BE-47C8-906F-D92EEB91CABC}"/>
    <cellStyle name="Normal 2 10 2 2 2 4 2 4" xfId="22170" xr:uid="{727A090D-C15E-4497-A690-BFFF6AC6F7C3}"/>
    <cellStyle name="Normal 2 10 2 2 2 4 2 5" xfId="22171" xr:uid="{47963C81-7AFD-4A3F-AD18-BDB538320503}"/>
    <cellStyle name="Normal 2 10 2 2 2 4 3" xfId="22172" xr:uid="{212CF990-08C8-405E-AA64-238947C24D31}"/>
    <cellStyle name="Normal 2 10 2 2 2 4 4" xfId="22173" xr:uid="{97417A87-32A9-4648-94A9-C347BC2B6C2C}"/>
    <cellStyle name="Normal 2 10 2 2 2 4 5" xfId="22174" xr:uid="{F0A910C5-CC8E-4098-A766-B23A8266AF82}"/>
    <cellStyle name="Normal 2 10 2 2 2 4 6" xfId="22175" xr:uid="{A48FAA4D-6819-4F39-BBB0-9CC1E1F4BE34}"/>
    <cellStyle name="Normal 2 10 2 2 2 5" xfId="22176" xr:uid="{530CD06F-41E1-429B-88C5-B6C15E69C589}"/>
    <cellStyle name="Normal 2 10 2 2 2 5 2" xfId="22177" xr:uid="{395E403A-EB87-4E67-8AE9-2940B4D699DB}"/>
    <cellStyle name="Normal 2 10 2 2 2 5 3" xfId="22178" xr:uid="{C6BDB4C2-4670-4CC7-B0E0-64C3E34A350D}"/>
    <cellStyle name="Normal 2 10 2 2 2 5 4" xfId="22179" xr:uid="{D4F08936-9877-4521-9158-937F00CDCE80}"/>
    <cellStyle name="Normal 2 10 2 2 2 5 5" xfId="22180" xr:uid="{9637104D-D28D-41D9-A2D7-7AF45056AE25}"/>
    <cellStyle name="Normal 2 10 2 2 2 6" xfId="22181" xr:uid="{513DE80B-DD4F-4925-A185-E85BFAB7D483}"/>
    <cellStyle name="Normal 2 10 2 2 2 6 2" xfId="22182" xr:uid="{512B48D2-3F7F-4178-9389-D7463375F048}"/>
    <cellStyle name="Normal 2 10 2 2 2 6 3" xfId="22183" xr:uid="{34593FF1-F1FC-4901-B16F-BBDA7BB65B72}"/>
    <cellStyle name="Normal 2 10 2 2 2 6 4" xfId="22184" xr:uid="{40F0B077-1134-42FA-8ACA-E4D0C6FB7E34}"/>
    <cellStyle name="Normal 2 10 2 2 2 6 5" xfId="22185" xr:uid="{7F78A74F-9CE3-40DC-86CC-AF8D7C029A05}"/>
    <cellStyle name="Normal 2 10 2 2 2 7" xfId="22186" xr:uid="{B2416D9D-E1F3-468F-B43C-859044ECE1CA}"/>
    <cellStyle name="Normal 2 10 2 2 2 7 2" xfId="22187" xr:uid="{C4921001-0A50-43D0-A911-5DCED328447E}"/>
    <cellStyle name="Normal 2 10 2 2 2 7 3" xfId="22188" xr:uid="{4A466454-8614-4058-84DC-B31B17226B5B}"/>
    <cellStyle name="Normal 2 10 2 2 2 7 4" xfId="22189" xr:uid="{8E734955-46DD-483C-911E-8C9D5A78B433}"/>
    <cellStyle name="Normal 2 10 2 2 2 7 5" xfId="22190" xr:uid="{5717F80D-1F0A-4D20-99CC-84279F70C6D1}"/>
    <cellStyle name="Normal 2 10 2 2 2 8" xfId="22191" xr:uid="{4D35560B-E2EC-45BB-BB29-CCBE9E9F5FB0}"/>
    <cellStyle name="Normal 2 10 2 2 2 8 2" xfId="22192" xr:uid="{FDD824B7-0E85-4E05-BDD3-AC72470180A5}"/>
    <cellStyle name="Normal 2 10 2 2 2 8 3" xfId="22193" xr:uid="{CC27305E-F508-44FF-AD2B-1D1068D86522}"/>
    <cellStyle name="Normal 2 10 2 2 2 8 4" xfId="22194" xr:uid="{62C9D7F5-81BE-4DF7-A5B1-2C87E29008B9}"/>
    <cellStyle name="Normal 2 10 2 2 2 8 5" xfId="22195" xr:uid="{5D247D91-F0DB-4521-972E-029A85656A68}"/>
    <cellStyle name="Normal 2 10 2 2 2 9" xfId="22196" xr:uid="{A9D4F967-9245-4E55-93CA-33339705EF02}"/>
    <cellStyle name="Normal 2 10 2 2 3" xfId="22197" xr:uid="{3844CD79-44D7-4A57-AF27-29A9CB0859D7}"/>
    <cellStyle name="Normal 2 10 2 2 3 2" xfId="22198" xr:uid="{0BDC14EF-7ECB-47C8-97CE-D1636E4B6721}"/>
    <cellStyle name="Normal 2 10 2 2 3 2 2" xfId="22199" xr:uid="{597AC81B-474A-49E2-B420-855C586ABD6B}"/>
    <cellStyle name="Normal 2 10 2 2 3 2 3" xfId="22200" xr:uid="{F9703914-740A-4A79-91BA-FF0E088CD228}"/>
    <cellStyle name="Normal 2 10 2 2 3 2 4" xfId="22201" xr:uid="{4F427B7C-1756-41CF-9C13-889F31FC097C}"/>
    <cellStyle name="Normal 2 10 2 2 3 2 5" xfId="22202" xr:uid="{36B62A82-1125-4849-8EF8-B9F23E9CD9D2}"/>
    <cellStyle name="Normal 2 10 2 2 3 3" xfId="22203" xr:uid="{82D4CA2C-2B46-4F4F-A215-086C2256C3F4}"/>
    <cellStyle name="Normal 2 10 2 2 3 4" xfId="22204" xr:uid="{944EA5AD-3AB9-46C7-91DB-80CF755D6AB4}"/>
    <cellStyle name="Normal 2 10 2 2 3 5" xfId="22205" xr:uid="{D7201780-0434-4C03-9310-E71BE0C3B747}"/>
    <cellStyle name="Normal 2 10 2 2 3 6" xfId="22206" xr:uid="{BE7A1294-BE27-4A05-AD2B-668EF8241598}"/>
    <cellStyle name="Normal 2 10 2 2 4" xfId="22207" xr:uid="{A2AD28E8-0270-4783-9FD6-B60258E6DB95}"/>
    <cellStyle name="Normal 2 10 2 2 4 2" xfId="22208" xr:uid="{ABC55D09-7D3A-4AB1-9A56-095EFDF5496A}"/>
    <cellStyle name="Normal 2 10 2 2 4 2 2" xfId="22209" xr:uid="{CDA5CC3F-8CB0-4064-BC2B-6FB248244F60}"/>
    <cellStyle name="Normal 2 10 2 2 4 2 3" xfId="22210" xr:uid="{740EB477-DAD2-461F-B525-9F2E49A97307}"/>
    <cellStyle name="Normal 2 10 2 2 4 2 4" xfId="22211" xr:uid="{83267789-A56B-4D60-ABE8-07C923E9F959}"/>
    <cellStyle name="Normal 2 10 2 2 4 2 5" xfId="22212" xr:uid="{BB3ED8F4-AD51-45D3-9688-6E70A8C17659}"/>
    <cellStyle name="Normal 2 10 2 2 4 3" xfId="22213" xr:uid="{7ED1529E-25FF-456D-8ADC-5F6423F455B4}"/>
    <cellStyle name="Normal 2 10 2 2 4 4" xfId="22214" xr:uid="{35793910-B5D4-4C4A-AA67-9C8BD74C26CC}"/>
    <cellStyle name="Normal 2 10 2 2 4 5" xfId="22215" xr:uid="{DC91753B-F862-4134-80A4-2674F96714DB}"/>
    <cellStyle name="Normal 2 10 2 2 4 6" xfId="22216" xr:uid="{176E2B48-92FC-4FE9-9EDB-F3264037E90D}"/>
    <cellStyle name="Normal 2 10 2 2 5" xfId="22217" xr:uid="{1674DA95-0AC6-4292-B8BC-33AF1876240E}"/>
    <cellStyle name="Normal 2 10 2 2 5 2" xfId="22218" xr:uid="{2C2C8535-BB82-4ACF-9F03-35E7258DE413}"/>
    <cellStyle name="Normal 2 10 2 2 5 2 2" xfId="22219" xr:uid="{4DEF3FA9-9A1B-470C-BD1B-3ACAF1A7BE5F}"/>
    <cellStyle name="Normal 2 10 2 2 5 2 3" xfId="22220" xr:uid="{AC3CF8AD-7892-4E93-9A54-717673D120F7}"/>
    <cellStyle name="Normal 2 10 2 2 5 2 4" xfId="22221" xr:uid="{75FDB8A4-4D0F-4FB0-8422-80B325B7809F}"/>
    <cellStyle name="Normal 2 10 2 2 5 2 5" xfId="22222" xr:uid="{AACB3F8B-ACD0-4B94-97F5-24772EAF2C4A}"/>
    <cellStyle name="Normal 2 10 2 2 5 3" xfId="22223" xr:uid="{6C104D27-796C-417E-8AD8-1B09B162D4C6}"/>
    <cellStyle name="Normal 2 10 2 2 5 4" xfId="22224" xr:uid="{FBA5AEBF-61D3-44FA-A7AE-280BD1E98C88}"/>
    <cellStyle name="Normal 2 10 2 2 5 5" xfId="22225" xr:uid="{997361E3-845E-4229-AB60-78E5F3C8F9E5}"/>
    <cellStyle name="Normal 2 10 2 2 5 6" xfId="22226" xr:uid="{B1D4508E-B956-43F9-BF9F-30CF2D56B7F5}"/>
    <cellStyle name="Normal 2 10 2 2 6" xfId="22227" xr:uid="{0E1F1F2F-3F69-4F87-9835-C5B58EF1591E}"/>
    <cellStyle name="Normal 2 10 2 2 6 2" xfId="22228" xr:uid="{F71C3FCE-3F19-4BD3-9851-B31BAEA641FC}"/>
    <cellStyle name="Normal 2 10 2 2 6 3" xfId="22229" xr:uid="{07E04D91-B9E9-4380-9693-5D95FE6D0DD7}"/>
    <cellStyle name="Normal 2 10 2 2 6 4" xfId="22230" xr:uid="{0F82AA8C-7F7C-4827-9760-5F72CF3978F9}"/>
    <cellStyle name="Normal 2 10 2 2 6 5" xfId="22231" xr:uid="{E20ABC05-3A63-4D5F-A656-86E280113B4E}"/>
    <cellStyle name="Normal 2 10 2 2 7" xfId="22232" xr:uid="{776C93E2-4BB9-4757-B8E9-D9640A8FC093}"/>
    <cellStyle name="Normal 2 10 2 2 7 2" xfId="22233" xr:uid="{FD9B3862-2326-4F09-996B-9F83C46A76FE}"/>
    <cellStyle name="Normal 2 10 2 2 7 3" xfId="22234" xr:uid="{F9708F68-AFEA-4372-8C3D-6B168D28DA52}"/>
    <cellStyle name="Normal 2 10 2 2 7 4" xfId="22235" xr:uid="{18DE4F9D-8707-449C-8403-A0B5CED96D1D}"/>
    <cellStyle name="Normal 2 10 2 2 7 5" xfId="22236" xr:uid="{1F643169-F2F0-4918-A5DE-9834052DDDFC}"/>
    <cellStyle name="Normal 2 10 2 2 8" xfId="22237" xr:uid="{151B6EF0-84EC-4C25-A4CA-5638BE5B039B}"/>
    <cellStyle name="Normal 2 10 2 2 8 2" xfId="22238" xr:uid="{211DDBCC-8B61-4240-AFED-272FF127A8D6}"/>
    <cellStyle name="Normal 2 10 2 2 8 3" xfId="22239" xr:uid="{C1F964C6-34BE-497E-B58F-DAFC7A9C11E4}"/>
    <cellStyle name="Normal 2 10 2 2 8 4" xfId="22240" xr:uid="{6D750B49-4DA0-4139-8A0C-C90A16921361}"/>
    <cellStyle name="Normal 2 10 2 2 8 5" xfId="22241" xr:uid="{67BABFA8-A272-448F-97CD-EA336CCEDD3B}"/>
    <cellStyle name="Normal 2 10 2 2 9" xfId="22242" xr:uid="{A5496FDA-DDB0-40E7-8869-11DF6216E106}"/>
    <cellStyle name="Normal 2 10 2 2 9 2" xfId="22243" xr:uid="{7B7662C3-53C7-441A-A66E-F19099D70EB6}"/>
    <cellStyle name="Normal 2 10 2 2 9 3" xfId="22244" xr:uid="{BAB3DDE1-3752-44DA-8831-4EC5E2F601F8}"/>
    <cellStyle name="Normal 2 10 2 2 9 4" xfId="22245" xr:uid="{9FCDFE03-6008-4FEB-A20C-91985903AF3C}"/>
    <cellStyle name="Normal 2 10 2 2 9 5" xfId="22246" xr:uid="{AD9DC18E-5609-447F-95AC-DAAFD96EF585}"/>
    <cellStyle name="Normal 2 10 2 3" xfId="22247" xr:uid="{241DF575-922F-4DE1-A889-3DF0D49ECCC0}"/>
    <cellStyle name="Normal 2 10 2 3 10" xfId="22248" xr:uid="{AA9824C9-E775-42C0-9046-DFBD49AE0600}"/>
    <cellStyle name="Normal 2 10 2 3 11" xfId="22249" xr:uid="{B867982D-368A-411A-95B4-697F8F127DF3}"/>
    <cellStyle name="Normal 2 10 2 3 12" xfId="22250" xr:uid="{29F160AF-52C7-4063-8B29-6EEDD7B41D34}"/>
    <cellStyle name="Normal 2 10 2 3 2" xfId="22251" xr:uid="{123F57C3-CCB1-4C9E-8384-2AEF9C79D035}"/>
    <cellStyle name="Normal 2 10 2 3 2 2" xfId="22252" xr:uid="{57E6D2F8-3DF5-4481-968C-7A106FACA62D}"/>
    <cellStyle name="Normal 2 10 2 3 2 2 2" xfId="22253" xr:uid="{26DC54C9-9A45-463D-A5BA-27EC849E0086}"/>
    <cellStyle name="Normal 2 10 2 3 2 2 3" xfId="22254" xr:uid="{867051AA-D939-4AEA-9613-09FC25E1196F}"/>
    <cellStyle name="Normal 2 10 2 3 2 2 4" xfId="22255" xr:uid="{F6C870DC-8BFA-4E90-B270-AA93A9CF9059}"/>
    <cellStyle name="Normal 2 10 2 3 2 2 5" xfId="22256" xr:uid="{00F4A682-8E2B-48B3-BD55-8F5B06D9ACDA}"/>
    <cellStyle name="Normal 2 10 2 3 2 3" xfId="22257" xr:uid="{9171B0D7-26C9-4EA5-991F-16FE93784EF8}"/>
    <cellStyle name="Normal 2 10 2 3 2 4" xfId="22258" xr:uid="{1A4F6E00-E688-4A80-86E6-55AFC6A86B67}"/>
    <cellStyle name="Normal 2 10 2 3 2 5" xfId="22259" xr:uid="{DB80B510-6DE6-4EF0-BE05-05CA393FC147}"/>
    <cellStyle name="Normal 2 10 2 3 2 6" xfId="22260" xr:uid="{09B968D4-2831-44EA-9AA1-5BF5D6A3D385}"/>
    <cellStyle name="Normal 2 10 2 3 3" xfId="22261" xr:uid="{618E4D12-588E-4C09-8530-934F4DAD9AA2}"/>
    <cellStyle name="Normal 2 10 2 3 3 2" xfId="22262" xr:uid="{BF29BA7C-B2DC-4EE6-BCA8-60F14E4EFF18}"/>
    <cellStyle name="Normal 2 10 2 3 3 2 2" xfId="22263" xr:uid="{23B68150-FB07-40F6-9F3A-E85C29C4259C}"/>
    <cellStyle name="Normal 2 10 2 3 3 2 3" xfId="22264" xr:uid="{568FE275-B528-439D-900D-9B9EA82A98C6}"/>
    <cellStyle name="Normal 2 10 2 3 3 2 4" xfId="22265" xr:uid="{5B2F2414-4BFE-4022-80DF-8877B7D40F25}"/>
    <cellStyle name="Normal 2 10 2 3 3 2 5" xfId="22266" xr:uid="{B014F8FE-575A-444C-A685-42808F5C7D90}"/>
    <cellStyle name="Normal 2 10 2 3 3 3" xfId="22267" xr:uid="{1969BB0A-261D-4CFE-971A-020308869437}"/>
    <cellStyle name="Normal 2 10 2 3 3 4" xfId="22268" xr:uid="{AD979B77-726C-4A10-AD56-B78039BC55A2}"/>
    <cellStyle name="Normal 2 10 2 3 3 5" xfId="22269" xr:uid="{7E85FE80-B708-41D8-916C-3740E105EBAC}"/>
    <cellStyle name="Normal 2 10 2 3 3 6" xfId="22270" xr:uid="{0C7A2508-24C0-4E01-98C4-1A1762BD2CD6}"/>
    <cellStyle name="Normal 2 10 2 3 4" xfId="22271" xr:uid="{CB7668EB-7FB1-4611-9244-D36F28BA1BF9}"/>
    <cellStyle name="Normal 2 10 2 3 4 2" xfId="22272" xr:uid="{070E268D-11B7-4D1B-89A7-92574C9F5709}"/>
    <cellStyle name="Normal 2 10 2 3 4 2 2" xfId="22273" xr:uid="{18E6F93B-1E19-49DF-85FE-2F790E471515}"/>
    <cellStyle name="Normal 2 10 2 3 4 2 3" xfId="22274" xr:uid="{C5002D5A-D708-478B-B8E3-BC69FFC5C1BA}"/>
    <cellStyle name="Normal 2 10 2 3 4 2 4" xfId="22275" xr:uid="{7D128589-793A-41AE-B88B-35932093947E}"/>
    <cellStyle name="Normal 2 10 2 3 4 2 5" xfId="22276" xr:uid="{F6628D4F-F971-4520-A5A6-1137F7FD76F9}"/>
    <cellStyle name="Normal 2 10 2 3 4 3" xfId="22277" xr:uid="{4A9A34B9-1D2F-4A4A-8AA0-58A498A05910}"/>
    <cellStyle name="Normal 2 10 2 3 4 4" xfId="22278" xr:uid="{A34659EB-3A11-4E9B-9B99-C699DEF4CD1A}"/>
    <cellStyle name="Normal 2 10 2 3 4 5" xfId="22279" xr:uid="{147427A8-9E05-4863-9431-CB4B5FBA96A0}"/>
    <cellStyle name="Normal 2 10 2 3 4 6" xfId="22280" xr:uid="{76129CDF-6A81-4659-BE8C-2AB6EDE01220}"/>
    <cellStyle name="Normal 2 10 2 3 5" xfId="22281" xr:uid="{20514818-C860-48CA-AF6D-EE015FEB7DED}"/>
    <cellStyle name="Normal 2 10 2 3 5 2" xfId="22282" xr:uid="{BA66C3DC-22A0-4984-847B-D79B4882168B}"/>
    <cellStyle name="Normal 2 10 2 3 5 3" xfId="22283" xr:uid="{1DCBD505-0222-44F4-8B3B-791BAE2C7A6F}"/>
    <cellStyle name="Normal 2 10 2 3 5 4" xfId="22284" xr:uid="{E7FFC035-8B01-41DC-83CC-23FB0F08AB66}"/>
    <cellStyle name="Normal 2 10 2 3 5 5" xfId="22285" xr:uid="{B6C0ABCA-9383-4277-8D1C-7474AA72D894}"/>
    <cellStyle name="Normal 2 10 2 3 6" xfId="22286" xr:uid="{2928901A-23D6-4963-B65F-B59E5C07DBAA}"/>
    <cellStyle name="Normal 2 10 2 3 6 2" xfId="22287" xr:uid="{3C138AF5-0099-4C38-812F-F6A582E1A3FE}"/>
    <cellStyle name="Normal 2 10 2 3 6 3" xfId="22288" xr:uid="{14F2EB20-1218-4C21-AABD-F721E875D2C1}"/>
    <cellStyle name="Normal 2 10 2 3 6 4" xfId="22289" xr:uid="{2CF6685C-2648-4A0E-9F24-3CDF2DCF7F2B}"/>
    <cellStyle name="Normal 2 10 2 3 6 5" xfId="22290" xr:uid="{CE2FD16E-6572-4471-AAAA-FCB7E25724CF}"/>
    <cellStyle name="Normal 2 10 2 3 7" xfId="22291" xr:uid="{AB3643E6-D7D7-4C2D-84A2-4A6D5F1352A2}"/>
    <cellStyle name="Normal 2 10 2 3 7 2" xfId="22292" xr:uid="{61A112D7-AED6-4894-9330-A1E5CB06065E}"/>
    <cellStyle name="Normal 2 10 2 3 7 3" xfId="22293" xr:uid="{51D3DDC4-2FDD-4AB6-B4D3-8D7EE2719F16}"/>
    <cellStyle name="Normal 2 10 2 3 7 4" xfId="22294" xr:uid="{6FD0D3EF-7CE5-45A0-98FF-24E6CEDCE911}"/>
    <cellStyle name="Normal 2 10 2 3 7 5" xfId="22295" xr:uid="{C72BCBF0-8204-409D-8740-49EFADDB7982}"/>
    <cellStyle name="Normal 2 10 2 3 8" xfId="22296" xr:uid="{0C3B559E-EB85-4C5B-8D52-92BB9D3D505D}"/>
    <cellStyle name="Normal 2 10 2 3 8 2" xfId="22297" xr:uid="{21F73C08-B382-4FD8-9CF0-70E7767CE1BA}"/>
    <cellStyle name="Normal 2 10 2 3 8 3" xfId="22298" xr:uid="{4A3DF0BC-CF56-40FB-BED4-9639B562C77F}"/>
    <cellStyle name="Normal 2 10 2 3 8 4" xfId="22299" xr:uid="{9DB56D79-6ACE-4865-9E17-4AB4CCD4C987}"/>
    <cellStyle name="Normal 2 10 2 3 8 5" xfId="22300" xr:uid="{DD2643DF-2EEC-4700-BEEE-73DAB3496818}"/>
    <cellStyle name="Normal 2 10 2 3 9" xfId="22301" xr:uid="{9FAB3B01-E165-4FB1-8590-F7EA598661AC}"/>
    <cellStyle name="Normal 2 10 2 4" xfId="22302" xr:uid="{34D67566-5AFA-4CC3-A16A-F3BD11464297}"/>
    <cellStyle name="Normal 2 10 2 4 2" xfId="22303" xr:uid="{21ABE483-0DA9-440D-842F-03B034848976}"/>
    <cellStyle name="Normal 2 10 2 4 2 2" xfId="22304" xr:uid="{277BE6D1-3D42-4056-A13F-56EB1E071B70}"/>
    <cellStyle name="Normal 2 10 2 4 2 3" xfId="22305" xr:uid="{3363000C-5E3F-4A87-861F-38803B114B69}"/>
    <cellStyle name="Normal 2 10 2 4 2 4" xfId="22306" xr:uid="{2E62518F-C26B-4C50-840B-803B16FCE56E}"/>
    <cellStyle name="Normal 2 10 2 4 2 5" xfId="22307" xr:uid="{CE172887-925D-4BFD-8184-C17E575308B0}"/>
    <cellStyle name="Normal 2 10 2 4 3" xfId="22308" xr:uid="{3D08A9FB-A32E-4640-B5F1-5CFB2B866AB8}"/>
    <cellStyle name="Normal 2 10 2 4 4" xfId="22309" xr:uid="{981A5368-212F-4DE4-9AE4-56479F0CC83B}"/>
    <cellStyle name="Normal 2 10 2 4 5" xfId="22310" xr:uid="{35D2B139-0DE5-4232-8F82-1B9B4D4C3B2E}"/>
    <cellStyle name="Normal 2 10 2 4 6" xfId="22311" xr:uid="{83036AD9-E35A-4ADA-ABB8-E35B745E9BE1}"/>
    <cellStyle name="Normal 2 10 2 5" xfId="22312" xr:uid="{23FB06FB-AB32-41D7-89FD-A63F44FE2EFF}"/>
    <cellStyle name="Normal 2 10 2 5 2" xfId="22313" xr:uid="{EEF7FF91-DBDD-4824-88A7-466FFD94B13E}"/>
    <cellStyle name="Normal 2 10 2 5 2 2" xfId="22314" xr:uid="{3F1A5408-84DE-4539-977B-831B32E015F9}"/>
    <cellStyle name="Normal 2 10 2 5 2 3" xfId="22315" xr:uid="{4A2B0D1A-9361-4808-8D2C-EAE86F899B9C}"/>
    <cellStyle name="Normal 2 10 2 5 2 4" xfId="22316" xr:uid="{BBA02696-2BE5-48E4-B0B3-0E7C0B3D6328}"/>
    <cellStyle name="Normal 2 10 2 5 2 5" xfId="22317" xr:uid="{2D442C6C-92EC-4FB0-8330-44FA4005F750}"/>
    <cellStyle name="Normal 2 10 2 5 3" xfId="22318" xr:uid="{3D8C1388-27CB-452F-B3AD-707A0262FFE2}"/>
    <cellStyle name="Normal 2 10 2 5 4" xfId="22319" xr:uid="{5EE777BD-19A7-435B-9367-6C9E2E90D5B4}"/>
    <cellStyle name="Normal 2 10 2 5 5" xfId="22320" xr:uid="{A5FB9410-CB09-421A-AA2E-48A415174A83}"/>
    <cellStyle name="Normal 2 10 2 5 6" xfId="22321" xr:uid="{C4353187-42A0-4385-B471-578A24A5BC36}"/>
    <cellStyle name="Normal 2 10 2 6" xfId="22322" xr:uid="{D7C8D254-C6E2-4865-B05B-060006187BD8}"/>
    <cellStyle name="Normal 2 10 2 6 2" xfId="22323" xr:uid="{B350E6A8-1526-45A9-8AF1-4450F434E2DE}"/>
    <cellStyle name="Normal 2 10 2 6 2 2" xfId="22324" xr:uid="{6B2F8D32-A1F1-4632-BF55-EE764BCAD714}"/>
    <cellStyle name="Normal 2 10 2 6 2 3" xfId="22325" xr:uid="{053136E1-6289-415A-95B0-C7CA0636353F}"/>
    <cellStyle name="Normal 2 10 2 6 2 4" xfId="22326" xr:uid="{EFDB12E1-809B-4E19-9120-1D7CDEA7B25D}"/>
    <cellStyle name="Normal 2 10 2 6 2 5" xfId="22327" xr:uid="{E713CB1B-A341-4201-91C1-62194AEE3472}"/>
    <cellStyle name="Normal 2 10 2 6 3" xfId="22328" xr:uid="{BB6B2ACA-94F2-4B45-B1FB-BD6F1327CB43}"/>
    <cellStyle name="Normal 2 10 2 6 4" xfId="22329" xr:uid="{7C1ABC72-46AC-4A3C-9922-26E29648ED75}"/>
    <cellStyle name="Normal 2 10 2 6 5" xfId="22330" xr:uid="{EBD51100-C55F-4AF5-8940-F060C37B3CCA}"/>
    <cellStyle name="Normal 2 10 2 6 6" xfId="22331" xr:uid="{FA0F0392-1CAE-4673-B6C4-2E75BC5F19EB}"/>
    <cellStyle name="Normal 2 10 2 7" xfId="22332" xr:uid="{0E758E6A-FCD7-4806-8ADA-0025855A1A9E}"/>
    <cellStyle name="Normal 2 10 2 7 2" xfId="22333" xr:uid="{EFEB4A8E-6282-4673-9AE4-B0B87D48C520}"/>
    <cellStyle name="Normal 2 10 2 7 3" xfId="22334" xr:uid="{72EA86C8-89A0-4397-AE84-911910363DE5}"/>
    <cellStyle name="Normal 2 10 2 7 4" xfId="22335" xr:uid="{6DDB320D-5EED-48E7-818C-6F1D707A81B6}"/>
    <cellStyle name="Normal 2 10 2 7 5" xfId="22336" xr:uid="{8ABD7DCA-CD4B-442A-82A6-A3EE24F00BE8}"/>
    <cellStyle name="Normal 2 10 2 8" xfId="22337" xr:uid="{31E92400-266F-4679-9D1F-C0ED6690E66A}"/>
    <cellStyle name="Normal 2 10 2 8 2" xfId="22338" xr:uid="{C25C02FE-7CC7-4C7A-9F78-F67932260D4F}"/>
    <cellStyle name="Normal 2 10 2 8 3" xfId="22339" xr:uid="{636F151D-FAD6-496D-B93C-1FE1199F0B01}"/>
    <cellStyle name="Normal 2 10 2 8 4" xfId="22340" xr:uid="{4CEAF6D8-E593-4730-A700-1CBB91F1E219}"/>
    <cellStyle name="Normal 2 10 2 8 5" xfId="22341" xr:uid="{9270DF70-BE5B-4472-8292-FAD13EFD5C28}"/>
    <cellStyle name="Normal 2 10 2 9" xfId="22342" xr:uid="{204BC0C7-5405-458C-B32F-CCA3A7FC46C8}"/>
    <cellStyle name="Normal 2 10 2 9 2" xfId="22343" xr:uid="{40EA4787-5CC0-4E0B-919A-F8C9C0BCB2FD}"/>
    <cellStyle name="Normal 2 10 2 9 3" xfId="22344" xr:uid="{B2F2E217-647C-40B5-A6DB-754F29C96CFC}"/>
    <cellStyle name="Normal 2 10 2 9 4" xfId="22345" xr:uid="{B075688C-4D21-4651-BFC3-BE8D1AF00122}"/>
    <cellStyle name="Normal 2 10 2 9 5" xfId="22346" xr:uid="{22D829E5-0C75-48B9-949B-EAD61ABDDBB1}"/>
    <cellStyle name="Normal 2 10 3" xfId="22347" xr:uid="{56B3945F-C23F-489D-8465-80039D364662}"/>
    <cellStyle name="Normal 2 10 3 10" xfId="22348" xr:uid="{B10AC89A-A639-4096-808E-80B021124E21}"/>
    <cellStyle name="Normal 2 10 3 11" xfId="22349" xr:uid="{B628042A-05F8-428F-9731-E75D77AA6A86}"/>
    <cellStyle name="Normal 2 10 3 12" xfId="22350" xr:uid="{FA680346-18E3-4BB5-AB12-422650395E43}"/>
    <cellStyle name="Normal 2 10 3 13" xfId="22351" xr:uid="{F1267C47-EE59-498E-818E-68776578BFF9}"/>
    <cellStyle name="Normal 2 10 3 2" xfId="22352" xr:uid="{C1B60069-BDD5-48D3-BECA-4D6BC0D0DEF9}"/>
    <cellStyle name="Normal 2 10 3 2 10" xfId="22353" xr:uid="{869F5215-A2B7-47EC-B534-A12ADF0ABA96}"/>
    <cellStyle name="Normal 2 10 3 2 11" xfId="22354" xr:uid="{042B3E34-0C71-4118-868A-57EB9043D763}"/>
    <cellStyle name="Normal 2 10 3 2 12" xfId="22355" xr:uid="{11FCD11A-ACD7-4F2F-88EA-9B366D03B5EB}"/>
    <cellStyle name="Normal 2 10 3 2 2" xfId="22356" xr:uid="{F3AB2243-0814-4A19-952A-E54C57F654BF}"/>
    <cellStyle name="Normal 2 10 3 2 2 2" xfId="22357" xr:uid="{8A41888B-8E07-4E99-AD36-B4636F8F396F}"/>
    <cellStyle name="Normal 2 10 3 2 2 2 2" xfId="22358" xr:uid="{CF8928C9-A986-4D9E-BB8E-8853A39348EE}"/>
    <cellStyle name="Normal 2 10 3 2 2 2 3" xfId="22359" xr:uid="{9B782E46-5E12-4C48-9A30-5407F5E41A1F}"/>
    <cellStyle name="Normal 2 10 3 2 2 2 4" xfId="22360" xr:uid="{AADB43E6-FCC5-4ABF-B0A0-F06DA6850EA9}"/>
    <cellStyle name="Normal 2 10 3 2 2 2 5" xfId="22361" xr:uid="{B456D95F-D570-43B3-A0F3-AC6D02BFF073}"/>
    <cellStyle name="Normal 2 10 3 2 2 3" xfId="22362" xr:uid="{F1A434F5-3A0E-4F92-93DB-3849FD459166}"/>
    <cellStyle name="Normal 2 10 3 2 2 4" xfId="22363" xr:uid="{045051CC-8D56-4A2B-A9AC-21FAFAA47A39}"/>
    <cellStyle name="Normal 2 10 3 2 2 5" xfId="22364" xr:uid="{65B32B65-8CCE-4BCF-B459-30667B62CE2B}"/>
    <cellStyle name="Normal 2 10 3 2 2 6" xfId="22365" xr:uid="{8285E585-C6DC-4D20-8A9C-1853D4AECB0E}"/>
    <cellStyle name="Normal 2 10 3 2 3" xfId="22366" xr:uid="{AAA5D907-066C-41E8-9AC5-5F027481B242}"/>
    <cellStyle name="Normal 2 10 3 2 3 2" xfId="22367" xr:uid="{67B74257-123E-4693-B775-3D7A52868316}"/>
    <cellStyle name="Normal 2 10 3 2 3 2 2" xfId="22368" xr:uid="{7DF644D7-5190-4B40-A03A-D375E2A2FD12}"/>
    <cellStyle name="Normal 2 10 3 2 3 2 3" xfId="22369" xr:uid="{3B9F9AF5-5779-4D27-B466-E8009104C1A5}"/>
    <cellStyle name="Normal 2 10 3 2 3 2 4" xfId="22370" xr:uid="{32C77986-A9B5-4992-8723-255F2C887791}"/>
    <cellStyle name="Normal 2 10 3 2 3 2 5" xfId="22371" xr:uid="{8A27D24D-D1A3-45D8-82EE-4CA497E7312B}"/>
    <cellStyle name="Normal 2 10 3 2 3 3" xfId="22372" xr:uid="{1A076AE1-C9E9-4038-8012-CC2437D86F3B}"/>
    <cellStyle name="Normal 2 10 3 2 3 4" xfId="22373" xr:uid="{0F83E213-DE47-43BB-A0DE-E88D2CE2D5E2}"/>
    <cellStyle name="Normal 2 10 3 2 3 5" xfId="22374" xr:uid="{C515B6F6-28CA-47DD-9B6A-0FAD264C96EF}"/>
    <cellStyle name="Normal 2 10 3 2 3 6" xfId="22375" xr:uid="{755FA591-E5C2-4933-8A54-93A722EFD4C3}"/>
    <cellStyle name="Normal 2 10 3 2 4" xfId="22376" xr:uid="{2F200027-0A06-4EE3-8776-852A89E65829}"/>
    <cellStyle name="Normal 2 10 3 2 4 2" xfId="22377" xr:uid="{354F9663-961C-446A-A20B-6D967EDB8731}"/>
    <cellStyle name="Normal 2 10 3 2 4 2 2" xfId="22378" xr:uid="{2383C88E-61CD-4A0D-A425-24F6866EE1FA}"/>
    <cellStyle name="Normal 2 10 3 2 4 2 3" xfId="22379" xr:uid="{19A0EC02-F17E-439C-8817-2932E227274A}"/>
    <cellStyle name="Normal 2 10 3 2 4 2 4" xfId="22380" xr:uid="{5712265A-2544-40C3-9439-78F7D331F726}"/>
    <cellStyle name="Normal 2 10 3 2 4 2 5" xfId="22381" xr:uid="{2C8B7ED8-86CD-42BA-B79D-D9BA31220C90}"/>
    <cellStyle name="Normal 2 10 3 2 4 3" xfId="22382" xr:uid="{F6D4FE2F-1E33-47EF-8668-2A584A695113}"/>
    <cellStyle name="Normal 2 10 3 2 4 4" xfId="22383" xr:uid="{47B4C80B-7A94-4AEB-AE9B-30F5E47F4A83}"/>
    <cellStyle name="Normal 2 10 3 2 4 5" xfId="22384" xr:uid="{4438F52E-611F-4651-B6B0-EF25E917AD35}"/>
    <cellStyle name="Normal 2 10 3 2 4 6" xfId="22385" xr:uid="{5751A15E-302E-43A2-986C-F9CFE1CF186B}"/>
    <cellStyle name="Normal 2 10 3 2 5" xfId="22386" xr:uid="{59287778-2A6F-4875-BB05-2E3ECE952E2A}"/>
    <cellStyle name="Normal 2 10 3 2 5 2" xfId="22387" xr:uid="{A6187400-8F97-41FB-8DB8-EAFEB576F063}"/>
    <cellStyle name="Normal 2 10 3 2 5 3" xfId="22388" xr:uid="{E6749E95-6DDC-4E95-A2EB-292B45E000D0}"/>
    <cellStyle name="Normal 2 10 3 2 5 4" xfId="22389" xr:uid="{95740382-B899-4E72-BFD3-CFE8593B10C1}"/>
    <cellStyle name="Normal 2 10 3 2 5 5" xfId="22390" xr:uid="{DD789382-A626-4389-B12D-AEDE1BFB0324}"/>
    <cellStyle name="Normal 2 10 3 2 6" xfId="22391" xr:uid="{60223EDE-EA46-4693-961B-8F6F5C744CED}"/>
    <cellStyle name="Normal 2 10 3 2 6 2" xfId="22392" xr:uid="{4315BEC7-D421-43F3-81A0-5136F3BD247D}"/>
    <cellStyle name="Normal 2 10 3 2 6 3" xfId="22393" xr:uid="{54F680FE-AB4B-453F-9444-6E3105DE6FB7}"/>
    <cellStyle name="Normal 2 10 3 2 6 4" xfId="22394" xr:uid="{43F5B075-6677-47A8-BC4F-45584C9DCE7E}"/>
    <cellStyle name="Normal 2 10 3 2 6 5" xfId="22395" xr:uid="{5C6C4316-8BFE-4744-A06F-87B1E60EB41E}"/>
    <cellStyle name="Normal 2 10 3 2 7" xfId="22396" xr:uid="{3695E8D1-F7D9-48AB-9237-2D56178980C9}"/>
    <cellStyle name="Normal 2 10 3 2 7 2" xfId="22397" xr:uid="{F55BACC9-1DD6-4105-9CBD-E8C0C33BCD85}"/>
    <cellStyle name="Normal 2 10 3 2 7 3" xfId="22398" xr:uid="{C32C2320-B8CE-4E72-A4CE-645B56CDAB57}"/>
    <cellStyle name="Normal 2 10 3 2 7 4" xfId="22399" xr:uid="{78D7D200-0A54-4DDB-A399-3E78A0397293}"/>
    <cellStyle name="Normal 2 10 3 2 7 5" xfId="22400" xr:uid="{D6F4888F-6CF9-40CD-A977-20E370B35612}"/>
    <cellStyle name="Normal 2 10 3 2 8" xfId="22401" xr:uid="{07DC6966-85E3-4FC3-A589-E29C0B13D6C6}"/>
    <cellStyle name="Normal 2 10 3 2 8 2" xfId="22402" xr:uid="{2EFCA78C-D641-487E-BCED-034ED56443C2}"/>
    <cellStyle name="Normal 2 10 3 2 8 3" xfId="22403" xr:uid="{3CEAEB77-D425-4E06-B9A6-676692A1DD94}"/>
    <cellStyle name="Normal 2 10 3 2 8 4" xfId="22404" xr:uid="{B45D4E72-876D-4A21-A7E6-75DBF13B29E1}"/>
    <cellStyle name="Normal 2 10 3 2 8 5" xfId="22405" xr:uid="{D16DC110-EB50-4DA4-A399-6E58056280DF}"/>
    <cellStyle name="Normal 2 10 3 2 9" xfId="22406" xr:uid="{869EE1E2-836D-491E-AA47-24867C592FA2}"/>
    <cellStyle name="Normal 2 10 3 3" xfId="22407" xr:uid="{DD7130FC-DADF-4FAC-AE71-23741366E1FA}"/>
    <cellStyle name="Normal 2 10 3 3 2" xfId="22408" xr:uid="{283F124A-66C3-477C-89A1-D8C20453C159}"/>
    <cellStyle name="Normal 2 10 3 3 2 2" xfId="22409" xr:uid="{68FE35C9-EC45-492C-B94D-3B34FB70542C}"/>
    <cellStyle name="Normal 2 10 3 3 2 3" xfId="22410" xr:uid="{75F2C4EE-66C4-4E4B-A4C3-C76E9865F1BF}"/>
    <cellStyle name="Normal 2 10 3 3 2 4" xfId="22411" xr:uid="{CE2DC645-44AC-4DCB-83E5-03177E39F8E7}"/>
    <cellStyle name="Normal 2 10 3 3 2 5" xfId="22412" xr:uid="{FA081E3A-ADB9-480C-BD25-3FF940433A06}"/>
    <cellStyle name="Normal 2 10 3 3 3" xfId="22413" xr:uid="{82D94376-AEE6-4B53-9953-C4E2B533349C}"/>
    <cellStyle name="Normal 2 10 3 3 4" xfId="22414" xr:uid="{3902D010-2BCC-4841-853F-625D68F2A308}"/>
    <cellStyle name="Normal 2 10 3 3 5" xfId="22415" xr:uid="{2F749F79-C4AA-4A94-9791-D82E0D7D3185}"/>
    <cellStyle name="Normal 2 10 3 3 6" xfId="22416" xr:uid="{F24D8E37-4AB3-4D82-892F-E90796C258B2}"/>
    <cellStyle name="Normal 2 10 3 4" xfId="22417" xr:uid="{120D023D-FFB3-4D73-93FF-67FC8215634D}"/>
    <cellStyle name="Normal 2 10 3 4 2" xfId="22418" xr:uid="{8DD14D05-E71D-4F70-BB51-2FB3C3FBAC78}"/>
    <cellStyle name="Normal 2 10 3 4 2 2" xfId="22419" xr:uid="{ACE56B7F-67DC-4BA3-A9BE-ED409448EB02}"/>
    <cellStyle name="Normal 2 10 3 4 2 3" xfId="22420" xr:uid="{47402C8F-CB33-47C3-B152-85226939977E}"/>
    <cellStyle name="Normal 2 10 3 4 2 4" xfId="22421" xr:uid="{16448BB9-8662-4FDF-B382-5A11361BA5D0}"/>
    <cellStyle name="Normal 2 10 3 4 2 5" xfId="22422" xr:uid="{760AD6A6-B1D2-480F-8902-4D4D311A14A3}"/>
    <cellStyle name="Normal 2 10 3 4 3" xfId="22423" xr:uid="{A01E1253-1BCF-485B-B4E3-0F2096146695}"/>
    <cellStyle name="Normal 2 10 3 4 4" xfId="22424" xr:uid="{A9F764E6-C6D0-4CC2-ACB8-2E1EF10BB798}"/>
    <cellStyle name="Normal 2 10 3 4 5" xfId="22425" xr:uid="{F10AD9FA-6ABE-4389-9CBB-B9CE15A6D149}"/>
    <cellStyle name="Normal 2 10 3 4 6" xfId="22426" xr:uid="{DF051E28-8EE7-4B86-886C-86E07559B5EE}"/>
    <cellStyle name="Normal 2 10 3 5" xfId="22427" xr:uid="{B49F8266-FD7B-4E57-AC4F-6E617CA42184}"/>
    <cellStyle name="Normal 2 10 3 5 2" xfId="22428" xr:uid="{0B6056EF-A9A9-487B-BC61-69C4E09891B5}"/>
    <cellStyle name="Normal 2 10 3 5 2 2" xfId="22429" xr:uid="{AD5E4136-D00A-4F4C-A0D0-174102D7F43F}"/>
    <cellStyle name="Normal 2 10 3 5 2 3" xfId="22430" xr:uid="{3C7DC8A3-0968-4C8C-8C57-901ABB9F3D20}"/>
    <cellStyle name="Normal 2 10 3 5 2 4" xfId="22431" xr:uid="{F5AFDE6C-A584-4157-A723-B1F5F411E1C0}"/>
    <cellStyle name="Normal 2 10 3 5 2 5" xfId="22432" xr:uid="{A858020E-D00D-4805-8051-761515967405}"/>
    <cellStyle name="Normal 2 10 3 5 3" xfId="22433" xr:uid="{F1479F4F-6002-4C5D-8D3F-F46CAA42CBC2}"/>
    <cellStyle name="Normal 2 10 3 5 4" xfId="22434" xr:uid="{BA4D4CD5-FA41-4D9B-A6C4-54A9A0A4B949}"/>
    <cellStyle name="Normal 2 10 3 5 5" xfId="22435" xr:uid="{229A3D5A-3D7F-4D41-BC4B-41C6641B23B1}"/>
    <cellStyle name="Normal 2 10 3 5 6" xfId="22436" xr:uid="{8B96A3AF-D85B-4B3E-B01A-72F004084E84}"/>
    <cellStyle name="Normal 2 10 3 6" xfId="22437" xr:uid="{DA6F63AE-BB27-402B-8472-DC81BAC687DD}"/>
    <cellStyle name="Normal 2 10 3 6 2" xfId="22438" xr:uid="{89C5F437-779D-44CC-AE06-52A8EA86560A}"/>
    <cellStyle name="Normal 2 10 3 6 3" xfId="22439" xr:uid="{B06A6187-5F9B-4345-97AF-B445B4F22F4A}"/>
    <cellStyle name="Normal 2 10 3 6 4" xfId="22440" xr:uid="{56C38287-A9FF-4365-BE76-658AEE93C2AF}"/>
    <cellStyle name="Normal 2 10 3 6 5" xfId="22441" xr:uid="{62DF5DB4-B9C3-4612-8219-B2679A1D3FD7}"/>
    <cellStyle name="Normal 2 10 3 7" xfId="22442" xr:uid="{AF58616B-4CC3-4C1F-AF6D-98742B5A4CB7}"/>
    <cellStyle name="Normal 2 10 3 7 2" xfId="22443" xr:uid="{E108D894-B049-4E38-A179-1D9C72807B4F}"/>
    <cellStyle name="Normal 2 10 3 7 3" xfId="22444" xr:uid="{D92AE1C9-7CEA-461A-8039-EC4C4E514AE3}"/>
    <cellStyle name="Normal 2 10 3 7 4" xfId="22445" xr:uid="{52B4D361-4246-42AA-B4AF-4CA173A0C91B}"/>
    <cellStyle name="Normal 2 10 3 7 5" xfId="22446" xr:uid="{627C6A57-89B9-4BC1-825D-78CDF9A61693}"/>
    <cellStyle name="Normal 2 10 3 8" xfId="22447" xr:uid="{DAADF913-63E4-497F-B5A6-5C3536CBB088}"/>
    <cellStyle name="Normal 2 10 3 8 2" xfId="22448" xr:uid="{30EF1660-8FBC-4AB6-984F-8C72D8ECB72C}"/>
    <cellStyle name="Normal 2 10 3 8 3" xfId="22449" xr:uid="{A62BE03F-B54A-43F9-9BCD-AB3C5FEBFF44}"/>
    <cellStyle name="Normal 2 10 3 8 4" xfId="22450" xr:uid="{4C12866E-EE94-4277-8600-B8E5DAF49A88}"/>
    <cellStyle name="Normal 2 10 3 8 5" xfId="22451" xr:uid="{7AFE03BA-FCB6-4BCB-BC54-C48F6C237D87}"/>
    <cellStyle name="Normal 2 10 3 9" xfId="22452" xr:uid="{2E2CC2C7-672A-4AF4-ABF8-217367B97B8A}"/>
    <cellStyle name="Normal 2 10 3 9 2" xfId="22453" xr:uid="{79925500-16A2-4168-8096-C20E5BA52EF4}"/>
    <cellStyle name="Normal 2 10 3 9 3" xfId="22454" xr:uid="{4F5554F8-96F2-406F-8B3C-8642F7147816}"/>
    <cellStyle name="Normal 2 10 3 9 4" xfId="22455" xr:uid="{9C176111-E1C1-449E-BDFD-D56EF17AB26D}"/>
    <cellStyle name="Normal 2 10 3 9 5" xfId="22456" xr:uid="{8C5A2490-9F05-415C-B1DC-941F13DBBD4E}"/>
    <cellStyle name="Normal 2 10 4" xfId="22457" xr:uid="{800E3A8F-9E0B-471F-8D1A-EF77F46EC41C}"/>
    <cellStyle name="Normal 2 10 4 10" xfId="22458" xr:uid="{A4640C9C-DFB4-4557-B63F-801EBAC6156A}"/>
    <cellStyle name="Normal 2 10 4 11" xfId="22459" xr:uid="{EE50387E-816A-4B95-B0D6-533AAB5CD7AE}"/>
    <cellStyle name="Normal 2 10 4 12" xfId="22460" xr:uid="{A479950D-C1E0-4865-B00F-9F1C400CEFD8}"/>
    <cellStyle name="Normal 2 10 4 2" xfId="22461" xr:uid="{0C29EC06-1367-495C-9234-8969C40CC47A}"/>
    <cellStyle name="Normal 2 10 4 2 2" xfId="22462" xr:uid="{CA6D528D-1018-4EE0-B671-9DB45A3B8382}"/>
    <cellStyle name="Normal 2 10 4 2 2 2" xfId="22463" xr:uid="{EACB7093-2765-4B90-AC46-B3B2B97CB6AF}"/>
    <cellStyle name="Normal 2 10 4 2 2 3" xfId="22464" xr:uid="{7087403C-EF3F-48DB-BAFC-9A13F8990911}"/>
    <cellStyle name="Normal 2 10 4 2 2 4" xfId="22465" xr:uid="{B2C65A1F-5389-46C4-A70A-E9D9D6588DA2}"/>
    <cellStyle name="Normal 2 10 4 2 2 5" xfId="22466" xr:uid="{4B58637B-F991-4EA2-A763-502F49CA207B}"/>
    <cellStyle name="Normal 2 10 4 2 3" xfId="22467" xr:uid="{E1DF8294-97DA-4A11-8BB7-9DAC91442F3B}"/>
    <cellStyle name="Normal 2 10 4 2 4" xfId="22468" xr:uid="{ED3E8E0A-10E3-42C6-8779-AAEFE0CC94C9}"/>
    <cellStyle name="Normal 2 10 4 2 5" xfId="22469" xr:uid="{A9E50356-2709-48C2-BF0E-6B434E31386F}"/>
    <cellStyle name="Normal 2 10 4 2 6" xfId="22470" xr:uid="{D6DE8886-2311-401F-A1F1-00783CEB007D}"/>
    <cellStyle name="Normal 2 10 4 3" xfId="22471" xr:uid="{26367093-DCFD-4DF9-89DE-43BC6F0A8DA2}"/>
    <cellStyle name="Normal 2 10 4 3 2" xfId="22472" xr:uid="{6EB1D36A-DB09-4641-9AEB-059D7B64F768}"/>
    <cellStyle name="Normal 2 10 4 3 2 2" xfId="22473" xr:uid="{82C24729-10BC-4A3E-99A0-A8DB5451151B}"/>
    <cellStyle name="Normal 2 10 4 3 2 3" xfId="22474" xr:uid="{8CFA22EF-0E94-4EB0-A69D-F25BB77F3F09}"/>
    <cellStyle name="Normal 2 10 4 3 2 4" xfId="22475" xr:uid="{53FFC55A-FA06-4106-8927-F2FD81CA2F7A}"/>
    <cellStyle name="Normal 2 10 4 3 2 5" xfId="22476" xr:uid="{EA2EADB0-B6D3-46E8-AF9E-FCC3D73B747F}"/>
    <cellStyle name="Normal 2 10 4 3 3" xfId="22477" xr:uid="{44F3CFE4-1420-4EC9-BA63-917CE61FC480}"/>
    <cellStyle name="Normal 2 10 4 3 4" xfId="22478" xr:uid="{3A30D1ED-B9E8-42A6-B2C5-9C432C95A271}"/>
    <cellStyle name="Normal 2 10 4 3 5" xfId="22479" xr:uid="{0690150C-DC60-4879-91FB-3B93FA9440A4}"/>
    <cellStyle name="Normal 2 10 4 3 6" xfId="22480" xr:uid="{8DA62A6D-1BEE-4C4E-82F9-47927AF8E565}"/>
    <cellStyle name="Normal 2 10 4 4" xfId="22481" xr:uid="{CB2A6803-EDF4-42CD-884B-AB107C629ADE}"/>
    <cellStyle name="Normal 2 10 4 4 2" xfId="22482" xr:uid="{A2AD7FF4-E11F-4101-AC9A-787188E2BA9D}"/>
    <cellStyle name="Normal 2 10 4 4 2 2" xfId="22483" xr:uid="{47D7DB30-F41D-46D2-A9F8-2898BADDD231}"/>
    <cellStyle name="Normal 2 10 4 4 2 3" xfId="22484" xr:uid="{9D0ED1A2-1225-4E76-9A7E-4E08B4811EA7}"/>
    <cellStyle name="Normal 2 10 4 4 2 4" xfId="22485" xr:uid="{E52FA50D-7681-4812-9970-F5A727B0C7A7}"/>
    <cellStyle name="Normal 2 10 4 4 2 5" xfId="22486" xr:uid="{0094E816-6824-4A98-9759-BB54C8E1834D}"/>
    <cellStyle name="Normal 2 10 4 4 3" xfId="22487" xr:uid="{C4D4E52C-BCE8-4D1D-A1D3-7486406D5DB3}"/>
    <cellStyle name="Normal 2 10 4 4 4" xfId="22488" xr:uid="{4AA75D88-A538-4DC6-A32C-77607D0A4E09}"/>
    <cellStyle name="Normal 2 10 4 4 5" xfId="22489" xr:uid="{50C0AA0B-25E4-4703-B3FD-2AD5F91A2834}"/>
    <cellStyle name="Normal 2 10 4 4 6" xfId="22490" xr:uid="{2510D3E7-633C-42BA-9DB9-DB5F8C424C99}"/>
    <cellStyle name="Normal 2 10 4 5" xfId="22491" xr:uid="{11633C41-B9CD-40CB-AAF4-3B60B2A31805}"/>
    <cellStyle name="Normal 2 10 4 5 2" xfId="22492" xr:uid="{49432389-5839-49A5-977B-6560E729FDB4}"/>
    <cellStyle name="Normal 2 10 4 5 3" xfId="22493" xr:uid="{766ADED3-B7B3-4EDC-BB7A-919C4B4A3C9A}"/>
    <cellStyle name="Normal 2 10 4 5 4" xfId="22494" xr:uid="{8AD4FD4B-301C-4510-8FD2-F1C01D6DBEB4}"/>
    <cellStyle name="Normal 2 10 4 5 5" xfId="22495" xr:uid="{25630402-28D3-4C26-A5A5-418E1E6EC6D7}"/>
    <cellStyle name="Normal 2 10 4 6" xfId="22496" xr:uid="{842F1D7F-7C40-4F6F-9A96-1FCFCD4B13DA}"/>
    <cellStyle name="Normal 2 10 4 6 2" xfId="22497" xr:uid="{43BE763E-4FBE-44F1-9272-A4E4F5753899}"/>
    <cellStyle name="Normal 2 10 4 6 3" xfId="22498" xr:uid="{84F2B442-F4F5-4B72-AA73-EF3A10D6B919}"/>
    <cellStyle name="Normal 2 10 4 6 4" xfId="22499" xr:uid="{3AEBD576-24D3-4921-97B3-002A1FF26570}"/>
    <cellStyle name="Normal 2 10 4 6 5" xfId="22500" xr:uid="{59CE6AEE-E695-443A-9E33-FF6030D001D9}"/>
    <cellStyle name="Normal 2 10 4 7" xfId="22501" xr:uid="{3745EEB7-3657-4ED8-9A35-7819B5A57128}"/>
    <cellStyle name="Normal 2 10 4 7 2" xfId="22502" xr:uid="{CF6ACD56-A208-4A85-B649-8E2E01812F92}"/>
    <cellStyle name="Normal 2 10 4 7 3" xfId="22503" xr:uid="{C7C5F57B-625D-4DB2-ACBA-55B4178FB0E4}"/>
    <cellStyle name="Normal 2 10 4 7 4" xfId="22504" xr:uid="{75DC6219-4485-41C6-AB69-ABE62FAE4114}"/>
    <cellStyle name="Normal 2 10 4 7 5" xfId="22505" xr:uid="{C58CB06F-47F2-4174-83D6-845882C31720}"/>
    <cellStyle name="Normal 2 10 4 8" xfId="22506" xr:uid="{406393CD-73F0-4631-A90E-1F23E782DD3C}"/>
    <cellStyle name="Normal 2 10 4 8 2" xfId="22507" xr:uid="{64208333-788F-4770-A8A2-253E03DF20B6}"/>
    <cellStyle name="Normal 2 10 4 8 3" xfId="22508" xr:uid="{1CE0C053-9295-4166-96E6-8E5127EF3320}"/>
    <cellStyle name="Normal 2 10 4 8 4" xfId="22509" xr:uid="{D448FC36-EF32-4E18-B554-FF020C28D7FF}"/>
    <cellStyle name="Normal 2 10 4 8 5" xfId="22510" xr:uid="{EC625862-07C0-46B5-84D6-952792769A71}"/>
    <cellStyle name="Normal 2 10 4 9" xfId="22511" xr:uid="{2B919960-33ED-4304-8926-4F404858D363}"/>
    <cellStyle name="Normal 2 10 5" xfId="22512" xr:uid="{E416101A-6A0E-485A-8662-4A5C9894D0DC}"/>
    <cellStyle name="Normal 2 10 5 2" xfId="22513" xr:uid="{F4B7F1C1-EF91-4B5C-B966-A63E0C731400}"/>
    <cellStyle name="Normal 2 10 5 2 2" xfId="22514" xr:uid="{FEC867EB-A258-49C8-A037-0FBD922A8A46}"/>
    <cellStyle name="Normal 2 10 5 2 3" xfId="22515" xr:uid="{9D4D070F-803F-498A-9657-3BCAA68B78C5}"/>
    <cellStyle name="Normal 2 10 5 2 4" xfId="22516" xr:uid="{62F8B719-EA76-457F-A99C-B03CBD56FEC4}"/>
    <cellStyle name="Normal 2 10 5 2 5" xfId="22517" xr:uid="{A1FF2D45-DE94-4AD1-914E-43D1ED3D4C49}"/>
    <cellStyle name="Normal 2 10 5 3" xfId="22518" xr:uid="{6E489880-0E71-416C-AD65-55FB79BAF8CD}"/>
    <cellStyle name="Normal 2 10 5 4" xfId="22519" xr:uid="{59BBDB22-725F-46A7-857D-B2AC48D98B64}"/>
    <cellStyle name="Normal 2 10 5 5" xfId="22520" xr:uid="{69ED0DA9-CF7C-442A-BBBD-D686AF6E9C18}"/>
    <cellStyle name="Normal 2 10 5 6" xfId="22521" xr:uid="{8025195F-B2E3-4409-A6A3-77713651027E}"/>
    <cellStyle name="Normal 2 10 6" xfId="22522" xr:uid="{B6FFDB3D-AB13-475F-9658-CAEDFA919D0E}"/>
    <cellStyle name="Normal 2 10 6 2" xfId="22523" xr:uid="{A8B81FD5-51B2-46EB-A42C-B485847F5921}"/>
    <cellStyle name="Normal 2 10 6 2 2" xfId="22524" xr:uid="{DF03A3AD-49AD-4FC1-9012-A75B854323C4}"/>
    <cellStyle name="Normal 2 10 6 2 3" xfId="22525" xr:uid="{FC9F8C17-9CAD-495F-9BCB-BA4E2F8BEFE3}"/>
    <cellStyle name="Normal 2 10 6 2 4" xfId="22526" xr:uid="{48955BF7-CDE0-417F-8DEE-5CE8AA2894EA}"/>
    <cellStyle name="Normal 2 10 6 2 5" xfId="22527" xr:uid="{506E31F6-E24A-4122-8708-1A86CD8EA4AB}"/>
    <cellStyle name="Normal 2 10 6 3" xfId="22528" xr:uid="{E01EED10-83C4-403E-AA80-6BFEFEDFBF05}"/>
    <cellStyle name="Normal 2 10 6 4" xfId="22529" xr:uid="{C5DB49FC-2DE8-4AEA-8EA4-2DE500EB921C}"/>
    <cellStyle name="Normal 2 10 6 5" xfId="22530" xr:uid="{DD3DC154-3B6F-48C8-B43F-0C66DA5C936F}"/>
    <cellStyle name="Normal 2 10 6 6" xfId="22531" xr:uid="{5E945AFB-61FE-4AAA-BB02-FAEA4498E541}"/>
    <cellStyle name="Normal 2 10 7" xfId="22532" xr:uid="{3338459A-1F10-4D7D-A2B8-C3485B6182C3}"/>
    <cellStyle name="Normal 2 10 7 2" xfId="22533" xr:uid="{81589732-A805-40F3-B9DA-AF9581FAB6E8}"/>
    <cellStyle name="Normal 2 10 7 2 2" xfId="22534" xr:uid="{AD48FEBC-C2B8-4E73-B720-F2E32D95CE3D}"/>
    <cellStyle name="Normal 2 10 7 2 3" xfId="22535" xr:uid="{E96DED98-4C9F-4E96-A618-C205FFCF83B1}"/>
    <cellStyle name="Normal 2 10 7 2 4" xfId="22536" xr:uid="{B44D4892-F9A8-4713-9115-C2AC5FB16553}"/>
    <cellStyle name="Normal 2 10 7 2 5" xfId="22537" xr:uid="{07A4B670-B264-4780-98A6-69FB7C8B032D}"/>
    <cellStyle name="Normal 2 10 7 3" xfId="22538" xr:uid="{773E9E31-D138-45B4-A115-81D7085A0EFC}"/>
    <cellStyle name="Normal 2 10 7 4" xfId="22539" xr:uid="{6355BF6B-8375-46A8-9FEE-DB80DD7E8085}"/>
    <cellStyle name="Normal 2 10 7 5" xfId="22540" xr:uid="{16DC2C46-7829-4DD1-B32F-F00FFC2336B3}"/>
    <cellStyle name="Normal 2 10 7 6" xfId="22541" xr:uid="{CA211C6F-8D14-4B22-829D-FBB84FA8B7B8}"/>
    <cellStyle name="Normal 2 10 8" xfId="22542" xr:uid="{0357DF9D-3B1F-465C-ACAC-D2A38FAD0393}"/>
    <cellStyle name="Normal 2 10 8 2" xfId="22543" xr:uid="{5F94BC9D-0EA8-4B4D-84AB-E4DAAD1857EA}"/>
    <cellStyle name="Normal 2 10 8 3" xfId="22544" xr:uid="{884A8194-2603-45D9-84B4-CED01EB6D8CE}"/>
    <cellStyle name="Normal 2 10 8 4" xfId="22545" xr:uid="{DDB305D3-C7BC-4B1C-845B-13C9FF94DA18}"/>
    <cellStyle name="Normal 2 10 8 5" xfId="22546" xr:uid="{B2411F0C-8481-4980-A534-6BFB7A741DB5}"/>
    <cellStyle name="Normal 2 10 9" xfId="22547" xr:uid="{9CE11FAC-0B47-4424-BCF8-5299FF5888A7}"/>
    <cellStyle name="Normal 2 10 9 2" xfId="22548" xr:uid="{82741B9D-AB20-45A2-8B84-835036BB45B2}"/>
    <cellStyle name="Normal 2 10 9 3" xfId="22549" xr:uid="{0B710F61-1892-4226-86F5-F2E90E8A2E42}"/>
    <cellStyle name="Normal 2 10 9 4" xfId="22550" xr:uid="{B7CAFBA2-B560-4756-8CC2-6E92D0CF2A72}"/>
    <cellStyle name="Normal 2 10 9 5" xfId="22551" xr:uid="{63B93C1F-BFFE-4F83-9754-DEE80E8FDAB0}"/>
    <cellStyle name="Normal 2 11" xfId="224" xr:uid="{02D8903E-3137-4C31-BE85-EC4F44D96893}"/>
    <cellStyle name="Normal 2 11 10" xfId="22552" xr:uid="{7BDEB779-89CE-45B7-9758-A80C9C74B7E9}"/>
    <cellStyle name="Normal 2 11 10 2" xfId="22553" xr:uid="{4E834935-3DE3-40C4-BA21-359363322BD4}"/>
    <cellStyle name="Normal 2 11 10 3" xfId="22554" xr:uid="{23AAFC21-427B-448D-B5AA-28D0B93CCBE7}"/>
    <cellStyle name="Normal 2 11 10 4" xfId="22555" xr:uid="{39D9BC0A-2EDF-4812-85AE-4D07660A76D3}"/>
    <cellStyle name="Normal 2 11 10 5" xfId="22556" xr:uid="{E4A88A71-1D27-4398-8845-4D08FC7F909B}"/>
    <cellStyle name="Normal 2 11 11" xfId="22557" xr:uid="{66B4637D-31E8-4A60-91A7-0C1E9192288C}"/>
    <cellStyle name="Normal 2 11 11 2" xfId="22558" xr:uid="{62478505-C4BD-48BA-847E-A5D3B1C80AA5}"/>
    <cellStyle name="Normal 2 11 11 3" xfId="22559" xr:uid="{23140B62-25FE-46FE-8084-1A8E6B2FCF86}"/>
    <cellStyle name="Normal 2 11 11 4" xfId="22560" xr:uid="{6B7FF108-886B-4A55-9716-71EB5767D8A0}"/>
    <cellStyle name="Normal 2 11 11 5" xfId="22561" xr:uid="{1A11A142-A67A-4988-A1EE-72FD3062F1BF}"/>
    <cellStyle name="Normal 2 11 12" xfId="22562" xr:uid="{D8CCAB2A-E34E-43BB-AEC9-4D914BCA923C}"/>
    <cellStyle name="Normal 2 11 13" xfId="22563" xr:uid="{46210D67-194B-4E01-BD4A-2E9CF81195FD}"/>
    <cellStyle name="Normal 2 11 14" xfId="22564" xr:uid="{D0AD0A5F-420E-4B99-94DF-5C8623C4A390}"/>
    <cellStyle name="Normal 2 11 15" xfId="22565" xr:uid="{6CC5D458-F8A2-4FEE-9033-32EC99C34396}"/>
    <cellStyle name="Normal 2 11 2" xfId="22566" xr:uid="{CDCB53F6-7681-4C11-9FCA-5DED6BE78320}"/>
    <cellStyle name="Normal 2 11 2 10" xfId="22567" xr:uid="{2561B9EC-6646-4EEC-BDA9-CE63D0CDDACF}"/>
    <cellStyle name="Normal 2 11 2 10 2" xfId="22568" xr:uid="{EBEE689F-2FB8-4C1B-AD65-2052EBC43D37}"/>
    <cellStyle name="Normal 2 11 2 10 3" xfId="22569" xr:uid="{6939150C-02F1-4DD1-8A72-0B1AD18C61FE}"/>
    <cellStyle name="Normal 2 11 2 10 4" xfId="22570" xr:uid="{B919D362-0FD5-4359-BEDF-37FF56A7B387}"/>
    <cellStyle name="Normal 2 11 2 10 5" xfId="22571" xr:uid="{ACCF82BA-C5A7-4DEC-99D5-856E94876F47}"/>
    <cellStyle name="Normal 2 11 2 11" xfId="22572" xr:uid="{570ACE72-18A6-4C7D-A335-C96BAA45914E}"/>
    <cellStyle name="Normal 2 11 2 12" xfId="22573" xr:uid="{58F0F504-56DC-4675-9B0B-6C0014C4B6DA}"/>
    <cellStyle name="Normal 2 11 2 13" xfId="22574" xr:uid="{584906CF-2AFB-456A-ACFE-284E798026AC}"/>
    <cellStyle name="Normal 2 11 2 14" xfId="22575" xr:uid="{F8B391BC-8836-4ABC-A985-11A2F60602D0}"/>
    <cellStyle name="Normal 2 11 2 2" xfId="22576" xr:uid="{F0EEAC5A-5E73-4B27-9EC7-613A11BB8E4A}"/>
    <cellStyle name="Normal 2 11 2 2 10" xfId="22577" xr:uid="{D48979E4-9FE8-41FF-B1E3-C96D2AA33CFB}"/>
    <cellStyle name="Normal 2 11 2 2 11" xfId="22578" xr:uid="{A9347913-B41B-4846-9274-60984697CBBE}"/>
    <cellStyle name="Normal 2 11 2 2 12" xfId="22579" xr:uid="{FE1236D1-B23B-4644-BEB4-1CD021B340FA}"/>
    <cellStyle name="Normal 2 11 2 2 13" xfId="22580" xr:uid="{2A0F3A06-2A73-4369-B77E-60629351EE7B}"/>
    <cellStyle name="Normal 2 11 2 2 2" xfId="22581" xr:uid="{9602A34D-CC54-46BD-83A6-BE6BCFCE7E10}"/>
    <cellStyle name="Normal 2 11 2 2 2 10" xfId="22582" xr:uid="{D84F6E1F-B145-4419-8257-7F2F6C431FDE}"/>
    <cellStyle name="Normal 2 11 2 2 2 11" xfId="22583" xr:uid="{8CA488A9-140D-4450-B46E-541CA9E8D3B0}"/>
    <cellStyle name="Normal 2 11 2 2 2 12" xfId="22584" xr:uid="{560B1517-714D-48C7-9C81-3D331D9B3290}"/>
    <cellStyle name="Normal 2 11 2 2 2 2" xfId="22585" xr:uid="{080BBE1A-FDBE-4305-90D4-707DD9586996}"/>
    <cellStyle name="Normal 2 11 2 2 2 2 2" xfId="22586" xr:uid="{411B713F-274A-4F4E-8640-617706EE0F90}"/>
    <cellStyle name="Normal 2 11 2 2 2 2 2 2" xfId="22587" xr:uid="{EE7925D1-D1CF-4269-9185-67D7FE2E26E2}"/>
    <cellStyle name="Normal 2 11 2 2 2 2 2 3" xfId="22588" xr:uid="{2B36559E-23E2-4002-AD96-068DA9AC3D1F}"/>
    <cellStyle name="Normal 2 11 2 2 2 2 2 4" xfId="22589" xr:uid="{DE3A1C4B-4564-45DD-9EA7-1B9EF5A97FC8}"/>
    <cellStyle name="Normal 2 11 2 2 2 2 2 5" xfId="22590" xr:uid="{8AAAB4EF-B4E0-4718-90DB-677301F04986}"/>
    <cellStyle name="Normal 2 11 2 2 2 2 3" xfId="22591" xr:uid="{F3AC6ABB-8367-4A38-BB6C-7ACFC6E2FF93}"/>
    <cellStyle name="Normal 2 11 2 2 2 2 4" xfId="22592" xr:uid="{D528D678-4B4C-4C04-BEEE-A380A65EF73D}"/>
    <cellStyle name="Normal 2 11 2 2 2 2 5" xfId="22593" xr:uid="{AA13E189-52BE-4D73-93BB-930273B4FE40}"/>
    <cellStyle name="Normal 2 11 2 2 2 2 6" xfId="22594" xr:uid="{74D4AE80-B113-4BB2-B35A-1B534A325957}"/>
    <cellStyle name="Normal 2 11 2 2 2 3" xfId="22595" xr:uid="{AE401C1D-B9D2-459E-BFFD-24F109075FAC}"/>
    <cellStyle name="Normal 2 11 2 2 2 3 2" xfId="22596" xr:uid="{C8A5BEF3-C869-4EA1-8E09-17AB9D58320C}"/>
    <cellStyle name="Normal 2 11 2 2 2 3 2 2" xfId="22597" xr:uid="{CBA378A9-5F97-40FE-8915-48A193B5B499}"/>
    <cellStyle name="Normal 2 11 2 2 2 3 2 3" xfId="22598" xr:uid="{81586D67-32B0-41F9-86CF-FA4D6597D5D5}"/>
    <cellStyle name="Normal 2 11 2 2 2 3 2 4" xfId="22599" xr:uid="{0441C45C-8BE6-414F-97E8-DCE48BA81B41}"/>
    <cellStyle name="Normal 2 11 2 2 2 3 2 5" xfId="22600" xr:uid="{D8232700-1868-4D27-A444-0885F462FCDB}"/>
    <cellStyle name="Normal 2 11 2 2 2 3 3" xfId="22601" xr:uid="{74A879BA-ED72-4EC2-B31B-DFBB105AFE24}"/>
    <cellStyle name="Normal 2 11 2 2 2 3 4" xfId="22602" xr:uid="{F086CEBD-FD14-4C9A-9D59-2D98E66D5C1F}"/>
    <cellStyle name="Normal 2 11 2 2 2 3 5" xfId="22603" xr:uid="{52B9A77E-3D9A-4BEA-86EE-C41BC99D7C7B}"/>
    <cellStyle name="Normal 2 11 2 2 2 3 6" xfId="22604" xr:uid="{78E71DE2-19A7-4FA8-85FA-5AAD0EF8CF2F}"/>
    <cellStyle name="Normal 2 11 2 2 2 4" xfId="22605" xr:uid="{0B94F6AB-EA0E-4C87-9E39-12BDC05AE503}"/>
    <cellStyle name="Normal 2 11 2 2 2 4 2" xfId="22606" xr:uid="{4F274D33-0E3A-498A-91C4-04F93DB1CFAF}"/>
    <cellStyle name="Normal 2 11 2 2 2 4 2 2" xfId="22607" xr:uid="{834D9E02-591A-4B94-8A73-25F942346E09}"/>
    <cellStyle name="Normal 2 11 2 2 2 4 2 3" xfId="22608" xr:uid="{9EDD2B18-E121-4123-B722-6E7607F23FAB}"/>
    <cellStyle name="Normal 2 11 2 2 2 4 2 4" xfId="22609" xr:uid="{B707AFBE-5AEE-4C5D-8788-4F616E3DF37F}"/>
    <cellStyle name="Normal 2 11 2 2 2 4 2 5" xfId="22610" xr:uid="{CDB1728F-0F63-449D-8825-F5A7A101657C}"/>
    <cellStyle name="Normal 2 11 2 2 2 4 3" xfId="22611" xr:uid="{2264F62A-93A9-4494-9888-298203504B79}"/>
    <cellStyle name="Normal 2 11 2 2 2 4 4" xfId="22612" xr:uid="{5B1F0F0F-BE24-40A2-827B-30E2465B4D14}"/>
    <cellStyle name="Normal 2 11 2 2 2 4 5" xfId="22613" xr:uid="{380A4284-ECC6-4FB2-8AC5-F9BBB6D35AAD}"/>
    <cellStyle name="Normal 2 11 2 2 2 4 6" xfId="22614" xr:uid="{13873E85-DCFB-405F-930F-E9E2E8E705DC}"/>
    <cellStyle name="Normal 2 11 2 2 2 5" xfId="22615" xr:uid="{65FD429A-9C70-4DC4-BEA9-8B5F936D76F9}"/>
    <cellStyle name="Normal 2 11 2 2 2 5 2" xfId="22616" xr:uid="{8243E3E4-D19A-48B8-A185-1622E813075D}"/>
    <cellStyle name="Normal 2 11 2 2 2 5 3" xfId="22617" xr:uid="{510B6C73-B174-419E-8BFC-CD4D22055B07}"/>
    <cellStyle name="Normal 2 11 2 2 2 5 4" xfId="22618" xr:uid="{7ED99A17-06EE-4CC1-8B32-A39CB45DD3C6}"/>
    <cellStyle name="Normal 2 11 2 2 2 5 5" xfId="22619" xr:uid="{B8D1CE59-93BC-4623-9D51-D999E4FAF12A}"/>
    <cellStyle name="Normal 2 11 2 2 2 6" xfId="22620" xr:uid="{9E3030A9-4EC5-4845-9F93-9B96503E00D6}"/>
    <cellStyle name="Normal 2 11 2 2 2 6 2" xfId="22621" xr:uid="{9034D566-77B4-4C5C-865A-8EE426999DF5}"/>
    <cellStyle name="Normal 2 11 2 2 2 6 3" xfId="22622" xr:uid="{2AC7EF5D-6DF0-4E8B-9B36-1CA3B0588231}"/>
    <cellStyle name="Normal 2 11 2 2 2 6 4" xfId="22623" xr:uid="{3BE5D9FC-BA02-40E9-967B-768FF269991D}"/>
    <cellStyle name="Normal 2 11 2 2 2 6 5" xfId="22624" xr:uid="{41958739-424C-49D6-984B-4513B0BFDC66}"/>
    <cellStyle name="Normal 2 11 2 2 2 7" xfId="22625" xr:uid="{5675BB24-46A7-4010-AACC-6AA25CBAD510}"/>
    <cellStyle name="Normal 2 11 2 2 2 7 2" xfId="22626" xr:uid="{31E0E8AE-974E-4867-A913-B8BB84BE3173}"/>
    <cellStyle name="Normal 2 11 2 2 2 7 3" xfId="22627" xr:uid="{94B0CD63-4A56-4382-AB3A-1330093F774A}"/>
    <cellStyle name="Normal 2 11 2 2 2 7 4" xfId="22628" xr:uid="{FFF229AE-D571-4C17-8ACD-2BDAAE4004AB}"/>
    <cellStyle name="Normal 2 11 2 2 2 7 5" xfId="22629" xr:uid="{1B6BB6E8-00FF-4024-A685-89BE76BC7E8C}"/>
    <cellStyle name="Normal 2 11 2 2 2 8" xfId="22630" xr:uid="{CE353046-5042-43C2-852D-46B611B9B2AC}"/>
    <cellStyle name="Normal 2 11 2 2 2 8 2" xfId="22631" xr:uid="{C2EDEC55-264A-4A74-B123-B005EEA0D003}"/>
    <cellStyle name="Normal 2 11 2 2 2 8 3" xfId="22632" xr:uid="{115FC424-26CA-4451-B6FD-C2D8C5117781}"/>
    <cellStyle name="Normal 2 11 2 2 2 8 4" xfId="22633" xr:uid="{7E09E16F-EEA5-46E1-B53E-FA281C146E4D}"/>
    <cellStyle name="Normal 2 11 2 2 2 8 5" xfId="22634" xr:uid="{16DD599A-6063-49E6-BF2F-6F1FF8DAAD8B}"/>
    <cellStyle name="Normal 2 11 2 2 2 9" xfId="22635" xr:uid="{96CC8504-555B-486F-AA18-95E0F5B68574}"/>
    <cellStyle name="Normal 2 11 2 2 3" xfId="22636" xr:uid="{9C1676E4-CC2D-4195-A4F4-20035A3ED587}"/>
    <cellStyle name="Normal 2 11 2 2 3 2" xfId="22637" xr:uid="{CB9D4130-2502-4810-92C2-FCE3FCA9A77B}"/>
    <cellStyle name="Normal 2 11 2 2 3 2 2" xfId="22638" xr:uid="{CB33F087-4D26-4FAA-9539-0B6F6EFC4079}"/>
    <cellStyle name="Normal 2 11 2 2 3 2 3" xfId="22639" xr:uid="{0A0983CB-C3CF-49A6-92C2-9648969A1464}"/>
    <cellStyle name="Normal 2 11 2 2 3 2 4" xfId="22640" xr:uid="{57310447-D8D1-422B-B61B-3F04B5D7CA46}"/>
    <cellStyle name="Normal 2 11 2 2 3 2 5" xfId="22641" xr:uid="{DF79BCEB-947A-4618-9615-B89AC6FCD8B5}"/>
    <cellStyle name="Normal 2 11 2 2 3 3" xfId="22642" xr:uid="{EAD95E8E-E30F-4E28-8A15-D9DEEDACB9D0}"/>
    <cellStyle name="Normal 2 11 2 2 3 4" xfId="22643" xr:uid="{03E47F53-6756-402F-8CAA-E600176BA21A}"/>
    <cellStyle name="Normal 2 11 2 2 3 5" xfId="22644" xr:uid="{353241E4-30AB-475D-8048-6E9AD73C640A}"/>
    <cellStyle name="Normal 2 11 2 2 3 6" xfId="22645" xr:uid="{B154205A-BC13-4CD1-93BD-0C9F102A8EB8}"/>
    <cellStyle name="Normal 2 11 2 2 4" xfId="22646" xr:uid="{C119D09A-6AC4-4AB0-A30E-CAE4E21BC82D}"/>
    <cellStyle name="Normal 2 11 2 2 4 2" xfId="22647" xr:uid="{9B6A3945-4FB9-48E1-AFC7-6BE588BC2776}"/>
    <cellStyle name="Normal 2 11 2 2 4 2 2" xfId="22648" xr:uid="{8D1D0B71-E52F-4FA2-B8D8-B09681A14270}"/>
    <cellStyle name="Normal 2 11 2 2 4 2 3" xfId="22649" xr:uid="{EC553599-FCBC-42FC-81E3-C89F25E737A6}"/>
    <cellStyle name="Normal 2 11 2 2 4 2 4" xfId="22650" xr:uid="{038A9BB1-723D-43CD-84E2-40138317B4C0}"/>
    <cellStyle name="Normal 2 11 2 2 4 2 5" xfId="22651" xr:uid="{4B35376C-85C9-41F7-B5B5-D0755FEBBF6D}"/>
    <cellStyle name="Normal 2 11 2 2 4 3" xfId="22652" xr:uid="{2C989078-5C43-4144-8793-A1B2E81F674B}"/>
    <cellStyle name="Normal 2 11 2 2 4 4" xfId="22653" xr:uid="{32DB315C-BEAA-43C1-8DFB-1720E5F109F9}"/>
    <cellStyle name="Normal 2 11 2 2 4 5" xfId="22654" xr:uid="{F51BEF02-8886-4DEB-B9C1-3B3A84A288F4}"/>
    <cellStyle name="Normal 2 11 2 2 4 6" xfId="22655" xr:uid="{D86D15AF-AC34-4FAA-8E45-AAC6ADD3871C}"/>
    <cellStyle name="Normal 2 11 2 2 5" xfId="22656" xr:uid="{F6C2AF04-6737-43E6-A300-B3CCF20EAF8C}"/>
    <cellStyle name="Normal 2 11 2 2 5 2" xfId="22657" xr:uid="{E30E7F06-DF19-4AB5-9DD4-92A50A9ADC1E}"/>
    <cellStyle name="Normal 2 11 2 2 5 2 2" xfId="22658" xr:uid="{D7031669-2E79-4D50-85CD-6D1A8FF98E1E}"/>
    <cellStyle name="Normal 2 11 2 2 5 2 3" xfId="22659" xr:uid="{2420FDF3-F674-46E4-9532-C28A5C260B5B}"/>
    <cellStyle name="Normal 2 11 2 2 5 2 4" xfId="22660" xr:uid="{55715AC1-A82D-46C0-8970-57391B94A0C3}"/>
    <cellStyle name="Normal 2 11 2 2 5 2 5" xfId="22661" xr:uid="{DB95E26A-01C2-4FA3-9B99-BF809D9C20E2}"/>
    <cellStyle name="Normal 2 11 2 2 5 3" xfId="22662" xr:uid="{5414E2F5-C6CE-4743-AAA7-2B961D20577F}"/>
    <cellStyle name="Normal 2 11 2 2 5 4" xfId="22663" xr:uid="{825BFA25-AA4E-4708-AFDE-14C7DA7D504D}"/>
    <cellStyle name="Normal 2 11 2 2 5 5" xfId="22664" xr:uid="{E6443F31-F0E3-44BA-882C-4730AE337518}"/>
    <cellStyle name="Normal 2 11 2 2 5 6" xfId="22665" xr:uid="{BCDD7612-4739-46C2-9441-2F7497EDBEBB}"/>
    <cellStyle name="Normal 2 11 2 2 6" xfId="22666" xr:uid="{4C646189-5AC6-41DC-B606-64EFDB3B7A60}"/>
    <cellStyle name="Normal 2 11 2 2 6 2" xfId="22667" xr:uid="{3DE2170C-87CB-45A7-B94B-7BED92449F9D}"/>
    <cellStyle name="Normal 2 11 2 2 6 3" xfId="22668" xr:uid="{EE19CD34-6F84-4BC8-A063-0A621EE8DDAA}"/>
    <cellStyle name="Normal 2 11 2 2 6 4" xfId="22669" xr:uid="{D1A1208F-733A-4545-9956-3A199781AD6C}"/>
    <cellStyle name="Normal 2 11 2 2 6 5" xfId="22670" xr:uid="{E93AE88E-E4DB-4DE0-B63F-06F273924E9E}"/>
    <cellStyle name="Normal 2 11 2 2 7" xfId="22671" xr:uid="{440CDE06-B30A-443A-BDAB-81FF76BC44BD}"/>
    <cellStyle name="Normal 2 11 2 2 7 2" xfId="22672" xr:uid="{58E6B183-1841-4775-8A83-84032F00B0BE}"/>
    <cellStyle name="Normal 2 11 2 2 7 3" xfId="22673" xr:uid="{7D0EB237-481B-479F-8E4A-2B8B0CB434D5}"/>
    <cellStyle name="Normal 2 11 2 2 7 4" xfId="22674" xr:uid="{25D20511-D7DC-46C2-9896-D38594DEA36B}"/>
    <cellStyle name="Normal 2 11 2 2 7 5" xfId="22675" xr:uid="{435865C0-31C9-49E2-91A9-086298AA9B94}"/>
    <cellStyle name="Normal 2 11 2 2 8" xfId="22676" xr:uid="{465BDF09-1BB4-44A2-B73D-CBEED54E6C32}"/>
    <cellStyle name="Normal 2 11 2 2 8 2" xfId="22677" xr:uid="{579D1E12-EF4D-42E3-95BE-5FAECAF7368D}"/>
    <cellStyle name="Normal 2 11 2 2 8 3" xfId="22678" xr:uid="{2FE3B3BA-4D82-47EE-BD54-C7AE8765F13F}"/>
    <cellStyle name="Normal 2 11 2 2 8 4" xfId="22679" xr:uid="{B4F9D202-E62D-4490-BD92-346C7688A299}"/>
    <cellStyle name="Normal 2 11 2 2 8 5" xfId="22680" xr:uid="{19D86199-265F-4FD5-A697-63E4C4985097}"/>
    <cellStyle name="Normal 2 11 2 2 9" xfId="22681" xr:uid="{0F8A84FF-009B-4F9A-B012-6284BBB8EBF8}"/>
    <cellStyle name="Normal 2 11 2 2 9 2" xfId="22682" xr:uid="{12C9805E-2752-411C-9CF6-4222E59A84BC}"/>
    <cellStyle name="Normal 2 11 2 2 9 3" xfId="22683" xr:uid="{BAF4E463-CB36-4AC5-9FE0-43F33D719625}"/>
    <cellStyle name="Normal 2 11 2 2 9 4" xfId="22684" xr:uid="{BF476179-D5E3-4530-90FA-4931CDEB41C6}"/>
    <cellStyle name="Normal 2 11 2 2 9 5" xfId="22685" xr:uid="{349BA5A7-BCC1-46A2-A3BA-8A1070F4B761}"/>
    <cellStyle name="Normal 2 11 2 3" xfId="22686" xr:uid="{05ABE7F7-C59E-4F34-9521-02D6A945A216}"/>
    <cellStyle name="Normal 2 11 2 3 10" xfId="22687" xr:uid="{8A1B0B85-E686-4DB7-B0BF-0EF6AF862954}"/>
    <cellStyle name="Normal 2 11 2 3 11" xfId="22688" xr:uid="{2DAEA507-BA70-4764-BD97-473B6AB79E45}"/>
    <cellStyle name="Normal 2 11 2 3 12" xfId="22689" xr:uid="{7DE903B4-8C7D-40D8-91AB-63DF3EFBB4C7}"/>
    <cellStyle name="Normal 2 11 2 3 2" xfId="22690" xr:uid="{152747F0-0327-4B0D-93F7-7443A3004509}"/>
    <cellStyle name="Normal 2 11 2 3 2 2" xfId="22691" xr:uid="{56E95CCF-E938-475A-91D1-0D217AD36356}"/>
    <cellStyle name="Normal 2 11 2 3 2 2 2" xfId="22692" xr:uid="{02554EF7-1E27-44A0-A09C-84CD49A11960}"/>
    <cellStyle name="Normal 2 11 2 3 2 2 3" xfId="22693" xr:uid="{174F1786-19C6-4863-87E5-98DB961E189A}"/>
    <cellStyle name="Normal 2 11 2 3 2 2 4" xfId="22694" xr:uid="{46A57D73-C3F3-4D80-A6E0-5E1F68C9C51E}"/>
    <cellStyle name="Normal 2 11 2 3 2 2 5" xfId="22695" xr:uid="{3512FDF8-F9C0-4B16-8BF7-6DAD4B53BA23}"/>
    <cellStyle name="Normal 2 11 2 3 2 3" xfId="22696" xr:uid="{00E76CEE-884E-4FEE-8250-D10862780ED3}"/>
    <cellStyle name="Normal 2 11 2 3 2 4" xfId="22697" xr:uid="{2C37194E-0377-4E81-8026-F1ABF52B2880}"/>
    <cellStyle name="Normal 2 11 2 3 2 5" xfId="22698" xr:uid="{1178940E-712E-455C-862D-86FC28CE2072}"/>
    <cellStyle name="Normal 2 11 2 3 2 6" xfId="22699" xr:uid="{6A2071CD-E65B-4265-8BD2-ECDEAC48D7C3}"/>
    <cellStyle name="Normal 2 11 2 3 3" xfId="22700" xr:uid="{B2E78814-EC81-4E32-9D6F-FEA1175FF059}"/>
    <cellStyle name="Normal 2 11 2 3 3 2" xfId="22701" xr:uid="{12C552F9-549B-496A-853F-E2485DB3F35B}"/>
    <cellStyle name="Normal 2 11 2 3 3 2 2" xfId="22702" xr:uid="{EAC20887-9399-4F18-9A20-83632D186F59}"/>
    <cellStyle name="Normal 2 11 2 3 3 2 3" xfId="22703" xr:uid="{310CA47A-F9F7-4F1E-B3E9-88EC6F8C0AAD}"/>
    <cellStyle name="Normal 2 11 2 3 3 2 4" xfId="22704" xr:uid="{4788467B-F9B5-4B30-837F-54152AF9CF99}"/>
    <cellStyle name="Normal 2 11 2 3 3 2 5" xfId="22705" xr:uid="{7EA60981-36FE-49A9-A8DB-61772F7EA355}"/>
    <cellStyle name="Normal 2 11 2 3 3 3" xfId="22706" xr:uid="{1E70B8DD-C4BC-4FD0-AC42-B92EB7B26FF1}"/>
    <cellStyle name="Normal 2 11 2 3 3 4" xfId="22707" xr:uid="{6E9FFB09-ED58-4D6E-8288-943E75C061A3}"/>
    <cellStyle name="Normal 2 11 2 3 3 5" xfId="22708" xr:uid="{F6DC5089-7237-4ED5-ACA1-F6AF41D05BC0}"/>
    <cellStyle name="Normal 2 11 2 3 3 6" xfId="22709" xr:uid="{BFB8D22E-47C3-4870-B129-87BA04DA87B1}"/>
    <cellStyle name="Normal 2 11 2 3 4" xfId="22710" xr:uid="{CDC14C82-749F-43AA-A307-517A7569D970}"/>
    <cellStyle name="Normal 2 11 2 3 4 2" xfId="22711" xr:uid="{B68C6C13-7C0C-4B5B-80D5-91283B6D72F0}"/>
    <cellStyle name="Normal 2 11 2 3 4 2 2" xfId="22712" xr:uid="{F1A5C04D-32A0-4162-9A00-D04DBFAAA743}"/>
    <cellStyle name="Normal 2 11 2 3 4 2 3" xfId="22713" xr:uid="{8F052B83-13A5-4CBF-BF1B-13FAEFB28893}"/>
    <cellStyle name="Normal 2 11 2 3 4 2 4" xfId="22714" xr:uid="{E92BDE83-1C7B-4A46-A530-76B138A7B908}"/>
    <cellStyle name="Normal 2 11 2 3 4 2 5" xfId="22715" xr:uid="{BD27F35C-343A-44C8-82F2-FCF29B55AE90}"/>
    <cellStyle name="Normal 2 11 2 3 4 3" xfId="22716" xr:uid="{FA3657BF-B265-4C38-A391-E7D4DD4AB97C}"/>
    <cellStyle name="Normal 2 11 2 3 4 4" xfId="22717" xr:uid="{E20E7A78-C02E-4B23-BF7D-1888E9F3EB20}"/>
    <cellStyle name="Normal 2 11 2 3 4 5" xfId="22718" xr:uid="{4E8CEEDC-008A-4D98-8203-17E48F5C0877}"/>
    <cellStyle name="Normal 2 11 2 3 4 6" xfId="22719" xr:uid="{643882FF-FFE1-4DF7-A4C4-26430A5E59AB}"/>
    <cellStyle name="Normal 2 11 2 3 5" xfId="22720" xr:uid="{76943F73-A470-428B-A42C-4E5D175579F9}"/>
    <cellStyle name="Normal 2 11 2 3 5 2" xfId="22721" xr:uid="{05D64083-C688-44C8-8080-CB47A30B4F1A}"/>
    <cellStyle name="Normal 2 11 2 3 5 3" xfId="22722" xr:uid="{B534AE59-F62C-4E1E-B4FB-A7B28496C9C4}"/>
    <cellStyle name="Normal 2 11 2 3 5 4" xfId="22723" xr:uid="{024359F0-9104-40C8-95CB-E76CAE5EBF7D}"/>
    <cellStyle name="Normal 2 11 2 3 5 5" xfId="22724" xr:uid="{FACE2278-8411-4593-BCA0-CC388DAF8915}"/>
    <cellStyle name="Normal 2 11 2 3 6" xfId="22725" xr:uid="{E5B10AEF-F239-4676-A66F-E17C195A6CDF}"/>
    <cellStyle name="Normal 2 11 2 3 6 2" xfId="22726" xr:uid="{3BE8283B-D19A-4D5D-8E54-72838EBD1547}"/>
    <cellStyle name="Normal 2 11 2 3 6 3" xfId="22727" xr:uid="{FE6D6D8B-DDFF-4D4F-8A75-75EB74EE2561}"/>
    <cellStyle name="Normal 2 11 2 3 6 4" xfId="22728" xr:uid="{18E98AD3-3989-4ACB-8863-D0F480D6F9CC}"/>
    <cellStyle name="Normal 2 11 2 3 6 5" xfId="22729" xr:uid="{58C14B48-9B4E-4115-B72A-6CB61F112C01}"/>
    <cellStyle name="Normal 2 11 2 3 7" xfId="22730" xr:uid="{B7729900-A881-434B-BA39-0DCEE4846CEB}"/>
    <cellStyle name="Normal 2 11 2 3 7 2" xfId="22731" xr:uid="{147A0DBA-2EF4-4EBE-A345-A9E6148679E1}"/>
    <cellStyle name="Normal 2 11 2 3 7 3" xfId="22732" xr:uid="{FB5B2E67-BBAC-42FD-A221-0189F3DCF91D}"/>
    <cellStyle name="Normal 2 11 2 3 7 4" xfId="22733" xr:uid="{8E7FBF75-D793-4C7D-847C-57B28E1B8A8C}"/>
    <cellStyle name="Normal 2 11 2 3 7 5" xfId="22734" xr:uid="{958636B4-570D-4CAB-AC04-93176DDC9B4E}"/>
    <cellStyle name="Normal 2 11 2 3 8" xfId="22735" xr:uid="{1315EDD0-9227-4B20-AE18-B0ACA8292CA3}"/>
    <cellStyle name="Normal 2 11 2 3 8 2" xfId="22736" xr:uid="{089EE725-E0EB-4BE6-B2E5-2CFBC13ED172}"/>
    <cellStyle name="Normal 2 11 2 3 8 3" xfId="22737" xr:uid="{CFE87CF8-0A4E-4ACD-B71B-9BA4333A1570}"/>
    <cellStyle name="Normal 2 11 2 3 8 4" xfId="22738" xr:uid="{D0F9CDD0-E8F4-4C3F-8373-226EA6B874AF}"/>
    <cellStyle name="Normal 2 11 2 3 8 5" xfId="22739" xr:uid="{B7198788-88F3-4F18-9B10-B173A7CA3797}"/>
    <cellStyle name="Normal 2 11 2 3 9" xfId="22740" xr:uid="{DDF9B23B-3BAD-429B-9672-28443374FF5F}"/>
    <cellStyle name="Normal 2 11 2 4" xfId="22741" xr:uid="{01215B1F-3ACF-416A-9631-C462CF8A312D}"/>
    <cellStyle name="Normal 2 11 2 4 2" xfId="22742" xr:uid="{3C519104-4706-4AE9-885E-E411AD349E56}"/>
    <cellStyle name="Normal 2 11 2 4 2 2" xfId="22743" xr:uid="{5E21DBB3-6FCC-4E0A-81E5-CC0BC01D1FE3}"/>
    <cellStyle name="Normal 2 11 2 4 2 3" xfId="22744" xr:uid="{D5F1F127-D47A-4B32-B44C-5F4CC6EC44AE}"/>
    <cellStyle name="Normal 2 11 2 4 2 4" xfId="22745" xr:uid="{D2B75FA6-3FE1-4618-8035-B67F6D82A9C7}"/>
    <cellStyle name="Normal 2 11 2 4 2 5" xfId="22746" xr:uid="{924D5AC8-C14B-43E9-85DE-E72065B343AB}"/>
    <cellStyle name="Normal 2 11 2 4 3" xfId="22747" xr:uid="{5AEA9B31-580A-4A86-BCE8-474EBE212589}"/>
    <cellStyle name="Normal 2 11 2 4 4" xfId="22748" xr:uid="{F436214E-BB4A-4C56-A24D-BD756E4B9215}"/>
    <cellStyle name="Normal 2 11 2 4 5" xfId="22749" xr:uid="{18520AAC-3514-4D41-A5F7-556B09FE5AE9}"/>
    <cellStyle name="Normal 2 11 2 4 6" xfId="22750" xr:uid="{A9A0F837-7B2B-4701-A0D5-9F9CCAE72260}"/>
    <cellStyle name="Normal 2 11 2 5" xfId="22751" xr:uid="{99C10194-F355-42F5-A05C-89D4C353BAD2}"/>
    <cellStyle name="Normal 2 11 2 5 2" xfId="22752" xr:uid="{7F19465F-91D3-4AD4-B70F-44E3503DB58C}"/>
    <cellStyle name="Normal 2 11 2 5 2 2" xfId="22753" xr:uid="{62B9A483-EC5C-4533-8605-D10EF684779B}"/>
    <cellStyle name="Normal 2 11 2 5 2 3" xfId="22754" xr:uid="{43CFCECE-5057-48CE-98C6-67AF91F1F143}"/>
    <cellStyle name="Normal 2 11 2 5 2 4" xfId="22755" xr:uid="{D2C393CD-79ED-4F3C-99CE-49447E5A400C}"/>
    <cellStyle name="Normal 2 11 2 5 2 5" xfId="22756" xr:uid="{971B6846-7C1E-4357-9320-BEF84009F24D}"/>
    <cellStyle name="Normal 2 11 2 5 3" xfId="22757" xr:uid="{B13B3F07-9852-4369-B5D2-ACCAD45B1340}"/>
    <cellStyle name="Normal 2 11 2 5 4" xfId="22758" xr:uid="{53474A0F-8535-43FD-8635-9A76FB150434}"/>
    <cellStyle name="Normal 2 11 2 5 5" xfId="22759" xr:uid="{8998FCB8-95B2-4BD1-9F8B-FFFFA44049F5}"/>
    <cellStyle name="Normal 2 11 2 5 6" xfId="22760" xr:uid="{4FF2573F-C1D5-4374-96D1-A2E38CC909CA}"/>
    <cellStyle name="Normal 2 11 2 6" xfId="22761" xr:uid="{3201C0CC-7E11-4694-AE66-12FCACDCF3E7}"/>
    <cellStyle name="Normal 2 11 2 6 2" xfId="22762" xr:uid="{9CFB7BB1-0033-4D3A-8BDD-B396DE477649}"/>
    <cellStyle name="Normal 2 11 2 6 2 2" xfId="22763" xr:uid="{C1EAAEB6-3F85-4C50-AEC3-54D8FAC9C81A}"/>
    <cellStyle name="Normal 2 11 2 6 2 3" xfId="22764" xr:uid="{6C9F8622-0168-4942-B0B5-4CD9E1DC1EA2}"/>
    <cellStyle name="Normal 2 11 2 6 2 4" xfId="22765" xr:uid="{5BDE1E1B-D636-4AE8-8530-0E02DA8349E8}"/>
    <cellStyle name="Normal 2 11 2 6 2 5" xfId="22766" xr:uid="{36411D10-C66E-4340-9EF9-E3B6F804A42F}"/>
    <cellStyle name="Normal 2 11 2 6 3" xfId="22767" xr:uid="{7587FB5D-CBB1-4D6F-9910-FA165FA7FE10}"/>
    <cellStyle name="Normal 2 11 2 6 4" xfId="22768" xr:uid="{32F351FA-2041-4B2B-B065-3D29B3356956}"/>
    <cellStyle name="Normal 2 11 2 6 5" xfId="22769" xr:uid="{E83356C7-21DE-4D4F-9544-0C2965AAC30F}"/>
    <cellStyle name="Normal 2 11 2 6 6" xfId="22770" xr:uid="{3175169D-4523-4ED0-9A78-E5C47842F502}"/>
    <cellStyle name="Normal 2 11 2 7" xfId="22771" xr:uid="{F3785022-5B69-4C9F-B75B-B823EE32075E}"/>
    <cellStyle name="Normal 2 11 2 7 2" xfId="22772" xr:uid="{751EEC89-B8CD-45E0-9943-FD1B88540018}"/>
    <cellStyle name="Normal 2 11 2 7 3" xfId="22773" xr:uid="{FB356FD3-FD33-4531-8AA1-D08870DF39AB}"/>
    <cellStyle name="Normal 2 11 2 7 4" xfId="22774" xr:uid="{26547733-C533-4C99-A369-DD9D36B8D05A}"/>
    <cellStyle name="Normal 2 11 2 7 5" xfId="22775" xr:uid="{D5FE547E-9B6A-4D45-91CC-BF0A788E0D94}"/>
    <cellStyle name="Normal 2 11 2 8" xfId="22776" xr:uid="{CDB9E08B-CF95-4493-9F5D-DC31FC3FD9DF}"/>
    <cellStyle name="Normal 2 11 2 8 2" xfId="22777" xr:uid="{C48B3ACB-DFE6-483D-8602-EDE59DC75C1D}"/>
    <cellStyle name="Normal 2 11 2 8 3" xfId="22778" xr:uid="{23A65AC1-D33A-4C48-890C-644BF46CE3A3}"/>
    <cellStyle name="Normal 2 11 2 8 4" xfId="22779" xr:uid="{3DCE5123-5628-4B38-A98F-C251F998A578}"/>
    <cellStyle name="Normal 2 11 2 8 5" xfId="22780" xr:uid="{46FCD795-0D63-497F-A9DE-90783182F2FB}"/>
    <cellStyle name="Normal 2 11 2 9" xfId="22781" xr:uid="{C7DFAD0F-2B92-460A-858D-51F07225D2EA}"/>
    <cellStyle name="Normal 2 11 2 9 2" xfId="22782" xr:uid="{E2D34400-39EF-41CD-A1C7-72B9847CBDE3}"/>
    <cellStyle name="Normal 2 11 2 9 3" xfId="22783" xr:uid="{041637DC-E285-4D2F-A1C4-1B00E6DBAEBC}"/>
    <cellStyle name="Normal 2 11 2 9 4" xfId="22784" xr:uid="{113685F5-5331-4DCE-BF03-FDF5A6EA7FF7}"/>
    <cellStyle name="Normal 2 11 2 9 5" xfId="22785" xr:uid="{7D60456D-52D6-4D5F-B85C-5215A5EE4693}"/>
    <cellStyle name="Normal 2 11 3" xfId="22786" xr:uid="{EA704F40-B632-4306-9A9A-847BE1DA87BA}"/>
    <cellStyle name="Normal 2 11 3 10" xfId="22787" xr:uid="{CC3C2681-3A0C-4103-A370-9E4684D1B291}"/>
    <cellStyle name="Normal 2 11 3 11" xfId="22788" xr:uid="{4E271934-DED4-4496-A981-32410FF4DA0B}"/>
    <cellStyle name="Normal 2 11 3 12" xfId="22789" xr:uid="{494A10E8-A5F0-42E7-B8B4-3486FB6DDCC9}"/>
    <cellStyle name="Normal 2 11 3 13" xfId="22790" xr:uid="{A156A13F-6E37-47ED-A7C4-930843FFA41E}"/>
    <cellStyle name="Normal 2 11 3 2" xfId="22791" xr:uid="{053A33DE-F228-483B-9A83-B31608E42F3B}"/>
    <cellStyle name="Normal 2 11 3 2 10" xfId="22792" xr:uid="{C182894F-7BA1-4528-B8B6-6EBCBB5416CC}"/>
    <cellStyle name="Normal 2 11 3 2 11" xfId="22793" xr:uid="{81B7FCC3-90CA-44FB-9EA9-62E93102E9D6}"/>
    <cellStyle name="Normal 2 11 3 2 12" xfId="22794" xr:uid="{0725B779-B2E0-4615-9B86-FF7271E4F21D}"/>
    <cellStyle name="Normal 2 11 3 2 2" xfId="22795" xr:uid="{C81F4FC5-2DDC-4FB8-A29B-F3F76BA4822C}"/>
    <cellStyle name="Normal 2 11 3 2 2 2" xfId="22796" xr:uid="{BBE38EA1-E6E7-4E20-A4EB-BDAB6A379D86}"/>
    <cellStyle name="Normal 2 11 3 2 2 2 2" xfId="22797" xr:uid="{61246D24-EC5C-4C8D-8B84-B644DB908F53}"/>
    <cellStyle name="Normal 2 11 3 2 2 2 3" xfId="22798" xr:uid="{261556EA-3C98-4EA4-9C1E-BF17208C4018}"/>
    <cellStyle name="Normal 2 11 3 2 2 2 4" xfId="22799" xr:uid="{893E4255-44A7-45AD-A7A3-0AA0FB404C0A}"/>
    <cellStyle name="Normal 2 11 3 2 2 2 5" xfId="22800" xr:uid="{7631709A-B7B8-4B8B-8E4B-1089250C7259}"/>
    <cellStyle name="Normal 2 11 3 2 2 3" xfId="22801" xr:uid="{7B00D0F7-A5EC-41B2-A395-5AC7E5745278}"/>
    <cellStyle name="Normal 2 11 3 2 2 4" xfId="22802" xr:uid="{024A981D-2FB5-4F53-B905-020CBAACE89E}"/>
    <cellStyle name="Normal 2 11 3 2 2 5" xfId="22803" xr:uid="{68F808DF-4D2F-4F4D-820F-BC6EA1051F86}"/>
    <cellStyle name="Normal 2 11 3 2 2 6" xfId="22804" xr:uid="{84968A36-C346-4170-A18B-312F3EF12D6B}"/>
    <cellStyle name="Normal 2 11 3 2 3" xfId="22805" xr:uid="{9BF96FF3-FF99-4933-BC11-B87E0A3254D8}"/>
    <cellStyle name="Normal 2 11 3 2 3 2" xfId="22806" xr:uid="{267AFFCD-ED59-4DD6-ACE4-851968B59503}"/>
    <cellStyle name="Normal 2 11 3 2 3 2 2" xfId="22807" xr:uid="{C66A5294-BF6B-4F18-9FF6-B6F3CFDF2501}"/>
    <cellStyle name="Normal 2 11 3 2 3 2 3" xfId="22808" xr:uid="{8CCB185B-ABF6-4499-86F1-9709B0A84655}"/>
    <cellStyle name="Normal 2 11 3 2 3 2 4" xfId="22809" xr:uid="{22A1D53C-22A1-40C9-8EE8-1386EFF31A7E}"/>
    <cellStyle name="Normal 2 11 3 2 3 2 5" xfId="22810" xr:uid="{43586A7A-7708-46AE-911C-506B1AAD4014}"/>
    <cellStyle name="Normal 2 11 3 2 3 3" xfId="22811" xr:uid="{833F9217-472C-423C-98AB-2990D9EA2378}"/>
    <cellStyle name="Normal 2 11 3 2 3 4" xfId="22812" xr:uid="{C0652AE8-DFC3-48F6-83B1-6C41E4FECAFD}"/>
    <cellStyle name="Normal 2 11 3 2 3 5" xfId="22813" xr:uid="{02AD931E-46C5-4574-9AA1-DA2C744D5363}"/>
    <cellStyle name="Normal 2 11 3 2 3 6" xfId="22814" xr:uid="{A4F2D434-16BC-4809-A328-686FE30F42EA}"/>
    <cellStyle name="Normal 2 11 3 2 4" xfId="22815" xr:uid="{63C93E0F-906D-4C48-9649-D04D7E68D566}"/>
    <cellStyle name="Normal 2 11 3 2 4 2" xfId="22816" xr:uid="{1C6CBC98-20C1-4A8D-AAFF-6D0CCF18E77D}"/>
    <cellStyle name="Normal 2 11 3 2 4 2 2" xfId="22817" xr:uid="{087C2956-A572-48AF-82EF-479B1CDA355B}"/>
    <cellStyle name="Normal 2 11 3 2 4 2 3" xfId="22818" xr:uid="{961F89CA-7807-4C73-9F14-B7D4D73B3342}"/>
    <cellStyle name="Normal 2 11 3 2 4 2 4" xfId="22819" xr:uid="{BC78873C-CF2E-42AB-AD6B-26930DFF7B2C}"/>
    <cellStyle name="Normal 2 11 3 2 4 2 5" xfId="22820" xr:uid="{8C8B7975-EE5B-4AC3-B0CC-E92C926567C3}"/>
    <cellStyle name="Normal 2 11 3 2 4 3" xfId="22821" xr:uid="{84D6A197-320D-40B9-94EE-82ADAB42F53C}"/>
    <cellStyle name="Normal 2 11 3 2 4 4" xfId="22822" xr:uid="{4B616517-C121-47D8-B84B-B11C5CEEFB93}"/>
    <cellStyle name="Normal 2 11 3 2 4 5" xfId="22823" xr:uid="{4B78F9CA-0F6B-464D-BAB1-1E9F6B25681E}"/>
    <cellStyle name="Normal 2 11 3 2 4 6" xfId="22824" xr:uid="{F1778712-06FC-47C1-AC5B-AB88FF957CE0}"/>
    <cellStyle name="Normal 2 11 3 2 5" xfId="22825" xr:uid="{B76D6037-C73F-48A7-B1C8-C5EB2263F719}"/>
    <cellStyle name="Normal 2 11 3 2 5 2" xfId="22826" xr:uid="{B2BF697F-4795-41F6-B76B-E7DED0F15589}"/>
    <cellStyle name="Normal 2 11 3 2 5 3" xfId="22827" xr:uid="{491CFF2C-8142-4CAC-BF08-671B2C3172D0}"/>
    <cellStyle name="Normal 2 11 3 2 5 4" xfId="22828" xr:uid="{5E8A5F8E-E28D-45B9-9389-D9F2DA78DA96}"/>
    <cellStyle name="Normal 2 11 3 2 5 5" xfId="22829" xr:uid="{F048D34D-4F3A-4880-9F02-6E23BFC42386}"/>
    <cellStyle name="Normal 2 11 3 2 6" xfId="22830" xr:uid="{A2D21417-33E0-4FB0-A0FA-0DBF1A1ACCDC}"/>
    <cellStyle name="Normal 2 11 3 2 6 2" xfId="22831" xr:uid="{752176B3-074F-4B07-953A-BE6D6BF4064B}"/>
    <cellStyle name="Normal 2 11 3 2 6 3" xfId="22832" xr:uid="{B4CEAFA1-15FE-4F15-8506-8F4094A04201}"/>
    <cellStyle name="Normal 2 11 3 2 6 4" xfId="22833" xr:uid="{AE3F2121-75D2-4E58-BC93-2EF12521A472}"/>
    <cellStyle name="Normal 2 11 3 2 6 5" xfId="22834" xr:uid="{75344BD4-88A5-466D-935F-8BE2F2185ACC}"/>
    <cellStyle name="Normal 2 11 3 2 7" xfId="22835" xr:uid="{33D8D1BF-540B-4E2B-8549-56ED312EC014}"/>
    <cellStyle name="Normal 2 11 3 2 7 2" xfId="22836" xr:uid="{15F8A437-BF4D-4819-A951-902C8A7522E8}"/>
    <cellStyle name="Normal 2 11 3 2 7 3" xfId="22837" xr:uid="{8B2C1656-8C66-4E08-8D84-41476013ABB8}"/>
    <cellStyle name="Normal 2 11 3 2 7 4" xfId="22838" xr:uid="{CEE6209E-3F73-4C6D-8E6B-76AD72B3BC9A}"/>
    <cellStyle name="Normal 2 11 3 2 7 5" xfId="22839" xr:uid="{683AB06C-00CD-41E8-9B53-4EC0150373D9}"/>
    <cellStyle name="Normal 2 11 3 2 8" xfId="22840" xr:uid="{DC0B8DC8-0F70-4E30-812B-E2DA421D14CE}"/>
    <cellStyle name="Normal 2 11 3 2 8 2" xfId="22841" xr:uid="{CC41B61F-D54A-47F1-8BFB-C896FCB0F597}"/>
    <cellStyle name="Normal 2 11 3 2 8 3" xfId="22842" xr:uid="{52B5A9D2-2759-401E-BC36-AE77568E42EA}"/>
    <cellStyle name="Normal 2 11 3 2 8 4" xfId="22843" xr:uid="{7AF547DC-3D30-4363-8E75-567CCE9C2932}"/>
    <cellStyle name="Normal 2 11 3 2 8 5" xfId="22844" xr:uid="{4C710502-656B-4E7D-9D03-18CCBEA1CBBE}"/>
    <cellStyle name="Normal 2 11 3 2 9" xfId="22845" xr:uid="{860DCC2D-2B7A-473C-ACE5-7F811EDDA013}"/>
    <cellStyle name="Normal 2 11 3 3" xfId="22846" xr:uid="{A5532621-87EA-4D50-97CD-725057967890}"/>
    <cellStyle name="Normal 2 11 3 3 2" xfId="22847" xr:uid="{7327E1B1-936B-41C8-BD69-0BD53EDBDEC3}"/>
    <cellStyle name="Normal 2 11 3 3 2 2" xfId="22848" xr:uid="{BEB1CF3B-0620-4E06-8B63-38B63DF55833}"/>
    <cellStyle name="Normal 2 11 3 3 2 3" xfId="22849" xr:uid="{16FF8013-A1B9-453A-AD3C-B716F2713D02}"/>
    <cellStyle name="Normal 2 11 3 3 2 4" xfId="22850" xr:uid="{3A00F5BE-F6A8-44D9-8B73-1D38160222D5}"/>
    <cellStyle name="Normal 2 11 3 3 2 5" xfId="22851" xr:uid="{C18EBA5B-C109-4290-9732-7635AC466BA3}"/>
    <cellStyle name="Normal 2 11 3 3 3" xfId="22852" xr:uid="{4454D3BF-7E72-46FF-B92B-DDD275FF9623}"/>
    <cellStyle name="Normal 2 11 3 3 4" xfId="22853" xr:uid="{369C7FCE-F056-4043-A028-BC8ABE82963F}"/>
    <cellStyle name="Normal 2 11 3 3 5" xfId="22854" xr:uid="{72740447-913B-4A09-8F69-7B5927A8EF89}"/>
    <cellStyle name="Normal 2 11 3 3 6" xfId="22855" xr:uid="{9EC0EBC2-DE5A-4F69-8648-0C2ADEEA9C96}"/>
    <cellStyle name="Normal 2 11 3 4" xfId="22856" xr:uid="{DCA7EA6A-C898-4A7A-B981-2EAE48D0DE08}"/>
    <cellStyle name="Normal 2 11 3 4 2" xfId="22857" xr:uid="{26283DDC-5FEA-4E95-811D-A4670C9F4212}"/>
    <cellStyle name="Normal 2 11 3 4 2 2" xfId="22858" xr:uid="{BEBCD625-79E0-4CDC-A4CA-9B522688BE0D}"/>
    <cellStyle name="Normal 2 11 3 4 2 3" xfId="22859" xr:uid="{8E92E8EE-0A1B-4169-9409-EFE447A907BF}"/>
    <cellStyle name="Normal 2 11 3 4 2 4" xfId="22860" xr:uid="{334646A0-C7FC-468F-9165-9303476B2E66}"/>
    <cellStyle name="Normal 2 11 3 4 2 5" xfId="22861" xr:uid="{70183618-A332-4DEA-907E-2D6EDD407B99}"/>
    <cellStyle name="Normal 2 11 3 4 3" xfId="22862" xr:uid="{82F1135C-7582-4D65-9B6F-5DE211F394DB}"/>
    <cellStyle name="Normal 2 11 3 4 4" xfId="22863" xr:uid="{0D071534-5DB5-468C-957C-125ADD958712}"/>
    <cellStyle name="Normal 2 11 3 4 5" xfId="22864" xr:uid="{37FC8C29-384F-4802-8F55-921F961C554C}"/>
    <cellStyle name="Normal 2 11 3 4 6" xfId="22865" xr:uid="{AC25B716-E70A-4B53-8D77-236E4A6042F4}"/>
    <cellStyle name="Normal 2 11 3 5" xfId="22866" xr:uid="{3E815843-1CB6-4870-8567-208A4424FD82}"/>
    <cellStyle name="Normal 2 11 3 5 2" xfId="22867" xr:uid="{72E69C19-AE05-475F-9DDE-CC8548ECEC49}"/>
    <cellStyle name="Normal 2 11 3 5 2 2" xfId="22868" xr:uid="{54B611C6-42D2-48E0-9574-5457D6ACAAA2}"/>
    <cellStyle name="Normal 2 11 3 5 2 3" xfId="22869" xr:uid="{1BA7E07C-611B-4442-9E6B-14EFF1D299BA}"/>
    <cellStyle name="Normal 2 11 3 5 2 4" xfId="22870" xr:uid="{F3FE9C8F-0756-4CF9-8D85-2D24BD688E2F}"/>
    <cellStyle name="Normal 2 11 3 5 2 5" xfId="22871" xr:uid="{DC6D51C9-B8FD-4B56-9976-E7D1017B6F2D}"/>
    <cellStyle name="Normal 2 11 3 5 3" xfId="22872" xr:uid="{59C0E9A3-7A61-4730-8626-79EB4D1062A3}"/>
    <cellStyle name="Normal 2 11 3 5 4" xfId="22873" xr:uid="{A0430AF4-BCC2-4A19-8221-2AEF9C43B884}"/>
    <cellStyle name="Normal 2 11 3 5 5" xfId="22874" xr:uid="{AACC3BA6-A11D-4C69-B3D7-25E7D04E7865}"/>
    <cellStyle name="Normal 2 11 3 5 6" xfId="22875" xr:uid="{1E5A58F5-0B34-4AF6-A7EE-3B13D8B681CB}"/>
    <cellStyle name="Normal 2 11 3 6" xfId="22876" xr:uid="{24127DF1-CC71-4C3C-947D-AA96E85F0331}"/>
    <cellStyle name="Normal 2 11 3 6 2" xfId="22877" xr:uid="{CBE92CA8-EE1F-4C44-9241-2BB6E7375EAD}"/>
    <cellStyle name="Normal 2 11 3 6 3" xfId="22878" xr:uid="{456D3F74-4567-48E5-B4DD-B9B56D1F504C}"/>
    <cellStyle name="Normal 2 11 3 6 4" xfId="22879" xr:uid="{8ABF7E38-0A95-4012-AC8B-1FF338E3A38B}"/>
    <cellStyle name="Normal 2 11 3 6 5" xfId="22880" xr:uid="{AF0E5910-13D7-4A9E-8CE2-3D28F5BBDE80}"/>
    <cellStyle name="Normal 2 11 3 7" xfId="22881" xr:uid="{9E0F093C-5E99-446A-A553-8EB1E09797F5}"/>
    <cellStyle name="Normal 2 11 3 7 2" xfId="22882" xr:uid="{A5D5379F-3F3D-41B8-BB65-ED15D35E8E7B}"/>
    <cellStyle name="Normal 2 11 3 7 3" xfId="22883" xr:uid="{21D99DC9-1F13-46A5-AD33-7DB7788DF200}"/>
    <cellStyle name="Normal 2 11 3 7 4" xfId="22884" xr:uid="{4F264438-0967-4300-A21D-052E14E7D8B6}"/>
    <cellStyle name="Normal 2 11 3 7 5" xfId="22885" xr:uid="{CF16CD7D-1EBD-4D38-8F79-D11E138FE2E5}"/>
    <cellStyle name="Normal 2 11 3 8" xfId="22886" xr:uid="{0E9EFEE8-20E4-42F7-8855-3BF333D8D14F}"/>
    <cellStyle name="Normal 2 11 3 8 2" xfId="22887" xr:uid="{6527BCBD-9032-40F3-BB75-692D1C49EF9C}"/>
    <cellStyle name="Normal 2 11 3 8 3" xfId="22888" xr:uid="{A2661772-DE86-4E4E-BF45-1BE4938D571A}"/>
    <cellStyle name="Normal 2 11 3 8 4" xfId="22889" xr:uid="{D2F24C36-1E74-4659-AAE5-D8AA9D177726}"/>
    <cellStyle name="Normal 2 11 3 8 5" xfId="22890" xr:uid="{F887260F-31DD-4E32-A09F-8604E7CAAD6B}"/>
    <cellStyle name="Normal 2 11 3 9" xfId="22891" xr:uid="{6FE48FB8-5E7A-4674-886A-4A46842C4C23}"/>
    <cellStyle name="Normal 2 11 3 9 2" xfId="22892" xr:uid="{A8C482A1-AA2E-49E2-B089-E9AA8DE8376D}"/>
    <cellStyle name="Normal 2 11 3 9 3" xfId="22893" xr:uid="{A91DA8D9-0537-49DF-A5E0-BF1B30D4ED94}"/>
    <cellStyle name="Normal 2 11 3 9 4" xfId="22894" xr:uid="{464F98B9-D2F2-40E1-B7AC-83D93B6F07C9}"/>
    <cellStyle name="Normal 2 11 3 9 5" xfId="22895" xr:uid="{8F37271C-4147-414D-9035-6934D517161E}"/>
    <cellStyle name="Normal 2 11 4" xfId="22896" xr:uid="{11591BC7-ECB1-4428-8B06-AD21525A802B}"/>
    <cellStyle name="Normal 2 11 4 10" xfId="22897" xr:uid="{FA72BAFE-1F1F-4CA2-ABAB-994E91D2508D}"/>
    <cellStyle name="Normal 2 11 4 11" xfId="22898" xr:uid="{415CE89E-6438-40B4-BE41-597AF9EF9269}"/>
    <cellStyle name="Normal 2 11 4 12" xfId="22899" xr:uid="{4E808AD7-810E-49DA-AD5A-FE8B393093A9}"/>
    <cellStyle name="Normal 2 11 4 2" xfId="22900" xr:uid="{95BB6ED2-80BF-482D-96BD-6FE5516FA063}"/>
    <cellStyle name="Normal 2 11 4 2 2" xfId="22901" xr:uid="{75AD844F-5910-4D0B-8A60-F7DA03FAA9C5}"/>
    <cellStyle name="Normal 2 11 4 2 2 2" xfId="22902" xr:uid="{CC4C5CB1-2276-4120-BAAC-67E8E17FF673}"/>
    <cellStyle name="Normal 2 11 4 2 2 3" xfId="22903" xr:uid="{B20B3878-7C8D-41EE-A5B2-D93DD8EDEA09}"/>
    <cellStyle name="Normal 2 11 4 2 2 4" xfId="22904" xr:uid="{489A5323-C2EF-48DA-AA84-CA78F174AA2D}"/>
    <cellStyle name="Normal 2 11 4 2 2 5" xfId="22905" xr:uid="{EA9E5D65-9961-4ACB-9EE0-4503D7DF0017}"/>
    <cellStyle name="Normal 2 11 4 2 3" xfId="22906" xr:uid="{2710F07D-68B7-4A6F-B261-2D97CA282BA5}"/>
    <cellStyle name="Normal 2 11 4 2 4" xfId="22907" xr:uid="{474BFCC5-B416-4D5C-96BD-8CDB4C5235DC}"/>
    <cellStyle name="Normal 2 11 4 2 5" xfId="22908" xr:uid="{EBD8C2A6-4B24-440E-B0C3-AF8EC5B1C1DE}"/>
    <cellStyle name="Normal 2 11 4 2 6" xfId="22909" xr:uid="{3DB08690-AB32-4A2A-A73B-C75540EAB4F7}"/>
    <cellStyle name="Normal 2 11 4 3" xfId="22910" xr:uid="{20705F7E-4FDC-41E0-8A00-2DAF32D3E1D7}"/>
    <cellStyle name="Normal 2 11 4 3 2" xfId="22911" xr:uid="{E4434AB3-A52C-4515-BC77-0451CFE360A2}"/>
    <cellStyle name="Normal 2 11 4 3 2 2" xfId="22912" xr:uid="{25426724-852E-415C-9413-593FD37CB791}"/>
    <cellStyle name="Normal 2 11 4 3 2 3" xfId="22913" xr:uid="{F69C730F-14EA-4995-9AC8-D61162195275}"/>
    <cellStyle name="Normal 2 11 4 3 2 4" xfId="22914" xr:uid="{4235D53E-DA06-47A3-BCC4-ABCCA4BA09FF}"/>
    <cellStyle name="Normal 2 11 4 3 2 5" xfId="22915" xr:uid="{12F8560A-F7F4-4ED4-95F8-621D99C3B178}"/>
    <cellStyle name="Normal 2 11 4 3 3" xfId="22916" xr:uid="{F147A9B3-396E-4EBF-AF09-41DA5CD654D0}"/>
    <cellStyle name="Normal 2 11 4 3 4" xfId="22917" xr:uid="{E7C5C250-CFFE-488A-AE34-24CB958AF82A}"/>
    <cellStyle name="Normal 2 11 4 3 5" xfId="22918" xr:uid="{07120B5A-7083-447E-A69D-6AF597A5C70E}"/>
    <cellStyle name="Normal 2 11 4 3 6" xfId="22919" xr:uid="{277B7581-20DB-42B5-8384-ED785E54266E}"/>
    <cellStyle name="Normal 2 11 4 4" xfId="22920" xr:uid="{2FDA416C-04AE-419F-BD38-B3FC693F380B}"/>
    <cellStyle name="Normal 2 11 4 4 2" xfId="22921" xr:uid="{D70F8FD7-99C8-4EB3-BD59-645D8FB1E136}"/>
    <cellStyle name="Normal 2 11 4 4 2 2" xfId="22922" xr:uid="{0F34FBF5-8250-4846-A8BF-7F6B0EE8D599}"/>
    <cellStyle name="Normal 2 11 4 4 2 3" xfId="22923" xr:uid="{91B6F46C-284B-436D-9B87-9DCB3C3D603B}"/>
    <cellStyle name="Normal 2 11 4 4 2 4" xfId="22924" xr:uid="{C36C0E6A-AFB9-4281-88DA-8A13B6624220}"/>
    <cellStyle name="Normal 2 11 4 4 2 5" xfId="22925" xr:uid="{998B687A-49DA-4270-B364-CA577C6925D3}"/>
    <cellStyle name="Normal 2 11 4 4 3" xfId="22926" xr:uid="{F2C9A3F8-4F84-4775-88E1-1FE2A3EE5A91}"/>
    <cellStyle name="Normal 2 11 4 4 4" xfId="22927" xr:uid="{4318A68C-3D0E-42B3-97DB-E843A50D6A49}"/>
    <cellStyle name="Normal 2 11 4 4 5" xfId="22928" xr:uid="{5F592DD2-23C3-428C-A3F8-404478096C99}"/>
    <cellStyle name="Normal 2 11 4 4 6" xfId="22929" xr:uid="{E5B07B5F-AD77-46FB-B444-C5DAFFA1077B}"/>
    <cellStyle name="Normal 2 11 4 5" xfId="22930" xr:uid="{700977EC-0862-4041-958B-6AF02C682993}"/>
    <cellStyle name="Normal 2 11 4 5 2" xfId="22931" xr:uid="{612CB4B2-FEB3-4063-9BE2-9115E2F8B90F}"/>
    <cellStyle name="Normal 2 11 4 5 3" xfId="22932" xr:uid="{0422222C-B24E-4952-8A5B-9A26BE50F099}"/>
    <cellStyle name="Normal 2 11 4 5 4" xfId="22933" xr:uid="{57698D37-7A4F-4625-8329-57664A8F0A31}"/>
    <cellStyle name="Normal 2 11 4 5 5" xfId="22934" xr:uid="{003975D7-127A-4656-98AC-137BB8E02411}"/>
    <cellStyle name="Normal 2 11 4 6" xfId="22935" xr:uid="{9106E919-2E46-48E6-B049-90DB297370D6}"/>
    <cellStyle name="Normal 2 11 4 6 2" xfId="22936" xr:uid="{731E9A7B-EC49-48F8-A383-91E51D319A62}"/>
    <cellStyle name="Normal 2 11 4 6 3" xfId="22937" xr:uid="{416D8B94-7104-444C-A87C-6E3701CBF635}"/>
    <cellStyle name="Normal 2 11 4 6 4" xfId="22938" xr:uid="{8F4A7DC9-620D-4990-9A66-BF92E7D8AF45}"/>
    <cellStyle name="Normal 2 11 4 6 5" xfId="22939" xr:uid="{A18A85C8-542B-4D87-8AF8-B8B955DEAA37}"/>
    <cellStyle name="Normal 2 11 4 7" xfId="22940" xr:uid="{DBD01539-109C-4716-A5ED-488AD9869ECF}"/>
    <cellStyle name="Normal 2 11 4 7 2" xfId="22941" xr:uid="{98A40C2B-9882-4CED-A5BA-12628CC66C0E}"/>
    <cellStyle name="Normal 2 11 4 7 3" xfId="22942" xr:uid="{4041AA34-DBB0-42E1-86C1-005AAE406E85}"/>
    <cellStyle name="Normal 2 11 4 7 4" xfId="22943" xr:uid="{298D7B4D-48A0-4D58-BC2F-897A937E8989}"/>
    <cellStyle name="Normal 2 11 4 7 5" xfId="22944" xr:uid="{29641A1C-427D-46ED-A5F6-E44F07901C72}"/>
    <cellStyle name="Normal 2 11 4 8" xfId="22945" xr:uid="{5E70DB79-4F9E-4A7F-A211-B192AFB4C2C3}"/>
    <cellStyle name="Normal 2 11 4 8 2" xfId="22946" xr:uid="{32CEC3AE-F7B9-4705-930F-BF024AF87947}"/>
    <cellStyle name="Normal 2 11 4 8 3" xfId="22947" xr:uid="{1A6EE844-8AF4-4069-889E-AAE6F4289910}"/>
    <cellStyle name="Normal 2 11 4 8 4" xfId="22948" xr:uid="{3C9C80B9-15CE-40DA-9AE0-75CF8F85E59B}"/>
    <cellStyle name="Normal 2 11 4 8 5" xfId="22949" xr:uid="{8854C018-E96C-4171-9D52-968F5FAB7160}"/>
    <cellStyle name="Normal 2 11 4 9" xfId="22950" xr:uid="{47892819-1835-485B-907A-36E2A6F081BD}"/>
    <cellStyle name="Normal 2 11 5" xfId="22951" xr:uid="{0D4A00B2-BCB5-4BD2-AB82-74EE46454C3B}"/>
    <cellStyle name="Normal 2 11 5 2" xfId="22952" xr:uid="{848F20BB-C56D-4914-A09D-B7E18A6D42AD}"/>
    <cellStyle name="Normal 2 11 5 2 2" xfId="22953" xr:uid="{B38D6977-AD6F-43BF-B7B8-293793DD0156}"/>
    <cellStyle name="Normal 2 11 5 2 3" xfId="22954" xr:uid="{930035C8-7AD2-4549-A134-B9DBB355C14A}"/>
    <cellStyle name="Normal 2 11 5 2 4" xfId="22955" xr:uid="{A3CA56C0-2798-445F-9B84-D98BEE272089}"/>
    <cellStyle name="Normal 2 11 5 2 5" xfId="22956" xr:uid="{0BC52EB5-F586-4A38-86F4-7515BF05CF39}"/>
    <cellStyle name="Normal 2 11 5 3" xfId="22957" xr:uid="{BB74372A-3D86-4BBB-AC34-23473E3C635F}"/>
    <cellStyle name="Normal 2 11 5 4" xfId="22958" xr:uid="{4990BA80-DB08-4C47-AB46-22A20864DDFD}"/>
    <cellStyle name="Normal 2 11 5 5" xfId="22959" xr:uid="{8C9A08D8-08CB-4D21-9546-0D8719F362F8}"/>
    <cellStyle name="Normal 2 11 5 6" xfId="22960" xr:uid="{6795D4D0-AACD-4BF7-A91F-01AEE1EEA4F3}"/>
    <cellStyle name="Normal 2 11 6" xfId="22961" xr:uid="{80C6AFB9-8B7A-49EA-870D-FFE0EED48CB8}"/>
    <cellStyle name="Normal 2 11 6 2" xfId="22962" xr:uid="{B503DB42-23CE-494B-AEBF-55EC04095721}"/>
    <cellStyle name="Normal 2 11 6 2 2" xfId="22963" xr:uid="{95613241-ED6A-4886-AEED-5A732C6E0102}"/>
    <cellStyle name="Normal 2 11 6 2 3" xfId="22964" xr:uid="{691A7B6F-54EF-4DEB-8B12-E19295EF0514}"/>
    <cellStyle name="Normal 2 11 6 2 4" xfId="22965" xr:uid="{8665D437-A8EC-4BA9-A974-04629FC68AC0}"/>
    <cellStyle name="Normal 2 11 6 2 5" xfId="22966" xr:uid="{53FA87FD-EA08-44F9-832B-4A05CF36B187}"/>
    <cellStyle name="Normal 2 11 6 3" xfId="22967" xr:uid="{B4348E29-245A-48B5-8C16-C6ECDC8F3BAE}"/>
    <cellStyle name="Normal 2 11 6 4" xfId="22968" xr:uid="{75B693B8-78B8-439A-B308-6C4FD7A118D5}"/>
    <cellStyle name="Normal 2 11 6 5" xfId="22969" xr:uid="{B98E6066-27B5-421E-8420-598E06FC65E8}"/>
    <cellStyle name="Normal 2 11 6 6" xfId="22970" xr:uid="{D6349888-4ECF-4E20-82CF-5CAD02B8BDD3}"/>
    <cellStyle name="Normal 2 11 7" xfId="22971" xr:uid="{2122ECA7-22BF-4F69-B721-C76DE57C2B6F}"/>
    <cellStyle name="Normal 2 11 7 2" xfId="22972" xr:uid="{A16E9F9B-6B50-48DC-A6B0-730453A8F786}"/>
    <cellStyle name="Normal 2 11 7 2 2" xfId="22973" xr:uid="{2E876F64-DD1B-4F34-834C-107966E862B8}"/>
    <cellStyle name="Normal 2 11 7 2 3" xfId="22974" xr:uid="{E8404AAE-EEFA-4D55-A992-5D074F6E5E43}"/>
    <cellStyle name="Normal 2 11 7 2 4" xfId="22975" xr:uid="{F32DD50B-AB55-4319-AFDE-CAC480B55E36}"/>
    <cellStyle name="Normal 2 11 7 2 5" xfId="22976" xr:uid="{389FE648-43AC-4684-B857-6DFACBF308DC}"/>
    <cellStyle name="Normal 2 11 7 3" xfId="22977" xr:uid="{F152CC24-2978-41E8-92E4-93991BA5D922}"/>
    <cellStyle name="Normal 2 11 7 4" xfId="22978" xr:uid="{384B4D94-8596-4D0E-A775-F724F127C12E}"/>
    <cellStyle name="Normal 2 11 7 5" xfId="22979" xr:uid="{29950F87-4ABA-46E9-8B23-2296E5C64BE5}"/>
    <cellStyle name="Normal 2 11 7 6" xfId="22980" xr:uid="{D0490D1F-FD0D-49CD-94C3-2B5C98D5DA47}"/>
    <cellStyle name="Normal 2 11 8" xfId="22981" xr:uid="{E807D8AF-B499-48C8-950E-AD721ECC067B}"/>
    <cellStyle name="Normal 2 11 8 2" xfId="22982" xr:uid="{4727591F-E5B7-452E-A86C-3F09ED9D0592}"/>
    <cellStyle name="Normal 2 11 8 3" xfId="22983" xr:uid="{9ADDAE9B-BD3E-471A-AA50-EF6720B975F0}"/>
    <cellStyle name="Normal 2 11 8 4" xfId="22984" xr:uid="{82E1E577-08D1-461A-8318-2470C6F53DAD}"/>
    <cellStyle name="Normal 2 11 8 5" xfId="22985" xr:uid="{EDC0805C-2FFE-4D7F-9256-FBDFD2705627}"/>
    <cellStyle name="Normal 2 11 9" xfId="22986" xr:uid="{87FF51CF-533B-4525-A06D-80BCF75C3EE1}"/>
    <cellStyle name="Normal 2 11 9 2" xfId="22987" xr:uid="{3C5B01AA-845B-417C-AD4E-3CF3FE1C76B2}"/>
    <cellStyle name="Normal 2 11 9 3" xfId="22988" xr:uid="{DE3CB3DC-E8B0-4F72-9937-E9AEB1480295}"/>
    <cellStyle name="Normal 2 11 9 4" xfId="22989" xr:uid="{C2C5B1F6-DE96-4CD6-A5BC-E01A6B568E90}"/>
    <cellStyle name="Normal 2 11 9 5" xfId="22990" xr:uid="{7B189CD5-D73C-4B7F-A9FE-60E17574CDC0}"/>
    <cellStyle name="Normal 2 12" xfId="225" xr:uid="{AB281965-F885-437C-9A22-E4C31E2ED390}"/>
    <cellStyle name="Normal 2 12 10" xfId="22991" xr:uid="{65B29290-1A03-45E3-847D-D72480F733AA}"/>
    <cellStyle name="Normal 2 12 10 2" xfId="22992" xr:uid="{6512A2A3-8E84-47B5-A02F-574F8413F66C}"/>
    <cellStyle name="Normal 2 12 10 3" xfId="22993" xr:uid="{6D986CD5-6B88-4277-8A64-5CDA383D430A}"/>
    <cellStyle name="Normal 2 12 10 4" xfId="22994" xr:uid="{2A9FC5F6-3B62-4BFA-A290-217E5D224645}"/>
    <cellStyle name="Normal 2 12 10 5" xfId="22995" xr:uid="{1EF1BCDD-5B17-46DE-BBC8-9BD1B0FCDCAE}"/>
    <cellStyle name="Normal 2 12 11" xfId="22996" xr:uid="{65CF713B-801E-45CE-8C3B-A8C8EB6D50C8}"/>
    <cellStyle name="Normal 2 12 11 2" xfId="22997" xr:uid="{5B4AEF8E-A881-41F3-BDA0-4DACF57B09FA}"/>
    <cellStyle name="Normal 2 12 11 3" xfId="22998" xr:uid="{E3C1311A-85FA-4E8A-9AC1-D50B3D9CE931}"/>
    <cellStyle name="Normal 2 12 11 4" xfId="22999" xr:uid="{35018491-6185-42D4-A0A3-C1049A02C2AC}"/>
    <cellStyle name="Normal 2 12 11 5" xfId="23000" xr:uid="{CDCF31D5-BE03-4A76-A7ED-A8CAC1DD7217}"/>
    <cellStyle name="Normal 2 12 12" xfId="23001" xr:uid="{ABF43E0F-6492-4AE4-8FCC-A21559738892}"/>
    <cellStyle name="Normal 2 12 13" xfId="23002" xr:uid="{B0644F27-8AF1-45E7-91C7-E6449F72D29E}"/>
    <cellStyle name="Normal 2 12 14" xfId="23003" xr:uid="{4162A78E-D8AB-4519-8BAD-318D60009F79}"/>
    <cellStyle name="Normal 2 12 15" xfId="23004" xr:uid="{C74A24EE-B973-49A5-88A1-0DFCDED434ED}"/>
    <cellStyle name="Normal 2 12 2" xfId="23005" xr:uid="{AF77D944-CA24-4E1F-9C47-EA076FF453B2}"/>
    <cellStyle name="Normal 2 12 2 10" xfId="23006" xr:uid="{665B07EF-AFE1-44D0-8924-6DC9DD3CF12A}"/>
    <cellStyle name="Normal 2 12 2 10 2" xfId="23007" xr:uid="{B3006311-93B1-47EC-876D-12E094D0817C}"/>
    <cellStyle name="Normal 2 12 2 10 3" xfId="23008" xr:uid="{287A935C-1E3C-4E00-927F-B14B169748DD}"/>
    <cellStyle name="Normal 2 12 2 10 4" xfId="23009" xr:uid="{1F6A07C6-DF4D-4E2C-A07A-9BBFCFD406C8}"/>
    <cellStyle name="Normal 2 12 2 10 5" xfId="23010" xr:uid="{FCB021B4-02C0-4A6F-B2EA-A7B125F34E18}"/>
    <cellStyle name="Normal 2 12 2 11" xfId="23011" xr:uid="{1A369C37-92DE-496E-A762-E43A26E09FEF}"/>
    <cellStyle name="Normal 2 12 2 12" xfId="23012" xr:uid="{51E6A006-84B5-40E8-A7E1-4877C6845863}"/>
    <cellStyle name="Normal 2 12 2 13" xfId="23013" xr:uid="{D0DCD9AA-8017-425D-BA11-EDA21A979D6C}"/>
    <cellStyle name="Normal 2 12 2 14" xfId="23014" xr:uid="{C733B417-7D5C-4A94-A29E-F858BE092625}"/>
    <cellStyle name="Normal 2 12 2 2" xfId="23015" xr:uid="{68E91CA3-0B71-413F-8A79-9BC511E4E0DD}"/>
    <cellStyle name="Normal 2 12 2 2 10" xfId="23016" xr:uid="{64A8201A-359D-4881-A4AB-9EB0E19D23FD}"/>
    <cellStyle name="Normal 2 12 2 2 11" xfId="23017" xr:uid="{13D4812B-DDEC-486F-8E43-F5002C50C056}"/>
    <cellStyle name="Normal 2 12 2 2 12" xfId="23018" xr:uid="{6303E96C-B5A2-433E-B6B1-91FAB0D07DB2}"/>
    <cellStyle name="Normal 2 12 2 2 13" xfId="23019" xr:uid="{031D5A12-CCAE-434F-8CC1-191825D33D42}"/>
    <cellStyle name="Normal 2 12 2 2 2" xfId="23020" xr:uid="{7F9F7C49-85A1-46A1-825F-66B982236E6E}"/>
    <cellStyle name="Normal 2 12 2 2 2 10" xfId="23021" xr:uid="{930E2203-1DCD-445E-92BB-421B4008A62F}"/>
    <cellStyle name="Normal 2 12 2 2 2 11" xfId="23022" xr:uid="{9CB88663-AA60-47BD-AB3C-7DCE19A3E661}"/>
    <cellStyle name="Normal 2 12 2 2 2 12" xfId="23023" xr:uid="{4FF6D3A3-5A54-4BC0-8DB8-1DB71BA22A55}"/>
    <cellStyle name="Normal 2 12 2 2 2 2" xfId="23024" xr:uid="{9C22AE50-F626-48A3-8FFF-8FEDB5E58BC3}"/>
    <cellStyle name="Normal 2 12 2 2 2 2 2" xfId="23025" xr:uid="{4BB96ED0-05A3-4A4B-91B2-4797EB3EC3F8}"/>
    <cellStyle name="Normal 2 12 2 2 2 2 2 2" xfId="23026" xr:uid="{ED99E9EF-5B97-4C61-9824-99F9EF303A8A}"/>
    <cellStyle name="Normal 2 12 2 2 2 2 2 3" xfId="23027" xr:uid="{711E7162-4E57-431C-B898-0CFD5EFE7BF6}"/>
    <cellStyle name="Normal 2 12 2 2 2 2 2 4" xfId="23028" xr:uid="{CDAEE6B5-93EF-459D-B2E7-590A51250168}"/>
    <cellStyle name="Normal 2 12 2 2 2 2 2 5" xfId="23029" xr:uid="{A9B77A3E-281D-4FA1-849B-314F7BC3C74B}"/>
    <cellStyle name="Normal 2 12 2 2 2 2 3" xfId="23030" xr:uid="{667BA67E-BACF-4F2E-B97E-59AF894D4615}"/>
    <cellStyle name="Normal 2 12 2 2 2 2 4" xfId="23031" xr:uid="{7292D895-3A89-45B8-A816-82766942676F}"/>
    <cellStyle name="Normal 2 12 2 2 2 2 5" xfId="23032" xr:uid="{A5D0328C-A447-413E-9921-D7E98B709E8C}"/>
    <cellStyle name="Normal 2 12 2 2 2 2 6" xfId="23033" xr:uid="{6FCB0527-B60E-4E8A-90AD-EC87313049EB}"/>
    <cellStyle name="Normal 2 12 2 2 2 3" xfId="23034" xr:uid="{6E3BBAB1-9134-4D3A-8A9A-3242A04B3FE1}"/>
    <cellStyle name="Normal 2 12 2 2 2 3 2" xfId="23035" xr:uid="{F8CCB5C7-0BB5-4119-B432-2F3526B61101}"/>
    <cellStyle name="Normal 2 12 2 2 2 3 2 2" xfId="23036" xr:uid="{392D232E-1633-458A-9572-D21BDED7D657}"/>
    <cellStyle name="Normal 2 12 2 2 2 3 2 3" xfId="23037" xr:uid="{E354CE21-B4B1-4F38-964D-73C9B9C27D85}"/>
    <cellStyle name="Normal 2 12 2 2 2 3 2 4" xfId="23038" xr:uid="{BBEF1883-CB39-43EE-8170-F8FAABD26DA3}"/>
    <cellStyle name="Normal 2 12 2 2 2 3 2 5" xfId="23039" xr:uid="{8E3C2CB3-31E4-4EE7-8E2E-204BFF843586}"/>
    <cellStyle name="Normal 2 12 2 2 2 3 3" xfId="23040" xr:uid="{E0109F52-E6DC-42FE-B993-38407B95BE00}"/>
    <cellStyle name="Normal 2 12 2 2 2 3 4" xfId="23041" xr:uid="{D1894BFB-28EA-4F78-9F59-858360146970}"/>
    <cellStyle name="Normal 2 12 2 2 2 3 5" xfId="23042" xr:uid="{8B9EF9CC-6B44-4BD1-9168-86778D9B97F4}"/>
    <cellStyle name="Normal 2 12 2 2 2 3 6" xfId="23043" xr:uid="{7593EB79-E3E7-49B4-A2EB-B0B865CF5348}"/>
    <cellStyle name="Normal 2 12 2 2 2 4" xfId="23044" xr:uid="{C0616DFC-DA91-42B2-941A-DB0E86E7315B}"/>
    <cellStyle name="Normal 2 12 2 2 2 4 2" xfId="23045" xr:uid="{37CE5274-A434-40DD-942B-8EA3F879FAB7}"/>
    <cellStyle name="Normal 2 12 2 2 2 4 2 2" xfId="23046" xr:uid="{C2D74A65-9966-4C89-93FA-1936CDCE95C2}"/>
    <cellStyle name="Normal 2 12 2 2 2 4 2 3" xfId="23047" xr:uid="{7EFA44A5-C4C5-4631-86B0-DD0E968055BA}"/>
    <cellStyle name="Normal 2 12 2 2 2 4 2 4" xfId="23048" xr:uid="{8A15C855-53BE-4440-904B-4DEDAB589F51}"/>
    <cellStyle name="Normal 2 12 2 2 2 4 2 5" xfId="23049" xr:uid="{90E2FE60-4875-4A5F-8F8F-5ED745106A8C}"/>
    <cellStyle name="Normal 2 12 2 2 2 4 3" xfId="23050" xr:uid="{5992C3FD-0788-4BCD-85BD-C584E529331C}"/>
    <cellStyle name="Normal 2 12 2 2 2 4 4" xfId="23051" xr:uid="{90F1EC1A-C0B8-40D4-A8F2-5F9B7EB3A990}"/>
    <cellStyle name="Normal 2 12 2 2 2 4 5" xfId="23052" xr:uid="{2BC3882A-F5CC-4401-8590-AA9B4FFC0DF5}"/>
    <cellStyle name="Normal 2 12 2 2 2 4 6" xfId="23053" xr:uid="{6368D712-3F81-45DE-B0C9-1683D81AF4CF}"/>
    <cellStyle name="Normal 2 12 2 2 2 5" xfId="23054" xr:uid="{DBA0C67B-B797-48AF-B1E8-CE34F3F014E4}"/>
    <cellStyle name="Normal 2 12 2 2 2 5 2" xfId="23055" xr:uid="{212CE59C-21FA-4A8B-8F83-7214C414A958}"/>
    <cellStyle name="Normal 2 12 2 2 2 5 3" xfId="23056" xr:uid="{BFD4E185-B279-46C0-AFF3-E1D2E8F29D8B}"/>
    <cellStyle name="Normal 2 12 2 2 2 5 4" xfId="23057" xr:uid="{4E18FA71-0816-4E5B-9BAA-BCEFB5F228CD}"/>
    <cellStyle name="Normal 2 12 2 2 2 5 5" xfId="23058" xr:uid="{11153227-99A2-4800-A094-C9F686386650}"/>
    <cellStyle name="Normal 2 12 2 2 2 6" xfId="23059" xr:uid="{4EE3A224-09AB-4B8A-A124-A53253EE32CB}"/>
    <cellStyle name="Normal 2 12 2 2 2 6 2" xfId="23060" xr:uid="{6E06E226-CD65-4B3D-A348-59FDD21122FF}"/>
    <cellStyle name="Normal 2 12 2 2 2 6 3" xfId="23061" xr:uid="{9B09618F-7697-4E7D-853D-3CCBEF8C1144}"/>
    <cellStyle name="Normal 2 12 2 2 2 6 4" xfId="23062" xr:uid="{A0154546-4FBB-48C4-8738-1A65C7F46573}"/>
    <cellStyle name="Normal 2 12 2 2 2 6 5" xfId="23063" xr:uid="{96E7FBC4-21F4-4587-AF58-6B169C88F1C7}"/>
    <cellStyle name="Normal 2 12 2 2 2 7" xfId="23064" xr:uid="{159718BC-4851-4962-9927-86A5E5114CE1}"/>
    <cellStyle name="Normal 2 12 2 2 2 7 2" xfId="23065" xr:uid="{0BB8AA08-CE7C-4728-B215-2364702A2317}"/>
    <cellStyle name="Normal 2 12 2 2 2 7 3" xfId="23066" xr:uid="{30426BFE-4D7E-4CC1-BF33-5D8D3FBBD75D}"/>
    <cellStyle name="Normal 2 12 2 2 2 7 4" xfId="23067" xr:uid="{8EF7F280-BDCA-48C2-8B17-663778F26801}"/>
    <cellStyle name="Normal 2 12 2 2 2 7 5" xfId="23068" xr:uid="{02343E1D-04DA-45CE-8C5C-B07A414BFC70}"/>
    <cellStyle name="Normal 2 12 2 2 2 8" xfId="23069" xr:uid="{F861815C-75FF-4A72-86FD-429E1018FCB2}"/>
    <cellStyle name="Normal 2 12 2 2 2 8 2" xfId="23070" xr:uid="{8417CEE3-700C-4F8A-89F5-15F7828AA71D}"/>
    <cellStyle name="Normal 2 12 2 2 2 8 3" xfId="23071" xr:uid="{23BC51F4-F150-4731-A8A5-79D1993CC0D6}"/>
    <cellStyle name="Normal 2 12 2 2 2 8 4" xfId="23072" xr:uid="{40B45307-0DAD-4F04-BC69-4F1D864FD022}"/>
    <cellStyle name="Normal 2 12 2 2 2 8 5" xfId="23073" xr:uid="{20C36BCE-AC14-4A10-8DBC-89DABF288E85}"/>
    <cellStyle name="Normal 2 12 2 2 2 9" xfId="23074" xr:uid="{F47C5974-56CE-487A-AC68-700C026BE0B9}"/>
    <cellStyle name="Normal 2 12 2 2 3" xfId="23075" xr:uid="{D5BB19B9-D6D4-4E6E-A82B-E42E80B1EFEE}"/>
    <cellStyle name="Normal 2 12 2 2 3 2" xfId="23076" xr:uid="{2A82A1C3-85CB-4BBF-A3D0-73B8F7D9D3FE}"/>
    <cellStyle name="Normal 2 12 2 2 3 2 2" xfId="23077" xr:uid="{45B0D3BA-DDD3-4CE9-872A-A14013C02196}"/>
    <cellStyle name="Normal 2 12 2 2 3 2 3" xfId="23078" xr:uid="{5E417210-61FB-4088-B557-21B6043B48B7}"/>
    <cellStyle name="Normal 2 12 2 2 3 2 4" xfId="23079" xr:uid="{EECD3486-826D-4AB1-91B1-44874E2AF156}"/>
    <cellStyle name="Normal 2 12 2 2 3 2 5" xfId="23080" xr:uid="{B0F3EFF5-B397-45CD-AEFE-5C9766EF1598}"/>
    <cellStyle name="Normal 2 12 2 2 3 3" xfId="23081" xr:uid="{7CD0CF12-5496-402C-9C9C-E2EEF0D7F765}"/>
    <cellStyle name="Normal 2 12 2 2 3 4" xfId="23082" xr:uid="{B895FE42-FFC4-44FE-A290-647D0B4607C0}"/>
    <cellStyle name="Normal 2 12 2 2 3 5" xfId="23083" xr:uid="{C06A1337-95B3-4897-8245-171BE3A8E1E0}"/>
    <cellStyle name="Normal 2 12 2 2 3 6" xfId="23084" xr:uid="{7B5D199B-A024-487D-9991-E2FE9A235EAC}"/>
    <cellStyle name="Normal 2 12 2 2 4" xfId="23085" xr:uid="{DB22569D-334C-4C35-BE7A-BBD651EAAA62}"/>
    <cellStyle name="Normal 2 12 2 2 4 2" xfId="23086" xr:uid="{69D2959D-9932-4927-B1DB-C7F3898ACF15}"/>
    <cellStyle name="Normal 2 12 2 2 4 2 2" xfId="23087" xr:uid="{63BEBCE4-9968-4170-A0AC-F613B4754F3E}"/>
    <cellStyle name="Normal 2 12 2 2 4 2 3" xfId="23088" xr:uid="{8E6B0783-A1C3-4AFB-85B4-AF54788681FE}"/>
    <cellStyle name="Normal 2 12 2 2 4 2 4" xfId="23089" xr:uid="{EA03F5DC-5DF6-4225-93D0-3EAA28544484}"/>
    <cellStyle name="Normal 2 12 2 2 4 2 5" xfId="23090" xr:uid="{11092B38-0B53-48B8-AF9D-C72529A17597}"/>
    <cellStyle name="Normal 2 12 2 2 4 3" xfId="23091" xr:uid="{E551F08F-3C03-478E-9A15-E06966DACD0E}"/>
    <cellStyle name="Normal 2 12 2 2 4 4" xfId="23092" xr:uid="{2CEC9827-BDD8-4904-855D-B01A99397514}"/>
    <cellStyle name="Normal 2 12 2 2 4 5" xfId="23093" xr:uid="{982B71F3-8775-437B-AFC6-83F8D2310907}"/>
    <cellStyle name="Normal 2 12 2 2 4 6" xfId="23094" xr:uid="{066CB6DB-176D-43F6-9047-F8B9204E1E34}"/>
    <cellStyle name="Normal 2 12 2 2 5" xfId="23095" xr:uid="{C11EBEE8-541E-4B51-B6E2-C0393FA7527D}"/>
    <cellStyle name="Normal 2 12 2 2 5 2" xfId="23096" xr:uid="{693E051F-2874-40BB-98EE-AE1CB48FBEC0}"/>
    <cellStyle name="Normal 2 12 2 2 5 2 2" xfId="23097" xr:uid="{8B0C2B35-33C4-4D7F-8E03-D367427E0373}"/>
    <cellStyle name="Normal 2 12 2 2 5 2 3" xfId="23098" xr:uid="{3AB2A368-A24E-44A1-913D-BDFD3A53C580}"/>
    <cellStyle name="Normal 2 12 2 2 5 2 4" xfId="23099" xr:uid="{53B840C9-7951-46F5-BEE1-019AC891E56D}"/>
    <cellStyle name="Normal 2 12 2 2 5 2 5" xfId="23100" xr:uid="{B3A41E7C-DBF5-4123-97B5-CE6FA663FE07}"/>
    <cellStyle name="Normal 2 12 2 2 5 3" xfId="23101" xr:uid="{FFBA860C-7959-4C9A-BBEA-4A7119AFA571}"/>
    <cellStyle name="Normal 2 12 2 2 5 4" xfId="23102" xr:uid="{10E8C809-FEAA-4E03-A6CC-5B04936D99EA}"/>
    <cellStyle name="Normal 2 12 2 2 5 5" xfId="23103" xr:uid="{3E22B009-1009-4AC6-A78E-B34F112C939F}"/>
    <cellStyle name="Normal 2 12 2 2 5 6" xfId="23104" xr:uid="{54B4C142-1D0F-45D4-964D-C4FCE4D915BC}"/>
    <cellStyle name="Normal 2 12 2 2 6" xfId="23105" xr:uid="{127028B0-8AFB-4D43-A0F6-49FB3BEFDDB8}"/>
    <cellStyle name="Normal 2 12 2 2 6 2" xfId="23106" xr:uid="{54E0D33A-EE3A-4B88-A3A4-E07EE03617C7}"/>
    <cellStyle name="Normal 2 12 2 2 6 3" xfId="23107" xr:uid="{258A89B3-EC11-4260-8229-9994A0E86E31}"/>
    <cellStyle name="Normal 2 12 2 2 6 4" xfId="23108" xr:uid="{BE47C610-2157-481C-84C4-BF3729B26924}"/>
    <cellStyle name="Normal 2 12 2 2 6 5" xfId="23109" xr:uid="{0E6F9340-FCDC-4337-9AD5-6A77DDD1A5FC}"/>
    <cellStyle name="Normal 2 12 2 2 7" xfId="23110" xr:uid="{7DA3AC6F-1179-4846-8279-B7672A9E524E}"/>
    <cellStyle name="Normal 2 12 2 2 7 2" xfId="23111" xr:uid="{81F39586-920E-43E3-ACC1-0BBC85AB33B9}"/>
    <cellStyle name="Normal 2 12 2 2 7 3" xfId="23112" xr:uid="{F9E2B2E2-B5EC-4F35-9105-B6F0E7319BD4}"/>
    <cellStyle name="Normal 2 12 2 2 7 4" xfId="23113" xr:uid="{A283D816-A5E4-4451-8A22-AA6CA4A3B4C2}"/>
    <cellStyle name="Normal 2 12 2 2 7 5" xfId="23114" xr:uid="{C4F99CF3-167C-4134-A6B6-74D78B36C301}"/>
    <cellStyle name="Normal 2 12 2 2 8" xfId="23115" xr:uid="{1D27C784-84A0-4F8E-96BC-9447F9375D1E}"/>
    <cellStyle name="Normal 2 12 2 2 8 2" xfId="23116" xr:uid="{D0C193C5-C639-458F-B817-29AFD83E6532}"/>
    <cellStyle name="Normal 2 12 2 2 8 3" xfId="23117" xr:uid="{6407B9EE-F844-49B5-821A-A7D8591DD980}"/>
    <cellStyle name="Normal 2 12 2 2 8 4" xfId="23118" xr:uid="{FC09ECC3-3F52-4194-857C-1441B91149C0}"/>
    <cellStyle name="Normal 2 12 2 2 8 5" xfId="23119" xr:uid="{798395E3-E93F-434F-B361-78A8F0B6D06A}"/>
    <cellStyle name="Normal 2 12 2 2 9" xfId="23120" xr:uid="{BC8CC3C9-50C7-4B43-A290-A68B2D9905A9}"/>
    <cellStyle name="Normal 2 12 2 2 9 2" xfId="23121" xr:uid="{72024CB8-9132-4CEC-BAFB-13DD3C1E6641}"/>
    <cellStyle name="Normal 2 12 2 2 9 3" xfId="23122" xr:uid="{53D84D5A-CC65-40FF-A595-2556B9493595}"/>
    <cellStyle name="Normal 2 12 2 2 9 4" xfId="23123" xr:uid="{92D1243A-ECBC-4564-9CB0-53F3CC56B08D}"/>
    <cellStyle name="Normal 2 12 2 2 9 5" xfId="23124" xr:uid="{5B9BC791-ED57-40D1-A634-416C756294E6}"/>
    <cellStyle name="Normal 2 12 2 3" xfId="23125" xr:uid="{BCF43CB2-15E3-4349-B646-A1B181E4A7A5}"/>
    <cellStyle name="Normal 2 12 2 3 10" xfId="23126" xr:uid="{732F4AE0-84F2-4531-8E5C-FDF931ED95A8}"/>
    <cellStyle name="Normal 2 12 2 3 11" xfId="23127" xr:uid="{ADCFD4BD-96B4-4A51-B812-1D8242261353}"/>
    <cellStyle name="Normal 2 12 2 3 12" xfId="23128" xr:uid="{2BF7FEF7-C593-4EE6-B275-07BB81E556B6}"/>
    <cellStyle name="Normal 2 12 2 3 2" xfId="23129" xr:uid="{29DED75D-5E1D-4A86-A770-AF5A18EF7080}"/>
    <cellStyle name="Normal 2 12 2 3 2 2" xfId="23130" xr:uid="{C2A6F60D-24D1-46DD-9FDB-31F4C73E3A54}"/>
    <cellStyle name="Normal 2 12 2 3 2 2 2" xfId="23131" xr:uid="{5416F5C3-6E45-41C5-98D2-69E03A42FC19}"/>
    <cellStyle name="Normal 2 12 2 3 2 2 3" xfId="23132" xr:uid="{E57DEF2F-EE75-4D93-9851-44E2E73D57DA}"/>
    <cellStyle name="Normal 2 12 2 3 2 2 4" xfId="23133" xr:uid="{9E680C8A-8843-44AA-BAE7-85E7C2B9E735}"/>
    <cellStyle name="Normal 2 12 2 3 2 2 5" xfId="23134" xr:uid="{4BC6E8A8-1F51-4E3D-85EE-370B90781F53}"/>
    <cellStyle name="Normal 2 12 2 3 2 3" xfId="23135" xr:uid="{8DBD74DC-C8CA-4007-A9BD-8F3701C5B11A}"/>
    <cellStyle name="Normal 2 12 2 3 2 4" xfId="23136" xr:uid="{D0A2A90E-9A19-4032-A71B-B26B185342BF}"/>
    <cellStyle name="Normal 2 12 2 3 2 5" xfId="23137" xr:uid="{A3381B18-A23F-47E7-8C02-6558F923DF61}"/>
    <cellStyle name="Normal 2 12 2 3 2 6" xfId="23138" xr:uid="{B1CE4C6B-7511-4704-ADBD-7580983C3F69}"/>
    <cellStyle name="Normal 2 12 2 3 3" xfId="23139" xr:uid="{E6469274-0BAD-4299-9D14-D75526C34DB8}"/>
    <cellStyle name="Normal 2 12 2 3 3 2" xfId="23140" xr:uid="{B63DC740-1D2C-44CC-BFA2-C8E8705B0BD8}"/>
    <cellStyle name="Normal 2 12 2 3 3 2 2" xfId="23141" xr:uid="{6FD1239D-4D1E-4CEE-9617-37B5A7E0FC32}"/>
    <cellStyle name="Normal 2 12 2 3 3 2 3" xfId="23142" xr:uid="{4827BB0B-043E-4905-8108-558485BC7F0B}"/>
    <cellStyle name="Normal 2 12 2 3 3 2 4" xfId="23143" xr:uid="{807EEEC2-05D5-48AE-983B-952DC590B960}"/>
    <cellStyle name="Normal 2 12 2 3 3 2 5" xfId="23144" xr:uid="{AC778307-4EE8-4060-BAC3-C3E6FEAD933E}"/>
    <cellStyle name="Normal 2 12 2 3 3 3" xfId="23145" xr:uid="{7D732DF9-772B-4DD3-8F0B-C57ADFA3AAE8}"/>
    <cellStyle name="Normal 2 12 2 3 3 4" xfId="23146" xr:uid="{B844A17C-F0AF-4B6D-8E36-B24B41634981}"/>
    <cellStyle name="Normal 2 12 2 3 3 5" xfId="23147" xr:uid="{F9BFBA82-A20C-4985-9870-59ACB5242C0D}"/>
    <cellStyle name="Normal 2 12 2 3 3 6" xfId="23148" xr:uid="{1A7C3FF1-8541-4445-90C3-07F6A987B0BB}"/>
    <cellStyle name="Normal 2 12 2 3 4" xfId="23149" xr:uid="{D18D2F38-5DBA-4A8B-8EE9-72A43C79B9B9}"/>
    <cellStyle name="Normal 2 12 2 3 4 2" xfId="23150" xr:uid="{20D87F4B-9D6A-4D51-8F74-62FF6B4E2563}"/>
    <cellStyle name="Normal 2 12 2 3 4 2 2" xfId="23151" xr:uid="{31805D52-FF4D-420E-ACDA-13795EFA19F9}"/>
    <cellStyle name="Normal 2 12 2 3 4 2 3" xfId="23152" xr:uid="{F3621D24-3306-4C0E-A8EC-85D7A848C81C}"/>
    <cellStyle name="Normal 2 12 2 3 4 2 4" xfId="23153" xr:uid="{38942310-0CE1-446E-A9E7-248F8D19EFC4}"/>
    <cellStyle name="Normal 2 12 2 3 4 2 5" xfId="23154" xr:uid="{70C3FA40-6C7E-4395-9D27-D8881FFFF1CE}"/>
    <cellStyle name="Normal 2 12 2 3 4 3" xfId="23155" xr:uid="{7495406A-9D51-4F49-9F18-6AE780EB551F}"/>
    <cellStyle name="Normal 2 12 2 3 4 4" xfId="23156" xr:uid="{563A9343-2EE3-4DE7-A568-A0F07657865B}"/>
    <cellStyle name="Normal 2 12 2 3 4 5" xfId="23157" xr:uid="{C0F39EDA-A50C-494D-87B2-5F007CF20728}"/>
    <cellStyle name="Normal 2 12 2 3 4 6" xfId="23158" xr:uid="{36583F4A-C375-473D-A23A-89953BC68328}"/>
    <cellStyle name="Normal 2 12 2 3 5" xfId="23159" xr:uid="{E233FCCA-F5E4-4076-967E-80805CFE73BC}"/>
    <cellStyle name="Normal 2 12 2 3 5 2" xfId="23160" xr:uid="{63488B8B-F77D-45F3-A968-113131AB9969}"/>
    <cellStyle name="Normal 2 12 2 3 5 3" xfId="23161" xr:uid="{F1CFB18E-0393-4292-BDC1-87EBF1220A65}"/>
    <cellStyle name="Normal 2 12 2 3 5 4" xfId="23162" xr:uid="{44124A6C-685A-4761-B1E0-A8871DB7D288}"/>
    <cellStyle name="Normal 2 12 2 3 5 5" xfId="23163" xr:uid="{A25A64A2-5CA9-472C-BB3F-62B674618B36}"/>
    <cellStyle name="Normal 2 12 2 3 6" xfId="23164" xr:uid="{BF970C80-EB07-4746-B691-E71D4FF674C1}"/>
    <cellStyle name="Normal 2 12 2 3 6 2" xfId="23165" xr:uid="{348B316F-5DE8-4B18-B14E-EE9CA61670CE}"/>
    <cellStyle name="Normal 2 12 2 3 6 3" xfId="23166" xr:uid="{6BF6DD07-2EE7-4B12-AEC1-4865C6C4689F}"/>
    <cellStyle name="Normal 2 12 2 3 6 4" xfId="23167" xr:uid="{AB654765-9AC6-4E18-B5F2-0F3D54EF7E1E}"/>
    <cellStyle name="Normal 2 12 2 3 6 5" xfId="23168" xr:uid="{A92AC323-EEE0-4805-9CBD-A9BED7BAD275}"/>
    <cellStyle name="Normal 2 12 2 3 7" xfId="23169" xr:uid="{A37AA45F-4EAE-4AAA-9A17-E2E1256134FF}"/>
    <cellStyle name="Normal 2 12 2 3 7 2" xfId="23170" xr:uid="{71A74DC7-A1BD-414A-ABBB-E3C452EE55AC}"/>
    <cellStyle name="Normal 2 12 2 3 7 3" xfId="23171" xr:uid="{B47ABB38-6764-4067-A510-858084ABD685}"/>
    <cellStyle name="Normal 2 12 2 3 7 4" xfId="23172" xr:uid="{1730F75B-0EE7-4599-861B-225ED47B1139}"/>
    <cellStyle name="Normal 2 12 2 3 7 5" xfId="23173" xr:uid="{1A3C0650-4712-4940-BE04-202273375B27}"/>
    <cellStyle name="Normal 2 12 2 3 8" xfId="23174" xr:uid="{AAC0B521-BC9F-44E8-BBA9-09EF2A4E3DAA}"/>
    <cellStyle name="Normal 2 12 2 3 8 2" xfId="23175" xr:uid="{73244F72-880C-4CAD-86E3-A9F00ADC9629}"/>
    <cellStyle name="Normal 2 12 2 3 8 3" xfId="23176" xr:uid="{E20F7524-B935-40BA-B3BD-D6D14FE69362}"/>
    <cellStyle name="Normal 2 12 2 3 8 4" xfId="23177" xr:uid="{6DF757DC-175D-44DF-B487-75B2597AB14B}"/>
    <cellStyle name="Normal 2 12 2 3 8 5" xfId="23178" xr:uid="{74753AD0-ABAD-41FF-89B6-6A210AEDD08D}"/>
    <cellStyle name="Normal 2 12 2 3 9" xfId="23179" xr:uid="{C1C6379B-1208-47D2-9632-0EBA7A459717}"/>
    <cellStyle name="Normal 2 12 2 4" xfId="23180" xr:uid="{5220E43A-5E95-4007-B305-5EF62F678945}"/>
    <cellStyle name="Normal 2 12 2 4 2" xfId="23181" xr:uid="{710F61C4-BD8A-4FB7-892F-59ED1B0741F3}"/>
    <cellStyle name="Normal 2 12 2 4 2 2" xfId="23182" xr:uid="{FD1DD8EA-0C96-4F8B-87AD-4CC1C4F6CF82}"/>
    <cellStyle name="Normal 2 12 2 4 2 3" xfId="23183" xr:uid="{B55C2341-1F4B-42F1-AF68-9B1F212AEE6F}"/>
    <cellStyle name="Normal 2 12 2 4 2 4" xfId="23184" xr:uid="{C02A4D45-E69B-4908-AD1F-C87D8120F63E}"/>
    <cellStyle name="Normal 2 12 2 4 2 5" xfId="23185" xr:uid="{35FEB3EF-1B3D-4A5B-B17E-F9DA1C0D5E26}"/>
    <cellStyle name="Normal 2 12 2 4 3" xfId="23186" xr:uid="{4385FC7C-B202-438E-89E6-6FA3FA84EAEB}"/>
    <cellStyle name="Normal 2 12 2 4 4" xfId="23187" xr:uid="{0D2D3498-6F13-4D69-A55C-AEB01B205B19}"/>
    <cellStyle name="Normal 2 12 2 4 5" xfId="23188" xr:uid="{C16D6BEB-394E-4F2B-8001-FD28DD0AF925}"/>
    <cellStyle name="Normal 2 12 2 4 6" xfId="23189" xr:uid="{C6C0F159-91E6-47FD-89C9-15A404AADA2B}"/>
    <cellStyle name="Normal 2 12 2 5" xfId="23190" xr:uid="{91C7F246-5BFD-46EC-8383-209BD826C328}"/>
    <cellStyle name="Normal 2 12 2 5 2" xfId="23191" xr:uid="{0ED2887E-B4F1-49BD-B85D-0293C2B58AD9}"/>
    <cellStyle name="Normal 2 12 2 5 2 2" xfId="23192" xr:uid="{A8F2BE4A-E95F-4027-A25B-E09C397B0C3D}"/>
    <cellStyle name="Normal 2 12 2 5 2 3" xfId="23193" xr:uid="{01CBA3E2-7F1B-4E9A-AAB1-807CE2AA89A5}"/>
    <cellStyle name="Normal 2 12 2 5 2 4" xfId="23194" xr:uid="{82789545-3835-4E6A-AB5F-721BA9E8A0FC}"/>
    <cellStyle name="Normal 2 12 2 5 2 5" xfId="23195" xr:uid="{A673918C-17A5-48C0-81D0-683B5472ADDA}"/>
    <cellStyle name="Normal 2 12 2 5 3" xfId="23196" xr:uid="{E76CAD30-90C4-4902-AF74-DD4F0B67E6C5}"/>
    <cellStyle name="Normal 2 12 2 5 4" xfId="23197" xr:uid="{22941507-A266-4A1E-BE79-347DB1CC7E91}"/>
    <cellStyle name="Normal 2 12 2 5 5" xfId="23198" xr:uid="{0480F33A-E477-4218-B465-B81ED1228A69}"/>
    <cellStyle name="Normal 2 12 2 5 6" xfId="23199" xr:uid="{319E67A4-B10B-495A-B528-38AD3BFA6C59}"/>
    <cellStyle name="Normal 2 12 2 6" xfId="23200" xr:uid="{E52A9726-7563-47A2-BC8B-EDBB69C5D807}"/>
    <cellStyle name="Normal 2 12 2 6 2" xfId="23201" xr:uid="{42749F73-A4A1-40AF-96BE-BDC58CD669CC}"/>
    <cellStyle name="Normal 2 12 2 6 2 2" xfId="23202" xr:uid="{88FA072F-4897-47B1-A7DA-DDE8EB6A56EC}"/>
    <cellStyle name="Normal 2 12 2 6 2 3" xfId="23203" xr:uid="{A4B163B1-F86E-40EF-9259-1B5CDDF84412}"/>
    <cellStyle name="Normal 2 12 2 6 2 4" xfId="23204" xr:uid="{BCFC283E-06AA-45E6-8BDC-CF039FD4E562}"/>
    <cellStyle name="Normal 2 12 2 6 2 5" xfId="23205" xr:uid="{DDAABF89-6ABE-4682-AF14-62C92E4A82FF}"/>
    <cellStyle name="Normal 2 12 2 6 3" xfId="23206" xr:uid="{A19359F4-9F82-4CFE-A239-FA0B1013712E}"/>
    <cellStyle name="Normal 2 12 2 6 4" xfId="23207" xr:uid="{3A6ECDAC-8AD4-4EC2-9C3A-3283EAE6CB35}"/>
    <cellStyle name="Normal 2 12 2 6 5" xfId="23208" xr:uid="{B9DCFFC5-BB2E-4F48-8462-80623CDACD65}"/>
    <cellStyle name="Normal 2 12 2 6 6" xfId="23209" xr:uid="{249A6266-8A94-4AAC-8A14-E6575FC229D5}"/>
    <cellStyle name="Normal 2 12 2 7" xfId="23210" xr:uid="{92353820-E9E1-4715-9D4B-956EF8F7E7FD}"/>
    <cellStyle name="Normal 2 12 2 7 2" xfId="23211" xr:uid="{98ABC7E8-582D-4E62-B974-3DF2AF8EB48F}"/>
    <cellStyle name="Normal 2 12 2 7 3" xfId="23212" xr:uid="{0B23FC90-9BFB-4BF9-A023-F6ACD3640B9D}"/>
    <cellStyle name="Normal 2 12 2 7 4" xfId="23213" xr:uid="{5B82CAD8-D5EF-4A39-8CA0-4DE54514D660}"/>
    <cellStyle name="Normal 2 12 2 7 5" xfId="23214" xr:uid="{4B2665A9-0F7B-48AB-B803-FCB7B81BD461}"/>
    <cellStyle name="Normal 2 12 2 8" xfId="23215" xr:uid="{DEF0998F-83BD-445C-B2BA-6A655B08CA99}"/>
    <cellStyle name="Normal 2 12 2 8 2" xfId="23216" xr:uid="{E3D1648A-CFF0-4943-8F7A-F0F77D215B85}"/>
    <cellStyle name="Normal 2 12 2 8 3" xfId="23217" xr:uid="{BEB063A1-EB89-48DD-B9CC-AB1575DEEABF}"/>
    <cellStyle name="Normal 2 12 2 8 4" xfId="23218" xr:uid="{4FB8CA12-E818-46A2-8C7A-485005B10B9D}"/>
    <cellStyle name="Normal 2 12 2 8 5" xfId="23219" xr:uid="{AAC29AA6-EACF-471C-97CE-83C594DE5902}"/>
    <cellStyle name="Normal 2 12 2 9" xfId="23220" xr:uid="{01223F32-4F61-4229-B1FE-29498D054E50}"/>
    <cellStyle name="Normal 2 12 2 9 2" xfId="23221" xr:uid="{A76B10D0-A41F-4D5B-B300-D1C5B08DBF7C}"/>
    <cellStyle name="Normal 2 12 2 9 3" xfId="23222" xr:uid="{37228B52-8D0C-4244-8865-49F16EE59BEA}"/>
    <cellStyle name="Normal 2 12 2 9 4" xfId="23223" xr:uid="{62C333A5-F05A-4BEF-841D-F22B7FFE9BE7}"/>
    <cellStyle name="Normal 2 12 2 9 5" xfId="23224" xr:uid="{036A2E65-6A1F-430D-8451-212C33F57466}"/>
    <cellStyle name="Normal 2 12 3" xfId="23225" xr:uid="{10F505C6-F265-4742-B5EC-631EB987004F}"/>
    <cellStyle name="Normal 2 12 3 10" xfId="23226" xr:uid="{0D1B5683-889F-4863-9363-CE85C5C472F5}"/>
    <cellStyle name="Normal 2 12 3 11" xfId="23227" xr:uid="{AC7524C7-61E2-44E7-8D9D-36BA10CD9339}"/>
    <cellStyle name="Normal 2 12 3 12" xfId="23228" xr:uid="{F6B7A5EC-6488-409D-990F-A1822D4DBC7C}"/>
    <cellStyle name="Normal 2 12 3 13" xfId="23229" xr:uid="{94C60F54-DAF9-4D97-829A-A691AEA77A91}"/>
    <cellStyle name="Normal 2 12 3 2" xfId="23230" xr:uid="{BD09C0D8-F630-44B9-AF9D-A09704D60376}"/>
    <cellStyle name="Normal 2 12 3 2 10" xfId="23231" xr:uid="{2D4E0367-67C1-4F46-8CC0-C136F5C2B8E8}"/>
    <cellStyle name="Normal 2 12 3 2 11" xfId="23232" xr:uid="{7DFC8D8F-DA17-4600-8AB6-04062C51B247}"/>
    <cellStyle name="Normal 2 12 3 2 12" xfId="23233" xr:uid="{FAA57D28-2F6B-446A-97F0-DBC2C50F2EC1}"/>
    <cellStyle name="Normal 2 12 3 2 2" xfId="23234" xr:uid="{0586BEA7-F9EB-4951-A151-5879C0C1C025}"/>
    <cellStyle name="Normal 2 12 3 2 2 2" xfId="23235" xr:uid="{ECA53EFA-3C8F-4B90-9C31-C46ACA9D380E}"/>
    <cellStyle name="Normal 2 12 3 2 2 2 2" xfId="23236" xr:uid="{5603DEF1-0FE5-4616-AF4D-75E43240A215}"/>
    <cellStyle name="Normal 2 12 3 2 2 2 3" xfId="23237" xr:uid="{B4AB3D42-9A51-40D9-85DA-729141CDFD58}"/>
    <cellStyle name="Normal 2 12 3 2 2 2 4" xfId="23238" xr:uid="{59338DD0-A133-4748-A1A0-B9B6C49D2CBD}"/>
    <cellStyle name="Normal 2 12 3 2 2 2 5" xfId="23239" xr:uid="{2D4304B1-ADEC-40FC-A157-994B9AC77B9A}"/>
    <cellStyle name="Normal 2 12 3 2 2 3" xfId="23240" xr:uid="{B76A8619-8C77-447B-ABDD-885A85C36E06}"/>
    <cellStyle name="Normal 2 12 3 2 2 4" xfId="23241" xr:uid="{89F3C0E4-A757-4DC3-86DB-79366BEE0002}"/>
    <cellStyle name="Normal 2 12 3 2 2 5" xfId="23242" xr:uid="{2933E70D-9C76-41CC-B6FA-299214B68781}"/>
    <cellStyle name="Normal 2 12 3 2 2 6" xfId="23243" xr:uid="{ADDB1CBF-EAA4-4A62-849C-BBFCDC1AAAD5}"/>
    <cellStyle name="Normal 2 12 3 2 3" xfId="23244" xr:uid="{A420192E-AE69-4D9A-9A7B-2DAB4D90C800}"/>
    <cellStyle name="Normal 2 12 3 2 3 2" xfId="23245" xr:uid="{05F994B2-958D-4C06-A15E-D5C94EFA6D76}"/>
    <cellStyle name="Normal 2 12 3 2 3 2 2" xfId="23246" xr:uid="{190CF3D7-8DAF-43B4-9E1A-CE24B7CC6393}"/>
    <cellStyle name="Normal 2 12 3 2 3 2 3" xfId="23247" xr:uid="{3346521B-3F91-4D27-A23D-9E81DBFCC486}"/>
    <cellStyle name="Normal 2 12 3 2 3 2 4" xfId="23248" xr:uid="{57C7F761-EF5B-459D-8879-F8E6BCB5674E}"/>
    <cellStyle name="Normal 2 12 3 2 3 2 5" xfId="23249" xr:uid="{36852A19-1DCC-48AB-91D9-C1A3E65BAAFD}"/>
    <cellStyle name="Normal 2 12 3 2 3 3" xfId="23250" xr:uid="{0676B08B-BBC0-410C-BA50-6A0F30C3A801}"/>
    <cellStyle name="Normal 2 12 3 2 3 4" xfId="23251" xr:uid="{D9E03324-4C1C-421D-9CD6-A3867A95BCEB}"/>
    <cellStyle name="Normal 2 12 3 2 3 5" xfId="23252" xr:uid="{C8A94851-8078-454F-9556-E5F0E061A065}"/>
    <cellStyle name="Normal 2 12 3 2 3 6" xfId="23253" xr:uid="{6778BED8-6559-4F9F-BFCB-6C8BC6B1724C}"/>
    <cellStyle name="Normal 2 12 3 2 4" xfId="23254" xr:uid="{1378A09E-F01F-4C1D-A795-17BF86C5DD5D}"/>
    <cellStyle name="Normal 2 12 3 2 4 2" xfId="23255" xr:uid="{D21302A0-EE0B-4A49-9E6A-BB86E7EBF099}"/>
    <cellStyle name="Normal 2 12 3 2 4 2 2" xfId="23256" xr:uid="{06A27838-8B13-48C5-9D68-439C706178A5}"/>
    <cellStyle name="Normal 2 12 3 2 4 2 3" xfId="23257" xr:uid="{C014BBB8-19AD-407C-BD7A-24B2545C44D6}"/>
    <cellStyle name="Normal 2 12 3 2 4 2 4" xfId="23258" xr:uid="{C7676832-3823-4381-A06E-DF6739A3DA9A}"/>
    <cellStyle name="Normal 2 12 3 2 4 2 5" xfId="23259" xr:uid="{331EF269-0203-419A-8A80-6789EF9CB994}"/>
    <cellStyle name="Normal 2 12 3 2 4 3" xfId="23260" xr:uid="{E4407D35-384D-46FA-BE0A-C0FDB2B64713}"/>
    <cellStyle name="Normal 2 12 3 2 4 4" xfId="23261" xr:uid="{AB676363-B30B-492F-A60C-0DD57D525AA9}"/>
    <cellStyle name="Normal 2 12 3 2 4 5" xfId="23262" xr:uid="{0085FCA5-1FAA-4A29-9940-C2C7C9260731}"/>
    <cellStyle name="Normal 2 12 3 2 4 6" xfId="23263" xr:uid="{F22745B0-5262-4DD5-9F85-4542A87B3AF6}"/>
    <cellStyle name="Normal 2 12 3 2 5" xfId="23264" xr:uid="{4E3141D2-CDDB-4142-BC0E-6769C5291E58}"/>
    <cellStyle name="Normal 2 12 3 2 5 2" xfId="23265" xr:uid="{87EDB510-6708-4CC9-9D00-D7962CD14061}"/>
    <cellStyle name="Normal 2 12 3 2 5 3" xfId="23266" xr:uid="{191AE231-EE39-4F4F-92D9-6D14811816C4}"/>
    <cellStyle name="Normal 2 12 3 2 5 4" xfId="23267" xr:uid="{E2993622-B8F1-497C-9DA4-DBF29322414C}"/>
    <cellStyle name="Normal 2 12 3 2 5 5" xfId="23268" xr:uid="{FC8B5480-A370-4FE8-8F43-E24731C1D2A5}"/>
    <cellStyle name="Normal 2 12 3 2 6" xfId="23269" xr:uid="{D25A12EA-93AE-493E-B1D3-FCAC3CBC3865}"/>
    <cellStyle name="Normal 2 12 3 2 6 2" xfId="23270" xr:uid="{AAFDAA8D-E880-4438-92B3-4FC2ECD35590}"/>
    <cellStyle name="Normal 2 12 3 2 6 3" xfId="23271" xr:uid="{B51A2059-4487-488F-9495-F62668786640}"/>
    <cellStyle name="Normal 2 12 3 2 6 4" xfId="23272" xr:uid="{F92C222C-D5B5-4D92-9896-6EF1E1D7320F}"/>
    <cellStyle name="Normal 2 12 3 2 6 5" xfId="23273" xr:uid="{F1B98C62-41B1-4197-9EA9-455A4F939E94}"/>
    <cellStyle name="Normal 2 12 3 2 7" xfId="23274" xr:uid="{EBF079D4-8D9B-43BA-90B9-0F10636B516C}"/>
    <cellStyle name="Normal 2 12 3 2 7 2" xfId="23275" xr:uid="{A8A73449-E29B-4C73-9964-CEC4B092B40C}"/>
    <cellStyle name="Normal 2 12 3 2 7 3" xfId="23276" xr:uid="{7A4B4260-E1CA-443E-B0CB-56F4E10C3624}"/>
    <cellStyle name="Normal 2 12 3 2 7 4" xfId="23277" xr:uid="{C263C70B-8E6E-4D05-B06A-312576EA05FF}"/>
    <cellStyle name="Normal 2 12 3 2 7 5" xfId="23278" xr:uid="{FAD2ABB4-9F3C-43E2-BD70-6DDC82E1797C}"/>
    <cellStyle name="Normal 2 12 3 2 8" xfId="23279" xr:uid="{211276B1-BDD8-4653-93B9-65E516CCA7CB}"/>
    <cellStyle name="Normal 2 12 3 2 8 2" xfId="23280" xr:uid="{9B66000C-334D-4DDF-8E36-AF0354ACD5D4}"/>
    <cellStyle name="Normal 2 12 3 2 8 3" xfId="23281" xr:uid="{034BC59F-CE1F-4E4A-8C3D-2ACC7A4DD571}"/>
    <cellStyle name="Normal 2 12 3 2 8 4" xfId="23282" xr:uid="{D1B45C13-95CE-4515-AE9F-581F6A3FF525}"/>
    <cellStyle name="Normal 2 12 3 2 8 5" xfId="23283" xr:uid="{85DA94E8-ED68-437B-82EE-E19934AC5E53}"/>
    <cellStyle name="Normal 2 12 3 2 9" xfId="23284" xr:uid="{235CBBCF-AE85-4DEA-87FB-AC13BE5020E6}"/>
    <cellStyle name="Normal 2 12 3 3" xfId="23285" xr:uid="{6ACA17E7-6D1F-48B7-86F7-2B45CFD594B2}"/>
    <cellStyle name="Normal 2 12 3 3 2" xfId="23286" xr:uid="{8457BCD8-73E0-4520-AE54-34B7DEC3865D}"/>
    <cellStyle name="Normal 2 12 3 3 2 2" xfId="23287" xr:uid="{35B55A12-1479-4F37-AC57-75D288B0EA0C}"/>
    <cellStyle name="Normal 2 12 3 3 2 3" xfId="23288" xr:uid="{B380E2CE-240F-4D6B-A515-72A26C0D0293}"/>
    <cellStyle name="Normal 2 12 3 3 2 4" xfId="23289" xr:uid="{44CE4437-89D1-4A4A-9D7F-695E2449526C}"/>
    <cellStyle name="Normal 2 12 3 3 2 5" xfId="23290" xr:uid="{B3C92992-77F4-4F22-BBF3-201F801EB344}"/>
    <cellStyle name="Normal 2 12 3 3 3" xfId="23291" xr:uid="{2E72EE6D-349E-4A20-8B9A-8A13EB6CD273}"/>
    <cellStyle name="Normal 2 12 3 3 4" xfId="23292" xr:uid="{F14C2DB4-EFC5-467F-8B3C-A41F990C2B52}"/>
    <cellStyle name="Normal 2 12 3 3 5" xfId="23293" xr:uid="{3C347713-4F32-4606-AD34-F6417128E70B}"/>
    <cellStyle name="Normal 2 12 3 3 6" xfId="23294" xr:uid="{24A51758-A023-4A82-AF99-94D1A964CE91}"/>
    <cellStyle name="Normal 2 12 3 4" xfId="23295" xr:uid="{C5B693C6-34B2-4335-884A-3923D3D6E222}"/>
    <cellStyle name="Normal 2 12 3 4 2" xfId="23296" xr:uid="{1FA6E4AC-3C34-4E70-B262-77B1F5CC448F}"/>
    <cellStyle name="Normal 2 12 3 4 2 2" xfId="23297" xr:uid="{15D55D6D-AAAF-4B9E-A53C-29AE2A9C24CF}"/>
    <cellStyle name="Normal 2 12 3 4 2 3" xfId="23298" xr:uid="{A6FD3E8D-74C4-4182-A125-53F32DC1D73D}"/>
    <cellStyle name="Normal 2 12 3 4 2 4" xfId="23299" xr:uid="{346FBE96-54C4-42B5-B426-15644206F880}"/>
    <cellStyle name="Normal 2 12 3 4 2 5" xfId="23300" xr:uid="{DC3BFBFA-C6F5-4315-B71D-71A04C481B6A}"/>
    <cellStyle name="Normal 2 12 3 4 3" xfId="23301" xr:uid="{46E5FF22-7B08-47A3-917C-415B76045E1A}"/>
    <cellStyle name="Normal 2 12 3 4 4" xfId="23302" xr:uid="{1B47B0CD-481F-440D-985F-6A74E12A98D1}"/>
    <cellStyle name="Normal 2 12 3 4 5" xfId="23303" xr:uid="{7FD2949B-EBB5-4EC7-AEDC-24419205D4AC}"/>
    <cellStyle name="Normal 2 12 3 4 6" xfId="23304" xr:uid="{A4B083CD-E08D-4966-9D85-D87DC5225AA7}"/>
    <cellStyle name="Normal 2 12 3 5" xfId="23305" xr:uid="{A1EFE094-8089-4121-A8E3-3BB8BDDC28D1}"/>
    <cellStyle name="Normal 2 12 3 5 2" xfId="23306" xr:uid="{2E43E3CC-1718-4C28-9D98-DD31874F3D79}"/>
    <cellStyle name="Normal 2 12 3 5 2 2" xfId="23307" xr:uid="{36C96452-B69A-4F78-820A-A70C74DF0BDF}"/>
    <cellStyle name="Normal 2 12 3 5 2 3" xfId="23308" xr:uid="{B33A986D-9ABC-4639-B911-52140E09390C}"/>
    <cellStyle name="Normal 2 12 3 5 2 4" xfId="23309" xr:uid="{CC3914BC-F5FA-4F8C-9FAA-C5BB80BA57EA}"/>
    <cellStyle name="Normal 2 12 3 5 2 5" xfId="23310" xr:uid="{8EEFFA68-03AA-4AEE-A7C8-11079F74E261}"/>
    <cellStyle name="Normal 2 12 3 5 3" xfId="23311" xr:uid="{21369FA7-4631-4BD4-9C83-4FCBFB2BBAE4}"/>
    <cellStyle name="Normal 2 12 3 5 4" xfId="23312" xr:uid="{487E1533-1233-4011-91BA-0E1B68CF7691}"/>
    <cellStyle name="Normal 2 12 3 5 5" xfId="23313" xr:uid="{EEFAD524-46A4-4924-88A2-DC121811BECD}"/>
    <cellStyle name="Normal 2 12 3 5 6" xfId="23314" xr:uid="{D97AA3CC-B050-498C-AD78-5AF6E600F30C}"/>
    <cellStyle name="Normal 2 12 3 6" xfId="23315" xr:uid="{3FB49FB9-F18B-449F-AE2A-6B50A5561859}"/>
    <cellStyle name="Normal 2 12 3 6 2" xfId="23316" xr:uid="{36828299-7461-4FFC-8718-74DAA3DCBDFB}"/>
    <cellStyle name="Normal 2 12 3 6 3" xfId="23317" xr:uid="{1E4A2D0F-919D-4220-871D-641E4F536EF8}"/>
    <cellStyle name="Normal 2 12 3 6 4" xfId="23318" xr:uid="{141A4F54-DC45-4D89-8B54-6E65098D71E0}"/>
    <cellStyle name="Normal 2 12 3 6 5" xfId="23319" xr:uid="{E36C80B4-A1C3-4F18-80D3-C260F1443435}"/>
    <cellStyle name="Normal 2 12 3 7" xfId="23320" xr:uid="{C0F7DA46-0A83-48B0-BF36-0495FFA9BFEA}"/>
    <cellStyle name="Normal 2 12 3 7 2" xfId="23321" xr:uid="{7C629B96-78B1-4357-97EC-B256E314E09F}"/>
    <cellStyle name="Normal 2 12 3 7 3" xfId="23322" xr:uid="{52B4D00B-D335-4C36-8A63-55C4F422B64C}"/>
    <cellStyle name="Normal 2 12 3 7 4" xfId="23323" xr:uid="{860F10AB-13E3-4AF3-970E-0873BF31713A}"/>
    <cellStyle name="Normal 2 12 3 7 5" xfId="23324" xr:uid="{BB3FC467-DAC6-459D-ABFE-554780B2BA23}"/>
    <cellStyle name="Normal 2 12 3 8" xfId="23325" xr:uid="{37A5E1AF-325A-4CB5-9874-6256745C35F5}"/>
    <cellStyle name="Normal 2 12 3 8 2" xfId="23326" xr:uid="{1F584F1C-F2F4-4A8B-8FEE-B53608B00516}"/>
    <cellStyle name="Normal 2 12 3 8 3" xfId="23327" xr:uid="{7A37613D-FD75-4682-9434-E212920502EC}"/>
    <cellStyle name="Normal 2 12 3 8 4" xfId="23328" xr:uid="{D212B58B-2CB1-42DB-9B60-DFE9B34A714E}"/>
    <cellStyle name="Normal 2 12 3 8 5" xfId="23329" xr:uid="{5B3ED747-DED3-4CA4-889E-CDF33325DC38}"/>
    <cellStyle name="Normal 2 12 3 9" xfId="23330" xr:uid="{7B6F195B-143F-47F0-AF27-7DD5F7BE9145}"/>
    <cellStyle name="Normal 2 12 3 9 2" xfId="23331" xr:uid="{E298617E-9DE7-4C02-8477-0EF9703D2421}"/>
    <cellStyle name="Normal 2 12 3 9 3" xfId="23332" xr:uid="{BB31B646-7E32-4F4F-844E-09AF2B404E8A}"/>
    <cellStyle name="Normal 2 12 3 9 4" xfId="23333" xr:uid="{6B297CAB-F93A-46EC-A318-7CC194A2AA8F}"/>
    <cellStyle name="Normal 2 12 3 9 5" xfId="23334" xr:uid="{BB70E808-D9B9-4102-B94F-6922B3E9ED98}"/>
    <cellStyle name="Normal 2 12 4" xfId="23335" xr:uid="{0CD83591-4B04-4782-BDE8-55AE0486CE25}"/>
    <cellStyle name="Normal 2 12 4 10" xfId="23336" xr:uid="{2FA9DD9C-CFAE-4841-BDC2-DDE70264B37E}"/>
    <cellStyle name="Normal 2 12 4 11" xfId="23337" xr:uid="{1A7E769F-01F5-4518-82F3-1FAEDD0ED7FB}"/>
    <cellStyle name="Normal 2 12 4 12" xfId="23338" xr:uid="{60470537-BCE0-4755-B425-AD5394B1DA71}"/>
    <cellStyle name="Normal 2 12 4 2" xfId="23339" xr:uid="{44A23FD7-81EB-4440-B904-C5AF6BB9C39F}"/>
    <cellStyle name="Normal 2 12 4 2 2" xfId="23340" xr:uid="{0B5AB7E4-8F53-42E3-B34C-7CA90FD7DD21}"/>
    <cellStyle name="Normal 2 12 4 2 2 2" xfId="23341" xr:uid="{25F242F4-1343-41A7-A870-DAD53CB5AD0A}"/>
    <cellStyle name="Normal 2 12 4 2 2 3" xfId="23342" xr:uid="{2011B711-3942-4CC9-8640-E8EF524F95C5}"/>
    <cellStyle name="Normal 2 12 4 2 2 4" xfId="23343" xr:uid="{B3353253-42D3-46D1-B589-2C9E07C745E8}"/>
    <cellStyle name="Normal 2 12 4 2 2 5" xfId="23344" xr:uid="{C89A1FDD-94C1-4F42-A564-9105C379AF2C}"/>
    <cellStyle name="Normal 2 12 4 2 3" xfId="23345" xr:uid="{BFDD33A4-2E47-4DD6-B7A3-134DE37E9E52}"/>
    <cellStyle name="Normal 2 12 4 2 4" xfId="23346" xr:uid="{CDE76F62-1EF6-45B8-B033-556FDBDB7570}"/>
    <cellStyle name="Normal 2 12 4 2 5" xfId="23347" xr:uid="{F19689C8-3759-4E8B-B1EA-D79C4059C64D}"/>
    <cellStyle name="Normal 2 12 4 2 6" xfId="23348" xr:uid="{DD9F9C06-606F-4C24-AF41-033197FB1FE8}"/>
    <cellStyle name="Normal 2 12 4 3" xfId="23349" xr:uid="{6CE02D16-DDD8-41E9-9F39-34E91D270C14}"/>
    <cellStyle name="Normal 2 12 4 3 2" xfId="23350" xr:uid="{7A9AD5E6-DD47-4631-8AAE-0387BE3E75CB}"/>
    <cellStyle name="Normal 2 12 4 3 2 2" xfId="23351" xr:uid="{838D571C-288B-41F0-B5CE-B9D0AAA381D9}"/>
    <cellStyle name="Normal 2 12 4 3 2 3" xfId="23352" xr:uid="{8C323026-C4C5-41AF-A38C-603CB3C60F5A}"/>
    <cellStyle name="Normal 2 12 4 3 2 4" xfId="23353" xr:uid="{AAE4689D-BABA-4224-A02B-31078DFCBA56}"/>
    <cellStyle name="Normal 2 12 4 3 2 5" xfId="23354" xr:uid="{05B0963B-C4DC-4E52-9B7B-F6889DF8F271}"/>
    <cellStyle name="Normal 2 12 4 3 3" xfId="23355" xr:uid="{426B0A45-8B79-4858-A835-F439F777EFD2}"/>
    <cellStyle name="Normal 2 12 4 3 4" xfId="23356" xr:uid="{C2F2441B-C619-4C6A-9EB7-67B8AC188287}"/>
    <cellStyle name="Normal 2 12 4 3 5" xfId="23357" xr:uid="{55777FDE-D6D3-449E-9545-87E9562A0B97}"/>
    <cellStyle name="Normal 2 12 4 3 6" xfId="23358" xr:uid="{FFBCB9EC-180A-4B03-874F-AC2C220D84E9}"/>
    <cellStyle name="Normal 2 12 4 4" xfId="23359" xr:uid="{BB726D73-5EDC-4525-A071-CA9FB4929A73}"/>
    <cellStyle name="Normal 2 12 4 4 2" xfId="23360" xr:uid="{ED0EF650-441F-41F6-8863-8525E5E78320}"/>
    <cellStyle name="Normal 2 12 4 4 2 2" xfId="23361" xr:uid="{7C69033F-877B-4BAB-B81C-BC8927E76783}"/>
    <cellStyle name="Normal 2 12 4 4 2 3" xfId="23362" xr:uid="{9135E98E-3982-410D-BFFB-9303B727E977}"/>
    <cellStyle name="Normal 2 12 4 4 2 4" xfId="23363" xr:uid="{8D70DAC4-641F-469F-910D-6CFC2116B036}"/>
    <cellStyle name="Normal 2 12 4 4 2 5" xfId="23364" xr:uid="{524DFF3B-600A-4DD2-8887-E0E865FEC58D}"/>
    <cellStyle name="Normal 2 12 4 4 3" xfId="23365" xr:uid="{B3B75F08-A1B0-4284-9557-552B75996069}"/>
    <cellStyle name="Normal 2 12 4 4 4" xfId="23366" xr:uid="{42F9E05D-30BC-42A3-A91A-7A913A7543B4}"/>
    <cellStyle name="Normal 2 12 4 4 5" xfId="23367" xr:uid="{C52F65D6-03D6-4BBA-A454-D2287F61B0BD}"/>
    <cellStyle name="Normal 2 12 4 4 6" xfId="23368" xr:uid="{7BF57265-879E-488E-88C1-0513DEDE818F}"/>
    <cellStyle name="Normal 2 12 4 5" xfId="23369" xr:uid="{CD36E764-B9A2-4011-A0FD-D9D9689567AE}"/>
    <cellStyle name="Normal 2 12 4 5 2" xfId="23370" xr:uid="{3B8268B1-0AE9-4BDB-8949-F7ABF3D350C6}"/>
    <cellStyle name="Normal 2 12 4 5 3" xfId="23371" xr:uid="{C2AFB40B-DACF-4BE2-8BA2-ABA8E8293380}"/>
    <cellStyle name="Normal 2 12 4 5 4" xfId="23372" xr:uid="{3551ABB9-88EC-4955-A547-22B30AE5FE43}"/>
    <cellStyle name="Normal 2 12 4 5 5" xfId="23373" xr:uid="{CC310943-D515-4914-8AB6-B0BBA046EE9F}"/>
    <cellStyle name="Normal 2 12 4 6" xfId="23374" xr:uid="{3A7E5FE3-087D-495E-916E-098BB93E702D}"/>
    <cellStyle name="Normal 2 12 4 6 2" xfId="23375" xr:uid="{E954CDF6-5DDE-4F2B-A2DF-2FD5F2C85867}"/>
    <cellStyle name="Normal 2 12 4 6 3" xfId="23376" xr:uid="{6DBBDE4C-9C1E-4A67-A4CE-D25B3FFF75E1}"/>
    <cellStyle name="Normal 2 12 4 6 4" xfId="23377" xr:uid="{023A39FF-BEE9-4C63-A554-9DC090908C9F}"/>
    <cellStyle name="Normal 2 12 4 6 5" xfId="23378" xr:uid="{5E295E33-A5AE-44AE-BFD3-6AE65101D28E}"/>
    <cellStyle name="Normal 2 12 4 7" xfId="23379" xr:uid="{B112E2C3-337C-4C7F-8564-00ECE097EE4B}"/>
    <cellStyle name="Normal 2 12 4 7 2" xfId="23380" xr:uid="{C3BCC167-DE14-4132-9D29-3D67D0BD39D4}"/>
    <cellStyle name="Normal 2 12 4 7 3" xfId="23381" xr:uid="{111D4E2A-3236-4088-9E3C-B58E428B3AE8}"/>
    <cellStyle name="Normal 2 12 4 7 4" xfId="23382" xr:uid="{F908C813-7FE6-475D-A0E4-F2FA2D0EE0E3}"/>
    <cellStyle name="Normal 2 12 4 7 5" xfId="23383" xr:uid="{538AAB95-1CF3-460E-A9CA-12CF87025528}"/>
    <cellStyle name="Normal 2 12 4 8" xfId="23384" xr:uid="{B915C88F-F563-466E-B0F6-B3CCCBF51CF2}"/>
    <cellStyle name="Normal 2 12 4 8 2" xfId="23385" xr:uid="{5FFE8FB4-85E3-4D40-B5A1-8E7792D05D26}"/>
    <cellStyle name="Normal 2 12 4 8 3" xfId="23386" xr:uid="{05BB5FE0-FB39-41C1-9F19-999623066700}"/>
    <cellStyle name="Normal 2 12 4 8 4" xfId="23387" xr:uid="{5B8EB2D8-28AB-4F95-8770-D186237E9B80}"/>
    <cellStyle name="Normal 2 12 4 8 5" xfId="23388" xr:uid="{B1226301-92D6-4A5F-B6DB-91D9DF65F481}"/>
    <cellStyle name="Normal 2 12 4 9" xfId="23389" xr:uid="{4CF7A78E-D45F-416A-961A-F47A3FD34347}"/>
    <cellStyle name="Normal 2 12 5" xfId="23390" xr:uid="{95C0B591-2EB3-4D7C-BAD4-5917DA4C54D2}"/>
    <cellStyle name="Normal 2 12 5 2" xfId="23391" xr:uid="{9FC43BFD-BBE5-4B2E-83DB-97F9C643CC0F}"/>
    <cellStyle name="Normal 2 12 5 2 2" xfId="23392" xr:uid="{461F73E2-ED50-4972-BA9A-677441ADB37E}"/>
    <cellStyle name="Normal 2 12 5 2 3" xfId="23393" xr:uid="{C457548F-FE65-440D-ACE3-009BBB2AB638}"/>
    <cellStyle name="Normal 2 12 5 2 4" xfId="23394" xr:uid="{4AF0A8D2-E71C-4BEC-8E67-6FE03C81FFC4}"/>
    <cellStyle name="Normal 2 12 5 2 5" xfId="23395" xr:uid="{4AEC0A5F-C8CB-48BD-A038-36344CDBC261}"/>
    <cellStyle name="Normal 2 12 5 3" xfId="23396" xr:uid="{72BC238A-D737-4B06-A1DE-827FCEB2E93F}"/>
    <cellStyle name="Normal 2 12 5 4" xfId="23397" xr:uid="{1C1AB998-61F6-44B8-BF5B-9FC34783DBD6}"/>
    <cellStyle name="Normal 2 12 5 5" xfId="23398" xr:uid="{1B14EECF-6245-4F36-A817-38A218001A20}"/>
    <cellStyle name="Normal 2 12 5 6" xfId="23399" xr:uid="{97E8EEFB-0F5D-4664-9A76-4411159CC54D}"/>
    <cellStyle name="Normal 2 12 6" xfId="23400" xr:uid="{20E25919-C498-4C04-863B-CD30B8BB5AF6}"/>
    <cellStyle name="Normal 2 12 6 2" xfId="23401" xr:uid="{112C25AE-7DFC-4376-B468-A977FEFFF31F}"/>
    <cellStyle name="Normal 2 12 6 2 2" xfId="23402" xr:uid="{7E4C8ABA-FCC5-4AF1-9588-D40AB5CD2A2A}"/>
    <cellStyle name="Normal 2 12 6 2 3" xfId="23403" xr:uid="{5C3EE8A2-BFCA-4254-A312-B49248BDB080}"/>
    <cellStyle name="Normal 2 12 6 2 4" xfId="23404" xr:uid="{AA64DCDE-DB81-421C-98B9-4CB16052A3B0}"/>
    <cellStyle name="Normal 2 12 6 2 5" xfId="23405" xr:uid="{D5DC7588-3BED-43CE-B83F-2E7509ED69D0}"/>
    <cellStyle name="Normal 2 12 6 3" xfId="23406" xr:uid="{B3FCE36D-9401-4345-873B-C96ADFCC1BFB}"/>
    <cellStyle name="Normal 2 12 6 4" xfId="23407" xr:uid="{E59A36D4-9D49-4554-B4D4-0FE3B24B455B}"/>
    <cellStyle name="Normal 2 12 6 5" xfId="23408" xr:uid="{E2899DED-5561-4B73-9367-E9337982D8A1}"/>
    <cellStyle name="Normal 2 12 6 6" xfId="23409" xr:uid="{860528AB-8D60-4DA8-B646-772885554C51}"/>
    <cellStyle name="Normal 2 12 7" xfId="23410" xr:uid="{A3616ADB-283D-4CF7-9352-D2A14E9384B5}"/>
    <cellStyle name="Normal 2 12 7 2" xfId="23411" xr:uid="{23688F56-CF02-4A03-A031-3F6066245ED5}"/>
    <cellStyle name="Normal 2 12 7 2 2" xfId="23412" xr:uid="{43123F1F-8F3A-4198-88E3-B9913836788D}"/>
    <cellStyle name="Normal 2 12 7 2 3" xfId="23413" xr:uid="{6863D21B-1737-4920-9B12-5ADAA7A628A7}"/>
    <cellStyle name="Normal 2 12 7 2 4" xfId="23414" xr:uid="{BB57FF1E-4AFD-4716-A270-069E8AA650D4}"/>
    <cellStyle name="Normal 2 12 7 2 5" xfId="23415" xr:uid="{44F24F31-0BB9-40E8-ACBC-68EBBA467752}"/>
    <cellStyle name="Normal 2 12 7 3" xfId="23416" xr:uid="{5AD4BBFA-D7B7-47D3-BF04-487A4014A404}"/>
    <cellStyle name="Normal 2 12 7 4" xfId="23417" xr:uid="{6EE88182-A768-40EB-B6D5-5B58BA91E55E}"/>
    <cellStyle name="Normal 2 12 7 5" xfId="23418" xr:uid="{AB00EFEF-635E-498C-8C75-9745D3B37876}"/>
    <cellStyle name="Normal 2 12 7 6" xfId="23419" xr:uid="{1CFD70BF-5033-45E2-8E4D-766FEF93AD34}"/>
    <cellStyle name="Normal 2 12 8" xfId="23420" xr:uid="{113DD3B0-3DA4-4CF6-B1BF-7E0B15B47497}"/>
    <cellStyle name="Normal 2 12 8 2" xfId="23421" xr:uid="{BA0AECB2-E14F-4EC9-9DEB-F749AC727D1A}"/>
    <cellStyle name="Normal 2 12 8 3" xfId="23422" xr:uid="{D1E6EAAC-EAFA-49F3-A0AF-9C2BF7BF43D0}"/>
    <cellStyle name="Normal 2 12 8 4" xfId="23423" xr:uid="{80A64729-56E8-4FD5-BA79-487CA1F3C0CA}"/>
    <cellStyle name="Normal 2 12 8 5" xfId="23424" xr:uid="{3BB95FAE-C921-471F-B20C-AF132DA61B2C}"/>
    <cellStyle name="Normal 2 12 9" xfId="23425" xr:uid="{F55BFF0E-F3C5-4011-8313-F8FED2A5C734}"/>
    <cellStyle name="Normal 2 12 9 2" xfId="23426" xr:uid="{F694A212-31FA-4ECE-A3A6-256A0F76164B}"/>
    <cellStyle name="Normal 2 12 9 3" xfId="23427" xr:uid="{990115AE-0233-4411-A4DA-108A8DE1EED8}"/>
    <cellStyle name="Normal 2 12 9 4" xfId="23428" xr:uid="{81F7AACF-BD67-4DE0-828D-95901F15B5E1}"/>
    <cellStyle name="Normal 2 12 9 5" xfId="23429" xr:uid="{F3CFA249-2F11-477C-99BC-6E965D97A661}"/>
    <cellStyle name="Normal 2 13" xfId="226" xr:uid="{74B4067E-FE3A-4068-9600-A7C9800EBCDA}"/>
    <cellStyle name="Normal 2 13 10" xfId="23430" xr:uid="{CA4676AE-18BE-41EE-896F-20722E1D09B9}"/>
    <cellStyle name="Normal 2 13 10 2" xfId="23431" xr:uid="{D02C37E7-DB4A-4458-B7AA-7992332CA30A}"/>
    <cellStyle name="Normal 2 13 10 3" xfId="23432" xr:uid="{81DC052D-8262-47BF-99CE-2C195C1A6DFE}"/>
    <cellStyle name="Normal 2 13 10 4" xfId="23433" xr:uid="{DD8148D8-BA32-432E-9AA2-DDAE4D0905D2}"/>
    <cellStyle name="Normal 2 13 10 5" xfId="23434" xr:uid="{5A725911-0184-4054-88BF-A42F1171B2BD}"/>
    <cellStyle name="Normal 2 13 11" xfId="23435" xr:uid="{4456FD17-1CF0-4B4E-8AB2-E63AE2748141}"/>
    <cellStyle name="Normal 2 13 12" xfId="23436" xr:uid="{1D45B2C8-BCE2-4D2C-BCFF-FF56707454FD}"/>
    <cellStyle name="Normal 2 13 13" xfId="23437" xr:uid="{4CFAF751-EE24-40CD-97C1-6B3E22F9BC1D}"/>
    <cellStyle name="Normal 2 13 14" xfId="23438" xr:uid="{DEA7A6F8-8FE5-4ABB-88B1-A9F53DC4AC20}"/>
    <cellStyle name="Normal 2 13 2" xfId="23439" xr:uid="{22309C7B-AD25-4C65-A332-0FFD259E84CB}"/>
    <cellStyle name="Normal 2 13 2 10" xfId="23440" xr:uid="{3555EE6F-7F3E-4813-94E9-96FA4BE0BBAB}"/>
    <cellStyle name="Normal 2 13 2 11" xfId="23441" xr:uid="{23FFA20F-0DAA-4B03-9F32-4972A3476470}"/>
    <cellStyle name="Normal 2 13 2 12" xfId="23442" xr:uid="{9A8D9AB4-4297-46F0-8773-DDC92EA7DFF3}"/>
    <cellStyle name="Normal 2 13 2 13" xfId="23443" xr:uid="{561E2AA7-199F-4509-97DD-FA59B3AA83D8}"/>
    <cellStyle name="Normal 2 13 2 2" xfId="23444" xr:uid="{09B66FBD-93F2-4EAD-A284-4FF4C8778066}"/>
    <cellStyle name="Normal 2 13 2 2 10" xfId="23445" xr:uid="{AFC87071-D874-4ABE-80B3-C894FC5BE9BD}"/>
    <cellStyle name="Normal 2 13 2 2 11" xfId="23446" xr:uid="{00C9599E-7135-4FB3-AEAD-1E24296BB9C8}"/>
    <cellStyle name="Normal 2 13 2 2 12" xfId="23447" xr:uid="{D65C1496-6568-4196-A32B-E261D6A6C496}"/>
    <cellStyle name="Normal 2 13 2 2 2" xfId="23448" xr:uid="{933FA952-E89E-4F77-A107-1FFD2252E595}"/>
    <cellStyle name="Normal 2 13 2 2 2 2" xfId="23449" xr:uid="{931390BF-A0E0-4D05-A1F6-219483F923D1}"/>
    <cellStyle name="Normal 2 13 2 2 2 2 2" xfId="23450" xr:uid="{A6496E47-B45C-4F92-A97F-B36F406B3951}"/>
    <cellStyle name="Normal 2 13 2 2 2 2 3" xfId="23451" xr:uid="{C577AC2B-C783-4261-A109-B6D6EF85AE22}"/>
    <cellStyle name="Normal 2 13 2 2 2 2 4" xfId="23452" xr:uid="{8AEBEDFC-BA9D-4C19-8F30-DCB2F7F61A1C}"/>
    <cellStyle name="Normal 2 13 2 2 2 2 5" xfId="23453" xr:uid="{446659B6-3F4B-485F-B287-6ABC1EF6BFDA}"/>
    <cellStyle name="Normal 2 13 2 2 2 3" xfId="23454" xr:uid="{B898A462-65B2-4326-8F35-83A360DC93B6}"/>
    <cellStyle name="Normal 2 13 2 2 2 4" xfId="23455" xr:uid="{685356EB-B8C2-4462-82B9-C62CC79168C9}"/>
    <cellStyle name="Normal 2 13 2 2 2 5" xfId="23456" xr:uid="{ABF14390-75DC-4CB7-967D-363C60939CB0}"/>
    <cellStyle name="Normal 2 13 2 2 2 6" xfId="23457" xr:uid="{32D17B84-6F39-4B89-B107-DA43C4413090}"/>
    <cellStyle name="Normal 2 13 2 2 3" xfId="23458" xr:uid="{DD165709-F177-49A8-87BD-89648F7D342B}"/>
    <cellStyle name="Normal 2 13 2 2 3 2" xfId="23459" xr:uid="{C09F9BA8-5712-4D7E-99D7-6AE08D083DF5}"/>
    <cellStyle name="Normal 2 13 2 2 3 2 2" xfId="23460" xr:uid="{D715CD09-FA11-426D-A2FE-C890239D4487}"/>
    <cellStyle name="Normal 2 13 2 2 3 2 3" xfId="23461" xr:uid="{CFA33591-92C5-4614-B1EC-A44ADBF68A2C}"/>
    <cellStyle name="Normal 2 13 2 2 3 2 4" xfId="23462" xr:uid="{475C4EF8-298F-486D-AFB0-B9D09A9D4008}"/>
    <cellStyle name="Normal 2 13 2 2 3 2 5" xfId="23463" xr:uid="{AF41EE6D-F4B1-4B42-A8C9-5C4F9C5AD890}"/>
    <cellStyle name="Normal 2 13 2 2 3 3" xfId="23464" xr:uid="{ABE520FC-22F1-4E4C-A76C-5FFF175F1414}"/>
    <cellStyle name="Normal 2 13 2 2 3 4" xfId="23465" xr:uid="{A86847EF-1752-4F34-8B90-B87901B1DE4A}"/>
    <cellStyle name="Normal 2 13 2 2 3 5" xfId="23466" xr:uid="{CF13DD7A-6E82-4F61-A79E-735CE2132A1C}"/>
    <cellStyle name="Normal 2 13 2 2 3 6" xfId="23467" xr:uid="{37FADA59-083C-47DF-8C8D-670C90A8E5FF}"/>
    <cellStyle name="Normal 2 13 2 2 4" xfId="23468" xr:uid="{C5918BD4-9070-4EB5-AD2E-5CCCB7552557}"/>
    <cellStyle name="Normal 2 13 2 2 4 2" xfId="23469" xr:uid="{43D2E2B0-FFB1-4123-8CAC-ED53F86CBB75}"/>
    <cellStyle name="Normal 2 13 2 2 4 2 2" xfId="23470" xr:uid="{08A3970D-FB36-467A-AFAF-D9190F4ADDD1}"/>
    <cellStyle name="Normal 2 13 2 2 4 2 3" xfId="23471" xr:uid="{473A0A52-F970-4939-BAA6-4850FAEB0CE8}"/>
    <cellStyle name="Normal 2 13 2 2 4 2 4" xfId="23472" xr:uid="{DEB3E6D3-FDA7-4B65-86A7-0DB201E67130}"/>
    <cellStyle name="Normal 2 13 2 2 4 2 5" xfId="23473" xr:uid="{076C4257-D4C6-407D-9E25-1DB296D549CB}"/>
    <cellStyle name="Normal 2 13 2 2 4 3" xfId="23474" xr:uid="{79E50612-8595-4300-BEBA-6B64D29CB217}"/>
    <cellStyle name="Normal 2 13 2 2 4 4" xfId="23475" xr:uid="{D9C5EEA6-2C7F-4C01-B598-048F202BB4D1}"/>
    <cellStyle name="Normal 2 13 2 2 4 5" xfId="23476" xr:uid="{DC90A5E5-FA43-4CD1-B6C5-268A8F81CCAA}"/>
    <cellStyle name="Normal 2 13 2 2 4 6" xfId="23477" xr:uid="{5091F80C-30B8-4B10-A062-B6B3D9953CD5}"/>
    <cellStyle name="Normal 2 13 2 2 5" xfId="23478" xr:uid="{98027BB5-E0D0-4CF7-AF4F-1CC5469E1760}"/>
    <cellStyle name="Normal 2 13 2 2 5 2" xfId="23479" xr:uid="{B31620DE-2A7D-4C89-A8DA-1421E855D67D}"/>
    <cellStyle name="Normal 2 13 2 2 5 3" xfId="23480" xr:uid="{ED6D397E-9D64-4CDB-8DF5-DBD92BCE1AD0}"/>
    <cellStyle name="Normal 2 13 2 2 5 4" xfId="23481" xr:uid="{C793EAC0-5791-480C-9CAD-105CB82DA5BB}"/>
    <cellStyle name="Normal 2 13 2 2 5 5" xfId="23482" xr:uid="{38FEAF75-0935-4A7C-B2D4-1950349558A5}"/>
    <cellStyle name="Normal 2 13 2 2 6" xfId="23483" xr:uid="{EA2494A2-2A1A-4C2E-8A54-FD212188ABF0}"/>
    <cellStyle name="Normal 2 13 2 2 6 2" xfId="23484" xr:uid="{42108617-21BE-456D-9300-2AE49109ADE3}"/>
    <cellStyle name="Normal 2 13 2 2 6 3" xfId="23485" xr:uid="{09D047BB-1763-44EB-A935-B81976BAAE8D}"/>
    <cellStyle name="Normal 2 13 2 2 6 4" xfId="23486" xr:uid="{F2E8CFC8-8953-4A77-A27D-072C3A245CD6}"/>
    <cellStyle name="Normal 2 13 2 2 6 5" xfId="23487" xr:uid="{0914B861-C5BD-4599-965A-B4BD181A3522}"/>
    <cellStyle name="Normal 2 13 2 2 7" xfId="23488" xr:uid="{E8C0E1E8-0E87-4D8B-8B95-C59455A02F20}"/>
    <cellStyle name="Normal 2 13 2 2 7 2" xfId="23489" xr:uid="{A0A1E34E-FA2C-4B98-8FBD-0BC32794C519}"/>
    <cellStyle name="Normal 2 13 2 2 7 3" xfId="23490" xr:uid="{933D4363-4176-4456-A1EB-7B4DAD3E55F0}"/>
    <cellStyle name="Normal 2 13 2 2 7 4" xfId="23491" xr:uid="{63523A8B-1C36-4553-A00E-E43F78616387}"/>
    <cellStyle name="Normal 2 13 2 2 7 5" xfId="23492" xr:uid="{32900F61-00C6-4137-AC1F-612C83BD4857}"/>
    <cellStyle name="Normal 2 13 2 2 8" xfId="23493" xr:uid="{9C2C7AAF-8DA5-46C9-9613-2E3B4160742A}"/>
    <cellStyle name="Normal 2 13 2 2 8 2" xfId="23494" xr:uid="{183C508C-37E3-41A6-BD43-8EE933296E82}"/>
    <cellStyle name="Normal 2 13 2 2 8 3" xfId="23495" xr:uid="{BB71E18A-E7F5-46C8-AAEE-9B7DE15923B5}"/>
    <cellStyle name="Normal 2 13 2 2 8 4" xfId="23496" xr:uid="{7E89B30D-7589-4352-AA26-3BB1F2702E8F}"/>
    <cellStyle name="Normal 2 13 2 2 8 5" xfId="23497" xr:uid="{C43910D1-3825-41DF-9136-673D12AF82B3}"/>
    <cellStyle name="Normal 2 13 2 2 9" xfId="23498" xr:uid="{AB6DBBF5-A09D-4774-8A16-3B25646E6A3F}"/>
    <cellStyle name="Normal 2 13 2 3" xfId="23499" xr:uid="{17B777FB-B5CC-46AA-B736-58DC51665744}"/>
    <cellStyle name="Normal 2 13 2 3 2" xfId="23500" xr:uid="{8B8CE1EA-FD66-4779-9CFE-BA3A21077D5E}"/>
    <cellStyle name="Normal 2 13 2 3 2 2" xfId="23501" xr:uid="{740BF0F5-DB10-43C4-AC3F-0B1424208AA8}"/>
    <cellStyle name="Normal 2 13 2 3 2 3" xfId="23502" xr:uid="{DA6EBDD3-B985-47FC-AA47-4AFF93E7F322}"/>
    <cellStyle name="Normal 2 13 2 3 2 4" xfId="23503" xr:uid="{F6F6DC19-AFA0-44F6-AEB8-00A5F8B8B8A2}"/>
    <cellStyle name="Normal 2 13 2 3 2 5" xfId="23504" xr:uid="{88B2D01A-D2F2-4346-912D-AC722B916709}"/>
    <cellStyle name="Normal 2 13 2 3 3" xfId="23505" xr:uid="{D76A1C86-C895-4B43-8FA5-5A61C3B8F9D5}"/>
    <cellStyle name="Normal 2 13 2 3 4" xfId="23506" xr:uid="{6DAAC0AD-40C7-460B-9EE2-59AADE21EE6A}"/>
    <cellStyle name="Normal 2 13 2 3 5" xfId="23507" xr:uid="{FFE1C14B-E752-40E9-89D6-1C6747666421}"/>
    <cellStyle name="Normal 2 13 2 3 6" xfId="23508" xr:uid="{13F54D2B-D431-49F7-AA36-6D4FAAEE73F6}"/>
    <cellStyle name="Normal 2 13 2 4" xfId="23509" xr:uid="{D59DA7EA-8206-434B-AD35-0CC78DAF9CE9}"/>
    <cellStyle name="Normal 2 13 2 4 2" xfId="23510" xr:uid="{F7C4C2B0-74B7-4F1A-847D-5D30C90FB5CC}"/>
    <cellStyle name="Normal 2 13 2 4 2 2" xfId="23511" xr:uid="{C81D3606-89C0-4C79-B58C-F85E56A12B16}"/>
    <cellStyle name="Normal 2 13 2 4 2 3" xfId="23512" xr:uid="{6151EE1E-C324-4567-B7F2-0D82289A666F}"/>
    <cellStyle name="Normal 2 13 2 4 2 4" xfId="23513" xr:uid="{15D30C39-E672-4B64-A4B1-BDDBB968DE33}"/>
    <cellStyle name="Normal 2 13 2 4 2 5" xfId="23514" xr:uid="{141FA483-C03D-4439-81C2-39C51127B8B2}"/>
    <cellStyle name="Normal 2 13 2 4 3" xfId="23515" xr:uid="{1B28C86A-F9FF-409F-B792-E5E28BC96944}"/>
    <cellStyle name="Normal 2 13 2 4 4" xfId="23516" xr:uid="{5EA2630C-5A1D-498E-AB6E-F34FBB4E9C07}"/>
    <cellStyle name="Normal 2 13 2 4 5" xfId="23517" xr:uid="{E20A7B85-1E34-4186-8284-E806D7C818E4}"/>
    <cellStyle name="Normal 2 13 2 4 6" xfId="23518" xr:uid="{3C4326AD-DA5F-4449-AEB9-8E743C63F91D}"/>
    <cellStyle name="Normal 2 13 2 5" xfId="23519" xr:uid="{F642F7A3-0C68-4AB3-B5F2-C8B70C7C2047}"/>
    <cellStyle name="Normal 2 13 2 5 2" xfId="23520" xr:uid="{236DDEFA-B85B-4111-BAD3-28A883CA45B0}"/>
    <cellStyle name="Normal 2 13 2 5 2 2" xfId="23521" xr:uid="{A84E3328-5661-4AC5-8B0D-A2973EB61087}"/>
    <cellStyle name="Normal 2 13 2 5 2 3" xfId="23522" xr:uid="{1E661D04-0261-44BA-8BE6-5ED08819F36A}"/>
    <cellStyle name="Normal 2 13 2 5 2 4" xfId="23523" xr:uid="{CA41A778-5ED2-404E-B5CB-B74B8451D95F}"/>
    <cellStyle name="Normal 2 13 2 5 2 5" xfId="23524" xr:uid="{D48D918C-4F32-413B-B9B7-7C649D6DBFCC}"/>
    <cellStyle name="Normal 2 13 2 5 3" xfId="23525" xr:uid="{A84C985C-B4C0-41C3-B4BA-660A436F6503}"/>
    <cellStyle name="Normal 2 13 2 5 4" xfId="23526" xr:uid="{A4FBC1E7-1904-4A19-8239-9DDBF80B08DB}"/>
    <cellStyle name="Normal 2 13 2 5 5" xfId="23527" xr:uid="{9D931FA0-EDB8-40D1-B7AE-15B8C04B4564}"/>
    <cellStyle name="Normal 2 13 2 5 6" xfId="23528" xr:uid="{920CA860-3E18-4F47-9D6E-6D0BAFB4B1EA}"/>
    <cellStyle name="Normal 2 13 2 6" xfId="23529" xr:uid="{108E8E0D-0D34-4FD6-9060-D7861C60C819}"/>
    <cellStyle name="Normal 2 13 2 6 2" xfId="23530" xr:uid="{53C86A21-7783-46BE-BEF7-5B7A894CA4D3}"/>
    <cellStyle name="Normal 2 13 2 6 3" xfId="23531" xr:uid="{1C4D882A-EBEA-4356-AFE2-669C940AD463}"/>
    <cellStyle name="Normal 2 13 2 6 4" xfId="23532" xr:uid="{B36F3B15-5070-4A14-BEDF-3CD9BE0B4CA9}"/>
    <cellStyle name="Normal 2 13 2 6 5" xfId="23533" xr:uid="{1ACA254B-0E66-44E7-869D-6B5CC2F9BB9E}"/>
    <cellStyle name="Normal 2 13 2 7" xfId="23534" xr:uid="{B434BFFD-3DDE-4AFC-AC98-D0C41F1CAF51}"/>
    <cellStyle name="Normal 2 13 2 7 2" xfId="23535" xr:uid="{0AED875F-0DA2-4DB5-862D-2430E2E05276}"/>
    <cellStyle name="Normal 2 13 2 7 3" xfId="23536" xr:uid="{6960BE47-3408-440F-8ACC-9A69914810F2}"/>
    <cellStyle name="Normal 2 13 2 7 4" xfId="23537" xr:uid="{621A1471-916D-4E77-9FF6-819951809E6A}"/>
    <cellStyle name="Normal 2 13 2 7 5" xfId="23538" xr:uid="{27E09503-771E-4BC1-99BC-D90B58D8A063}"/>
    <cellStyle name="Normal 2 13 2 8" xfId="23539" xr:uid="{4B473713-CE96-435B-B47F-F7021408E86A}"/>
    <cellStyle name="Normal 2 13 2 8 2" xfId="23540" xr:uid="{7CF11518-0ED8-4E50-80E9-045EF08FFCEA}"/>
    <cellStyle name="Normal 2 13 2 8 3" xfId="23541" xr:uid="{C783E604-80C8-4A95-9A74-5A4A2E1593F8}"/>
    <cellStyle name="Normal 2 13 2 8 4" xfId="23542" xr:uid="{B44C4138-1CC7-4A88-B48E-553E2BB2249E}"/>
    <cellStyle name="Normal 2 13 2 8 5" xfId="23543" xr:uid="{E54D981C-9BA8-4F23-BFF2-309F027787F9}"/>
    <cellStyle name="Normal 2 13 2 9" xfId="23544" xr:uid="{EB14A774-5CD9-40A6-8D7E-FCE48FA19230}"/>
    <cellStyle name="Normal 2 13 2 9 2" xfId="23545" xr:uid="{23AF78E6-FE82-4CDF-A729-09DD24BA70DB}"/>
    <cellStyle name="Normal 2 13 2 9 3" xfId="23546" xr:uid="{D9B5E2D4-4400-4D1C-A2F6-0DDE9250C680}"/>
    <cellStyle name="Normal 2 13 2 9 4" xfId="23547" xr:uid="{82B3BAA5-1409-4AE1-8E79-DD52E21DBFA1}"/>
    <cellStyle name="Normal 2 13 2 9 5" xfId="23548" xr:uid="{85B23918-3324-4F9D-B74E-789FEED0A90A}"/>
    <cellStyle name="Normal 2 13 3" xfId="23549" xr:uid="{F7108E7A-537D-495C-986F-39FB0F135796}"/>
    <cellStyle name="Normal 2 13 3 10" xfId="23550" xr:uid="{2BE9A5A6-3701-42D7-969B-36FBA7966AEB}"/>
    <cellStyle name="Normal 2 13 3 11" xfId="23551" xr:uid="{173B36F0-A0F1-4F10-B805-6C74E4DAA53A}"/>
    <cellStyle name="Normal 2 13 3 12" xfId="23552" xr:uid="{ACA7CD09-420D-4FB6-9094-88DD94E7D981}"/>
    <cellStyle name="Normal 2 13 3 2" xfId="23553" xr:uid="{C359E861-C103-47EB-B852-82C6D8844B6C}"/>
    <cellStyle name="Normal 2 13 3 2 2" xfId="23554" xr:uid="{A91936B3-642E-43B0-A386-AB8CB1391E64}"/>
    <cellStyle name="Normal 2 13 3 2 2 2" xfId="23555" xr:uid="{5CDE9803-D8FA-4878-8276-5E7ACF3F88C1}"/>
    <cellStyle name="Normal 2 13 3 2 2 3" xfId="23556" xr:uid="{366B8936-869C-4108-8179-9BB982F8F178}"/>
    <cellStyle name="Normal 2 13 3 2 2 4" xfId="23557" xr:uid="{2E602EA5-78FF-43DE-BED9-E8550C230580}"/>
    <cellStyle name="Normal 2 13 3 2 2 5" xfId="23558" xr:uid="{4569DA3A-8F0D-40A3-9F5C-94C28EB34022}"/>
    <cellStyle name="Normal 2 13 3 2 3" xfId="23559" xr:uid="{BE767F51-BE5D-409D-989C-F579DE9CB38C}"/>
    <cellStyle name="Normal 2 13 3 2 4" xfId="23560" xr:uid="{D74B7DC0-6515-4482-B695-D79D2F704ECE}"/>
    <cellStyle name="Normal 2 13 3 2 5" xfId="23561" xr:uid="{1403A47E-99A6-4383-A7B0-B8E4CE8FF309}"/>
    <cellStyle name="Normal 2 13 3 2 6" xfId="23562" xr:uid="{EA6BDF11-8332-4218-920C-804DF2F52840}"/>
    <cellStyle name="Normal 2 13 3 3" xfId="23563" xr:uid="{E2635810-7A1A-4A84-99E2-92C399FE7089}"/>
    <cellStyle name="Normal 2 13 3 3 2" xfId="23564" xr:uid="{5A36831B-9E73-42E5-BD28-4408166F9EFB}"/>
    <cellStyle name="Normal 2 13 3 3 2 2" xfId="23565" xr:uid="{0D184997-2748-4A98-9CDF-DC794F9AFD34}"/>
    <cellStyle name="Normal 2 13 3 3 2 3" xfId="23566" xr:uid="{E6509819-C551-436A-8A57-D7682D6321D0}"/>
    <cellStyle name="Normal 2 13 3 3 2 4" xfId="23567" xr:uid="{5A0AA841-0F47-46F4-A302-178D426CAE19}"/>
    <cellStyle name="Normal 2 13 3 3 2 5" xfId="23568" xr:uid="{13682779-6344-4365-A04B-839625D1825F}"/>
    <cellStyle name="Normal 2 13 3 3 3" xfId="23569" xr:uid="{23C64DCE-CA6D-4F22-B11A-F2A55D9C1047}"/>
    <cellStyle name="Normal 2 13 3 3 4" xfId="23570" xr:uid="{048028AA-3424-4AF6-ADFC-04380B6A5490}"/>
    <cellStyle name="Normal 2 13 3 3 5" xfId="23571" xr:uid="{30A03C0F-628B-4A1E-8B2B-CF143FA383A3}"/>
    <cellStyle name="Normal 2 13 3 3 6" xfId="23572" xr:uid="{BA9AF2E5-BB95-44B6-AF1F-4A94EFBFD09F}"/>
    <cellStyle name="Normal 2 13 3 4" xfId="23573" xr:uid="{6F0268F3-D356-4498-BA36-918DF52190CF}"/>
    <cellStyle name="Normal 2 13 3 4 2" xfId="23574" xr:uid="{A6600A9A-1016-4320-9334-8B29E40E6D76}"/>
    <cellStyle name="Normal 2 13 3 4 2 2" xfId="23575" xr:uid="{34F514E9-E1B4-4CDC-A113-EDCBD3A3F48D}"/>
    <cellStyle name="Normal 2 13 3 4 2 3" xfId="23576" xr:uid="{CAC00D46-D9E5-4D36-AF82-7ECB0CD41A8B}"/>
    <cellStyle name="Normal 2 13 3 4 2 4" xfId="23577" xr:uid="{2A8036DC-49A9-4F82-840B-1EFAB790B9E4}"/>
    <cellStyle name="Normal 2 13 3 4 2 5" xfId="23578" xr:uid="{DECE0C77-1E1B-474D-9374-F302B6407371}"/>
    <cellStyle name="Normal 2 13 3 4 3" xfId="23579" xr:uid="{1AAFC0B7-2DD2-45B9-9551-B34DB893CE4D}"/>
    <cellStyle name="Normal 2 13 3 4 4" xfId="23580" xr:uid="{B32364AE-A23E-4F79-936C-A17BEB01662B}"/>
    <cellStyle name="Normal 2 13 3 4 5" xfId="23581" xr:uid="{9A92BFC1-75BC-4BDA-ABC0-8796CC82AC07}"/>
    <cellStyle name="Normal 2 13 3 4 6" xfId="23582" xr:uid="{529CE1D1-9664-4D14-BC5A-F05A8CDA9C7D}"/>
    <cellStyle name="Normal 2 13 3 5" xfId="23583" xr:uid="{303C6259-ECE7-4A32-9F85-3470F789358C}"/>
    <cellStyle name="Normal 2 13 3 5 2" xfId="23584" xr:uid="{2382AC79-16D8-4617-809D-5A90B2E4747A}"/>
    <cellStyle name="Normal 2 13 3 5 3" xfId="23585" xr:uid="{F5D6E060-8706-469A-942E-45FD804FEC0D}"/>
    <cellStyle name="Normal 2 13 3 5 4" xfId="23586" xr:uid="{B7587C9D-3F53-4040-BC1D-5F98BE8651C0}"/>
    <cellStyle name="Normal 2 13 3 5 5" xfId="23587" xr:uid="{65C360B4-C9F8-4BB0-86AF-0C5F51211245}"/>
    <cellStyle name="Normal 2 13 3 6" xfId="23588" xr:uid="{8F24DF9A-4800-4A67-A0C4-9835DAFF6196}"/>
    <cellStyle name="Normal 2 13 3 6 2" xfId="23589" xr:uid="{00A52042-6CF2-4B77-AF39-25F46D0CFF92}"/>
    <cellStyle name="Normal 2 13 3 6 3" xfId="23590" xr:uid="{B2322FBB-11D5-4E7C-898D-0ADEEB403354}"/>
    <cellStyle name="Normal 2 13 3 6 4" xfId="23591" xr:uid="{3DCB3057-048D-471A-A578-F434B834BE68}"/>
    <cellStyle name="Normal 2 13 3 6 5" xfId="23592" xr:uid="{E2F20FA2-3906-42F0-8AB5-9D97436E2EFF}"/>
    <cellStyle name="Normal 2 13 3 7" xfId="23593" xr:uid="{D2975909-F293-4153-8377-ECDFF3B0B512}"/>
    <cellStyle name="Normal 2 13 3 7 2" xfId="23594" xr:uid="{8094CADE-2C31-4C1D-9EA7-D0C3A3A7866F}"/>
    <cellStyle name="Normal 2 13 3 7 3" xfId="23595" xr:uid="{9000CDF6-24A1-4889-85C8-5D48C88DA81B}"/>
    <cellStyle name="Normal 2 13 3 7 4" xfId="23596" xr:uid="{159C74B0-0D1D-4CAA-9163-B8C9DB70437F}"/>
    <cellStyle name="Normal 2 13 3 7 5" xfId="23597" xr:uid="{490BA195-B412-4BF8-AB83-823F106119B7}"/>
    <cellStyle name="Normal 2 13 3 8" xfId="23598" xr:uid="{AFBE83E4-319A-4A7A-A218-8452C538C854}"/>
    <cellStyle name="Normal 2 13 3 8 2" xfId="23599" xr:uid="{508CFF0E-9670-47F1-803E-83E90F36FF12}"/>
    <cellStyle name="Normal 2 13 3 8 3" xfId="23600" xr:uid="{24A9221F-6303-4AAA-BBD2-D90367DF42E9}"/>
    <cellStyle name="Normal 2 13 3 8 4" xfId="23601" xr:uid="{A0B062E2-6201-4DE1-AAA8-DE51144985B1}"/>
    <cellStyle name="Normal 2 13 3 8 5" xfId="23602" xr:uid="{EFD6D250-1881-4EFF-A18D-679CA6D476B1}"/>
    <cellStyle name="Normal 2 13 3 9" xfId="23603" xr:uid="{287544F5-1AE4-4F38-9F9E-6A700E617A72}"/>
    <cellStyle name="Normal 2 13 4" xfId="23604" xr:uid="{61E8DF20-7340-45B8-BE2D-51A023274AF5}"/>
    <cellStyle name="Normal 2 13 4 2" xfId="23605" xr:uid="{C6876D17-083F-4244-A15A-839E71DE939F}"/>
    <cellStyle name="Normal 2 13 4 2 2" xfId="23606" xr:uid="{35B34C8A-0A5F-468A-BCAC-FB5B5A4A930A}"/>
    <cellStyle name="Normal 2 13 4 2 3" xfId="23607" xr:uid="{FCFC8FDD-69D2-4B4B-9A81-E136CB84D994}"/>
    <cellStyle name="Normal 2 13 4 2 4" xfId="23608" xr:uid="{EF008B29-8AB7-4CEF-84A5-87796740F5C5}"/>
    <cellStyle name="Normal 2 13 4 2 5" xfId="23609" xr:uid="{B8A21B4D-4399-4C9F-9319-30043F7E58BE}"/>
    <cellStyle name="Normal 2 13 4 3" xfId="23610" xr:uid="{B3A8B46E-85F4-440F-8CC2-0DF355324901}"/>
    <cellStyle name="Normal 2 13 4 4" xfId="23611" xr:uid="{76DC46C5-37F8-485A-BA5A-3F6374B0433D}"/>
    <cellStyle name="Normal 2 13 4 5" xfId="23612" xr:uid="{A35BD3BF-684F-4D40-9427-7B0721A555ED}"/>
    <cellStyle name="Normal 2 13 4 6" xfId="23613" xr:uid="{45FB2931-CF65-472C-AF2D-1F9DEF88A2AF}"/>
    <cellStyle name="Normal 2 13 5" xfId="23614" xr:uid="{675715E8-0585-4623-8C94-AD3391080C56}"/>
    <cellStyle name="Normal 2 13 5 2" xfId="23615" xr:uid="{EA970358-8A0D-4BA0-A428-D1B1E6FADBAE}"/>
    <cellStyle name="Normal 2 13 5 2 2" xfId="23616" xr:uid="{C12E0900-D681-44FE-8AD3-C303449148A6}"/>
    <cellStyle name="Normal 2 13 5 2 3" xfId="23617" xr:uid="{1A7AA763-0BF1-4C76-A406-02B3443EF881}"/>
    <cellStyle name="Normal 2 13 5 2 4" xfId="23618" xr:uid="{0B3F07C1-8AFF-4425-BFEE-626D14786B3D}"/>
    <cellStyle name="Normal 2 13 5 2 5" xfId="23619" xr:uid="{1439D958-2069-41C1-986F-7F96F0FA3635}"/>
    <cellStyle name="Normal 2 13 5 3" xfId="23620" xr:uid="{6AAC1C8B-9512-45CB-91B3-1C3CA2844285}"/>
    <cellStyle name="Normal 2 13 5 4" xfId="23621" xr:uid="{CC70BDAF-8019-4BE6-B449-07866C4D3783}"/>
    <cellStyle name="Normal 2 13 5 5" xfId="23622" xr:uid="{D1FA6AD8-BF06-45EA-A41A-E779CFEC0780}"/>
    <cellStyle name="Normal 2 13 5 6" xfId="23623" xr:uid="{E10FB331-2856-441D-8D8C-C74AB8CC9A53}"/>
    <cellStyle name="Normal 2 13 6" xfId="23624" xr:uid="{1661239C-3985-436E-9660-B4DD5F986A91}"/>
    <cellStyle name="Normal 2 13 6 2" xfId="23625" xr:uid="{D873CC04-F3DA-412F-82BB-AC0EC9F1BE5E}"/>
    <cellStyle name="Normal 2 13 6 2 2" xfId="23626" xr:uid="{CF547F4D-F4E8-4545-AE67-ED4C76EE4997}"/>
    <cellStyle name="Normal 2 13 6 2 3" xfId="23627" xr:uid="{2529BB02-17B2-4B5B-8D54-05467449BC08}"/>
    <cellStyle name="Normal 2 13 6 2 4" xfId="23628" xr:uid="{0C045165-CAC5-4A5A-8B65-D9570C8B136D}"/>
    <cellStyle name="Normal 2 13 6 2 5" xfId="23629" xr:uid="{E2EC0A98-FF0B-4B34-B5B2-B2FDDD3C88BA}"/>
    <cellStyle name="Normal 2 13 6 3" xfId="23630" xr:uid="{BCD8EE7B-C2C8-4DEF-B693-F2C5D4864918}"/>
    <cellStyle name="Normal 2 13 6 4" xfId="23631" xr:uid="{BF2862F2-B8A6-4E81-B84C-E8DBBD2A27EE}"/>
    <cellStyle name="Normal 2 13 6 5" xfId="23632" xr:uid="{5AB6C93E-39A1-40E9-B7A5-00A1EEEE99AC}"/>
    <cellStyle name="Normal 2 13 6 6" xfId="23633" xr:uid="{1B4E8DE1-F644-4702-A656-AE39F803D6E0}"/>
    <cellStyle name="Normal 2 13 7" xfId="23634" xr:uid="{B6CE71EC-FCC1-499F-A843-FB2FF10BC00E}"/>
    <cellStyle name="Normal 2 13 7 2" xfId="23635" xr:uid="{E38A3B2E-34D4-4E9C-A67D-0B2112064912}"/>
    <cellStyle name="Normal 2 13 7 3" xfId="23636" xr:uid="{83249E9C-4964-4D08-91EC-5B472D0DF5C1}"/>
    <cellStyle name="Normal 2 13 7 4" xfId="23637" xr:uid="{C19C71B0-13A9-414E-8F7E-16EC8B48F62A}"/>
    <cellStyle name="Normal 2 13 7 5" xfId="23638" xr:uid="{08DDB432-D25D-4DE9-AE74-49B3FB14216A}"/>
    <cellStyle name="Normal 2 13 8" xfId="23639" xr:uid="{C4BC15D4-1777-42CD-8471-BF7707DFBCEE}"/>
    <cellStyle name="Normal 2 13 8 2" xfId="23640" xr:uid="{0A0A7A5A-125C-4A5B-9E8F-4556388E1F03}"/>
    <cellStyle name="Normal 2 13 8 3" xfId="23641" xr:uid="{D5DABA85-831F-4CA2-8431-86B6168CC435}"/>
    <cellStyle name="Normal 2 13 8 4" xfId="23642" xr:uid="{EEFCF4CF-14BB-46B7-B9DA-C48AD4BA44F2}"/>
    <cellStyle name="Normal 2 13 8 5" xfId="23643" xr:uid="{EBE0CDB2-221C-45B9-9072-D2FA9A9D3098}"/>
    <cellStyle name="Normal 2 13 9" xfId="23644" xr:uid="{9BE27AB5-5763-455E-81F8-56A35F52D05F}"/>
    <cellStyle name="Normal 2 13 9 2" xfId="23645" xr:uid="{4F397F98-0842-4302-95BA-BF8E4A11203B}"/>
    <cellStyle name="Normal 2 13 9 3" xfId="23646" xr:uid="{20DB00E9-970A-43E9-AB21-A2538A0AD320}"/>
    <cellStyle name="Normal 2 13 9 4" xfId="23647" xr:uid="{5E965898-5FC1-4AAA-AB71-3FF28C08B373}"/>
    <cellStyle name="Normal 2 13 9 5" xfId="23648" xr:uid="{69CBA2CD-B942-4A5E-BD06-468B1906DB3B}"/>
    <cellStyle name="Normal 2 14" xfId="227" xr:uid="{A7F7A656-7D8A-449D-8A28-322CF7D0FC9D}"/>
    <cellStyle name="Normal 2 14 10" xfId="23649" xr:uid="{550919ED-CB43-4927-9C48-73FCFBAA9F13}"/>
    <cellStyle name="Normal 2 14 11" xfId="23650" xr:uid="{95F2B7D5-D05E-408B-8302-E3D0F51661D5}"/>
    <cellStyle name="Normal 2 14 12" xfId="44460" xr:uid="{BB3999BA-0A83-44BA-9BD7-7D7067BE54D2}"/>
    <cellStyle name="Normal 2 14 2" xfId="23651" xr:uid="{0222689D-4A76-4F03-B0C9-21E4D6E9CF72}"/>
    <cellStyle name="Normal 2 14 3" xfId="23652" xr:uid="{173D9B8E-16E1-4361-955A-5BACBFDA1BCF}"/>
    <cellStyle name="Normal 2 14 4" xfId="23653" xr:uid="{7E3D19E1-C127-4868-930C-A9EDF5FE9398}"/>
    <cellStyle name="Normal 2 14 5" xfId="23654" xr:uid="{E682D9AB-E15D-466A-9A3F-6AB9C6FADE15}"/>
    <cellStyle name="Normal 2 14 6" xfId="23655" xr:uid="{579EC9A0-9EE8-483A-A870-816251F7DAEC}"/>
    <cellStyle name="Normal 2 14 7" xfId="23656" xr:uid="{F3DD2781-4BFD-451C-8D0E-A5183F493A76}"/>
    <cellStyle name="Normal 2 14 8" xfId="23657" xr:uid="{754E2206-433F-4674-A775-8836C2093293}"/>
    <cellStyle name="Normal 2 14 9" xfId="23658" xr:uid="{A622FBA9-4BF7-49FD-9BD0-88BE785F1325}"/>
    <cellStyle name="Normal 2 15" xfId="228" xr:uid="{12E86DEA-7D6E-4248-99DB-E7757C5EE60F}"/>
    <cellStyle name="Normal 2 15 2" xfId="23659" xr:uid="{DCF41DBE-7DEA-4338-9FC0-3F16ACE41F97}"/>
    <cellStyle name="Normal 2 15 3" xfId="23660" xr:uid="{41634003-44A1-447F-AC9F-E06CDFD391AF}"/>
    <cellStyle name="Normal 2 15 4" xfId="23661" xr:uid="{DAB36AAF-CFB5-46F8-A466-CE540BEE475F}"/>
    <cellStyle name="Normal 2 16" xfId="229" xr:uid="{80CC3939-3A96-44A7-9C6C-061C4A3B7785}"/>
    <cellStyle name="Normal 2 16 10" xfId="23662" xr:uid="{2B3DE8FA-4DE4-424D-AD25-D2B534F0509E}"/>
    <cellStyle name="Normal 2 16 11" xfId="23663" xr:uid="{430F8F8C-6FE2-40FA-BA82-30A647103869}"/>
    <cellStyle name="Normal 2 16 12" xfId="23664" xr:uid="{637D9B17-B31B-4539-AB91-A26FFC2F3CA8}"/>
    <cellStyle name="Normal 2 16 2" xfId="23665" xr:uid="{C28FAF0E-2DE9-4E2A-B28A-ACEF2EAAEC8B}"/>
    <cellStyle name="Normal 2 16 2 2" xfId="23666" xr:uid="{73E19B95-6AEB-40D1-925D-7E94824123BD}"/>
    <cellStyle name="Normal 2 16 2 2 2" xfId="23667" xr:uid="{D167D4C9-3423-4127-8B8D-651804B9EACC}"/>
    <cellStyle name="Normal 2 16 2 2 3" xfId="23668" xr:uid="{59122638-7358-4E36-9ECF-B619318A75E1}"/>
    <cellStyle name="Normal 2 16 2 2 4" xfId="23669" xr:uid="{A8D5D336-C60B-4642-8B03-D467FCA0D295}"/>
    <cellStyle name="Normal 2 16 2 2 5" xfId="23670" xr:uid="{21D44A1D-1230-4A32-B181-4759C75019F7}"/>
    <cellStyle name="Normal 2 16 2 3" xfId="23671" xr:uid="{249256BB-2D78-4995-B6F2-914E23AB5384}"/>
    <cellStyle name="Normal 2 16 2 4" xfId="23672" xr:uid="{D2C4309D-DBD6-4BBD-AD88-AFF8940A5DF7}"/>
    <cellStyle name="Normal 2 16 2 5" xfId="23673" xr:uid="{76EFBDC0-617B-4390-A238-220F2472CB19}"/>
    <cellStyle name="Normal 2 16 2 6" xfId="23674" xr:uid="{B73E5499-1E92-4B92-852B-63594B45EA04}"/>
    <cellStyle name="Normal 2 16 3" xfId="23675" xr:uid="{1F048435-F928-4C2C-A503-FF1287FB7F90}"/>
    <cellStyle name="Normal 2 16 3 2" xfId="23676" xr:uid="{5072AE79-0FE4-44C4-9242-CF1ADF1A93ED}"/>
    <cellStyle name="Normal 2 16 3 2 2" xfId="23677" xr:uid="{D334541A-59C9-4CE9-8454-1B8D7288F748}"/>
    <cellStyle name="Normal 2 16 3 2 3" xfId="23678" xr:uid="{B8A2D849-7DB7-48A4-8F69-BF2A6270F233}"/>
    <cellStyle name="Normal 2 16 3 2 4" xfId="23679" xr:uid="{623308C1-2087-4431-BCA2-FD12A4DACFEB}"/>
    <cellStyle name="Normal 2 16 3 2 5" xfId="23680" xr:uid="{E993B925-624C-41C6-8B4A-F91A8BE0E35D}"/>
    <cellStyle name="Normal 2 16 3 3" xfId="23681" xr:uid="{2DE153C9-C9CC-4A5F-B8A2-07F34CB5DDA7}"/>
    <cellStyle name="Normal 2 16 3 4" xfId="23682" xr:uid="{4F1732BB-8EEA-45E2-AF08-1CBCB841A57E}"/>
    <cellStyle name="Normal 2 16 3 5" xfId="23683" xr:uid="{DFDA1522-BF58-4388-822C-390A317E19E8}"/>
    <cellStyle name="Normal 2 16 3 6" xfId="23684" xr:uid="{CC2801B2-B73E-45D6-B169-BCFF2E30BE74}"/>
    <cellStyle name="Normal 2 16 4" xfId="23685" xr:uid="{754D1CD9-E160-4700-A1AA-E6E1EA3A290C}"/>
    <cellStyle name="Normal 2 16 4 2" xfId="23686" xr:uid="{FE2D9585-1661-4CA4-A49A-BF5B4926C915}"/>
    <cellStyle name="Normal 2 16 4 2 2" xfId="23687" xr:uid="{AAC8F93C-7157-4DF5-BF09-172D478EC417}"/>
    <cellStyle name="Normal 2 16 4 2 3" xfId="23688" xr:uid="{AA840E98-B5F7-4B62-AC00-EC0B1076BA69}"/>
    <cellStyle name="Normal 2 16 4 2 4" xfId="23689" xr:uid="{3BF28786-02DD-4B93-9E8E-126A732C1F44}"/>
    <cellStyle name="Normal 2 16 4 2 5" xfId="23690" xr:uid="{2C728BBE-7312-4E89-B212-E3E3DA7ED63B}"/>
    <cellStyle name="Normal 2 16 4 3" xfId="23691" xr:uid="{8758793A-9D80-4FAA-B585-4E54738BFEE2}"/>
    <cellStyle name="Normal 2 16 4 4" xfId="23692" xr:uid="{B322F5C7-EC6B-411E-9F70-4E12E3B101BD}"/>
    <cellStyle name="Normal 2 16 4 5" xfId="23693" xr:uid="{E78003B8-E87B-4869-A309-878D13367EC5}"/>
    <cellStyle name="Normal 2 16 4 6" xfId="23694" xr:uid="{4178B855-F370-43F2-B7EB-EF9A8E3A5DD2}"/>
    <cellStyle name="Normal 2 16 5" xfId="23695" xr:uid="{59F2D8EB-87C7-456A-80D8-22C8076167EA}"/>
    <cellStyle name="Normal 2 16 5 2" xfId="23696" xr:uid="{E5F44FDE-0F73-404F-A69C-C2EDF502BD2F}"/>
    <cellStyle name="Normal 2 16 5 3" xfId="23697" xr:uid="{9EA3AB17-406B-4FBB-8044-A319FDB8DB7A}"/>
    <cellStyle name="Normal 2 16 5 4" xfId="23698" xr:uid="{1481CEE6-B734-40F2-9AF7-00FE10A367F2}"/>
    <cellStyle name="Normal 2 16 5 5" xfId="23699" xr:uid="{DD696B8E-B129-40C8-9E54-E76F31E76226}"/>
    <cellStyle name="Normal 2 16 6" xfId="23700" xr:uid="{9D71D592-C36A-41E0-ACBD-FF19FF683BC8}"/>
    <cellStyle name="Normal 2 16 6 2" xfId="23701" xr:uid="{E0836F33-95FA-4491-AEBE-E2859F8E8F11}"/>
    <cellStyle name="Normal 2 16 6 3" xfId="23702" xr:uid="{72412C85-D0DB-476A-88FC-2D49FFAC7FFA}"/>
    <cellStyle name="Normal 2 16 6 4" xfId="23703" xr:uid="{F874FC13-CA31-4718-B7FC-C7B56274E3F7}"/>
    <cellStyle name="Normal 2 16 6 5" xfId="23704" xr:uid="{FC5346D3-94D0-4665-B5EC-557BDA07A9C2}"/>
    <cellStyle name="Normal 2 16 7" xfId="23705" xr:uid="{87267366-4139-4DBF-A8FB-8B2F1FCF6F11}"/>
    <cellStyle name="Normal 2 16 7 2" xfId="23706" xr:uid="{3BD743E5-7B36-49A1-9211-49A1A51C1C3B}"/>
    <cellStyle name="Normal 2 16 7 3" xfId="23707" xr:uid="{45BEB248-93A3-4259-B41C-A75A1E4D98D0}"/>
    <cellStyle name="Normal 2 16 7 4" xfId="23708" xr:uid="{988FA2B9-EC98-4144-816A-97106E121C5B}"/>
    <cellStyle name="Normal 2 16 7 5" xfId="23709" xr:uid="{CB2915CC-5B02-456C-A142-11A958898C8A}"/>
    <cellStyle name="Normal 2 16 8" xfId="23710" xr:uid="{F9ECF6CE-0B92-4ED3-93D2-C93418499661}"/>
    <cellStyle name="Normal 2 16 8 2" xfId="23711" xr:uid="{B672D9DC-DBDE-4F61-8464-BEB01B4961A2}"/>
    <cellStyle name="Normal 2 16 8 3" xfId="23712" xr:uid="{D682110A-2029-490F-8F1B-5AFBA84B2525}"/>
    <cellStyle name="Normal 2 16 8 4" xfId="23713" xr:uid="{F3F639A1-46F5-4104-970D-D4119C5ACA5E}"/>
    <cellStyle name="Normal 2 16 8 5" xfId="23714" xr:uid="{DAF5CAD4-0515-4DE9-95DB-2E1FB978266F}"/>
    <cellStyle name="Normal 2 16 9" xfId="23715" xr:uid="{1D2ACDAD-8BD5-4BC6-A497-23EF8E115DDB}"/>
    <cellStyle name="Normal 2 17" xfId="230" xr:uid="{3CF8F7C5-1310-4AD3-B0F6-CEF4849C5B27}"/>
    <cellStyle name="Normal 2 17 2" xfId="23716" xr:uid="{59E6176A-2FD1-4B05-8AB1-AACDCB2A126B}"/>
    <cellStyle name="Normal 2 17 2 2" xfId="23717" xr:uid="{F9823FF1-4F3A-4714-BB67-D0F54E14E3A7}"/>
    <cellStyle name="Normal 2 17 2 2 2" xfId="23718" xr:uid="{A5765B61-234B-44A1-8262-EA0DC3934749}"/>
    <cellStyle name="Normal 2 17 2 2 3" xfId="23719" xr:uid="{D7A9AB32-7C80-4B1E-8224-034FB7367210}"/>
    <cellStyle name="Normal 2 17 2 2 4" xfId="23720" xr:uid="{004E9CC5-2496-429B-B716-7DE50F604976}"/>
    <cellStyle name="Normal 2 17 2 2 5" xfId="23721" xr:uid="{97E59A1C-C7C6-4212-8BFB-F56F84BCF1EA}"/>
    <cellStyle name="Normal 2 17 2 3" xfId="23722" xr:uid="{B64A13E7-C3C2-444A-854E-9F68AD217AB5}"/>
    <cellStyle name="Normal 2 17 2 4" xfId="23723" xr:uid="{95007160-91AD-4312-9054-EC3AD987836E}"/>
    <cellStyle name="Normal 2 17 2 5" xfId="23724" xr:uid="{A2C11BA2-F5C6-4B9A-B6DE-7197C3B1460B}"/>
    <cellStyle name="Normal 2 17 2 6" xfId="23725" xr:uid="{47BA2907-3320-4C32-9005-558BEEA93F30}"/>
    <cellStyle name="Normal 2 17 3" xfId="8" xr:uid="{AF27A1EB-1BC7-4550-98A7-D2DD4DC912B5}"/>
    <cellStyle name="Normal 2 17 4" xfId="23726" xr:uid="{EB87370E-DDC9-42C6-B90B-BAF483866C2A}"/>
    <cellStyle name="Normal 2 17 5" xfId="23727" xr:uid="{6FBC4606-F635-4154-8B4B-DE2CC9FFBBAF}"/>
    <cellStyle name="Normal 2 17 6" xfId="23728" xr:uid="{2BE669AF-8ADF-4EDF-BF70-8E27B449BAFF}"/>
    <cellStyle name="Normal 2 18" xfId="231" xr:uid="{ED44279C-CF11-445A-93AE-384709A31DC8}"/>
    <cellStyle name="Normal 2 18 2" xfId="23729" xr:uid="{9D321EA0-46D8-4484-AF57-4BE2BD9B91A2}"/>
    <cellStyle name="Normal 2 18 2 2" xfId="23730" xr:uid="{184713EC-0F61-4EC3-8F69-793CCE5762F6}"/>
    <cellStyle name="Normal 2 18 2 3" xfId="23731" xr:uid="{2BA52B63-076B-4493-9713-AA57BCC393D8}"/>
    <cellStyle name="Normal 2 18 2 4" xfId="23732" xr:uid="{B57A92CC-1D1C-474C-9CDA-3EA35470D049}"/>
    <cellStyle name="Normal 2 18 2 5" xfId="23733" xr:uid="{8BE0EB86-3A99-4150-B263-2B55C5E7464A}"/>
    <cellStyle name="Normal 2 18 3" xfId="23734" xr:uid="{C6F03D69-5CF8-4FA4-8A0F-1F85962D1052}"/>
    <cellStyle name="Normal 2 18 4" xfId="23735" xr:uid="{0264CF19-7FE1-4A93-8038-219E67E73CEE}"/>
    <cellStyle name="Normal 2 18 5" xfId="23736" xr:uid="{7D10F52C-71DD-4DD8-9F54-74217CC59A2A}"/>
    <cellStyle name="Normal 2 18 6" xfId="23737" xr:uid="{8370FA9F-7044-44AA-8526-2E5983D06D1C}"/>
    <cellStyle name="Normal 2 19" xfId="232" xr:uid="{6BA9A419-5BBB-42B5-9547-33450D013777}"/>
    <cellStyle name="Normal 2 19 2" xfId="23738" xr:uid="{C562F994-D04A-4A1B-A7BB-5B53D8A97E17}"/>
    <cellStyle name="Normal 2 19 2 2" xfId="23739" xr:uid="{E14A4CD7-80A4-4628-9EA1-2AB9DD585A61}"/>
    <cellStyle name="Normal 2 19 2 3" xfId="23740" xr:uid="{B1A523A5-6EF7-4635-A04B-DA007E62E8B4}"/>
    <cellStyle name="Normal 2 19 2 4" xfId="23741" xr:uid="{05B81902-3E81-4464-9BA1-F4AC9AED95DC}"/>
    <cellStyle name="Normal 2 19 2 5" xfId="23742" xr:uid="{B6A56E45-071C-4F38-A1E8-24B05B82A257}"/>
    <cellStyle name="Normal 2 19 3" xfId="23743" xr:uid="{A4336F3D-9B41-4197-BAB9-B28A9439D7FF}"/>
    <cellStyle name="Normal 2 19 4" xfId="23744" xr:uid="{4E930674-C12F-4444-B9AD-5189543A6368}"/>
    <cellStyle name="Normal 2 19 5" xfId="23745" xr:uid="{ED74A0A3-8DD6-4F93-8A84-64BF5DC0C41C}"/>
    <cellStyle name="Normal 2 19 6" xfId="23746" xr:uid="{00F78253-153F-480E-B849-FC62A7451D4B}"/>
    <cellStyle name="Normal 2 2" xfId="233" xr:uid="{3C113D02-7A68-4D31-8A17-585DC13CA35F}"/>
    <cellStyle name="Normal 2 2 10" xfId="234" xr:uid="{D9B47FCC-8822-41DB-8781-552145D22120}"/>
    <cellStyle name="Normal 2 2 11" xfId="235" xr:uid="{120EB5AA-719B-444C-BF6C-CCD8DD7FA5A9}"/>
    <cellStyle name="Normal 2 2 12" xfId="23747" xr:uid="{5F3635B5-07A9-4D68-B2F7-9482DDCD03DB}"/>
    <cellStyle name="Normal 2 2 13" xfId="23748" xr:uid="{11AED5FE-047A-444C-AECC-1A81A40B5B09}"/>
    <cellStyle name="Normal 2 2 14" xfId="23749" xr:uid="{149D380F-3C35-4118-A1BC-5D824DD27FE6}"/>
    <cellStyle name="Normal 2 2 14 10" xfId="23750" xr:uid="{EFD1DC7E-0542-4416-A496-05909AEC29B0}"/>
    <cellStyle name="Normal 2 2 14 10 2" xfId="23751" xr:uid="{A238424A-C18E-4C32-8E73-4ACC5B0517CC}"/>
    <cellStyle name="Normal 2 2 14 10 3" xfId="23752" xr:uid="{FFC2CA69-B316-4431-A861-5ACC4B6930E3}"/>
    <cellStyle name="Normal 2 2 14 10 4" xfId="23753" xr:uid="{0D16E33E-2065-4719-AC40-A4F4BBF1F1CE}"/>
    <cellStyle name="Normal 2 2 14 10 5" xfId="23754" xr:uid="{8FA765C1-A570-45A0-8596-6D1B99D19F11}"/>
    <cellStyle name="Normal 2 2 14 11" xfId="23755" xr:uid="{0699BEFF-0EC6-436B-A2B7-7A714127188E}"/>
    <cellStyle name="Normal 2 2 14 11 2" xfId="23756" xr:uid="{0EA4FAA1-16A6-476C-9F7B-299205294673}"/>
    <cellStyle name="Normal 2 2 14 11 3" xfId="23757" xr:uid="{44E4D85D-3985-46CD-B8AA-8906AE333CA4}"/>
    <cellStyle name="Normal 2 2 14 11 4" xfId="23758" xr:uid="{2C863A71-BD4E-4454-9B40-12BD7BD44A5A}"/>
    <cellStyle name="Normal 2 2 14 11 5" xfId="23759" xr:uid="{89573AD5-ADB0-4421-8575-F1A7B0100FC1}"/>
    <cellStyle name="Normal 2 2 14 12" xfId="23760" xr:uid="{85EE2110-C4E8-4A1A-B80D-070CDE521D2F}"/>
    <cellStyle name="Normal 2 2 14 13" xfId="23761" xr:uid="{E330A038-88CC-42AE-AC21-AB2C2C6950D7}"/>
    <cellStyle name="Normal 2 2 14 14" xfId="23762" xr:uid="{BB3C43AF-CFCA-4FDB-A3D2-5391E16238B1}"/>
    <cellStyle name="Normal 2 2 14 15" xfId="23763" xr:uid="{C3FE2730-84AA-4B7A-8A48-67DC9BA01715}"/>
    <cellStyle name="Normal 2 2 14 2" xfId="23764" xr:uid="{14B38894-3556-4613-976E-CF9AB222F2CC}"/>
    <cellStyle name="Normal 2 2 14 3" xfId="23765" xr:uid="{C41ABB55-E651-42C1-8306-1815DFED7872}"/>
    <cellStyle name="Normal 2 2 14 3 10" xfId="23766" xr:uid="{77DD33FA-BC17-4CAC-BFD6-7FA173853513}"/>
    <cellStyle name="Normal 2 2 14 3 11" xfId="23767" xr:uid="{AD642193-507C-4DC2-9CC1-C7E0D61A7573}"/>
    <cellStyle name="Normal 2 2 14 3 12" xfId="23768" xr:uid="{7AFC3DF6-7196-41D3-A7E0-4E8CAF55275B}"/>
    <cellStyle name="Normal 2 2 14 3 13" xfId="23769" xr:uid="{4A88DA89-23CA-4FAD-8EA4-84BB223AE100}"/>
    <cellStyle name="Normal 2 2 14 3 2" xfId="23770" xr:uid="{884877E5-AD26-49A0-A4F5-1A4B750D736F}"/>
    <cellStyle name="Normal 2 2 14 3 2 10" xfId="23771" xr:uid="{741C04C1-2EA9-4AD6-A376-9B0F95D5922A}"/>
    <cellStyle name="Normal 2 2 14 3 2 11" xfId="23772" xr:uid="{01510BA9-FB8A-49F0-A186-8E4009FBA636}"/>
    <cellStyle name="Normal 2 2 14 3 2 12" xfId="23773" xr:uid="{0761270F-28EB-47B6-9200-D822A7809DEE}"/>
    <cellStyle name="Normal 2 2 14 3 2 2" xfId="23774" xr:uid="{083E34C0-AA1F-4A77-ACB8-FD36586A80B3}"/>
    <cellStyle name="Normal 2 2 14 3 2 2 2" xfId="23775" xr:uid="{B623310D-E30E-4F92-B5C1-A66375E1947B}"/>
    <cellStyle name="Normal 2 2 14 3 2 2 2 2" xfId="23776" xr:uid="{A8EC62F3-F932-4730-A3D5-4BAC603676F2}"/>
    <cellStyle name="Normal 2 2 14 3 2 2 2 3" xfId="23777" xr:uid="{3276DD3B-8594-41F7-BD5E-8C797F91A997}"/>
    <cellStyle name="Normal 2 2 14 3 2 2 2 4" xfId="23778" xr:uid="{5496B0B9-E26E-4AE5-8946-EBA024A4B835}"/>
    <cellStyle name="Normal 2 2 14 3 2 2 2 5" xfId="23779" xr:uid="{FFE39B34-4402-446B-A5D7-5826D3C1B4B3}"/>
    <cellStyle name="Normal 2 2 14 3 2 2 3" xfId="23780" xr:uid="{85F5DE3B-BED3-4E51-BED9-D4B3D7EC0231}"/>
    <cellStyle name="Normal 2 2 14 3 2 2 4" xfId="23781" xr:uid="{6B2295DB-53F5-4BDA-8223-8168BC28CC15}"/>
    <cellStyle name="Normal 2 2 14 3 2 2 5" xfId="23782" xr:uid="{54DEDDE0-DC0F-4F70-8C68-B4F935ABC10F}"/>
    <cellStyle name="Normal 2 2 14 3 2 2 6" xfId="23783" xr:uid="{A1E1D997-B18F-4F3C-9567-A80B4E98AD1D}"/>
    <cellStyle name="Normal 2 2 14 3 2 3" xfId="23784" xr:uid="{A83B22B9-C8E9-454B-99DA-6CEDF4FC4C6F}"/>
    <cellStyle name="Normal 2 2 14 3 2 3 2" xfId="23785" xr:uid="{D0C8B79C-1996-417A-9AF7-E0E85226B8C0}"/>
    <cellStyle name="Normal 2 2 14 3 2 3 2 2" xfId="23786" xr:uid="{893B2E7D-8E50-4C55-817B-3FB00092339E}"/>
    <cellStyle name="Normal 2 2 14 3 2 3 2 3" xfId="23787" xr:uid="{D44B0918-6E58-40DA-88B4-8395C143EFD5}"/>
    <cellStyle name="Normal 2 2 14 3 2 3 2 4" xfId="23788" xr:uid="{70D8FC98-BDF6-48EE-BD0D-A792D0EF0166}"/>
    <cellStyle name="Normal 2 2 14 3 2 3 2 5" xfId="23789" xr:uid="{73BCBB61-8C93-4B2B-9A07-6BB1DD9ECD43}"/>
    <cellStyle name="Normal 2 2 14 3 2 3 3" xfId="23790" xr:uid="{FA5F99D3-E910-482A-BDD0-EEE515AED1D1}"/>
    <cellStyle name="Normal 2 2 14 3 2 3 4" xfId="23791" xr:uid="{D396A4E5-5ADF-49A2-940D-B3DF55E8D70F}"/>
    <cellStyle name="Normal 2 2 14 3 2 3 5" xfId="23792" xr:uid="{AED53836-8D64-4896-9D74-BC8F205DFA4D}"/>
    <cellStyle name="Normal 2 2 14 3 2 3 6" xfId="23793" xr:uid="{F79478AD-5B3D-4533-8AC5-0147957C19F0}"/>
    <cellStyle name="Normal 2 2 14 3 2 4" xfId="23794" xr:uid="{17485145-67BB-40EE-8F9D-87AC8BBE1EA0}"/>
    <cellStyle name="Normal 2 2 14 3 2 4 2" xfId="23795" xr:uid="{FC34E45B-5057-44A7-A11E-463B67A0CB90}"/>
    <cellStyle name="Normal 2 2 14 3 2 4 2 2" xfId="23796" xr:uid="{EE0DC54D-A83B-4FC4-B40A-A103249460AE}"/>
    <cellStyle name="Normal 2 2 14 3 2 4 2 3" xfId="23797" xr:uid="{F78E105E-A805-4F04-B1A5-01624D558649}"/>
    <cellStyle name="Normal 2 2 14 3 2 4 2 4" xfId="23798" xr:uid="{013036AB-F51F-4590-878A-45A0ECBBBB5E}"/>
    <cellStyle name="Normal 2 2 14 3 2 4 2 5" xfId="23799" xr:uid="{A0B5C0E6-F694-4783-87B0-C8719DC44593}"/>
    <cellStyle name="Normal 2 2 14 3 2 4 3" xfId="23800" xr:uid="{8D4FDE7F-69FB-442B-BB05-08077495A0B7}"/>
    <cellStyle name="Normal 2 2 14 3 2 4 4" xfId="23801" xr:uid="{4E5E9CFE-2B38-4DB2-8D39-9CD513B61D24}"/>
    <cellStyle name="Normal 2 2 14 3 2 4 5" xfId="23802" xr:uid="{AC1F4BE4-4B01-4E10-B94C-8037613E6AD2}"/>
    <cellStyle name="Normal 2 2 14 3 2 4 6" xfId="23803" xr:uid="{586B5C80-56B0-4522-9C62-EAD89EFE0283}"/>
    <cellStyle name="Normal 2 2 14 3 2 5" xfId="23804" xr:uid="{BA9233ED-F681-421E-9541-C7DD30F90152}"/>
    <cellStyle name="Normal 2 2 14 3 2 5 2" xfId="23805" xr:uid="{B7D0FD82-F829-45AB-A42F-A5F326ADC38A}"/>
    <cellStyle name="Normal 2 2 14 3 2 5 3" xfId="23806" xr:uid="{7851BFC7-0E44-4F78-B9A7-89E4BFFE5B59}"/>
    <cellStyle name="Normal 2 2 14 3 2 5 4" xfId="23807" xr:uid="{C8F56191-C9F8-4E29-B2FB-5AF46D3B4D3F}"/>
    <cellStyle name="Normal 2 2 14 3 2 5 5" xfId="23808" xr:uid="{9EF82393-422F-4D04-8FF4-816A81E82F7D}"/>
    <cellStyle name="Normal 2 2 14 3 2 6" xfId="23809" xr:uid="{763F874A-4242-4179-A529-6EDFDA0ACD4C}"/>
    <cellStyle name="Normal 2 2 14 3 2 6 2" xfId="23810" xr:uid="{47653797-D073-4C5D-8524-7D2D604AB4E4}"/>
    <cellStyle name="Normal 2 2 14 3 2 6 3" xfId="23811" xr:uid="{C22A7389-E6DA-47C8-8376-BD11AE27BB56}"/>
    <cellStyle name="Normal 2 2 14 3 2 6 4" xfId="23812" xr:uid="{B2090DD3-8124-44B1-9000-663E2BE54EA4}"/>
    <cellStyle name="Normal 2 2 14 3 2 6 5" xfId="23813" xr:uid="{4B0DE7FD-3417-4D07-B2F7-17BD23D8F84B}"/>
    <cellStyle name="Normal 2 2 14 3 2 7" xfId="23814" xr:uid="{DA618405-7ADA-4F19-A7A4-58D3F9AFE847}"/>
    <cellStyle name="Normal 2 2 14 3 2 7 2" xfId="23815" xr:uid="{66EA6CCE-2BA9-4EA9-9046-6901426ABF4B}"/>
    <cellStyle name="Normal 2 2 14 3 2 7 3" xfId="23816" xr:uid="{1C68E20F-1708-4FAF-996B-AD29A9C691DC}"/>
    <cellStyle name="Normal 2 2 14 3 2 7 4" xfId="23817" xr:uid="{B072DB7A-8D0C-4F12-9EC5-F96D03E1C37C}"/>
    <cellStyle name="Normal 2 2 14 3 2 7 5" xfId="23818" xr:uid="{DA5DD3E5-F248-4565-ABBB-D248546E0148}"/>
    <cellStyle name="Normal 2 2 14 3 2 8" xfId="23819" xr:uid="{4DAA0998-A8C7-446C-B93D-0365520EA0C6}"/>
    <cellStyle name="Normal 2 2 14 3 2 8 2" xfId="23820" xr:uid="{8198D20A-5BC0-4DFC-AE9E-68E01D6A6314}"/>
    <cellStyle name="Normal 2 2 14 3 2 8 3" xfId="23821" xr:uid="{F0FF4A30-F7E8-4370-BB87-9CEE17F904BC}"/>
    <cellStyle name="Normal 2 2 14 3 2 8 4" xfId="23822" xr:uid="{4105DF1B-CF59-4535-8B80-7499FCF57129}"/>
    <cellStyle name="Normal 2 2 14 3 2 8 5" xfId="23823" xr:uid="{FA7C95BE-4A62-475D-BAD7-4CB70631E4BC}"/>
    <cellStyle name="Normal 2 2 14 3 2 9" xfId="23824" xr:uid="{A795FAF2-14BA-42EE-A574-1EA6ECDE7E47}"/>
    <cellStyle name="Normal 2 2 14 3 3" xfId="23825" xr:uid="{B8375DA9-F89B-4A6C-90E1-F404E068CC90}"/>
    <cellStyle name="Normal 2 2 14 3 3 2" xfId="23826" xr:uid="{F3FD2DF9-BB26-4BD0-9BE7-94D96B1FB526}"/>
    <cellStyle name="Normal 2 2 14 3 3 2 2" xfId="23827" xr:uid="{D6613B0E-4C65-485A-A31C-96FF87A309D5}"/>
    <cellStyle name="Normal 2 2 14 3 3 2 3" xfId="23828" xr:uid="{23C9A3A7-A5CA-4558-8F2E-29DD948F665F}"/>
    <cellStyle name="Normal 2 2 14 3 3 2 4" xfId="23829" xr:uid="{6ABBF547-95CA-4709-A60F-55B81CBE6479}"/>
    <cellStyle name="Normal 2 2 14 3 3 2 5" xfId="23830" xr:uid="{4D6A5ED1-57D6-4E4C-90CD-3B8284CF3768}"/>
    <cellStyle name="Normal 2 2 14 3 3 3" xfId="23831" xr:uid="{AF04AE9B-58AB-4D1A-8672-8B5A977D9F46}"/>
    <cellStyle name="Normal 2 2 14 3 3 4" xfId="23832" xr:uid="{D80BF548-9B9F-42F8-8E3C-065813D6C702}"/>
    <cellStyle name="Normal 2 2 14 3 3 5" xfId="23833" xr:uid="{24EF2A03-0D18-4FC2-88C9-9C91D6E9C82C}"/>
    <cellStyle name="Normal 2 2 14 3 3 6" xfId="23834" xr:uid="{6EB0E399-0677-4DA3-B9D6-3931F3964259}"/>
    <cellStyle name="Normal 2 2 14 3 4" xfId="23835" xr:uid="{E0D12E33-B28F-4311-98C0-7C48B9F710D7}"/>
    <cellStyle name="Normal 2 2 14 3 4 2" xfId="23836" xr:uid="{E48E8419-BEAE-4E2E-99BE-7A60B587BA6B}"/>
    <cellStyle name="Normal 2 2 14 3 4 2 2" xfId="23837" xr:uid="{5C65C37F-DC99-4455-B306-B411EF07D4EE}"/>
    <cellStyle name="Normal 2 2 14 3 4 2 3" xfId="23838" xr:uid="{EAC6051B-F979-4163-97B9-EB4463F8C496}"/>
    <cellStyle name="Normal 2 2 14 3 4 2 4" xfId="23839" xr:uid="{819AE884-BBCB-4183-A300-D30C8E1BB056}"/>
    <cellStyle name="Normal 2 2 14 3 4 2 5" xfId="23840" xr:uid="{33ECAAEB-3B8D-4698-AAE8-99BF37A77C5D}"/>
    <cellStyle name="Normal 2 2 14 3 4 3" xfId="23841" xr:uid="{404E1BD1-6C52-44C6-A9AD-5C554521F597}"/>
    <cellStyle name="Normal 2 2 14 3 4 4" xfId="23842" xr:uid="{13351B31-D6EA-47B7-8D96-301EE29AA63B}"/>
    <cellStyle name="Normal 2 2 14 3 4 5" xfId="23843" xr:uid="{C3255EDB-D262-4B92-96B0-DE49DFBB6DB9}"/>
    <cellStyle name="Normal 2 2 14 3 4 6" xfId="23844" xr:uid="{6575EF59-D7B3-44D4-843F-0E6811EA3F4C}"/>
    <cellStyle name="Normal 2 2 14 3 5" xfId="23845" xr:uid="{705B16AC-544F-4B1E-9030-3D0F8BFF39AF}"/>
    <cellStyle name="Normal 2 2 14 3 5 2" xfId="23846" xr:uid="{39D43506-FF7B-43BC-8588-8E7D58E2AA3B}"/>
    <cellStyle name="Normal 2 2 14 3 5 2 2" xfId="23847" xr:uid="{16B82DB0-34D4-43CC-804D-D0987515A01C}"/>
    <cellStyle name="Normal 2 2 14 3 5 2 3" xfId="23848" xr:uid="{B7F01B7D-9101-4953-88F4-6FD58326D657}"/>
    <cellStyle name="Normal 2 2 14 3 5 2 4" xfId="23849" xr:uid="{8C749E13-2F4D-41BA-8439-2561F9AD599E}"/>
    <cellStyle name="Normal 2 2 14 3 5 2 5" xfId="23850" xr:uid="{EC334959-89DC-4B7D-A697-60A8C5968972}"/>
    <cellStyle name="Normal 2 2 14 3 5 3" xfId="23851" xr:uid="{250C3D77-5DCF-4A80-9629-B1AA0FA0D9B9}"/>
    <cellStyle name="Normal 2 2 14 3 5 4" xfId="23852" xr:uid="{6040464C-7AA5-406F-974B-60AD7DE5615D}"/>
    <cellStyle name="Normal 2 2 14 3 5 5" xfId="23853" xr:uid="{90B92429-045F-4073-A448-F999B88A7A29}"/>
    <cellStyle name="Normal 2 2 14 3 5 6" xfId="23854" xr:uid="{A59CE87D-32F7-4525-B054-2DAF020F1FF2}"/>
    <cellStyle name="Normal 2 2 14 3 6" xfId="23855" xr:uid="{E02AA863-5409-4DA6-8D0C-F01461B4EC58}"/>
    <cellStyle name="Normal 2 2 14 3 6 2" xfId="23856" xr:uid="{2D9A2637-87C9-420A-94C9-8BFF0AADA8F3}"/>
    <cellStyle name="Normal 2 2 14 3 6 3" xfId="23857" xr:uid="{4B28FBDF-6BF3-4F79-91B5-6A62B4363918}"/>
    <cellStyle name="Normal 2 2 14 3 6 4" xfId="23858" xr:uid="{62666B36-7373-4BBE-BD61-4C98031C2001}"/>
    <cellStyle name="Normal 2 2 14 3 6 5" xfId="23859" xr:uid="{242C2259-BCA2-4DBD-8DD4-3F48F453E616}"/>
    <cellStyle name="Normal 2 2 14 3 7" xfId="23860" xr:uid="{0C7CFCB6-6323-4A0F-B2BD-140C5FCD46C4}"/>
    <cellStyle name="Normal 2 2 14 3 7 2" xfId="23861" xr:uid="{1A089152-A962-4C37-9834-4693DD8EB55A}"/>
    <cellStyle name="Normal 2 2 14 3 7 3" xfId="23862" xr:uid="{03ECA575-4A6A-45E2-AD04-168868BADE10}"/>
    <cellStyle name="Normal 2 2 14 3 7 4" xfId="23863" xr:uid="{3954D08E-F378-4D37-A347-18F92598267F}"/>
    <cellStyle name="Normal 2 2 14 3 7 5" xfId="23864" xr:uid="{EE648BB2-147D-4B61-95B8-3A02539DC968}"/>
    <cellStyle name="Normal 2 2 14 3 8" xfId="23865" xr:uid="{E857681A-C08E-4CEC-9682-0F3242954998}"/>
    <cellStyle name="Normal 2 2 14 3 8 2" xfId="23866" xr:uid="{66C840A7-27E5-4D0D-B9CC-9B074EA81545}"/>
    <cellStyle name="Normal 2 2 14 3 8 3" xfId="23867" xr:uid="{A408F77D-5184-470B-8EED-6693E57C892E}"/>
    <cellStyle name="Normal 2 2 14 3 8 4" xfId="23868" xr:uid="{CC7B5074-DA4C-4A03-8CAF-3FC1662ACC71}"/>
    <cellStyle name="Normal 2 2 14 3 8 5" xfId="23869" xr:uid="{65144086-6E08-4F4E-8633-AB86B8A64BE5}"/>
    <cellStyle name="Normal 2 2 14 3 9" xfId="23870" xr:uid="{F47186A1-35FA-4E87-928D-2A30FA137F84}"/>
    <cellStyle name="Normal 2 2 14 3 9 2" xfId="23871" xr:uid="{83373389-8DEA-4DFD-BC15-AAB9429CD293}"/>
    <cellStyle name="Normal 2 2 14 3 9 3" xfId="23872" xr:uid="{EA018FCF-50DB-483F-A957-C967B049B3E2}"/>
    <cellStyle name="Normal 2 2 14 3 9 4" xfId="23873" xr:uid="{6993A94D-E6FB-41BB-A1F9-B0E0AA218F06}"/>
    <cellStyle name="Normal 2 2 14 3 9 5" xfId="23874" xr:uid="{9D800CA4-282B-41CB-9BDA-B004E6A0AA9E}"/>
    <cellStyle name="Normal 2 2 14 4" xfId="23875" xr:uid="{5E320F2A-C989-4D82-BA24-6E2ACBA039E9}"/>
    <cellStyle name="Normal 2 2 14 4 10" xfId="23876" xr:uid="{8B183FB5-985B-4975-B24B-17C5BF393AC3}"/>
    <cellStyle name="Normal 2 2 14 4 11" xfId="23877" xr:uid="{F66FB936-117E-4148-B603-C86FDF03F730}"/>
    <cellStyle name="Normal 2 2 14 4 12" xfId="23878" xr:uid="{65C30193-F3F3-407E-99CB-2678325F1373}"/>
    <cellStyle name="Normal 2 2 14 4 2" xfId="23879" xr:uid="{FE1DF513-BD82-4E4C-B033-01AA01A96BB1}"/>
    <cellStyle name="Normal 2 2 14 4 2 2" xfId="23880" xr:uid="{2DAEBE85-5F55-46C0-906A-1F8451FD1EC3}"/>
    <cellStyle name="Normal 2 2 14 4 2 2 2" xfId="23881" xr:uid="{D1CF28E3-2B0F-4A29-A866-B755BCB104E2}"/>
    <cellStyle name="Normal 2 2 14 4 2 2 3" xfId="23882" xr:uid="{DDB08D92-A4E1-4E03-82AD-92AD5B70DA54}"/>
    <cellStyle name="Normal 2 2 14 4 2 2 4" xfId="23883" xr:uid="{1FF62006-49E8-4CAA-A2B4-C0DF3BBCAA36}"/>
    <cellStyle name="Normal 2 2 14 4 2 2 5" xfId="23884" xr:uid="{02D6F8B2-1C20-46D4-9C3D-1B06EB6A475D}"/>
    <cellStyle name="Normal 2 2 14 4 2 3" xfId="23885" xr:uid="{3B000BAB-EC94-488A-A3DF-CA893076A026}"/>
    <cellStyle name="Normal 2 2 14 4 2 4" xfId="23886" xr:uid="{A303E456-26E3-485B-AABF-244AD4172523}"/>
    <cellStyle name="Normal 2 2 14 4 2 5" xfId="23887" xr:uid="{1A9290FE-E3BD-491E-A1F1-45C4D79D31C0}"/>
    <cellStyle name="Normal 2 2 14 4 2 6" xfId="23888" xr:uid="{1FBC5474-53CB-4436-8EBD-34DF2AFE97BD}"/>
    <cellStyle name="Normal 2 2 14 4 3" xfId="23889" xr:uid="{4A87CED6-310B-4335-9440-3407CD4FE1F6}"/>
    <cellStyle name="Normal 2 2 14 4 3 2" xfId="23890" xr:uid="{3E4159D1-6AAE-4D16-8656-B6261495AC67}"/>
    <cellStyle name="Normal 2 2 14 4 3 2 2" xfId="23891" xr:uid="{A7BD8E03-F4B5-403E-880F-D6F3A5B23931}"/>
    <cellStyle name="Normal 2 2 14 4 3 2 3" xfId="23892" xr:uid="{562625CE-C35C-4E29-820F-D63465D2E128}"/>
    <cellStyle name="Normal 2 2 14 4 3 2 4" xfId="23893" xr:uid="{60EFD5BD-CD07-4DC9-9957-4AA57A542928}"/>
    <cellStyle name="Normal 2 2 14 4 3 2 5" xfId="23894" xr:uid="{19E70F9A-B309-47F4-A79C-E8AFB67ADD1C}"/>
    <cellStyle name="Normal 2 2 14 4 3 3" xfId="23895" xr:uid="{D5774775-82D8-47D8-8FF5-7429A52785E1}"/>
    <cellStyle name="Normal 2 2 14 4 3 4" xfId="23896" xr:uid="{A8714C9F-46A2-48EB-B70D-33DD35D9B5F0}"/>
    <cellStyle name="Normal 2 2 14 4 3 5" xfId="23897" xr:uid="{6400C47C-3DE7-4D98-895D-894459476F3A}"/>
    <cellStyle name="Normal 2 2 14 4 3 6" xfId="23898" xr:uid="{32555684-0EBA-4DB2-A30D-982E8653EB26}"/>
    <cellStyle name="Normal 2 2 14 4 4" xfId="23899" xr:uid="{8003D942-4A9A-4C00-B510-3311BA4F5329}"/>
    <cellStyle name="Normal 2 2 14 4 4 2" xfId="23900" xr:uid="{EDCAD158-AD1D-4523-925B-A493532CD5A6}"/>
    <cellStyle name="Normal 2 2 14 4 4 2 2" xfId="23901" xr:uid="{6E114EFC-E154-479E-A7E8-20FE60C663BB}"/>
    <cellStyle name="Normal 2 2 14 4 4 2 3" xfId="23902" xr:uid="{36557C22-1AC9-4290-8AE9-6AB609A3F4D8}"/>
    <cellStyle name="Normal 2 2 14 4 4 2 4" xfId="23903" xr:uid="{392C1DA4-1D0D-40B0-83EB-B57C28970760}"/>
    <cellStyle name="Normal 2 2 14 4 4 2 5" xfId="23904" xr:uid="{DEEF229B-9878-486F-93D4-031B9889A2B3}"/>
    <cellStyle name="Normal 2 2 14 4 4 3" xfId="23905" xr:uid="{70F44C64-8DE8-47C9-8E47-76D85D17700D}"/>
    <cellStyle name="Normal 2 2 14 4 4 4" xfId="23906" xr:uid="{5117A76F-A46C-47D6-ABAB-5D12AFF4BBD0}"/>
    <cellStyle name="Normal 2 2 14 4 4 5" xfId="23907" xr:uid="{8CD540F1-CE52-4EA9-B6F2-2DAE86A96C57}"/>
    <cellStyle name="Normal 2 2 14 4 4 6" xfId="23908" xr:uid="{F8FA188D-066F-4FCF-9000-BDFEE326BC8F}"/>
    <cellStyle name="Normal 2 2 14 4 5" xfId="23909" xr:uid="{D2E8F890-3AB8-4F15-A5CE-64790C57851C}"/>
    <cellStyle name="Normal 2 2 14 4 5 2" xfId="23910" xr:uid="{9F0548F0-EDF8-4CAE-B6F8-085EE7F214E3}"/>
    <cellStyle name="Normal 2 2 14 4 5 3" xfId="23911" xr:uid="{83FE9F11-5437-46BB-94BB-C3CBA9F784FD}"/>
    <cellStyle name="Normal 2 2 14 4 5 4" xfId="23912" xr:uid="{46C04C46-AADD-46C2-8008-941B3EB701DF}"/>
    <cellStyle name="Normal 2 2 14 4 5 5" xfId="23913" xr:uid="{63489057-E7DB-4761-8EBB-166EA4BB131F}"/>
    <cellStyle name="Normal 2 2 14 4 6" xfId="23914" xr:uid="{A8AE3D35-8833-49AA-94C8-0BB458FADBDC}"/>
    <cellStyle name="Normal 2 2 14 4 6 2" xfId="23915" xr:uid="{A9F633AE-1C86-431B-901F-47D9CE6E56FE}"/>
    <cellStyle name="Normal 2 2 14 4 6 3" xfId="23916" xr:uid="{15171F22-08AB-48A2-AAD2-838D0A6D5D6B}"/>
    <cellStyle name="Normal 2 2 14 4 6 4" xfId="23917" xr:uid="{50A5FB0B-BCF4-402A-8D3E-74C29E2B7243}"/>
    <cellStyle name="Normal 2 2 14 4 6 5" xfId="23918" xr:uid="{9E768F5F-CF68-4C1F-9B88-E6C99B55711A}"/>
    <cellStyle name="Normal 2 2 14 4 7" xfId="23919" xr:uid="{B6320B27-8231-4E99-8488-60899B3BA4F2}"/>
    <cellStyle name="Normal 2 2 14 4 7 2" xfId="23920" xr:uid="{FA83F26A-46A4-40AC-B080-BC197E763CA1}"/>
    <cellStyle name="Normal 2 2 14 4 7 3" xfId="23921" xr:uid="{480EA56E-7D46-4BA5-B373-2FDEF3E3F613}"/>
    <cellStyle name="Normal 2 2 14 4 7 4" xfId="23922" xr:uid="{B14A0534-7E06-46B5-80D0-A60CA631BF11}"/>
    <cellStyle name="Normal 2 2 14 4 7 5" xfId="23923" xr:uid="{3C855818-E3F9-410D-8296-C1E91CB0DD88}"/>
    <cellStyle name="Normal 2 2 14 4 8" xfId="23924" xr:uid="{47FE32FE-7DA1-4CBF-AE6F-72C4D9F1ACF5}"/>
    <cellStyle name="Normal 2 2 14 4 8 2" xfId="23925" xr:uid="{BD8D749E-3BC8-47BF-ADAB-81DAFD299F3A}"/>
    <cellStyle name="Normal 2 2 14 4 8 3" xfId="23926" xr:uid="{C9B40194-7CB2-4971-9E89-27BB9FAA9D36}"/>
    <cellStyle name="Normal 2 2 14 4 8 4" xfId="23927" xr:uid="{7C99A464-E6D9-4B7C-96FE-CD170A7F0831}"/>
    <cellStyle name="Normal 2 2 14 4 8 5" xfId="23928" xr:uid="{A6AD58E2-C1F6-4AB8-9239-B1C79F038BD7}"/>
    <cellStyle name="Normal 2 2 14 4 9" xfId="23929" xr:uid="{24D96652-75A6-45CA-9680-C40E8352DD6F}"/>
    <cellStyle name="Normal 2 2 14 5" xfId="23930" xr:uid="{C7007E89-6F85-463C-B9AE-98D4973ED160}"/>
    <cellStyle name="Normal 2 2 14 5 2" xfId="23931" xr:uid="{1363A2A0-AFD1-47C2-8C92-810684E49F1A}"/>
    <cellStyle name="Normal 2 2 14 5 2 2" xfId="23932" xr:uid="{6808A716-E538-4639-8CD0-BC68D2A8BC77}"/>
    <cellStyle name="Normal 2 2 14 5 2 3" xfId="23933" xr:uid="{1D97AEB8-DDCC-4715-9991-82B73D077571}"/>
    <cellStyle name="Normal 2 2 14 5 2 4" xfId="23934" xr:uid="{680122ED-213E-4F73-9C59-1A364C9579E4}"/>
    <cellStyle name="Normal 2 2 14 5 2 5" xfId="23935" xr:uid="{88E331DC-C091-4C3A-826B-F31472789A22}"/>
    <cellStyle name="Normal 2 2 14 5 3" xfId="23936" xr:uid="{DF94BADB-BDDF-427A-9A64-2647948906A5}"/>
    <cellStyle name="Normal 2 2 14 5 4" xfId="23937" xr:uid="{664AC422-E636-4B07-AD8B-87ADD35A1549}"/>
    <cellStyle name="Normal 2 2 14 5 5" xfId="23938" xr:uid="{8ECF1881-5976-40B0-8F37-8D769C018540}"/>
    <cellStyle name="Normal 2 2 14 5 6" xfId="23939" xr:uid="{D4AD10C8-0516-447B-8C52-CB673BE70CB8}"/>
    <cellStyle name="Normal 2 2 14 6" xfId="23940" xr:uid="{2AA59428-BAF9-4EE8-B77D-58801302E7C0}"/>
    <cellStyle name="Normal 2 2 14 6 2" xfId="23941" xr:uid="{298388C2-219B-49B3-9DB0-1FA9577755D2}"/>
    <cellStyle name="Normal 2 2 14 6 2 2" xfId="23942" xr:uid="{BD792B74-CADD-4F55-BCA1-55D9EA3615E8}"/>
    <cellStyle name="Normal 2 2 14 6 2 3" xfId="23943" xr:uid="{E60BBCCE-A301-47CA-B4B3-E8671FE3E94A}"/>
    <cellStyle name="Normal 2 2 14 6 2 4" xfId="23944" xr:uid="{D33D5AD4-827F-4E61-A392-E3A4E5A846CC}"/>
    <cellStyle name="Normal 2 2 14 6 2 5" xfId="23945" xr:uid="{FD7C243B-8BDB-4084-9EA1-A0DD6957241D}"/>
    <cellStyle name="Normal 2 2 14 6 3" xfId="23946" xr:uid="{4B728866-BC04-4A80-98F5-72C594E64069}"/>
    <cellStyle name="Normal 2 2 14 6 4" xfId="23947" xr:uid="{978DCD54-1B61-4CA8-BD46-26CEADE85F7A}"/>
    <cellStyle name="Normal 2 2 14 6 5" xfId="23948" xr:uid="{6AD03E98-817C-4D8A-9988-3F8F5794321D}"/>
    <cellStyle name="Normal 2 2 14 6 6" xfId="23949" xr:uid="{42EA9519-0E22-42B3-AE21-0D18E422A18D}"/>
    <cellStyle name="Normal 2 2 14 7" xfId="23950" xr:uid="{D9FE8B80-5168-4F11-BAFA-6CBF76068E62}"/>
    <cellStyle name="Normal 2 2 14 7 2" xfId="23951" xr:uid="{50C22D27-4329-4E7C-AEA6-090B540EDA11}"/>
    <cellStyle name="Normal 2 2 14 7 2 2" xfId="23952" xr:uid="{27B3F911-5050-438E-A788-43DA6622ACBE}"/>
    <cellStyle name="Normal 2 2 14 7 2 3" xfId="23953" xr:uid="{D5E6E0C6-3511-46BE-9750-FF8B1928EDCF}"/>
    <cellStyle name="Normal 2 2 14 7 2 4" xfId="23954" xr:uid="{348042C6-CD4B-4B54-8194-A32CAE591A8A}"/>
    <cellStyle name="Normal 2 2 14 7 2 5" xfId="23955" xr:uid="{15673CA2-3316-495D-8C80-1C5929CA7A35}"/>
    <cellStyle name="Normal 2 2 14 7 3" xfId="23956" xr:uid="{D12D281B-0B03-4211-9A9D-2716361BB8B8}"/>
    <cellStyle name="Normal 2 2 14 7 4" xfId="23957" xr:uid="{6CD2AE85-847E-4240-B51E-E10B2D12CE10}"/>
    <cellStyle name="Normal 2 2 14 7 5" xfId="23958" xr:uid="{3303D3B1-70E1-46A7-8F44-461659B1D1E2}"/>
    <cellStyle name="Normal 2 2 14 7 6" xfId="23959" xr:uid="{B27982F6-3905-4460-8CA5-299B7F08BDBB}"/>
    <cellStyle name="Normal 2 2 14 8" xfId="23960" xr:uid="{A9994FE6-5283-4F22-83CC-E18E9648CAAF}"/>
    <cellStyle name="Normal 2 2 14 8 2" xfId="23961" xr:uid="{B1B3F8F1-76DD-4856-98D0-01992A55D31F}"/>
    <cellStyle name="Normal 2 2 14 8 3" xfId="23962" xr:uid="{909279A9-880E-4CFA-8967-38739D424EA6}"/>
    <cellStyle name="Normal 2 2 14 8 4" xfId="23963" xr:uid="{F12D6B82-1A66-4AD6-A811-E8B646B66372}"/>
    <cellStyle name="Normal 2 2 14 8 5" xfId="23964" xr:uid="{23EFE3EA-7403-4C69-81D5-E3791655E61E}"/>
    <cellStyle name="Normal 2 2 14 9" xfId="23965" xr:uid="{2F608B7D-80E8-4230-B47B-ACB22CA3CF59}"/>
    <cellStyle name="Normal 2 2 14 9 2" xfId="23966" xr:uid="{3316DA05-B3A6-4D88-9556-438841B55C39}"/>
    <cellStyle name="Normal 2 2 14 9 3" xfId="23967" xr:uid="{69763CE7-AF1D-4F21-9A66-0D87AA36A306}"/>
    <cellStyle name="Normal 2 2 14 9 4" xfId="23968" xr:uid="{A849322A-08D1-462D-AE3F-E9A900A68293}"/>
    <cellStyle name="Normal 2 2 14 9 5" xfId="23969" xr:uid="{0DD8105B-7B26-4AE0-ABBC-B71C99DF56E5}"/>
    <cellStyle name="Normal 2 2 15" xfId="23970" xr:uid="{5D4C7B8A-A721-45B1-A063-54FBA9BA458A}"/>
    <cellStyle name="Normal 2 2 15 10" xfId="23971" xr:uid="{B083DF60-0C7A-4583-8B00-306D5138C585}"/>
    <cellStyle name="Normal 2 2 15 11" xfId="23972" xr:uid="{5119F3B5-0D44-4346-AD4D-F1A516276FFC}"/>
    <cellStyle name="Normal 2 2 15 12" xfId="23973" xr:uid="{5442D91F-3840-4230-BA54-9A6685D1AF21}"/>
    <cellStyle name="Normal 2 2 15 13" xfId="23974" xr:uid="{DF2DA92B-1D16-4D38-9C46-B5A9C52722BA}"/>
    <cellStyle name="Normal 2 2 15 2" xfId="23975" xr:uid="{EE1598C2-7441-4FAC-AC5B-C8FB45B04B38}"/>
    <cellStyle name="Normal 2 2 15 2 10" xfId="23976" xr:uid="{CCCA62A1-8A5A-4722-95BB-D933EF87D687}"/>
    <cellStyle name="Normal 2 2 15 2 11" xfId="23977" xr:uid="{B67DDF5E-CFBB-4C34-A19D-1723F1075526}"/>
    <cellStyle name="Normal 2 2 15 2 12" xfId="23978" xr:uid="{E5A117CF-E7B9-49ED-B55A-91FF9CA8CBA2}"/>
    <cellStyle name="Normal 2 2 15 2 2" xfId="23979" xr:uid="{2C5E5C2A-4FD1-4CEE-973C-2E0971C224ED}"/>
    <cellStyle name="Normal 2 2 15 2 2 2" xfId="23980" xr:uid="{0370C4C0-42DA-4294-8D55-5F978AC8FB9C}"/>
    <cellStyle name="Normal 2 2 15 2 2 2 2" xfId="23981" xr:uid="{080E32CD-DA25-4ACB-8FC4-876D461816D3}"/>
    <cellStyle name="Normal 2 2 15 2 2 2 3" xfId="23982" xr:uid="{EC8B3E27-E71E-4828-A777-5D1DDAF063B5}"/>
    <cellStyle name="Normal 2 2 15 2 2 2 4" xfId="23983" xr:uid="{28ED7C0C-6C0F-4BA2-B06A-9F2F4676099D}"/>
    <cellStyle name="Normal 2 2 15 2 2 2 5" xfId="23984" xr:uid="{0B09FF58-931D-479A-8670-AA4DC787BBB0}"/>
    <cellStyle name="Normal 2 2 15 2 2 3" xfId="23985" xr:uid="{8B8CA64E-099C-4D12-B307-ED823D6BF8B4}"/>
    <cellStyle name="Normal 2 2 15 2 2 4" xfId="23986" xr:uid="{BDE2AD59-1D06-4967-9739-1970CEC2855B}"/>
    <cellStyle name="Normal 2 2 15 2 2 5" xfId="23987" xr:uid="{A2DF16A6-6DFE-4C17-99AA-9B94D316A961}"/>
    <cellStyle name="Normal 2 2 15 2 2 6" xfId="23988" xr:uid="{FB9580D3-95C0-4F55-A4AB-64A5EC65064B}"/>
    <cellStyle name="Normal 2 2 15 2 3" xfId="23989" xr:uid="{0ABB967B-3F24-4044-AF27-903C6F648198}"/>
    <cellStyle name="Normal 2 2 15 2 3 2" xfId="23990" xr:uid="{8266A7B1-182D-491E-95BB-05ABBCF44D59}"/>
    <cellStyle name="Normal 2 2 15 2 3 2 2" xfId="23991" xr:uid="{3E9B62F0-24E0-4588-8693-56703B460326}"/>
    <cellStyle name="Normal 2 2 15 2 3 2 3" xfId="23992" xr:uid="{A02442D9-0C53-4744-985A-D65A605076C0}"/>
    <cellStyle name="Normal 2 2 15 2 3 2 4" xfId="23993" xr:uid="{5E30391B-26FD-40B7-B55C-98837C823BC9}"/>
    <cellStyle name="Normal 2 2 15 2 3 2 5" xfId="23994" xr:uid="{E3129E58-A977-4D9D-AC4D-3A32B6DA7295}"/>
    <cellStyle name="Normal 2 2 15 2 3 3" xfId="23995" xr:uid="{67C732B9-1731-4B3F-ACC5-AA00CCAE3D24}"/>
    <cellStyle name="Normal 2 2 15 2 3 4" xfId="23996" xr:uid="{4A07CDE5-9E83-482B-9356-FD67DB5B27CB}"/>
    <cellStyle name="Normal 2 2 15 2 3 5" xfId="23997" xr:uid="{45D7BD5D-2336-4090-9545-71A950CCF817}"/>
    <cellStyle name="Normal 2 2 15 2 3 6" xfId="23998" xr:uid="{6D0A05C5-0F32-4914-B4BE-A45109BC5EC7}"/>
    <cellStyle name="Normal 2 2 15 2 4" xfId="23999" xr:uid="{3FEE5910-7D64-4254-848E-D78E0DE7CFDF}"/>
    <cellStyle name="Normal 2 2 15 2 4 2" xfId="24000" xr:uid="{C1D4A74C-F3F0-4695-9CE5-862F108157AF}"/>
    <cellStyle name="Normal 2 2 15 2 4 2 2" xfId="24001" xr:uid="{F830AA54-8105-4725-BC61-1CEA9EAAC7A4}"/>
    <cellStyle name="Normal 2 2 15 2 4 2 3" xfId="24002" xr:uid="{499F7C4B-5369-4E0C-AF2F-4FE7E38C68D4}"/>
    <cellStyle name="Normal 2 2 15 2 4 2 4" xfId="24003" xr:uid="{DBD0461C-324D-420D-B3B1-DEB3F5943A4D}"/>
    <cellStyle name="Normal 2 2 15 2 4 2 5" xfId="24004" xr:uid="{974E8E44-E3B2-4182-8EEA-364239809794}"/>
    <cellStyle name="Normal 2 2 15 2 4 3" xfId="24005" xr:uid="{BCD91AB2-8451-43B6-BAA4-93FB61F2383B}"/>
    <cellStyle name="Normal 2 2 15 2 4 4" xfId="24006" xr:uid="{4456EFD2-0309-4A30-8F57-62FFAE8D7EBE}"/>
    <cellStyle name="Normal 2 2 15 2 4 5" xfId="24007" xr:uid="{FA6638F8-510E-48EC-8DEE-8A0F61DC7FC5}"/>
    <cellStyle name="Normal 2 2 15 2 4 6" xfId="24008" xr:uid="{5FD74630-BBBD-494D-8824-A2D5E1F65A97}"/>
    <cellStyle name="Normal 2 2 15 2 5" xfId="24009" xr:uid="{2E1984C2-BB85-4E75-B415-E12D959C2DDF}"/>
    <cellStyle name="Normal 2 2 15 2 5 2" xfId="24010" xr:uid="{9B05FF48-F8F2-4A48-B9ED-7327336DC55C}"/>
    <cellStyle name="Normal 2 2 15 2 5 3" xfId="24011" xr:uid="{2C7D4783-497D-412B-9361-D01811F58316}"/>
    <cellStyle name="Normal 2 2 15 2 5 4" xfId="24012" xr:uid="{E22F74FC-EC2D-4233-A8E2-49CBC86CC2F0}"/>
    <cellStyle name="Normal 2 2 15 2 5 5" xfId="24013" xr:uid="{B20E20CC-3289-4755-968F-A44AFB767388}"/>
    <cellStyle name="Normal 2 2 15 2 6" xfId="24014" xr:uid="{A27873F8-FF73-48AA-85AB-B827BDC5C88A}"/>
    <cellStyle name="Normal 2 2 15 2 6 2" xfId="24015" xr:uid="{CD23B81B-437D-4BB6-84CC-3CEDF68E4628}"/>
    <cellStyle name="Normal 2 2 15 2 6 3" xfId="24016" xr:uid="{8C806C42-46C2-49CC-840B-0C9D38477212}"/>
    <cellStyle name="Normal 2 2 15 2 6 4" xfId="24017" xr:uid="{389C85D2-2D6A-4D96-9327-E11229CBADBA}"/>
    <cellStyle name="Normal 2 2 15 2 6 5" xfId="24018" xr:uid="{8408894F-CA3B-418C-A4AB-13A6D4E50B4F}"/>
    <cellStyle name="Normal 2 2 15 2 7" xfId="24019" xr:uid="{7DE06B77-78F2-4A9E-8BC3-06A7E111E9B3}"/>
    <cellStyle name="Normal 2 2 15 2 7 2" xfId="24020" xr:uid="{4BCAEFF1-4193-4E17-B470-C839EA032FD7}"/>
    <cellStyle name="Normal 2 2 15 2 7 3" xfId="24021" xr:uid="{4371C1CE-6497-4B89-BBA8-410B6E1754C0}"/>
    <cellStyle name="Normal 2 2 15 2 7 4" xfId="24022" xr:uid="{37C597A9-8730-479A-B910-F22EB7CBE5A6}"/>
    <cellStyle name="Normal 2 2 15 2 7 5" xfId="24023" xr:uid="{7356B540-1A40-4570-9C1E-832664176DCA}"/>
    <cellStyle name="Normal 2 2 15 2 8" xfId="24024" xr:uid="{60D6C366-8B09-41D1-AC6C-411574E4A372}"/>
    <cellStyle name="Normal 2 2 15 2 8 2" xfId="24025" xr:uid="{75E83C59-1720-41F5-AB1B-A6456F76762B}"/>
    <cellStyle name="Normal 2 2 15 2 8 3" xfId="24026" xr:uid="{CD308536-94E9-42BC-AE04-9D6153E52F3D}"/>
    <cellStyle name="Normal 2 2 15 2 8 4" xfId="24027" xr:uid="{324C6FCF-415E-433F-A84D-F9E1363E16C1}"/>
    <cellStyle name="Normal 2 2 15 2 8 5" xfId="24028" xr:uid="{52AA9A86-C0C1-4EE6-BACB-8AF12707143E}"/>
    <cellStyle name="Normal 2 2 15 2 9" xfId="24029" xr:uid="{8CCAD94B-D561-459F-8CB5-B2D12B0502ED}"/>
    <cellStyle name="Normal 2 2 15 3" xfId="24030" xr:uid="{E7F4A8D8-CBF5-41DE-B151-9AE5EB251175}"/>
    <cellStyle name="Normal 2 2 15 3 2" xfId="24031" xr:uid="{9A3D83ED-947B-4068-9707-402BEE7B27F8}"/>
    <cellStyle name="Normal 2 2 15 3 2 2" xfId="24032" xr:uid="{D9E70DEE-330D-4978-8E09-3DDBD151A6E0}"/>
    <cellStyle name="Normal 2 2 15 3 2 3" xfId="24033" xr:uid="{DB0B6C99-7159-42FC-8E12-5A8610C1A7FC}"/>
    <cellStyle name="Normal 2 2 15 3 2 4" xfId="24034" xr:uid="{09D185BC-C879-47C3-982D-4E5F00422CA7}"/>
    <cellStyle name="Normal 2 2 15 3 2 5" xfId="24035" xr:uid="{3252E6C1-02C1-418C-8E14-E1B636C08AAA}"/>
    <cellStyle name="Normal 2 2 15 3 3" xfId="24036" xr:uid="{D07E9DE5-B970-42BB-B3C8-7E96DEE4082F}"/>
    <cellStyle name="Normal 2 2 15 3 4" xfId="24037" xr:uid="{0EB4092F-2BEF-4F2A-9E66-62EEFE5EA4A2}"/>
    <cellStyle name="Normal 2 2 15 3 5" xfId="24038" xr:uid="{AAC3B157-3D66-4A7A-AE97-55EC0589BE76}"/>
    <cellStyle name="Normal 2 2 15 3 6" xfId="24039" xr:uid="{4169DB73-70D3-402F-80BD-6C4B0479BD3D}"/>
    <cellStyle name="Normal 2 2 15 4" xfId="24040" xr:uid="{DFF468D5-1909-4EBB-8A91-E4E8696EF56A}"/>
    <cellStyle name="Normal 2 2 15 4 2" xfId="24041" xr:uid="{8B97499F-BD58-45F4-8AC4-655742ED77AB}"/>
    <cellStyle name="Normal 2 2 15 4 2 2" xfId="24042" xr:uid="{E42A20F9-DDC0-4661-AB8E-01C5C66DB19E}"/>
    <cellStyle name="Normal 2 2 15 4 2 3" xfId="24043" xr:uid="{5C72B816-1FB3-4319-A8AB-3C930C4509DB}"/>
    <cellStyle name="Normal 2 2 15 4 2 4" xfId="24044" xr:uid="{55D27AFC-3283-4F0D-BBC0-726F4F632358}"/>
    <cellStyle name="Normal 2 2 15 4 2 5" xfId="24045" xr:uid="{0A06419B-F197-4771-8F76-1F00DA045204}"/>
    <cellStyle name="Normal 2 2 15 4 3" xfId="24046" xr:uid="{C0C7004C-764F-484B-A836-2FFDB2797185}"/>
    <cellStyle name="Normal 2 2 15 4 4" xfId="24047" xr:uid="{45075718-83F1-4197-8E56-7B68613A9C78}"/>
    <cellStyle name="Normal 2 2 15 4 5" xfId="24048" xr:uid="{FC8C70A0-D72B-4871-920C-491CE60FA9A5}"/>
    <cellStyle name="Normal 2 2 15 4 6" xfId="24049" xr:uid="{227D974C-2568-4A9C-ACC9-88BF30B66B46}"/>
    <cellStyle name="Normal 2 2 15 5" xfId="24050" xr:uid="{5890FD79-1EF8-4B04-AC79-20F5B240E0F3}"/>
    <cellStyle name="Normal 2 2 15 5 2" xfId="24051" xr:uid="{D6B7CCDC-A748-4800-88FF-65E56D9D126A}"/>
    <cellStyle name="Normal 2 2 15 5 2 2" xfId="24052" xr:uid="{CDA2217D-A2AA-4B52-B089-032195F55058}"/>
    <cellStyle name="Normal 2 2 15 5 2 3" xfId="24053" xr:uid="{5811B81B-2B9D-466E-BE37-259224CF9473}"/>
    <cellStyle name="Normal 2 2 15 5 2 4" xfId="24054" xr:uid="{8FDCC839-3AB2-4508-9B50-68B5633A2DC7}"/>
    <cellStyle name="Normal 2 2 15 5 2 5" xfId="24055" xr:uid="{8DE42432-AEAF-4E87-86DB-85C92C3DA4D5}"/>
    <cellStyle name="Normal 2 2 15 5 3" xfId="24056" xr:uid="{6DF356E8-C41A-405C-9A1D-26DF7A659FA1}"/>
    <cellStyle name="Normal 2 2 15 5 4" xfId="24057" xr:uid="{31BC2B2F-3AA0-4058-AC9E-147E5B25CDC9}"/>
    <cellStyle name="Normal 2 2 15 5 5" xfId="24058" xr:uid="{FE4EC55D-0C03-4051-A82A-7AD930D74D8E}"/>
    <cellStyle name="Normal 2 2 15 5 6" xfId="24059" xr:uid="{02C8F7EA-1ED5-4B89-BED6-0C788CBF724E}"/>
    <cellStyle name="Normal 2 2 15 6" xfId="24060" xr:uid="{A86F6D1B-3B1F-4C57-98D9-6E45221EB44A}"/>
    <cellStyle name="Normal 2 2 15 6 2" xfId="24061" xr:uid="{7BE2B273-99A4-495D-9C3E-FCCA2DCE3B3B}"/>
    <cellStyle name="Normal 2 2 15 6 3" xfId="24062" xr:uid="{9090ECBE-6D0C-442C-A538-3E76455BA812}"/>
    <cellStyle name="Normal 2 2 15 6 4" xfId="24063" xr:uid="{AD87AFAF-B249-47AD-929A-B80866B4395F}"/>
    <cellStyle name="Normal 2 2 15 6 5" xfId="24064" xr:uid="{F5E5952B-9F2A-4134-AEC9-6E8C48D46350}"/>
    <cellStyle name="Normal 2 2 15 7" xfId="24065" xr:uid="{7B36FFFE-95E3-428D-8562-116D038C9F7A}"/>
    <cellStyle name="Normal 2 2 15 7 2" xfId="24066" xr:uid="{05CE1B2F-5608-43D7-AD78-03CA05F2CA07}"/>
    <cellStyle name="Normal 2 2 15 7 3" xfId="24067" xr:uid="{C634DF7A-B4A7-4CB5-90C4-3A2F33EBD807}"/>
    <cellStyle name="Normal 2 2 15 7 4" xfId="24068" xr:uid="{9DEF74B7-6EEB-42B1-A38D-F442623A492C}"/>
    <cellStyle name="Normal 2 2 15 7 5" xfId="24069" xr:uid="{C7FAA981-6CC6-43CD-9D64-75B7854836B7}"/>
    <cellStyle name="Normal 2 2 15 8" xfId="24070" xr:uid="{2471BE5E-162C-41BB-A30A-287F5806B67C}"/>
    <cellStyle name="Normal 2 2 15 8 2" xfId="24071" xr:uid="{5DD1CD45-26B5-4F85-9740-D8AB7CBD5628}"/>
    <cellStyle name="Normal 2 2 15 8 3" xfId="24072" xr:uid="{4F2709B2-0343-4A4D-8317-79C345E8F352}"/>
    <cellStyle name="Normal 2 2 15 8 4" xfId="24073" xr:uid="{801D5B80-91EC-4C6E-8ABE-A878A4D29954}"/>
    <cellStyle name="Normal 2 2 15 8 5" xfId="24074" xr:uid="{93F2EEC4-58CD-4685-8C34-7DCE5AD688BB}"/>
    <cellStyle name="Normal 2 2 15 9" xfId="24075" xr:uid="{66E1985E-CB49-4D5F-A78E-270663D250D2}"/>
    <cellStyle name="Normal 2 2 15 9 2" xfId="24076" xr:uid="{C9AFF724-D33F-4E6F-9C73-13978D1D08F8}"/>
    <cellStyle name="Normal 2 2 15 9 3" xfId="24077" xr:uid="{0568114A-4683-49B7-92BC-8646C3341203}"/>
    <cellStyle name="Normal 2 2 15 9 4" xfId="24078" xr:uid="{52908AF8-51F8-4E82-B92E-6F399B2CB127}"/>
    <cellStyle name="Normal 2 2 15 9 5" xfId="24079" xr:uid="{64E4FA60-8E64-431D-BE98-5F2A705EE33E}"/>
    <cellStyle name="Normal 2 2 16" xfId="24080" xr:uid="{9197E861-5899-4874-8DBB-498DA347A335}"/>
    <cellStyle name="Normal 2 2 17" xfId="24081" xr:uid="{AAB2D3DB-DCC0-4373-82A8-66F3C2F298E4}"/>
    <cellStyle name="Normal 2 2 17 2" xfId="24082" xr:uid="{6A68C5BD-F1C4-44C5-9042-7A1F5010A0CA}"/>
    <cellStyle name="Normal 2 2 17 2 2" xfId="24083" xr:uid="{C657C443-452E-4050-8B47-E4834A7F5764}"/>
    <cellStyle name="Normal 2 2 17 2 2 2" xfId="24084" xr:uid="{13EF95A5-731C-4527-A732-431D74617EED}"/>
    <cellStyle name="Normal 2 2 17 2 2 3" xfId="24085" xr:uid="{77A718E2-FCD5-482B-A777-EF04E28DD93A}"/>
    <cellStyle name="Normal 2 2 17 2 2 4" xfId="24086" xr:uid="{34EE595F-D56A-4495-8CE4-28551866475E}"/>
    <cellStyle name="Normal 2 2 17 2 2 5" xfId="24087" xr:uid="{1EB8AA57-CAC7-4D92-BB39-04B3B1BE9E7E}"/>
    <cellStyle name="Normal 2 2 17 2 3" xfId="24088" xr:uid="{1C04179D-50E6-488E-BA0D-7FF47D38E4B1}"/>
    <cellStyle name="Normal 2 2 17 2 4" xfId="24089" xr:uid="{AF9C7EE2-DE96-49A8-9499-085F61F7AF58}"/>
    <cellStyle name="Normal 2 2 17 2 5" xfId="24090" xr:uid="{92B2CBB0-061C-4D6B-A30B-F0C4B6D8F558}"/>
    <cellStyle name="Normal 2 2 17 3" xfId="24091" xr:uid="{88F3B0EF-8AB2-472A-9F1F-F393EFCB7F89}"/>
    <cellStyle name="Normal 2 2 17 3 2" xfId="24092" xr:uid="{506C25BA-6785-4CF3-87A3-20E46FE29895}"/>
    <cellStyle name="Normal 2 2 17 3 3" xfId="24093" xr:uid="{937327CD-CE59-406F-8A98-ACEC3C937613}"/>
    <cellStyle name="Normal 2 2 17 3 4" xfId="24094" xr:uid="{4D5319A9-6265-4419-8BED-9AC81375D6B8}"/>
    <cellStyle name="Normal 2 2 17 3 5" xfId="24095" xr:uid="{282490CE-3587-449C-886B-5DF5091FAF92}"/>
    <cellStyle name="Normal 2 2 17 4" xfId="24096" xr:uid="{4D73D0E8-AEA8-461D-B24E-A606BE28A98A}"/>
    <cellStyle name="Normal 2 2 17 5" xfId="24097" xr:uid="{BE2F84BC-7972-4C2B-AA99-EB1EBABB3045}"/>
    <cellStyle name="Normal 2 2 17 6" xfId="24098" xr:uid="{4AE1AD13-E2CB-4BDD-A4E7-1C4231E483FA}"/>
    <cellStyle name="Normal 2 2 17 7" xfId="24099" xr:uid="{24473A06-8361-4FE2-82A6-589A44A5C427}"/>
    <cellStyle name="Normal 2 2 18" xfId="24100" xr:uid="{05CBC4B3-790A-4B40-9B30-181C9DCF70A8}"/>
    <cellStyle name="Normal 2 2 19" xfId="24101" xr:uid="{750ACD95-3637-4DF8-82A5-16E1F27F99B1}"/>
    <cellStyle name="Normal 2 2 2" xfId="236" xr:uid="{203616E1-CF8B-43C8-9B6B-F5D6AA2836C2}"/>
    <cellStyle name="Normal 2 2 2 10" xfId="24102" xr:uid="{85E62D65-A86A-4457-B8A3-7CF02964571A}"/>
    <cellStyle name="Normal 2 2 2 10 2" xfId="44464" xr:uid="{26F29870-D7CC-4548-B166-88CF3860F97F}"/>
    <cellStyle name="Normal 2 2 2 10 2 2" xfId="44465" xr:uid="{48A0ED0E-CB6E-4A4D-985B-889C32E51842}"/>
    <cellStyle name="Normal 2 2 2 10 2 2 2" xfId="44466" xr:uid="{C32F3EAF-C7A7-4ACB-8AD6-7E7419406D21}"/>
    <cellStyle name="Normal 2 2 2 10 2 2 2 2" xfId="44467" xr:uid="{A9A255E3-E91B-41E4-B79E-AB5E3B200C3D}"/>
    <cellStyle name="Normal 2 2 2 10 2 2 2 2 2" xfId="44468" xr:uid="{8CF26808-100D-4D9B-803E-22A8F2810AC5}"/>
    <cellStyle name="Normal 2 2 2 10 2 2 2 2 2 2" xfId="44469" xr:uid="{BAAECE99-ED7E-4657-8E88-C7A8176CEC47}"/>
    <cellStyle name="Normal 2 2 2 10 2 2 2 2 3" xfId="44470" xr:uid="{6EC8DD31-CBFF-497B-A0A1-4EA5A1D81B85}"/>
    <cellStyle name="Normal 2 2 2 10 2 2 2 3" xfId="44471" xr:uid="{0A5EC27B-5484-49CE-8E7C-3F3D1168B761}"/>
    <cellStyle name="Normal 2 2 2 10 2 2 2 3 2" xfId="44472" xr:uid="{6847A99A-5490-45CF-AECD-277D8D06432C}"/>
    <cellStyle name="Normal 2 2 2 10 2 2 2 4" xfId="44473" xr:uid="{DC0716AA-625C-4E0F-9BBE-3BF43634CDE7}"/>
    <cellStyle name="Normal 2 2 2 10 2 2 3" xfId="44474" xr:uid="{84D7D5BB-870B-45F5-95AD-1CEFF13096D9}"/>
    <cellStyle name="Normal 2 2 2 10 2 2 3 2" xfId="44475" xr:uid="{D984339A-7734-4CA5-B14C-E7AAF5D06CB5}"/>
    <cellStyle name="Normal 2 2 2 10 2 2 3 2 2" xfId="44476" xr:uid="{FAEB0985-8D99-4EF5-8AED-678E51585BEC}"/>
    <cellStyle name="Normal 2 2 2 10 2 2 3 3" xfId="44477" xr:uid="{2083E0A0-0F25-49BF-ADE4-A3C03AD64E01}"/>
    <cellStyle name="Normal 2 2 2 10 2 2 4" xfId="44478" xr:uid="{DE69071A-0C16-4591-B754-0460C794F562}"/>
    <cellStyle name="Normal 2 2 2 10 2 2 4 2" xfId="44479" xr:uid="{A581DEB3-74C0-4ECA-A99A-F7A3CCFD0D62}"/>
    <cellStyle name="Normal 2 2 2 10 2 2 5" xfId="44480" xr:uid="{F09B2566-745A-4B3E-B5B4-F0ED02864831}"/>
    <cellStyle name="Normal 2 2 2 10 2 3" xfId="44481" xr:uid="{9AC17153-B0EF-4695-8B41-47E9588E28DA}"/>
    <cellStyle name="Normal 2 2 2 10 2 3 2" xfId="44482" xr:uid="{EC5DD8C7-D056-470F-841A-DD8FBD8FAE80}"/>
    <cellStyle name="Normal 2 2 2 10 2 3 2 2" xfId="44483" xr:uid="{4685553C-4A8C-4BA6-BCC5-74D9F60A5546}"/>
    <cellStyle name="Normal 2 2 2 10 2 3 2 2 2" xfId="44484" xr:uid="{EB1E6E02-877E-463A-B2F7-440FA9283324}"/>
    <cellStyle name="Normal 2 2 2 10 2 3 2 3" xfId="44485" xr:uid="{DE0F02D4-84DA-41FA-88BC-81D38859492D}"/>
    <cellStyle name="Normal 2 2 2 10 2 3 3" xfId="44486" xr:uid="{05FAE03F-45C2-4852-BD25-ADFC0C713DF1}"/>
    <cellStyle name="Normal 2 2 2 10 2 3 3 2" xfId="44487" xr:uid="{0BFD77AF-D0E2-4E61-A191-FC64CC3A535B}"/>
    <cellStyle name="Normal 2 2 2 10 2 3 4" xfId="44488" xr:uid="{50C20B8A-495C-49E1-96D6-3528B5E62CA9}"/>
    <cellStyle name="Normal 2 2 2 10 2 4" xfId="44489" xr:uid="{C5717306-1858-411E-BE96-72BE8DB9AC3B}"/>
    <cellStyle name="Normal 2 2 2 10 2 4 2" xfId="44490" xr:uid="{E602F8B1-F493-420D-9EF1-F4E7EE72E79A}"/>
    <cellStyle name="Normal 2 2 2 10 2 4 2 2" xfId="44491" xr:uid="{4958AEC5-0864-4A27-BD67-8C3CAF7B5850}"/>
    <cellStyle name="Normal 2 2 2 10 2 4 3" xfId="44492" xr:uid="{202EF62A-1948-48BB-88FB-DA0485860CAA}"/>
    <cellStyle name="Normal 2 2 2 10 2 5" xfId="44493" xr:uid="{5C9C1B3E-AAD1-4CFF-B8A2-3359A5BBC3AA}"/>
    <cellStyle name="Normal 2 2 2 10 2 5 2" xfId="44494" xr:uid="{55F4F3A5-FE3C-4B28-BFB5-3F7257188544}"/>
    <cellStyle name="Normal 2 2 2 10 2 6" xfId="44495" xr:uid="{93FFF186-EC5E-461C-A345-B0A864CB7E18}"/>
    <cellStyle name="Normal 2 2 2 10 3" xfId="44496" xr:uid="{823D6EA5-C314-4015-9451-A5E54DC3462A}"/>
    <cellStyle name="Normal 2 2 2 10 3 2" xfId="44497" xr:uid="{A4DABC7D-BB5E-48B3-ABC7-307115EB5281}"/>
    <cellStyle name="Normal 2 2 2 10 3 2 2" xfId="44498" xr:uid="{5365FEE2-7F95-426E-B995-A577A214D2D8}"/>
    <cellStyle name="Normal 2 2 2 10 3 2 2 2" xfId="44499" xr:uid="{24C15CD7-5E97-4EE1-81F5-086D07DEABF9}"/>
    <cellStyle name="Normal 2 2 2 10 3 2 2 2 2" xfId="44500" xr:uid="{5877AB27-5494-4C66-ABB7-B4C7EB72515B}"/>
    <cellStyle name="Normal 2 2 2 10 3 2 2 3" xfId="44501" xr:uid="{CA8605F4-1C48-4C31-9FCD-3AD3C17FE625}"/>
    <cellStyle name="Normal 2 2 2 10 3 2 3" xfId="44502" xr:uid="{1728F12C-BEE7-4D20-BD92-2BE1B3C7A7BB}"/>
    <cellStyle name="Normal 2 2 2 10 3 2 3 2" xfId="44503" xr:uid="{D56A4AAE-51AF-4E10-8BE5-0373B0F19F8C}"/>
    <cellStyle name="Normal 2 2 2 10 3 2 4" xfId="44504" xr:uid="{17472D0A-3F40-4F0F-8E32-C11AD1A4DC6E}"/>
    <cellStyle name="Normal 2 2 2 10 3 3" xfId="44505" xr:uid="{94078502-12B7-45ED-9EA0-173BF0D5761B}"/>
    <cellStyle name="Normal 2 2 2 10 3 3 2" xfId="44506" xr:uid="{B2DD8EF6-2F5C-4F62-8D93-CECEF09CEB14}"/>
    <cellStyle name="Normal 2 2 2 10 3 3 2 2" xfId="44507" xr:uid="{633E4C61-7944-47F0-8822-C04D3A598851}"/>
    <cellStyle name="Normal 2 2 2 10 3 3 3" xfId="44508" xr:uid="{A0DB4007-3A68-45CF-B832-1CCA278E7EDA}"/>
    <cellStyle name="Normal 2 2 2 10 3 4" xfId="44509" xr:uid="{D0AA1F9A-6B9E-43BF-929B-A8E67FE33E97}"/>
    <cellStyle name="Normal 2 2 2 10 3 4 2" xfId="44510" xr:uid="{AF2FA0E3-9831-46E8-B4E7-83C04E9258BB}"/>
    <cellStyle name="Normal 2 2 2 10 3 5" xfId="44511" xr:uid="{54E60163-58E0-47DC-8291-61FB6924BB23}"/>
    <cellStyle name="Normal 2 2 2 10 4" xfId="44512" xr:uid="{CF402045-993C-4FE4-B453-F4875C438A22}"/>
    <cellStyle name="Normal 2 2 2 10 4 2" xfId="44513" xr:uid="{8136DBB5-6A0E-4173-B49D-26B38BC1B16F}"/>
    <cellStyle name="Normal 2 2 2 10 4 2 2" xfId="44514" xr:uid="{2CAE4219-7319-4E6B-BCBD-4B4B816FB6F6}"/>
    <cellStyle name="Normal 2 2 2 10 4 2 2 2" xfId="44515" xr:uid="{093AA00C-43F7-4BE4-ADD4-E0FA98638B9D}"/>
    <cellStyle name="Normal 2 2 2 10 4 2 3" xfId="44516" xr:uid="{F607F3D4-4023-4BFB-80A4-3DBA6233ED10}"/>
    <cellStyle name="Normal 2 2 2 10 4 3" xfId="44517" xr:uid="{BC25D6D7-3C21-486B-8542-47A8D32A9A6C}"/>
    <cellStyle name="Normal 2 2 2 10 4 3 2" xfId="44518" xr:uid="{4E223FDD-8D1C-4771-831D-47725DF0D031}"/>
    <cellStyle name="Normal 2 2 2 10 4 4" xfId="44519" xr:uid="{DDA6D764-1B40-4772-9B8F-E452B4BFA016}"/>
    <cellStyle name="Normal 2 2 2 10 5" xfId="44520" xr:uid="{51DA159C-0D27-43F8-BAE7-DA3F186572B3}"/>
    <cellStyle name="Normal 2 2 2 10 5 2" xfId="44521" xr:uid="{4383A0A3-6680-4E03-8A31-5AD22687EB46}"/>
    <cellStyle name="Normal 2 2 2 10 5 2 2" xfId="44522" xr:uid="{904620CB-64BC-4106-82AA-517886F30AF2}"/>
    <cellStyle name="Normal 2 2 2 10 5 3" xfId="44523" xr:uid="{46B324D8-6137-41EA-83F1-406C4D61B1C9}"/>
    <cellStyle name="Normal 2 2 2 10 6" xfId="44524" xr:uid="{DD5FBD72-BF27-4080-BF67-4FE78A61DCA0}"/>
    <cellStyle name="Normal 2 2 2 10 6 2" xfId="44525" xr:uid="{ECAF9BD4-0DFF-416F-9B47-9F9EECFBB552}"/>
    <cellStyle name="Normal 2 2 2 10 7" xfId="44526" xr:uid="{AF9DEC54-D693-4B28-8224-8AE851AF2181}"/>
    <cellStyle name="Normal 2 2 2 10 8" xfId="44463" xr:uid="{C5EF1B46-8F91-4E3E-9CD6-82B0F0BC59FF}"/>
    <cellStyle name="Normal 2 2 2 11" xfId="24103" xr:uid="{685F5CFE-A9A8-4244-BFCA-820FB2F6F24E}"/>
    <cellStyle name="Normal 2 2 2 11 2" xfId="44528" xr:uid="{C58221B0-F2CC-4226-9D81-74433E292CB6}"/>
    <cellStyle name="Normal 2 2 2 11 2 2" xfId="44529" xr:uid="{C9124386-CA50-41B3-823F-49F23DB32F47}"/>
    <cellStyle name="Normal 2 2 2 11 2 2 2" xfId="44530" xr:uid="{2F301EF8-4A4C-446E-9385-4FE65863420B}"/>
    <cellStyle name="Normal 2 2 2 11 2 2 2 2" xfId="44531" xr:uid="{C25DB37D-A8CB-4F73-843E-85411693F0DE}"/>
    <cellStyle name="Normal 2 2 2 11 2 2 2 2 2" xfId="44532" xr:uid="{B80219F5-C7F9-46EC-B3E2-9D120A28ECB2}"/>
    <cellStyle name="Normal 2 2 2 11 2 2 2 2 2 2" xfId="44533" xr:uid="{C2CE541E-CEFA-4F4E-814F-38ADEA2EF884}"/>
    <cellStyle name="Normal 2 2 2 11 2 2 2 2 3" xfId="44534" xr:uid="{F08BDFE2-0161-4CF2-BE18-9912D60A1FFC}"/>
    <cellStyle name="Normal 2 2 2 11 2 2 2 3" xfId="44535" xr:uid="{238097BD-0330-448B-89A9-67C5657D6C30}"/>
    <cellStyle name="Normal 2 2 2 11 2 2 2 3 2" xfId="44536" xr:uid="{BC184F8C-C8BC-4120-A56C-C1ADB0F86BC8}"/>
    <cellStyle name="Normal 2 2 2 11 2 2 2 4" xfId="44537" xr:uid="{32343445-37E5-41C2-BCB4-237910590DCA}"/>
    <cellStyle name="Normal 2 2 2 11 2 2 3" xfId="44538" xr:uid="{8EAF866B-51D3-41E1-BE89-54FEDDE886C9}"/>
    <cellStyle name="Normal 2 2 2 11 2 2 3 2" xfId="44539" xr:uid="{36D03EF2-414F-4027-9CF2-97D7554E59F0}"/>
    <cellStyle name="Normal 2 2 2 11 2 2 3 2 2" xfId="44540" xr:uid="{7DF9BF8B-838E-449C-9DA1-48B407BD52C6}"/>
    <cellStyle name="Normal 2 2 2 11 2 2 3 3" xfId="44541" xr:uid="{B885223E-CF9E-45BB-A489-9F8325E1DF12}"/>
    <cellStyle name="Normal 2 2 2 11 2 2 4" xfId="44542" xr:uid="{B81FE67B-9DB9-4B7E-AD17-D5BFF2548C5D}"/>
    <cellStyle name="Normal 2 2 2 11 2 2 4 2" xfId="44543" xr:uid="{34D2676C-9EB5-4826-B88A-2F0FE2C730B4}"/>
    <cellStyle name="Normal 2 2 2 11 2 2 5" xfId="44544" xr:uid="{A56125F9-F747-4FF6-A5A4-41B3EABD96D0}"/>
    <cellStyle name="Normal 2 2 2 11 2 3" xfId="44545" xr:uid="{2E82C447-517F-4458-837C-92DA33CB86D2}"/>
    <cellStyle name="Normal 2 2 2 11 2 3 2" xfId="44546" xr:uid="{67337E92-7472-4AD8-9738-1EE07A32FD19}"/>
    <cellStyle name="Normal 2 2 2 11 2 3 2 2" xfId="44547" xr:uid="{BCB7141B-698B-452F-9AE1-C858C9686559}"/>
    <cellStyle name="Normal 2 2 2 11 2 3 2 2 2" xfId="44548" xr:uid="{7FA4D9BA-400A-4FB6-9491-8A620A8B465C}"/>
    <cellStyle name="Normal 2 2 2 11 2 3 2 3" xfId="44549" xr:uid="{944CFA45-DCCD-4C78-88E1-2A2A670A6B36}"/>
    <cellStyle name="Normal 2 2 2 11 2 3 3" xfId="44550" xr:uid="{6790A73A-D318-41A7-88A1-7BE2D9923B97}"/>
    <cellStyle name="Normal 2 2 2 11 2 3 3 2" xfId="44551" xr:uid="{F59AC6A2-C39F-4ACF-B5FA-1F3878158B04}"/>
    <cellStyle name="Normal 2 2 2 11 2 3 4" xfId="44552" xr:uid="{CD752AD1-2A16-4D01-A9EA-0BEEEF8D6D59}"/>
    <cellStyle name="Normal 2 2 2 11 2 4" xfId="44553" xr:uid="{E3601097-41B7-45D5-8D20-9FD10E87F508}"/>
    <cellStyle name="Normal 2 2 2 11 2 4 2" xfId="44554" xr:uid="{E16834B2-31C2-4F82-878C-97D29185410E}"/>
    <cellStyle name="Normal 2 2 2 11 2 4 2 2" xfId="44555" xr:uid="{8694A824-E0A7-4E27-BAC7-864223AD3795}"/>
    <cellStyle name="Normal 2 2 2 11 2 4 3" xfId="44556" xr:uid="{72A54D03-CA35-4055-BDCB-2CA2D71452B3}"/>
    <cellStyle name="Normal 2 2 2 11 2 5" xfId="44557" xr:uid="{71DFC724-1C78-4FC2-8CBC-449BE38DC1E0}"/>
    <cellStyle name="Normal 2 2 2 11 2 5 2" xfId="44558" xr:uid="{9C843B23-2E51-4095-8314-1683AABFD1AD}"/>
    <cellStyle name="Normal 2 2 2 11 2 6" xfId="44559" xr:uid="{26AB1D0B-21D8-4EDF-9F9C-550B70BBDB30}"/>
    <cellStyle name="Normal 2 2 2 11 3" xfId="44560" xr:uid="{306D986A-5ACA-4146-AF0C-5163DDC1A71E}"/>
    <cellStyle name="Normal 2 2 2 11 3 2" xfId="44561" xr:uid="{E5A7C464-8032-4A8B-8CEC-E2DE42B0A380}"/>
    <cellStyle name="Normal 2 2 2 11 3 2 2" xfId="44562" xr:uid="{1EF77734-B4F0-4C7C-96EA-BAFE2D637491}"/>
    <cellStyle name="Normal 2 2 2 11 3 2 2 2" xfId="44563" xr:uid="{9638E9AE-1820-446C-A92A-AA404673B4DF}"/>
    <cellStyle name="Normal 2 2 2 11 3 2 2 2 2" xfId="44564" xr:uid="{BD6C2D64-05DD-4511-8280-12B4FC6FD24E}"/>
    <cellStyle name="Normal 2 2 2 11 3 2 2 3" xfId="44565" xr:uid="{54C6B524-2533-457D-BE51-7C85A05409EC}"/>
    <cellStyle name="Normal 2 2 2 11 3 2 3" xfId="44566" xr:uid="{E2EA8FC1-590B-49DE-8B5C-8B22E97D10DE}"/>
    <cellStyle name="Normal 2 2 2 11 3 2 3 2" xfId="44567" xr:uid="{71C6502E-771A-4A9A-9B81-AEF9E3713959}"/>
    <cellStyle name="Normal 2 2 2 11 3 2 4" xfId="44568" xr:uid="{270512A6-4DCE-4E50-AD14-45504F746F4D}"/>
    <cellStyle name="Normal 2 2 2 11 3 3" xfId="44569" xr:uid="{6122F0B1-A6BB-4D16-BFDC-C1F17E249ED3}"/>
    <cellStyle name="Normal 2 2 2 11 3 3 2" xfId="44570" xr:uid="{B66EE92C-EB7A-405C-9550-88AB24CECD46}"/>
    <cellStyle name="Normal 2 2 2 11 3 3 2 2" xfId="44571" xr:uid="{6694964B-B441-4EB2-BC19-6512C687C031}"/>
    <cellStyle name="Normal 2 2 2 11 3 3 3" xfId="44572" xr:uid="{9E807094-CB61-4037-9447-ED72D0529FF2}"/>
    <cellStyle name="Normal 2 2 2 11 3 4" xfId="44573" xr:uid="{3CC7D2DE-844D-4EA7-9744-9CCA171547DB}"/>
    <cellStyle name="Normal 2 2 2 11 3 4 2" xfId="44574" xr:uid="{F1630ECF-E935-45AB-8C45-D3E38B600C6D}"/>
    <cellStyle name="Normal 2 2 2 11 3 5" xfId="44575" xr:uid="{33AA545E-5161-4D1A-A36E-7A12604918FD}"/>
    <cellStyle name="Normal 2 2 2 11 4" xfId="44576" xr:uid="{6398CC77-B4A1-4AAD-A05A-239848AF7F4C}"/>
    <cellStyle name="Normal 2 2 2 11 4 2" xfId="44577" xr:uid="{E6986E9D-DBBA-41D6-B7A8-95E0E907A33C}"/>
    <cellStyle name="Normal 2 2 2 11 4 2 2" xfId="44578" xr:uid="{9371573B-03D2-448A-97A4-194DC312F325}"/>
    <cellStyle name="Normal 2 2 2 11 4 2 2 2" xfId="44579" xr:uid="{411F17C5-54FD-4B1E-8C33-25642EFEB285}"/>
    <cellStyle name="Normal 2 2 2 11 4 2 3" xfId="44580" xr:uid="{A16BC2DE-F02E-4201-8290-97E6609D3E4F}"/>
    <cellStyle name="Normal 2 2 2 11 4 3" xfId="44581" xr:uid="{1F360B3D-D2AE-46AF-BB29-24819CBB218A}"/>
    <cellStyle name="Normal 2 2 2 11 4 3 2" xfId="44582" xr:uid="{97C1EEDD-98E9-4F47-9505-9FFAABD93C8E}"/>
    <cellStyle name="Normal 2 2 2 11 4 4" xfId="44583" xr:uid="{69702528-6818-410B-A0F4-8DEE7519AB5A}"/>
    <cellStyle name="Normal 2 2 2 11 5" xfId="44584" xr:uid="{30E131B7-26CA-4971-AA96-DCBB9A70AF72}"/>
    <cellStyle name="Normal 2 2 2 11 5 2" xfId="44585" xr:uid="{81802CB0-80D2-420D-93A3-B0B3E14BF4FA}"/>
    <cellStyle name="Normal 2 2 2 11 5 2 2" xfId="44586" xr:uid="{2FE271F5-77A6-43AC-8C0F-B65484D7064A}"/>
    <cellStyle name="Normal 2 2 2 11 5 3" xfId="44587" xr:uid="{D242B837-2816-410D-B28B-7A00F276B3A2}"/>
    <cellStyle name="Normal 2 2 2 11 6" xfId="44588" xr:uid="{94FD7682-37A1-4C78-8D5F-69078A957E1D}"/>
    <cellStyle name="Normal 2 2 2 11 6 2" xfId="44589" xr:uid="{B23655F8-45AC-457D-8D24-4B755CFFEC1E}"/>
    <cellStyle name="Normal 2 2 2 11 7" xfId="44590" xr:uid="{0F01146A-B3CF-41A1-8483-7B8E004ECDE4}"/>
    <cellStyle name="Normal 2 2 2 11 8" xfId="44527" xr:uid="{5C8DC882-D455-48CD-A56A-8FDBAEA5B945}"/>
    <cellStyle name="Normal 2 2 2 12" xfId="24104" xr:uid="{241E33E8-E9C4-4DB3-85DE-02477754E680}"/>
    <cellStyle name="Normal 2 2 2 12 2" xfId="24105" xr:uid="{2C002C0E-E3EA-44F9-9207-4E8B8D3B111D}"/>
    <cellStyle name="Normal 2 2 2 12 2 2" xfId="44593" xr:uid="{52602C8D-CCA4-4911-B492-9264F8F86218}"/>
    <cellStyle name="Normal 2 2 2 12 2 2 2" xfId="44594" xr:uid="{3D6A79C5-8535-495B-AB6B-B6201F354841}"/>
    <cellStyle name="Normal 2 2 2 12 2 2 2 2" xfId="44595" xr:uid="{74E9A824-E054-4999-9B08-569FF8F60AA6}"/>
    <cellStyle name="Normal 2 2 2 12 2 2 2 2 2" xfId="44596" xr:uid="{76F2F39F-091B-41C1-B1B7-C0ACE54A37AC}"/>
    <cellStyle name="Normal 2 2 2 12 2 2 2 3" xfId="44597" xr:uid="{904C3C95-F1D8-4F1A-A332-2C938FDF72B0}"/>
    <cellStyle name="Normal 2 2 2 12 2 2 3" xfId="44598" xr:uid="{1C0F8CE2-3C6A-465E-86BF-A885D358629A}"/>
    <cellStyle name="Normal 2 2 2 12 2 2 3 2" xfId="44599" xr:uid="{E3F3A2A0-9867-4626-8CB9-D14728E1D6F3}"/>
    <cellStyle name="Normal 2 2 2 12 2 2 4" xfId="44600" xr:uid="{3A31987C-5DC4-4CF3-8BF2-8AA4373D5E7D}"/>
    <cellStyle name="Normal 2 2 2 12 2 3" xfId="44601" xr:uid="{3D14927C-A973-4F31-BEF7-E4CF771270E4}"/>
    <cellStyle name="Normal 2 2 2 12 2 3 2" xfId="44602" xr:uid="{13EB08CB-FB7F-427E-AB1E-DEFA4CFEE26A}"/>
    <cellStyle name="Normal 2 2 2 12 2 3 2 2" xfId="44603" xr:uid="{BD09B9CB-FA3F-4EC7-BAF2-77117BD9FE5D}"/>
    <cellStyle name="Normal 2 2 2 12 2 3 3" xfId="44604" xr:uid="{5C9D2556-C6FE-453F-A01D-EB993B11F367}"/>
    <cellStyle name="Normal 2 2 2 12 2 4" xfId="44605" xr:uid="{9A4FF29A-C5DB-415F-B6F2-6E5807DEE9C6}"/>
    <cellStyle name="Normal 2 2 2 12 2 4 2" xfId="44606" xr:uid="{6F94615A-8C02-483A-8DEE-D85F17AF40B2}"/>
    <cellStyle name="Normal 2 2 2 12 2 5" xfId="44607" xr:uid="{ABB02D9E-94A9-44D4-B22C-C74B7D6689B2}"/>
    <cellStyle name="Normal 2 2 2 12 2 6" xfId="44592" xr:uid="{0C56D2A5-24F3-40DD-A29B-3CB242824358}"/>
    <cellStyle name="Normal 2 2 2 12 3" xfId="44608" xr:uid="{E7A8B284-8A58-4869-831D-8040E85F6615}"/>
    <cellStyle name="Normal 2 2 2 12 3 2" xfId="44609" xr:uid="{0ABD1666-8B38-4B84-997B-EBB48860732F}"/>
    <cellStyle name="Normal 2 2 2 12 3 2 2" xfId="44610" xr:uid="{FF2BB564-0EBC-4288-AB20-A4ECA5E90210}"/>
    <cellStyle name="Normal 2 2 2 12 3 2 2 2" xfId="44611" xr:uid="{6D90EADD-EE56-44B3-9155-A04A036D1C8A}"/>
    <cellStyle name="Normal 2 2 2 12 3 2 3" xfId="44612" xr:uid="{D23009F8-A638-414F-99AD-1C07A5D0E46A}"/>
    <cellStyle name="Normal 2 2 2 12 3 3" xfId="44613" xr:uid="{5241A6CA-0ED2-48CC-8E30-38423D39FD2A}"/>
    <cellStyle name="Normal 2 2 2 12 3 3 2" xfId="44614" xr:uid="{04FE90DD-D670-4776-B9BA-BB2CD2D8A01F}"/>
    <cellStyle name="Normal 2 2 2 12 3 4" xfId="44615" xr:uid="{FA807503-7ACB-403F-8E76-45811234F742}"/>
    <cellStyle name="Normal 2 2 2 12 4" xfId="44616" xr:uid="{A30B4D61-35A6-44F9-AC47-63FF4618F120}"/>
    <cellStyle name="Normal 2 2 2 12 4 2" xfId="44617" xr:uid="{FCBABB3A-6F25-417B-B9CC-F26F68D6FEF8}"/>
    <cellStyle name="Normal 2 2 2 12 4 2 2" xfId="44618" xr:uid="{20869173-53ED-4D9A-8FA3-2C5E14A45975}"/>
    <cellStyle name="Normal 2 2 2 12 4 3" xfId="44619" xr:uid="{B1B84077-F66A-4537-B4F0-7DA221B46E7F}"/>
    <cellStyle name="Normal 2 2 2 12 5" xfId="44620" xr:uid="{19AC6C82-3947-40E1-904E-69F7478456A5}"/>
    <cellStyle name="Normal 2 2 2 12 5 2" xfId="44621" xr:uid="{EF1E8B1B-1F63-42A6-8A4D-E2E709B71B9F}"/>
    <cellStyle name="Normal 2 2 2 12 6" xfId="44622" xr:uid="{701DAB18-EC4B-43F6-82E5-40252DAD13B5}"/>
    <cellStyle name="Normal 2 2 2 12 7" xfId="44591" xr:uid="{C8956EC8-D1CF-4D0C-8F10-36E66BC96B0A}"/>
    <cellStyle name="Normal 2 2 2 13" xfId="24106" xr:uid="{87E7440A-6421-4612-A126-FE61D58019D7}"/>
    <cellStyle name="Normal 2 2 2 13 2" xfId="44624" xr:uid="{ACA3ED36-CA2C-434B-8081-8E428FB9AE1B}"/>
    <cellStyle name="Normal 2 2 2 13 2 2" xfId="44625" xr:uid="{47A0A82B-CA24-49DF-8FA9-795888EC7218}"/>
    <cellStyle name="Normal 2 2 2 13 2 2 2" xfId="44626" xr:uid="{E6B6C66D-1784-46F6-A4CC-F4CF5D144039}"/>
    <cellStyle name="Normal 2 2 2 13 2 2 2 2" xfId="44627" xr:uid="{91057273-CB55-49B5-AFF2-261765CD6501}"/>
    <cellStyle name="Normal 2 2 2 13 2 2 3" xfId="44628" xr:uid="{27CE200E-28B5-411D-971D-B45FA7ECF7A4}"/>
    <cellStyle name="Normal 2 2 2 13 2 3" xfId="44629" xr:uid="{21F12E88-9E8A-42FC-AF1F-9C7F0887C420}"/>
    <cellStyle name="Normal 2 2 2 13 2 3 2" xfId="44630" xr:uid="{CB619907-4046-4A4D-A94F-EFDDE5213A93}"/>
    <cellStyle name="Normal 2 2 2 13 2 4" xfId="44631" xr:uid="{69559F68-8E3A-4F29-844C-D212D93BB8A8}"/>
    <cellStyle name="Normal 2 2 2 13 3" xfId="44632" xr:uid="{34FBE110-5DEE-48BC-BF2F-9BCFD67CC16F}"/>
    <cellStyle name="Normal 2 2 2 13 3 2" xfId="44633" xr:uid="{BFFEF17C-9492-4C2D-994F-4F89E4FF65C0}"/>
    <cellStyle name="Normal 2 2 2 13 3 2 2" xfId="44634" xr:uid="{D4BFC2AD-1411-414D-BA22-8CDB8448D661}"/>
    <cellStyle name="Normal 2 2 2 13 3 3" xfId="44635" xr:uid="{D31E61EE-CE21-4F8B-BB16-6D711CE8C2BB}"/>
    <cellStyle name="Normal 2 2 2 13 4" xfId="44636" xr:uid="{C6985E7F-7A4F-4FF6-AED2-9165EC8B2317}"/>
    <cellStyle name="Normal 2 2 2 13 4 2" xfId="44637" xr:uid="{7E8B8DF0-3CEA-43E5-8C08-BFE611B571C7}"/>
    <cellStyle name="Normal 2 2 2 13 5" xfId="44638" xr:uid="{CB835EEF-8758-4E6B-A5CE-9DCBD7DFE9DE}"/>
    <cellStyle name="Normal 2 2 2 13 6" xfId="44623" xr:uid="{A3C626BF-F08A-42F6-A788-2E4981C0C212}"/>
    <cellStyle name="Normal 2 2 2 14" xfId="44639" xr:uid="{E72180C5-36C0-4D09-AF16-BC852415F000}"/>
    <cellStyle name="Normal 2 2 2 14 2" xfId="44640" xr:uid="{18177562-995F-4DA4-90FE-AF1DCD925516}"/>
    <cellStyle name="Normal 2 2 2 14 2 2" xfId="44641" xr:uid="{AD21E547-C466-49F4-8340-B5459E38FEBA}"/>
    <cellStyle name="Normal 2 2 2 14 2 2 2" xfId="44642" xr:uid="{A54BD4E2-C0D2-49BF-A68D-5F771DFD9DFD}"/>
    <cellStyle name="Normal 2 2 2 14 2 3" xfId="44643" xr:uid="{E50475A1-8987-4E72-ACBF-C4FA06D1AD63}"/>
    <cellStyle name="Normal 2 2 2 14 3" xfId="44644" xr:uid="{B2F8140C-1262-4972-A458-A6EA0FD3CE4D}"/>
    <cellStyle name="Normal 2 2 2 14 3 2" xfId="44645" xr:uid="{D051BFAB-8114-449B-84E2-C1C69A3DCC48}"/>
    <cellStyle name="Normal 2 2 2 14 4" xfId="44646" xr:uid="{3B6115C9-CB57-413B-BA0B-736E0289A43A}"/>
    <cellStyle name="Normal 2 2 2 15" xfId="44647" xr:uid="{4DC15F3D-2719-46B0-83FF-B6CEE05A38CD}"/>
    <cellStyle name="Normal 2 2 2 15 2" xfId="44648" xr:uid="{A955ACA4-4A2F-4ACA-BA76-E9F741EC89F4}"/>
    <cellStyle name="Normal 2 2 2 15 2 2" xfId="44649" xr:uid="{EFAC7963-71A4-4AFA-A1BA-660DCC785D1D}"/>
    <cellStyle name="Normal 2 2 2 15 3" xfId="44650" xr:uid="{B721E386-1A6F-42B3-A412-00DAE83EE8EA}"/>
    <cellStyle name="Normal 2 2 2 16" xfId="44651" xr:uid="{A956FBDE-6AB7-43E6-834C-59D4DD800931}"/>
    <cellStyle name="Normal 2 2 2 16 2" xfId="44652" xr:uid="{887EECEC-4AC1-4CFE-B9E0-D8EC9331791D}"/>
    <cellStyle name="Normal 2 2 2 17" xfId="44653" xr:uid="{5259DC3B-AD65-48E3-8D1E-E22EA027EFFC}"/>
    <cellStyle name="Normal 2 2 2 18" xfId="44654" xr:uid="{EEB4FA52-BD52-4988-BF31-F6723E33D596}"/>
    <cellStyle name="Normal 2 2 2 19" xfId="44462" xr:uid="{AC5DA6EB-C439-4140-92CF-38FA14BAC423}"/>
    <cellStyle name="Normal 2 2 2 2" xfId="24107" xr:uid="{79DA9210-3682-4344-8344-DFE0CA7303CB}"/>
    <cellStyle name="Normal 2 2 2 2 2" xfId="44656" xr:uid="{9597DDBD-6B86-4824-87F5-BB6C8A50DCA0}"/>
    <cellStyle name="Normal 2 2 2 2 2 2" xfId="44657" xr:uid="{C06C837E-063A-4A11-8B2B-2BE7E6D19B58}"/>
    <cellStyle name="Normal 2 2 2 2 2 2 2" xfId="44658" xr:uid="{7BE8E69E-303C-4074-B10E-E3295EB2D559}"/>
    <cellStyle name="Normal 2 2 2 2 2 2 2 2" xfId="44659" xr:uid="{2C01C097-A24C-4C10-9046-C14B9ED0F2EE}"/>
    <cellStyle name="Normal 2 2 2 2 2 2 2 2 2" xfId="44660" xr:uid="{AB5B3B79-A467-4A4D-AAEA-F2618B3F1BC3}"/>
    <cellStyle name="Normal 2 2 2 2 2 2 2 2 2 2" xfId="44661" xr:uid="{F5973FC2-BE7E-4196-9E4B-C2C668B6883C}"/>
    <cellStyle name="Normal 2 2 2 2 2 2 2 2 3" xfId="44662" xr:uid="{71C48A48-8F21-4374-9C89-FAB691A97679}"/>
    <cellStyle name="Normal 2 2 2 2 2 2 2 3" xfId="44663" xr:uid="{341F1089-9942-45C6-9DBB-FED796422A94}"/>
    <cellStyle name="Normal 2 2 2 2 2 2 2 3 2" xfId="44664" xr:uid="{CB2033C8-F668-4B8B-8E04-B1449A63C46B}"/>
    <cellStyle name="Normal 2 2 2 2 2 2 2 4" xfId="44665" xr:uid="{82286860-1961-4C30-80FB-7AEC5F2C8FDF}"/>
    <cellStyle name="Normal 2 2 2 2 2 2 3" xfId="44666" xr:uid="{CF05919D-CBDC-48DE-B5BF-DC053BF55B71}"/>
    <cellStyle name="Normal 2 2 2 2 2 2 3 2" xfId="44667" xr:uid="{250A39AD-3DF4-4467-8870-FC7B35099C80}"/>
    <cellStyle name="Normal 2 2 2 2 2 2 3 2 2" xfId="44668" xr:uid="{17773772-C933-4948-8CC1-A3B2F5A36C10}"/>
    <cellStyle name="Normal 2 2 2 2 2 2 3 3" xfId="44669" xr:uid="{575DD473-D28E-4E6E-8C25-4934C109C062}"/>
    <cellStyle name="Normal 2 2 2 2 2 2 4" xfId="44670" xr:uid="{7F6B3638-1EF9-48E1-967C-CAE5B319F137}"/>
    <cellStyle name="Normal 2 2 2 2 2 2 4 2" xfId="44671" xr:uid="{6A3C5EE1-4775-4CA1-834D-49A87D07FF19}"/>
    <cellStyle name="Normal 2 2 2 2 2 2 5" xfId="44672" xr:uid="{0803A4B0-5413-4785-A734-02D444DC4497}"/>
    <cellStyle name="Normal 2 2 2 2 2 3" xfId="44673" xr:uid="{077BAE21-C2CF-4B4B-828D-9E8827546DBB}"/>
    <cellStyle name="Normal 2 2 2 2 2 3 2" xfId="44674" xr:uid="{41B51D61-F3E8-4D32-9CEF-8AC22ADC0102}"/>
    <cellStyle name="Normal 2 2 2 2 2 3 2 2" xfId="44675" xr:uid="{DC5C97C1-E839-42F5-9F58-47F057B8FD88}"/>
    <cellStyle name="Normal 2 2 2 2 2 3 2 2 2" xfId="44676" xr:uid="{0A58947C-B34B-4150-AFA8-B982B2461AC5}"/>
    <cellStyle name="Normal 2 2 2 2 2 3 2 3" xfId="44677" xr:uid="{D5AAF6F9-A1FF-445E-904C-B9AD6AA454CF}"/>
    <cellStyle name="Normal 2 2 2 2 2 3 3" xfId="44678" xr:uid="{C65A344A-ECFC-43BA-89C9-F1924A064010}"/>
    <cellStyle name="Normal 2 2 2 2 2 3 3 2" xfId="44679" xr:uid="{9BA3EA6F-B2D0-4C9E-8650-5159E75D0F5A}"/>
    <cellStyle name="Normal 2 2 2 2 2 3 4" xfId="44680" xr:uid="{2E12177C-014F-4A94-8886-7F735108F071}"/>
    <cellStyle name="Normal 2 2 2 2 2 4" xfId="44681" xr:uid="{5C57727B-F6A2-4237-95B2-CE90C430F79B}"/>
    <cellStyle name="Normal 2 2 2 2 2 4 2" xfId="44682" xr:uid="{29B50588-376A-4A88-97CB-D68619AD9177}"/>
    <cellStyle name="Normal 2 2 2 2 2 4 2 2" xfId="44683" xr:uid="{71D9B991-280A-4E76-BAF0-5093E7744DF1}"/>
    <cellStyle name="Normal 2 2 2 2 2 4 3" xfId="44684" xr:uid="{A107E2F2-501C-4157-98C6-4682C89B063E}"/>
    <cellStyle name="Normal 2 2 2 2 2 5" xfId="44685" xr:uid="{1A3075F1-541A-4FA2-8490-1232CD0B8910}"/>
    <cellStyle name="Normal 2 2 2 2 2 5 2" xfId="44686" xr:uid="{1A6620FA-9124-439B-BD62-B9E5057F329A}"/>
    <cellStyle name="Normal 2 2 2 2 2 6" xfId="44687" xr:uid="{4BF6D60D-461E-4FCA-9DF6-BFEA1ED86131}"/>
    <cellStyle name="Normal 2 2 2 2 3" xfId="44688" xr:uid="{C5401E43-4738-48F2-9C84-9801D5893F71}"/>
    <cellStyle name="Normal 2 2 2 2 3 2" xfId="44689" xr:uid="{9FA61B54-D44E-49EB-BEAA-329FBEE8593D}"/>
    <cellStyle name="Normal 2 2 2 2 3 2 2" xfId="44690" xr:uid="{75993BF6-A840-43ED-AD07-FB5AA89AB05E}"/>
    <cellStyle name="Normal 2 2 2 2 3 2 2 2" xfId="44691" xr:uid="{58C35652-9FFF-43C3-83E7-8BFD88451CC3}"/>
    <cellStyle name="Normal 2 2 2 2 3 2 2 2 2" xfId="44692" xr:uid="{519048DC-E64B-4B51-8A06-088B00D01D88}"/>
    <cellStyle name="Normal 2 2 2 2 3 2 2 3" xfId="44693" xr:uid="{FAD776FA-BBFF-47B1-910E-990AA4056EE5}"/>
    <cellStyle name="Normal 2 2 2 2 3 2 3" xfId="44694" xr:uid="{F97E756E-C07A-4AC9-8A97-B13114D34379}"/>
    <cellStyle name="Normal 2 2 2 2 3 2 3 2" xfId="44695" xr:uid="{90B585DE-A2FA-4038-9432-54F80CEDDFAB}"/>
    <cellStyle name="Normal 2 2 2 2 3 2 4" xfId="44696" xr:uid="{94FA58FF-17D5-424B-A68D-3C3640831DFA}"/>
    <cellStyle name="Normal 2 2 2 2 3 3" xfId="44697" xr:uid="{55326C5C-7431-4207-99B2-99FE69C6842C}"/>
    <cellStyle name="Normal 2 2 2 2 3 3 2" xfId="44698" xr:uid="{0F8E4023-87E8-4315-8A83-F5D6843252BA}"/>
    <cellStyle name="Normal 2 2 2 2 3 3 2 2" xfId="44699" xr:uid="{EA060CAE-46C7-4E25-A5D8-0E9D24F38FCB}"/>
    <cellStyle name="Normal 2 2 2 2 3 3 3" xfId="44700" xr:uid="{98B8B8BF-1DBA-46B5-8C8D-35CDA0532209}"/>
    <cellStyle name="Normal 2 2 2 2 3 4" xfId="44701" xr:uid="{8749B851-C4D8-49E9-B724-869E9B6A4A05}"/>
    <cellStyle name="Normal 2 2 2 2 3 4 2" xfId="44702" xr:uid="{8DE68B76-4640-4136-B045-9FF207E2EB66}"/>
    <cellStyle name="Normal 2 2 2 2 3 5" xfId="44703" xr:uid="{F1D5F0CD-02F3-408E-8102-914966F50EF2}"/>
    <cellStyle name="Normal 2 2 2 2 4" xfId="44704" xr:uid="{33FCD064-6F48-4804-B8A2-22FDA80EBC68}"/>
    <cellStyle name="Normal 2 2 2 2 4 2" xfId="44705" xr:uid="{5D447EB2-33B7-4FF7-9A97-81DF197DDC3B}"/>
    <cellStyle name="Normal 2 2 2 2 4 2 2" xfId="44706" xr:uid="{FCA9A849-D29F-42F0-A4EF-2B4769847E96}"/>
    <cellStyle name="Normal 2 2 2 2 4 2 2 2" xfId="44707" xr:uid="{B9EDB2FF-810D-4FAB-9405-5D0D93D48104}"/>
    <cellStyle name="Normal 2 2 2 2 4 2 3" xfId="44708" xr:uid="{614B73F0-74CA-4D57-B14C-9643B277E447}"/>
    <cellStyle name="Normal 2 2 2 2 4 3" xfId="44709" xr:uid="{8FAB6C1F-4E46-460A-B16C-D98665761123}"/>
    <cellStyle name="Normal 2 2 2 2 4 3 2" xfId="44710" xr:uid="{9C193D7C-EB2A-4639-BFB5-3D2CCE7234DA}"/>
    <cellStyle name="Normal 2 2 2 2 4 4" xfId="44711" xr:uid="{58568A4E-58FB-48B3-912B-2BAA0CB1ECB3}"/>
    <cellStyle name="Normal 2 2 2 2 5" xfId="44712" xr:uid="{4E803E65-62B1-47EB-93F6-53D82EA6FF4C}"/>
    <cellStyle name="Normal 2 2 2 2 5 2" xfId="44713" xr:uid="{C5BE6666-EB58-486A-A71E-701A78418B2E}"/>
    <cellStyle name="Normal 2 2 2 2 5 2 2" xfId="44714" xr:uid="{D351C2DE-C27A-4F23-BA76-67A92787B29D}"/>
    <cellStyle name="Normal 2 2 2 2 5 3" xfId="44715" xr:uid="{B59D6950-51D8-42A7-9DC6-54D6CDE2F7B7}"/>
    <cellStyle name="Normal 2 2 2 2 6" xfId="44716" xr:uid="{B8849B9F-6F26-42A4-B506-0D61055D4F97}"/>
    <cellStyle name="Normal 2 2 2 2 6 2" xfId="44717" xr:uid="{5C3AE0B1-CA9C-4B11-B1F9-BB92A74B5D12}"/>
    <cellStyle name="Normal 2 2 2 2 7" xfId="44718" xr:uid="{D1F2F7BC-B65C-41A2-A99D-3B90E87DB516}"/>
    <cellStyle name="Normal 2 2 2 2 8" xfId="44655" xr:uid="{D7B7329A-F271-4D48-80C3-890A597A5BB8}"/>
    <cellStyle name="Normal 2 2 2 3" xfId="24108" xr:uid="{DB35D09B-042B-4507-9700-FC4BAF5002E2}"/>
    <cellStyle name="Normal 2 2 2 3 2" xfId="44720" xr:uid="{4DCDDD3D-1F03-4B2F-8E0E-27A70DDCC8E9}"/>
    <cellStyle name="Normal 2 2 2 3 2 2" xfId="44721" xr:uid="{9D583494-C3CC-4FEE-B1D8-8D532BD50E7F}"/>
    <cellStyle name="Normal 2 2 2 3 2 2 2" xfId="44722" xr:uid="{4E328399-A4F8-4465-B14F-8EB4A4F58DEB}"/>
    <cellStyle name="Normal 2 2 2 3 2 2 2 2" xfId="44723" xr:uid="{A9C28CBF-0023-45BE-A7D9-72C44D40806B}"/>
    <cellStyle name="Normal 2 2 2 3 2 2 2 2 2" xfId="44724" xr:uid="{E5814C5C-1728-4F62-991D-1D869AED4568}"/>
    <cellStyle name="Normal 2 2 2 3 2 2 2 2 2 2" xfId="44725" xr:uid="{D66C2B3A-EBBA-4DA1-8306-07F88F705FBF}"/>
    <cellStyle name="Normal 2 2 2 3 2 2 2 2 3" xfId="44726" xr:uid="{B3E32682-03E2-4BE1-9A30-29BB53C86BF2}"/>
    <cellStyle name="Normal 2 2 2 3 2 2 2 3" xfId="44727" xr:uid="{F6C68E0A-2D24-4856-AD31-5BE746A770A0}"/>
    <cellStyle name="Normal 2 2 2 3 2 2 2 3 2" xfId="44728" xr:uid="{B64D6AA1-36C5-4A7D-8449-6F06B5681960}"/>
    <cellStyle name="Normal 2 2 2 3 2 2 2 4" xfId="44729" xr:uid="{2E15AEF2-C1B1-4842-A5F0-1B2300DA901F}"/>
    <cellStyle name="Normal 2 2 2 3 2 2 3" xfId="44730" xr:uid="{70C1E18F-B80B-451D-99C0-CE6CF10CD36B}"/>
    <cellStyle name="Normal 2 2 2 3 2 2 3 2" xfId="44731" xr:uid="{C85DDAFE-C3DD-4DA9-BEBF-73435417BE69}"/>
    <cellStyle name="Normal 2 2 2 3 2 2 3 2 2" xfId="44732" xr:uid="{11219652-F447-42DC-A08C-4C3F18CF223D}"/>
    <cellStyle name="Normal 2 2 2 3 2 2 3 3" xfId="44733" xr:uid="{655B93DB-2746-40AA-9BDE-FE370547D71E}"/>
    <cellStyle name="Normal 2 2 2 3 2 2 4" xfId="44734" xr:uid="{C5BFF1A2-504B-4682-BC85-9E821441052D}"/>
    <cellStyle name="Normal 2 2 2 3 2 2 4 2" xfId="44735" xr:uid="{F8ACCB9A-84D6-4B49-9CBC-52A7552EB963}"/>
    <cellStyle name="Normal 2 2 2 3 2 2 5" xfId="44736" xr:uid="{363BE1FB-D8A5-426A-B53A-429C88708857}"/>
    <cellStyle name="Normal 2 2 2 3 2 3" xfId="44737" xr:uid="{477F4BA9-CC9B-4A87-AC1C-9B5C00508494}"/>
    <cellStyle name="Normal 2 2 2 3 2 3 2" xfId="44738" xr:uid="{029B9A08-BC89-4585-B065-64F6B820E79D}"/>
    <cellStyle name="Normal 2 2 2 3 2 3 2 2" xfId="44739" xr:uid="{1BCF857A-E756-4267-A683-89C64435676B}"/>
    <cellStyle name="Normal 2 2 2 3 2 3 2 2 2" xfId="44740" xr:uid="{0A2142D0-F801-4790-B7F5-BFA14BE0964D}"/>
    <cellStyle name="Normal 2 2 2 3 2 3 2 3" xfId="44741" xr:uid="{8776DE13-4322-49D2-A104-BEC9FDFCFC55}"/>
    <cellStyle name="Normal 2 2 2 3 2 3 3" xfId="44742" xr:uid="{C6EDD81F-D923-435D-AB32-F8CE3F2A66CA}"/>
    <cellStyle name="Normal 2 2 2 3 2 3 3 2" xfId="44743" xr:uid="{A9E22AC5-785A-411A-8AAD-31ABAE1E256E}"/>
    <cellStyle name="Normal 2 2 2 3 2 3 4" xfId="44744" xr:uid="{C7517EB9-1E30-4ED1-85C6-E0CA2D1EB443}"/>
    <cellStyle name="Normal 2 2 2 3 2 4" xfId="44745" xr:uid="{71AD81FF-592A-49E0-8AE7-88FAE0C0CF00}"/>
    <cellStyle name="Normal 2 2 2 3 2 4 2" xfId="44746" xr:uid="{5EF8825E-0CA8-4684-A34B-AF86F6CB3C0F}"/>
    <cellStyle name="Normal 2 2 2 3 2 4 2 2" xfId="44747" xr:uid="{B4E6EF1B-C5A3-45F9-9D4B-F06E299890C9}"/>
    <cellStyle name="Normal 2 2 2 3 2 4 3" xfId="44748" xr:uid="{F34FA1CB-BC41-41C1-BF57-16E31E70282E}"/>
    <cellStyle name="Normal 2 2 2 3 2 5" xfId="44749" xr:uid="{29A10F94-D2BE-466D-A870-5BAFD54B243D}"/>
    <cellStyle name="Normal 2 2 2 3 2 5 2" xfId="44750" xr:uid="{DBB670F8-A651-4446-9918-98D4DB108954}"/>
    <cellStyle name="Normal 2 2 2 3 2 6" xfId="44751" xr:uid="{6294D222-45EC-4EF6-8E5F-FB6FC9B99C0C}"/>
    <cellStyle name="Normal 2 2 2 3 3" xfId="44752" xr:uid="{B0ECE643-A1BD-40F5-9A82-A21A5A75AC13}"/>
    <cellStyle name="Normal 2 2 2 3 3 2" xfId="44753" xr:uid="{74B0EEF8-E808-4CAD-8E2E-88A7555989F7}"/>
    <cellStyle name="Normal 2 2 2 3 3 2 2" xfId="44754" xr:uid="{E2AE9018-C00F-4D46-AB96-786A46F57698}"/>
    <cellStyle name="Normal 2 2 2 3 3 2 2 2" xfId="44755" xr:uid="{31AE6DD1-7ADA-4B6F-BE6E-E79D49EF1B17}"/>
    <cellStyle name="Normal 2 2 2 3 3 2 2 2 2" xfId="44756" xr:uid="{FB12A72B-89B3-41E8-A50A-D4A66338F88C}"/>
    <cellStyle name="Normal 2 2 2 3 3 2 2 3" xfId="44757" xr:uid="{B47981ED-2A49-4E4E-8D9A-5C2524541946}"/>
    <cellStyle name="Normal 2 2 2 3 3 2 3" xfId="44758" xr:uid="{C09A07B6-52DB-4693-9CFF-E8FDCBBB4E3D}"/>
    <cellStyle name="Normal 2 2 2 3 3 2 3 2" xfId="44759" xr:uid="{13954395-D24F-4596-8FE0-70B0A5DF2FD9}"/>
    <cellStyle name="Normal 2 2 2 3 3 2 4" xfId="44760" xr:uid="{DD6C79B4-0F36-4652-90DB-0218E23E272A}"/>
    <cellStyle name="Normal 2 2 2 3 3 3" xfId="44761" xr:uid="{E498B8A7-B170-4F7F-898B-1B3AA317695F}"/>
    <cellStyle name="Normal 2 2 2 3 3 3 2" xfId="44762" xr:uid="{1CF00EDD-1AB3-41A4-AECB-09E9190CF4BA}"/>
    <cellStyle name="Normal 2 2 2 3 3 3 2 2" xfId="44763" xr:uid="{D60A9E18-CAD4-4058-A311-F439C0E55B5F}"/>
    <cellStyle name="Normal 2 2 2 3 3 3 3" xfId="44764" xr:uid="{91F154AE-7282-4BDD-A319-F6D277DF4077}"/>
    <cellStyle name="Normal 2 2 2 3 3 4" xfId="44765" xr:uid="{98C87BFF-A6BB-44E0-87CF-22BCC05E3E06}"/>
    <cellStyle name="Normal 2 2 2 3 3 4 2" xfId="44766" xr:uid="{E4385C15-6734-44C0-9BAF-7FF13A020A1A}"/>
    <cellStyle name="Normal 2 2 2 3 3 5" xfId="44767" xr:uid="{590BF0DD-8910-4758-90A2-88482CD32038}"/>
    <cellStyle name="Normal 2 2 2 3 4" xfId="44768" xr:uid="{5866E19D-2C70-40D7-827B-92195941BCF6}"/>
    <cellStyle name="Normal 2 2 2 3 4 2" xfId="44769" xr:uid="{82DD39B9-E434-4E3E-869A-31C8A5AC1988}"/>
    <cellStyle name="Normal 2 2 2 3 4 2 2" xfId="44770" xr:uid="{E41EAB22-CCE3-4C44-A4F6-D2905191AE76}"/>
    <cellStyle name="Normal 2 2 2 3 4 2 2 2" xfId="44771" xr:uid="{FC2060F3-B39B-4662-BE46-5A6806992794}"/>
    <cellStyle name="Normal 2 2 2 3 4 2 3" xfId="44772" xr:uid="{D2A9324C-CD45-4AEA-A9CF-E7AEBB2A0CA4}"/>
    <cellStyle name="Normal 2 2 2 3 4 3" xfId="44773" xr:uid="{EB28CA01-4DFA-4260-A54C-BC805F917533}"/>
    <cellStyle name="Normal 2 2 2 3 4 3 2" xfId="44774" xr:uid="{2D4303BA-19C8-4A3E-B6A7-FA06C0F52ECA}"/>
    <cellStyle name="Normal 2 2 2 3 4 4" xfId="44775" xr:uid="{520F5FD2-B851-4861-87CD-C745783DC3E0}"/>
    <cellStyle name="Normal 2 2 2 3 5" xfId="44776" xr:uid="{71D731AB-F868-4ABC-984E-8A7CCA925A38}"/>
    <cellStyle name="Normal 2 2 2 3 5 2" xfId="44777" xr:uid="{BE2A50CF-2727-484D-B75F-48B933342D61}"/>
    <cellStyle name="Normal 2 2 2 3 5 2 2" xfId="44778" xr:uid="{857AA5CF-47A2-4440-8217-998C11BF7638}"/>
    <cellStyle name="Normal 2 2 2 3 5 3" xfId="44779" xr:uid="{DAEDF4A3-CFEA-4C4A-A2DE-FF69D0A98509}"/>
    <cellStyle name="Normal 2 2 2 3 6" xfId="44780" xr:uid="{35942048-109F-4FDA-98D3-D7CBE091BFAE}"/>
    <cellStyle name="Normal 2 2 2 3 6 2" xfId="44781" xr:uid="{A8D58726-4532-4609-993C-C07C48905743}"/>
    <cellStyle name="Normal 2 2 2 3 7" xfId="44782" xr:uid="{7DD029CA-DBA8-4310-8DF0-8250E9E662BE}"/>
    <cellStyle name="Normal 2 2 2 3 8" xfId="44719" xr:uid="{EEA81C77-E395-4532-9648-2CB789DE27DA}"/>
    <cellStyle name="Normal 2 2 2 4" xfId="24109" xr:uid="{46E66CB9-B419-4B9E-A203-ECD972DC0D93}"/>
    <cellStyle name="Normal 2 2 2 4 2" xfId="44784" xr:uid="{E06C178D-C1EE-4335-B8C9-1591DB46058C}"/>
    <cellStyle name="Normal 2 2 2 4 2 2" xfId="44785" xr:uid="{69033BEC-8043-4078-8DB4-7507CEA045CE}"/>
    <cellStyle name="Normal 2 2 2 4 2 2 2" xfId="44786" xr:uid="{7BCBE59F-9DC8-40A5-A103-123D079A7AF2}"/>
    <cellStyle name="Normal 2 2 2 4 2 2 2 2" xfId="44787" xr:uid="{46A11F8D-9105-44CB-8A2A-95F98C9EAA9F}"/>
    <cellStyle name="Normal 2 2 2 4 2 2 2 2 2" xfId="44788" xr:uid="{30EA52C7-EEFF-43FB-8B7E-075A3600578A}"/>
    <cellStyle name="Normal 2 2 2 4 2 2 2 2 2 2" xfId="44789" xr:uid="{582B0A21-E9F0-408A-90E8-9E3D5740B553}"/>
    <cellStyle name="Normal 2 2 2 4 2 2 2 2 3" xfId="44790" xr:uid="{5EA14F8F-7C70-4B97-897B-820A31358BC4}"/>
    <cellStyle name="Normal 2 2 2 4 2 2 2 3" xfId="44791" xr:uid="{DF07A4D4-C629-470E-8164-ABA02A7EDB33}"/>
    <cellStyle name="Normal 2 2 2 4 2 2 2 3 2" xfId="44792" xr:uid="{64632B10-27FF-48FA-9B8A-85D28FAE59A5}"/>
    <cellStyle name="Normal 2 2 2 4 2 2 2 4" xfId="44793" xr:uid="{34EEC82D-1535-4E8A-A206-276BDA5C18D1}"/>
    <cellStyle name="Normal 2 2 2 4 2 2 3" xfId="44794" xr:uid="{98E7D40E-0E63-4269-B232-323356C8FE66}"/>
    <cellStyle name="Normal 2 2 2 4 2 2 3 2" xfId="44795" xr:uid="{ED87ECC8-A29D-496A-801F-BAACE4661E93}"/>
    <cellStyle name="Normal 2 2 2 4 2 2 3 2 2" xfId="44796" xr:uid="{57B92318-6AB3-4815-9AEF-F45D19AD6543}"/>
    <cellStyle name="Normal 2 2 2 4 2 2 3 3" xfId="44797" xr:uid="{2DA76101-D80D-4548-866B-628A2FAE2720}"/>
    <cellStyle name="Normal 2 2 2 4 2 2 4" xfId="44798" xr:uid="{52304B1C-FD18-4473-9CFA-D47454992826}"/>
    <cellStyle name="Normal 2 2 2 4 2 2 4 2" xfId="44799" xr:uid="{C79165C0-58AF-4EF0-A62D-9307071DD2E9}"/>
    <cellStyle name="Normal 2 2 2 4 2 2 5" xfId="44800" xr:uid="{0A7CEE93-C58D-420D-8B1C-003D5C1174D3}"/>
    <cellStyle name="Normal 2 2 2 4 2 3" xfId="44801" xr:uid="{3F92E6B2-CEF7-4FB4-A269-2ABE92DE72BA}"/>
    <cellStyle name="Normal 2 2 2 4 2 3 2" xfId="44802" xr:uid="{F08C8171-E95C-4AC1-9F2A-C499C664F6FE}"/>
    <cellStyle name="Normal 2 2 2 4 2 3 2 2" xfId="44803" xr:uid="{7F59F0CA-F378-4387-96FD-B1D00E62B516}"/>
    <cellStyle name="Normal 2 2 2 4 2 3 2 2 2" xfId="44804" xr:uid="{7FC80372-1E91-49C6-9F7E-E7A87AD69D1A}"/>
    <cellStyle name="Normal 2 2 2 4 2 3 2 3" xfId="44805" xr:uid="{74D29AEF-0DDD-416B-B0B9-2E3C72FBDDD0}"/>
    <cellStyle name="Normal 2 2 2 4 2 3 3" xfId="44806" xr:uid="{45681C75-B6B2-4876-A11D-4CA5C82AB3EA}"/>
    <cellStyle name="Normal 2 2 2 4 2 3 3 2" xfId="44807" xr:uid="{26351064-6F54-4787-9CDF-B68EDE82137D}"/>
    <cellStyle name="Normal 2 2 2 4 2 3 4" xfId="44808" xr:uid="{5BE7A394-2097-466E-B065-767313D9E283}"/>
    <cellStyle name="Normal 2 2 2 4 2 4" xfId="44809" xr:uid="{D0B7735E-E152-4015-8E13-D18723F391C0}"/>
    <cellStyle name="Normal 2 2 2 4 2 4 2" xfId="44810" xr:uid="{A5E0D9A0-B5F1-47B9-A59C-5ACB1B272A2C}"/>
    <cellStyle name="Normal 2 2 2 4 2 4 2 2" xfId="44811" xr:uid="{767CCE85-4DD7-4B35-8A8B-C421C6BA2577}"/>
    <cellStyle name="Normal 2 2 2 4 2 4 3" xfId="44812" xr:uid="{06BE3065-39CF-4AA7-96AA-21B08BB24937}"/>
    <cellStyle name="Normal 2 2 2 4 2 5" xfId="44813" xr:uid="{998D4D09-45C6-4B41-A6D2-DAC058B5AE00}"/>
    <cellStyle name="Normal 2 2 2 4 2 5 2" xfId="44814" xr:uid="{638C6176-B812-4300-B64D-AFB01C510F1F}"/>
    <cellStyle name="Normal 2 2 2 4 2 6" xfId="44815" xr:uid="{7ACAA5A7-CBA2-415B-A526-C52186EAA8B6}"/>
    <cellStyle name="Normal 2 2 2 4 3" xfId="44816" xr:uid="{75E9FFBF-A5F3-4B54-8E24-C101F317FFC0}"/>
    <cellStyle name="Normal 2 2 2 4 3 2" xfId="44817" xr:uid="{0C59CB9A-2F2A-4A81-837D-91DE5588FD34}"/>
    <cellStyle name="Normal 2 2 2 4 3 2 2" xfId="44818" xr:uid="{7573D725-6179-4CB3-BE00-E4286E223BAA}"/>
    <cellStyle name="Normal 2 2 2 4 3 2 2 2" xfId="44819" xr:uid="{1717061F-C030-4228-8565-E31373D9BA0F}"/>
    <cellStyle name="Normal 2 2 2 4 3 2 2 2 2" xfId="44820" xr:uid="{52D1D59D-3045-4818-A05C-EAC7DB945A91}"/>
    <cellStyle name="Normal 2 2 2 4 3 2 2 3" xfId="44821" xr:uid="{E2F88558-FE54-427B-BFAF-B90370DD48C0}"/>
    <cellStyle name="Normal 2 2 2 4 3 2 3" xfId="44822" xr:uid="{CDF13720-BF1C-425F-8FDC-7A5B94EC0ABE}"/>
    <cellStyle name="Normal 2 2 2 4 3 2 3 2" xfId="44823" xr:uid="{7367699A-A1ED-4B1D-82E8-3739ABD6A371}"/>
    <cellStyle name="Normal 2 2 2 4 3 2 4" xfId="44824" xr:uid="{5DA8E970-51A4-4B38-A2BB-4C879F3DD53B}"/>
    <cellStyle name="Normal 2 2 2 4 3 3" xfId="44825" xr:uid="{A0FCFD85-10B3-4960-A507-2DB6692D2756}"/>
    <cellStyle name="Normal 2 2 2 4 3 3 2" xfId="44826" xr:uid="{A9A071B9-0907-495E-851D-AD95217C59E8}"/>
    <cellStyle name="Normal 2 2 2 4 3 3 2 2" xfId="44827" xr:uid="{68D6BE97-252B-48C6-B6A2-BE5DEE823116}"/>
    <cellStyle name="Normal 2 2 2 4 3 3 3" xfId="44828" xr:uid="{F302F6F4-78F1-4A39-9339-A027693C0721}"/>
    <cellStyle name="Normal 2 2 2 4 3 4" xfId="44829" xr:uid="{3EB9FF38-6730-4496-A527-19DD26CDD754}"/>
    <cellStyle name="Normal 2 2 2 4 3 4 2" xfId="44830" xr:uid="{6118E91B-C79C-4FE4-9907-B35698FCA7D6}"/>
    <cellStyle name="Normal 2 2 2 4 3 5" xfId="44831" xr:uid="{03976DFD-9910-4C2A-8D5C-702268F82EFE}"/>
    <cellStyle name="Normal 2 2 2 4 4" xfId="44832" xr:uid="{205F165D-BEF7-4FE0-B008-BA4E1469677B}"/>
    <cellStyle name="Normal 2 2 2 4 4 2" xfId="44833" xr:uid="{E1FCD7FE-4663-4882-9F9E-2027BB1B7870}"/>
    <cellStyle name="Normal 2 2 2 4 4 2 2" xfId="44834" xr:uid="{7B07318C-60BC-484E-AF23-9F858C8AE7CE}"/>
    <cellStyle name="Normal 2 2 2 4 4 2 2 2" xfId="44835" xr:uid="{16C79BFA-354C-4BD6-AE8E-91815DF184C8}"/>
    <cellStyle name="Normal 2 2 2 4 4 2 3" xfId="44836" xr:uid="{F8EE9F38-C195-456F-8212-15B3D842FC3B}"/>
    <cellStyle name="Normal 2 2 2 4 4 3" xfId="44837" xr:uid="{BD7CA4B8-2725-4540-8B3B-C7DC71166378}"/>
    <cellStyle name="Normal 2 2 2 4 4 3 2" xfId="44838" xr:uid="{241E5685-E10F-4404-9DCD-5804D4825319}"/>
    <cellStyle name="Normal 2 2 2 4 4 4" xfId="44839" xr:uid="{865E1AF4-83D0-4E3C-B154-0C665EFDBEAE}"/>
    <cellStyle name="Normal 2 2 2 4 5" xfId="44840" xr:uid="{466599C7-0C87-4463-B770-898BC783C2C1}"/>
    <cellStyle name="Normal 2 2 2 4 5 2" xfId="44841" xr:uid="{9D78B326-E48F-4221-9430-1B19B44C46F4}"/>
    <cellStyle name="Normal 2 2 2 4 5 2 2" xfId="44842" xr:uid="{8199932B-0019-4795-BEBC-97B25F4C4266}"/>
    <cellStyle name="Normal 2 2 2 4 5 3" xfId="44843" xr:uid="{284AFEFD-9B16-42DD-BF77-94DE177A4D44}"/>
    <cellStyle name="Normal 2 2 2 4 6" xfId="44844" xr:uid="{7E5080D2-E9FF-416A-91FE-847588A0C8F8}"/>
    <cellStyle name="Normal 2 2 2 4 6 2" xfId="44845" xr:uid="{6106F07C-263D-4540-B67E-A4628A3575DA}"/>
    <cellStyle name="Normal 2 2 2 4 7" xfId="44846" xr:uid="{853E9465-2B72-4B33-8526-D7163FC4C796}"/>
    <cellStyle name="Normal 2 2 2 4 8" xfId="44783" xr:uid="{49A71F8C-0673-47FD-8153-D485666BBC79}"/>
    <cellStyle name="Normal 2 2 2 5" xfId="24110" xr:uid="{4C7E9C80-2C9F-4E20-830A-7B3ABFD12915}"/>
    <cellStyle name="Normal 2 2 2 5 2" xfId="44848" xr:uid="{DB7C7B9A-5686-46E5-A069-217C6285D134}"/>
    <cellStyle name="Normal 2 2 2 5 2 2" xfId="44849" xr:uid="{F172AF07-33EA-4F5A-AFBB-F32DFD146754}"/>
    <cellStyle name="Normal 2 2 2 5 2 2 2" xfId="44850" xr:uid="{2E984986-FB83-4FDB-8580-E4137838BD27}"/>
    <cellStyle name="Normal 2 2 2 5 2 2 2 2" xfId="44851" xr:uid="{1ECD3119-2234-4D1B-97D1-506E4C87F358}"/>
    <cellStyle name="Normal 2 2 2 5 2 2 2 2 2" xfId="44852" xr:uid="{CF45B6B0-C9C9-4536-AFF0-EDF1CAB8B051}"/>
    <cellStyle name="Normal 2 2 2 5 2 2 2 2 2 2" xfId="44853" xr:uid="{E92AEBA1-A33F-4FD5-80BD-BA2658E344FD}"/>
    <cellStyle name="Normal 2 2 2 5 2 2 2 2 3" xfId="44854" xr:uid="{E7FE2B46-C9C1-46CC-A6AD-7A41E2862324}"/>
    <cellStyle name="Normal 2 2 2 5 2 2 2 3" xfId="44855" xr:uid="{36AC42EE-1B0D-43D5-93BB-C2E284545B89}"/>
    <cellStyle name="Normal 2 2 2 5 2 2 2 3 2" xfId="44856" xr:uid="{6C104B44-1B39-47DD-B620-357069BDE2F3}"/>
    <cellStyle name="Normal 2 2 2 5 2 2 2 4" xfId="44857" xr:uid="{999D7F22-6989-4A0B-9F12-8AEC4153290E}"/>
    <cellStyle name="Normal 2 2 2 5 2 2 3" xfId="44858" xr:uid="{C5861916-2853-434A-980B-EB637CDFFA4E}"/>
    <cellStyle name="Normal 2 2 2 5 2 2 3 2" xfId="44859" xr:uid="{CB249EAD-CF13-4F63-BF0A-C85646284896}"/>
    <cellStyle name="Normal 2 2 2 5 2 2 3 2 2" xfId="44860" xr:uid="{3637A12A-9073-4A5F-BBB7-3195ACA819ED}"/>
    <cellStyle name="Normal 2 2 2 5 2 2 3 3" xfId="44861" xr:uid="{200DC53B-E3F4-47A4-91EF-B0782617B3CE}"/>
    <cellStyle name="Normal 2 2 2 5 2 2 4" xfId="44862" xr:uid="{48049669-7297-49A1-8854-0594E0DF4D9D}"/>
    <cellStyle name="Normal 2 2 2 5 2 2 4 2" xfId="44863" xr:uid="{2688DD3D-01F9-4CF8-A2F8-DB7A215AF609}"/>
    <cellStyle name="Normal 2 2 2 5 2 2 5" xfId="44864" xr:uid="{DB5B6C91-63F6-440A-A045-0ADA2BF42B29}"/>
    <cellStyle name="Normal 2 2 2 5 2 3" xfId="44865" xr:uid="{C94F00E6-BB9B-4DD9-AF56-A61EA3F358A0}"/>
    <cellStyle name="Normal 2 2 2 5 2 3 2" xfId="44866" xr:uid="{E5E8437E-25CA-4F28-BB02-02714F17EFDB}"/>
    <cellStyle name="Normal 2 2 2 5 2 3 2 2" xfId="44867" xr:uid="{51E9CEBD-C69E-44CD-977B-43445E9E76AE}"/>
    <cellStyle name="Normal 2 2 2 5 2 3 2 2 2" xfId="44868" xr:uid="{FBD5BD65-D6BF-4F16-B4FB-2D64B8F669D8}"/>
    <cellStyle name="Normal 2 2 2 5 2 3 2 3" xfId="44869" xr:uid="{EDAA7458-7849-4A07-9F19-DFE219F20C58}"/>
    <cellStyle name="Normal 2 2 2 5 2 3 3" xfId="44870" xr:uid="{B394972F-A381-430B-B07D-9C52B32FB76A}"/>
    <cellStyle name="Normal 2 2 2 5 2 3 3 2" xfId="44871" xr:uid="{D7F84D7A-C9D6-432F-9E76-377C7F8B6CFE}"/>
    <cellStyle name="Normal 2 2 2 5 2 3 4" xfId="44872" xr:uid="{29BC42DB-7511-441B-B476-759FAE507811}"/>
    <cellStyle name="Normal 2 2 2 5 2 4" xfId="44873" xr:uid="{ADFC2FCE-C691-4E6F-A755-6D65A88410C7}"/>
    <cellStyle name="Normal 2 2 2 5 2 4 2" xfId="44874" xr:uid="{325C9FEA-8E95-45CB-9747-0BCCE9B211E5}"/>
    <cellStyle name="Normal 2 2 2 5 2 4 2 2" xfId="44875" xr:uid="{623244EF-B033-4C60-91E8-280D72BD13EA}"/>
    <cellStyle name="Normal 2 2 2 5 2 4 3" xfId="44876" xr:uid="{D51EBDAE-77D4-4A35-852B-6CE4C3AB145A}"/>
    <cellStyle name="Normal 2 2 2 5 2 5" xfId="44877" xr:uid="{0EE2F6C1-1DFC-419A-81D1-9FA556F90D21}"/>
    <cellStyle name="Normal 2 2 2 5 2 5 2" xfId="44878" xr:uid="{A428F016-0DD2-4B6C-B1F2-A2517C4B6FBE}"/>
    <cellStyle name="Normal 2 2 2 5 2 6" xfId="44879" xr:uid="{A42E96A2-D894-4225-AD2D-E16C9ED06E2E}"/>
    <cellStyle name="Normal 2 2 2 5 3" xfId="44880" xr:uid="{E7D30B4A-1AAE-4557-8624-D211860ECA71}"/>
    <cellStyle name="Normal 2 2 2 5 3 2" xfId="44881" xr:uid="{1BA9AFB0-F562-4EB4-ACB3-3E4CAA62D4D0}"/>
    <cellStyle name="Normal 2 2 2 5 3 2 2" xfId="44882" xr:uid="{46D3BD0D-3DDA-4105-9FCB-69404E3FE980}"/>
    <cellStyle name="Normal 2 2 2 5 3 2 2 2" xfId="44883" xr:uid="{D0389605-303C-4C49-B93F-3A1725F1EB45}"/>
    <cellStyle name="Normal 2 2 2 5 3 2 2 2 2" xfId="44884" xr:uid="{EB4A9E08-80F2-441A-A33F-CA26D5C29A13}"/>
    <cellStyle name="Normal 2 2 2 5 3 2 2 3" xfId="44885" xr:uid="{CF2000C8-CC79-4F8B-A12F-767DB299014A}"/>
    <cellStyle name="Normal 2 2 2 5 3 2 3" xfId="44886" xr:uid="{58D6823D-E565-44D4-A6C4-3EF34F61B1F1}"/>
    <cellStyle name="Normal 2 2 2 5 3 2 3 2" xfId="44887" xr:uid="{3CAB211A-E45B-43BF-BB8E-538869F6FFFE}"/>
    <cellStyle name="Normal 2 2 2 5 3 2 4" xfId="44888" xr:uid="{D8FD5715-115C-456B-ACD5-D18D67883736}"/>
    <cellStyle name="Normal 2 2 2 5 3 3" xfId="44889" xr:uid="{1123C82C-AC29-4F32-8BAF-60EFBF987B0E}"/>
    <cellStyle name="Normal 2 2 2 5 3 3 2" xfId="44890" xr:uid="{2634CAA6-BFD5-40BA-8D6F-48D0D5279D73}"/>
    <cellStyle name="Normal 2 2 2 5 3 3 2 2" xfId="44891" xr:uid="{C75296E1-CBBC-458B-AD60-B00B7EA530F3}"/>
    <cellStyle name="Normal 2 2 2 5 3 3 3" xfId="44892" xr:uid="{FF424CC8-877D-4CDA-BD4E-CA0A6416E6E4}"/>
    <cellStyle name="Normal 2 2 2 5 3 4" xfId="44893" xr:uid="{3158BCDF-F6F3-4821-A074-C2518666D2E7}"/>
    <cellStyle name="Normal 2 2 2 5 3 4 2" xfId="44894" xr:uid="{E031D3F5-79D0-4FF9-9A52-29B437902286}"/>
    <cellStyle name="Normal 2 2 2 5 3 5" xfId="44895" xr:uid="{9FEB41E6-9600-4FE0-8FFD-8CC90E1BCEBC}"/>
    <cellStyle name="Normal 2 2 2 5 4" xfId="44896" xr:uid="{2320F30B-AAA4-4E85-90CF-3E64B5249D58}"/>
    <cellStyle name="Normal 2 2 2 5 4 2" xfId="44897" xr:uid="{E34C4D26-6767-46D5-9A56-3C05518EFF2E}"/>
    <cellStyle name="Normal 2 2 2 5 4 2 2" xfId="44898" xr:uid="{07DFF224-3398-4E3E-966F-431699711C03}"/>
    <cellStyle name="Normal 2 2 2 5 4 2 2 2" xfId="44899" xr:uid="{B2B90018-A3B9-4E15-B757-1593CC573642}"/>
    <cellStyle name="Normal 2 2 2 5 4 2 3" xfId="44900" xr:uid="{05B0FC45-5DDD-4363-8938-93F9C0705B0F}"/>
    <cellStyle name="Normal 2 2 2 5 4 3" xfId="44901" xr:uid="{B7207632-6DD3-46CE-BC97-F2ED4A194E09}"/>
    <cellStyle name="Normal 2 2 2 5 4 3 2" xfId="44902" xr:uid="{CB346724-952A-45E9-AD13-650DC6C082B6}"/>
    <cellStyle name="Normal 2 2 2 5 4 4" xfId="44903" xr:uid="{16101355-940B-43C4-BA3D-52A8FA441E09}"/>
    <cellStyle name="Normal 2 2 2 5 5" xfId="44904" xr:uid="{4E839718-BE98-4F36-BA48-AB02A024E22F}"/>
    <cellStyle name="Normal 2 2 2 5 5 2" xfId="44905" xr:uid="{996E663E-990A-4E2A-A14F-09CF6A1C79D1}"/>
    <cellStyle name="Normal 2 2 2 5 5 2 2" xfId="44906" xr:uid="{5203E6DD-5024-4F07-BA6E-BCA7C8ABF63A}"/>
    <cellStyle name="Normal 2 2 2 5 5 3" xfId="44907" xr:uid="{34B8B59B-E2C6-4056-8327-B3C46124EFE9}"/>
    <cellStyle name="Normal 2 2 2 5 6" xfId="44908" xr:uid="{6502E19F-7533-4FBC-8408-1DE40C4331CF}"/>
    <cellStyle name="Normal 2 2 2 5 6 2" xfId="44909" xr:uid="{24BC2BE6-AA95-405F-B373-C08E2F6CBD0F}"/>
    <cellStyle name="Normal 2 2 2 5 7" xfId="44910" xr:uid="{84FF1988-01DF-415E-AB21-49AA9038C496}"/>
    <cellStyle name="Normal 2 2 2 5 8" xfId="44847" xr:uid="{B49DA036-2B4D-444B-A4C6-CCDA81641823}"/>
    <cellStyle name="Normal 2 2 2 6" xfId="24111" xr:uid="{C1249319-3147-4B7A-AA7B-6931B0F4E39C}"/>
    <cellStyle name="Normal 2 2 2 6 2" xfId="44912" xr:uid="{1DFA5361-3DFA-4DC4-8DC1-E46044E907F6}"/>
    <cellStyle name="Normal 2 2 2 6 2 2" xfId="44913" xr:uid="{B18EA272-C9B9-485C-9FA5-B40B8EF7AC6F}"/>
    <cellStyle name="Normal 2 2 2 6 2 2 2" xfId="44914" xr:uid="{5174E8D8-BEF4-46B0-A1CA-7AED0C7E3EE6}"/>
    <cellStyle name="Normal 2 2 2 6 2 2 2 2" xfId="44915" xr:uid="{8E6D3A27-4455-4D1A-AE14-C46207401F70}"/>
    <cellStyle name="Normal 2 2 2 6 2 2 2 2 2" xfId="44916" xr:uid="{FA9C2943-F895-4482-9EBE-1205ED9F2F5B}"/>
    <cellStyle name="Normal 2 2 2 6 2 2 2 2 2 2" xfId="44917" xr:uid="{4EFBA96C-37A3-4E38-9587-A4481F5E9358}"/>
    <cellStyle name="Normal 2 2 2 6 2 2 2 2 3" xfId="44918" xr:uid="{F8A72722-CEFC-4ABD-A2F8-8990F9526DB9}"/>
    <cellStyle name="Normal 2 2 2 6 2 2 2 3" xfId="44919" xr:uid="{12E970EB-8597-4745-93EE-5AA237D0186E}"/>
    <cellStyle name="Normal 2 2 2 6 2 2 2 3 2" xfId="44920" xr:uid="{81C7FF35-140E-4CDD-A4D8-8FE7854E146B}"/>
    <cellStyle name="Normal 2 2 2 6 2 2 2 4" xfId="44921" xr:uid="{F5301606-CA98-4C94-8525-F579E529B91C}"/>
    <cellStyle name="Normal 2 2 2 6 2 2 3" xfId="44922" xr:uid="{DBF40DA8-9A27-4FED-8FAE-2811BF59FAE4}"/>
    <cellStyle name="Normal 2 2 2 6 2 2 3 2" xfId="44923" xr:uid="{135760AF-72BF-4CCD-96E1-72EE25786634}"/>
    <cellStyle name="Normal 2 2 2 6 2 2 3 2 2" xfId="44924" xr:uid="{DF55E2D8-0CCE-4E4A-B5DC-C2E17C26B500}"/>
    <cellStyle name="Normal 2 2 2 6 2 2 3 3" xfId="44925" xr:uid="{A13E5B3D-6AA7-45B0-ABF1-175ECF5FA065}"/>
    <cellStyle name="Normal 2 2 2 6 2 2 4" xfId="44926" xr:uid="{4238684C-E044-49FF-8115-C35B13E24A22}"/>
    <cellStyle name="Normal 2 2 2 6 2 2 4 2" xfId="44927" xr:uid="{1E267EFE-D20F-41C6-BEF4-1BFDEC09C532}"/>
    <cellStyle name="Normal 2 2 2 6 2 2 5" xfId="44928" xr:uid="{0CFA09C9-EE16-444E-B50F-E895D7FC52D0}"/>
    <cellStyle name="Normal 2 2 2 6 2 3" xfId="44929" xr:uid="{84D9C98A-D032-4FC0-8459-3598F1C90CDE}"/>
    <cellStyle name="Normal 2 2 2 6 2 3 2" xfId="44930" xr:uid="{A3378931-BB13-4DEE-B039-77C994458D50}"/>
    <cellStyle name="Normal 2 2 2 6 2 3 2 2" xfId="44931" xr:uid="{36310102-3D78-474C-9337-829A053BAC07}"/>
    <cellStyle name="Normal 2 2 2 6 2 3 2 2 2" xfId="44932" xr:uid="{6D351FAD-7F8C-4D4B-9DCA-AB5E092B010D}"/>
    <cellStyle name="Normal 2 2 2 6 2 3 2 3" xfId="44933" xr:uid="{083BA587-0A7D-47E9-A04E-917C74FF5B87}"/>
    <cellStyle name="Normal 2 2 2 6 2 3 3" xfId="44934" xr:uid="{1D8B0CEF-2783-4456-9EB6-2409B68080E3}"/>
    <cellStyle name="Normal 2 2 2 6 2 3 3 2" xfId="44935" xr:uid="{11CE88B9-6990-4E27-B861-8E3EB59338D5}"/>
    <cellStyle name="Normal 2 2 2 6 2 3 4" xfId="44936" xr:uid="{5F872462-C7A7-4AA8-9550-879AE682CC47}"/>
    <cellStyle name="Normal 2 2 2 6 2 4" xfId="44937" xr:uid="{E21FFCFB-1BAD-4611-AD56-560A814CAE48}"/>
    <cellStyle name="Normal 2 2 2 6 2 4 2" xfId="44938" xr:uid="{B5B498E2-7908-4471-8C03-1D6B7A4366D9}"/>
    <cellStyle name="Normal 2 2 2 6 2 4 2 2" xfId="44939" xr:uid="{3B241BB1-17F1-4BFE-A08A-3B0A6AAB73E3}"/>
    <cellStyle name="Normal 2 2 2 6 2 4 3" xfId="44940" xr:uid="{9ECEC52B-8A79-4432-8405-5E949D74BD7F}"/>
    <cellStyle name="Normal 2 2 2 6 2 5" xfId="44941" xr:uid="{76AB9F65-3FF9-4874-BAD6-EB39A93DACB9}"/>
    <cellStyle name="Normal 2 2 2 6 2 5 2" xfId="44942" xr:uid="{CBCF08A4-2E1B-45B5-A10A-1115884E48D8}"/>
    <cellStyle name="Normal 2 2 2 6 2 6" xfId="44943" xr:uid="{D2FCED63-2521-4BEC-8E0B-90DC264424D1}"/>
    <cellStyle name="Normal 2 2 2 6 3" xfId="44944" xr:uid="{8461E51D-3205-47DB-A7FB-A0A834BA924A}"/>
    <cellStyle name="Normal 2 2 2 6 3 2" xfId="44945" xr:uid="{EA83D15F-D20B-4DE0-8EA0-1636C2B25C6D}"/>
    <cellStyle name="Normal 2 2 2 6 3 2 2" xfId="44946" xr:uid="{5C5A4017-CF32-46A3-AE54-507ECA17F01A}"/>
    <cellStyle name="Normal 2 2 2 6 3 2 2 2" xfId="44947" xr:uid="{C82641F0-8627-4A87-96BE-7883B4B3751D}"/>
    <cellStyle name="Normal 2 2 2 6 3 2 2 2 2" xfId="44948" xr:uid="{BB2C9C2E-A22C-4FBF-8157-C59E8993DA42}"/>
    <cellStyle name="Normal 2 2 2 6 3 2 2 3" xfId="44949" xr:uid="{5A498E66-23E2-425A-A0A1-8AF0F2E16EC9}"/>
    <cellStyle name="Normal 2 2 2 6 3 2 3" xfId="44950" xr:uid="{DF4FDD63-A86C-43CE-9D8C-5C50C8F82767}"/>
    <cellStyle name="Normal 2 2 2 6 3 2 3 2" xfId="44951" xr:uid="{AF99B6EE-66EC-440C-969A-58411897F9D2}"/>
    <cellStyle name="Normal 2 2 2 6 3 2 4" xfId="44952" xr:uid="{056F29F7-0E63-40CA-8CA0-6465F9F4E8D9}"/>
    <cellStyle name="Normal 2 2 2 6 3 3" xfId="44953" xr:uid="{D9E600CD-B3FE-49F4-881D-023A99E25933}"/>
    <cellStyle name="Normal 2 2 2 6 3 3 2" xfId="44954" xr:uid="{B5143576-BA5F-4279-833E-0A362131C865}"/>
    <cellStyle name="Normal 2 2 2 6 3 3 2 2" xfId="44955" xr:uid="{77656D9B-8612-4086-A1E3-9385301835E2}"/>
    <cellStyle name="Normal 2 2 2 6 3 3 3" xfId="44956" xr:uid="{31676512-9CC6-48DC-ADD9-0EA7C416224F}"/>
    <cellStyle name="Normal 2 2 2 6 3 4" xfId="44957" xr:uid="{6EFF6267-0AC8-4F11-A4C0-F104F6CB0AD6}"/>
    <cellStyle name="Normal 2 2 2 6 3 4 2" xfId="44958" xr:uid="{7D037387-BC6C-454E-890C-BA86BEB24B18}"/>
    <cellStyle name="Normal 2 2 2 6 3 5" xfId="44959" xr:uid="{257630D3-79FA-4E9A-8D67-D1A02B91DD6C}"/>
    <cellStyle name="Normal 2 2 2 6 4" xfId="44960" xr:uid="{EA06CE54-1474-41FA-BA0E-93AF3704E17E}"/>
    <cellStyle name="Normal 2 2 2 6 4 2" xfId="44961" xr:uid="{4EC03519-CD6E-43EA-B15A-9CCFCC4C9558}"/>
    <cellStyle name="Normal 2 2 2 6 4 2 2" xfId="44962" xr:uid="{64AFB941-0DED-4C99-A95C-086AE843F524}"/>
    <cellStyle name="Normal 2 2 2 6 4 2 2 2" xfId="44963" xr:uid="{CE5A360B-4099-403A-8F27-923DDC656542}"/>
    <cellStyle name="Normal 2 2 2 6 4 2 3" xfId="44964" xr:uid="{3B4138F7-8BD1-475A-84EC-04AF301F12AA}"/>
    <cellStyle name="Normal 2 2 2 6 4 3" xfId="44965" xr:uid="{C57C6CC5-88A8-4C6C-BDF2-D9EA6DA375C7}"/>
    <cellStyle name="Normal 2 2 2 6 4 3 2" xfId="44966" xr:uid="{37A1B6EE-4F32-4B27-A4CA-C8BD9C71C5FA}"/>
    <cellStyle name="Normal 2 2 2 6 4 4" xfId="44967" xr:uid="{B9D85DC5-EE05-4E54-A7A1-7D97CED121C6}"/>
    <cellStyle name="Normal 2 2 2 6 5" xfId="44968" xr:uid="{817A4275-2E2C-4924-A9BE-63ADAEBABB01}"/>
    <cellStyle name="Normal 2 2 2 6 5 2" xfId="44969" xr:uid="{65D5961D-1E12-401A-986A-58A8FAE0027F}"/>
    <cellStyle name="Normal 2 2 2 6 5 2 2" xfId="44970" xr:uid="{31273767-EEB2-49CE-8D5A-C98F1FB56FC2}"/>
    <cellStyle name="Normal 2 2 2 6 5 3" xfId="44971" xr:uid="{B5A56444-EFD5-4B86-BFAA-115B2AD71B4E}"/>
    <cellStyle name="Normal 2 2 2 6 6" xfId="44972" xr:uid="{0FC958C4-CBB0-40AF-86F9-7784EB4F9C44}"/>
    <cellStyle name="Normal 2 2 2 6 6 2" xfId="44973" xr:uid="{9F3E62C7-B1A2-46A8-8FAA-A49652458008}"/>
    <cellStyle name="Normal 2 2 2 6 7" xfId="44974" xr:uid="{AC30E9BB-9F2A-4FC7-B106-C962DEB69DF2}"/>
    <cellStyle name="Normal 2 2 2 6 8" xfId="44911" xr:uid="{A66312FD-AE74-4C7E-8CDB-B9F727362E5D}"/>
    <cellStyle name="Normal 2 2 2 7" xfId="24112" xr:uid="{18C51C3A-EF04-4DA5-BEA5-12DF2B09533F}"/>
    <cellStyle name="Normal 2 2 2 7 2" xfId="44976" xr:uid="{30415BEE-7EF1-4667-AA7A-44766AFE7D85}"/>
    <cellStyle name="Normal 2 2 2 7 2 2" xfId="44977" xr:uid="{82B07E0D-A73F-46E5-B273-56B12D4B0ED9}"/>
    <cellStyle name="Normal 2 2 2 7 2 2 2" xfId="44978" xr:uid="{8A2431D8-666D-4516-9902-D0C3517C43E9}"/>
    <cellStyle name="Normal 2 2 2 7 2 2 2 2" xfId="44979" xr:uid="{87FF57D9-756A-457F-BB49-B8BCC80717D5}"/>
    <cellStyle name="Normal 2 2 2 7 2 2 2 2 2" xfId="44980" xr:uid="{BF76DA58-2AFE-460C-8F3D-E74CB30D5DA1}"/>
    <cellStyle name="Normal 2 2 2 7 2 2 2 2 2 2" xfId="44981" xr:uid="{634407BC-CCAE-433E-AB77-736086930330}"/>
    <cellStyle name="Normal 2 2 2 7 2 2 2 2 3" xfId="44982" xr:uid="{D0D13C14-B469-4C26-AC46-32AF707CC7C3}"/>
    <cellStyle name="Normal 2 2 2 7 2 2 2 3" xfId="44983" xr:uid="{25A51857-A572-4682-8963-66B38492AC38}"/>
    <cellStyle name="Normal 2 2 2 7 2 2 2 3 2" xfId="44984" xr:uid="{7FFC5B24-DF10-4625-92C0-486CF3F4E6E3}"/>
    <cellStyle name="Normal 2 2 2 7 2 2 2 4" xfId="44985" xr:uid="{D400FEF4-03BC-4248-A740-FAC90D67D52C}"/>
    <cellStyle name="Normal 2 2 2 7 2 2 3" xfId="44986" xr:uid="{41732CF4-BB84-4C38-AD47-DC3C040C87C6}"/>
    <cellStyle name="Normal 2 2 2 7 2 2 3 2" xfId="44987" xr:uid="{595C813D-1DEE-4603-B7C4-678B66E7342B}"/>
    <cellStyle name="Normal 2 2 2 7 2 2 3 2 2" xfId="44988" xr:uid="{B63C5DFB-C4C2-48CC-B9F7-25CD571BDC61}"/>
    <cellStyle name="Normal 2 2 2 7 2 2 3 3" xfId="44989" xr:uid="{140A679A-AF95-4E76-B1FF-6A2A62F84E8B}"/>
    <cellStyle name="Normal 2 2 2 7 2 2 4" xfId="44990" xr:uid="{1C3E8D67-FBE5-46F0-B6E2-AFEEFFAA2D67}"/>
    <cellStyle name="Normal 2 2 2 7 2 2 4 2" xfId="44991" xr:uid="{815885A3-9AE7-42F3-8635-89C711853705}"/>
    <cellStyle name="Normal 2 2 2 7 2 2 5" xfId="44992" xr:uid="{C39F9560-DDAF-4CBB-9C2F-36C23F1EC53F}"/>
    <cellStyle name="Normal 2 2 2 7 2 3" xfId="44993" xr:uid="{55A744E8-545C-462D-982F-7E7F2EE6B1BD}"/>
    <cellStyle name="Normal 2 2 2 7 2 3 2" xfId="44994" xr:uid="{B3CC8763-8384-4851-BB8C-74BF814BEDDB}"/>
    <cellStyle name="Normal 2 2 2 7 2 3 2 2" xfId="44995" xr:uid="{C289B45A-2737-4FCA-887D-795EFE30BBB1}"/>
    <cellStyle name="Normal 2 2 2 7 2 3 2 2 2" xfId="44996" xr:uid="{4B9E9440-F745-4B15-9D18-2AFCB4BC4170}"/>
    <cellStyle name="Normal 2 2 2 7 2 3 2 3" xfId="44997" xr:uid="{5FB8D9D6-99B8-4ED6-BD50-8C682FC826E9}"/>
    <cellStyle name="Normal 2 2 2 7 2 3 3" xfId="44998" xr:uid="{8F036C45-64BD-4B82-84DB-85BB5E46628D}"/>
    <cellStyle name="Normal 2 2 2 7 2 3 3 2" xfId="44999" xr:uid="{92B7B0F6-1AD4-43EE-94BE-C8FD1F722030}"/>
    <cellStyle name="Normal 2 2 2 7 2 3 4" xfId="45000" xr:uid="{69F87BBB-BAA5-4C05-845B-FCF108E0F991}"/>
    <cellStyle name="Normal 2 2 2 7 2 4" xfId="45001" xr:uid="{3735A1A4-D1AD-45EE-AA5B-5331EAE83611}"/>
    <cellStyle name="Normal 2 2 2 7 2 4 2" xfId="45002" xr:uid="{47E6EAA2-0384-45A7-AF25-886207FE82C9}"/>
    <cellStyle name="Normal 2 2 2 7 2 4 2 2" xfId="45003" xr:uid="{39F3FD4C-7C34-48E6-A5E6-3C178BAA1C79}"/>
    <cellStyle name="Normal 2 2 2 7 2 4 3" xfId="45004" xr:uid="{F9BB90FA-A3F4-41CF-92BA-E777CCEC22A3}"/>
    <cellStyle name="Normal 2 2 2 7 2 5" xfId="45005" xr:uid="{A87AFCF1-8FBB-4926-8D3F-E9168A6A02B0}"/>
    <cellStyle name="Normal 2 2 2 7 2 5 2" xfId="45006" xr:uid="{D0D40922-8A42-4084-8227-7D644C7BE48B}"/>
    <cellStyle name="Normal 2 2 2 7 2 6" xfId="45007" xr:uid="{F0CAF2D2-16C8-4D4F-A683-A0FF22A4863B}"/>
    <cellStyle name="Normal 2 2 2 7 3" xfId="45008" xr:uid="{5A1DF8FE-E43C-4A17-BF80-D3C67CB05E53}"/>
    <cellStyle name="Normal 2 2 2 7 3 2" xfId="45009" xr:uid="{943717B7-6131-41F0-97BB-C8CF36C13691}"/>
    <cellStyle name="Normal 2 2 2 7 3 2 2" xfId="45010" xr:uid="{F0C3803D-388E-40F7-98A7-19ED20A7BCCA}"/>
    <cellStyle name="Normal 2 2 2 7 3 2 2 2" xfId="45011" xr:uid="{1D28A542-0CA0-4B17-A4E6-C4AA8E7A6F38}"/>
    <cellStyle name="Normal 2 2 2 7 3 2 2 2 2" xfId="45012" xr:uid="{FCA4BE28-1BDD-4351-AFEF-7B16C515DACE}"/>
    <cellStyle name="Normal 2 2 2 7 3 2 2 3" xfId="45013" xr:uid="{4C347A1F-FCC4-4435-BE8E-926A41B2DCA3}"/>
    <cellStyle name="Normal 2 2 2 7 3 2 3" xfId="45014" xr:uid="{01D13C1C-3DB4-40AE-B71F-96AEEA1741A1}"/>
    <cellStyle name="Normal 2 2 2 7 3 2 3 2" xfId="45015" xr:uid="{1AF14491-24D5-4B56-AF9A-E0D85139AEBF}"/>
    <cellStyle name="Normal 2 2 2 7 3 2 4" xfId="45016" xr:uid="{816D692B-18D8-4FAD-9A6D-871ABF57D2AA}"/>
    <cellStyle name="Normal 2 2 2 7 3 3" xfId="45017" xr:uid="{FCEF145D-D859-4F30-BD00-F6A5AF8DF85E}"/>
    <cellStyle name="Normal 2 2 2 7 3 3 2" xfId="45018" xr:uid="{5B757EE1-6171-4567-B277-BEEF28D68403}"/>
    <cellStyle name="Normal 2 2 2 7 3 3 2 2" xfId="45019" xr:uid="{DABEB318-4051-483C-BACC-46EFCA2430DD}"/>
    <cellStyle name="Normal 2 2 2 7 3 3 3" xfId="45020" xr:uid="{F2A35FB6-59DC-40CD-BF3A-8332A9816D0E}"/>
    <cellStyle name="Normal 2 2 2 7 3 4" xfId="45021" xr:uid="{3062BB9B-A748-4EBA-A7AF-A8CFAD6141AB}"/>
    <cellStyle name="Normal 2 2 2 7 3 4 2" xfId="45022" xr:uid="{CE496DC4-79C1-42A0-B1A4-09D3E4E44C1A}"/>
    <cellStyle name="Normal 2 2 2 7 3 5" xfId="45023" xr:uid="{A48B5AD6-9908-425F-966A-D2E919810CE0}"/>
    <cellStyle name="Normal 2 2 2 7 4" xfId="45024" xr:uid="{3796A421-D92C-4303-B75D-E66670EFAD58}"/>
    <cellStyle name="Normal 2 2 2 7 4 2" xfId="45025" xr:uid="{CF8C8E62-CB95-4EE3-87B4-D21FAA4098F8}"/>
    <cellStyle name="Normal 2 2 2 7 4 2 2" xfId="45026" xr:uid="{FBDB7BA3-5E96-4DE3-898F-1F2608ED5E28}"/>
    <cellStyle name="Normal 2 2 2 7 4 2 2 2" xfId="45027" xr:uid="{94901F90-4CAA-4069-B50B-76530F0D6A6D}"/>
    <cellStyle name="Normal 2 2 2 7 4 2 3" xfId="45028" xr:uid="{9369D756-936E-4EDD-9007-B297B3792A82}"/>
    <cellStyle name="Normal 2 2 2 7 4 3" xfId="45029" xr:uid="{73220164-23C7-4BD6-A75F-EF93FB6D8C14}"/>
    <cellStyle name="Normal 2 2 2 7 4 3 2" xfId="45030" xr:uid="{CA43E0D4-A268-4A9E-B5A8-8BFA99BED576}"/>
    <cellStyle name="Normal 2 2 2 7 4 4" xfId="45031" xr:uid="{D08BF4A0-7E72-4CCA-BB97-1CECEE0A9E68}"/>
    <cellStyle name="Normal 2 2 2 7 5" xfId="45032" xr:uid="{ECB88545-5261-41BB-9DCD-8294BF2B7BD0}"/>
    <cellStyle name="Normal 2 2 2 7 5 2" xfId="45033" xr:uid="{3CD92AFE-B657-4BB9-93DC-1CC5A1CD1C8F}"/>
    <cellStyle name="Normal 2 2 2 7 5 2 2" xfId="45034" xr:uid="{446E0C0B-6BD7-46CD-8AB2-DB8A7A094F48}"/>
    <cellStyle name="Normal 2 2 2 7 5 3" xfId="45035" xr:uid="{6B29AB84-3924-485D-8B7D-9FB3985E9481}"/>
    <cellStyle name="Normal 2 2 2 7 6" xfId="45036" xr:uid="{F362FB98-741F-47A1-B7D0-2886C18EB285}"/>
    <cellStyle name="Normal 2 2 2 7 6 2" xfId="45037" xr:uid="{75CC67B5-CDEA-4A89-A487-4D2E59FE6BCA}"/>
    <cellStyle name="Normal 2 2 2 7 7" xfId="45038" xr:uid="{102F0DA8-7DC5-4616-B84B-CD13699EE18A}"/>
    <cellStyle name="Normal 2 2 2 7 8" xfId="44975" xr:uid="{D0D4573A-CF53-456F-A418-ED69FBE86E81}"/>
    <cellStyle name="Normal 2 2 2 8" xfId="24113" xr:uid="{EEB7DBAF-3E35-4040-8102-2C2D2762FC1D}"/>
    <cellStyle name="Normal 2 2 2 8 2" xfId="45040" xr:uid="{FEEAF13E-162F-4C12-8DA5-58C4DE00DED3}"/>
    <cellStyle name="Normal 2 2 2 8 2 2" xfId="45041" xr:uid="{64F3D93C-7924-4D9A-970D-229EF88F7380}"/>
    <cellStyle name="Normal 2 2 2 8 2 2 2" xfId="45042" xr:uid="{D4B8E66D-39AD-4169-ACF6-5BD76A223C6E}"/>
    <cellStyle name="Normal 2 2 2 8 2 2 2 2" xfId="45043" xr:uid="{1E1CDDD1-9771-4DE5-AFFA-61270E34284F}"/>
    <cellStyle name="Normal 2 2 2 8 2 2 2 2 2" xfId="45044" xr:uid="{3358CAF5-062F-40E5-873C-3E96BA1A7A8F}"/>
    <cellStyle name="Normal 2 2 2 8 2 2 2 2 2 2" xfId="45045" xr:uid="{AADD5417-EA38-498F-AC46-1A237DDAC927}"/>
    <cellStyle name="Normal 2 2 2 8 2 2 2 2 3" xfId="45046" xr:uid="{5A76BF1C-886F-4B47-A0D0-B960F8FDB791}"/>
    <cellStyle name="Normal 2 2 2 8 2 2 2 3" xfId="45047" xr:uid="{BAB7055A-3957-491B-A95A-3D465B32308B}"/>
    <cellStyle name="Normal 2 2 2 8 2 2 2 3 2" xfId="45048" xr:uid="{BDF6BB64-9AF6-4CB3-8DB5-24BE75C4B4E5}"/>
    <cellStyle name="Normal 2 2 2 8 2 2 2 4" xfId="45049" xr:uid="{D8224803-FAF9-48C4-9E58-EA498940184B}"/>
    <cellStyle name="Normal 2 2 2 8 2 2 3" xfId="45050" xr:uid="{C8B5B91A-9EC5-4EDD-8674-D8C75D8D4405}"/>
    <cellStyle name="Normal 2 2 2 8 2 2 3 2" xfId="45051" xr:uid="{700E0089-5CE5-49A4-B2F9-05A831921039}"/>
    <cellStyle name="Normal 2 2 2 8 2 2 3 2 2" xfId="45052" xr:uid="{CE83D684-6E1B-42A1-88D2-52E3FAFEE9B9}"/>
    <cellStyle name="Normal 2 2 2 8 2 2 3 3" xfId="45053" xr:uid="{03522A47-CA58-40AA-8C44-9DFE15D9D4D0}"/>
    <cellStyle name="Normal 2 2 2 8 2 2 4" xfId="45054" xr:uid="{7076EE1E-0041-4DE9-A28E-73CB23D99993}"/>
    <cellStyle name="Normal 2 2 2 8 2 2 4 2" xfId="45055" xr:uid="{EF91FC7D-49CB-40AE-A7C4-1634074BAA0D}"/>
    <cellStyle name="Normal 2 2 2 8 2 2 5" xfId="45056" xr:uid="{0DED281B-373A-4AE9-B0BB-22BFFF877D57}"/>
    <cellStyle name="Normal 2 2 2 8 2 3" xfId="45057" xr:uid="{29688777-37F5-4E43-9465-ACEFB81C2162}"/>
    <cellStyle name="Normal 2 2 2 8 2 3 2" xfId="45058" xr:uid="{0777B654-82E8-4D8C-B808-ABA92902072D}"/>
    <cellStyle name="Normal 2 2 2 8 2 3 2 2" xfId="45059" xr:uid="{CC905156-7741-409B-B516-C2F3BAACC430}"/>
    <cellStyle name="Normal 2 2 2 8 2 3 2 2 2" xfId="45060" xr:uid="{E094EF8F-9D74-43C7-B322-C53A8876DBA2}"/>
    <cellStyle name="Normal 2 2 2 8 2 3 2 3" xfId="45061" xr:uid="{1EDBB579-3030-47AF-B04D-792AE5A60D06}"/>
    <cellStyle name="Normal 2 2 2 8 2 3 3" xfId="45062" xr:uid="{5F840186-DEF5-4352-BBFB-E5CC1E0A6E30}"/>
    <cellStyle name="Normal 2 2 2 8 2 3 3 2" xfId="45063" xr:uid="{FFFF84CA-06A4-4334-8EA6-5C7233603C53}"/>
    <cellStyle name="Normal 2 2 2 8 2 3 4" xfId="45064" xr:uid="{4AF4FB94-5F34-4354-B458-85F3DD25F3D2}"/>
    <cellStyle name="Normal 2 2 2 8 2 4" xfId="45065" xr:uid="{8066C874-BBCF-449E-97DB-0EB20E7D08CB}"/>
    <cellStyle name="Normal 2 2 2 8 2 4 2" xfId="45066" xr:uid="{549EAAE7-22D9-4EC8-B61D-D3718621B172}"/>
    <cellStyle name="Normal 2 2 2 8 2 4 2 2" xfId="45067" xr:uid="{3872A952-305B-42ED-8AEA-14D9CFB4B69B}"/>
    <cellStyle name="Normal 2 2 2 8 2 4 3" xfId="45068" xr:uid="{C256DBB3-022B-4726-8D18-FA38392FCD0A}"/>
    <cellStyle name="Normal 2 2 2 8 2 5" xfId="45069" xr:uid="{E6E543F8-6DF3-4114-A493-4973F4020B47}"/>
    <cellStyle name="Normal 2 2 2 8 2 5 2" xfId="45070" xr:uid="{C52AF42D-3D83-4890-AD06-265731FB6E4D}"/>
    <cellStyle name="Normal 2 2 2 8 2 6" xfId="45071" xr:uid="{C3BA804E-35A8-4C68-8D8E-E22AE78C88FD}"/>
    <cellStyle name="Normal 2 2 2 8 3" xfId="45072" xr:uid="{088F1F40-FA81-40BE-A1C3-0F532E0CA5DC}"/>
    <cellStyle name="Normal 2 2 2 8 3 2" xfId="45073" xr:uid="{EC6EA699-D10A-472A-A4F1-B74C0C4D66A6}"/>
    <cellStyle name="Normal 2 2 2 8 3 2 2" xfId="45074" xr:uid="{1599A4F1-F196-4D36-A767-E98240DEC085}"/>
    <cellStyle name="Normal 2 2 2 8 3 2 2 2" xfId="45075" xr:uid="{62E786F5-73E5-4A32-9632-B78451FBC13C}"/>
    <cellStyle name="Normal 2 2 2 8 3 2 2 2 2" xfId="45076" xr:uid="{CBED34B4-05B9-4B74-8B17-739D78996223}"/>
    <cellStyle name="Normal 2 2 2 8 3 2 2 3" xfId="45077" xr:uid="{2B4B4C2C-7481-445B-966B-502B21BD5968}"/>
    <cellStyle name="Normal 2 2 2 8 3 2 3" xfId="45078" xr:uid="{CE4157A3-DF8E-486F-9024-48C88907FE55}"/>
    <cellStyle name="Normal 2 2 2 8 3 2 3 2" xfId="45079" xr:uid="{A8A67DAC-1D53-4840-98C1-C8D9081D3C05}"/>
    <cellStyle name="Normal 2 2 2 8 3 2 4" xfId="45080" xr:uid="{1DC0EE91-98CB-43BA-96DF-69B00030899B}"/>
    <cellStyle name="Normal 2 2 2 8 3 3" xfId="45081" xr:uid="{F9F6442B-9331-4553-829E-DCA5BFFAE425}"/>
    <cellStyle name="Normal 2 2 2 8 3 3 2" xfId="45082" xr:uid="{44541DF8-4615-4F09-A042-E2837BF38981}"/>
    <cellStyle name="Normal 2 2 2 8 3 3 2 2" xfId="45083" xr:uid="{4EC67F18-AEB8-4B7C-A74C-DF28FA9D1D6F}"/>
    <cellStyle name="Normal 2 2 2 8 3 3 3" xfId="45084" xr:uid="{8E59EDC3-4B65-4E94-95D6-8C01C9E906E5}"/>
    <cellStyle name="Normal 2 2 2 8 3 4" xfId="45085" xr:uid="{32880F10-580E-4BF0-B6C3-2151FF200DC1}"/>
    <cellStyle name="Normal 2 2 2 8 3 4 2" xfId="45086" xr:uid="{D7C1A720-18BB-4C53-9803-518C46657004}"/>
    <cellStyle name="Normal 2 2 2 8 3 5" xfId="45087" xr:uid="{6C9F807F-5377-423A-BB1C-0191AECF7AE1}"/>
    <cellStyle name="Normal 2 2 2 8 4" xfId="45088" xr:uid="{C899F997-9044-4102-B9C5-DF4BE1432C7A}"/>
    <cellStyle name="Normal 2 2 2 8 4 2" xfId="45089" xr:uid="{B558B5A2-33DB-4A41-9802-964CCCF354DE}"/>
    <cellStyle name="Normal 2 2 2 8 4 2 2" xfId="45090" xr:uid="{4306F1B0-80B9-45C4-A6B1-8779F1533A4B}"/>
    <cellStyle name="Normal 2 2 2 8 4 2 2 2" xfId="45091" xr:uid="{1EF6078E-32CB-4D80-8461-5A028E5B82DA}"/>
    <cellStyle name="Normal 2 2 2 8 4 2 3" xfId="45092" xr:uid="{254F3669-C291-4FFB-9C8D-31602B252804}"/>
    <cellStyle name="Normal 2 2 2 8 4 3" xfId="45093" xr:uid="{B26815BA-58C2-4CD9-9B84-205B65CA0D73}"/>
    <cellStyle name="Normal 2 2 2 8 4 3 2" xfId="45094" xr:uid="{8647577F-A3CD-408E-ABEC-3EC6CB8DEBCC}"/>
    <cellStyle name="Normal 2 2 2 8 4 4" xfId="45095" xr:uid="{2FF061E0-1599-4EBB-ACDC-2F7FC6FCED2E}"/>
    <cellStyle name="Normal 2 2 2 8 5" xfId="45096" xr:uid="{891C0019-63B8-4DAC-9BA8-650E1B49C57D}"/>
    <cellStyle name="Normal 2 2 2 8 5 2" xfId="45097" xr:uid="{F1DDBDE3-8ACF-4AC2-B59F-38E62BF6D86C}"/>
    <cellStyle name="Normal 2 2 2 8 5 2 2" xfId="45098" xr:uid="{231C1F1A-9EF3-42F4-AE51-826FD3FCF3C2}"/>
    <cellStyle name="Normal 2 2 2 8 5 3" xfId="45099" xr:uid="{28F9E8F6-CED5-43EB-A97D-0560447597D8}"/>
    <cellStyle name="Normal 2 2 2 8 6" xfId="45100" xr:uid="{3A62D360-959E-4680-9F5C-15755C914D0B}"/>
    <cellStyle name="Normal 2 2 2 8 6 2" xfId="45101" xr:uid="{B2643C45-F19B-4238-8514-FC1BDE336426}"/>
    <cellStyle name="Normal 2 2 2 8 7" xfId="45102" xr:uid="{B3756BAD-E466-4C25-8DE6-19E28921631F}"/>
    <cellStyle name="Normal 2 2 2 8 8" xfId="45039" xr:uid="{B285BA95-A105-40B3-B2B0-EA027DB08295}"/>
    <cellStyle name="Normal 2 2 2 9" xfId="24114" xr:uid="{5CBCC4D8-D69A-47DB-96D6-A44E9871C2BC}"/>
    <cellStyle name="Normal 2 2 2 9 2" xfId="45104" xr:uid="{30BA03EB-A3E0-4C6F-9007-4116273349DB}"/>
    <cellStyle name="Normal 2 2 2 9 2 2" xfId="45105" xr:uid="{301BDE4B-505A-47CA-B57B-5E0CE9FD64DC}"/>
    <cellStyle name="Normal 2 2 2 9 2 2 2" xfId="45106" xr:uid="{DF1DC387-2736-4309-A9E5-82B7E343863D}"/>
    <cellStyle name="Normal 2 2 2 9 2 2 2 2" xfId="45107" xr:uid="{76EECE41-D50C-4000-B88D-A14ABD78F175}"/>
    <cellStyle name="Normal 2 2 2 9 2 2 2 2 2" xfId="45108" xr:uid="{BF46C22E-ECE5-434F-B9AA-E88B65F8EA05}"/>
    <cellStyle name="Normal 2 2 2 9 2 2 2 2 2 2" xfId="45109" xr:uid="{4F5E6C94-078F-4082-8155-26B1175C51E0}"/>
    <cellStyle name="Normal 2 2 2 9 2 2 2 2 3" xfId="45110" xr:uid="{778A4F2A-D548-42E2-9D1A-1E761E3E451D}"/>
    <cellStyle name="Normal 2 2 2 9 2 2 2 3" xfId="45111" xr:uid="{7EFDB3D7-74F0-4789-ADFA-C855367AFD5D}"/>
    <cellStyle name="Normal 2 2 2 9 2 2 2 3 2" xfId="45112" xr:uid="{4B97CB3E-5C7A-4754-92B5-7CCF8FEF4A25}"/>
    <cellStyle name="Normal 2 2 2 9 2 2 2 4" xfId="45113" xr:uid="{66946B7F-04B2-44D1-848B-2DECA9F77D7E}"/>
    <cellStyle name="Normal 2 2 2 9 2 2 3" xfId="45114" xr:uid="{8DEBA62D-2F25-45A3-9709-0A096F158228}"/>
    <cellStyle name="Normal 2 2 2 9 2 2 3 2" xfId="45115" xr:uid="{0A03BA42-03E6-4E74-9C39-E40618633EE9}"/>
    <cellStyle name="Normal 2 2 2 9 2 2 3 2 2" xfId="45116" xr:uid="{AB0A4D1D-4753-41BE-AEDA-0D7761C3350A}"/>
    <cellStyle name="Normal 2 2 2 9 2 2 3 3" xfId="45117" xr:uid="{73DC1A8A-98C4-43D1-BC40-C28F5728F937}"/>
    <cellStyle name="Normal 2 2 2 9 2 2 4" xfId="45118" xr:uid="{8E114737-14BD-4ED2-8B12-3B3FED53F698}"/>
    <cellStyle name="Normal 2 2 2 9 2 2 4 2" xfId="45119" xr:uid="{D6DFC58F-29BA-4BEE-A650-B7390F9F3416}"/>
    <cellStyle name="Normal 2 2 2 9 2 2 5" xfId="45120" xr:uid="{27DA1F71-D37D-4800-A00B-5A377A5B7E49}"/>
    <cellStyle name="Normal 2 2 2 9 2 3" xfId="45121" xr:uid="{0702D483-02FF-4D4A-8BE5-77BDC8B5223B}"/>
    <cellStyle name="Normal 2 2 2 9 2 3 2" xfId="45122" xr:uid="{232A266E-DAFB-49B8-9F3A-173ABC53667A}"/>
    <cellStyle name="Normal 2 2 2 9 2 3 2 2" xfId="45123" xr:uid="{11A652EE-7E07-43D3-A1A5-48C5CB5E457B}"/>
    <cellStyle name="Normal 2 2 2 9 2 3 2 2 2" xfId="45124" xr:uid="{32C94881-F868-4E3C-AE11-F6C77F05BD2B}"/>
    <cellStyle name="Normal 2 2 2 9 2 3 2 3" xfId="45125" xr:uid="{CD24D137-A9E9-4C4C-A553-C6903C934D40}"/>
    <cellStyle name="Normal 2 2 2 9 2 3 3" xfId="45126" xr:uid="{E34725FF-C314-4FE9-B086-5DD436687716}"/>
    <cellStyle name="Normal 2 2 2 9 2 3 3 2" xfId="45127" xr:uid="{D994B855-9C5E-4C91-81FD-C60ECE9BB850}"/>
    <cellStyle name="Normal 2 2 2 9 2 3 4" xfId="45128" xr:uid="{6EA1DC47-F55C-4963-A894-D8F36D8DE8CE}"/>
    <cellStyle name="Normal 2 2 2 9 2 4" xfId="45129" xr:uid="{8A7B4E9E-8AAE-41E0-A9AE-00EAD9EC14FD}"/>
    <cellStyle name="Normal 2 2 2 9 2 4 2" xfId="45130" xr:uid="{FECA372B-54FA-4340-8898-4C897E1C8816}"/>
    <cellStyle name="Normal 2 2 2 9 2 4 2 2" xfId="45131" xr:uid="{6CB38E05-DF0D-48D1-BAEC-E04D487A277F}"/>
    <cellStyle name="Normal 2 2 2 9 2 4 3" xfId="45132" xr:uid="{5879D9B0-B3F4-4D8B-BD16-7E71F09CE038}"/>
    <cellStyle name="Normal 2 2 2 9 2 5" xfId="45133" xr:uid="{A82EC518-8953-4281-B9D4-BFA8373C35F6}"/>
    <cellStyle name="Normal 2 2 2 9 2 5 2" xfId="45134" xr:uid="{971C805C-51F6-4DAB-9BC7-5867D170D44E}"/>
    <cellStyle name="Normal 2 2 2 9 2 6" xfId="45135" xr:uid="{ED8CF3CD-2EDF-41EA-B2AC-4A36B96EA4F9}"/>
    <cellStyle name="Normal 2 2 2 9 3" xfId="45136" xr:uid="{B7452EC6-48D9-4680-A2DE-94FD0FC36BF3}"/>
    <cellStyle name="Normal 2 2 2 9 3 2" xfId="45137" xr:uid="{C35FEA56-73C1-45AB-BA56-631730FEE0E0}"/>
    <cellStyle name="Normal 2 2 2 9 3 2 2" xfId="45138" xr:uid="{9F5E78BD-234F-4D27-B70A-042B6DEC783B}"/>
    <cellStyle name="Normal 2 2 2 9 3 2 2 2" xfId="45139" xr:uid="{6BBB88EB-F0B5-4A65-BFA2-A338E2DCF19D}"/>
    <cellStyle name="Normal 2 2 2 9 3 2 2 2 2" xfId="45140" xr:uid="{1180277C-4767-405F-BAA2-A6BA705AB5EC}"/>
    <cellStyle name="Normal 2 2 2 9 3 2 2 3" xfId="45141" xr:uid="{98608525-F6CE-434C-9428-2D96DF1E7DCD}"/>
    <cellStyle name="Normal 2 2 2 9 3 2 3" xfId="45142" xr:uid="{12C5E1B5-EC62-49C9-B40C-158ADA035549}"/>
    <cellStyle name="Normal 2 2 2 9 3 2 3 2" xfId="45143" xr:uid="{99B50729-E96E-4797-912F-9C22AC99686F}"/>
    <cellStyle name="Normal 2 2 2 9 3 2 4" xfId="45144" xr:uid="{FA71A3B1-4D45-4B44-B8DD-92640DF64046}"/>
    <cellStyle name="Normal 2 2 2 9 3 3" xfId="45145" xr:uid="{CF507183-6B75-4A91-ABD0-C06C94140779}"/>
    <cellStyle name="Normal 2 2 2 9 3 3 2" xfId="45146" xr:uid="{6002292E-8AED-4444-9D2D-EE93AFF3E358}"/>
    <cellStyle name="Normal 2 2 2 9 3 3 2 2" xfId="45147" xr:uid="{D7010BB5-9A84-471D-B01F-2744166F1FA4}"/>
    <cellStyle name="Normal 2 2 2 9 3 3 3" xfId="45148" xr:uid="{764EF59B-5B95-4075-8AD2-1E626F583749}"/>
    <cellStyle name="Normal 2 2 2 9 3 4" xfId="45149" xr:uid="{B83B7C7F-EE7E-4DD8-823E-7C680C10AD13}"/>
    <cellStyle name="Normal 2 2 2 9 3 4 2" xfId="45150" xr:uid="{0CF2A57B-73DC-4CCC-8D43-9E959B241568}"/>
    <cellStyle name="Normal 2 2 2 9 3 5" xfId="45151" xr:uid="{1B6DD6F3-37F1-4AE5-8B72-84D943757BA1}"/>
    <cellStyle name="Normal 2 2 2 9 4" xfId="45152" xr:uid="{0F868849-59C2-4276-B082-8A15CB92E04C}"/>
    <cellStyle name="Normal 2 2 2 9 4 2" xfId="45153" xr:uid="{F4527CF7-0A11-4DC2-9F84-E988C8ACC2AB}"/>
    <cellStyle name="Normal 2 2 2 9 4 2 2" xfId="45154" xr:uid="{C4CFECBE-21C5-4D43-AB29-19B4C7440017}"/>
    <cellStyle name="Normal 2 2 2 9 4 2 2 2" xfId="45155" xr:uid="{EA7A5FC4-C884-4A2B-853B-C4D656E31156}"/>
    <cellStyle name="Normal 2 2 2 9 4 2 3" xfId="45156" xr:uid="{8F08DD66-9000-46F9-984F-474C07AB219F}"/>
    <cellStyle name="Normal 2 2 2 9 4 3" xfId="45157" xr:uid="{C0D60B82-C06A-4A1F-A539-0987D59037DE}"/>
    <cellStyle name="Normal 2 2 2 9 4 3 2" xfId="45158" xr:uid="{170ADE47-6334-4E15-9018-110A7674EE77}"/>
    <cellStyle name="Normal 2 2 2 9 4 4" xfId="45159" xr:uid="{C25DBC1D-247C-475B-8139-C9F6FE954487}"/>
    <cellStyle name="Normal 2 2 2 9 5" xfId="45160" xr:uid="{0E4EA469-DFCA-49C1-9F3A-0C559AE13439}"/>
    <cellStyle name="Normal 2 2 2 9 5 2" xfId="45161" xr:uid="{B8CC5324-13F3-46B7-A5AF-0BA4A17601D8}"/>
    <cellStyle name="Normal 2 2 2 9 5 2 2" xfId="45162" xr:uid="{5FEC09EE-9631-4742-BED0-2B9D566F5DFE}"/>
    <cellStyle name="Normal 2 2 2 9 5 3" xfId="45163" xr:uid="{A12696D1-7669-410A-BA71-608829790104}"/>
    <cellStyle name="Normal 2 2 2 9 6" xfId="45164" xr:uid="{32F8BE55-3766-4266-9356-DC2655FFA925}"/>
    <cellStyle name="Normal 2 2 2 9 6 2" xfId="45165" xr:uid="{A2944B5E-FDD0-4D51-98B4-0102197F3EEB}"/>
    <cellStyle name="Normal 2 2 2 9 7" xfId="45166" xr:uid="{0CDAD77A-13C1-4FD3-A8D1-33DBBB9C5516}"/>
    <cellStyle name="Normal 2 2 2 9 8" xfId="45103" xr:uid="{CDC713FC-CEF0-41CE-B785-BBB700D2419D}"/>
    <cellStyle name="Normal 2 2 20" xfId="24115" xr:uid="{F093E798-43EA-4400-8558-917F65B35847}"/>
    <cellStyle name="Normal 2 2 21" xfId="24116" xr:uid="{641381B4-79DA-4599-85DF-D1CC6085A196}"/>
    <cellStyle name="Normal 2 2 22" xfId="24117" xr:uid="{CBB4CEEE-33C0-4D09-9711-77103717E86D}"/>
    <cellStyle name="Normal 2 2 23" xfId="24118" xr:uid="{81D0A4ED-E2E6-4E8E-B67C-6B9E26001F18}"/>
    <cellStyle name="Normal 2 2 24" xfId="24119" xr:uid="{C7E96FAC-4CFC-4C09-88F8-50C077531A7F}"/>
    <cellStyle name="Normal 2 2 25" xfId="24120" xr:uid="{79A3A0C8-A077-4EC7-9638-F8242B5FDA68}"/>
    <cellStyle name="Normal 2 2 26" xfId="24121" xr:uid="{CF0174B5-2677-4881-BD82-6F5E1DB4B8FC}"/>
    <cellStyle name="Normal 2 2 27" xfId="24122" xr:uid="{76345AEF-87D5-4FF9-B940-E5115D32E44D}"/>
    <cellStyle name="Normal 2 2 28" xfId="24123" xr:uid="{2AD647E8-3397-45EA-A5AB-DF03722376BF}"/>
    <cellStyle name="Normal 2 2 29" xfId="24124" xr:uid="{DCF840C1-16D0-4A5A-AE4B-618C384A394A}"/>
    <cellStyle name="Normal 2 2 3" xfId="237" xr:uid="{C3266811-FD11-4037-B1D1-0ECECCCFDFD8}"/>
    <cellStyle name="Normal 2 2 3 10" xfId="24125" xr:uid="{33378691-BDD2-400E-8108-BE2D086D7EA1}"/>
    <cellStyle name="Normal 2 2 3 11" xfId="24126" xr:uid="{C007A8C7-8FCA-4BA9-98D8-097DE5B46624}"/>
    <cellStyle name="Normal 2 2 3 12" xfId="44461" xr:uid="{04D5B012-44DE-4B12-8930-74A9F3AF69CB}"/>
    <cellStyle name="Normal 2 2 3 2" xfId="24127" xr:uid="{99CE87EA-2021-46E2-81A4-203EF4F6619A}"/>
    <cellStyle name="Normal 2 2 3 3" xfId="24128" xr:uid="{9E14C919-C895-4F42-B6A6-CDCD96C9D225}"/>
    <cellStyle name="Normal 2 2 3 4" xfId="24129" xr:uid="{25BBA242-B63B-4C7C-8914-F09BBA9458D5}"/>
    <cellStyle name="Normal 2 2 3 5" xfId="24130" xr:uid="{0627E506-C91F-4539-96AC-28477E59A86E}"/>
    <cellStyle name="Normal 2 2 3 6" xfId="24131" xr:uid="{09DABFF2-4C58-491E-95E6-FC8E3F6CD757}"/>
    <cellStyle name="Normal 2 2 3 7" xfId="24132" xr:uid="{B5788A8F-A9ED-4EF1-B989-4994C1CBC879}"/>
    <cellStyle name="Normal 2 2 3 8" xfId="24133" xr:uid="{16A5AE85-F60D-481E-9E91-EA1650283090}"/>
    <cellStyle name="Normal 2 2 3 9" xfId="24134" xr:uid="{F3BD6161-4993-4251-B105-0B59D0AF61FC}"/>
    <cellStyle name="Normal 2 2 30" xfId="43543" xr:uid="{635EC78A-E981-4023-8697-E2430736737A}"/>
    <cellStyle name="Normal 2 2 4" xfId="238" xr:uid="{03E4CEA1-AB0D-4EC2-A4C7-EB91B087395D}"/>
    <cellStyle name="Normal 2 2 4 10" xfId="24135" xr:uid="{35E116F8-4D86-47B0-A807-DD5313A65351}"/>
    <cellStyle name="Normal 2 2 4 10 2" xfId="24136" xr:uid="{FCBFDC97-6251-4A30-8305-7B8A41170AED}"/>
    <cellStyle name="Normal 2 2 4 10 3" xfId="24137" xr:uid="{C07CCFB1-507A-46B7-B257-273ACD01E703}"/>
    <cellStyle name="Normal 2 2 4 10 4" xfId="24138" xr:uid="{CC4F8574-DFB7-4D9C-8B97-D44E5B44374A}"/>
    <cellStyle name="Normal 2 2 4 10 5" xfId="24139" xr:uid="{33DD1C75-492C-47A8-83BB-3DEE8D611C32}"/>
    <cellStyle name="Normal 2 2 4 11" xfId="24140" xr:uid="{B81DB551-A25F-4E72-A74F-59DA2BEC3EF2}"/>
    <cellStyle name="Normal 2 2 4 11 2" xfId="24141" xr:uid="{320562FD-7B46-4744-8C24-010478DA851F}"/>
    <cellStyle name="Normal 2 2 4 11 3" xfId="24142" xr:uid="{EBC33197-8D7F-4432-A02E-3EF7D829216D}"/>
    <cellStyle name="Normal 2 2 4 11 4" xfId="24143" xr:uid="{F8AD5269-D42C-4D69-95F2-D5A02BAC69F1}"/>
    <cellStyle name="Normal 2 2 4 11 5" xfId="24144" xr:uid="{713058E7-8994-43D0-A145-292EE7EF3EFD}"/>
    <cellStyle name="Normal 2 2 4 12" xfId="24145" xr:uid="{D6755D0B-EDB8-4D47-92C8-12555A772A25}"/>
    <cellStyle name="Normal 2 2 4 12 2" xfId="24146" xr:uid="{576C2522-F2F1-43F6-B211-81EF00128D1E}"/>
    <cellStyle name="Normal 2 2 4 12 3" xfId="24147" xr:uid="{FA6E384E-39B8-4D73-863B-2CD93F81D206}"/>
    <cellStyle name="Normal 2 2 4 12 4" xfId="24148" xr:uid="{CDEB98BF-DF85-4BA2-8B29-EE12FDAE0BDC}"/>
    <cellStyle name="Normal 2 2 4 12 5" xfId="24149" xr:uid="{33B60A18-74C4-4D88-AA23-5AEB8C67E57E}"/>
    <cellStyle name="Normal 2 2 4 13" xfId="24150" xr:uid="{923BC763-EF48-45CF-9A4F-79A951F805F7}"/>
    <cellStyle name="Normal 2 2 4 14" xfId="24151" xr:uid="{543F0334-80A1-4B5C-AE5C-B887EAB2C2A6}"/>
    <cellStyle name="Normal 2 2 4 15" xfId="24152" xr:uid="{628AE0B9-4915-47E4-ABB1-9F467EA5E1D7}"/>
    <cellStyle name="Normal 2 2 4 16" xfId="24153" xr:uid="{2A81887A-A530-4889-A0F5-85622E111672}"/>
    <cellStyle name="Normal 2 2 4 2" xfId="24154" xr:uid="{6DD4DD10-2B55-4DEA-95B8-BA2C85F56499}"/>
    <cellStyle name="Normal 2 2 4 2 10" xfId="24155" xr:uid="{B902902B-F23F-400D-96AE-9FB03063AE9A}"/>
    <cellStyle name="Normal 2 2 4 2 11" xfId="24156" xr:uid="{6B832D93-53AF-4724-9AD9-88892637A51A}"/>
    <cellStyle name="Normal 2 2 4 2 12" xfId="24157" xr:uid="{5823FF62-8016-4F73-BFAF-B8A94B84FB38}"/>
    <cellStyle name="Normal 2 2 4 2 12 2" xfId="24158" xr:uid="{31270EA5-9257-4E89-B7AA-C55D7FF30F42}"/>
    <cellStyle name="Normal 2 2 4 2 12 3" xfId="24159" xr:uid="{2DA318EA-FB0C-4AA5-AD67-59EF9E9171E8}"/>
    <cellStyle name="Normal 2 2 4 2 12 4" xfId="24160" xr:uid="{F57E6843-B20B-4275-B29D-7ED9FB4471BA}"/>
    <cellStyle name="Normal 2 2 4 2 12 5" xfId="24161" xr:uid="{E798ECCF-4858-4398-9B98-5CE9D3E1A787}"/>
    <cellStyle name="Normal 2 2 4 2 13" xfId="24162" xr:uid="{9EACDFEE-602C-4314-9B93-7DB76539EA37}"/>
    <cellStyle name="Normal 2 2 4 2 14" xfId="24163" xr:uid="{706315F5-4797-470D-8520-4E9DC0363598}"/>
    <cellStyle name="Normal 2 2 4 2 15" xfId="24164" xr:uid="{9C601270-3479-41D1-B74A-78F0F95E1497}"/>
    <cellStyle name="Normal 2 2 4 2 16" xfId="24165" xr:uid="{0D8C1728-49D6-437C-9327-0D215581BEBE}"/>
    <cellStyle name="Normal 2 2 4 2 17" xfId="24166" xr:uid="{79678A9E-5C84-4651-9326-FE62748E67FD}"/>
    <cellStyle name="Normal 2 2 4 2 18" xfId="24167" xr:uid="{3EE8D298-4C97-4649-B503-62491EE2B94D}"/>
    <cellStyle name="Normal 2 2 4 2 19" xfId="24168" xr:uid="{4A39EFDD-1701-4B11-9FBF-3570FD730D44}"/>
    <cellStyle name="Normal 2 2 4 2 2" xfId="24169" xr:uid="{DBD6BF59-AE5D-4249-9330-021929286049}"/>
    <cellStyle name="Normal 2 2 4 2 2 10" xfId="24170" xr:uid="{A24EE172-0F5F-47EE-B3A5-567B5A5AA9E5}"/>
    <cellStyle name="Normal 2 2 4 2 2 11" xfId="24171" xr:uid="{551AE9E6-D1F4-42BF-B626-480DEEAF5B8C}"/>
    <cellStyle name="Normal 2 2 4 2 2 12" xfId="24172" xr:uid="{F6531006-89E6-4C6A-87CB-18C8CA8EDFD9}"/>
    <cellStyle name="Normal 2 2 4 2 2 2" xfId="24173" xr:uid="{3A5CD4F5-4098-44B7-9750-DBD0DD9A989A}"/>
    <cellStyle name="Normal 2 2 4 2 2 2 10" xfId="24174" xr:uid="{0B890744-7067-4BB9-9C7B-F229FE7FC66E}"/>
    <cellStyle name="Normal 2 2 4 2 2 2 11" xfId="24175" xr:uid="{23FBD4AA-B489-440C-9E1E-FF79EDF23438}"/>
    <cellStyle name="Normal 2 2 4 2 2 2 12" xfId="24176" xr:uid="{4BC72FC2-8348-4372-85AE-229F2124A484}"/>
    <cellStyle name="Normal 2 2 4 2 2 2 13" xfId="24177" xr:uid="{3FB69C0C-CEC7-4073-90EE-68A4D6C003D0}"/>
    <cellStyle name="Normal 2 2 4 2 2 2 2" xfId="24178" xr:uid="{AEE3716C-5322-4194-AABE-63893ECBC78E}"/>
    <cellStyle name="Normal 2 2 4 2 2 2 2 10" xfId="24179" xr:uid="{11EBDA77-BE2C-4E44-84E1-8E92E554A6F6}"/>
    <cellStyle name="Normal 2 2 4 2 2 2 2 11" xfId="24180" xr:uid="{4521AE3B-07D5-4924-A647-BD6A3140837D}"/>
    <cellStyle name="Normal 2 2 4 2 2 2 2 2" xfId="24181" xr:uid="{AAC2B1CC-6D4C-4E7F-A128-BF1FF106D728}"/>
    <cellStyle name="Normal 2 2 4 2 2 2 2 2 10" xfId="24182" xr:uid="{FC6E9DF7-1F03-4CAF-B698-95E9B4A4CE59}"/>
    <cellStyle name="Normal 2 2 4 2 2 2 2 2 11" xfId="24183" xr:uid="{9A6514E5-4CE8-4FC5-9AB9-80C4D79F83B5}"/>
    <cellStyle name="Normal 2 2 4 2 2 2 2 2 12" xfId="24184" xr:uid="{828E0D53-AD3B-471C-B262-485EE9C31048}"/>
    <cellStyle name="Normal 2 2 4 2 2 2 2 2 2" xfId="24185" xr:uid="{566965FA-88C1-49F0-B611-EB286B542DDF}"/>
    <cellStyle name="Normal 2 2 4 2 2 2 2 2 2 2" xfId="24186" xr:uid="{C35BB9D7-16C5-410A-932B-60B4AC9B9292}"/>
    <cellStyle name="Normal 2 2 4 2 2 2 2 2 2 2 2" xfId="24187" xr:uid="{5D2127FE-5A35-492B-88D8-7DB70FB6B75C}"/>
    <cellStyle name="Normal 2 2 4 2 2 2 2 2 2 2 3" xfId="24188" xr:uid="{25BC3702-0A0B-47B6-B8D9-912D7CB601DC}"/>
    <cellStyle name="Normal 2 2 4 2 2 2 2 2 2 2 4" xfId="24189" xr:uid="{9BEED468-A05A-45A9-BD2B-FEBC29DC5116}"/>
    <cellStyle name="Normal 2 2 4 2 2 2 2 2 2 2 5" xfId="24190" xr:uid="{B6497B63-49B6-42B4-853D-417F5A9510F1}"/>
    <cellStyle name="Normal 2 2 4 2 2 2 2 2 2 3" xfId="24191" xr:uid="{0B6C1B51-0CDD-4259-9525-D8C591239424}"/>
    <cellStyle name="Normal 2 2 4 2 2 2 2 2 2 4" xfId="24192" xr:uid="{FB94535C-280E-4018-A9C3-63F177262FA4}"/>
    <cellStyle name="Normal 2 2 4 2 2 2 2 2 2 5" xfId="24193" xr:uid="{74B29F89-3CEA-45DD-AA4A-5F01D9A1B757}"/>
    <cellStyle name="Normal 2 2 4 2 2 2 2 2 3" xfId="24194" xr:uid="{88A684DF-AD67-42EE-94A6-093668D11E42}"/>
    <cellStyle name="Normal 2 2 4 2 2 2 2 2 4" xfId="24195" xr:uid="{3100F5F8-B3B2-436D-AE94-9E7F98D3A43C}"/>
    <cellStyle name="Normal 2 2 4 2 2 2 2 2 5" xfId="24196" xr:uid="{997C13FA-36E0-452F-9F24-104AF8E43914}"/>
    <cellStyle name="Normal 2 2 4 2 2 2 2 2 5 2" xfId="24197" xr:uid="{9B9165FF-3681-4E7B-A247-E0CBD86D9B19}"/>
    <cellStyle name="Normal 2 2 4 2 2 2 2 2 5 3" xfId="24198" xr:uid="{26201DB6-4FFE-4AC3-B148-3E3BE7508130}"/>
    <cellStyle name="Normal 2 2 4 2 2 2 2 2 5 4" xfId="24199" xr:uid="{B96B95F4-91AA-4B5B-8588-C87F9EBCB323}"/>
    <cellStyle name="Normal 2 2 4 2 2 2 2 2 5 5" xfId="24200" xr:uid="{AF6A63D1-9FAC-49A6-B73D-34B1CF590311}"/>
    <cellStyle name="Normal 2 2 4 2 2 2 2 2 6" xfId="24201" xr:uid="{A5D29B7C-7573-4240-8DC2-C0F61F043FBE}"/>
    <cellStyle name="Normal 2 2 4 2 2 2 2 2 7" xfId="24202" xr:uid="{3D1AF05F-0034-443E-95F0-781C83674EA4}"/>
    <cellStyle name="Normal 2 2 4 2 2 2 2 2 8" xfId="24203" xr:uid="{581663DC-F4FE-4736-83F6-15A1F0E600D7}"/>
    <cellStyle name="Normal 2 2 4 2 2 2 2 2 9" xfId="24204" xr:uid="{FA52A464-BF5B-4CD6-B3D6-B7B9D275656A}"/>
    <cellStyle name="Normal 2 2 4 2 2 2 2 3" xfId="24205" xr:uid="{477E6455-0ADE-4983-976E-8B2253152870}"/>
    <cellStyle name="Normal 2 2 4 2 2 2 2 3 2" xfId="24206" xr:uid="{3FA9CC7C-C31A-4710-A8A8-D8A4456B826E}"/>
    <cellStyle name="Normal 2 2 4 2 2 2 2 3 2 2" xfId="24207" xr:uid="{EC08086D-5D4D-4186-9D2D-332E856116D7}"/>
    <cellStyle name="Normal 2 2 4 2 2 2 2 3 2 3" xfId="24208" xr:uid="{CF3F38E9-0781-4034-91FA-4E05D4575E9D}"/>
    <cellStyle name="Normal 2 2 4 2 2 2 2 3 2 4" xfId="24209" xr:uid="{3556880F-FF23-46BD-9894-F53C739D5FC1}"/>
    <cellStyle name="Normal 2 2 4 2 2 2 2 3 2 5" xfId="24210" xr:uid="{67566B9E-7453-45E8-86BE-110CC98C0F28}"/>
    <cellStyle name="Normal 2 2 4 2 2 2 2 3 3" xfId="24211" xr:uid="{6FFBE56B-9F6F-45DE-9E22-596977F28546}"/>
    <cellStyle name="Normal 2 2 4 2 2 2 2 3 4" xfId="24212" xr:uid="{3A888DEB-38A6-4703-8C1C-098B258AAD85}"/>
    <cellStyle name="Normal 2 2 4 2 2 2 2 3 5" xfId="24213" xr:uid="{5A1EAD92-E0CF-4A20-A113-C0BC79DB2432}"/>
    <cellStyle name="Normal 2 2 4 2 2 2 2 3 6" xfId="24214" xr:uid="{7D0E9A9F-1654-477D-954D-5603799E7187}"/>
    <cellStyle name="Normal 2 2 4 2 2 2 2 4" xfId="24215" xr:uid="{8F0AA3C9-24FF-449B-B922-DE13AFD6A5B0}"/>
    <cellStyle name="Normal 2 2 4 2 2 2 2 4 2" xfId="24216" xr:uid="{73F82EF7-DF8B-4CE2-AC9A-DC1702861DE0}"/>
    <cellStyle name="Normal 2 2 4 2 2 2 2 4 2 2" xfId="24217" xr:uid="{EB6B16D1-1DE0-47D6-89BD-9D1520490299}"/>
    <cellStyle name="Normal 2 2 4 2 2 2 2 4 2 3" xfId="24218" xr:uid="{AE24A4E7-E086-4ED0-B940-F99AAC6B9ED4}"/>
    <cellStyle name="Normal 2 2 4 2 2 2 2 4 2 4" xfId="24219" xr:uid="{58D91A7E-A75A-4F5B-9D71-609EAA1AF8BC}"/>
    <cellStyle name="Normal 2 2 4 2 2 2 2 4 2 5" xfId="24220" xr:uid="{64D939FA-1C97-4953-A4A1-DDB00268DB5C}"/>
    <cellStyle name="Normal 2 2 4 2 2 2 2 4 3" xfId="24221" xr:uid="{07C34695-A6B1-4EA2-869D-61287CF323EB}"/>
    <cellStyle name="Normal 2 2 4 2 2 2 2 4 4" xfId="24222" xr:uid="{6EBB047A-28ED-42F1-BDD4-C25ED29297DA}"/>
    <cellStyle name="Normal 2 2 4 2 2 2 2 4 5" xfId="24223" xr:uid="{F7B58E07-351D-4A0B-BAD2-12FDCE5B034E}"/>
    <cellStyle name="Normal 2 2 4 2 2 2 2 4 6" xfId="24224" xr:uid="{99CCFCCB-ED6F-4E28-B901-FD441A2656B1}"/>
    <cellStyle name="Normal 2 2 4 2 2 2 2 5" xfId="24225" xr:uid="{4A54E8DB-B2A6-480B-8CCB-A980EF7DADB7}"/>
    <cellStyle name="Normal 2 2 4 2 2 2 2 5 2" xfId="24226" xr:uid="{E43705CD-4C27-40FA-84CF-DC6EA1A67BB9}"/>
    <cellStyle name="Normal 2 2 4 2 2 2 2 5 3" xfId="24227" xr:uid="{73C41256-8E29-4D88-BE4C-229CD786FD94}"/>
    <cellStyle name="Normal 2 2 4 2 2 2 2 5 4" xfId="24228" xr:uid="{C1E76B9B-64B3-40AE-85AC-9D40FEEDB94F}"/>
    <cellStyle name="Normal 2 2 4 2 2 2 2 5 5" xfId="24229" xr:uid="{397E4939-64D1-4175-A49F-7787E8CCE1CE}"/>
    <cellStyle name="Normal 2 2 4 2 2 2 2 6" xfId="24230" xr:uid="{FF03C127-062B-4D39-8B97-92BF2C32A074}"/>
    <cellStyle name="Normal 2 2 4 2 2 2 2 6 2" xfId="24231" xr:uid="{0610F49E-ED01-4226-9DC1-176C17CCED8E}"/>
    <cellStyle name="Normal 2 2 4 2 2 2 2 6 3" xfId="24232" xr:uid="{104CE081-16DB-4C3E-9C2A-2D0188E82CE1}"/>
    <cellStyle name="Normal 2 2 4 2 2 2 2 6 4" xfId="24233" xr:uid="{5BA3AA8A-C387-467D-BED0-62A53CF5BCB1}"/>
    <cellStyle name="Normal 2 2 4 2 2 2 2 6 5" xfId="24234" xr:uid="{470C1068-E09A-4EEE-B328-839B88FC1098}"/>
    <cellStyle name="Normal 2 2 4 2 2 2 2 7" xfId="24235" xr:uid="{BE442AFA-52E1-4B0E-8F02-26B7348242A5}"/>
    <cellStyle name="Normal 2 2 4 2 2 2 2 7 2" xfId="24236" xr:uid="{3657A547-7A7C-4E7D-A1BA-2F882B2FB494}"/>
    <cellStyle name="Normal 2 2 4 2 2 2 2 7 3" xfId="24237" xr:uid="{8743D3C5-A5D2-4E1C-8933-C855D3E96DC3}"/>
    <cellStyle name="Normal 2 2 4 2 2 2 2 7 4" xfId="24238" xr:uid="{33EC9257-A01A-4E54-993E-8EE4FEDED030}"/>
    <cellStyle name="Normal 2 2 4 2 2 2 2 7 5" xfId="24239" xr:uid="{07AE7E0C-F8B7-4106-9F66-82416DA57061}"/>
    <cellStyle name="Normal 2 2 4 2 2 2 2 8" xfId="24240" xr:uid="{508CD742-B936-4B2C-8658-BFC9D0A0B91C}"/>
    <cellStyle name="Normal 2 2 4 2 2 2 2 9" xfId="24241" xr:uid="{7489B6E4-5FE4-4E33-BF0B-912D2CAED273}"/>
    <cellStyle name="Normal 2 2 4 2 2 2 3" xfId="24242" xr:uid="{4079B680-C746-4931-909F-D78DEBD4E2B9}"/>
    <cellStyle name="Normal 2 2 4 2 2 2 3 2" xfId="24243" xr:uid="{C222CE7E-4C98-436B-9FF6-B42ED6492C42}"/>
    <cellStyle name="Normal 2 2 4 2 2 2 3 2 2" xfId="24244" xr:uid="{4DA9AF30-A659-4631-9715-6A3F8FCA9CD1}"/>
    <cellStyle name="Normal 2 2 4 2 2 2 3 2 3" xfId="24245" xr:uid="{7AE74A11-D124-453D-BA4D-FBC1E0D892C4}"/>
    <cellStyle name="Normal 2 2 4 2 2 2 3 2 4" xfId="24246" xr:uid="{2BD68C71-3511-4E6C-9457-71802B4E627E}"/>
    <cellStyle name="Normal 2 2 4 2 2 2 3 2 5" xfId="24247" xr:uid="{AEFFACCB-A32C-4C8C-B2A9-9E78DD6FA912}"/>
    <cellStyle name="Normal 2 2 4 2 2 2 3 3" xfId="24248" xr:uid="{56A6808F-3FDD-41F6-A143-BA706240F73D}"/>
    <cellStyle name="Normal 2 2 4 2 2 2 3 4" xfId="24249" xr:uid="{2287D80E-6C08-4F6C-AF49-8F3E5244DC93}"/>
    <cellStyle name="Normal 2 2 4 2 2 2 3 5" xfId="24250" xr:uid="{3AAF4F71-FBF6-4246-B760-F762BE135D97}"/>
    <cellStyle name="Normal 2 2 4 2 2 2 4" xfId="24251" xr:uid="{B8473839-4A95-4DEC-A1A6-408DC83927A7}"/>
    <cellStyle name="Normal 2 2 4 2 2 2 5" xfId="24252" xr:uid="{329B576B-77C2-4C91-9642-50850DC88BAA}"/>
    <cellStyle name="Normal 2 2 4 2 2 2 6" xfId="24253" xr:uid="{53C57D54-DF37-4C33-BFE5-A26527E7003D}"/>
    <cellStyle name="Normal 2 2 4 2 2 2 6 2" xfId="24254" xr:uid="{011EC357-AF90-4CC8-9B08-500071F7C1CC}"/>
    <cellStyle name="Normal 2 2 4 2 2 2 6 3" xfId="24255" xr:uid="{9D34ECAA-92D2-4B99-A869-D3FEF63C47CC}"/>
    <cellStyle name="Normal 2 2 4 2 2 2 6 4" xfId="24256" xr:uid="{813AE515-5488-4D99-A31F-512DFCE9FD9C}"/>
    <cellStyle name="Normal 2 2 4 2 2 2 6 5" xfId="24257" xr:uid="{591D02FF-7839-4467-9A36-99F00ECC10A5}"/>
    <cellStyle name="Normal 2 2 4 2 2 2 7" xfId="24258" xr:uid="{66669E46-543C-4E29-870C-578ADD039666}"/>
    <cellStyle name="Normal 2 2 4 2 2 2 8" xfId="24259" xr:uid="{D272B2E7-855D-4682-AAA5-6CDC1FBE5D69}"/>
    <cellStyle name="Normal 2 2 4 2 2 2 9" xfId="24260" xr:uid="{7C66CDC2-4A62-4524-B276-AAB909F4A4CA}"/>
    <cellStyle name="Normal 2 2 4 2 2 3" xfId="24261" xr:uid="{90486F53-90A8-469D-86E0-F5109CE1091A}"/>
    <cellStyle name="Normal 2 2 4 2 2 3 10" xfId="24262" xr:uid="{EE9266DF-1320-45E5-AC78-B7AAF622F116}"/>
    <cellStyle name="Normal 2 2 4 2 2 3 11" xfId="24263" xr:uid="{6CF3643B-F871-4E75-BFEC-B7430FDD2CF1}"/>
    <cellStyle name="Normal 2 2 4 2 2 3 12" xfId="24264" xr:uid="{F277AB6F-BA04-4B04-AD13-FFE81DD07E2E}"/>
    <cellStyle name="Normal 2 2 4 2 2 3 2" xfId="24265" xr:uid="{35D4E9BD-BD11-490D-88F4-D6075240B240}"/>
    <cellStyle name="Normal 2 2 4 2 2 3 2 2" xfId="24266" xr:uid="{76EE13CC-7DDE-409C-A798-AB61155D15EF}"/>
    <cellStyle name="Normal 2 2 4 2 2 3 2 2 2" xfId="24267" xr:uid="{6E1FE02F-441F-4542-BD5E-7D918AF0F5D6}"/>
    <cellStyle name="Normal 2 2 4 2 2 3 2 2 3" xfId="24268" xr:uid="{BADEE27D-D3DB-4766-BB22-32F558D82039}"/>
    <cellStyle name="Normal 2 2 4 2 2 3 2 2 4" xfId="24269" xr:uid="{EE35744E-EE67-4C63-A22F-835EB64F1A12}"/>
    <cellStyle name="Normal 2 2 4 2 2 3 2 2 5" xfId="24270" xr:uid="{C69745C9-DC16-4C81-B799-B0E7AFFF3C41}"/>
    <cellStyle name="Normal 2 2 4 2 2 3 2 3" xfId="24271" xr:uid="{6ED2D262-582F-4BC4-A7B8-52B5C2A0178A}"/>
    <cellStyle name="Normal 2 2 4 2 2 3 2 4" xfId="24272" xr:uid="{598E1CD3-BEEE-45D4-9D3F-9844A47F4231}"/>
    <cellStyle name="Normal 2 2 4 2 2 3 2 5" xfId="24273" xr:uid="{156631E0-D1F0-4F36-825A-4F3241C8421F}"/>
    <cellStyle name="Normal 2 2 4 2 2 3 3" xfId="24274" xr:uid="{3B9C4E5D-777E-4951-ADE8-734DBFD4E72D}"/>
    <cellStyle name="Normal 2 2 4 2 2 3 4" xfId="24275" xr:uid="{783B7616-EA7D-49FB-B034-DD7EEEB0A9BB}"/>
    <cellStyle name="Normal 2 2 4 2 2 3 5" xfId="24276" xr:uid="{54AD4D9E-06AC-4F4A-BAEF-CA1A3E6EA928}"/>
    <cellStyle name="Normal 2 2 4 2 2 3 5 2" xfId="24277" xr:uid="{4497A2AF-7C4C-42FC-8F16-7E0CBF65256C}"/>
    <cellStyle name="Normal 2 2 4 2 2 3 5 3" xfId="24278" xr:uid="{94D5E457-0ADF-41DC-99C0-B35DA776D7BF}"/>
    <cellStyle name="Normal 2 2 4 2 2 3 5 4" xfId="24279" xr:uid="{7264DE68-3B0C-4E51-9BAA-CCF4A4C546CB}"/>
    <cellStyle name="Normal 2 2 4 2 2 3 5 5" xfId="24280" xr:uid="{60523812-51BF-4F48-9CA0-6ACAAFF105CD}"/>
    <cellStyle name="Normal 2 2 4 2 2 3 6" xfId="24281" xr:uid="{8BAED3A8-514C-41D4-A6CC-9674B8D29895}"/>
    <cellStyle name="Normal 2 2 4 2 2 3 7" xfId="24282" xr:uid="{A2671B59-3042-4CEF-8499-70EBDBF9A360}"/>
    <cellStyle name="Normal 2 2 4 2 2 3 8" xfId="24283" xr:uid="{36977CF2-FE65-428B-A034-526ACEA91173}"/>
    <cellStyle name="Normal 2 2 4 2 2 3 9" xfId="24284" xr:uid="{877C40AE-27A9-4ABF-9C6D-B12616ABE33F}"/>
    <cellStyle name="Normal 2 2 4 2 2 4" xfId="24285" xr:uid="{415B46B4-BD8A-4F7D-A323-3ED58DB65CCF}"/>
    <cellStyle name="Normal 2 2 4 2 2 4 2" xfId="24286" xr:uid="{4B6F91CB-2FD0-420B-B8B0-2695AC2B5055}"/>
    <cellStyle name="Normal 2 2 4 2 2 4 2 2" xfId="24287" xr:uid="{496B1883-69FE-4DC3-80D0-5F1A60F288BC}"/>
    <cellStyle name="Normal 2 2 4 2 2 4 2 3" xfId="24288" xr:uid="{229F8023-3914-4900-8A21-BB28235899E9}"/>
    <cellStyle name="Normal 2 2 4 2 2 4 2 4" xfId="24289" xr:uid="{94E46D41-E979-4761-BED5-3C7F949308DF}"/>
    <cellStyle name="Normal 2 2 4 2 2 4 2 5" xfId="24290" xr:uid="{C0856312-E69E-4376-B4C1-FB0C95796FA8}"/>
    <cellStyle name="Normal 2 2 4 2 2 4 3" xfId="24291" xr:uid="{60FE18EE-723F-40E1-8FC1-B3843910DC88}"/>
    <cellStyle name="Normal 2 2 4 2 2 4 4" xfId="24292" xr:uid="{84040ADA-5DD3-4BFC-AD61-79230ECA75BB}"/>
    <cellStyle name="Normal 2 2 4 2 2 4 5" xfId="24293" xr:uid="{1C033FEA-C900-4B37-BA04-3A6FFF5A071A}"/>
    <cellStyle name="Normal 2 2 4 2 2 4 6" xfId="24294" xr:uid="{439C308D-0B07-4D9E-AD92-74F9E03F0F69}"/>
    <cellStyle name="Normal 2 2 4 2 2 5" xfId="24295" xr:uid="{C3AEC54B-216B-4473-AA93-BCBB7BDDC5C0}"/>
    <cellStyle name="Normal 2 2 4 2 2 5 2" xfId="24296" xr:uid="{633BF73C-70DE-4DEE-AF33-195BBA7BC173}"/>
    <cellStyle name="Normal 2 2 4 2 2 5 2 2" xfId="24297" xr:uid="{93678B57-96C8-4F39-AA2F-B4CB39652340}"/>
    <cellStyle name="Normal 2 2 4 2 2 5 2 3" xfId="24298" xr:uid="{0D3F74D9-A6CA-49A4-AB3D-71F55C39C615}"/>
    <cellStyle name="Normal 2 2 4 2 2 5 2 4" xfId="24299" xr:uid="{C069859B-B3C8-4204-B108-C55444A89446}"/>
    <cellStyle name="Normal 2 2 4 2 2 5 2 5" xfId="24300" xr:uid="{8862C138-D75E-4B09-BA9F-76AD2802C7C0}"/>
    <cellStyle name="Normal 2 2 4 2 2 5 3" xfId="24301" xr:uid="{05AF2C43-2983-4A0A-B2A1-2CF60254BDC0}"/>
    <cellStyle name="Normal 2 2 4 2 2 5 4" xfId="24302" xr:uid="{5CA7F85F-7D6C-4C82-9F27-E36CA8B64D93}"/>
    <cellStyle name="Normal 2 2 4 2 2 5 5" xfId="24303" xr:uid="{C73A68C3-CE2F-4BDA-BE75-29696DC762B7}"/>
    <cellStyle name="Normal 2 2 4 2 2 5 6" xfId="24304" xr:uid="{A059EA9A-2F2F-43F6-8823-E4F7F76BD136}"/>
    <cellStyle name="Normal 2 2 4 2 2 6" xfId="24305" xr:uid="{AAB92320-0DE4-4AA6-A1DB-9457D3FDA7CB}"/>
    <cellStyle name="Normal 2 2 4 2 2 6 2" xfId="24306" xr:uid="{1C74A3EE-6201-4C30-88ED-22EC6A69CBED}"/>
    <cellStyle name="Normal 2 2 4 2 2 6 3" xfId="24307" xr:uid="{D0EE1B2F-C0F3-4E40-BAC6-2ACE72627E21}"/>
    <cellStyle name="Normal 2 2 4 2 2 6 4" xfId="24308" xr:uid="{96EA6B2A-CC7A-4E21-91E0-4BFDBD0F11F0}"/>
    <cellStyle name="Normal 2 2 4 2 2 6 5" xfId="24309" xr:uid="{E440A85D-2409-4CAA-987F-41A3D7A89551}"/>
    <cellStyle name="Normal 2 2 4 2 2 7" xfId="24310" xr:uid="{797902FD-DBD0-4987-8E68-1CFB5D895A2E}"/>
    <cellStyle name="Normal 2 2 4 2 2 7 2" xfId="24311" xr:uid="{64136F4C-3BEF-4944-A617-56C11C8EC3A8}"/>
    <cellStyle name="Normal 2 2 4 2 2 7 3" xfId="24312" xr:uid="{EF2CA2BB-95DD-4FBC-BA31-D11841DDDD75}"/>
    <cellStyle name="Normal 2 2 4 2 2 7 4" xfId="24313" xr:uid="{A8E61EC6-A3C8-4FAE-9651-9A7626F8E2A0}"/>
    <cellStyle name="Normal 2 2 4 2 2 7 5" xfId="24314" xr:uid="{12C4FC6A-A43F-488D-BC34-F2F89A0E94D5}"/>
    <cellStyle name="Normal 2 2 4 2 2 8" xfId="24315" xr:uid="{9958AB1D-1488-4C5F-8D5B-6202EAED396F}"/>
    <cellStyle name="Normal 2 2 4 2 2 8 2" xfId="24316" xr:uid="{B6775969-E87B-4C00-AF8C-9E5CD957E6BB}"/>
    <cellStyle name="Normal 2 2 4 2 2 8 3" xfId="24317" xr:uid="{34BE645A-FA59-42CE-A58F-0D4940F8CC84}"/>
    <cellStyle name="Normal 2 2 4 2 2 8 4" xfId="24318" xr:uid="{461233D7-37CC-4F54-9045-445420232F7D}"/>
    <cellStyle name="Normal 2 2 4 2 2 8 5" xfId="24319" xr:uid="{A29A31B5-2C0A-4E45-A6E3-338BEB0A6342}"/>
    <cellStyle name="Normal 2 2 4 2 2 9" xfId="24320" xr:uid="{148AF1CD-2A94-4A99-AB64-01C4B4E5BCB7}"/>
    <cellStyle name="Normal 2 2 4 2 3" xfId="24321" xr:uid="{56936717-D9F4-469B-AF63-3B89ED46AC43}"/>
    <cellStyle name="Normal 2 2 4 2 4" xfId="24322" xr:uid="{FA636088-B164-4CDC-83CE-56B23D4EE3F9}"/>
    <cellStyle name="Normal 2 2 4 2 5" xfId="24323" xr:uid="{AB7DA415-464E-448D-ABF0-E87116746444}"/>
    <cellStyle name="Normal 2 2 4 2 6" xfId="24324" xr:uid="{47B3F6FF-3BF4-460F-9DF7-BCDD1AD0591C}"/>
    <cellStyle name="Normal 2 2 4 2 6 10" xfId="24325" xr:uid="{565376E7-97E1-4081-8BAD-D48A389831D3}"/>
    <cellStyle name="Normal 2 2 4 2 6 10 2" xfId="24326" xr:uid="{167629B1-6A10-4220-8EF5-7B8963485EA8}"/>
    <cellStyle name="Normal 2 2 4 2 6 10 3" xfId="24327" xr:uid="{4BCE2D36-533C-49AA-AC38-E2CA65004A69}"/>
    <cellStyle name="Normal 2 2 4 2 6 10 4" xfId="24328" xr:uid="{E07BA384-73C4-4437-A708-CC694C5AC384}"/>
    <cellStyle name="Normal 2 2 4 2 6 10 5" xfId="24329" xr:uid="{797B917C-0124-4983-A117-68E72DDC12F8}"/>
    <cellStyle name="Normal 2 2 4 2 6 11" xfId="24330" xr:uid="{A52F112F-D555-4FAC-9CD5-7363637D2B6E}"/>
    <cellStyle name="Normal 2 2 4 2 6 12" xfId="24331" xr:uid="{9CCD0498-972C-4E0C-9562-B3C2009AB2AC}"/>
    <cellStyle name="Normal 2 2 4 2 6 13" xfId="24332" xr:uid="{EB7CB5CF-2771-47CE-AAD9-5975C3ED09ED}"/>
    <cellStyle name="Normal 2 2 4 2 6 14" xfId="24333" xr:uid="{C437F583-7A72-48CB-9E0F-5C5666B30332}"/>
    <cellStyle name="Normal 2 2 4 2 6 2" xfId="24334" xr:uid="{4E1E7480-AA15-4429-8872-31B8B89A4F70}"/>
    <cellStyle name="Normal 2 2 4 2 6 2 10" xfId="24335" xr:uid="{B8292E43-53DB-46DA-8F51-09E35CB2EAC8}"/>
    <cellStyle name="Normal 2 2 4 2 6 2 11" xfId="24336" xr:uid="{5BFD01B8-E82C-4FBD-8961-DC41C55D891B}"/>
    <cellStyle name="Normal 2 2 4 2 6 2 12" xfId="24337" xr:uid="{81C31A31-A042-4207-AEB4-10C965E14AFE}"/>
    <cellStyle name="Normal 2 2 4 2 6 2 13" xfId="24338" xr:uid="{661D4AC3-D442-417A-B7DA-E171A1581EF0}"/>
    <cellStyle name="Normal 2 2 4 2 6 2 2" xfId="24339" xr:uid="{EB03C160-3337-437E-862F-7432EF84845D}"/>
    <cellStyle name="Normal 2 2 4 2 6 2 2 10" xfId="24340" xr:uid="{4D6AF7A5-6123-4500-B7A8-D21CC31600AF}"/>
    <cellStyle name="Normal 2 2 4 2 6 2 2 11" xfId="24341" xr:uid="{2257170D-6272-4A3F-A9B1-856A5ACA5776}"/>
    <cellStyle name="Normal 2 2 4 2 6 2 2 12" xfId="24342" xr:uid="{B55DF9F8-F779-4F57-BB85-A5B6BB10AE9A}"/>
    <cellStyle name="Normal 2 2 4 2 6 2 2 2" xfId="24343" xr:uid="{CC3AA661-1344-4467-B63D-C976405B796D}"/>
    <cellStyle name="Normal 2 2 4 2 6 2 2 2 2" xfId="24344" xr:uid="{0EE7F031-A5AE-48DE-B10E-9F9530685F18}"/>
    <cellStyle name="Normal 2 2 4 2 6 2 2 2 2 2" xfId="24345" xr:uid="{469FDB43-88ED-48AC-9322-F53F498559D0}"/>
    <cellStyle name="Normal 2 2 4 2 6 2 2 2 2 3" xfId="24346" xr:uid="{D19D9FF3-4677-4C58-AEE8-6E2485806DBC}"/>
    <cellStyle name="Normal 2 2 4 2 6 2 2 2 2 4" xfId="24347" xr:uid="{CC11A74A-EC28-4BAC-8058-BA0462BA5ACE}"/>
    <cellStyle name="Normal 2 2 4 2 6 2 2 2 2 5" xfId="24348" xr:uid="{2F013EE5-47D7-4DB5-A31F-85ABAB913D95}"/>
    <cellStyle name="Normal 2 2 4 2 6 2 2 2 3" xfId="24349" xr:uid="{F7035F65-768A-4714-9243-5017DAB7DB29}"/>
    <cellStyle name="Normal 2 2 4 2 6 2 2 2 4" xfId="24350" xr:uid="{BC064A75-534A-4813-88EB-9F384E8ADC57}"/>
    <cellStyle name="Normal 2 2 4 2 6 2 2 2 5" xfId="24351" xr:uid="{0EE556BD-80CA-4CD5-BD94-30FB94E175AC}"/>
    <cellStyle name="Normal 2 2 4 2 6 2 2 2 6" xfId="24352" xr:uid="{00620E36-E47F-4302-AF6F-1ECD8EE177A4}"/>
    <cellStyle name="Normal 2 2 4 2 6 2 2 3" xfId="24353" xr:uid="{8FC14627-5239-414B-B15E-39F264867ECF}"/>
    <cellStyle name="Normal 2 2 4 2 6 2 2 3 2" xfId="24354" xr:uid="{271421A5-5B6B-4423-81EE-A43BF172E044}"/>
    <cellStyle name="Normal 2 2 4 2 6 2 2 3 2 2" xfId="24355" xr:uid="{B02A8A44-EF7B-4B08-AF88-87815945054C}"/>
    <cellStyle name="Normal 2 2 4 2 6 2 2 3 2 3" xfId="24356" xr:uid="{03C06399-3056-4768-8CEC-5E092C2A25BD}"/>
    <cellStyle name="Normal 2 2 4 2 6 2 2 3 2 4" xfId="24357" xr:uid="{BAD0B8CF-C976-4CEF-90F3-8BAC05BEA8C4}"/>
    <cellStyle name="Normal 2 2 4 2 6 2 2 3 2 5" xfId="24358" xr:uid="{0EAB0178-0FC1-4766-9713-1E7B4D654DF4}"/>
    <cellStyle name="Normal 2 2 4 2 6 2 2 3 3" xfId="24359" xr:uid="{B0E328DE-55E6-4CB9-ABC6-6634958C7EF1}"/>
    <cellStyle name="Normal 2 2 4 2 6 2 2 3 4" xfId="24360" xr:uid="{31FEDC63-5A8D-4F6F-A2A0-77542A7BCCDC}"/>
    <cellStyle name="Normal 2 2 4 2 6 2 2 3 5" xfId="24361" xr:uid="{1AE1177D-90AE-4C92-AA15-14CFC608299F}"/>
    <cellStyle name="Normal 2 2 4 2 6 2 2 3 6" xfId="24362" xr:uid="{43365C58-4D4A-442D-95D0-0DBB3F931C41}"/>
    <cellStyle name="Normal 2 2 4 2 6 2 2 4" xfId="24363" xr:uid="{B11DB9E0-1BC7-4F31-A78E-1F7F986A64DB}"/>
    <cellStyle name="Normal 2 2 4 2 6 2 2 4 2" xfId="24364" xr:uid="{543503FA-62FF-4FF5-ABCC-711FB609669C}"/>
    <cellStyle name="Normal 2 2 4 2 6 2 2 4 2 2" xfId="24365" xr:uid="{B7CD4181-7DC9-4424-96FF-304931462B4A}"/>
    <cellStyle name="Normal 2 2 4 2 6 2 2 4 2 3" xfId="24366" xr:uid="{8887EFCD-E38B-4478-B298-A2F790A2C6FE}"/>
    <cellStyle name="Normal 2 2 4 2 6 2 2 4 2 4" xfId="24367" xr:uid="{4143DE20-FADF-4261-BA53-4F564CB46CE1}"/>
    <cellStyle name="Normal 2 2 4 2 6 2 2 4 2 5" xfId="24368" xr:uid="{31852937-3E60-47B0-9AAC-CE08E968795B}"/>
    <cellStyle name="Normal 2 2 4 2 6 2 2 4 3" xfId="24369" xr:uid="{CF3A05D4-4047-4B06-BBD1-CB3C1C9800DF}"/>
    <cellStyle name="Normal 2 2 4 2 6 2 2 4 4" xfId="24370" xr:uid="{9A064028-E04B-4C1F-A06F-0A0B3335DAD7}"/>
    <cellStyle name="Normal 2 2 4 2 6 2 2 4 5" xfId="24371" xr:uid="{AA20D1D8-8FFF-4573-A632-0CB6D7F25B98}"/>
    <cellStyle name="Normal 2 2 4 2 6 2 2 4 6" xfId="24372" xr:uid="{1B55849B-6512-4795-B663-DC262AFB5D9A}"/>
    <cellStyle name="Normal 2 2 4 2 6 2 2 5" xfId="24373" xr:uid="{26C9BFAF-013D-4142-884D-AD1D5D5917F2}"/>
    <cellStyle name="Normal 2 2 4 2 6 2 2 5 2" xfId="24374" xr:uid="{F7E9B0C0-11C7-43A8-9B31-AE27B7C156F3}"/>
    <cellStyle name="Normal 2 2 4 2 6 2 2 5 3" xfId="24375" xr:uid="{78D210D9-B5EF-4573-92BB-C75D70C20DC0}"/>
    <cellStyle name="Normal 2 2 4 2 6 2 2 5 4" xfId="24376" xr:uid="{71CB3B51-ABC4-4770-BF91-5859366CC22A}"/>
    <cellStyle name="Normal 2 2 4 2 6 2 2 5 5" xfId="24377" xr:uid="{1CB45A7E-E09D-4480-876B-2EF0436EB39C}"/>
    <cellStyle name="Normal 2 2 4 2 6 2 2 6" xfId="24378" xr:uid="{FD2352E5-6801-4F69-A92C-2822009217B1}"/>
    <cellStyle name="Normal 2 2 4 2 6 2 2 6 2" xfId="24379" xr:uid="{19BCC5FB-5D14-40F1-8177-84AC2387B534}"/>
    <cellStyle name="Normal 2 2 4 2 6 2 2 6 3" xfId="24380" xr:uid="{DE783EBF-945C-4AB7-993D-7EC5B36BFE4A}"/>
    <cellStyle name="Normal 2 2 4 2 6 2 2 6 4" xfId="24381" xr:uid="{F39B3351-4EC3-4B7F-A218-E86FBE1C10B7}"/>
    <cellStyle name="Normal 2 2 4 2 6 2 2 6 5" xfId="24382" xr:uid="{B7E39110-1C85-4030-91C7-D886004CFEA5}"/>
    <cellStyle name="Normal 2 2 4 2 6 2 2 7" xfId="24383" xr:uid="{76C41323-F675-41EC-BC3A-9C7B6446910C}"/>
    <cellStyle name="Normal 2 2 4 2 6 2 2 7 2" xfId="24384" xr:uid="{D643CAFE-D1D1-44F8-A309-FD49A634B542}"/>
    <cellStyle name="Normal 2 2 4 2 6 2 2 7 3" xfId="24385" xr:uid="{1ABF1917-0C74-4904-9795-008618A69399}"/>
    <cellStyle name="Normal 2 2 4 2 6 2 2 7 4" xfId="24386" xr:uid="{62F60C8D-31E9-4C53-A47F-B8D39AFB9DE3}"/>
    <cellStyle name="Normal 2 2 4 2 6 2 2 7 5" xfId="24387" xr:uid="{4AA890E0-B6DE-41C2-A68D-6FC5AC46744A}"/>
    <cellStyle name="Normal 2 2 4 2 6 2 2 8" xfId="24388" xr:uid="{B342C87A-4C9F-43A1-AC08-C8BE0362B6B9}"/>
    <cellStyle name="Normal 2 2 4 2 6 2 2 8 2" xfId="24389" xr:uid="{068EB4C6-8E9C-46C4-9686-5A6904B3EBAF}"/>
    <cellStyle name="Normal 2 2 4 2 6 2 2 8 3" xfId="24390" xr:uid="{D3C54E95-1F23-48D8-AF95-2EF7A71E6E8C}"/>
    <cellStyle name="Normal 2 2 4 2 6 2 2 8 4" xfId="24391" xr:uid="{3B9C6B1F-8651-4E00-B1AE-D34357039D12}"/>
    <cellStyle name="Normal 2 2 4 2 6 2 2 8 5" xfId="24392" xr:uid="{914919FC-E386-4DA7-8271-DDDF1EE49AF5}"/>
    <cellStyle name="Normal 2 2 4 2 6 2 2 9" xfId="24393" xr:uid="{F616CB9F-532A-4C79-A39E-4573F70AA6B7}"/>
    <cellStyle name="Normal 2 2 4 2 6 2 3" xfId="24394" xr:uid="{56793CAF-A95C-4C6E-A7DF-3428BEAEC593}"/>
    <cellStyle name="Normal 2 2 4 2 6 2 3 2" xfId="24395" xr:uid="{C035104A-3AF6-4D10-A01C-421A58E3C941}"/>
    <cellStyle name="Normal 2 2 4 2 6 2 3 2 2" xfId="24396" xr:uid="{B5C893A5-F949-4DA4-A2D3-F0FD7688DEFF}"/>
    <cellStyle name="Normal 2 2 4 2 6 2 3 2 3" xfId="24397" xr:uid="{130F9B81-2558-48B6-886F-DFF421DB2E9A}"/>
    <cellStyle name="Normal 2 2 4 2 6 2 3 2 4" xfId="24398" xr:uid="{F1825923-921A-4F81-970E-2E4515B21CC6}"/>
    <cellStyle name="Normal 2 2 4 2 6 2 3 2 5" xfId="24399" xr:uid="{58E542D0-D82E-4E67-B67D-1EFCB2916A6F}"/>
    <cellStyle name="Normal 2 2 4 2 6 2 3 3" xfId="24400" xr:uid="{56B292BC-0D81-4A11-BB01-447EDE71E649}"/>
    <cellStyle name="Normal 2 2 4 2 6 2 3 4" xfId="24401" xr:uid="{B00AE3BC-0EFF-45E7-91C5-477EDE000DA2}"/>
    <cellStyle name="Normal 2 2 4 2 6 2 3 5" xfId="24402" xr:uid="{864ED974-0575-4F01-9D8D-4B102B2AAEED}"/>
    <cellStyle name="Normal 2 2 4 2 6 2 3 6" xfId="24403" xr:uid="{72FF40A4-6E36-4BCF-8BEC-C167D2B62E35}"/>
    <cellStyle name="Normal 2 2 4 2 6 2 4" xfId="24404" xr:uid="{421DBB93-D449-4685-BD13-D46122EAE4FD}"/>
    <cellStyle name="Normal 2 2 4 2 6 2 4 2" xfId="24405" xr:uid="{808A0EEC-ECE3-48F8-A161-4649F17BEC17}"/>
    <cellStyle name="Normal 2 2 4 2 6 2 4 2 2" xfId="24406" xr:uid="{16FCBA43-63CC-4B89-AB24-F70936EC1FB3}"/>
    <cellStyle name="Normal 2 2 4 2 6 2 4 2 3" xfId="24407" xr:uid="{66C2B886-4DE9-48A1-ABC6-F36D65414F56}"/>
    <cellStyle name="Normal 2 2 4 2 6 2 4 2 4" xfId="24408" xr:uid="{C94F3AA3-2339-45C3-ABAC-96ADA8CBDC77}"/>
    <cellStyle name="Normal 2 2 4 2 6 2 4 2 5" xfId="24409" xr:uid="{5CF4FC23-7487-4CDD-B24C-ECDCAA437980}"/>
    <cellStyle name="Normal 2 2 4 2 6 2 4 3" xfId="24410" xr:uid="{617946F8-7E8B-4344-9330-C1E59B7AD8CB}"/>
    <cellStyle name="Normal 2 2 4 2 6 2 4 4" xfId="24411" xr:uid="{056349E4-E705-443F-BBEB-0C1BBAA28530}"/>
    <cellStyle name="Normal 2 2 4 2 6 2 4 5" xfId="24412" xr:uid="{9499F842-CA99-4343-8E8B-911C6E37A820}"/>
    <cellStyle name="Normal 2 2 4 2 6 2 4 6" xfId="24413" xr:uid="{7CC839C7-A916-44AC-80E1-E8B2D4ECAFA4}"/>
    <cellStyle name="Normal 2 2 4 2 6 2 5" xfId="24414" xr:uid="{F880F197-5603-4910-9B62-0966994EEE53}"/>
    <cellStyle name="Normal 2 2 4 2 6 2 5 2" xfId="24415" xr:uid="{17433037-718E-4107-9B57-FDB5935B7AA8}"/>
    <cellStyle name="Normal 2 2 4 2 6 2 5 2 2" xfId="24416" xr:uid="{F159EF88-CDA6-4912-AA11-78D8431AAC14}"/>
    <cellStyle name="Normal 2 2 4 2 6 2 5 2 3" xfId="24417" xr:uid="{B2ABC84C-0713-4C27-85A9-1B4FCD3F819B}"/>
    <cellStyle name="Normal 2 2 4 2 6 2 5 2 4" xfId="24418" xr:uid="{2E41625E-2E57-4C07-81DF-E834BDFFE337}"/>
    <cellStyle name="Normal 2 2 4 2 6 2 5 2 5" xfId="24419" xr:uid="{64E615A9-CF6B-4EA0-9144-391E5A0BDA80}"/>
    <cellStyle name="Normal 2 2 4 2 6 2 5 3" xfId="24420" xr:uid="{C208A41C-E957-4005-83C7-043B25A5118A}"/>
    <cellStyle name="Normal 2 2 4 2 6 2 5 4" xfId="24421" xr:uid="{8809C99A-CDD4-4784-B8A2-A2099631DF7C}"/>
    <cellStyle name="Normal 2 2 4 2 6 2 5 5" xfId="24422" xr:uid="{1F71A45C-A4BF-4D10-AF11-B61D25C9028A}"/>
    <cellStyle name="Normal 2 2 4 2 6 2 5 6" xfId="24423" xr:uid="{38831A86-17EA-4041-8A0A-AB85EB7F1B84}"/>
    <cellStyle name="Normal 2 2 4 2 6 2 6" xfId="24424" xr:uid="{071760C8-8632-4C54-83EA-794263BDB9F1}"/>
    <cellStyle name="Normal 2 2 4 2 6 2 6 2" xfId="24425" xr:uid="{2E0E6C43-125A-4FD4-9C5F-55146FDB7DA0}"/>
    <cellStyle name="Normal 2 2 4 2 6 2 6 3" xfId="24426" xr:uid="{57201B80-1AA7-485B-974A-04331102CCD3}"/>
    <cellStyle name="Normal 2 2 4 2 6 2 6 4" xfId="24427" xr:uid="{E3EEB833-3948-40E2-BB44-29FA74865129}"/>
    <cellStyle name="Normal 2 2 4 2 6 2 6 5" xfId="24428" xr:uid="{3149E833-E5B3-405C-A3BB-06B671C0B809}"/>
    <cellStyle name="Normal 2 2 4 2 6 2 7" xfId="24429" xr:uid="{D1FC45A3-E7CB-41A7-B392-CA509F27E64B}"/>
    <cellStyle name="Normal 2 2 4 2 6 2 7 2" xfId="24430" xr:uid="{2A6FBBAB-6525-4E0C-8232-DFFCD622DA34}"/>
    <cellStyle name="Normal 2 2 4 2 6 2 7 3" xfId="24431" xr:uid="{CDE1A174-AB1B-4699-8970-2302E4862958}"/>
    <cellStyle name="Normal 2 2 4 2 6 2 7 4" xfId="24432" xr:uid="{A510B687-450F-4BDE-A345-59E1905EAB3C}"/>
    <cellStyle name="Normal 2 2 4 2 6 2 7 5" xfId="24433" xr:uid="{99B1237A-EEF7-4739-8191-1A049D1D0B3B}"/>
    <cellStyle name="Normal 2 2 4 2 6 2 8" xfId="24434" xr:uid="{7414B2AE-CF4B-4EEC-96BB-059A644B5BD6}"/>
    <cellStyle name="Normal 2 2 4 2 6 2 8 2" xfId="24435" xr:uid="{AB97A63F-237E-4F71-8177-CF6C3F433D8B}"/>
    <cellStyle name="Normal 2 2 4 2 6 2 8 3" xfId="24436" xr:uid="{E3CB438A-ADD2-4453-B042-453DE8049802}"/>
    <cellStyle name="Normal 2 2 4 2 6 2 8 4" xfId="24437" xr:uid="{B6057CFA-010D-4F2C-80D0-63D6FAFECE49}"/>
    <cellStyle name="Normal 2 2 4 2 6 2 8 5" xfId="24438" xr:uid="{B9CDCFC8-79E2-4AFB-B26D-DE1CD86AED30}"/>
    <cellStyle name="Normal 2 2 4 2 6 2 9" xfId="24439" xr:uid="{065E8C39-C527-4552-917B-CF9D7728701F}"/>
    <cellStyle name="Normal 2 2 4 2 6 2 9 2" xfId="24440" xr:uid="{345C51AF-4506-4A99-BA50-2707FC41BFED}"/>
    <cellStyle name="Normal 2 2 4 2 6 2 9 3" xfId="24441" xr:uid="{3CEE5D5F-1F97-4F89-9086-A17E00D4436D}"/>
    <cellStyle name="Normal 2 2 4 2 6 2 9 4" xfId="24442" xr:uid="{2E4FBC54-1EBB-439C-9F79-9EF29702BBD8}"/>
    <cellStyle name="Normal 2 2 4 2 6 2 9 5" xfId="24443" xr:uid="{4BDE4C93-0753-4805-943C-FF562B7BFC28}"/>
    <cellStyle name="Normal 2 2 4 2 6 3" xfId="24444" xr:uid="{E149B518-CDC5-4BF1-B5F7-014D054F1DF3}"/>
    <cellStyle name="Normal 2 2 4 2 6 3 10" xfId="24445" xr:uid="{FE3BC8BC-7BA0-4289-9B67-F4BB6E8A29A9}"/>
    <cellStyle name="Normal 2 2 4 2 6 3 11" xfId="24446" xr:uid="{06B48BC3-E7C6-45F2-A44B-C8BFE916930E}"/>
    <cellStyle name="Normal 2 2 4 2 6 3 12" xfId="24447" xr:uid="{C12EF504-09A4-4FF4-A1CF-2A943B97EADA}"/>
    <cellStyle name="Normal 2 2 4 2 6 3 2" xfId="24448" xr:uid="{BDCAF427-2483-4083-9411-5BCBA6CE4487}"/>
    <cellStyle name="Normal 2 2 4 2 6 3 2 2" xfId="24449" xr:uid="{8E64E070-7B88-4250-B2A2-28711D568816}"/>
    <cellStyle name="Normal 2 2 4 2 6 3 2 2 2" xfId="24450" xr:uid="{3A38F687-B6EB-412B-B58F-62129CCFF9A7}"/>
    <cellStyle name="Normal 2 2 4 2 6 3 2 2 3" xfId="24451" xr:uid="{6C2AC70B-D54E-455D-BAD0-505D8998429C}"/>
    <cellStyle name="Normal 2 2 4 2 6 3 2 2 4" xfId="24452" xr:uid="{FEC768DD-F8B7-488F-83DD-323D92877994}"/>
    <cellStyle name="Normal 2 2 4 2 6 3 2 2 5" xfId="24453" xr:uid="{0954305F-37AB-40E7-99EF-58A396B8D4ED}"/>
    <cellStyle name="Normal 2 2 4 2 6 3 2 3" xfId="24454" xr:uid="{6DE72A68-22FD-42CC-BEE0-9041E1A9D281}"/>
    <cellStyle name="Normal 2 2 4 2 6 3 2 4" xfId="24455" xr:uid="{AF30A1F6-FBDF-4AAA-9CEE-BD71F22FA971}"/>
    <cellStyle name="Normal 2 2 4 2 6 3 2 5" xfId="24456" xr:uid="{B60114F5-02CF-4FBC-BFE4-67B912F9CF22}"/>
    <cellStyle name="Normal 2 2 4 2 6 3 2 6" xfId="24457" xr:uid="{A340A771-5C72-4E16-AA41-6176D463518B}"/>
    <cellStyle name="Normal 2 2 4 2 6 3 3" xfId="24458" xr:uid="{E5D4FE23-9009-4242-A20A-16F1AE3F3CE3}"/>
    <cellStyle name="Normal 2 2 4 2 6 3 3 2" xfId="24459" xr:uid="{AEA47E91-B8E2-4E59-849C-5B679319CB57}"/>
    <cellStyle name="Normal 2 2 4 2 6 3 3 2 2" xfId="24460" xr:uid="{5AF5A58B-069C-451C-8453-5D3A8E6FD8FE}"/>
    <cellStyle name="Normal 2 2 4 2 6 3 3 2 3" xfId="24461" xr:uid="{AC0F35AE-A466-417B-BEE1-7B4C09DA15A6}"/>
    <cellStyle name="Normal 2 2 4 2 6 3 3 2 4" xfId="24462" xr:uid="{4C302F4C-A3AD-4A35-8751-3D88483A6E72}"/>
    <cellStyle name="Normal 2 2 4 2 6 3 3 2 5" xfId="24463" xr:uid="{8AA977A8-F582-4388-8DB6-E3C57D88F8FB}"/>
    <cellStyle name="Normal 2 2 4 2 6 3 3 3" xfId="24464" xr:uid="{9E3FEFC7-13A6-419F-A37A-B9034B918230}"/>
    <cellStyle name="Normal 2 2 4 2 6 3 3 4" xfId="24465" xr:uid="{1D868A82-D28D-466F-BC5D-FD59895312A4}"/>
    <cellStyle name="Normal 2 2 4 2 6 3 3 5" xfId="24466" xr:uid="{77934063-5D6E-4D16-8C6C-6ADF40DBDAE2}"/>
    <cellStyle name="Normal 2 2 4 2 6 3 3 6" xfId="24467" xr:uid="{ABD2DAAA-C6EA-4A69-AAD2-DA93C66838C8}"/>
    <cellStyle name="Normal 2 2 4 2 6 3 4" xfId="24468" xr:uid="{F6519852-DD04-48FF-A317-8D1E5B7F654D}"/>
    <cellStyle name="Normal 2 2 4 2 6 3 4 2" xfId="24469" xr:uid="{A1D8E88B-FED1-4F76-9983-8D5E1B5CC5C7}"/>
    <cellStyle name="Normal 2 2 4 2 6 3 4 2 2" xfId="24470" xr:uid="{07934F86-7974-4B10-BCFA-7B4629ED195E}"/>
    <cellStyle name="Normal 2 2 4 2 6 3 4 2 3" xfId="24471" xr:uid="{31C25D55-2E58-429D-AF03-27264495799A}"/>
    <cellStyle name="Normal 2 2 4 2 6 3 4 2 4" xfId="24472" xr:uid="{A704F8D6-C581-4DEF-9D73-3CCF1292912D}"/>
    <cellStyle name="Normal 2 2 4 2 6 3 4 2 5" xfId="24473" xr:uid="{C92FCAC0-0358-4E03-9D52-364C0E6A40D4}"/>
    <cellStyle name="Normal 2 2 4 2 6 3 4 3" xfId="24474" xr:uid="{B6C1238C-3890-49AD-BC5D-ABA1B6015574}"/>
    <cellStyle name="Normal 2 2 4 2 6 3 4 4" xfId="24475" xr:uid="{608D3C7D-8DD0-41B7-BB29-4601A1DDEB34}"/>
    <cellStyle name="Normal 2 2 4 2 6 3 4 5" xfId="24476" xr:uid="{9FD881B6-F5DB-4C5C-8275-D28554D7C823}"/>
    <cellStyle name="Normal 2 2 4 2 6 3 4 6" xfId="24477" xr:uid="{CE9EA1F8-11B0-4605-976F-3B5081018C3F}"/>
    <cellStyle name="Normal 2 2 4 2 6 3 5" xfId="24478" xr:uid="{20B27CEA-E2D8-4751-82F2-2E0E86820E62}"/>
    <cellStyle name="Normal 2 2 4 2 6 3 5 2" xfId="24479" xr:uid="{29C0EE7B-781E-4B62-9348-C12D22396636}"/>
    <cellStyle name="Normal 2 2 4 2 6 3 5 3" xfId="24480" xr:uid="{8BB1BF30-1A6E-41D9-B3DC-90BE7658B82A}"/>
    <cellStyle name="Normal 2 2 4 2 6 3 5 4" xfId="24481" xr:uid="{DA5C5A2D-C28F-4252-988A-2E5A94D74F49}"/>
    <cellStyle name="Normal 2 2 4 2 6 3 5 5" xfId="24482" xr:uid="{441D0C7A-58B7-49FF-9ABA-519E32CE9200}"/>
    <cellStyle name="Normal 2 2 4 2 6 3 6" xfId="24483" xr:uid="{30C6AA7D-F23C-4DF1-B0C2-2608A56A88BA}"/>
    <cellStyle name="Normal 2 2 4 2 6 3 6 2" xfId="24484" xr:uid="{B10D9FC6-02B0-4474-B1E7-860352A8DD2A}"/>
    <cellStyle name="Normal 2 2 4 2 6 3 6 3" xfId="24485" xr:uid="{49F3BA87-0E53-4D60-AA20-8BF701E65BA0}"/>
    <cellStyle name="Normal 2 2 4 2 6 3 6 4" xfId="24486" xr:uid="{B0ED548B-1EE0-4CF6-A8D7-34E6CD5623CF}"/>
    <cellStyle name="Normal 2 2 4 2 6 3 6 5" xfId="24487" xr:uid="{83CE7E19-83E9-4149-A724-AD3C32045E9A}"/>
    <cellStyle name="Normal 2 2 4 2 6 3 7" xfId="24488" xr:uid="{CF7ABD7D-C68B-4249-AFF0-27976681BC97}"/>
    <cellStyle name="Normal 2 2 4 2 6 3 7 2" xfId="24489" xr:uid="{2D070A2D-2B63-4D97-B749-8F266EC29020}"/>
    <cellStyle name="Normal 2 2 4 2 6 3 7 3" xfId="24490" xr:uid="{6A2160AC-9BCD-44C9-BB93-D1E0514A4F98}"/>
    <cellStyle name="Normal 2 2 4 2 6 3 7 4" xfId="24491" xr:uid="{D541797B-0644-4FF2-B47C-ACCA73159C88}"/>
    <cellStyle name="Normal 2 2 4 2 6 3 7 5" xfId="24492" xr:uid="{01C8F7EC-C1C4-46DE-A465-8BD1ECF09727}"/>
    <cellStyle name="Normal 2 2 4 2 6 3 8" xfId="24493" xr:uid="{5E0E7F14-2155-444F-934D-C19A69DF683E}"/>
    <cellStyle name="Normal 2 2 4 2 6 3 8 2" xfId="24494" xr:uid="{D81D5ECC-2A47-4297-8C3B-09FB08ECE431}"/>
    <cellStyle name="Normal 2 2 4 2 6 3 8 3" xfId="24495" xr:uid="{8C54388A-39B9-4A39-B475-7D944B734704}"/>
    <cellStyle name="Normal 2 2 4 2 6 3 8 4" xfId="24496" xr:uid="{0649A72B-58B7-4B51-9A3A-0D6BD0440E00}"/>
    <cellStyle name="Normal 2 2 4 2 6 3 8 5" xfId="24497" xr:uid="{EF0F27F8-EA3D-4163-AB06-5D3E79502FD1}"/>
    <cellStyle name="Normal 2 2 4 2 6 3 9" xfId="24498" xr:uid="{1F0CEB24-CA01-4796-A65A-32970FD10950}"/>
    <cellStyle name="Normal 2 2 4 2 6 4" xfId="24499" xr:uid="{58494F44-C630-4BE8-95B5-50B124AAB748}"/>
    <cellStyle name="Normal 2 2 4 2 6 4 2" xfId="24500" xr:uid="{D947062F-AE8F-4929-955E-A94AF569C2CD}"/>
    <cellStyle name="Normal 2 2 4 2 6 4 2 2" xfId="24501" xr:uid="{13231A6B-9CAB-487B-B926-E6A65C4D7E8A}"/>
    <cellStyle name="Normal 2 2 4 2 6 4 2 3" xfId="24502" xr:uid="{3F8F02EC-73B7-4BBD-9589-BFED33B25DA8}"/>
    <cellStyle name="Normal 2 2 4 2 6 4 2 4" xfId="24503" xr:uid="{C99F4428-5DC9-42B0-9A22-B558692B6C80}"/>
    <cellStyle name="Normal 2 2 4 2 6 4 2 5" xfId="24504" xr:uid="{FBC193E5-17AC-4AB8-B173-87197EC0E422}"/>
    <cellStyle name="Normal 2 2 4 2 6 4 3" xfId="24505" xr:uid="{6E4339CB-B065-4C9C-AE6A-007154FB2536}"/>
    <cellStyle name="Normal 2 2 4 2 6 4 4" xfId="24506" xr:uid="{863D2CBE-128E-493B-A495-93AC7527F50E}"/>
    <cellStyle name="Normal 2 2 4 2 6 4 5" xfId="24507" xr:uid="{39BF3F7A-E631-42EB-AEBF-97E8D2BCF8F4}"/>
    <cellStyle name="Normal 2 2 4 2 6 4 6" xfId="24508" xr:uid="{86D05E0F-763A-4268-ACA8-693AA40E9039}"/>
    <cellStyle name="Normal 2 2 4 2 6 5" xfId="24509" xr:uid="{C6903D6A-0235-47F2-B7FF-E25E4EEE6E56}"/>
    <cellStyle name="Normal 2 2 4 2 6 5 2" xfId="24510" xr:uid="{5F5AE911-D533-480B-B768-FE4503AEAE45}"/>
    <cellStyle name="Normal 2 2 4 2 6 5 2 2" xfId="24511" xr:uid="{4BC12D0A-2B50-4F6F-B1CD-8BD4EFEB7104}"/>
    <cellStyle name="Normal 2 2 4 2 6 5 2 3" xfId="24512" xr:uid="{C29B8ED1-D3B0-48D1-84A9-9A36F676E3E9}"/>
    <cellStyle name="Normal 2 2 4 2 6 5 2 4" xfId="24513" xr:uid="{4278A107-A764-4B99-A092-CED62756571E}"/>
    <cellStyle name="Normal 2 2 4 2 6 5 2 5" xfId="24514" xr:uid="{529F73CA-1069-4475-A665-E230394DDF6E}"/>
    <cellStyle name="Normal 2 2 4 2 6 5 3" xfId="24515" xr:uid="{3C38A567-346B-4C31-8F7C-38036478E1F4}"/>
    <cellStyle name="Normal 2 2 4 2 6 5 4" xfId="24516" xr:uid="{EB3754C4-424C-416F-905A-9E20B68ECB6F}"/>
    <cellStyle name="Normal 2 2 4 2 6 5 5" xfId="24517" xr:uid="{63BBBCB1-20B7-4317-9B36-36896899A18B}"/>
    <cellStyle name="Normal 2 2 4 2 6 5 6" xfId="24518" xr:uid="{3388F895-BF40-479E-B9EC-14C97DBDE28F}"/>
    <cellStyle name="Normal 2 2 4 2 6 6" xfId="24519" xr:uid="{8288CEA8-F91D-4060-AEBC-A9649ADC85FC}"/>
    <cellStyle name="Normal 2 2 4 2 6 6 2" xfId="24520" xr:uid="{7476DAEE-47A2-41BE-9700-D97F44260132}"/>
    <cellStyle name="Normal 2 2 4 2 6 6 2 2" xfId="24521" xr:uid="{F7C2B4BE-3857-4921-9F1B-D4C70E8E8977}"/>
    <cellStyle name="Normal 2 2 4 2 6 6 2 3" xfId="24522" xr:uid="{CA6F05A0-2D66-4F2D-9DFB-E183938561DA}"/>
    <cellStyle name="Normal 2 2 4 2 6 6 2 4" xfId="24523" xr:uid="{5B954D10-BD74-4CA1-A69E-251F83989363}"/>
    <cellStyle name="Normal 2 2 4 2 6 6 2 5" xfId="24524" xr:uid="{F6940586-9EE0-4B03-9239-BE0777C19DB8}"/>
    <cellStyle name="Normal 2 2 4 2 6 6 3" xfId="24525" xr:uid="{3BE6AA0F-A302-47DD-A7DE-35503878E7B2}"/>
    <cellStyle name="Normal 2 2 4 2 6 6 4" xfId="24526" xr:uid="{3F4744A6-EACC-414C-9843-16D835515D6D}"/>
    <cellStyle name="Normal 2 2 4 2 6 6 5" xfId="24527" xr:uid="{1EF3CC90-1AFC-4BD9-B0EB-594CDE6E97B1}"/>
    <cellStyle name="Normal 2 2 4 2 6 6 6" xfId="24528" xr:uid="{6C2D6326-9AF1-41C4-9EC5-521D34081063}"/>
    <cellStyle name="Normal 2 2 4 2 6 7" xfId="24529" xr:uid="{DA28F31F-4679-44B4-9041-DB32D9305C2E}"/>
    <cellStyle name="Normal 2 2 4 2 6 7 2" xfId="24530" xr:uid="{BA5A5121-7122-45AF-BFD9-E29C356D8864}"/>
    <cellStyle name="Normal 2 2 4 2 6 7 3" xfId="24531" xr:uid="{835FF7D1-6B2B-4396-B3BB-546CE82A470B}"/>
    <cellStyle name="Normal 2 2 4 2 6 7 4" xfId="24532" xr:uid="{5B921BEE-65DF-4D8C-984B-FD4A1B91D643}"/>
    <cellStyle name="Normal 2 2 4 2 6 7 5" xfId="24533" xr:uid="{28A1891F-90E0-4650-A3AE-FEFB287E5156}"/>
    <cellStyle name="Normal 2 2 4 2 6 8" xfId="24534" xr:uid="{002D7B62-3C17-4DCE-964F-60296C9F9921}"/>
    <cellStyle name="Normal 2 2 4 2 6 8 2" xfId="24535" xr:uid="{80BE0056-0864-4B1B-8F72-B0CE83A95507}"/>
    <cellStyle name="Normal 2 2 4 2 6 8 3" xfId="24536" xr:uid="{19A6DE25-A5F5-4FDE-83C7-A42DF3C8F015}"/>
    <cellStyle name="Normal 2 2 4 2 6 8 4" xfId="24537" xr:uid="{DFE58236-87A5-4464-A4C5-559F82B20F59}"/>
    <cellStyle name="Normal 2 2 4 2 6 8 5" xfId="24538" xr:uid="{FB9A85AC-6BB6-41B6-8355-4524A15ACCC1}"/>
    <cellStyle name="Normal 2 2 4 2 6 9" xfId="24539" xr:uid="{25FDFC2B-0E6A-45BB-A476-5B2B54A28973}"/>
    <cellStyle name="Normal 2 2 4 2 6 9 2" xfId="24540" xr:uid="{CD906A3B-3F64-4BBF-9F55-4E10C895DDEB}"/>
    <cellStyle name="Normal 2 2 4 2 6 9 3" xfId="24541" xr:uid="{D5D25E75-6972-4A82-815D-97F471D8B167}"/>
    <cellStyle name="Normal 2 2 4 2 6 9 4" xfId="24542" xr:uid="{ED86EE95-459B-4544-AE13-F4EC8638B6FA}"/>
    <cellStyle name="Normal 2 2 4 2 6 9 5" xfId="24543" xr:uid="{73085824-7482-402E-BCEC-77CA4C58E216}"/>
    <cellStyle name="Normal 2 2 4 2 7" xfId="24544" xr:uid="{88F96A57-50AE-4BAE-8117-832DD8113C6C}"/>
    <cellStyle name="Normal 2 2 4 2 7 10" xfId="24545" xr:uid="{33DE74FE-E8BB-40BC-B7BF-AB16ACF9C8C1}"/>
    <cellStyle name="Normal 2 2 4 2 7 11" xfId="24546" xr:uid="{D99AABBC-16CB-41BA-B4B3-69C10F0A5081}"/>
    <cellStyle name="Normal 2 2 4 2 7 12" xfId="24547" xr:uid="{8EBE05C9-A979-45E3-8BC9-129990174169}"/>
    <cellStyle name="Normal 2 2 4 2 7 13" xfId="24548" xr:uid="{34AE9580-246E-46B9-BB6F-F613C3BE83A9}"/>
    <cellStyle name="Normal 2 2 4 2 7 2" xfId="24549" xr:uid="{D0A66FC9-614A-46D5-B771-C3A0D0624F97}"/>
    <cellStyle name="Normal 2 2 4 2 7 2 10" xfId="24550" xr:uid="{EF7865A4-370C-4360-89ED-EFC4E7692EAD}"/>
    <cellStyle name="Normal 2 2 4 2 7 2 11" xfId="24551" xr:uid="{05240F90-A260-420D-BAEA-9A0B7D2E189C}"/>
    <cellStyle name="Normal 2 2 4 2 7 2 12" xfId="24552" xr:uid="{35D64A08-9ED4-4839-9B89-AA0CCE9AD2AD}"/>
    <cellStyle name="Normal 2 2 4 2 7 2 2" xfId="24553" xr:uid="{CDEBAEC4-DC08-4FC5-BB15-79944802F218}"/>
    <cellStyle name="Normal 2 2 4 2 7 2 2 2" xfId="24554" xr:uid="{9C87223B-2590-40F5-90C2-6DC649307C58}"/>
    <cellStyle name="Normal 2 2 4 2 7 2 2 2 2" xfId="24555" xr:uid="{7DD09C3C-6CE5-4046-BBF0-88735F95D265}"/>
    <cellStyle name="Normal 2 2 4 2 7 2 2 2 3" xfId="24556" xr:uid="{8CB1CB6A-689D-40CD-BA9B-36C44F3C2775}"/>
    <cellStyle name="Normal 2 2 4 2 7 2 2 2 4" xfId="24557" xr:uid="{9862ADBC-2C19-422E-A7C5-4EA666B3E98A}"/>
    <cellStyle name="Normal 2 2 4 2 7 2 2 2 5" xfId="24558" xr:uid="{7FA23214-7B3A-4233-B601-A505E89CA0F5}"/>
    <cellStyle name="Normal 2 2 4 2 7 2 2 3" xfId="24559" xr:uid="{743592FB-BF6B-4519-9D81-C1F9782573D3}"/>
    <cellStyle name="Normal 2 2 4 2 7 2 2 4" xfId="24560" xr:uid="{CA2B4A0A-65E2-46C0-9686-B024D62DB1A4}"/>
    <cellStyle name="Normal 2 2 4 2 7 2 2 5" xfId="24561" xr:uid="{72B759AF-C086-4D0B-9053-55F53638251B}"/>
    <cellStyle name="Normal 2 2 4 2 7 2 2 6" xfId="24562" xr:uid="{FDF03C52-4C2F-4729-9275-CA96A9645C69}"/>
    <cellStyle name="Normal 2 2 4 2 7 2 3" xfId="24563" xr:uid="{5068576B-A076-41C8-8E11-41713F42F0F8}"/>
    <cellStyle name="Normal 2 2 4 2 7 2 3 2" xfId="24564" xr:uid="{69CA5B34-B238-417B-8C36-9166CD41ECAC}"/>
    <cellStyle name="Normal 2 2 4 2 7 2 3 2 2" xfId="24565" xr:uid="{6063F2FB-E638-4FCA-81A1-DF897E226F72}"/>
    <cellStyle name="Normal 2 2 4 2 7 2 3 2 3" xfId="24566" xr:uid="{83349279-E4E0-464E-B9EF-1D852C8D9094}"/>
    <cellStyle name="Normal 2 2 4 2 7 2 3 2 4" xfId="24567" xr:uid="{AA993D4B-E60B-4D32-AFF8-C87C0E8D1C23}"/>
    <cellStyle name="Normal 2 2 4 2 7 2 3 2 5" xfId="24568" xr:uid="{374DEA27-81F2-4592-AFB7-66D0488D799D}"/>
    <cellStyle name="Normal 2 2 4 2 7 2 3 3" xfId="24569" xr:uid="{D95172FE-78ED-4F8F-B8A7-4A1830A1E214}"/>
    <cellStyle name="Normal 2 2 4 2 7 2 3 4" xfId="24570" xr:uid="{09CCC800-FEC7-4E25-883F-059FAACE870A}"/>
    <cellStyle name="Normal 2 2 4 2 7 2 3 5" xfId="24571" xr:uid="{0D697258-03C9-4381-8598-FF2254F02CFF}"/>
    <cellStyle name="Normal 2 2 4 2 7 2 3 6" xfId="24572" xr:uid="{89C9A03F-77A0-4EF7-B80E-995A1425DB87}"/>
    <cellStyle name="Normal 2 2 4 2 7 2 4" xfId="24573" xr:uid="{E752BD92-92B8-4111-9157-416F8159EF2C}"/>
    <cellStyle name="Normal 2 2 4 2 7 2 4 2" xfId="24574" xr:uid="{0D445254-BE68-41D5-8954-C670EC713439}"/>
    <cellStyle name="Normal 2 2 4 2 7 2 4 2 2" xfId="24575" xr:uid="{15846C34-A2CE-44DD-86A8-4E76495A5158}"/>
    <cellStyle name="Normal 2 2 4 2 7 2 4 2 3" xfId="24576" xr:uid="{49310D69-012E-49A8-843F-F3DB1EE4CB3C}"/>
    <cellStyle name="Normal 2 2 4 2 7 2 4 2 4" xfId="24577" xr:uid="{017BEA2B-49F3-4E66-9489-9D228192EC6E}"/>
    <cellStyle name="Normal 2 2 4 2 7 2 4 2 5" xfId="24578" xr:uid="{5E5B275B-F5F7-4A7A-AF0A-923FB31BD625}"/>
    <cellStyle name="Normal 2 2 4 2 7 2 4 3" xfId="24579" xr:uid="{CAA03384-D1E5-410D-AFF0-21DA000A7101}"/>
    <cellStyle name="Normal 2 2 4 2 7 2 4 4" xfId="24580" xr:uid="{0EFA75B5-58E4-48AE-80A3-96286B47E706}"/>
    <cellStyle name="Normal 2 2 4 2 7 2 4 5" xfId="24581" xr:uid="{94D705CB-1E1A-4FF5-8AAC-BE2075D66E61}"/>
    <cellStyle name="Normal 2 2 4 2 7 2 4 6" xfId="24582" xr:uid="{DBBF74F7-BACB-4ABC-A304-9504957F1435}"/>
    <cellStyle name="Normal 2 2 4 2 7 2 5" xfId="24583" xr:uid="{E6721BEA-3B9E-4FE9-A86F-8DFC61843755}"/>
    <cellStyle name="Normal 2 2 4 2 7 2 5 2" xfId="24584" xr:uid="{B4169162-6F05-43F7-B791-412B78193F3A}"/>
    <cellStyle name="Normal 2 2 4 2 7 2 5 3" xfId="24585" xr:uid="{374EB5F6-9A08-4102-B86F-51F2F3D86C97}"/>
    <cellStyle name="Normal 2 2 4 2 7 2 5 4" xfId="24586" xr:uid="{8ED10FE4-B321-47C5-9BEA-13B40928D9B8}"/>
    <cellStyle name="Normal 2 2 4 2 7 2 5 5" xfId="24587" xr:uid="{F5CCD93E-3741-4748-BDBA-6910B2C153FA}"/>
    <cellStyle name="Normal 2 2 4 2 7 2 6" xfId="24588" xr:uid="{29B1D6A0-54C5-429E-B0D0-00CBB3DA54D4}"/>
    <cellStyle name="Normal 2 2 4 2 7 2 6 2" xfId="24589" xr:uid="{5BE6011B-DDDA-441B-8C4B-4BD44EA367FC}"/>
    <cellStyle name="Normal 2 2 4 2 7 2 6 3" xfId="24590" xr:uid="{BF2A3B84-8242-4DDE-A6A8-5477DDA59C97}"/>
    <cellStyle name="Normal 2 2 4 2 7 2 6 4" xfId="24591" xr:uid="{5A3EED7E-DCAD-4F5B-A072-4838788237A5}"/>
    <cellStyle name="Normal 2 2 4 2 7 2 6 5" xfId="24592" xr:uid="{767F72B3-D330-47CB-82CE-1503666BE92C}"/>
    <cellStyle name="Normal 2 2 4 2 7 2 7" xfId="24593" xr:uid="{D89FA0C6-AB53-4163-8CE3-331C7700AC27}"/>
    <cellStyle name="Normal 2 2 4 2 7 2 7 2" xfId="24594" xr:uid="{35B202F0-8C79-4C07-AD8E-655BEF105313}"/>
    <cellStyle name="Normal 2 2 4 2 7 2 7 3" xfId="24595" xr:uid="{A5BD76E9-5CFD-42A0-B427-BC01DAA24ACC}"/>
    <cellStyle name="Normal 2 2 4 2 7 2 7 4" xfId="24596" xr:uid="{2AA9F479-3408-49B3-B7B6-68C87019F7B4}"/>
    <cellStyle name="Normal 2 2 4 2 7 2 7 5" xfId="24597" xr:uid="{940968AC-85B6-4498-BE5F-07E75458EAE5}"/>
    <cellStyle name="Normal 2 2 4 2 7 2 8" xfId="24598" xr:uid="{ADF43BC9-A5E9-4445-894C-C4EC6FB7F58C}"/>
    <cellStyle name="Normal 2 2 4 2 7 2 8 2" xfId="24599" xr:uid="{21886F0D-F908-45FE-9304-1AAB6A3BD9FA}"/>
    <cellStyle name="Normal 2 2 4 2 7 2 8 3" xfId="24600" xr:uid="{D9EC7C97-2A7A-4221-BA76-EC51893EDAE5}"/>
    <cellStyle name="Normal 2 2 4 2 7 2 8 4" xfId="24601" xr:uid="{54FABD24-040D-4E4F-9B41-5BC2E9724D52}"/>
    <cellStyle name="Normal 2 2 4 2 7 2 8 5" xfId="24602" xr:uid="{7284CE3F-A145-4CD9-83C6-E752FBCD7842}"/>
    <cellStyle name="Normal 2 2 4 2 7 2 9" xfId="24603" xr:uid="{A6A73E4C-ABBF-4592-A376-92EBF4203C9D}"/>
    <cellStyle name="Normal 2 2 4 2 7 3" xfId="24604" xr:uid="{A3CAA485-9151-4F15-93F0-EA2CC0B0ADAF}"/>
    <cellStyle name="Normal 2 2 4 2 7 3 2" xfId="24605" xr:uid="{92E500AE-8A9A-45D2-9C4F-3EE58FCD1171}"/>
    <cellStyle name="Normal 2 2 4 2 7 3 2 2" xfId="24606" xr:uid="{1E985A87-7B53-475B-84A4-6EA3C5BCDBF2}"/>
    <cellStyle name="Normal 2 2 4 2 7 3 2 3" xfId="24607" xr:uid="{EB28E228-0A77-4136-BB58-AB0DED655761}"/>
    <cellStyle name="Normal 2 2 4 2 7 3 2 4" xfId="24608" xr:uid="{86D4883E-20FC-49B6-8BA0-417B6F15B003}"/>
    <cellStyle name="Normal 2 2 4 2 7 3 2 5" xfId="24609" xr:uid="{7E45557F-4CB7-42FF-941B-EE054F0FCB9F}"/>
    <cellStyle name="Normal 2 2 4 2 7 3 3" xfId="24610" xr:uid="{BF2A5E6F-6146-4D08-8FB5-A69DC05C5E16}"/>
    <cellStyle name="Normal 2 2 4 2 7 3 4" xfId="24611" xr:uid="{CBE813E0-B165-4E45-BCC0-2707B535F96F}"/>
    <cellStyle name="Normal 2 2 4 2 7 3 5" xfId="24612" xr:uid="{7565C9FF-0995-4C05-AE7B-E3EC456E7894}"/>
    <cellStyle name="Normal 2 2 4 2 7 3 6" xfId="24613" xr:uid="{A8AB4F3F-5CC7-4567-B786-32EF7D295D97}"/>
    <cellStyle name="Normal 2 2 4 2 7 4" xfId="24614" xr:uid="{85211545-0C65-45DE-B82A-2DD6A54DCF4D}"/>
    <cellStyle name="Normal 2 2 4 2 7 4 2" xfId="24615" xr:uid="{66FDD558-A202-49DF-B0E5-76765B9FC8A8}"/>
    <cellStyle name="Normal 2 2 4 2 7 4 2 2" xfId="24616" xr:uid="{D236625D-AF7D-4B2A-9798-3717ABA38DB3}"/>
    <cellStyle name="Normal 2 2 4 2 7 4 2 3" xfId="24617" xr:uid="{012EFD67-B9E2-4405-9CA9-D924D3C902CD}"/>
    <cellStyle name="Normal 2 2 4 2 7 4 2 4" xfId="24618" xr:uid="{425FD96C-C338-41EB-80A6-6F6DB0E28AFD}"/>
    <cellStyle name="Normal 2 2 4 2 7 4 2 5" xfId="24619" xr:uid="{9D42D6B4-7F51-483B-B93A-10394CBD43B9}"/>
    <cellStyle name="Normal 2 2 4 2 7 4 3" xfId="24620" xr:uid="{6FA1EBB1-9BAD-441F-9288-8108E63B488F}"/>
    <cellStyle name="Normal 2 2 4 2 7 4 4" xfId="24621" xr:uid="{AFEBF435-E088-4AA2-AE9D-739B77BE29BE}"/>
    <cellStyle name="Normal 2 2 4 2 7 4 5" xfId="24622" xr:uid="{DB6E54D2-0BF9-4B1F-8B63-D9401E8BA88B}"/>
    <cellStyle name="Normal 2 2 4 2 7 4 6" xfId="24623" xr:uid="{A5461A95-C8CD-4FC1-9ECE-BB231D8D866A}"/>
    <cellStyle name="Normal 2 2 4 2 7 5" xfId="24624" xr:uid="{FD472000-4901-4CCF-8DB8-35237149E57E}"/>
    <cellStyle name="Normal 2 2 4 2 7 5 2" xfId="24625" xr:uid="{537B8F64-5FCD-4381-B7C0-846EB6210589}"/>
    <cellStyle name="Normal 2 2 4 2 7 5 2 2" xfId="24626" xr:uid="{A0EBFBE9-75DF-4DF7-9DCE-DC53BA3AFDBD}"/>
    <cellStyle name="Normal 2 2 4 2 7 5 2 3" xfId="24627" xr:uid="{10343C69-3F5D-40D9-8383-3F18E1A76B1B}"/>
    <cellStyle name="Normal 2 2 4 2 7 5 2 4" xfId="24628" xr:uid="{A4181012-A0CA-4D78-BD4C-44446F09D34B}"/>
    <cellStyle name="Normal 2 2 4 2 7 5 2 5" xfId="24629" xr:uid="{E98D020D-FD77-403A-A101-82ECA144CF15}"/>
    <cellStyle name="Normal 2 2 4 2 7 5 3" xfId="24630" xr:uid="{6C418EEA-2203-4CCF-84F3-807D955EEBCC}"/>
    <cellStyle name="Normal 2 2 4 2 7 5 4" xfId="24631" xr:uid="{DEC0C91A-6208-407A-B0E6-E55C528DFFD3}"/>
    <cellStyle name="Normal 2 2 4 2 7 5 5" xfId="24632" xr:uid="{31EF41C7-F958-44E6-AE67-E8AC3BFA306A}"/>
    <cellStyle name="Normal 2 2 4 2 7 5 6" xfId="24633" xr:uid="{51292E98-1242-4C3C-9F05-A47C0079D138}"/>
    <cellStyle name="Normal 2 2 4 2 7 6" xfId="24634" xr:uid="{1216AA57-2D57-426F-9105-73F4564CB853}"/>
    <cellStyle name="Normal 2 2 4 2 7 6 2" xfId="24635" xr:uid="{067D12C5-E65C-422D-BEEF-3D0F473E79EA}"/>
    <cellStyle name="Normal 2 2 4 2 7 6 3" xfId="24636" xr:uid="{B5DD060A-DF4C-43F5-9667-6CAD07D9DBB3}"/>
    <cellStyle name="Normal 2 2 4 2 7 6 4" xfId="24637" xr:uid="{BE07B242-AE3C-47F2-BEE0-BB9DC5292F48}"/>
    <cellStyle name="Normal 2 2 4 2 7 6 5" xfId="24638" xr:uid="{9838E2E1-2EFD-4CE4-B960-DE8A50249E18}"/>
    <cellStyle name="Normal 2 2 4 2 7 7" xfId="24639" xr:uid="{30922356-ADC5-4A40-8AAF-94E1552EA4EF}"/>
    <cellStyle name="Normal 2 2 4 2 7 7 2" xfId="24640" xr:uid="{6622F602-D873-4CF4-9C5A-B3AC7B2A6BFF}"/>
    <cellStyle name="Normal 2 2 4 2 7 7 3" xfId="24641" xr:uid="{02D71603-5665-4C98-82AC-A1C9A1E1A3CF}"/>
    <cellStyle name="Normal 2 2 4 2 7 7 4" xfId="24642" xr:uid="{B9E37CB6-F108-404F-A816-99076724CF8A}"/>
    <cellStyle name="Normal 2 2 4 2 7 7 5" xfId="24643" xr:uid="{04467B4A-4847-4FD6-9A12-E6B783780AC5}"/>
    <cellStyle name="Normal 2 2 4 2 7 8" xfId="24644" xr:uid="{192A0E66-883B-4CB7-BE3D-A4B1E18AB740}"/>
    <cellStyle name="Normal 2 2 4 2 7 8 2" xfId="24645" xr:uid="{4E94C197-17FB-4CDE-A200-96D5D38EAE1C}"/>
    <cellStyle name="Normal 2 2 4 2 7 8 3" xfId="24646" xr:uid="{98C676C0-53D6-41B2-BFE4-0D1EED84C5D6}"/>
    <cellStyle name="Normal 2 2 4 2 7 8 4" xfId="24647" xr:uid="{963F5658-BD4C-451B-9D00-244C15BDFB05}"/>
    <cellStyle name="Normal 2 2 4 2 7 8 5" xfId="24648" xr:uid="{45491424-9CF5-4010-90AB-EC10D5032BAE}"/>
    <cellStyle name="Normal 2 2 4 2 7 9" xfId="24649" xr:uid="{FE1A352B-8FAE-406F-B86E-652F24462FDE}"/>
    <cellStyle name="Normal 2 2 4 2 7 9 2" xfId="24650" xr:uid="{99C73F94-C29E-4093-885F-52DBB7F146A5}"/>
    <cellStyle name="Normal 2 2 4 2 7 9 3" xfId="24651" xr:uid="{F03A94E3-DFEB-47C7-93BC-59315290F9AE}"/>
    <cellStyle name="Normal 2 2 4 2 7 9 4" xfId="24652" xr:uid="{5855236D-132C-49C1-8611-49B2E99658EF}"/>
    <cellStyle name="Normal 2 2 4 2 7 9 5" xfId="24653" xr:uid="{C1C27250-AA6E-473C-B140-4EDCB34520EB}"/>
    <cellStyle name="Normal 2 2 4 2 8" xfId="24654" xr:uid="{4A0B9E65-2946-4624-A26A-FE3618D21E48}"/>
    <cellStyle name="Normal 2 2 4 2 8 10" xfId="24655" xr:uid="{3D345A0C-3533-4BB7-94BE-31F3B855270F}"/>
    <cellStyle name="Normal 2 2 4 2 8 11" xfId="24656" xr:uid="{847A03B0-7596-468D-899A-C3288A19AC6F}"/>
    <cellStyle name="Normal 2 2 4 2 8 2" xfId="24657" xr:uid="{CBB83E2B-B792-499D-B7DC-A5A61746EADC}"/>
    <cellStyle name="Normal 2 2 4 2 8 2 10" xfId="24658" xr:uid="{36C36DFA-1723-4CE8-9C62-05816DBE27E6}"/>
    <cellStyle name="Normal 2 2 4 2 8 2 11" xfId="24659" xr:uid="{3C31C832-AE7A-4B6C-988A-5B00B60FD914}"/>
    <cellStyle name="Normal 2 2 4 2 8 2 12" xfId="24660" xr:uid="{72A03D1E-2D5A-4704-B443-E87AE2E262E5}"/>
    <cellStyle name="Normal 2 2 4 2 8 2 2" xfId="24661" xr:uid="{FCAEDAAB-81AF-4E30-A389-049F9340D764}"/>
    <cellStyle name="Normal 2 2 4 2 8 2 2 2" xfId="24662" xr:uid="{868E5700-8FC1-4DC5-93F8-9D4E1B4E8FF2}"/>
    <cellStyle name="Normal 2 2 4 2 8 2 2 2 2" xfId="24663" xr:uid="{3CA8F124-3999-4C57-AA62-C3DC5E79287C}"/>
    <cellStyle name="Normal 2 2 4 2 8 2 2 2 3" xfId="24664" xr:uid="{8D379331-81B3-4B02-9B5F-0CE1D2EB50F8}"/>
    <cellStyle name="Normal 2 2 4 2 8 2 2 2 4" xfId="24665" xr:uid="{FFFA59AE-853B-46E7-9881-E3D9FAD5DAE8}"/>
    <cellStyle name="Normal 2 2 4 2 8 2 2 2 5" xfId="24666" xr:uid="{35038B62-2ADE-4F90-A646-14DD72A71801}"/>
    <cellStyle name="Normal 2 2 4 2 8 2 2 3" xfId="24667" xr:uid="{FB97897B-AA22-4F0D-B616-AF577DE2456B}"/>
    <cellStyle name="Normal 2 2 4 2 8 2 2 4" xfId="24668" xr:uid="{519D0FAB-6A02-419B-BDF7-79E482A32BBB}"/>
    <cellStyle name="Normal 2 2 4 2 8 2 2 5" xfId="24669" xr:uid="{3A7AEA17-6798-42D2-A6AE-B0977D2F7CCC}"/>
    <cellStyle name="Normal 2 2 4 2 8 2 3" xfId="24670" xr:uid="{D49E58D0-FBF0-420C-B7D2-2347564C5949}"/>
    <cellStyle name="Normal 2 2 4 2 8 2 4" xfId="24671" xr:uid="{F8C442C1-A9E7-437B-ACA6-AD76071FFFCF}"/>
    <cellStyle name="Normal 2 2 4 2 8 2 5" xfId="24672" xr:uid="{F568F359-550A-47E0-AE1C-CC12146F5D9A}"/>
    <cellStyle name="Normal 2 2 4 2 8 2 5 2" xfId="24673" xr:uid="{9F8C57B3-5A2D-48D3-8E82-7FD3626AB6E9}"/>
    <cellStyle name="Normal 2 2 4 2 8 2 5 3" xfId="24674" xr:uid="{50BE2CEB-380A-4761-B88D-66A40811CF5D}"/>
    <cellStyle name="Normal 2 2 4 2 8 2 5 4" xfId="24675" xr:uid="{280A6538-ED0F-4F6B-AE38-1EAE76EC77F5}"/>
    <cellStyle name="Normal 2 2 4 2 8 2 5 5" xfId="24676" xr:uid="{AA430680-7F9B-44B8-95AA-CEAF4B725842}"/>
    <cellStyle name="Normal 2 2 4 2 8 2 6" xfId="24677" xr:uid="{D535E842-FAE0-406D-837D-1E40B72FEE14}"/>
    <cellStyle name="Normal 2 2 4 2 8 2 7" xfId="24678" xr:uid="{03800A11-AE77-429E-90C3-20256ED7ED42}"/>
    <cellStyle name="Normal 2 2 4 2 8 2 8" xfId="24679" xr:uid="{6783173B-A1AF-469D-8540-63EDD82E29CB}"/>
    <cellStyle name="Normal 2 2 4 2 8 2 9" xfId="24680" xr:uid="{E9F09F03-CDC2-4359-9EF9-40E01CF55894}"/>
    <cellStyle name="Normal 2 2 4 2 8 3" xfId="24681" xr:uid="{7A5F9B21-6537-4682-B854-CA858590FE72}"/>
    <cellStyle name="Normal 2 2 4 2 8 3 2" xfId="24682" xr:uid="{B590806C-66FC-4EBF-9D6E-806B5537DA12}"/>
    <cellStyle name="Normal 2 2 4 2 8 3 2 2" xfId="24683" xr:uid="{A2E4A6BD-A1FC-4849-BFC8-A55C25866FD2}"/>
    <cellStyle name="Normal 2 2 4 2 8 3 2 3" xfId="24684" xr:uid="{05240B5A-C556-4A19-9B12-4BE984173747}"/>
    <cellStyle name="Normal 2 2 4 2 8 3 2 4" xfId="24685" xr:uid="{0C58124D-8304-4499-84C9-13DA6DF826DC}"/>
    <cellStyle name="Normal 2 2 4 2 8 3 2 5" xfId="24686" xr:uid="{5F9FAC46-EAE7-444C-A5AC-7CA826F07766}"/>
    <cellStyle name="Normal 2 2 4 2 8 3 3" xfId="24687" xr:uid="{58568023-25F6-4159-A01A-02B347FF7778}"/>
    <cellStyle name="Normal 2 2 4 2 8 3 4" xfId="24688" xr:uid="{CACACA0F-1422-422D-ADEF-A815BA164D16}"/>
    <cellStyle name="Normal 2 2 4 2 8 3 5" xfId="24689" xr:uid="{007F824A-6E00-4102-A089-DA7991F058B8}"/>
    <cellStyle name="Normal 2 2 4 2 8 3 6" xfId="24690" xr:uid="{504C6AFA-3F43-40F2-95AB-9B87E84C1D14}"/>
    <cellStyle name="Normal 2 2 4 2 8 4" xfId="24691" xr:uid="{E5A7B746-D154-4236-B5A0-CDE4030D62EB}"/>
    <cellStyle name="Normal 2 2 4 2 8 4 2" xfId="24692" xr:uid="{F69785F6-3800-4CE9-9A32-E114421B1D69}"/>
    <cellStyle name="Normal 2 2 4 2 8 4 2 2" xfId="24693" xr:uid="{E69B69F2-D5AB-441E-86E5-635B9E0553BF}"/>
    <cellStyle name="Normal 2 2 4 2 8 4 2 3" xfId="24694" xr:uid="{36B0739C-C301-405A-BF7C-96F5C807B6BF}"/>
    <cellStyle name="Normal 2 2 4 2 8 4 2 4" xfId="24695" xr:uid="{F0CD977C-A3B6-48C3-9BAA-7616C440DE5B}"/>
    <cellStyle name="Normal 2 2 4 2 8 4 2 5" xfId="24696" xr:uid="{85FB16F6-AD9C-41A9-AFBC-24A01B673E97}"/>
    <cellStyle name="Normal 2 2 4 2 8 4 3" xfId="24697" xr:uid="{75380B81-E656-49E3-9DFA-93CBD57063E6}"/>
    <cellStyle name="Normal 2 2 4 2 8 4 4" xfId="24698" xr:uid="{CC165B76-D414-4139-8457-112EA9EE6EE8}"/>
    <cellStyle name="Normal 2 2 4 2 8 4 5" xfId="24699" xr:uid="{A7C0AEB0-5CB1-4DD5-9E9D-726B36E8BB7A}"/>
    <cellStyle name="Normal 2 2 4 2 8 4 6" xfId="24700" xr:uid="{1D677911-0B0C-4850-AE74-7F5FD3ADE61B}"/>
    <cellStyle name="Normal 2 2 4 2 8 5" xfId="24701" xr:uid="{2F279295-475F-40B9-8F75-A3CE682C195E}"/>
    <cellStyle name="Normal 2 2 4 2 8 5 2" xfId="24702" xr:uid="{381E44CE-C6A0-4BEF-B605-2B562F27C2E2}"/>
    <cellStyle name="Normal 2 2 4 2 8 5 3" xfId="24703" xr:uid="{9BB17AF7-719D-486E-B316-A7FA76381C35}"/>
    <cellStyle name="Normal 2 2 4 2 8 5 4" xfId="24704" xr:uid="{18F61FD2-D6CB-40DD-B254-B4F281F18076}"/>
    <cellStyle name="Normal 2 2 4 2 8 5 5" xfId="24705" xr:uid="{10019D93-2D1A-4897-B291-33F4EA1FDD99}"/>
    <cellStyle name="Normal 2 2 4 2 8 6" xfId="24706" xr:uid="{115C1989-0CEC-4EF3-B34D-3B531FF7964E}"/>
    <cellStyle name="Normal 2 2 4 2 8 6 2" xfId="24707" xr:uid="{9F4FBF42-1053-48D5-B312-06B391514A42}"/>
    <cellStyle name="Normal 2 2 4 2 8 6 3" xfId="24708" xr:uid="{3F08AED8-8BD9-447D-A6A6-AC991CD6ADF0}"/>
    <cellStyle name="Normal 2 2 4 2 8 6 4" xfId="24709" xr:uid="{17D1409E-EDDC-43A4-9463-6F4323F33411}"/>
    <cellStyle name="Normal 2 2 4 2 8 6 5" xfId="24710" xr:uid="{9D62427A-EB91-45A5-B82E-E6C60BEAA1AE}"/>
    <cellStyle name="Normal 2 2 4 2 8 7" xfId="24711" xr:uid="{2F4600BD-EB28-4421-82B5-6BE7C0C0534D}"/>
    <cellStyle name="Normal 2 2 4 2 8 7 2" xfId="24712" xr:uid="{649241A0-ABF7-4649-80BF-EB9CC7502B1E}"/>
    <cellStyle name="Normal 2 2 4 2 8 7 3" xfId="24713" xr:uid="{922D2DA8-7736-46E7-ADAF-4BF3AD346FBB}"/>
    <cellStyle name="Normal 2 2 4 2 8 7 4" xfId="24714" xr:uid="{D1162D6F-5500-44B3-B8BB-D64944AF644C}"/>
    <cellStyle name="Normal 2 2 4 2 8 7 5" xfId="24715" xr:uid="{BF80D715-E16A-4D9E-B76D-F62EE7F244FB}"/>
    <cellStyle name="Normal 2 2 4 2 8 8" xfId="24716" xr:uid="{822B86D0-8DEA-4D20-BF96-2AE8E17D7905}"/>
    <cellStyle name="Normal 2 2 4 2 8 9" xfId="24717" xr:uid="{AA0A2E46-BADE-4EB3-A52A-C0F0816603DB}"/>
    <cellStyle name="Normal 2 2 4 2 9" xfId="24718" xr:uid="{A9625264-5290-4CCE-9AA6-889C3622F7B7}"/>
    <cellStyle name="Normal 2 2 4 2 9 2" xfId="24719" xr:uid="{CE7E1287-9F6E-44D2-961A-ABB14319A196}"/>
    <cellStyle name="Normal 2 2 4 2 9 2 2" xfId="24720" xr:uid="{BC726E53-4061-406B-9417-F252D6E4DD4E}"/>
    <cellStyle name="Normal 2 2 4 2 9 2 3" xfId="24721" xr:uid="{7A2E34C1-B627-447A-81E6-55B533496AD6}"/>
    <cellStyle name="Normal 2 2 4 2 9 2 4" xfId="24722" xr:uid="{332E9B41-4F52-4356-9464-7BA4D9B5F5C5}"/>
    <cellStyle name="Normal 2 2 4 2 9 2 5" xfId="24723" xr:uid="{47236A52-D7CF-4D27-8913-3FFB939E7864}"/>
    <cellStyle name="Normal 2 2 4 2 9 3" xfId="24724" xr:uid="{D4EEBA08-14CB-423D-8FDB-8B4459904861}"/>
    <cellStyle name="Normal 2 2 4 2 9 4" xfId="24725" xr:uid="{076BAB35-E1B4-4F31-9813-35F538DE5287}"/>
    <cellStyle name="Normal 2 2 4 2 9 5" xfId="24726" xr:uid="{527B1936-C274-4F79-B618-66069E3C7E03}"/>
    <cellStyle name="Normal 2 2 4 3" xfId="24727" xr:uid="{C810A5AE-1020-444C-A3F7-A95369CCB1C0}"/>
    <cellStyle name="Normal 2 2 4 3 10" xfId="24728" xr:uid="{74377259-402F-4F88-8488-A174B0E58C4F}"/>
    <cellStyle name="Normal 2 2 4 3 11" xfId="24729" xr:uid="{D24522FB-7858-40EB-A4B1-83FE60094A01}"/>
    <cellStyle name="Normal 2 2 4 3 12" xfId="24730" xr:uid="{F750660C-13B4-4B6D-960D-31FEC75D3011}"/>
    <cellStyle name="Normal 2 2 4 3 13" xfId="24731" xr:uid="{1F776EF7-45E9-426B-ACAA-6323D13C206A}"/>
    <cellStyle name="Normal 2 2 4 3 14" xfId="24732" xr:uid="{32FB4543-727A-4E73-8D56-D7B43BBA34D3}"/>
    <cellStyle name="Normal 2 2 4 3 15" xfId="24733" xr:uid="{7041D8FB-F33C-4771-B654-40283E8C5F62}"/>
    <cellStyle name="Normal 2 2 4 3 2" xfId="24734" xr:uid="{748656B5-EBCE-42FD-8292-15E3E9E61CAE}"/>
    <cellStyle name="Normal 2 2 4 3 2 10" xfId="24735" xr:uid="{FDFAFFC3-6EBD-4B62-BA62-C6D359EE0AC3}"/>
    <cellStyle name="Normal 2 2 4 3 2 10 2" xfId="24736" xr:uid="{9FE6D215-3519-4CB1-8952-A1F06AE7A88A}"/>
    <cellStyle name="Normal 2 2 4 3 2 10 3" xfId="24737" xr:uid="{4194D2B2-0012-489C-86FF-5B5E4ED976CE}"/>
    <cellStyle name="Normal 2 2 4 3 2 10 4" xfId="24738" xr:uid="{4B810F6C-9A44-4E8C-BA6B-C0567C74B3E4}"/>
    <cellStyle name="Normal 2 2 4 3 2 10 5" xfId="24739" xr:uid="{9CCEBCE3-485C-4D09-9B77-155ED57AC838}"/>
    <cellStyle name="Normal 2 2 4 3 2 11" xfId="24740" xr:uid="{41158FD9-B506-436F-8ADA-3D6751D146BB}"/>
    <cellStyle name="Normal 2 2 4 3 2 12" xfId="24741" xr:uid="{C2C578F5-B990-4311-B16C-292CA6A62351}"/>
    <cellStyle name="Normal 2 2 4 3 2 13" xfId="24742" xr:uid="{996EEC94-4E53-4FD0-BEC9-8C121E50304E}"/>
    <cellStyle name="Normal 2 2 4 3 2 14" xfId="24743" xr:uid="{DF93E49D-6574-4BF4-B2E0-1A45F939C782}"/>
    <cellStyle name="Normal 2 2 4 3 2 2" xfId="24744" xr:uid="{ED581DFA-CFE8-4FBD-BD2F-40B65138260B}"/>
    <cellStyle name="Normal 2 2 4 3 2 2 10" xfId="24745" xr:uid="{BF7EE3C5-A842-4D5A-8FA7-0C3B48668A8D}"/>
    <cellStyle name="Normal 2 2 4 3 2 2 11" xfId="24746" xr:uid="{23C747FB-1288-46A9-9311-EB1E896C5AF1}"/>
    <cellStyle name="Normal 2 2 4 3 2 2 12" xfId="24747" xr:uid="{2CDCBAAB-60FA-46FD-A6B1-464080ADA14B}"/>
    <cellStyle name="Normal 2 2 4 3 2 2 13" xfId="24748" xr:uid="{04FF4E25-859D-457F-B7E2-A1294616DC66}"/>
    <cellStyle name="Normal 2 2 4 3 2 2 2" xfId="24749" xr:uid="{AFEDAB66-053A-4D5D-92AF-3191CDDF9740}"/>
    <cellStyle name="Normal 2 2 4 3 2 2 2 10" xfId="24750" xr:uid="{49F9CD7E-3EE8-4948-9B5B-A6C42CE22445}"/>
    <cellStyle name="Normal 2 2 4 3 2 2 2 11" xfId="24751" xr:uid="{FBB91AE5-2E5C-440F-8721-E00D010E0D3A}"/>
    <cellStyle name="Normal 2 2 4 3 2 2 2 12" xfId="24752" xr:uid="{D8A6372C-31A1-4FD9-BB3E-6DBE3136CC9B}"/>
    <cellStyle name="Normal 2 2 4 3 2 2 2 2" xfId="24753" xr:uid="{07C391CC-3E60-4959-AEA0-B2E140EABC6E}"/>
    <cellStyle name="Normal 2 2 4 3 2 2 2 2 2" xfId="24754" xr:uid="{6196EA40-4B0A-42E8-9736-AAC6FD8BAF9D}"/>
    <cellStyle name="Normal 2 2 4 3 2 2 2 2 2 2" xfId="24755" xr:uid="{98562F1B-58B1-4470-855E-C3A4A5288D97}"/>
    <cellStyle name="Normal 2 2 4 3 2 2 2 2 2 3" xfId="24756" xr:uid="{05550687-09A8-4328-AD95-1DBD03E8D07E}"/>
    <cellStyle name="Normal 2 2 4 3 2 2 2 2 2 4" xfId="24757" xr:uid="{FF7FB3C1-9FC2-4587-8B9B-97E2EA4E76DB}"/>
    <cellStyle name="Normal 2 2 4 3 2 2 2 2 2 5" xfId="24758" xr:uid="{3682C2EA-98BB-442D-874A-F7296C930D63}"/>
    <cellStyle name="Normal 2 2 4 3 2 2 2 2 3" xfId="24759" xr:uid="{791A1CDB-71B6-40A4-91B5-0EBA9BFA9AFA}"/>
    <cellStyle name="Normal 2 2 4 3 2 2 2 2 4" xfId="24760" xr:uid="{0CC760BD-F9C8-4761-B77A-88FE162FAC5C}"/>
    <cellStyle name="Normal 2 2 4 3 2 2 2 2 5" xfId="24761" xr:uid="{187F3279-7DC8-407F-B7B0-E0DA38B258BB}"/>
    <cellStyle name="Normal 2 2 4 3 2 2 2 2 6" xfId="24762" xr:uid="{3767BE0F-E4EF-4ECA-9A2A-544D72244003}"/>
    <cellStyle name="Normal 2 2 4 3 2 2 2 3" xfId="24763" xr:uid="{3259AE7F-EB9F-453A-99A6-B694FD3B1D90}"/>
    <cellStyle name="Normal 2 2 4 3 2 2 2 3 2" xfId="24764" xr:uid="{7E633663-375B-4E9C-96F4-B6B90B13B9D1}"/>
    <cellStyle name="Normal 2 2 4 3 2 2 2 3 2 2" xfId="24765" xr:uid="{AB0CB741-14E9-4BEB-8615-E84C45DB6539}"/>
    <cellStyle name="Normal 2 2 4 3 2 2 2 3 2 3" xfId="24766" xr:uid="{DD3EC5C9-44A8-497C-AA2E-A17E4FDB3D78}"/>
    <cellStyle name="Normal 2 2 4 3 2 2 2 3 2 4" xfId="24767" xr:uid="{96F27A20-D214-4557-9F46-857CDBF1A881}"/>
    <cellStyle name="Normal 2 2 4 3 2 2 2 3 2 5" xfId="24768" xr:uid="{65E9B671-4D97-40EB-B5B6-A18C965070E9}"/>
    <cellStyle name="Normal 2 2 4 3 2 2 2 3 3" xfId="24769" xr:uid="{5BF59515-ADC3-4BDB-B7A2-71BFFF5E1A37}"/>
    <cellStyle name="Normal 2 2 4 3 2 2 2 3 4" xfId="24770" xr:uid="{D8E8649B-C459-4460-A531-FB2FDD92FA93}"/>
    <cellStyle name="Normal 2 2 4 3 2 2 2 3 5" xfId="24771" xr:uid="{14B2B34C-BA5A-4CAC-AC31-E24F23DDAFE2}"/>
    <cellStyle name="Normal 2 2 4 3 2 2 2 3 6" xfId="24772" xr:uid="{3A3D88BB-D8E0-4200-82BD-86CD68050B0D}"/>
    <cellStyle name="Normal 2 2 4 3 2 2 2 4" xfId="24773" xr:uid="{9E52B33F-A1FC-44AB-8C22-BDEE23D5FB2A}"/>
    <cellStyle name="Normal 2 2 4 3 2 2 2 4 2" xfId="24774" xr:uid="{94338524-3781-41AE-9BF5-34427AF3CAF5}"/>
    <cellStyle name="Normal 2 2 4 3 2 2 2 4 2 2" xfId="24775" xr:uid="{37E6DE99-F39D-45EA-A4C4-16375B798F06}"/>
    <cellStyle name="Normal 2 2 4 3 2 2 2 4 2 3" xfId="24776" xr:uid="{9B60300C-7575-4C1B-8220-0B4BB753F289}"/>
    <cellStyle name="Normal 2 2 4 3 2 2 2 4 2 4" xfId="24777" xr:uid="{F2E5B14A-A227-4366-8825-EEF8A5CD2E1B}"/>
    <cellStyle name="Normal 2 2 4 3 2 2 2 4 2 5" xfId="24778" xr:uid="{19DF2E4C-1213-4232-B2F5-F89682B100C5}"/>
    <cellStyle name="Normal 2 2 4 3 2 2 2 4 3" xfId="24779" xr:uid="{0B59C0A8-B18E-46A9-BF54-335FC423AC77}"/>
    <cellStyle name="Normal 2 2 4 3 2 2 2 4 4" xfId="24780" xr:uid="{5D8B1CEC-FE6E-47E3-8CA6-1D93CD9AB0BB}"/>
    <cellStyle name="Normal 2 2 4 3 2 2 2 4 5" xfId="24781" xr:uid="{C356B160-C780-4B39-B635-CDDEAC168911}"/>
    <cellStyle name="Normal 2 2 4 3 2 2 2 4 6" xfId="24782" xr:uid="{A36D1BAD-826C-431A-9EC8-83E3600D6E0A}"/>
    <cellStyle name="Normal 2 2 4 3 2 2 2 5" xfId="24783" xr:uid="{9C7774C5-DF14-492D-845E-F0A50B0FA5DA}"/>
    <cellStyle name="Normal 2 2 4 3 2 2 2 5 2" xfId="24784" xr:uid="{A57D1924-08E0-4F44-8B16-DA630FB5A5B7}"/>
    <cellStyle name="Normal 2 2 4 3 2 2 2 5 3" xfId="24785" xr:uid="{879D478D-0537-48A6-BDAE-FE24B189AF41}"/>
    <cellStyle name="Normal 2 2 4 3 2 2 2 5 4" xfId="24786" xr:uid="{B5C0E700-ED4F-43B7-A421-4AB913188C67}"/>
    <cellStyle name="Normal 2 2 4 3 2 2 2 5 5" xfId="24787" xr:uid="{A8F3FA9D-7DF2-40F3-B613-C602ED432B04}"/>
    <cellStyle name="Normal 2 2 4 3 2 2 2 6" xfId="24788" xr:uid="{01D742F7-8C11-48F0-9C5A-FDBDC232017A}"/>
    <cellStyle name="Normal 2 2 4 3 2 2 2 6 2" xfId="24789" xr:uid="{C953F28D-04A6-4A92-BC78-CA062E693DDF}"/>
    <cellStyle name="Normal 2 2 4 3 2 2 2 6 3" xfId="24790" xr:uid="{03C09967-7B07-43FF-A556-D545DF24E2AF}"/>
    <cellStyle name="Normal 2 2 4 3 2 2 2 6 4" xfId="24791" xr:uid="{1540C667-2899-4549-A12F-B428AF070C8A}"/>
    <cellStyle name="Normal 2 2 4 3 2 2 2 6 5" xfId="24792" xr:uid="{B22CEE4A-21E8-4E6F-8249-C37BE9D47DF6}"/>
    <cellStyle name="Normal 2 2 4 3 2 2 2 7" xfId="24793" xr:uid="{6699F4E5-C05F-4FC1-944F-F8B6A58F2E25}"/>
    <cellStyle name="Normal 2 2 4 3 2 2 2 7 2" xfId="24794" xr:uid="{1ED4497A-53B7-4A05-9408-7B705FA0D36B}"/>
    <cellStyle name="Normal 2 2 4 3 2 2 2 7 3" xfId="24795" xr:uid="{151EDF91-2216-4FF3-810B-0912356AA9B1}"/>
    <cellStyle name="Normal 2 2 4 3 2 2 2 7 4" xfId="24796" xr:uid="{7EEBE594-7FE4-47B0-9919-F0952B6519AB}"/>
    <cellStyle name="Normal 2 2 4 3 2 2 2 7 5" xfId="24797" xr:uid="{43664BB5-ACE9-451D-AD3C-B107E1FDF09E}"/>
    <cellStyle name="Normal 2 2 4 3 2 2 2 8" xfId="24798" xr:uid="{CE15E0B4-3710-486E-80A1-DCF939B63E83}"/>
    <cellStyle name="Normal 2 2 4 3 2 2 2 8 2" xfId="24799" xr:uid="{79CDA266-320F-4656-8F82-ADB22F2AF45C}"/>
    <cellStyle name="Normal 2 2 4 3 2 2 2 8 3" xfId="24800" xr:uid="{FF2916D1-64E0-4938-834D-20DBC0D61E21}"/>
    <cellStyle name="Normal 2 2 4 3 2 2 2 8 4" xfId="24801" xr:uid="{FB2E8F78-E3E0-4004-8AE7-267316D8FFE0}"/>
    <cellStyle name="Normal 2 2 4 3 2 2 2 8 5" xfId="24802" xr:uid="{008F6302-23A3-4D2E-97B2-DA9E6AD69103}"/>
    <cellStyle name="Normal 2 2 4 3 2 2 2 9" xfId="24803" xr:uid="{1CB01FC7-4D6A-4270-A830-09DC9D222FCB}"/>
    <cellStyle name="Normal 2 2 4 3 2 2 3" xfId="24804" xr:uid="{043C16CD-9D80-4E84-9EEA-67CB9D1EA531}"/>
    <cellStyle name="Normal 2 2 4 3 2 2 3 2" xfId="24805" xr:uid="{EA6ADCB6-4207-46EC-B5FD-3B2181F8906D}"/>
    <cellStyle name="Normal 2 2 4 3 2 2 3 2 2" xfId="24806" xr:uid="{3CF5B8C8-21E2-4EB1-AD77-03C6BB221CA4}"/>
    <cellStyle name="Normal 2 2 4 3 2 2 3 2 3" xfId="24807" xr:uid="{0F6C4398-715F-42FB-92E4-C6E7038952DA}"/>
    <cellStyle name="Normal 2 2 4 3 2 2 3 2 4" xfId="24808" xr:uid="{957BC963-71FE-49F5-872C-48CCE06475B6}"/>
    <cellStyle name="Normal 2 2 4 3 2 2 3 2 5" xfId="24809" xr:uid="{98C8D018-C48C-4205-8DEC-0C4058B0AA98}"/>
    <cellStyle name="Normal 2 2 4 3 2 2 3 3" xfId="24810" xr:uid="{26D1344B-15BB-4B5F-8BEA-878D4B8508A9}"/>
    <cellStyle name="Normal 2 2 4 3 2 2 3 4" xfId="24811" xr:uid="{FDC86E0F-137A-422C-8C60-F7FF115596F4}"/>
    <cellStyle name="Normal 2 2 4 3 2 2 3 5" xfId="24812" xr:uid="{82FD9241-A8F1-4587-8535-F3A2CB846D32}"/>
    <cellStyle name="Normal 2 2 4 3 2 2 3 6" xfId="24813" xr:uid="{6300F39D-0A1A-4070-9AC6-A55D2C867F89}"/>
    <cellStyle name="Normal 2 2 4 3 2 2 4" xfId="24814" xr:uid="{09F109A1-59D2-4351-9C1B-BDEE0C0E78FF}"/>
    <cellStyle name="Normal 2 2 4 3 2 2 4 2" xfId="24815" xr:uid="{851B551F-3378-470E-BE30-A65C860F50FD}"/>
    <cellStyle name="Normal 2 2 4 3 2 2 4 2 2" xfId="24816" xr:uid="{3684E277-DB21-4208-947A-A3448BD0A01D}"/>
    <cellStyle name="Normal 2 2 4 3 2 2 4 2 3" xfId="24817" xr:uid="{5C51B25C-7603-4D1C-A590-3BAC27F20233}"/>
    <cellStyle name="Normal 2 2 4 3 2 2 4 2 4" xfId="24818" xr:uid="{F09414E0-AA6B-4BAB-9F5C-9200114D1D3B}"/>
    <cellStyle name="Normal 2 2 4 3 2 2 4 2 5" xfId="24819" xr:uid="{10400E5C-64E4-4588-9F2F-9F70D2C0DA31}"/>
    <cellStyle name="Normal 2 2 4 3 2 2 4 3" xfId="24820" xr:uid="{F0FEACB6-755B-44DA-BD5C-45E2AD61D10E}"/>
    <cellStyle name="Normal 2 2 4 3 2 2 4 4" xfId="24821" xr:uid="{EB2C42B5-FA02-455D-AAEB-E4E67E9DCD7E}"/>
    <cellStyle name="Normal 2 2 4 3 2 2 4 5" xfId="24822" xr:uid="{3BA02E72-1890-4484-B715-146FFD4CA8EA}"/>
    <cellStyle name="Normal 2 2 4 3 2 2 4 6" xfId="24823" xr:uid="{AC0120AA-282F-427F-9B90-F6D60B3079B9}"/>
    <cellStyle name="Normal 2 2 4 3 2 2 5" xfId="24824" xr:uid="{305048AF-E8A0-45C2-96B9-8D9983A6BD04}"/>
    <cellStyle name="Normal 2 2 4 3 2 2 5 2" xfId="24825" xr:uid="{6F74B01F-4310-42BF-AFDF-1FFC9610191E}"/>
    <cellStyle name="Normal 2 2 4 3 2 2 5 2 2" xfId="24826" xr:uid="{05E30DF8-9AFD-446F-A379-5B6CE193A4B8}"/>
    <cellStyle name="Normal 2 2 4 3 2 2 5 2 3" xfId="24827" xr:uid="{1A14AAF0-33E9-45B7-B910-8B9F72E7BE8B}"/>
    <cellStyle name="Normal 2 2 4 3 2 2 5 2 4" xfId="24828" xr:uid="{221AF6D0-168A-4F67-A8D5-6A0CAFDD6F54}"/>
    <cellStyle name="Normal 2 2 4 3 2 2 5 2 5" xfId="24829" xr:uid="{D040F033-1136-4274-A019-55B289D58561}"/>
    <cellStyle name="Normal 2 2 4 3 2 2 5 3" xfId="24830" xr:uid="{51917A7E-BD54-483D-A977-791917D87AB0}"/>
    <cellStyle name="Normal 2 2 4 3 2 2 5 4" xfId="24831" xr:uid="{F6E1862C-2775-4C86-8197-7BBBECED15F3}"/>
    <cellStyle name="Normal 2 2 4 3 2 2 5 5" xfId="24832" xr:uid="{AC089CF4-BCB6-4B6A-BE3D-FE5686C811C7}"/>
    <cellStyle name="Normal 2 2 4 3 2 2 5 6" xfId="24833" xr:uid="{833355D6-ACD1-45A9-9DED-1EA7E638E95F}"/>
    <cellStyle name="Normal 2 2 4 3 2 2 6" xfId="24834" xr:uid="{E644D2CE-C8B4-4CF5-8391-7086E8BADC6F}"/>
    <cellStyle name="Normal 2 2 4 3 2 2 6 2" xfId="24835" xr:uid="{EDE4C22A-1CF5-4D62-91AF-74BC1B2856CC}"/>
    <cellStyle name="Normal 2 2 4 3 2 2 6 3" xfId="24836" xr:uid="{10D9EDE6-7EBA-457C-9F4B-029B99DDA3C2}"/>
    <cellStyle name="Normal 2 2 4 3 2 2 6 4" xfId="24837" xr:uid="{7F726F9F-C59B-4DDD-8D3B-B0954EFE02DC}"/>
    <cellStyle name="Normal 2 2 4 3 2 2 6 5" xfId="24838" xr:uid="{87619E8C-B326-4899-AFDD-3FD9BA9B5682}"/>
    <cellStyle name="Normal 2 2 4 3 2 2 7" xfId="24839" xr:uid="{4DF2D9BA-7644-4CAB-9F64-1080B2840DA6}"/>
    <cellStyle name="Normal 2 2 4 3 2 2 7 2" xfId="24840" xr:uid="{1F51F39B-4E0B-4758-A411-1DEB6B430543}"/>
    <cellStyle name="Normal 2 2 4 3 2 2 7 3" xfId="24841" xr:uid="{25F33BB2-36A7-41CF-9316-4CD85C6112ED}"/>
    <cellStyle name="Normal 2 2 4 3 2 2 7 4" xfId="24842" xr:uid="{B222D92A-AAB3-4234-BE1B-2CF86E31FB4D}"/>
    <cellStyle name="Normal 2 2 4 3 2 2 7 5" xfId="24843" xr:uid="{80D93DA3-BEEB-4AF7-98D9-7E1F72F96FF7}"/>
    <cellStyle name="Normal 2 2 4 3 2 2 8" xfId="24844" xr:uid="{8619A365-D663-4D3B-ACC2-B7C5C26A5EA9}"/>
    <cellStyle name="Normal 2 2 4 3 2 2 8 2" xfId="24845" xr:uid="{3F6A70FF-3A81-4A34-A51D-28E676576385}"/>
    <cellStyle name="Normal 2 2 4 3 2 2 8 3" xfId="24846" xr:uid="{51E4B3AB-33A0-4D47-91C7-998B4F31826F}"/>
    <cellStyle name="Normal 2 2 4 3 2 2 8 4" xfId="24847" xr:uid="{6620911B-260B-493F-A1B2-76F72807F82F}"/>
    <cellStyle name="Normal 2 2 4 3 2 2 8 5" xfId="24848" xr:uid="{0248B50A-4D37-4553-861D-1C35FC2D76C2}"/>
    <cellStyle name="Normal 2 2 4 3 2 2 9" xfId="24849" xr:uid="{71AD3227-1FEE-4423-A8B4-3DA692568A80}"/>
    <cellStyle name="Normal 2 2 4 3 2 2 9 2" xfId="24850" xr:uid="{79536411-EF46-4EF0-96E3-1A8ECAF5ED56}"/>
    <cellStyle name="Normal 2 2 4 3 2 2 9 3" xfId="24851" xr:uid="{B175D230-BD0E-459A-A4D5-1A851E813591}"/>
    <cellStyle name="Normal 2 2 4 3 2 2 9 4" xfId="24852" xr:uid="{D1F0CF91-ED44-4F53-ABEF-6D62D1856F88}"/>
    <cellStyle name="Normal 2 2 4 3 2 2 9 5" xfId="24853" xr:uid="{9DE367FF-1816-446E-BC73-E3EBD1A68A49}"/>
    <cellStyle name="Normal 2 2 4 3 2 3" xfId="24854" xr:uid="{5D50A825-0AD5-430A-A91A-4057AB4007DD}"/>
    <cellStyle name="Normal 2 2 4 3 2 3 10" xfId="24855" xr:uid="{1D9F4E55-D41B-4D98-B811-961B48AE4F67}"/>
    <cellStyle name="Normal 2 2 4 3 2 3 11" xfId="24856" xr:uid="{E553403C-21EB-433E-9389-FF170B0D9F16}"/>
    <cellStyle name="Normal 2 2 4 3 2 3 12" xfId="24857" xr:uid="{C10365C7-1259-4E10-A69A-BC4059EDA79A}"/>
    <cellStyle name="Normal 2 2 4 3 2 3 2" xfId="24858" xr:uid="{318553C1-A541-4DF2-B218-987BB33D18A6}"/>
    <cellStyle name="Normal 2 2 4 3 2 3 2 2" xfId="24859" xr:uid="{B30ED20C-F57D-4F8E-A709-D9F46848D074}"/>
    <cellStyle name="Normal 2 2 4 3 2 3 2 2 2" xfId="24860" xr:uid="{D18856FD-D4DB-42F0-A086-7CE376D09828}"/>
    <cellStyle name="Normal 2 2 4 3 2 3 2 2 3" xfId="24861" xr:uid="{CA7786F8-C6CE-46AA-A7DB-A7825420D847}"/>
    <cellStyle name="Normal 2 2 4 3 2 3 2 2 4" xfId="24862" xr:uid="{F25767A8-FAEB-4DAB-A734-EC59D065EE0C}"/>
    <cellStyle name="Normal 2 2 4 3 2 3 2 2 5" xfId="24863" xr:uid="{5096F67F-4A5A-4D44-B529-EFFCEAD183E1}"/>
    <cellStyle name="Normal 2 2 4 3 2 3 2 3" xfId="24864" xr:uid="{38AEFA05-B084-40F3-A8C4-D5E163FCC6E9}"/>
    <cellStyle name="Normal 2 2 4 3 2 3 2 4" xfId="24865" xr:uid="{1D85FF87-DDE6-4D6C-9B46-84884EFCC193}"/>
    <cellStyle name="Normal 2 2 4 3 2 3 2 5" xfId="24866" xr:uid="{2C4FF1F3-ED56-48B7-828F-29EC73318593}"/>
    <cellStyle name="Normal 2 2 4 3 2 3 2 6" xfId="24867" xr:uid="{36E33804-0E58-4D93-87FD-307D459AB7E9}"/>
    <cellStyle name="Normal 2 2 4 3 2 3 3" xfId="24868" xr:uid="{ED58C507-1FFE-41BF-B84A-01E15238BA03}"/>
    <cellStyle name="Normal 2 2 4 3 2 3 3 2" xfId="24869" xr:uid="{AC5EC9FF-2C67-4426-A253-9F34E5FBFD11}"/>
    <cellStyle name="Normal 2 2 4 3 2 3 3 2 2" xfId="24870" xr:uid="{0E0B98DD-0782-4292-8A8F-66BBCD19E5CD}"/>
    <cellStyle name="Normal 2 2 4 3 2 3 3 2 3" xfId="24871" xr:uid="{4061CB45-15D4-4607-A6C8-570CB89F37A7}"/>
    <cellStyle name="Normal 2 2 4 3 2 3 3 2 4" xfId="24872" xr:uid="{6BAB79C3-8DE0-465F-A399-0204A9781FC6}"/>
    <cellStyle name="Normal 2 2 4 3 2 3 3 2 5" xfId="24873" xr:uid="{86E60DDB-D9A6-40C2-BB77-56B189163100}"/>
    <cellStyle name="Normal 2 2 4 3 2 3 3 3" xfId="24874" xr:uid="{A3CE16DF-36E8-4B23-A8EB-8479D84F201D}"/>
    <cellStyle name="Normal 2 2 4 3 2 3 3 4" xfId="24875" xr:uid="{30F8FA98-7096-4CF4-8214-80562D753E39}"/>
    <cellStyle name="Normal 2 2 4 3 2 3 3 5" xfId="24876" xr:uid="{3547DD5B-E744-4355-B239-2FD9BCD0C99B}"/>
    <cellStyle name="Normal 2 2 4 3 2 3 3 6" xfId="24877" xr:uid="{87AEA6E8-6F56-4857-A3E3-D690339E133E}"/>
    <cellStyle name="Normal 2 2 4 3 2 3 4" xfId="24878" xr:uid="{4C23F6F5-BFB8-400A-A80F-2E7DF0265319}"/>
    <cellStyle name="Normal 2 2 4 3 2 3 4 2" xfId="24879" xr:uid="{32FEB9F1-D2D8-4FE7-9B83-4DE56619E7B4}"/>
    <cellStyle name="Normal 2 2 4 3 2 3 4 2 2" xfId="24880" xr:uid="{53BB1256-2CAD-4410-B763-59296E8F1690}"/>
    <cellStyle name="Normal 2 2 4 3 2 3 4 2 3" xfId="24881" xr:uid="{D185A8FD-3AD9-427D-A314-22D479FB9199}"/>
    <cellStyle name="Normal 2 2 4 3 2 3 4 2 4" xfId="24882" xr:uid="{C8175071-43BD-44CF-88E2-E1392F26F053}"/>
    <cellStyle name="Normal 2 2 4 3 2 3 4 2 5" xfId="24883" xr:uid="{EDB292C4-24F9-4EE1-AAB3-4381570ACF21}"/>
    <cellStyle name="Normal 2 2 4 3 2 3 4 3" xfId="24884" xr:uid="{A702D7FA-3771-4EF3-BF42-558072CB0B73}"/>
    <cellStyle name="Normal 2 2 4 3 2 3 4 4" xfId="24885" xr:uid="{43D99F04-81AF-414C-B552-E290E4CDFDE4}"/>
    <cellStyle name="Normal 2 2 4 3 2 3 4 5" xfId="24886" xr:uid="{1E3A4474-C4B9-4C76-A0DD-95F6FF3AC9E1}"/>
    <cellStyle name="Normal 2 2 4 3 2 3 4 6" xfId="24887" xr:uid="{9FE7FCB9-2599-44E2-8AF1-FD3744323F3E}"/>
    <cellStyle name="Normal 2 2 4 3 2 3 5" xfId="24888" xr:uid="{8018FD55-CDA5-49DE-A234-3336A129DCDE}"/>
    <cellStyle name="Normal 2 2 4 3 2 3 5 2" xfId="24889" xr:uid="{173E5AA6-FF29-4BE6-A398-457A7C2BB1D6}"/>
    <cellStyle name="Normal 2 2 4 3 2 3 5 3" xfId="24890" xr:uid="{F52ED433-B970-487B-A953-B1C47DA11227}"/>
    <cellStyle name="Normal 2 2 4 3 2 3 5 4" xfId="24891" xr:uid="{41556CA5-AACD-4981-B001-D6CAFC0499D5}"/>
    <cellStyle name="Normal 2 2 4 3 2 3 5 5" xfId="24892" xr:uid="{3BAC60A8-4B1F-4AD0-BE84-A439B0A6109F}"/>
    <cellStyle name="Normal 2 2 4 3 2 3 6" xfId="24893" xr:uid="{BC9E7A04-8052-49A8-BB23-3183720D260F}"/>
    <cellStyle name="Normal 2 2 4 3 2 3 6 2" xfId="24894" xr:uid="{75333694-C118-4613-8E58-2E91FFE6EEE3}"/>
    <cellStyle name="Normal 2 2 4 3 2 3 6 3" xfId="24895" xr:uid="{535A1A84-4559-4931-9334-BF1FC1976C66}"/>
    <cellStyle name="Normal 2 2 4 3 2 3 6 4" xfId="24896" xr:uid="{83AE86E2-8A13-4853-AB03-FE4CEE6B3EFE}"/>
    <cellStyle name="Normal 2 2 4 3 2 3 6 5" xfId="24897" xr:uid="{B6277C47-1A8E-479F-8636-D9B5B3793EE0}"/>
    <cellStyle name="Normal 2 2 4 3 2 3 7" xfId="24898" xr:uid="{2142D020-EE2E-44A9-9390-05E5C02148DF}"/>
    <cellStyle name="Normal 2 2 4 3 2 3 7 2" xfId="24899" xr:uid="{AFCB0F21-6D1E-4ED0-A30E-F02C17E39222}"/>
    <cellStyle name="Normal 2 2 4 3 2 3 7 3" xfId="24900" xr:uid="{451A55E7-6FE2-49F4-A9DE-BE6420646B32}"/>
    <cellStyle name="Normal 2 2 4 3 2 3 7 4" xfId="24901" xr:uid="{C09FA940-BE49-4A14-9572-C2010FA53812}"/>
    <cellStyle name="Normal 2 2 4 3 2 3 7 5" xfId="24902" xr:uid="{0AA7C23A-7444-4593-A980-7C701F12A82D}"/>
    <cellStyle name="Normal 2 2 4 3 2 3 8" xfId="24903" xr:uid="{133685B9-0945-4C1E-B1FB-9C4B0B765CB9}"/>
    <cellStyle name="Normal 2 2 4 3 2 3 8 2" xfId="24904" xr:uid="{F645C373-3AF9-493B-8CB3-DB96EB31C310}"/>
    <cellStyle name="Normal 2 2 4 3 2 3 8 3" xfId="24905" xr:uid="{CFB1A15D-4837-4A6A-8EFE-253C24884393}"/>
    <cellStyle name="Normal 2 2 4 3 2 3 8 4" xfId="24906" xr:uid="{6909E25E-03D7-49B6-BDCA-5F444C71F846}"/>
    <cellStyle name="Normal 2 2 4 3 2 3 8 5" xfId="24907" xr:uid="{6001B9C3-03FA-4B30-9ADC-605B10A815E9}"/>
    <cellStyle name="Normal 2 2 4 3 2 3 9" xfId="24908" xr:uid="{0F1D1035-8DA5-4EE4-A07E-82D0FC8A1302}"/>
    <cellStyle name="Normal 2 2 4 3 2 4" xfId="24909" xr:uid="{26D0F9CB-1548-4A5A-BA25-2815DEDB4C29}"/>
    <cellStyle name="Normal 2 2 4 3 2 4 2" xfId="24910" xr:uid="{F16DF514-EE63-4656-B538-088C62AB20D6}"/>
    <cellStyle name="Normal 2 2 4 3 2 4 2 2" xfId="24911" xr:uid="{4FDC43F4-D776-4EFD-A3D3-5AC3E0E263DB}"/>
    <cellStyle name="Normal 2 2 4 3 2 4 2 3" xfId="24912" xr:uid="{9AAB09FE-F596-4CFA-A3F6-535BE08969C2}"/>
    <cellStyle name="Normal 2 2 4 3 2 4 2 4" xfId="24913" xr:uid="{439159D1-B143-4AA9-BDD9-FC127E02DB85}"/>
    <cellStyle name="Normal 2 2 4 3 2 4 2 5" xfId="24914" xr:uid="{5F1F5088-C31B-4ED5-9372-EFABD798BB63}"/>
    <cellStyle name="Normal 2 2 4 3 2 4 3" xfId="24915" xr:uid="{688F2EA4-77AC-44D9-A124-D263F92A4C75}"/>
    <cellStyle name="Normal 2 2 4 3 2 4 4" xfId="24916" xr:uid="{3918A1F9-FE3E-42CD-8C19-0ABEE30D458D}"/>
    <cellStyle name="Normal 2 2 4 3 2 4 5" xfId="24917" xr:uid="{8AEF2245-7477-4A7E-B037-E1F57CC5547F}"/>
    <cellStyle name="Normal 2 2 4 3 2 4 6" xfId="24918" xr:uid="{76A90972-3C9C-46C0-9995-C498FA9BDB24}"/>
    <cellStyle name="Normal 2 2 4 3 2 5" xfId="24919" xr:uid="{EC6E8DB6-ECD1-4C0A-9343-B355504E9EFC}"/>
    <cellStyle name="Normal 2 2 4 3 2 5 2" xfId="24920" xr:uid="{8FCEFA9B-B449-4D57-93C1-426C6674AE45}"/>
    <cellStyle name="Normal 2 2 4 3 2 5 2 2" xfId="24921" xr:uid="{E62A1E6C-8DA3-44F0-A3A1-F44DA68BBDEE}"/>
    <cellStyle name="Normal 2 2 4 3 2 5 2 3" xfId="24922" xr:uid="{34A5D3C9-1560-4AC5-AAA5-4E1435D5764B}"/>
    <cellStyle name="Normal 2 2 4 3 2 5 2 4" xfId="24923" xr:uid="{20A9D333-AFA0-428E-86C9-9EE6D7040D26}"/>
    <cellStyle name="Normal 2 2 4 3 2 5 2 5" xfId="24924" xr:uid="{27CB6344-BFE6-41B4-B2F2-B71D7BE4A54E}"/>
    <cellStyle name="Normal 2 2 4 3 2 5 3" xfId="24925" xr:uid="{02726FF2-B1F8-4D48-871A-1267D4F97FE1}"/>
    <cellStyle name="Normal 2 2 4 3 2 5 4" xfId="24926" xr:uid="{4F366878-0A14-4BD4-BB37-E8AE18196DA7}"/>
    <cellStyle name="Normal 2 2 4 3 2 5 5" xfId="24927" xr:uid="{A6C5A33B-DAAA-41DB-ABB0-4E49A9D40569}"/>
    <cellStyle name="Normal 2 2 4 3 2 5 6" xfId="24928" xr:uid="{8C34DD68-D1A9-46F2-90A4-A173E9B68787}"/>
    <cellStyle name="Normal 2 2 4 3 2 6" xfId="24929" xr:uid="{EE374FEC-2AFF-4DF5-B777-2C85B9E3C0EE}"/>
    <cellStyle name="Normal 2 2 4 3 2 6 2" xfId="24930" xr:uid="{5D20FCA8-380D-4727-8020-364441AF2DAF}"/>
    <cellStyle name="Normal 2 2 4 3 2 6 2 2" xfId="24931" xr:uid="{F1E46187-9DBF-4A1A-B7C8-7638154ADE4D}"/>
    <cellStyle name="Normal 2 2 4 3 2 6 2 3" xfId="24932" xr:uid="{BAB934D8-29CB-4219-85D8-1AA880EC9C9C}"/>
    <cellStyle name="Normal 2 2 4 3 2 6 2 4" xfId="24933" xr:uid="{519F8B4D-CB70-4FE8-A3B2-5263430D8332}"/>
    <cellStyle name="Normal 2 2 4 3 2 6 2 5" xfId="24934" xr:uid="{EA69D893-D35B-4380-B6C3-9DCF5AF15D53}"/>
    <cellStyle name="Normal 2 2 4 3 2 6 3" xfId="24935" xr:uid="{4124B5F1-295C-4371-B26D-2E49E1706B5F}"/>
    <cellStyle name="Normal 2 2 4 3 2 6 4" xfId="24936" xr:uid="{7AEDC5EF-7DA5-4084-9692-2682371D41CF}"/>
    <cellStyle name="Normal 2 2 4 3 2 6 5" xfId="24937" xr:uid="{0BD746A6-8014-4836-802C-CDAFCF2CA04D}"/>
    <cellStyle name="Normal 2 2 4 3 2 6 6" xfId="24938" xr:uid="{034959BA-DBD8-444B-BB2C-8BEC210E5B29}"/>
    <cellStyle name="Normal 2 2 4 3 2 7" xfId="24939" xr:uid="{72ED1EE4-7053-4C09-8C32-80E4E9D8D01F}"/>
    <cellStyle name="Normal 2 2 4 3 2 7 2" xfId="24940" xr:uid="{B0241043-3541-43F7-8641-A177B1054EB6}"/>
    <cellStyle name="Normal 2 2 4 3 2 7 3" xfId="24941" xr:uid="{F0499C80-D914-4D2B-9678-D9D658C95348}"/>
    <cellStyle name="Normal 2 2 4 3 2 7 4" xfId="24942" xr:uid="{5C4A5AB7-6779-4B06-94F4-AF7AB88E6BB1}"/>
    <cellStyle name="Normal 2 2 4 3 2 7 5" xfId="24943" xr:uid="{71EAD178-9CC4-4FF5-89C5-3C9494F8FB74}"/>
    <cellStyle name="Normal 2 2 4 3 2 8" xfId="24944" xr:uid="{92AA4C22-9642-4323-8DBE-96DF5A0EC809}"/>
    <cellStyle name="Normal 2 2 4 3 2 8 2" xfId="24945" xr:uid="{BA7C8EA7-7243-4D11-A714-622E3A9CB645}"/>
    <cellStyle name="Normal 2 2 4 3 2 8 3" xfId="24946" xr:uid="{027D10E0-9FF7-4A0B-9D85-B22CAB4F15C4}"/>
    <cellStyle name="Normal 2 2 4 3 2 8 4" xfId="24947" xr:uid="{0C52D798-28CD-4144-9292-92A33A832BD0}"/>
    <cellStyle name="Normal 2 2 4 3 2 8 5" xfId="24948" xr:uid="{F69EDE91-1F5C-4272-9045-467A553C8584}"/>
    <cellStyle name="Normal 2 2 4 3 2 9" xfId="24949" xr:uid="{402F57DC-4FCE-4427-87EA-D1E629AC0C44}"/>
    <cellStyle name="Normal 2 2 4 3 2 9 2" xfId="24950" xr:uid="{3FE051CD-C3E1-4B77-8A48-EAEF8C47E434}"/>
    <cellStyle name="Normal 2 2 4 3 2 9 3" xfId="24951" xr:uid="{511CEBFA-876F-4E81-8E93-A2AC3BA65ABA}"/>
    <cellStyle name="Normal 2 2 4 3 2 9 4" xfId="24952" xr:uid="{DB21E50D-D21E-485E-B504-A12797D10919}"/>
    <cellStyle name="Normal 2 2 4 3 2 9 5" xfId="24953" xr:uid="{75734100-572E-401F-817F-32F6AB602B2A}"/>
    <cellStyle name="Normal 2 2 4 3 3" xfId="24954" xr:uid="{CA397601-338F-4D7E-8369-BEA304AACA02}"/>
    <cellStyle name="Normal 2 2 4 3 3 10" xfId="24955" xr:uid="{B6086A0B-B416-4AFF-AF8E-A2801E9B2A5C}"/>
    <cellStyle name="Normal 2 2 4 3 3 11" xfId="24956" xr:uid="{499E29AC-FB18-4F1B-94DA-5B087AA7254F}"/>
    <cellStyle name="Normal 2 2 4 3 3 12" xfId="24957" xr:uid="{26ED5A68-8B4D-4A61-A229-BD618A64BE8D}"/>
    <cellStyle name="Normal 2 2 4 3 3 13" xfId="24958" xr:uid="{9B6F2B0F-9242-41A5-8B4D-A0A3E7B56F1E}"/>
    <cellStyle name="Normal 2 2 4 3 3 2" xfId="24959" xr:uid="{021B3BCE-3F91-4673-9062-81894D37DE53}"/>
    <cellStyle name="Normal 2 2 4 3 3 2 10" xfId="24960" xr:uid="{AD710F7E-DE6C-4760-90A3-CE87131EF382}"/>
    <cellStyle name="Normal 2 2 4 3 3 2 11" xfId="24961" xr:uid="{F5761426-B6BB-4E75-AD8D-6712B5B3859A}"/>
    <cellStyle name="Normal 2 2 4 3 3 2 12" xfId="24962" xr:uid="{F9F70A01-FB14-4E04-80E4-79B7BE50CE17}"/>
    <cellStyle name="Normal 2 2 4 3 3 2 2" xfId="24963" xr:uid="{71645783-0C80-461A-BC8D-21A45BED9255}"/>
    <cellStyle name="Normal 2 2 4 3 3 2 2 2" xfId="24964" xr:uid="{EF80B7A3-9A2F-458A-A5D5-59E38A36209A}"/>
    <cellStyle name="Normal 2 2 4 3 3 2 2 2 2" xfId="24965" xr:uid="{E1FB24F5-2544-442D-805B-2A955676131F}"/>
    <cellStyle name="Normal 2 2 4 3 3 2 2 2 3" xfId="24966" xr:uid="{5F47791D-5DB9-4978-A503-439A92D637D6}"/>
    <cellStyle name="Normal 2 2 4 3 3 2 2 2 4" xfId="24967" xr:uid="{BC7C3B01-34C0-4B2D-B770-AC04DA4247F3}"/>
    <cellStyle name="Normal 2 2 4 3 3 2 2 2 5" xfId="24968" xr:uid="{A5AE233F-3117-4E7D-AAB3-38B968B46700}"/>
    <cellStyle name="Normal 2 2 4 3 3 2 2 3" xfId="24969" xr:uid="{C8C1C378-5371-48E9-B340-8A014F9BA56E}"/>
    <cellStyle name="Normal 2 2 4 3 3 2 2 4" xfId="24970" xr:uid="{B2C31A34-0A7C-40F5-979D-32BC1188B507}"/>
    <cellStyle name="Normal 2 2 4 3 3 2 2 5" xfId="24971" xr:uid="{2409A1C2-C2D5-4206-BEC7-A257205A6437}"/>
    <cellStyle name="Normal 2 2 4 3 3 2 2 6" xfId="24972" xr:uid="{6AD613E6-64CD-4AEC-900D-8C51DA18F81D}"/>
    <cellStyle name="Normal 2 2 4 3 3 2 3" xfId="24973" xr:uid="{07D17396-6E8D-4DBA-AF8F-BE3DEE30A834}"/>
    <cellStyle name="Normal 2 2 4 3 3 2 3 2" xfId="24974" xr:uid="{1203362D-0848-45C0-A0D8-7CDA911420D4}"/>
    <cellStyle name="Normal 2 2 4 3 3 2 3 2 2" xfId="24975" xr:uid="{6BD15F5F-EF79-493F-AD01-5A686585A8FE}"/>
    <cellStyle name="Normal 2 2 4 3 3 2 3 2 3" xfId="24976" xr:uid="{59461FA8-F376-48B4-951B-3C144E2EA848}"/>
    <cellStyle name="Normal 2 2 4 3 3 2 3 2 4" xfId="24977" xr:uid="{F35F28CD-75C5-4362-995A-6197C964E987}"/>
    <cellStyle name="Normal 2 2 4 3 3 2 3 2 5" xfId="24978" xr:uid="{A3C47074-CCFD-4385-BF12-FF507187194D}"/>
    <cellStyle name="Normal 2 2 4 3 3 2 3 3" xfId="24979" xr:uid="{8DB24513-F0B7-444C-ADAC-F2649C0F934C}"/>
    <cellStyle name="Normal 2 2 4 3 3 2 3 4" xfId="24980" xr:uid="{C9C9EEAF-1ECE-463D-92F4-2AD0D15832DC}"/>
    <cellStyle name="Normal 2 2 4 3 3 2 3 5" xfId="24981" xr:uid="{05E45918-3BAC-4DCE-B956-7809487123F8}"/>
    <cellStyle name="Normal 2 2 4 3 3 2 3 6" xfId="24982" xr:uid="{72A36236-FF20-4567-B806-6685C05D39BF}"/>
    <cellStyle name="Normal 2 2 4 3 3 2 4" xfId="24983" xr:uid="{25E57F66-260F-490E-92FF-AE1A81F479CB}"/>
    <cellStyle name="Normal 2 2 4 3 3 2 4 2" xfId="24984" xr:uid="{4C190AA1-A614-471F-AF1C-7F388D9D60A2}"/>
    <cellStyle name="Normal 2 2 4 3 3 2 4 2 2" xfId="24985" xr:uid="{C656A789-29AC-49A8-AA4E-F320A433D424}"/>
    <cellStyle name="Normal 2 2 4 3 3 2 4 2 3" xfId="24986" xr:uid="{E83C93BD-7827-462B-A667-782104DE0908}"/>
    <cellStyle name="Normal 2 2 4 3 3 2 4 2 4" xfId="24987" xr:uid="{4FA8B4E7-D9F1-4C36-8F27-605F1E6B7277}"/>
    <cellStyle name="Normal 2 2 4 3 3 2 4 2 5" xfId="24988" xr:uid="{474E21BC-5783-4BDF-A24A-DD232199576A}"/>
    <cellStyle name="Normal 2 2 4 3 3 2 4 3" xfId="24989" xr:uid="{6FE58C75-A1FC-458C-98FD-EDDABF7DCB67}"/>
    <cellStyle name="Normal 2 2 4 3 3 2 4 4" xfId="24990" xr:uid="{11EF1605-E13B-4DCE-A815-E7D055CA6950}"/>
    <cellStyle name="Normal 2 2 4 3 3 2 4 5" xfId="24991" xr:uid="{A2A67423-F3F7-45B8-ADEE-19EECB9A0C35}"/>
    <cellStyle name="Normal 2 2 4 3 3 2 4 6" xfId="24992" xr:uid="{E5BE921C-6FF5-46DC-B308-25C67F66D19F}"/>
    <cellStyle name="Normal 2 2 4 3 3 2 5" xfId="24993" xr:uid="{88099D28-F3C0-4A7D-AFA8-D9BF021C1027}"/>
    <cellStyle name="Normal 2 2 4 3 3 2 5 2" xfId="24994" xr:uid="{4C717C21-E107-405A-9062-BCDAF46F47EE}"/>
    <cellStyle name="Normal 2 2 4 3 3 2 5 3" xfId="24995" xr:uid="{ADBBD3EF-ABE9-4D6D-A383-AAE955D71FB6}"/>
    <cellStyle name="Normal 2 2 4 3 3 2 5 4" xfId="24996" xr:uid="{A8423698-7201-463D-9417-3344692A95CF}"/>
    <cellStyle name="Normal 2 2 4 3 3 2 5 5" xfId="24997" xr:uid="{6D14F4C4-0D25-49D9-8EAF-26F42953AEA8}"/>
    <cellStyle name="Normal 2 2 4 3 3 2 6" xfId="24998" xr:uid="{4F8D15BC-1D6A-4F34-A9D4-DA0B255F1746}"/>
    <cellStyle name="Normal 2 2 4 3 3 2 6 2" xfId="24999" xr:uid="{01CE40D1-2D2D-4E8D-B796-048CA0D66BDA}"/>
    <cellStyle name="Normal 2 2 4 3 3 2 6 3" xfId="25000" xr:uid="{22749064-9529-47D8-9EEE-ADB1D05D78A4}"/>
    <cellStyle name="Normal 2 2 4 3 3 2 6 4" xfId="25001" xr:uid="{D2CEAC08-802C-46D5-9FC6-3E750D606AD4}"/>
    <cellStyle name="Normal 2 2 4 3 3 2 6 5" xfId="25002" xr:uid="{611D7777-1581-4E6A-9213-3243DF05DED5}"/>
    <cellStyle name="Normal 2 2 4 3 3 2 7" xfId="25003" xr:uid="{B7B7AD68-D019-4BEE-A009-307D836EFE66}"/>
    <cellStyle name="Normal 2 2 4 3 3 2 7 2" xfId="25004" xr:uid="{F535310E-046C-46EA-8324-AF64BE90B39E}"/>
    <cellStyle name="Normal 2 2 4 3 3 2 7 3" xfId="25005" xr:uid="{FD741688-627B-483D-8FA3-11FBDB712B23}"/>
    <cellStyle name="Normal 2 2 4 3 3 2 7 4" xfId="25006" xr:uid="{A0DAB03B-44F4-4F5E-B6BF-12AA380F4CC9}"/>
    <cellStyle name="Normal 2 2 4 3 3 2 7 5" xfId="25007" xr:uid="{EF77D194-61D1-4DDF-95A8-C4D8655E0FFA}"/>
    <cellStyle name="Normal 2 2 4 3 3 2 8" xfId="25008" xr:uid="{F763C420-FD19-4DC1-9A2B-DC627263B45A}"/>
    <cellStyle name="Normal 2 2 4 3 3 2 8 2" xfId="25009" xr:uid="{83131F69-3DC0-4A41-8593-F1451EE46B8A}"/>
    <cellStyle name="Normal 2 2 4 3 3 2 8 3" xfId="25010" xr:uid="{90D7CD53-50D2-4CDA-A1FD-D1BEA10AE194}"/>
    <cellStyle name="Normal 2 2 4 3 3 2 8 4" xfId="25011" xr:uid="{1B8C53A3-EE84-496A-A35F-E91DF7A1DCD9}"/>
    <cellStyle name="Normal 2 2 4 3 3 2 8 5" xfId="25012" xr:uid="{0E932C3B-A057-42CF-9A11-BB05C623A888}"/>
    <cellStyle name="Normal 2 2 4 3 3 2 9" xfId="25013" xr:uid="{C0B58600-5512-407F-918C-43F276DF2681}"/>
    <cellStyle name="Normal 2 2 4 3 3 3" xfId="25014" xr:uid="{50DB3725-0936-4EF1-BA80-799AD1423577}"/>
    <cellStyle name="Normal 2 2 4 3 3 3 2" xfId="25015" xr:uid="{47838DF2-574B-4C5D-9113-80F66CE4C866}"/>
    <cellStyle name="Normal 2 2 4 3 3 3 2 2" xfId="25016" xr:uid="{EF01A620-5009-4FEA-991D-1CA284527622}"/>
    <cellStyle name="Normal 2 2 4 3 3 3 2 3" xfId="25017" xr:uid="{695D40C0-9428-4173-822E-8057B708AD80}"/>
    <cellStyle name="Normal 2 2 4 3 3 3 2 4" xfId="25018" xr:uid="{D8AE706A-D1CA-46BB-9B95-C65F126AF2DF}"/>
    <cellStyle name="Normal 2 2 4 3 3 3 2 5" xfId="25019" xr:uid="{5C82806B-B28E-43A2-BA48-6DF3E9A130D6}"/>
    <cellStyle name="Normal 2 2 4 3 3 3 3" xfId="25020" xr:uid="{65721633-15AE-41B6-A845-3A5669E98529}"/>
    <cellStyle name="Normal 2 2 4 3 3 3 4" xfId="25021" xr:uid="{DE8BF98B-394C-4E22-B163-C184740006F8}"/>
    <cellStyle name="Normal 2 2 4 3 3 3 5" xfId="25022" xr:uid="{C86DA3CA-6653-4C87-855C-24448F2AC830}"/>
    <cellStyle name="Normal 2 2 4 3 3 3 6" xfId="25023" xr:uid="{8F0F81FE-4425-4411-8801-6AF113D0BBDC}"/>
    <cellStyle name="Normal 2 2 4 3 3 4" xfId="25024" xr:uid="{D653C602-58DC-4E5D-85FC-3711682C1373}"/>
    <cellStyle name="Normal 2 2 4 3 3 4 2" xfId="25025" xr:uid="{DCB36F99-D656-43A1-82DF-BE49E10A1065}"/>
    <cellStyle name="Normal 2 2 4 3 3 4 2 2" xfId="25026" xr:uid="{3A29C2BB-55D8-4675-9D18-396419B2200F}"/>
    <cellStyle name="Normal 2 2 4 3 3 4 2 3" xfId="25027" xr:uid="{97B941D1-7512-4820-BAD4-002657A77599}"/>
    <cellStyle name="Normal 2 2 4 3 3 4 2 4" xfId="25028" xr:uid="{CF21F54B-9F0A-42E3-AC04-645A01A02CA8}"/>
    <cellStyle name="Normal 2 2 4 3 3 4 2 5" xfId="25029" xr:uid="{5827B42D-0F34-44A1-A482-B08699A1BBA3}"/>
    <cellStyle name="Normal 2 2 4 3 3 4 3" xfId="25030" xr:uid="{7336FDA2-650F-4CA6-8B32-F2D5688F1E2D}"/>
    <cellStyle name="Normal 2 2 4 3 3 4 4" xfId="25031" xr:uid="{B6093309-10EA-4393-AD09-7C50A2E2C7B7}"/>
    <cellStyle name="Normal 2 2 4 3 3 4 5" xfId="25032" xr:uid="{5AF15E06-685E-4DB9-86C0-6F0068BDEFE5}"/>
    <cellStyle name="Normal 2 2 4 3 3 4 6" xfId="25033" xr:uid="{20E33659-7A7A-4226-B71E-9F7EFDB8EC1C}"/>
    <cellStyle name="Normal 2 2 4 3 3 5" xfId="25034" xr:uid="{B4FE7889-C4F4-4E5E-A190-715318FC15D0}"/>
    <cellStyle name="Normal 2 2 4 3 3 5 2" xfId="25035" xr:uid="{516BF6DC-601F-4648-BDAC-5CDA15A91EF7}"/>
    <cellStyle name="Normal 2 2 4 3 3 5 2 2" xfId="25036" xr:uid="{3BED500A-8695-4223-894A-AF1F39FF2629}"/>
    <cellStyle name="Normal 2 2 4 3 3 5 2 3" xfId="25037" xr:uid="{16342322-31FF-4AEF-AF07-F84AF4212370}"/>
    <cellStyle name="Normal 2 2 4 3 3 5 2 4" xfId="25038" xr:uid="{F48974BB-57E1-4CA1-99BC-24F3A5780FD5}"/>
    <cellStyle name="Normal 2 2 4 3 3 5 2 5" xfId="25039" xr:uid="{10ECB7FC-C191-443A-9F06-2BF253CE34D5}"/>
    <cellStyle name="Normal 2 2 4 3 3 5 3" xfId="25040" xr:uid="{74A2E2D8-7F9D-44DD-AC9B-8A899BB83D6F}"/>
    <cellStyle name="Normal 2 2 4 3 3 5 4" xfId="25041" xr:uid="{3476595E-0DC1-47FD-8737-BBA61BE51D02}"/>
    <cellStyle name="Normal 2 2 4 3 3 5 5" xfId="25042" xr:uid="{634BE442-DEF8-4FDA-A005-050124A05180}"/>
    <cellStyle name="Normal 2 2 4 3 3 5 6" xfId="25043" xr:uid="{0F2B651A-A5CF-414B-BD41-A384791C43D0}"/>
    <cellStyle name="Normal 2 2 4 3 3 6" xfId="25044" xr:uid="{6C8D871A-E60F-4A30-A1BB-E772EEF4A722}"/>
    <cellStyle name="Normal 2 2 4 3 3 6 2" xfId="25045" xr:uid="{48F2A33A-3BEB-4E90-B6F5-811691A149B7}"/>
    <cellStyle name="Normal 2 2 4 3 3 6 3" xfId="25046" xr:uid="{B8DF1D00-3967-4A3F-A67E-C9A51D762F87}"/>
    <cellStyle name="Normal 2 2 4 3 3 6 4" xfId="25047" xr:uid="{2D949697-1232-47FC-BDD8-EB893987773E}"/>
    <cellStyle name="Normal 2 2 4 3 3 6 5" xfId="25048" xr:uid="{7A057042-4B2E-4EA4-9B5B-AC127C0226CA}"/>
    <cellStyle name="Normal 2 2 4 3 3 7" xfId="25049" xr:uid="{ECAD8D79-DBA5-4DBF-BD6C-C9B01941D375}"/>
    <cellStyle name="Normal 2 2 4 3 3 7 2" xfId="25050" xr:uid="{743D09D6-7695-46C0-B02E-74F24F7A648A}"/>
    <cellStyle name="Normal 2 2 4 3 3 7 3" xfId="25051" xr:uid="{E3908E9C-8D89-4263-AD0B-C3CE3EEE1618}"/>
    <cellStyle name="Normal 2 2 4 3 3 7 4" xfId="25052" xr:uid="{49738F34-E029-4357-823E-48BE1BA2DA9B}"/>
    <cellStyle name="Normal 2 2 4 3 3 7 5" xfId="25053" xr:uid="{F138A67B-A8C1-491B-B786-2EA81E425081}"/>
    <cellStyle name="Normal 2 2 4 3 3 8" xfId="25054" xr:uid="{D35855E8-8D22-4228-9350-47A9D220E34E}"/>
    <cellStyle name="Normal 2 2 4 3 3 8 2" xfId="25055" xr:uid="{E99F11F0-D0B6-4D7D-8CB5-6CEE27D28980}"/>
    <cellStyle name="Normal 2 2 4 3 3 8 3" xfId="25056" xr:uid="{A67FE7D5-EE5A-45AD-AADC-309A247DEC4E}"/>
    <cellStyle name="Normal 2 2 4 3 3 8 4" xfId="25057" xr:uid="{8F9452DF-E37E-48D9-B272-78390B7206A0}"/>
    <cellStyle name="Normal 2 2 4 3 3 8 5" xfId="25058" xr:uid="{CB2D3E03-2CC0-4BE4-B93F-2EB5F8F2B9A1}"/>
    <cellStyle name="Normal 2 2 4 3 3 9" xfId="25059" xr:uid="{D1C28244-6901-48B3-A8E4-EA7B11F54EBC}"/>
    <cellStyle name="Normal 2 2 4 3 3 9 2" xfId="25060" xr:uid="{8AEF3648-E3A1-4B7F-9CDA-326DAB3504B2}"/>
    <cellStyle name="Normal 2 2 4 3 3 9 3" xfId="25061" xr:uid="{E1AC4AC8-5A21-4D59-9935-E4C8D5B05E4B}"/>
    <cellStyle name="Normal 2 2 4 3 3 9 4" xfId="25062" xr:uid="{C3D990F4-5FF7-44BB-8805-F657E28D87B5}"/>
    <cellStyle name="Normal 2 2 4 3 3 9 5" xfId="25063" xr:uid="{9833A978-C587-457A-B4E8-896C9A1B234E}"/>
    <cellStyle name="Normal 2 2 4 3 4" xfId="25064" xr:uid="{C0F65424-2FE8-46EA-AAE9-80A15A533F8F}"/>
    <cellStyle name="Normal 2 2 4 3 4 10" xfId="25065" xr:uid="{CFB2C8E1-0401-4C5D-8EB6-09C44C40235C}"/>
    <cellStyle name="Normal 2 2 4 3 4 11" xfId="25066" xr:uid="{9D885D68-0212-4C79-87D3-F4084C08CFB9}"/>
    <cellStyle name="Normal 2 2 4 3 4 2" xfId="25067" xr:uid="{17D8044C-109D-419E-BA0B-8C0352427FD0}"/>
    <cellStyle name="Normal 2 2 4 3 4 2 10" xfId="25068" xr:uid="{F8752611-CEA4-42A5-8A9B-CE1FF4296D28}"/>
    <cellStyle name="Normal 2 2 4 3 4 2 11" xfId="25069" xr:uid="{94FD2158-7059-4C01-B374-19AE5D8400C0}"/>
    <cellStyle name="Normal 2 2 4 3 4 2 12" xfId="25070" xr:uid="{DC00EFB0-8138-476B-8263-502F48A4DA81}"/>
    <cellStyle name="Normal 2 2 4 3 4 2 2" xfId="25071" xr:uid="{DCCBC4B1-FCD4-41F8-8F1B-13EBC69B9904}"/>
    <cellStyle name="Normal 2 2 4 3 4 2 2 2" xfId="25072" xr:uid="{A611151D-B0EA-4704-BF3D-82BA91D3FE1D}"/>
    <cellStyle name="Normal 2 2 4 3 4 2 2 2 2" xfId="25073" xr:uid="{A91DE1C9-5C3A-4BBD-B00B-5F985CFB9F61}"/>
    <cellStyle name="Normal 2 2 4 3 4 2 2 2 3" xfId="25074" xr:uid="{26DFC77E-BD0B-4AE4-8491-33A6D2E4A19E}"/>
    <cellStyle name="Normal 2 2 4 3 4 2 2 2 4" xfId="25075" xr:uid="{D522E57C-65BA-4298-A602-561DDF428CB3}"/>
    <cellStyle name="Normal 2 2 4 3 4 2 2 2 5" xfId="25076" xr:uid="{958DE345-B2D5-4AB6-9626-B40903F3DF96}"/>
    <cellStyle name="Normal 2 2 4 3 4 2 2 3" xfId="25077" xr:uid="{4A6AF2D8-A52E-43EE-9D71-20D4B9FB7B3F}"/>
    <cellStyle name="Normal 2 2 4 3 4 2 2 4" xfId="25078" xr:uid="{D3393565-A2D5-46DB-8E1C-8AA9509755C6}"/>
    <cellStyle name="Normal 2 2 4 3 4 2 2 5" xfId="25079" xr:uid="{FC3D9452-051A-4BBA-B81D-68E7485CD373}"/>
    <cellStyle name="Normal 2 2 4 3 4 2 3" xfId="25080" xr:uid="{5215B1BB-D19D-4D77-B72E-CF660FB0A5A0}"/>
    <cellStyle name="Normal 2 2 4 3 4 2 4" xfId="25081" xr:uid="{DEA036FA-320F-49CE-802E-B9EC377FAA4E}"/>
    <cellStyle name="Normal 2 2 4 3 4 2 5" xfId="25082" xr:uid="{9753DB18-9606-493A-A2D4-A4E4C7ABC058}"/>
    <cellStyle name="Normal 2 2 4 3 4 2 5 2" xfId="25083" xr:uid="{74FE5E57-6AF9-41B7-9971-74439A76C4B6}"/>
    <cellStyle name="Normal 2 2 4 3 4 2 5 3" xfId="25084" xr:uid="{D6B02875-AC1B-4129-B886-7E3A37DC77C9}"/>
    <cellStyle name="Normal 2 2 4 3 4 2 5 4" xfId="25085" xr:uid="{EC24C8D7-10F5-42FF-91BD-4B01078F1B11}"/>
    <cellStyle name="Normal 2 2 4 3 4 2 5 5" xfId="25086" xr:uid="{D7BBF2D5-0756-4223-80E4-E5ABACE56B47}"/>
    <cellStyle name="Normal 2 2 4 3 4 2 6" xfId="25087" xr:uid="{6E958B96-C318-4557-9A95-7E7109DEEF6C}"/>
    <cellStyle name="Normal 2 2 4 3 4 2 7" xfId="25088" xr:uid="{2725F6D2-C0BD-4BE6-8FFC-438CB82ABB92}"/>
    <cellStyle name="Normal 2 2 4 3 4 2 8" xfId="25089" xr:uid="{7F36BE5A-28CB-46E1-A7E4-41910F73974F}"/>
    <cellStyle name="Normal 2 2 4 3 4 2 9" xfId="25090" xr:uid="{CFD84F18-8845-450E-A655-4DB70A1B3B4C}"/>
    <cellStyle name="Normal 2 2 4 3 4 3" xfId="25091" xr:uid="{C3A0E171-B330-4A50-9748-B56E3E24C66B}"/>
    <cellStyle name="Normal 2 2 4 3 4 3 2" xfId="25092" xr:uid="{A460CBA4-3FF4-42B1-B77C-CFEFA5922573}"/>
    <cellStyle name="Normal 2 2 4 3 4 3 2 2" xfId="25093" xr:uid="{B2A5763F-3DA9-400A-9D18-774146B4F55B}"/>
    <cellStyle name="Normal 2 2 4 3 4 3 2 3" xfId="25094" xr:uid="{5AB05ED2-A725-46CA-9670-3616383BC4EF}"/>
    <cellStyle name="Normal 2 2 4 3 4 3 2 4" xfId="25095" xr:uid="{FE4B3A13-BB8B-44EF-A121-0D30A014BCBF}"/>
    <cellStyle name="Normal 2 2 4 3 4 3 2 5" xfId="25096" xr:uid="{901E9D9E-5BDF-447C-ADB4-1C3207EE5195}"/>
    <cellStyle name="Normal 2 2 4 3 4 3 3" xfId="25097" xr:uid="{F2C9E0A5-096F-43E9-8D1A-E9496509582A}"/>
    <cellStyle name="Normal 2 2 4 3 4 3 4" xfId="25098" xr:uid="{14CFA893-6ADE-4B63-B91F-756BEF921BEC}"/>
    <cellStyle name="Normal 2 2 4 3 4 3 5" xfId="25099" xr:uid="{1CDC1558-3B92-4413-B08E-35D4B830001F}"/>
    <cellStyle name="Normal 2 2 4 3 4 3 6" xfId="25100" xr:uid="{0B91FFAC-86DC-4D88-808B-10E1E2E53709}"/>
    <cellStyle name="Normal 2 2 4 3 4 4" xfId="25101" xr:uid="{FBFEF306-0262-4611-8715-CB6CC84E78E5}"/>
    <cellStyle name="Normal 2 2 4 3 4 4 2" xfId="25102" xr:uid="{A990BDBC-B163-48D9-B1C3-09262A663BC6}"/>
    <cellStyle name="Normal 2 2 4 3 4 4 2 2" xfId="25103" xr:uid="{62B6F8E9-B002-48DA-8C2B-A0D0A0AB8F56}"/>
    <cellStyle name="Normal 2 2 4 3 4 4 2 3" xfId="25104" xr:uid="{C9DEE99A-7AB0-4C13-9DC6-9BDEBBD5436F}"/>
    <cellStyle name="Normal 2 2 4 3 4 4 2 4" xfId="25105" xr:uid="{37C9CAB5-CCFC-416C-A5A9-9FCC8E12D5E7}"/>
    <cellStyle name="Normal 2 2 4 3 4 4 2 5" xfId="25106" xr:uid="{81305DDD-74CB-46C3-B4E0-7D639B509457}"/>
    <cellStyle name="Normal 2 2 4 3 4 4 3" xfId="25107" xr:uid="{2597D2E9-2092-47E2-AE53-170A1FA76464}"/>
    <cellStyle name="Normal 2 2 4 3 4 4 4" xfId="25108" xr:uid="{472EB0E4-0E79-4A4A-904D-EA79D64CF504}"/>
    <cellStyle name="Normal 2 2 4 3 4 4 5" xfId="25109" xr:uid="{7DA45CFA-FDA8-4E0A-A295-C72F762AE2AC}"/>
    <cellStyle name="Normal 2 2 4 3 4 4 6" xfId="25110" xr:uid="{9F1C64AE-C305-4F7E-ADEF-6E3D2877EA3E}"/>
    <cellStyle name="Normal 2 2 4 3 4 5" xfId="25111" xr:uid="{CA7B3AB3-7EC7-4860-BB27-F283C6476D6A}"/>
    <cellStyle name="Normal 2 2 4 3 4 5 2" xfId="25112" xr:uid="{4FFACE91-0CE3-4EF6-BD90-DE3A15FEE8E4}"/>
    <cellStyle name="Normal 2 2 4 3 4 5 3" xfId="25113" xr:uid="{CBE632A8-6CD3-4F6F-A798-60EBBCFA67DC}"/>
    <cellStyle name="Normal 2 2 4 3 4 5 4" xfId="25114" xr:uid="{F58E292A-75F1-48F9-B762-DC941D758BC6}"/>
    <cellStyle name="Normal 2 2 4 3 4 5 5" xfId="25115" xr:uid="{CA41928F-AEC9-4F3F-8A1F-516259E297A9}"/>
    <cellStyle name="Normal 2 2 4 3 4 6" xfId="25116" xr:uid="{364EC1C8-2BD8-4856-850A-67249E39E265}"/>
    <cellStyle name="Normal 2 2 4 3 4 6 2" xfId="25117" xr:uid="{D947E523-A28A-47D3-BB3D-FF090EED7E49}"/>
    <cellStyle name="Normal 2 2 4 3 4 6 3" xfId="25118" xr:uid="{2D608DD1-7C69-41CF-B245-B7B375DAF44D}"/>
    <cellStyle name="Normal 2 2 4 3 4 6 4" xfId="25119" xr:uid="{D2A456F1-1441-4E20-96D9-0CFC58632820}"/>
    <cellStyle name="Normal 2 2 4 3 4 6 5" xfId="25120" xr:uid="{0A50D218-25CF-46D5-90B2-88BABCD89C1C}"/>
    <cellStyle name="Normal 2 2 4 3 4 7" xfId="25121" xr:uid="{1A4FD60F-BFAD-4368-980F-59AB2366027F}"/>
    <cellStyle name="Normal 2 2 4 3 4 7 2" xfId="25122" xr:uid="{16D814AB-8315-4AD5-B9DA-5AA45FA97172}"/>
    <cellStyle name="Normal 2 2 4 3 4 7 3" xfId="25123" xr:uid="{4DC70B5F-8057-4B0F-A171-5F913357D482}"/>
    <cellStyle name="Normal 2 2 4 3 4 7 4" xfId="25124" xr:uid="{A3651070-DCB4-426A-A7C0-FA5201F6FADA}"/>
    <cellStyle name="Normal 2 2 4 3 4 7 5" xfId="25125" xr:uid="{07B74EEF-A4D2-4E54-B455-C8D3C8ABA988}"/>
    <cellStyle name="Normal 2 2 4 3 4 8" xfId="25126" xr:uid="{B17366B0-4404-47D1-84CF-CFF79EBC302E}"/>
    <cellStyle name="Normal 2 2 4 3 4 9" xfId="25127" xr:uid="{B1288AA4-C626-4C9F-B48E-DFD5D4B223A1}"/>
    <cellStyle name="Normal 2 2 4 3 5" xfId="25128" xr:uid="{FE672996-3806-48DD-A9AC-2FE817338719}"/>
    <cellStyle name="Normal 2 2 4 3 5 2" xfId="25129" xr:uid="{84C77847-DBC6-4573-B064-8EE5F7974C96}"/>
    <cellStyle name="Normal 2 2 4 3 5 2 2" xfId="25130" xr:uid="{30B395B2-52C6-4B92-9791-206F975433EF}"/>
    <cellStyle name="Normal 2 2 4 3 5 2 3" xfId="25131" xr:uid="{B4C2037C-66D2-4042-A751-60BD1526A515}"/>
    <cellStyle name="Normal 2 2 4 3 5 2 4" xfId="25132" xr:uid="{28809DAB-F5DD-4EC8-A3C8-32197A29D797}"/>
    <cellStyle name="Normal 2 2 4 3 5 2 5" xfId="25133" xr:uid="{9955FEB9-F51D-49C1-B33A-5F103294BE7E}"/>
    <cellStyle name="Normal 2 2 4 3 5 3" xfId="25134" xr:uid="{C90567DA-8B16-4749-A5EB-CF4AD2CC21F2}"/>
    <cellStyle name="Normal 2 2 4 3 5 4" xfId="25135" xr:uid="{C8E722DC-F2F9-431B-BD50-4FB191CAD0AD}"/>
    <cellStyle name="Normal 2 2 4 3 5 5" xfId="25136" xr:uid="{62A5FE7D-4C3E-42EB-AC99-E7FA74B67774}"/>
    <cellStyle name="Normal 2 2 4 3 6" xfId="25137" xr:uid="{68C711D5-16B5-4481-8EE2-3F849A04F6FB}"/>
    <cellStyle name="Normal 2 2 4 3 7" xfId="25138" xr:uid="{6E3B2B51-32D6-4B02-A789-A3E4EB562620}"/>
    <cellStyle name="Normal 2 2 4 3 8" xfId="25139" xr:uid="{1BA5C9CC-8224-43F6-8FEE-4EEC9800C61E}"/>
    <cellStyle name="Normal 2 2 4 3 8 2" xfId="25140" xr:uid="{49D2800E-061E-4BE0-8AC3-5F1937B3436E}"/>
    <cellStyle name="Normal 2 2 4 3 8 3" xfId="25141" xr:uid="{A55A2CF4-DFED-4418-820E-7EF1903DE20C}"/>
    <cellStyle name="Normal 2 2 4 3 8 4" xfId="25142" xr:uid="{B3772274-2D36-4AC9-BB8C-3431EAFC3EF7}"/>
    <cellStyle name="Normal 2 2 4 3 8 5" xfId="25143" xr:uid="{A8C59731-47E2-4A79-8C90-9987BA57698D}"/>
    <cellStyle name="Normal 2 2 4 3 9" xfId="25144" xr:uid="{1C5B6586-5502-4C1B-A892-210D541593D5}"/>
    <cellStyle name="Normal 2 2 4 4" xfId="25145" xr:uid="{E1D0B035-238D-4971-9121-B025422FE96E}"/>
    <cellStyle name="Normal 2 2 4 4 10" xfId="25146" xr:uid="{C4F767C4-DE7A-46C5-991A-37FA21D5D07A}"/>
    <cellStyle name="Normal 2 2 4 4 10 2" xfId="25147" xr:uid="{BB6C6F5D-8208-4574-8820-82E79B75C218}"/>
    <cellStyle name="Normal 2 2 4 4 10 3" xfId="25148" xr:uid="{6087F17C-ABC8-4B0F-8883-B3705FD52EDB}"/>
    <cellStyle name="Normal 2 2 4 4 10 4" xfId="25149" xr:uid="{ABC3BE96-9F22-433C-A283-ECD95B4573D2}"/>
    <cellStyle name="Normal 2 2 4 4 10 5" xfId="25150" xr:uid="{186ACDFB-0ACD-4E52-8202-80D4DBD657BB}"/>
    <cellStyle name="Normal 2 2 4 4 11" xfId="25151" xr:uid="{FE5F18C6-2B09-4A3D-A550-87D99D16D957}"/>
    <cellStyle name="Normal 2 2 4 4 11 2" xfId="25152" xr:uid="{18DE9A45-5A19-407C-BF34-5F4D8F71D774}"/>
    <cellStyle name="Normal 2 2 4 4 11 3" xfId="25153" xr:uid="{D694EE14-2611-4452-85F3-609938D4BD21}"/>
    <cellStyle name="Normal 2 2 4 4 11 4" xfId="25154" xr:uid="{AFE0B7E6-C918-43D8-AE51-2E3D149A74D2}"/>
    <cellStyle name="Normal 2 2 4 4 11 5" xfId="25155" xr:uid="{65AACD1C-89A9-429B-A50B-C740CB60E727}"/>
    <cellStyle name="Normal 2 2 4 4 12" xfId="25156" xr:uid="{5E2B49EF-CD2E-439D-B50C-055812B0AC03}"/>
    <cellStyle name="Normal 2 2 4 4 13" xfId="25157" xr:uid="{5940958F-CC6D-42E2-A113-041842B908C1}"/>
    <cellStyle name="Normal 2 2 4 4 14" xfId="25158" xr:uid="{10D4EF87-8D59-4355-BF8F-A9683B0F07A9}"/>
    <cellStyle name="Normal 2 2 4 4 15" xfId="25159" xr:uid="{D8F2452D-5AD9-4B58-A7E2-A7B8360047AD}"/>
    <cellStyle name="Normal 2 2 4 4 2" xfId="25160" xr:uid="{4AB2DECF-D8D8-4B26-B644-510E4EED0141}"/>
    <cellStyle name="Normal 2 2 4 4 2 10" xfId="25161" xr:uid="{D527CDF3-72FD-4F65-A0EE-78135FBEA64D}"/>
    <cellStyle name="Normal 2 2 4 4 2 10 2" xfId="25162" xr:uid="{CDDA27B2-826A-4F5E-96EE-C59FF0FA606A}"/>
    <cellStyle name="Normal 2 2 4 4 2 10 3" xfId="25163" xr:uid="{0AF747CB-1824-45DD-9B79-51C379C91ACA}"/>
    <cellStyle name="Normal 2 2 4 4 2 10 4" xfId="25164" xr:uid="{554ADB07-DA56-4554-B619-E2C29A3906FD}"/>
    <cellStyle name="Normal 2 2 4 4 2 10 5" xfId="25165" xr:uid="{1296119F-1F7F-487D-92BA-5B8130D3A9DC}"/>
    <cellStyle name="Normal 2 2 4 4 2 11" xfId="25166" xr:uid="{FB190D29-CCBD-4B90-8638-A4C4CA832D6B}"/>
    <cellStyle name="Normal 2 2 4 4 2 12" xfId="25167" xr:uid="{413A53BB-F6B9-42EE-830C-43BAE59775EE}"/>
    <cellStyle name="Normal 2 2 4 4 2 13" xfId="25168" xr:uid="{31FD47A5-FB3C-4443-9072-43B97A5E1874}"/>
    <cellStyle name="Normal 2 2 4 4 2 14" xfId="25169" xr:uid="{8B762E71-AA55-454A-8988-742D4039354D}"/>
    <cellStyle name="Normal 2 2 4 4 2 2" xfId="25170" xr:uid="{6BDBBD2E-BE0F-404C-8549-B8E9A105C966}"/>
    <cellStyle name="Normal 2 2 4 4 2 2 10" xfId="25171" xr:uid="{856CF2D7-7673-43A4-A377-A37E6A3060E9}"/>
    <cellStyle name="Normal 2 2 4 4 2 2 11" xfId="25172" xr:uid="{91469F19-8F22-4F49-8C63-7A32118722CD}"/>
    <cellStyle name="Normal 2 2 4 4 2 2 12" xfId="25173" xr:uid="{25459CE5-BA12-46A7-A294-10279E43AAF7}"/>
    <cellStyle name="Normal 2 2 4 4 2 2 13" xfId="25174" xr:uid="{76D86E3B-B6E8-4042-8C63-36624ACDF08A}"/>
    <cellStyle name="Normal 2 2 4 4 2 2 2" xfId="25175" xr:uid="{7043CF26-41BC-4C47-84A3-029CDB2F3F68}"/>
    <cellStyle name="Normal 2 2 4 4 2 2 2 10" xfId="25176" xr:uid="{47573C20-F7E5-4EF0-80EB-83B6A8A92B3E}"/>
    <cellStyle name="Normal 2 2 4 4 2 2 2 11" xfId="25177" xr:uid="{81246059-6F1B-43A1-A8D6-F580308B1947}"/>
    <cellStyle name="Normal 2 2 4 4 2 2 2 12" xfId="25178" xr:uid="{1C2F27F6-7579-49FE-B459-9984C8A7BB9A}"/>
    <cellStyle name="Normal 2 2 4 4 2 2 2 2" xfId="25179" xr:uid="{6979B3C1-5586-42B0-B3A9-2D13C3F75D5E}"/>
    <cellStyle name="Normal 2 2 4 4 2 2 2 2 2" xfId="25180" xr:uid="{FE1B69F1-986D-4989-BD7E-88FE34974BE8}"/>
    <cellStyle name="Normal 2 2 4 4 2 2 2 2 2 2" xfId="25181" xr:uid="{7834C2F7-EABE-4FE4-BAE7-2163775BA52B}"/>
    <cellStyle name="Normal 2 2 4 4 2 2 2 2 2 3" xfId="25182" xr:uid="{CE189126-3275-4B19-9AE8-B8E56D246659}"/>
    <cellStyle name="Normal 2 2 4 4 2 2 2 2 2 4" xfId="25183" xr:uid="{E8DBDCCC-A55A-4858-8142-8B9DFBE9DD0F}"/>
    <cellStyle name="Normal 2 2 4 4 2 2 2 2 2 5" xfId="25184" xr:uid="{405136A0-06C8-4F6A-90AD-B155388E5F2E}"/>
    <cellStyle name="Normal 2 2 4 4 2 2 2 2 3" xfId="25185" xr:uid="{DA38F7AA-01C0-47F9-9B6C-640D65A15529}"/>
    <cellStyle name="Normal 2 2 4 4 2 2 2 2 4" xfId="25186" xr:uid="{972B9C74-1E8E-4A89-AC8C-3983951796F5}"/>
    <cellStyle name="Normal 2 2 4 4 2 2 2 2 5" xfId="25187" xr:uid="{26E13CBE-AEB8-4464-AB85-42BE03D0A4A0}"/>
    <cellStyle name="Normal 2 2 4 4 2 2 2 2 6" xfId="25188" xr:uid="{7EA1007D-2F4F-4E44-A964-94C83F14A86F}"/>
    <cellStyle name="Normal 2 2 4 4 2 2 2 3" xfId="25189" xr:uid="{D558166B-439E-4114-80FD-C2E182E48318}"/>
    <cellStyle name="Normal 2 2 4 4 2 2 2 3 2" xfId="25190" xr:uid="{534B0C78-1229-4571-9B7D-3065337A8291}"/>
    <cellStyle name="Normal 2 2 4 4 2 2 2 3 2 2" xfId="25191" xr:uid="{F7B6F1C7-B695-4A8D-A0A7-70AC33BAFED9}"/>
    <cellStyle name="Normal 2 2 4 4 2 2 2 3 2 3" xfId="25192" xr:uid="{DED614F7-DA4B-4598-B838-5FADCF37FD43}"/>
    <cellStyle name="Normal 2 2 4 4 2 2 2 3 2 4" xfId="25193" xr:uid="{A0110748-AE7C-40E1-BB05-9F9F77542F26}"/>
    <cellStyle name="Normal 2 2 4 4 2 2 2 3 2 5" xfId="25194" xr:uid="{D3C8BC7F-F26A-494B-BBD0-79AA96ACA61F}"/>
    <cellStyle name="Normal 2 2 4 4 2 2 2 3 3" xfId="25195" xr:uid="{62B76331-80A8-4AFC-A12E-3FC6D4A3DF5C}"/>
    <cellStyle name="Normal 2 2 4 4 2 2 2 3 4" xfId="25196" xr:uid="{4DAAAFDE-8F21-4569-9DE3-4A12712BEA3A}"/>
    <cellStyle name="Normal 2 2 4 4 2 2 2 3 5" xfId="25197" xr:uid="{A4CB448E-8F06-4048-88FC-0887381B2086}"/>
    <cellStyle name="Normal 2 2 4 4 2 2 2 3 6" xfId="25198" xr:uid="{12C9BB1F-E7CA-4540-A0D2-9BBD24EF6DC0}"/>
    <cellStyle name="Normal 2 2 4 4 2 2 2 4" xfId="25199" xr:uid="{D313A48E-A577-41EB-AEC1-85BC1DB73F03}"/>
    <cellStyle name="Normal 2 2 4 4 2 2 2 4 2" xfId="25200" xr:uid="{7E805CDE-6499-4F8B-A738-85E040F71E4C}"/>
    <cellStyle name="Normal 2 2 4 4 2 2 2 4 2 2" xfId="25201" xr:uid="{DA4AE682-42DF-48C7-AEA0-6DE05EE6477E}"/>
    <cellStyle name="Normal 2 2 4 4 2 2 2 4 2 3" xfId="25202" xr:uid="{564FA5FD-F4C0-487C-A90D-0AE8B86692C6}"/>
    <cellStyle name="Normal 2 2 4 4 2 2 2 4 2 4" xfId="25203" xr:uid="{9B4CF7ED-CB13-4852-A51A-3C3FD320409F}"/>
    <cellStyle name="Normal 2 2 4 4 2 2 2 4 2 5" xfId="25204" xr:uid="{34CA9602-50A9-487A-AAD7-E94F8A4ABFB1}"/>
    <cellStyle name="Normal 2 2 4 4 2 2 2 4 3" xfId="25205" xr:uid="{6896CD42-A65E-4045-8426-0965D871746E}"/>
    <cellStyle name="Normal 2 2 4 4 2 2 2 4 4" xfId="25206" xr:uid="{582416B9-D787-44B5-A5B9-FCE8964EBAB4}"/>
    <cellStyle name="Normal 2 2 4 4 2 2 2 4 5" xfId="25207" xr:uid="{5144CD5D-DA3A-44DB-913F-C3F0F552371E}"/>
    <cellStyle name="Normal 2 2 4 4 2 2 2 4 6" xfId="25208" xr:uid="{A76B4327-312F-4F79-BBA5-59AFAEFB2963}"/>
    <cellStyle name="Normal 2 2 4 4 2 2 2 5" xfId="25209" xr:uid="{982E9598-BFB8-4C64-96AA-FB4710AC99E3}"/>
    <cellStyle name="Normal 2 2 4 4 2 2 2 5 2" xfId="25210" xr:uid="{F834A928-2CFA-4292-A9B6-0A37A491050E}"/>
    <cellStyle name="Normal 2 2 4 4 2 2 2 5 3" xfId="25211" xr:uid="{259F707F-C74F-4174-B154-EAD8B7518670}"/>
    <cellStyle name="Normal 2 2 4 4 2 2 2 5 4" xfId="25212" xr:uid="{257BDB79-281C-4A83-AF98-A8D3A7BBA2FA}"/>
    <cellStyle name="Normal 2 2 4 4 2 2 2 5 5" xfId="25213" xr:uid="{047598EA-0500-4456-A9F6-7AD5B107C15C}"/>
    <cellStyle name="Normal 2 2 4 4 2 2 2 6" xfId="25214" xr:uid="{0BE1B6F1-E58B-46F3-9F62-CE462853F61E}"/>
    <cellStyle name="Normal 2 2 4 4 2 2 2 6 2" xfId="25215" xr:uid="{167F76BB-02EF-43C6-990D-5DBCBF65238A}"/>
    <cellStyle name="Normal 2 2 4 4 2 2 2 6 3" xfId="25216" xr:uid="{2C050E74-F584-4400-B183-05C7CFF3EACF}"/>
    <cellStyle name="Normal 2 2 4 4 2 2 2 6 4" xfId="25217" xr:uid="{A06692AC-7DFF-4E4F-BEB2-71C45CF844AC}"/>
    <cellStyle name="Normal 2 2 4 4 2 2 2 6 5" xfId="25218" xr:uid="{A4BAB051-210E-4B3C-94A7-90F7BD0C6CCF}"/>
    <cellStyle name="Normal 2 2 4 4 2 2 2 7" xfId="25219" xr:uid="{B04F9361-0C4C-4397-8F17-A1CE51A56CEE}"/>
    <cellStyle name="Normal 2 2 4 4 2 2 2 7 2" xfId="25220" xr:uid="{37A7BBFA-61AC-4760-8182-D4DB8E6DD69C}"/>
    <cellStyle name="Normal 2 2 4 4 2 2 2 7 3" xfId="25221" xr:uid="{CE669ADF-7CB9-41D6-A52E-B65C1861D8E8}"/>
    <cellStyle name="Normal 2 2 4 4 2 2 2 7 4" xfId="25222" xr:uid="{89F072F2-5DA9-473D-B29E-58AD177D00B9}"/>
    <cellStyle name="Normal 2 2 4 4 2 2 2 7 5" xfId="25223" xr:uid="{5D80E489-7A95-442B-A815-1089CE2765B0}"/>
    <cellStyle name="Normal 2 2 4 4 2 2 2 8" xfId="25224" xr:uid="{102CDE9D-A66D-48E2-BF31-5AC4CE008E01}"/>
    <cellStyle name="Normal 2 2 4 4 2 2 2 8 2" xfId="25225" xr:uid="{C94274E9-A756-457F-AD0F-2CFC3C3140A3}"/>
    <cellStyle name="Normal 2 2 4 4 2 2 2 8 3" xfId="25226" xr:uid="{90483671-B7ED-45FE-920C-0106F6ADA02F}"/>
    <cellStyle name="Normal 2 2 4 4 2 2 2 8 4" xfId="25227" xr:uid="{6D053C07-B841-4B4F-A745-41154B317FEB}"/>
    <cellStyle name="Normal 2 2 4 4 2 2 2 8 5" xfId="25228" xr:uid="{ABF18671-1260-402B-B6F1-CD793907F958}"/>
    <cellStyle name="Normal 2 2 4 4 2 2 2 9" xfId="25229" xr:uid="{B78F4755-1F3C-4236-8A07-82F4B46CF1BC}"/>
    <cellStyle name="Normal 2 2 4 4 2 2 3" xfId="25230" xr:uid="{07997104-1CE0-4058-89A1-EECC56183825}"/>
    <cellStyle name="Normal 2 2 4 4 2 2 3 2" xfId="25231" xr:uid="{47AFC1D2-887B-431A-B6F4-77BFCB6AB789}"/>
    <cellStyle name="Normal 2 2 4 4 2 2 3 2 2" xfId="25232" xr:uid="{893F5F89-9AA3-41FF-BF8D-E9FE6AA5286E}"/>
    <cellStyle name="Normal 2 2 4 4 2 2 3 2 3" xfId="25233" xr:uid="{F97EE35B-DCF1-4A9B-A288-71CD25419F16}"/>
    <cellStyle name="Normal 2 2 4 4 2 2 3 2 4" xfId="25234" xr:uid="{F5BC5D37-6BA3-4D1D-AB39-C5F9C9AB8BBF}"/>
    <cellStyle name="Normal 2 2 4 4 2 2 3 2 5" xfId="25235" xr:uid="{E396045E-17B6-423E-8CB7-A6B12EB4F8C9}"/>
    <cellStyle name="Normal 2 2 4 4 2 2 3 3" xfId="25236" xr:uid="{38848F37-5DEE-4D8F-B5BF-5E4294DA9D31}"/>
    <cellStyle name="Normal 2 2 4 4 2 2 3 4" xfId="25237" xr:uid="{4E1D12B3-ACDA-4499-845B-50A3DC16EF3B}"/>
    <cellStyle name="Normal 2 2 4 4 2 2 3 5" xfId="25238" xr:uid="{DB9B8082-226E-4809-80C5-F5637CCE0456}"/>
    <cellStyle name="Normal 2 2 4 4 2 2 3 6" xfId="25239" xr:uid="{90A93DEC-DEBA-4595-90A0-A9EE3DC96638}"/>
    <cellStyle name="Normal 2 2 4 4 2 2 4" xfId="25240" xr:uid="{C1C9FC24-0587-4E18-8527-13139A85248D}"/>
    <cellStyle name="Normal 2 2 4 4 2 2 4 2" xfId="25241" xr:uid="{06E3F081-8341-4695-B86F-1DDF19D91D31}"/>
    <cellStyle name="Normal 2 2 4 4 2 2 4 2 2" xfId="25242" xr:uid="{AD0A3E21-A598-4880-8EB1-78914145D507}"/>
    <cellStyle name="Normal 2 2 4 4 2 2 4 2 3" xfId="25243" xr:uid="{3D627A8D-F37A-49E4-BBBF-63F2666667A1}"/>
    <cellStyle name="Normal 2 2 4 4 2 2 4 2 4" xfId="25244" xr:uid="{F8D90740-BAE0-4F8E-B2EA-D379E0FAB9AC}"/>
    <cellStyle name="Normal 2 2 4 4 2 2 4 2 5" xfId="25245" xr:uid="{D13A0AD2-BA56-484B-BDFD-E44A1A37AC1C}"/>
    <cellStyle name="Normal 2 2 4 4 2 2 4 3" xfId="25246" xr:uid="{4F877699-F4D8-4A08-BBF4-B92A465D5064}"/>
    <cellStyle name="Normal 2 2 4 4 2 2 4 4" xfId="25247" xr:uid="{845D9D50-35D2-44E2-80BF-5FA5E1A7A39A}"/>
    <cellStyle name="Normal 2 2 4 4 2 2 4 5" xfId="25248" xr:uid="{8BB0CCDB-A4D7-4250-88D7-AAC9DF653EEA}"/>
    <cellStyle name="Normal 2 2 4 4 2 2 4 6" xfId="25249" xr:uid="{973433B4-61FB-4B41-B928-78092C645E5A}"/>
    <cellStyle name="Normal 2 2 4 4 2 2 5" xfId="25250" xr:uid="{A3A40E00-C2D7-48E8-93DB-148E64F8C82F}"/>
    <cellStyle name="Normal 2 2 4 4 2 2 5 2" xfId="25251" xr:uid="{EBB2FCF0-6249-42DC-9727-D3A903E4DD5E}"/>
    <cellStyle name="Normal 2 2 4 4 2 2 5 2 2" xfId="25252" xr:uid="{0A757C68-F7EE-46FE-BB5B-69A0D4604911}"/>
    <cellStyle name="Normal 2 2 4 4 2 2 5 2 3" xfId="25253" xr:uid="{0D085070-44B2-4E75-BC0A-C1A9726F97D5}"/>
    <cellStyle name="Normal 2 2 4 4 2 2 5 2 4" xfId="25254" xr:uid="{3001C6B3-91D6-4D75-A23B-F843B8B87887}"/>
    <cellStyle name="Normal 2 2 4 4 2 2 5 2 5" xfId="25255" xr:uid="{0232A238-F3A6-425A-86E0-8D1315F65692}"/>
    <cellStyle name="Normal 2 2 4 4 2 2 5 3" xfId="25256" xr:uid="{C7080EC6-05FC-49F4-B472-3B9BAADAF346}"/>
    <cellStyle name="Normal 2 2 4 4 2 2 5 4" xfId="25257" xr:uid="{EED0DAD7-298E-4D4E-9ECA-D78C3F82C0B8}"/>
    <cellStyle name="Normal 2 2 4 4 2 2 5 5" xfId="25258" xr:uid="{6C69B565-E8A0-4110-99B6-BE7F3B9F69DF}"/>
    <cellStyle name="Normal 2 2 4 4 2 2 5 6" xfId="25259" xr:uid="{4952479A-51BD-4CC0-8B25-BC1EBB01D2E8}"/>
    <cellStyle name="Normal 2 2 4 4 2 2 6" xfId="25260" xr:uid="{4F1B3703-AF23-4B90-8D0F-BC4BF9F5A862}"/>
    <cellStyle name="Normal 2 2 4 4 2 2 6 2" xfId="25261" xr:uid="{96712170-31A7-459F-AE38-656AFE38E491}"/>
    <cellStyle name="Normal 2 2 4 4 2 2 6 3" xfId="25262" xr:uid="{FB737042-2AF5-4DCD-810C-EBE719C90BBE}"/>
    <cellStyle name="Normal 2 2 4 4 2 2 6 4" xfId="25263" xr:uid="{63A3676E-EC6D-48E4-9289-89548E58BF09}"/>
    <cellStyle name="Normal 2 2 4 4 2 2 6 5" xfId="25264" xr:uid="{60CCCA42-020F-4CDF-B444-F17F78C413AB}"/>
    <cellStyle name="Normal 2 2 4 4 2 2 7" xfId="25265" xr:uid="{25DC5B93-093E-4D8D-9EF0-767DFB121A7C}"/>
    <cellStyle name="Normal 2 2 4 4 2 2 7 2" xfId="25266" xr:uid="{BBFB0AC8-8F2F-4473-9F15-77DCA57B62B3}"/>
    <cellStyle name="Normal 2 2 4 4 2 2 7 3" xfId="25267" xr:uid="{75283A8E-45DE-42AC-97C6-F2DCBFEC08A4}"/>
    <cellStyle name="Normal 2 2 4 4 2 2 7 4" xfId="25268" xr:uid="{E2D957DB-F8AD-429B-AB25-FEA3C6D0B98F}"/>
    <cellStyle name="Normal 2 2 4 4 2 2 7 5" xfId="25269" xr:uid="{DE6AD28A-3C79-4266-B1CD-984FCDA35B4A}"/>
    <cellStyle name="Normal 2 2 4 4 2 2 8" xfId="25270" xr:uid="{6323409F-9189-4571-8097-44A9EFE6866D}"/>
    <cellStyle name="Normal 2 2 4 4 2 2 8 2" xfId="25271" xr:uid="{E8659B01-771F-41AE-B148-7A72F817EEBC}"/>
    <cellStyle name="Normal 2 2 4 4 2 2 8 3" xfId="25272" xr:uid="{D7031542-6398-4169-8822-56623AB47DD6}"/>
    <cellStyle name="Normal 2 2 4 4 2 2 8 4" xfId="25273" xr:uid="{96FDA761-202C-4061-B551-4CBB2E811A1B}"/>
    <cellStyle name="Normal 2 2 4 4 2 2 8 5" xfId="25274" xr:uid="{4B1F0CF1-2B05-4487-A1E6-231F07A0C17F}"/>
    <cellStyle name="Normal 2 2 4 4 2 2 9" xfId="25275" xr:uid="{45665063-B206-4E43-92BF-B619F0FFA6CB}"/>
    <cellStyle name="Normal 2 2 4 4 2 2 9 2" xfId="25276" xr:uid="{E2E80FF8-489E-4B77-AF1A-F3EE252BCAD3}"/>
    <cellStyle name="Normal 2 2 4 4 2 2 9 3" xfId="25277" xr:uid="{616910F8-7E3C-41FE-89D6-9F3E4834F3BC}"/>
    <cellStyle name="Normal 2 2 4 4 2 2 9 4" xfId="25278" xr:uid="{E1BAECEA-8AFD-455D-9929-CC4D7FD3BD39}"/>
    <cellStyle name="Normal 2 2 4 4 2 2 9 5" xfId="25279" xr:uid="{4078D377-D47D-4DA3-B029-70EB77EA8879}"/>
    <cellStyle name="Normal 2 2 4 4 2 3" xfId="25280" xr:uid="{EADE8FC4-F0DB-47E8-8F2B-FE35E424EFD0}"/>
    <cellStyle name="Normal 2 2 4 4 2 3 10" xfId="25281" xr:uid="{34733581-0F3E-4594-B637-BBAA727D2D18}"/>
    <cellStyle name="Normal 2 2 4 4 2 3 11" xfId="25282" xr:uid="{53965B64-F827-46B6-A049-FEAADB710BCD}"/>
    <cellStyle name="Normal 2 2 4 4 2 3 12" xfId="25283" xr:uid="{D8205021-1DF3-4B40-AB17-DABFFB566112}"/>
    <cellStyle name="Normal 2 2 4 4 2 3 2" xfId="25284" xr:uid="{88825BBC-2513-4F87-B56E-9461BC8BED38}"/>
    <cellStyle name="Normal 2 2 4 4 2 3 2 2" xfId="25285" xr:uid="{6F4B79DF-821D-4A05-A6C4-79858B3271A7}"/>
    <cellStyle name="Normal 2 2 4 4 2 3 2 2 2" xfId="25286" xr:uid="{C192F8A3-2DF9-430B-874F-6108DF9169D8}"/>
    <cellStyle name="Normal 2 2 4 4 2 3 2 2 3" xfId="25287" xr:uid="{C979A7AB-9C6A-4E96-8969-A64084A4697A}"/>
    <cellStyle name="Normal 2 2 4 4 2 3 2 2 4" xfId="25288" xr:uid="{C696156D-5923-4536-A0D8-ABF6AA139C76}"/>
    <cellStyle name="Normal 2 2 4 4 2 3 2 2 5" xfId="25289" xr:uid="{0F7BE30E-9ADB-4A8F-B68C-3D42CA85CE3F}"/>
    <cellStyle name="Normal 2 2 4 4 2 3 2 3" xfId="25290" xr:uid="{2143F57F-AF7E-4CF8-9DE4-124D5421778E}"/>
    <cellStyle name="Normal 2 2 4 4 2 3 2 4" xfId="25291" xr:uid="{B7D90C3F-04FA-4BA4-BBDC-5F3F12CB194E}"/>
    <cellStyle name="Normal 2 2 4 4 2 3 2 5" xfId="25292" xr:uid="{E67ADDB0-ED46-433B-808C-3DAC5819CFB9}"/>
    <cellStyle name="Normal 2 2 4 4 2 3 2 6" xfId="25293" xr:uid="{0AFFD401-05F2-49D4-A5DA-E40D8E9638BE}"/>
    <cellStyle name="Normal 2 2 4 4 2 3 3" xfId="25294" xr:uid="{7B7686C5-0A7C-43BD-B28B-C1F545043C2A}"/>
    <cellStyle name="Normal 2 2 4 4 2 3 3 2" xfId="25295" xr:uid="{64AA44CC-6817-4D23-8D4E-306D08CC7333}"/>
    <cellStyle name="Normal 2 2 4 4 2 3 3 2 2" xfId="25296" xr:uid="{E61E3C9D-ACAE-4D65-B4A0-3D8BBDBC849A}"/>
    <cellStyle name="Normal 2 2 4 4 2 3 3 2 3" xfId="25297" xr:uid="{54C4689B-01DE-4708-B0D7-48153DFE1F8F}"/>
    <cellStyle name="Normal 2 2 4 4 2 3 3 2 4" xfId="25298" xr:uid="{60CAB3F1-F28B-4C0C-A4CF-F633A3383352}"/>
    <cellStyle name="Normal 2 2 4 4 2 3 3 2 5" xfId="25299" xr:uid="{AAE8C8AD-07C0-40FA-BC68-1137B332843C}"/>
    <cellStyle name="Normal 2 2 4 4 2 3 3 3" xfId="25300" xr:uid="{815952E5-00E4-4E7D-889E-8D5726E1F571}"/>
    <cellStyle name="Normal 2 2 4 4 2 3 3 4" xfId="25301" xr:uid="{8C4006D2-3B58-465E-8399-37C528148B13}"/>
    <cellStyle name="Normal 2 2 4 4 2 3 3 5" xfId="25302" xr:uid="{9915C82F-B91F-47C4-B12A-9A068954C6DB}"/>
    <cellStyle name="Normal 2 2 4 4 2 3 3 6" xfId="25303" xr:uid="{B1996B63-AC33-4EDD-A9BA-9E9B55967507}"/>
    <cellStyle name="Normal 2 2 4 4 2 3 4" xfId="25304" xr:uid="{748A2679-9688-484F-A18E-988C53A53543}"/>
    <cellStyle name="Normal 2 2 4 4 2 3 4 2" xfId="25305" xr:uid="{D46CCA26-5E63-4F2D-BBE2-33589119BCB5}"/>
    <cellStyle name="Normal 2 2 4 4 2 3 4 2 2" xfId="25306" xr:uid="{4733AFDD-7E3F-4FD1-A29D-EC048D207B2B}"/>
    <cellStyle name="Normal 2 2 4 4 2 3 4 2 3" xfId="25307" xr:uid="{B5F90139-EBC5-4996-BC84-7FC4646408F2}"/>
    <cellStyle name="Normal 2 2 4 4 2 3 4 2 4" xfId="25308" xr:uid="{514FE9C4-E30B-463D-A735-DF2CAC7D8081}"/>
    <cellStyle name="Normal 2 2 4 4 2 3 4 2 5" xfId="25309" xr:uid="{68A0A303-4046-4DF0-8D5F-436CFA0AD214}"/>
    <cellStyle name="Normal 2 2 4 4 2 3 4 3" xfId="25310" xr:uid="{E7DD7342-9FD6-4C00-8330-691CFBC9A35E}"/>
    <cellStyle name="Normal 2 2 4 4 2 3 4 4" xfId="25311" xr:uid="{604CFEB2-0587-47F1-947C-E79976EB6F4A}"/>
    <cellStyle name="Normal 2 2 4 4 2 3 4 5" xfId="25312" xr:uid="{82CCE0A4-005D-4985-9CB9-45717740CF28}"/>
    <cellStyle name="Normal 2 2 4 4 2 3 4 6" xfId="25313" xr:uid="{84B990AF-2C0D-40A2-B99D-AD04E1F850CC}"/>
    <cellStyle name="Normal 2 2 4 4 2 3 5" xfId="25314" xr:uid="{0DF60CB7-6B52-4D5D-8E26-9C8D97088234}"/>
    <cellStyle name="Normal 2 2 4 4 2 3 5 2" xfId="25315" xr:uid="{20CE4C3E-D54E-43D9-9950-15657D054564}"/>
    <cellStyle name="Normal 2 2 4 4 2 3 5 3" xfId="25316" xr:uid="{393C4729-0EC2-4AF4-A03F-DC39628E7906}"/>
    <cellStyle name="Normal 2 2 4 4 2 3 5 4" xfId="25317" xr:uid="{B5EC148D-BEF3-4CD5-9DC5-34C4657C45B1}"/>
    <cellStyle name="Normal 2 2 4 4 2 3 5 5" xfId="25318" xr:uid="{AEEA43D8-62E2-4E3B-A14B-8943D49761EF}"/>
    <cellStyle name="Normal 2 2 4 4 2 3 6" xfId="25319" xr:uid="{BEF950CD-A3CE-4C86-B24F-264B1E5D2983}"/>
    <cellStyle name="Normal 2 2 4 4 2 3 6 2" xfId="25320" xr:uid="{7D7CF749-ACF3-452C-B9EB-B5464D369686}"/>
    <cellStyle name="Normal 2 2 4 4 2 3 6 3" xfId="25321" xr:uid="{FA6C5E04-3E0E-4D46-BADA-32F488410AF9}"/>
    <cellStyle name="Normal 2 2 4 4 2 3 6 4" xfId="25322" xr:uid="{F05C0830-B692-485C-ADC3-E1CE9A8DFA5D}"/>
    <cellStyle name="Normal 2 2 4 4 2 3 6 5" xfId="25323" xr:uid="{489D86DC-592A-4173-B964-BBCB1445B9C7}"/>
    <cellStyle name="Normal 2 2 4 4 2 3 7" xfId="25324" xr:uid="{70157DC6-F8E1-413D-BEE6-627FE4069FA4}"/>
    <cellStyle name="Normal 2 2 4 4 2 3 7 2" xfId="25325" xr:uid="{6D5CFB88-4293-4BA3-89CB-5040883A48A2}"/>
    <cellStyle name="Normal 2 2 4 4 2 3 7 3" xfId="25326" xr:uid="{B8564563-9582-48D5-BE5E-F2A8D3587984}"/>
    <cellStyle name="Normal 2 2 4 4 2 3 7 4" xfId="25327" xr:uid="{8D331D24-4495-49B9-A08F-491A23674157}"/>
    <cellStyle name="Normal 2 2 4 4 2 3 7 5" xfId="25328" xr:uid="{F8731028-F306-481C-9D34-66D0DF26CA51}"/>
    <cellStyle name="Normal 2 2 4 4 2 3 8" xfId="25329" xr:uid="{177E9666-833A-4D53-A106-AB161727B4FC}"/>
    <cellStyle name="Normal 2 2 4 4 2 3 8 2" xfId="25330" xr:uid="{5CE06B93-29A3-4D65-82BC-EDF696DF02F2}"/>
    <cellStyle name="Normal 2 2 4 4 2 3 8 3" xfId="25331" xr:uid="{DBAC6BB2-1F8E-4EC8-938C-941A9A1B755D}"/>
    <cellStyle name="Normal 2 2 4 4 2 3 8 4" xfId="25332" xr:uid="{A5184ED1-A5A5-42C9-8821-0C36E95F4504}"/>
    <cellStyle name="Normal 2 2 4 4 2 3 8 5" xfId="25333" xr:uid="{3DE0240C-8AD7-4EA8-9A02-0B60AAF3FD38}"/>
    <cellStyle name="Normal 2 2 4 4 2 3 9" xfId="25334" xr:uid="{56EC0EB6-E3C1-40AC-BA3F-9DA09B74752F}"/>
    <cellStyle name="Normal 2 2 4 4 2 4" xfId="25335" xr:uid="{AB75CB92-AB4A-4A56-A7DC-12E4EB507C40}"/>
    <cellStyle name="Normal 2 2 4 4 2 4 2" xfId="25336" xr:uid="{F5BE8E9E-0CDB-4676-A382-28B7A94FE21A}"/>
    <cellStyle name="Normal 2 2 4 4 2 4 2 2" xfId="25337" xr:uid="{6CE24F05-026A-467E-BF55-8619C9401F99}"/>
    <cellStyle name="Normal 2 2 4 4 2 4 2 3" xfId="25338" xr:uid="{A5B31D95-57BB-4645-96F0-E4F1BF996A20}"/>
    <cellStyle name="Normal 2 2 4 4 2 4 2 4" xfId="25339" xr:uid="{1421F22E-D85F-4261-97C3-4D155E12DF13}"/>
    <cellStyle name="Normal 2 2 4 4 2 4 2 5" xfId="25340" xr:uid="{2F5000E1-817D-4640-AC30-0D453B8D88A3}"/>
    <cellStyle name="Normal 2 2 4 4 2 4 3" xfId="25341" xr:uid="{502EDBAC-5299-4FC6-A2C4-9FF42CCD002A}"/>
    <cellStyle name="Normal 2 2 4 4 2 4 4" xfId="25342" xr:uid="{0E42C44E-AEAF-4893-84BC-D9B1B75F2254}"/>
    <cellStyle name="Normal 2 2 4 4 2 4 5" xfId="25343" xr:uid="{392F3531-C889-4A23-A8FB-4C989FA80302}"/>
    <cellStyle name="Normal 2 2 4 4 2 4 6" xfId="25344" xr:uid="{8ABAA37F-AB34-44CA-94AD-FCA63660983D}"/>
    <cellStyle name="Normal 2 2 4 4 2 5" xfId="25345" xr:uid="{6158AEFE-A30F-419B-BAE0-A70D034C2E36}"/>
    <cellStyle name="Normal 2 2 4 4 2 5 2" xfId="25346" xr:uid="{EE699B7B-9840-4052-9C67-9C335E857F45}"/>
    <cellStyle name="Normal 2 2 4 4 2 5 2 2" xfId="25347" xr:uid="{25F33579-6650-4A73-9B29-D38789A7E10A}"/>
    <cellStyle name="Normal 2 2 4 4 2 5 2 3" xfId="25348" xr:uid="{930C9306-8F72-4392-B969-F50D5A5BEF95}"/>
    <cellStyle name="Normal 2 2 4 4 2 5 2 4" xfId="25349" xr:uid="{5C925187-CEDE-4784-89A5-42D112803D7E}"/>
    <cellStyle name="Normal 2 2 4 4 2 5 2 5" xfId="25350" xr:uid="{1AAF6661-D833-49F0-AF82-F3978245EE35}"/>
    <cellStyle name="Normal 2 2 4 4 2 5 3" xfId="25351" xr:uid="{6460F1FD-81AF-4920-90A6-8B130C6EEA3B}"/>
    <cellStyle name="Normal 2 2 4 4 2 5 4" xfId="25352" xr:uid="{9353C7A3-147F-42DE-B974-329A6880EAB4}"/>
    <cellStyle name="Normal 2 2 4 4 2 5 5" xfId="25353" xr:uid="{725FEFE9-93AF-45E9-9D8C-644A79723E25}"/>
    <cellStyle name="Normal 2 2 4 4 2 5 6" xfId="25354" xr:uid="{EC156794-5188-4155-A4ED-B64DDC8A7FE3}"/>
    <cellStyle name="Normal 2 2 4 4 2 6" xfId="25355" xr:uid="{50F089F5-4235-48CD-99B9-E8FA20C30ABA}"/>
    <cellStyle name="Normal 2 2 4 4 2 6 2" xfId="25356" xr:uid="{C6B63610-FF03-48B2-BA16-167B9C4FA655}"/>
    <cellStyle name="Normal 2 2 4 4 2 6 2 2" xfId="25357" xr:uid="{8C6DEFD2-7484-43CC-97D0-F3F6BE329DC9}"/>
    <cellStyle name="Normal 2 2 4 4 2 6 2 3" xfId="25358" xr:uid="{3DD9F5DF-CEB2-453F-AD5A-6E6D1E17AF52}"/>
    <cellStyle name="Normal 2 2 4 4 2 6 2 4" xfId="25359" xr:uid="{A16A904F-45DE-4F13-AC03-311345654A14}"/>
    <cellStyle name="Normal 2 2 4 4 2 6 2 5" xfId="25360" xr:uid="{AE03EFC6-07FD-4084-8809-F2C528B5F905}"/>
    <cellStyle name="Normal 2 2 4 4 2 6 3" xfId="25361" xr:uid="{45EC0417-0300-4C7C-BFE7-847FE5F6DA5E}"/>
    <cellStyle name="Normal 2 2 4 4 2 6 4" xfId="25362" xr:uid="{F8DF54AC-FA8D-4F8C-A7D9-E05573874249}"/>
    <cellStyle name="Normal 2 2 4 4 2 6 5" xfId="25363" xr:uid="{C6D009C2-83B4-4640-8F11-46ECD9B52019}"/>
    <cellStyle name="Normal 2 2 4 4 2 6 6" xfId="25364" xr:uid="{FFE94BD1-9003-4A68-8CFF-40E5998B34A9}"/>
    <cellStyle name="Normal 2 2 4 4 2 7" xfId="25365" xr:uid="{C87C281D-98E9-413E-AC47-AEDA6D32C7D6}"/>
    <cellStyle name="Normal 2 2 4 4 2 7 2" xfId="25366" xr:uid="{BB4E51B9-2877-47A4-A4B1-D12B9F31FB4C}"/>
    <cellStyle name="Normal 2 2 4 4 2 7 3" xfId="25367" xr:uid="{A5F67957-DFED-4147-90F9-AB9850CADA3C}"/>
    <cellStyle name="Normal 2 2 4 4 2 7 4" xfId="25368" xr:uid="{A65DA902-A545-4B58-80B4-9B89E7541CB1}"/>
    <cellStyle name="Normal 2 2 4 4 2 7 5" xfId="25369" xr:uid="{02A24FDE-8CA5-48F1-9B6E-2AD7724C4BD1}"/>
    <cellStyle name="Normal 2 2 4 4 2 8" xfId="25370" xr:uid="{F705657D-1107-46B5-B66C-DF39358C6CDD}"/>
    <cellStyle name="Normal 2 2 4 4 2 8 2" xfId="25371" xr:uid="{70F44E65-963E-433C-8753-3A7F01D9BBCB}"/>
    <cellStyle name="Normal 2 2 4 4 2 8 3" xfId="25372" xr:uid="{58CE2FF2-3D68-4C10-9EF3-FF747065DA8A}"/>
    <cellStyle name="Normal 2 2 4 4 2 8 4" xfId="25373" xr:uid="{8EAA0B9A-9968-4468-B446-429DEA06A7F5}"/>
    <cellStyle name="Normal 2 2 4 4 2 8 5" xfId="25374" xr:uid="{B1C986AB-8D2F-467A-9806-E062EB7BBE2F}"/>
    <cellStyle name="Normal 2 2 4 4 2 9" xfId="25375" xr:uid="{A19DA466-12BC-44B1-A8F1-3AA01B55AB8E}"/>
    <cellStyle name="Normal 2 2 4 4 2 9 2" xfId="25376" xr:uid="{ABC61DE2-16C8-4DD0-B0EF-0CE851FFF2DD}"/>
    <cellStyle name="Normal 2 2 4 4 2 9 3" xfId="25377" xr:uid="{994BB9DF-434B-4745-B219-11BED94A68B9}"/>
    <cellStyle name="Normal 2 2 4 4 2 9 4" xfId="25378" xr:uid="{1A0358E3-7786-4F4B-AFC4-B341616943DA}"/>
    <cellStyle name="Normal 2 2 4 4 2 9 5" xfId="25379" xr:uid="{846BE4E0-2469-44F1-BC48-B452D419CD1B}"/>
    <cellStyle name="Normal 2 2 4 4 3" xfId="25380" xr:uid="{33DAE4F4-D15C-4151-ADBE-73155611219C}"/>
    <cellStyle name="Normal 2 2 4 4 3 10" xfId="25381" xr:uid="{4BFD5242-F59C-47AE-80CD-A036F2ADF3FA}"/>
    <cellStyle name="Normal 2 2 4 4 3 11" xfId="25382" xr:uid="{EBD91E0F-B088-4E10-8EE2-AB7E7698D99E}"/>
    <cellStyle name="Normal 2 2 4 4 3 12" xfId="25383" xr:uid="{0C70BCB6-31F6-4DC7-94A9-0541D88701D3}"/>
    <cellStyle name="Normal 2 2 4 4 3 13" xfId="25384" xr:uid="{640C6E19-2DF3-4DE2-94B4-7E13F2FABD6A}"/>
    <cellStyle name="Normal 2 2 4 4 3 2" xfId="25385" xr:uid="{C171373A-5303-42DB-A0AE-96AB1B0AAAFB}"/>
    <cellStyle name="Normal 2 2 4 4 3 2 10" xfId="25386" xr:uid="{92E6E963-7F00-4C9D-A75F-8C726925D694}"/>
    <cellStyle name="Normal 2 2 4 4 3 2 11" xfId="25387" xr:uid="{A80750C9-C36B-4C57-869C-17C0FC5AF4C8}"/>
    <cellStyle name="Normal 2 2 4 4 3 2 12" xfId="25388" xr:uid="{C2FB02E2-51F3-4A93-B029-6430E143B94B}"/>
    <cellStyle name="Normal 2 2 4 4 3 2 2" xfId="25389" xr:uid="{97EE115A-30EA-4659-BABA-ACD90BF4E801}"/>
    <cellStyle name="Normal 2 2 4 4 3 2 2 2" xfId="25390" xr:uid="{90E1D3ED-26B6-4FB9-ABAF-018B51B4F722}"/>
    <cellStyle name="Normal 2 2 4 4 3 2 2 2 2" xfId="25391" xr:uid="{0AF3F15D-3C3E-4977-8F37-790E25D32E46}"/>
    <cellStyle name="Normal 2 2 4 4 3 2 2 2 3" xfId="25392" xr:uid="{FDB3E286-DC25-4596-B313-A1BEDA516ED7}"/>
    <cellStyle name="Normal 2 2 4 4 3 2 2 2 4" xfId="25393" xr:uid="{7E8E2708-BE22-41EB-8B7D-6841BFF6D91F}"/>
    <cellStyle name="Normal 2 2 4 4 3 2 2 2 5" xfId="25394" xr:uid="{3733B23C-5BF6-469D-AB70-C30E74F3FEB6}"/>
    <cellStyle name="Normal 2 2 4 4 3 2 2 3" xfId="25395" xr:uid="{C98F3A21-012C-4850-8792-7C6AE4CC40B6}"/>
    <cellStyle name="Normal 2 2 4 4 3 2 2 4" xfId="25396" xr:uid="{7D41D6B9-9F2B-49C3-9A84-E6FE178D77F9}"/>
    <cellStyle name="Normal 2 2 4 4 3 2 2 5" xfId="25397" xr:uid="{5F18AB5C-C9D6-4C73-8352-03D8C5FBD5B5}"/>
    <cellStyle name="Normal 2 2 4 4 3 2 2 6" xfId="25398" xr:uid="{AE92649F-572D-4C60-9F44-F89EDA8DE41C}"/>
    <cellStyle name="Normal 2 2 4 4 3 2 3" xfId="25399" xr:uid="{F36C0E3B-D2C5-4FC2-917A-6373F794D61F}"/>
    <cellStyle name="Normal 2 2 4 4 3 2 3 2" xfId="25400" xr:uid="{69E7EF78-DB67-4C38-B13A-C358DF912017}"/>
    <cellStyle name="Normal 2 2 4 4 3 2 3 2 2" xfId="25401" xr:uid="{127E7327-849D-4F6A-8A00-80CBAF1715DA}"/>
    <cellStyle name="Normal 2 2 4 4 3 2 3 2 3" xfId="25402" xr:uid="{775CDC8B-190C-411C-8018-F22664C42E33}"/>
    <cellStyle name="Normal 2 2 4 4 3 2 3 2 4" xfId="25403" xr:uid="{D5948DDF-3445-4BE4-BDDC-311B08363D9F}"/>
    <cellStyle name="Normal 2 2 4 4 3 2 3 2 5" xfId="25404" xr:uid="{394E3191-5D0E-495E-921C-DBACD4890AA8}"/>
    <cellStyle name="Normal 2 2 4 4 3 2 3 3" xfId="25405" xr:uid="{172BD01F-0298-4503-9435-036B0D88AF3B}"/>
    <cellStyle name="Normal 2 2 4 4 3 2 3 4" xfId="25406" xr:uid="{486293BD-ED98-4FA0-90DB-FDCD937400D8}"/>
    <cellStyle name="Normal 2 2 4 4 3 2 3 5" xfId="25407" xr:uid="{0B764DAF-FBE2-4DB4-A96E-7F981C158EB0}"/>
    <cellStyle name="Normal 2 2 4 4 3 2 3 6" xfId="25408" xr:uid="{E6AC2A1B-BD0B-403A-B00C-7E7AFC6EB334}"/>
    <cellStyle name="Normal 2 2 4 4 3 2 4" xfId="25409" xr:uid="{14E06B7C-FF1F-4A45-AB4E-4D07E493E1BE}"/>
    <cellStyle name="Normal 2 2 4 4 3 2 4 2" xfId="25410" xr:uid="{7756B4A9-AC4D-4379-8CFE-705ECBD04F60}"/>
    <cellStyle name="Normal 2 2 4 4 3 2 4 2 2" xfId="25411" xr:uid="{5FEE4BE9-4F1B-4590-9F5D-6D762918312F}"/>
    <cellStyle name="Normal 2 2 4 4 3 2 4 2 3" xfId="25412" xr:uid="{BFB2CA35-A376-444A-A203-F4C6AA671AC2}"/>
    <cellStyle name="Normal 2 2 4 4 3 2 4 2 4" xfId="25413" xr:uid="{B248628C-E3CD-40CC-8024-DF69A838A608}"/>
    <cellStyle name="Normal 2 2 4 4 3 2 4 2 5" xfId="25414" xr:uid="{FA1CC1FB-D1A6-4369-9028-D8BC57848564}"/>
    <cellStyle name="Normal 2 2 4 4 3 2 4 3" xfId="25415" xr:uid="{DE51701F-42B5-4C79-9312-3E2FABCC1B12}"/>
    <cellStyle name="Normal 2 2 4 4 3 2 4 4" xfId="25416" xr:uid="{B5662ACB-2E5A-42C1-B692-7F9C50C6B647}"/>
    <cellStyle name="Normal 2 2 4 4 3 2 4 5" xfId="25417" xr:uid="{7EFA9A3A-FEA2-4F41-A4CC-AA6023BD2C8D}"/>
    <cellStyle name="Normal 2 2 4 4 3 2 4 6" xfId="25418" xr:uid="{86D7ACCA-2784-4ADD-9D2E-64B0BD62CD6C}"/>
    <cellStyle name="Normal 2 2 4 4 3 2 5" xfId="25419" xr:uid="{15159D29-3A9C-4A7F-BB1E-E9FF6DD1A6F0}"/>
    <cellStyle name="Normal 2 2 4 4 3 2 5 2" xfId="25420" xr:uid="{FA04E2AB-7FDD-4EEE-BC71-DE3520D22111}"/>
    <cellStyle name="Normal 2 2 4 4 3 2 5 3" xfId="25421" xr:uid="{01D24956-C6EE-483A-9BA4-8A4170DFBFEF}"/>
    <cellStyle name="Normal 2 2 4 4 3 2 5 4" xfId="25422" xr:uid="{62F4D2D3-F8ED-45E1-9630-92E9C9C9B87F}"/>
    <cellStyle name="Normal 2 2 4 4 3 2 5 5" xfId="25423" xr:uid="{7D59E718-0CE4-4FEF-B4F6-696C1E830471}"/>
    <cellStyle name="Normal 2 2 4 4 3 2 6" xfId="25424" xr:uid="{C54940D6-A6B3-44FE-BDD7-E803271925BD}"/>
    <cellStyle name="Normal 2 2 4 4 3 2 6 2" xfId="25425" xr:uid="{70192CA8-88A6-4CAD-93E9-BC1FDC3D1C83}"/>
    <cellStyle name="Normal 2 2 4 4 3 2 6 3" xfId="25426" xr:uid="{B9D253E0-6C9E-4679-8980-087B5B283F24}"/>
    <cellStyle name="Normal 2 2 4 4 3 2 6 4" xfId="25427" xr:uid="{F0FDAC04-862D-4283-98A2-61F49F2DAAD2}"/>
    <cellStyle name="Normal 2 2 4 4 3 2 6 5" xfId="25428" xr:uid="{D00EAD2D-786D-4155-8B10-8C39D64BEB25}"/>
    <cellStyle name="Normal 2 2 4 4 3 2 7" xfId="25429" xr:uid="{B56D67A0-B9FC-4EEC-A4E1-3802E114691A}"/>
    <cellStyle name="Normal 2 2 4 4 3 2 7 2" xfId="25430" xr:uid="{4E654D89-3CDC-40BE-9FA6-4BEDC755A29D}"/>
    <cellStyle name="Normal 2 2 4 4 3 2 7 3" xfId="25431" xr:uid="{FC915DC2-FD1B-4472-8932-58E2CAF4E660}"/>
    <cellStyle name="Normal 2 2 4 4 3 2 7 4" xfId="25432" xr:uid="{9FD50BD4-8A4D-48A9-B6CA-2C0080F25DEA}"/>
    <cellStyle name="Normal 2 2 4 4 3 2 7 5" xfId="25433" xr:uid="{0E3E377B-328C-4E50-92C6-B5D0DA6073CF}"/>
    <cellStyle name="Normal 2 2 4 4 3 2 8" xfId="25434" xr:uid="{FBC65BEF-4E1F-469A-B78E-5DEC7D0C16F6}"/>
    <cellStyle name="Normal 2 2 4 4 3 2 8 2" xfId="25435" xr:uid="{A5A129CC-E251-4935-88E0-E77571138178}"/>
    <cellStyle name="Normal 2 2 4 4 3 2 8 3" xfId="25436" xr:uid="{2E02A78C-8312-4706-8FC8-117022DD26E6}"/>
    <cellStyle name="Normal 2 2 4 4 3 2 8 4" xfId="25437" xr:uid="{BB2AEBB9-3CD2-40F2-A692-BBAF5EBD44D3}"/>
    <cellStyle name="Normal 2 2 4 4 3 2 8 5" xfId="25438" xr:uid="{43219F75-E495-4651-BDED-6B75FD8B4A97}"/>
    <cellStyle name="Normal 2 2 4 4 3 2 9" xfId="25439" xr:uid="{42E9E61C-563A-4C7C-88FE-2358D5A031E1}"/>
    <cellStyle name="Normal 2 2 4 4 3 3" xfId="25440" xr:uid="{E16C8B8A-EF47-4F49-AD8E-503140D01B9C}"/>
    <cellStyle name="Normal 2 2 4 4 3 3 2" xfId="25441" xr:uid="{4A7900EA-375F-445B-AE0E-5B49BB0D3C9C}"/>
    <cellStyle name="Normal 2 2 4 4 3 3 2 2" xfId="25442" xr:uid="{63F68489-1BE4-4232-9AC0-4AD3FC55E132}"/>
    <cellStyle name="Normal 2 2 4 4 3 3 2 3" xfId="25443" xr:uid="{539F639E-79BA-4C56-8940-EF46C0B29901}"/>
    <cellStyle name="Normal 2 2 4 4 3 3 2 4" xfId="25444" xr:uid="{CA2A992F-E05C-4EF1-BEDC-12B2D9B8D719}"/>
    <cellStyle name="Normal 2 2 4 4 3 3 2 5" xfId="25445" xr:uid="{8016F494-C4FB-4CEB-8586-7F77C5260022}"/>
    <cellStyle name="Normal 2 2 4 4 3 3 3" xfId="25446" xr:uid="{5B200CD6-C8C7-4347-9A8B-8A34086A080D}"/>
    <cellStyle name="Normal 2 2 4 4 3 3 4" xfId="25447" xr:uid="{A53A42E8-B851-45C9-AD13-6078080EA36E}"/>
    <cellStyle name="Normal 2 2 4 4 3 3 5" xfId="25448" xr:uid="{7C0F5894-BB2F-48C9-8A86-AB3941A41314}"/>
    <cellStyle name="Normal 2 2 4 4 3 3 6" xfId="25449" xr:uid="{8319E38D-2E12-4C39-9A21-C48F1D01061B}"/>
    <cellStyle name="Normal 2 2 4 4 3 4" xfId="25450" xr:uid="{B8FE594C-49F8-4DFB-A016-AD00A94E58FB}"/>
    <cellStyle name="Normal 2 2 4 4 3 4 2" xfId="25451" xr:uid="{ECEDA94E-4B31-40EA-8D1B-77A7E32EDC2E}"/>
    <cellStyle name="Normal 2 2 4 4 3 4 2 2" xfId="25452" xr:uid="{E8CD9ED4-9E04-47C7-9135-60CA170A58CF}"/>
    <cellStyle name="Normal 2 2 4 4 3 4 2 3" xfId="25453" xr:uid="{305D72A0-B158-49D0-80E7-1553ACDFB6AA}"/>
    <cellStyle name="Normal 2 2 4 4 3 4 2 4" xfId="25454" xr:uid="{E5367F05-F2EC-4E1F-B0C7-1483B26471AD}"/>
    <cellStyle name="Normal 2 2 4 4 3 4 2 5" xfId="25455" xr:uid="{ECE55FA6-108A-4796-BCA4-A4A62D3B849A}"/>
    <cellStyle name="Normal 2 2 4 4 3 4 3" xfId="25456" xr:uid="{99CD547E-B6E9-4501-A132-13F6815A76C1}"/>
    <cellStyle name="Normal 2 2 4 4 3 4 4" xfId="25457" xr:uid="{F823DF8E-BCE2-491A-9642-6E104AF20C64}"/>
    <cellStyle name="Normal 2 2 4 4 3 4 5" xfId="25458" xr:uid="{1AE92836-6D66-415A-95DB-94B4929584DA}"/>
    <cellStyle name="Normal 2 2 4 4 3 4 6" xfId="25459" xr:uid="{98119B0D-0353-41CC-9CB8-8AE99D4C24B7}"/>
    <cellStyle name="Normal 2 2 4 4 3 5" xfId="25460" xr:uid="{9696B9EB-7627-4A49-A42D-F627383390CA}"/>
    <cellStyle name="Normal 2 2 4 4 3 5 2" xfId="25461" xr:uid="{3681D5E4-8553-434A-832D-E0F6EA44D1E8}"/>
    <cellStyle name="Normal 2 2 4 4 3 5 2 2" xfId="25462" xr:uid="{A2C5298A-48CE-4F1B-9487-AF8DEF01F91A}"/>
    <cellStyle name="Normal 2 2 4 4 3 5 2 3" xfId="25463" xr:uid="{1A6EBBBE-B9B1-4D08-B606-EF0D43C10BA4}"/>
    <cellStyle name="Normal 2 2 4 4 3 5 2 4" xfId="25464" xr:uid="{9F478A76-8B67-483C-8114-D5861DA81A5B}"/>
    <cellStyle name="Normal 2 2 4 4 3 5 2 5" xfId="25465" xr:uid="{AC50F8D0-02CA-4C73-871A-C64522B94FC3}"/>
    <cellStyle name="Normal 2 2 4 4 3 5 3" xfId="25466" xr:uid="{EE8FF006-F49E-43B6-8089-5D86A9FBC31C}"/>
    <cellStyle name="Normal 2 2 4 4 3 5 4" xfId="25467" xr:uid="{DDB723D5-25DD-4F8A-A0D6-899C2DC63640}"/>
    <cellStyle name="Normal 2 2 4 4 3 5 5" xfId="25468" xr:uid="{C1B440BC-C5E9-4643-AD16-1F00EC9811E3}"/>
    <cellStyle name="Normal 2 2 4 4 3 5 6" xfId="25469" xr:uid="{B5C8E567-E8D2-4B48-B3EC-CCCE99CBE7B3}"/>
    <cellStyle name="Normal 2 2 4 4 3 6" xfId="25470" xr:uid="{8D48D0FA-8E49-4AE4-9D8C-3D8C57530AB4}"/>
    <cellStyle name="Normal 2 2 4 4 3 6 2" xfId="25471" xr:uid="{BEA9874C-4DDF-47D1-A32D-1A065AD757DF}"/>
    <cellStyle name="Normal 2 2 4 4 3 6 3" xfId="25472" xr:uid="{BBDA9B10-0ABB-473B-8AE7-3868D672729B}"/>
    <cellStyle name="Normal 2 2 4 4 3 6 4" xfId="25473" xr:uid="{399FB8DF-7FD2-416D-89BE-A787D6C58EF0}"/>
    <cellStyle name="Normal 2 2 4 4 3 6 5" xfId="25474" xr:uid="{09BAB153-592B-4706-B024-5D67E9A86DA9}"/>
    <cellStyle name="Normal 2 2 4 4 3 7" xfId="25475" xr:uid="{3F8C8D21-37A1-4446-9785-60467D5E09A1}"/>
    <cellStyle name="Normal 2 2 4 4 3 7 2" xfId="25476" xr:uid="{63429DD6-317D-4A0B-9B2C-A4DCCA0124A1}"/>
    <cellStyle name="Normal 2 2 4 4 3 7 3" xfId="25477" xr:uid="{634BED6E-DF52-4354-A963-69866A6C3EE5}"/>
    <cellStyle name="Normal 2 2 4 4 3 7 4" xfId="25478" xr:uid="{C0637CCF-8976-4B62-BC32-3B97F703D6DA}"/>
    <cellStyle name="Normal 2 2 4 4 3 7 5" xfId="25479" xr:uid="{C5CCFD85-5733-4E33-8674-108A7056E522}"/>
    <cellStyle name="Normal 2 2 4 4 3 8" xfId="25480" xr:uid="{B90434A8-BED0-4459-BCE0-270B3C4BF10F}"/>
    <cellStyle name="Normal 2 2 4 4 3 8 2" xfId="25481" xr:uid="{B67AA6A7-92CE-47EF-9195-6F9AC04E0420}"/>
    <cellStyle name="Normal 2 2 4 4 3 8 3" xfId="25482" xr:uid="{E09505A3-EB37-4A29-AE00-AC0E2331E925}"/>
    <cellStyle name="Normal 2 2 4 4 3 8 4" xfId="25483" xr:uid="{41502416-278C-4D04-8C22-1EE8AB054FD1}"/>
    <cellStyle name="Normal 2 2 4 4 3 8 5" xfId="25484" xr:uid="{1C0A8F43-04AC-48D4-9444-6B3C2F88894F}"/>
    <cellStyle name="Normal 2 2 4 4 3 9" xfId="25485" xr:uid="{49981E7B-847A-4530-8E39-CDDC1C1A93E9}"/>
    <cellStyle name="Normal 2 2 4 4 3 9 2" xfId="25486" xr:uid="{EDB78087-6D4B-4675-AE1B-CDFDF9F8F059}"/>
    <cellStyle name="Normal 2 2 4 4 3 9 3" xfId="25487" xr:uid="{F274D357-21EE-4986-A7D5-075C63F15209}"/>
    <cellStyle name="Normal 2 2 4 4 3 9 4" xfId="25488" xr:uid="{88D21832-8F68-4585-BD05-84600FBDA25D}"/>
    <cellStyle name="Normal 2 2 4 4 3 9 5" xfId="25489" xr:uid="{D420101F-2180-4EBE-9336-A3110075F760}"/>
    <cellStyle name="Normal 2 2 4 4 4" xfId="25490" xr:uid="{54FEC0DC-46E8-4E47-9FA3-A5F1106FC4F6}"/>
    <cellStyle name="Normal 2 2 4 4 4 10" xfId="25491" xr:uid="{0C6969E8-F057-4F9D-934B-9CC9077C454B}"/>
    <cellStyle name="Normal 2 2 4 4 4 11" xfId="25492" xr:uid="{17E518D9-FECF-4860-9C70-0BC76A3F6C59}"/>
    <cellStyle name="Normal 2 2 4 4 4 12" xfId="25493" xr:uid="{4E26ABAB-677F-42FE-A1AF-F24B4B068E71}"/>
    <cellStyle name="Normal 2 2 4 4 4 2" xfId="25494" xr:uid="{B9C0B651-A7DD-4577-8D64-6281FE6E20E0}"/>
    <cellStyle name="Normal 2 2 4 4 4 2 2" xfId="25495" xr:uid="{B5FE19BB-ECC8-4A0A-8BB6-98473BEB32D4}"/>
    <cellStyle name="Normal 2 2 4 4 4 2 2 2" xfId="25496" xr:uid="{54965ACD-80A4-4327-81AA-EB40F9AA097F}"/>
    <cellStyle name="Normal 2 2 4 4 4 2 2 3" xfId="25497" xr:uid="{6C1073DF-20A3-4136-80FA-2BC6473E9C16}"/>
    <cellStyle name="Normal 2 2 4 4 4 2 2 4" xfId="25498" xr:uid="{1EFEFFEA-C3BE-4A9C-A877-15A8AE619CAA}"/>
    <cellStyle name="Normal 2 2 4 4 4 2 2 5" xfId="25499" xr:uid="{1DA67EA1-403A-4E80-95C5-5A254C00F19E}"/>
    <cellStyle name="Normal 2 2 4 4 4 2 3" xfId="25500" xr:uid="{5DC1E7D6-FD5E-4553-B006-7D07214BBC8C}"/>
    <cellStyle name="Normal 2 2 4 4 4 2 4" xfId="25501" xr:uid="{A2EBC212-D866-4B86-8696-1A74C65F36C2}"/>
    <cellStyle name="Normal 2 2 4 4 4 2 5" xfId="25502" xr:uid="{FF8C39EF-BFAE-441B-AE6F-C1918C98D2B3}"/>
    <cellStyle name="Normal 2 2 4 4 4 2 6" xfId="25503" xr:uid="{E1CA30FE-F833-417A-929D-F7C3337E047C}"/>
    <cellStyle name="Normal 2 2 4 4 4 3" xfId="25504" xr:uid="{62F38376-70AD-40D7-8E26-5ED4278DDC82}"/>
    <cellStyle name="Normal 2 2 4 4 4 3 2" xfId="25505" xr:uid="{28385631-EDCB-45D9-AF95-3D745594DF6A}"/>
    <cellStyle name="Normal 2 2 4 4 4 3 2 2" xfId="25506" xr:uid="{90495F9A-6292-4D07-BE71-0F3DFAE8C862}"/>
    <cellStyle name="Normal 2 2 4 4 4 3 2 3" xfId="25507" xr:uid="{9BF3A4B9-61EC-43AC-AD0C-40EE5F0F7214}"/>
    <cellStyle name="Normal 2 2 4 4 4 3 2 4" xfId="25508" xr:uid="{ABBA6EF8-B036-4238-B4B4-3F64C007BB65}"/>
    <cellStyle name="Normal 2 2 4 4 4 3 2 5" xfId="25509" xr:uid="{3CDB08CE-4C91-41E0-BABB-60D2BBEBA2A0}"/>
    <cellStyle name="Normal 2 2 4 4 4 3 3" xfId="25510" xr:uid="{088E2D35-2A0E-4C4C-B1A9-C227F39E5D78}"/>
    <cellStyle name="Normal 2 2 4 4 4 3 4" xfId="25511" xr:uid="{8C25D6F1-229C-40F3-B8DF-0FE28488FA46}"/>
    <cellStyle name="Normal 2 2 4 4 4 3 5" xfId="25512" xr:uid="{A10B030D-8DCB-40D8-BED3-43DDB7AABC40}"/>
    <cellStyle name="Normal 2 2 4 4 4 3 6" xfId="25513" xr:uid="{DEE107D3-157C-458D-AA72-08A8ECFFEC4E}"/>
    <cellStyle name="Normal 2 2 4 4 4 4" xfId="25514" xr:uid="{6B7BF454-A03B-4F24-9E05-8F57D5D13ED6}"/>
    <cellStyle name="Normal 2 2 4 4 4 4 2" xfId="25515" xr:uid="{52CE1C1D-39E4-49B3-873F-65B6939AEC23}"/>
    <cellStyle name="Normal 2 2 4 4 4 4 2 2" xfId="25516" xr:uid="{C9379884-30AF-42D5-8AE7-973BA7B25696}"/>
    <cellStyle name="Normal 2 2 4 4 4 4 2 3" xfId="25517" xr:uid="{E0864930-985E-45A3-94CC-B031504B0E6E}"/>
    <cellStyle name="Normal 2 2 4 4 4 4 2 4" xfId="25518" xr:uid="{43C5D7AD-22DD-45DA-B2FD-64C414EA31FE}"/>
    <cellStyle name="Normal 2 2 4 4 4 4 2 5" xfId="25519" xr:uid="{671281CD-6349-45E5-809D-17C9AF17BB39}"/>
    <cellStyle name="Normal 2 2 4 4 4 4 3" xfId="25520" xr:uid="{61C73506-4954-4178-801A-CE524FB8E633}"/>
    <cellStyle name="Normal 2 2 4 4 4 4 4" xfId="25521" xr:uid="{B74E1778-8F3D-47CC-8450-12573831E07A}"/>
    <cellStyle name="Normal 2 2 4 4 4 4 5" xfId="25522" xr:uid="{FA47615E-12DE-4E9E-AA37-F4350FC52184}"/>
    <cellStyle name="Normal 2 2 4 4 4 4 6" xfId="25523" xr:uid="{D0A99ED5-7D11-4DF9-B54C-5E16D379FD43}"/>
    <cellStyle name="Normal 2 2 4 4 4 5" xfId="25524" xr:uid="{275B6403-A973-494C-87B2-7D7180EAAC49}"/>
    <cellStyle name="Normal 2 2 4 4 4 5 2" xfId="25525" xr:uid="{D8488456-E12D-4691-826B-6962182279CF}"/>
    <cellStyle name="Normal 2 2 4 4 4 5 3" xfId="25526" xr:uid="{909245C3-5E81-4FE1-8F72-080F36198808}"/>
    <cellStyle name="Normal 2 2 4 4 4 5 4" xfId="25527" xr:uid="{123603C7-BF2B-4B53-98C4-AA16243AA906}"/>
    <cellStyle name="Normal 2 2 4 4 4 5 5" xfId="25528" xr:uid="{E47F7F05-CD65-43C2-86F1-17302401D9A2}"/>
    <cellStyle name="Normal 2 2 4 4 4 6" xfId="25529" xr:uid="{46D3C6A1-C276-4F0D-AC70-4E997B9B4227}"/>
    <cellStyle name="Normal 2 2 4 4 4 6 2" xfId="25530" xr:uid="{1144DF60-4E9A-41C8-83F3-5248B7822049}"/>
    <cellStyle name="Normal 2 2 4 4 4 6 3" xfId="25531" xr:uid="{43B08FAC-210D-4AF9-BA01-2342BCD157DD}"/>
    <cellStyle name="Normal 2 2 4 4 4 6 4" xfId="25532" xr:uid="{65C863D7-26DA-431D-B3C5-1A336A5D3E6B}"/>
    <cellStyle name="Normal 2 2 4 4 4 6 5" xfId="25533" xr:uid="{49A5DE41-C316-47BE-86CC-A962D2689DB4}"/>
    <cellStyle name="Normal 2 2 4 4 4 7" xfId="25534" xr:uid="{EE17D5BD-81C4-409E-96E1-56FFB045548E}"/>
    <cellStyle name="Normal 2 2 4 4 4 7 2" xfId="25535" xr:uid="{B74FAB5C-6591-4989-B109-3FBB793D08A7}"/>
    <cellStyle name="Normal 2 2 4 4 4 7 3" xfId="25536" xr:uid="{41411F3F-4CFC-4048-98FB-F12895ECF54C}"/>
    <cellStyle name="Normal 2 2 4 4 4 7 4" xfId="25537" xr:uid="{E09CA081-8A9F-4E8B-9A75-36FE3EF609A4}"/>
    <cellStyle name="Normal 2 2 4 4 4 7 5" xfId="25538" xr:uid="{EBC3E908-18FA-4CCC-A19F-8CEAEFD1E720}"/>
    <cellStyle name="Normal 2 2 4 4 4 8" xfId="25539" xr:uid="{D2C590BA-C313-4CF6-9C7A-3B023E363D55}"/>
    <cellStyle name="Normal 2 2 4 4 4 8 2" xfId="25540" xr:uid="{C0AEBA19-4ED7-42A8-B876-B37515CDABF3}"/>
    <cellStyle name="Normal 2 2 4 4 4 8 3" xfId="25541" xr:uid="{79E62CC9-0108-490C-A308-003B43735D93}"/>
    <cellStyle name="Normal 2 2 4 4 4 8 4" xfId="25542" xr:uid="{11F5EE47-51AD-48BC-A399-D7CDCDE06A12}"/>
    <cellStyle name="Normal 2 2 4 4 4 8 5" xfId="25543" xr:uid="{E7D8DBC8-7B60-4C89-90C0-D4BC33432DBE}"/>
    <cellStyle name="Normal 2 2 4 4 4 9" xfId="25544" xr:uid="{C73CB05A-7FE4-4208-8FF5-1279576CC1EF}"/>
    <cellStyle name="Normal 2 2 4 4 5" xfId="25545" xr:uid="{86AFED9C-93A9-48D7-8613-3CFC2992F024}"/>
    <cellStyle name="Normal 2 2 4 4 5 2" xfId="25546" xr:uid="{4B518BB9-E26F-4948-BE36-0669B64EC9FF}"/>
    <cellStyle name="Normal 2 2 4 4 5 2 2" xfId="25547" xr:uid="{B557A7A0-D55A-44DF-B400-44E206C6EAE3}"/>
    <cellStyle name="Normal 2 2 4 4 5 2 3" xfId="25548" xr:uid="{DD343385-4EDF-4B0E-BA60-6BB02665C3D3}"/>
    <cellStyle name="Normal 2 2 4 4 5 2 4" xfId="25549" xr:uid="{119AFF98-C565-4724-8DBB-27E2BCCBADBA}"/>
    <cellStyle name="Normal 2 2 4 4 5 2 5" xfId="25550" xr:uid="{4B8437F3-213C-4E86-B274-FE31DA10C032}"/>
    <cellStyle name="Normal 2 2 4 4 5 3" xfId="25551" xr:uid="{DFF313FB-9DB2-4DB4-ACA0-9EADC8DE39E3}"/>
    <cellStyle name="Normal 2 2 4 4 5 4" xfId="25552" xr:uid="{38F8EDF2-9950-40D4-B26D-1E820A97F625}"/>
    <cellStyle name="Normal 2 2 4 4 5 5" xfId="25553" xr:uid="{7ED44D1A-8EA2-4BBD-867F-C7399584BDBC}"/>
    <cellStyle name="Normal 2 2 4 4 5 6" xfId="25554" xr:uid="{F8A4350A-07A3-448B-B99F-20622B7F9381}"/>
    <cellStyle name="Normal 2 2 4 4 6" xfId="25555" xr:uid="{390360D7-6670-48EC-AA49-46311FD7C05D}"/>
    <cellStyle name="Normal 2 2 4 4 6 2" xfId="25556" xr:uid="{2ABE64ED-E3C2-4FE3-A2C3-FB674899A185}"/>
    <cellStyle name="Normal 2 2 4 4 6 2 2" xfId="25557" xr:uid="{E92D868D-4134-4A38-A4D4-0A6A2B36901C}"/>
    <cellStyle name="Normal 2 2 4 4 6 2 3" xfId="25558" xr:uid="{EDF65FE9-9B98-434F-AA23-5829B9B58495}"/>
    <cellStyle name="Normal 2 2 4 4 6 2 4" xfId="25559" xr:uid="{D6F8AF27-1EEC-44D1-92C1-0485C329DFBC}"/>
    <cellStyle name="Normal 2 2 4 4 6 2 5" xfId="25560" xr:uid="{99929EF1-5321-4435-96F1-F998D2BBF140}"/>
    <cellStyle name="Normal 2 2 4 4 6 3" xfId="25561" xr:uid="{FDFD66D5-E87A-4400-99F8-FE42801D43BD}"/>
    <cellStyle name="Normal 2 2 4 4 6 4" xfId="25562" xr:uid="{52462343-9BE5-4A79-BE0B-4E753CCE7157}"/>
    <cellStyle name="Normal 2 2 4 4 6 5" xfId="25563" xr:uid="{34A9E3A3-64AD-43EA-82EF-EF1DAC4F490B}"/>
    <cellStyle name="Normal 2 2 4 4 6 6" xfId="25564" xr:uid="{E488B191-8C85-41EE-A984-7FC1796FDE6E}"/>
    <cellStyle name="Normal 2 2 4 4 7" xfId="25565" xr:uid="{32C1E93E-7E97-42AE-A498-B33285475113}"/>
    <cellStyle name="Normal 2 2 4 4 7 2" xfId="25566" xr:uid="{6F1263C9-6EB4-42C6-9F97-1C766BC322DD}"/>
    <cellStyle name="Normal 2 2 4 4 7 2 2" xfId="25567" xr:uid="{8FE9FAC3-FA26-4DBC-94DC-82229984BE7A}"/>
    <cellStyle name="Normal 2 2 4 4 7 2 3" xfId="25568" xr:uid="{743FB426-628B-4004-93BF-6EC227E7395F}"/>
    <cellStyle name="Normal 2 2 4 4 7 2 4" xfId="25569" xr:uid="{957A1B4A-18BB-4474-9415-E91A23572C65}"/>
    <cellStyle name="Normal 2 2 4 4 7 2 5" xfId="25570" xr:uid="{50BF888A-CF43-4948-914C-AF1A5AC6DEC5}"/>
    <cellStyle name="Normal 2 2 4 4 7 3" xfId="25571" xr:uid="{4106BF62-20D0-4B8B-B008-8D43014C301B}"/>
    <cellStyle name="Normal 2 2 4 4 7 4" xfId="25572" xr:uid="{40E0396C-1518-4BF2-8EF5-EF0C0D490D57}"/>
    <cellStyle name="Normal 2 2 4 4 7 5" xfId="25573" xr:uid="{AE83C7AE-6D4A-4182-A30A-41476A175A10}"/>
    <cellStyle name="Normal 2 2 4 4 7 6" xfId="25574" xr:uid="{77BFC794-2992-48DA-9625-8CE3F95A4B9E}"/>
    <cellStyle name="Normal 2 2 4 4 8" xfId="25575" xr:uid="{63D58A60-C338-4771-A650-440682FB4181}"/>
    <cellStyle name="Normal 2 2 4 4 8 2" xfId="25576" xr:uid="{CB6130BE-5086-44FB-81AF-E5A13BE38830}"/>
    <cellStyle name="Normal 2 2 4 4 8 3" xfId="25577" xr:uid="{773CCD12-EC47-42AD-9382-50771470DDAC}"/>
    <cellStyle name="Normal 2 2 4 4 8 4" xfId="25578" xr:uid="{C2C3E18A-6EAE-40C7-B209-90290E8EDFE2}"/>
    <cellStyle name="Normal 2 2 4 4 8 5" xfId="25579" xr:uid="{BCA9811D-E997-4D05-A4EC-1B260B8CAA7F}"/>
    <cellStyle name="Normal 2 2 4 4 9" xfId="25580" xr:uid="{A4EA216D-E8CB-48E4-9B3C-1653E0E5B97F}"/>
    <cellStyle name="Normal 2 2 4 4 9 2" xfId="25581" xr:uid="{D327641B-DB96-480A-8FBC-87AE764D1051}"/>
    <cellStyle name="Normal 2 2 4 4 9 3" xfId="25582" xr:uid="{0B6137A7-AA92-428C-A7EE-99AB99070630}"/>
    <cellStyle name="Normal 2 2 4 4 9 4" xfId="25583" xr:uid="{0A5EA219-835B-43A0-8583-6214F9798C49}"/>
    <cellStyle name="Normal 2 2 4 4 9 5" xfId="25584" xr:uid="{90E06F83-438F-4FE9-A9A7-2FE24072F6BE}"/>
    <cellStyle name="Normal 2 2 4 5" xfId="25585" xr:uid="{3A488E46-E09E-4919-BC4D-3DE81094842F}"/>
    <cellStyle name="Normal 2 2 4 5 10" xfId="25586" xr:uid="{5279B752-8253-45AC-9CD5-119545672B0C}"/>
    <cellStyle name="Normal 2 2 4 5 10 2" xfId="25587" xr:uid="{62DD010B-0C2D-4451-8041-670E23DBEFD1}"/>
    <cellStyle name="Normal 2 2 4 5 10 3" xfId="25588" xr:uid="{1F27D43A-B897-4305-B66C-360D0AEA7ACC}"/>
    <cellStyle name="Normal 2 2 4 5 10 4" xfId="25589" xr:uid="{E37AF6C0-42AF-4A6B-B081-FA134C00B7F4}"/>
    <cellStyle name="Normal 2 2 4 5 10 5" xfId="25590" xr:uid="{410161FC-4FCC-4FCA-BFD4-53678B4BAB4C}"/>
    <cellStyle name="Normal 2 2 4 5 11" xfId="25591" xr:uid="{42E473BB-5E67-4A11-AF5A-E9BF8DC652E1}"/>
    <cellStyle name="Normal 2 2 4 5 11 2" xfId="25592" xr:uid="{8011A60E-1E19-4650-9216-8B7B09874CA5}"/>
    <cellStyle name="Normal 2 2 4 5 11 3" xfId="25593" xr:uid="{E2D66147-7D88-4A85-866C-A0CE80480584}"/>
    <cellStyle name="Normal 2 2 4 5 11 4" xfId="25594" xr:uid="{A2CBACB5-F1BD-43DB-A14A-699024EA821E}"/>
    <cellStyle name="Normal 2 2 4 5 11 5" xfId="25595" xr:uid="{F7841D9C-B9DE-4A33-B819-24C109F8ACEE}"/>
    <cellStyle name="Normal 2 2 4 5 12" xfId="25596" xr:uid="{A8E7AD53-3792-4DFA-BC7E-870D7BB1D533}"/>
    <cellStyle name="Normal 2 2 4 5 13" xfId="25597" xr:uid="{263FD9BC-B52B-49DD-90CF-D3E7009D5C9F}"/>
    <cellStyle name="Normal 2 2 4 5 14" xfId="25598" xr:uid="{C48F6B8A-6155-4CA9-B248-02E5BC2DE7BA}"/>
    <cellStyle name="Normal 2 2 4 5 15" xfId="25599" xr:uid="{28A616B4-A946-49A2-8620-AD09D8146051}"/>
    <cellStyle name="Normal 2 2 4 5 2" xfId="25600" xr:uid="{13005CDF-BEBA-47A8-AF15-3AADF2CFE872}"/>
    <cellStyle name="Normal 2 2 4 5 2 10" xfId="25601" xr:uid="{FC9748E4-293A-4DBF-8F3E-73AAB02FCCD8}"/>
    <cellStyle name="Normal 2 2 4 5 2 10 2" xfId="25602" xr:uid="{506359B5-988C-4660-9876-D3370D95D2EA}"/>
    <cellStyle name="Normal 2 2 4 5 2 10 3" xfId="25603" xr:uid="{F254CDBF-2204-4B57-9096-676F399E2FD9}"/>
    <cellStyle name="Normal 2 2 4 5 2 10 4" xfId="25604" xr:uid="{034038CE-29C7-416C-AF56-8FBD973E3386}"/>
    <cellStyle name="Normal 2 2 4 5 2 10 5" xfId="25605" xr:uid="{59F915EA-D8F5-4295-B26F-5A08A4423F7E}"/>
    <cellStyle name="Normal 2 2 4 5 2 11" xfId="25606" xr:uid="{D0228044-04DC-44F7-812A-C2CDB298D1FC}"/>
    <cellStyle name="Normal 2 2 4 5 2 12" xfId="25607" xr:uid="{0B90B1F7-8979-464F-97E0-3D666AB84962}"/>
    <cellStyle name="Normal 2 2 4 5 2 13" xfId="25608" xr:uid="{C2C6E280-3FD3-421B-8C3E-27570E1A6B7F}"/>
    <cellStyle name="Normal 2 2 4 5 2 14" xfId="25609" xr:uid="{3211D67B-3AF2-42DD-83AB-4425526C3D24}"/>
    <cellStyle name="Normal 2 2 4 5 2 2" xfId="25610" xr:uid="{9C626CE3-8BB2-411F-AF0A-031CDD90EE4F}"/>
    <cellStyle name="Normal 2 2 4 5 2 2 10" xfId="25611" xr:uid="{B27242B4-1D36-4CDF-961B-EA244EB3AA87}"/>
    <cellStyle name="Normal 2 2 4 5 2 2 11" xfId="25612" xr:uid="{5FC35B12-E6E9-4C18-94C8-E2C68FB97020}"/>
    <cellStyle name="Normal 2 2 4 5 2 2 12" xfId="25613" xr:uid="{8B8D86F1-186E-4552-87B0-DD053E117100}"/>
    <cellStyle name="Normal 2 2 4 5 2 2 13" xfId="25614" xr:uid="{3D8FE392-BB83-4B3A-BFF4-5DE1BE706FCA}"/>
    <cellStyle name="Normal 2 2 4 5 2 2 2" xfId="25615" xr:uid="{441C7191-5DF9-41DF-A514-0B7170C312C2}"/>
    <cellStyle name="Normal 2 2 4 5 2 2 2 10" xfId="25616" xr:uid="{88827161-4D5F-4140-A8B1-D4E1697F8AA4}"/>
    <cellStyle name="Normal 2 2 4 5 2 2 2 11" xfId="25617" xr:uid="{F24EFEE2-2CB5-4637-B587-7F2E4DCDE5EB}"/>
    <cellStyle name="Normal 2 2 4 5 2 2 2 12" xfId="25618" xr:uid="{F673BFE9-4F26-4C18-85E1-C7AF1C29AF60}"/>
    <cellStyle name="Normal 2 2 4 5 2 2 2 2" xfId="25619" xr:uid="{14398E13-0D78-4C33-85AF-953827910391}"/>
    <cellStyle name="Normal 2 2 4 5 2 2 2 2 2" xfId="25620" xr:uid="{AEF583D2-9048-4ECE-85DD-AE9200D98238}"/>
    <cellStyle name="Normal 2 2 4 5 2 2 2 2 2 2" xfId="25621" xr:uid="{22629CDE-DB36-4722-8B33-6F37E5021F68}"/>
    <cellStyle name="Normal 2 2 4 5 2 2 2 2 2 3" xfId="25622" xr:uid="{17E4A4C3-1C58-4C32-8281-BCA46A2F10BA}"/>
    <cellStyle name="Normal 2 2 4 5 2 2 2 2 2 4" xfId="25623" xr:uid="{2F24BA2F-1565-4813-98EB-6FB9DD4CE902}"/>
    <cellStyle name="Normal 2 2 4 5 2 2 2 2 2 5" xfId="25624" xr:uid="{F8238915-34B5-4BB4-9245-EC34640FC3BE}"/>
    <cellStyle name="Normal 2 2 4 5 2 2 2 2 3" xfId="25625" xr:uid="{642FC6CE-33D4-4F0B-88D2-28B5709144FD}"/>
    <cellStyle name="Normal 2 2 4 5 2 2 2 2 4" xfId="25626" xr:uid="{A3D3DA42-7916-49D4-A69A-5914436536D0}"/>
    <cellStyle name="Normal 2 2 4 5 2 2 2 2 5" xfId="25627" xr:uid="{3A303D95-3968-4088-8B1F-76F81D5FE914}"/>
    <cellStyle name="Normal 2 2 4 5 2 2 2 2 6" xfId="25628" xr:uid="{9CA52A69-18FA-4535-9D94-2CE857E11A84}"/>
    <cellStyle name="Normal 2 2 4 5 2 2 2 3" xfId="25629" xr:uid="{30864DDB-9F94-4ACA-957B-AEF2F44BB642}"/>
    <cellStyle name="Normal 2 2 4 5 2 2 2 3 2" xfId="25630" xr:uid="{193721E2-29EA-400B-A047-ACEC78F771CE}"/>
    <cellStyle name="Normal 2 2 4 5 2 2 2 3 2 2" xfId="25631" xr:uid="{F9006581-6A1A-4A92-A9AD-A6E776A4CF08}"/>
    <cellStyle name="Normal 2 2 4 5 2 2 2 3 2 3" xfId="25632" xr:uid="{0DF07BB1-912B-49D4-9405-1F9C379FD59C}"/>
    <cellStyle name="Normal 2 2 4 5 2 2 2 3 2 4" xfId="25633" xr:uid="{E3977F28-938F-4010-BD68-A0D91707ABCF}"/>
    <cellStyle name="Normal 2 2 4 5 2 2 2 3 2 5" xfId="25634" xr:uid="{31530BC5-DBEF-4685-BB19-5C98F96FB6AD}"/>
    <cellStyle name="Normal 2 2 4 5 2 2 2 3 3" xfId="25635" xr:uid="{6D026989-57F8-4479-B880-1B49305E0F00}"/>
    <cellStyle name="Normal 2 2 4 5 2 2 2 3 4" xfId="25636" xr:uid="{762A7ABE-BCE4-43A7-A1B1-F670701BFD7D}"/>
    <cellStyle name="Normal 2 2 4 5 2 2 2 3 5" xfId="25637" xr:uid="{3640148C-76EB-4E50-8191-B2F91074BFB3}"/>
    <cellStyle name="Normal 2 2 4 5 2 2 2 3 6" xfId="25638" xr:uid="{8ABA79D8-B3C7-436D-9F02-7697283F7DA6}"/>
    <cellStyle name="Normal 2 2 4 5 2 2 2 4" xfId="25639" xr:uid="{501FB008-6E83-45CC-ADC8-391B12799727}"/>
    <cellStyle name="Normal 2 2 4 5 2 2 2 4 2" xfId="25640" xr:uid="{6F5BB281-4A1D-478A-AB7E-205788FA2AE8}"/>
    <cellStyle name="Normal 2 2 4 5 2 2 2 4 2 2" xfId="25641" xr:uid="{E34606F8-7476-460A-AFF4-3216D1C2175B}"/>
    <cellStyle name="Normal 2 2 4 5 2 2 2 4 2 3" xfId="25642" xr:uid="{9494D5F3-5790-4316-8140-8B6180B711C4}"/>
    <cellStyle name="Normal 2 2 4 5 2 2 2 4 2 4" xfId="25643" xr:uid="{EDBE7AF7-810F-4E6C-B65F-98C2371183D6}"/>
    <cellStyle name="Normal 2 2 4 5 2 2 2 4 2 5" xfId="25644" xr:uid="{504E49AB-878D-4BFF-AD1F-92EB32A15532}"/>
    <cellStyle name="Normal 2 2 4 5 2 2 2 4 3" xfId="25645" xr:uid="{6D734C3E-44BB-416B-AF33-38C6348718E9}"/>
    <cellStyle name="Normal 2 2 4 5 2 2 2 4 4" xfId="25646" xr:uid="{CC8C7B5D-EF61-4E1B-9688-5858CD432510}"/>
    <cellStyle name="Normal 2 2 4 5 2 2 2 4 5" xfId="25647" xr:uid="{F62F1568-FAC0-4101-A62B-4D029DE9B75C}"/>
    <cellStyle name="Normal 2 2 4 5 2 2 2 4 6" xfId="25648" xr:uid="{0B11BA4B-F391-49BB-B223-2971EA64DBFB}"/>
    <cellStyle name="Normal 2 2 4 5 2 2 2 5" xfId="25649" xr:uid="{7228ACBA-3F24-4E6F-ABFF-337E34664C9B}"/>
    <cellStyle name="Normal 2 2 4 5 2 2 2 5 2" xfId="25650" xr:uid="{3E38FCAD-35CD-428E-B15F-D9066A5632A6}"/>
    <cellStyle name="Normal 2 2 4 5 2 2 2 5 3" xfId="25651" xr:uid="{75E05458-5CFD-4EBB-B9AB-A64919552E3F}"/>
    <cellStyle name="Normal 2 2 4 5 2 2 2 5 4" xfId="25652" xr:uid="{41A1FE61-8299-467F-AF78-0BD38B940E7F}"/>
    <cellStyle name="Normal 2 2 4 5 2 2 2 5 5" xfId="25653" xr:uid="{D1DD6A31-F42B-4EF0-84BC-48A640B8AA01}"/>
    <cellStyle name="Normal 2 2 4 5 2 2 2 6" xfId="25654" xr:uid="{4A442491-41F1-4B23-B82F-5F75F94270CD}"/>
    <cellStyle name="Normal 2 2 4 5 2 2 2 6 2" xfId="25655" xr:uid="{8A571A41-3A0B-464A-A910-5EE61FF4FD44}"/>
    <cellStyle name="Normal 2 2 4 5 2 2 2 6 3" xfId="25656" xr:uid="{E8FB0A34-A8E5-4EA7-982E-72D908CBDCD2}"/>
    <cellStyle name="Normal 2 2 4 5 2 2 2 6 4" xfId="25657" xr:uid="{1E52C69B-8F05-467A-9FCD-239D06175D49}"/>
    <cellStyle name="Normal 2 2 4 5 2 2 2 6 5" xfId="25658" xr:uid="{BB31568C-7046-4CEA-A731-3D417F7E0288}"/>
    <cellStyle name="Normal 2 2 4 5 2 2 2 7" xfId="25659" xr:uid="{4E5B643A-8494-45FA-8B81-8246D9D7FFA4}"/>
    <cellStyle name="Normal 2 2 4 5 2 2 2 7 2" xfId="25660" xr:uid="{226D38D4-D0A8-4F93-BD85-580B327E4499}"/>
    <cellStyle name="Normal 2 2 4 5 2 2 2 7 3" xfId="25661" xr:uid="{C6E260DC-0EF3-4024-B3D9-42B90DE172E0}"/>
    <cellStyle name="Normal 2 2 4 5 2 2 2 7 4" xfId="25662" xr:uid="{3182DA4E-9942-46C3-BE48-149B0334D4A7}"/>
    <cellStyle name="Normal 2 2 4 5 2 2 2 7 5" xfId="25663" xr:uid="{C41B1424-409A-4B2E-B04B-384AC5D17409}"/>
    <cellStyle name="Normal 2 2 4 5 2 2 2 8" xfId="25664" xr:uid="{ED55AB8B-243D-45AD-A576-6C1E466818BF}"/>
    <cellStyle name="Normal 2 2 4 5 2 2 2 8 2" xfId="25665" xr:uid="{ED57B1BE-C048-4B15-8BA6-CAB856941927}"/>
    <cellStyle name="Normal 2 2 4 5 2 2 2 8 3" xfId="25666" xr:uid="{6DD25403-5D5D-4145-B5B3-0BECC965EF97}"/>
    <cellStyle name="Normal 2 2 4 5 2 2 2 8 4" xfId="25667" xr:uid="{CE41D27B-3E59-4863-BF8C-D35415516A61}"/>
    <cellStyle name="Normal 2 2 4 5 2 2 2 8 5" xfId="25668" xr:uid="{D99FD2A1-EE27-45A9-84E5-4BD3A9EED9B5}"/>
    <cellStyle name="Normal 2 2 4 5 2 2 2 9" xfId="25669" xr:uid="{70F80688-2E1A-42EB-8E71-D01B3C8C4B19}"/>
    <cellStyle name="Normal 2 2 4 5 2 2 3" xfId="25670" xr:uid="{C1CD23B6-0524-4E40-9302-BAEC6D54D435}"/>
    <cellStyle name="Normal 2 2 4 5 2 2 3 2" xfId="25671" xr:uid="{5BFBEA0F-F10F-4A0E-B906-71D9039530CB}"/>
    <cellStyle name="Normal 2 2 4 5 2 2 3 2 2" xfId="25672" xr:uid="{FDEB28E4-25E2-4F58-A904-3BFBE91AD9A8}"/>
    <cellStyle name="Normal 2 2 4 5 2 2 3 2 3" xfId="25673" xr:uid="{8FAB15DE-D64E-42EB-A9A2-3D26871BE7CA}"/>
    <cellStyle name="Normal 2 2 4 5 2 2 3 2 4" xfId="25674" xr:uid="{351558ED-3037-4BF7-A72A-BDA3F1177564}"/>
    <cellStyle name="Normal 2 2 4 5 2 2 3 2 5" xfId="25675" xr:uid="{7AB25F62-4071-4632-96A3-CC81B1F9C4BB}"/>
    <cellStyle name="Normal 2 2 4 5 2 2 3 3" xfId="25676" xr:uid="{7F36EBDB-3F3C-4BB8-9CAD-77FB5C7CCCAA}"/>
    <cellStyle name="Normal 2 2 4 5 2 2 3 4" xfId="25677" xr:uid="{D239BFE6-7468-4476-8E5E-88FD6F984D99}"/>
    <cellStyle name="Normal 2 2 4 5 2 2 3 5" xfId="25678" xr:uid="{486CA652-09C3-4A15-8F67-8CE970D47C46}"/>
    <cellStyle name="Normal 2 2 4 5 2 2 3 6" xfId="25679" xr:uid="{35599A60-6CBA-4255-8313-014E18784D17}"/>
    <cellStyle name="Normal 2 2 4 5 2 2 4" xfId="25680" xr:uid="{935390A7-821E-43FA-9CB5-E75D0AB68473}"/>
    <cellStyle name="Normal 2 2 4 5 2 2 4 2" xfId="25681" xr:uid="{6996E5A6-45F4-4441-AA82-95C4152C86CB}"/>
    <cellStyle name="Normal 2 2 4 5 2 2 4 2 2" xfId="25682" xr:uid="{8F2DA68F-AE36-438B-A4F0-3FFA6476E85E}"/>
    <cellStyle name="Normal 2 2 4 5 2 2 4 2 3" xfId="25683" xr:uid="{669DBF26-4430-40F9-98B9-88DF5846CDBA}"/>
    <cellStyle name="Normal 2 2 4 5 2 2 4 2 4" xfId="25684" xr:uid="{A3B19C84-492F-4111-8569-86D733B0C699}"/>
    <cellStyle name="Normal 2 2 4 5 2 2 4 2 5" xfId="25685" xr:uid="{1CA4CDB3-4F15-4F9D-A5DE-49A7B601B688}"/>
    <cellStyle name="Normal 2 2 4 5 2 2 4 3" xfId="25686" xr:uid="{47666885-3F30-497E-9835-AF6B911B9B09}"/>
    <cellStyle name="Normal 2 2 4 5 2 2 4 4" xfId="25687" xr:uid="{8C05F9B3-08D4-45ED-B1BC-9B69C37A8DAE}"/>
    <cellStyle name="Normal 2 2 4 5 2 2 4 5" xfId="25688" xr:uid="{1B1E8292-EC1C-4521-A503-B7B88D5C859E}"/>
    <cellStyle name="Normal 2 2 4 5 2 2 4 6" xfId="25689" xr:uid="{F005D31E-2A7A-47AF-B23E-8D125D8609EC}"/>
    <cellStyle name="Normal 2 2 4 5 2 2 5" xfId="25690" xr:uid="{8BFE23A1-A629-4095-9E20-5C08E210BFC3}"/>
    <cellStyle name="Normal 2 2 4 5 2 2 5 2" xfId="25691" xr:uid="{131F6B34-B731-4708-9598-92452DC2DF11}"/>
    <cellStyle name="Normal 2 2 4 5 2 2 5 2 2" xfId="25692" xr:uid="{E472DD8B-0D72-4B8F-9B68-7DE24FFCE201}"/>
    <cellStyle name="Normal 2 2 4 5 2 2 5 2 3" xfId="25693" xr:uid="{C75737B2-0DB1-4F33-911C-1031FD191E38}"/>
    <cellStyle name="Normal 2 2 4 5 2 2 5 2 4" xfId="25694" xr:uid="{00ED430F-9E2F-4F7A-A504-383D96719FFC}"/>
    <cellStyle name="Normal 2 2 4 5 2 2 5 2 5" xfId="25695" xr:uid="{E0F2A147-8FDE-4AD6-BA6F-C96553EB126C}"/>
    <cellStyle name="Normal 2 2 4 5 2 2 5 3" xfId="25696" xr:uid="{17CB03A0-1CDA-4AC9-AEE2-13BABF1A110E}"/>
    <cellStyle name="Normal 2 2 4 5 2 2 5 4" xfId="25697" xr:uid="{3AD2504E-E53E-4BDA-9F88-B116FA9D63BF}"/>
    <cellStyle name="Normal 2 2 4 5 2 2 5 5" xfId="25698" xr:uid="{133FC8D4-0130-434F-8B8E-AD9C55778512}"/>
    <cellStyle name="Normal 2 2 4 5 2 2 5 6" xfId="25699" xr:uid="{24F8BFDE-A4C0-4B0F-966F-AA89DFCAE978}"/>
    <cellStyle name="Normal 2 2 4 5 2 2 6" xfId="25700" xr:uid="{67EA43AD-AF48-4DF3-AF75-2E6A20CBD3A8}"/>
    <cellStyle name="Normal 2 2 4 5 2 2 6 2" xfId="25701" xr:uid="{976F583E-C160-403B-9680-C974B1B3550E}"/>
    <cellStyle name="Normal 2 2 4 5 2 2 6 3" xfId="25702" xr:uid="{30384C1C-A36E-41BF-8723-910C660FD264}"/>
    <cellStyle name="Normal 2 2 4 5 2 2 6 4" xfId="25703" xr:uid="{B09D8A87-EE32-417A-A56F-9A72B3C57C80}"/>
    <cellStyle name="Normal 2 2 4 5 2 2 6 5" xfId="25704" xr:uid="{A8FECBBB-5C5A-4237-A460-16F72C029AA7}"/>
    <cellStyle name="Normal 2 2 4 5 2 2 7" xfId="25705" xr:uid="{7339DDD8-6EBE-4290-9716-124686FE328C}"/>
    <cellStyle name="Normal 2 2 4 5 2 2 7 2" xfId="25706" xr:uid="{5E271F96-6037-4726-A8EA-7046D9424E59}"/>
    <cellStyle name="Normal 2 2 4 5 2 2 7 3" xfId="25707" xr:uid="{0EA1E857-D53D-40C5-9081-E4528DBC439E}"/>
    <cellStyle name="Normal 2 2 4 5 2 2 7 4" xfId="25708" xr:uid="{019E5B1A-C866-467B-AA2C-DF363FEC8D19}"/>
    <cellStyle name="Normal 2 2 4 5 2 2 7 5" xfId="25709" xr:uid="{7850043B-C2CA-4F3F-AE09-1A7436227F23}"/>
    <cellStyle name="Normal 2 2 4 5 2 2 8" xfId="25710" xr:uid="{E6C1EE8D-8153-4A0A-9BF6-963687268B0B}"/>
    <cellStyle name="Normal 2 2 4 5 2 2 8 2" xfId="25711" xr:uid="{9B6CA0B2-8269-4870-9C16-E0D26B71F849}"/>
    <cellStyle name="Normal 2 2 4 5 2 2 8 3" xfId="25712" xr:uid="{78145165-9AFB-49E1-BE9E-AE0F1FAA9CB2}"/>
    <cellStyle name="Normal 2 2 4 5 2 2 8 4" xfId="25713" xr:uid="{D436EB4F-B821-4D3F-94BD-79069C61AC05}"/>
    <cellStyle name="Normal 2 2 4 5 2 2 8 5" xfId="25714" xr:uid="{D21AB216-CA9B-4CD8-9CAA-8BE20AD0627F}"/>
    <cellStyle name="Normal 2 2 4 5 2 2 9" xfId="25715" xr:uid="{E0B625C7-DA0B-4DB7-8684-20E7E544E3A9}"/>
    <cellStyle name="Normal 2 2 4 5 2 2 9 2" xfId="25716" xr:uid="{EEA791BE-6DB8-481E-8576-0428C34F34EC}"/>
    <cellStyle name="Normal 2 2 4 5 2 2 9 3" xfId="25717" xr:uid="{0BF1AFBD-F00B-4144-9E9A-5DD91BBFE000}"/>
    <cellStyle name="Normal 2 2 4 5 2 2 9 4" xfId="25718" xr:uid="{0EE1C564-BCF9-4D54-B00E-CDA83A68A02C}"/>
    <cellStyle name="Normal 2 2 4 5 2 2 9 5" xfId="25719" xr:uid="{71192DB2-E4E4-4F60-B54D-609481A435E0}"/>
    <cellStyle name="Normal 2 2 4 5 2 3" xfId="25720" xr:uid="{0A4D0053-FE94-4A3E-893C-EC46C0EF6B6C}"/>
    <cellStyle name="Normal 2 2 4 5 2 3 10" xfId="25721" xr:uid="{ACAF9464-DA35-4FF1-A2DF-E157E6732856}"/>
    <cellStyle name="Normal 2 2 4 5 2 3 11" xfId="25722" xr:uid="{5F115C47-3AE8-4A50-9D7B-EDA73AD8DB2E}"/>
    <cellStyle name="Normal 2 2 4 5 2 3 12" xfId="25723" xr:uid="{A5225E8E-6F5A-49E6-BA36-B98381DB68A6}"/>
    <cellStyle name="Normal 2 2 4 5 2 3 2" xfId="25724" xr:uid="{7053E367-00F3-4EBA-AFDA-0B4CB1322D5C}"/>
    <cellStyle name="Normal 2 2 4 5 2 3 2 2" xfId="25725" xr:uid="{A183BBEC-E58F-4C74-910F-5162C58AB57A}"/>
    <cellStyle name="Normal 2 2 4 5 2 3 2 2 2" xfId="25726" xr:uid="{D0BD1B63-0DBF-4B9E-A758-38A3E5339446}"/>
    <cellStyle name="Normal 2 2 4 5 2 3 2 2 3" xfId="25727" xr:uid="{9B13228D-F440-46FB-984C-AEF1E6DF35A7}"/>
    <cellStyle name="Normal 2 2 4 5 2 3 2 2 4" xfId="25728" xr:uid="{79CF7E67-D323-4AD8-96A8-C0CFDD8BA95C}"/>
    <cellStyle name="Normal 2 2 4 5 2 3 2 2 5" xfId="25729" xr:uid="{255529A0-35B3-4007-8041-A0391AFD4036}"/>
    <cellStyle name="Normal 2 2 4 5 2 3 2 3" xfId="25730" xr:uid="{BF0338A0-F003-4428-9D24-14F790CAAD9B}"/>
    <cellStyle name="Normal 2 2 4 5 2 3 2 4" xfId="25731" xr:uid="{20B7C3D2-1832-4661-A335-098E008E848C}"/>
    <cellStyle name="Normal 2 2 4 5 2 3 2 5" xfId="25732" xr:uid="{F3557E20-2FC4-4119-9FEC-6EB246412CB6}"/>
    <cellStyle name="Normal 2 2 4 5 2 3 2 6" xfId="25733" xr:uid="{7207A39A-83C4-4679-952A-2AE440E2D118}"/>
    <cellStyle name="Normal 2 2 4 5 2 3 3" xfId="25734" xr:uid="{7D19DD55-2284-474C-9B25-45D4559C6832}"/>
    <cellStyle name="Normal 2 2 4 5 2 3 3 2" xfId="25735" xr:uid="{F2D36176-CFE6-4DEA-BB58-DD98C90FF8E8}"/>
    <cellStyle name="Normal 2 2 4 5 2 3 3 2 2" xfId="25736" xr:uid="{4973F3C4-0482-4963-A0F6-9F78120DAC7C}"/>
    <cellStyle name="Normal 2 2 4 5 2 3 3 2 3" xfId="25737" xr:uid="{7DB3D5A4-8A18-4708-B349-B519893BFCA4}"/>
    <cellStyle name="Normal 2 2 4 5 2 3 3 2 4" xfId="25738" xr:uid="{0410B55E-F272-4AFE-BA59-FCB1ED1A9365}"/>
    <cellStyle name="Normal 2 2 4 5 2 3 3 2 5" xfId="25739" xr:uid="{23216F6C-715F-473A-9132-0C3149667F12}"/>
    <cellStyle name="Normal 2 2 4 5 2 3 3 3" xfId="25740" xr:uid="{4B33BDC1-5E12-4099-8B57-365B1DCE5C56}"/>
    <cellStyle name="Normal 2 2 4 5 2 3 3 4" xfId="25741" xr:uid="{84D24646-5784-478A-B79C-334D7120F270}"/>
    <cellStyle name="Normal 2 2 4 5 2 3 3 5" xfId="25742" xr:uid="{AD75F4C4-063B-42DC-B564-9CF61788EECB}"/>
    <cellStyle name="Normal 2 2 4 5 2 3 3 6" xfId="25743" xr:uid="{B5E81A69-838F-41C1-94B8-A4D7EDD437E3}"/>
    <cellStyle name="Normal 2 2 4 5 2 3 4" xfId="25744" xr:uid="{59161A26-63D5-424F-946C-554357334C7B}"/>
    <cellStyle name="Normal 2 2 4 5 2 3 4 2" xfId="25745" xr:uid="{5331C94C-565D-4853-A188-2C798E36942A}"/>
    <cellStyle name="Normal 2 2 4 5 2 3 4 2 2" xfId="25746" xr:uid="{DE37CE3A-2D35-47FF-9559-7B1B0B4621F4}"/>
    <cellStyle name="Normal 2 2 4 5 2 3 4 2 3" xfId="25747" xr:uid="{6169BB29-62F7-4E4C-963F-BE16F8C910D6}"/>
    <cellStyle name="Normal 2 2 4 5 2 3 4 2 4" xfId="25748" xr:uid="{3E990947-BE40-44F4-90E8-3662936DD570}"/>
    <cellStyle name="Normal 2 2 4 5 2 3 4 2 5" xfId="25749" xr:uid="{BE6835DE-2033-4881-A054-383AB805B99D}"/>
    <cellStyle name="Normal 2 2 4 5 2 3 4 3" xfId="25750" xr:uid="{6A692864-8898-483A-926C-AE35CEF18E84}"/>
    <cellStyle name="Normal 2 2 4 5 2 3 4 4" xfId="25751" xr:uid="{71C1552A-E89A-4B2A-8695-DF77EB7112C5}"/>
    <cellStyle name="Normal 2 2 4 5 2 3 4 5" xfId="25752" xr:uid="{42E1A536-D43C-49C2-A752-E491CEBD7D6F}"/>
    <cellStyle name="Normal 2 2 4 5 2 3 4 6" xfId="25753" xr:uid="{12891FDF-9CC5-4C5B-84FD-79EE0D22094B}"/>
    <cellStyle name="Normal 2 2 4 5 2 3 5" xfId="25754" xr:uid="{6E8E049B-A5F3-4669-A957-64E65B3E9081}"/>
    <cellStyle name="Normal 2 2 4 5 2 3 5 2" xfId="25755" xr:uid="{2AAD08DF-61BD-4CFE-A68F-7AF8C624F646}"/>
    <cellStyle name="Normal 2 2 4 5 2 3 5 3" xfId="25756" xr:uid="{B0B6AE23-2B97-469C-881D-E805B68A786C}"/>
    <cellStyle name="Normal 2 2 4 5 2 3 5 4" xfId="25757" xr:uid="{2AF3A59B-DBD1-4C8B-886B-C2040BAEBE70}"/>
    <cellStyle name="Normal 2 2 4 5 2 3 5 5" xfId="25758" xr:uid="{F046FC72-0204-45CA-BF96-B467CE164965}"/>
    <cellStyle name="Normal 2 2 4 5 2 3 6" xfId="25759" xr:uid="{190AE378-5D90-4305-9929-F631DEF792D4}"/>
    <cellStyle name="Normal 2 2 4 5 2 3 6 2" xfId="25760" xr:uid="{6A1D2382-8622-4E49-A6CD-1512D600A0C4}"/>
    <cellStyle name="Normal 2 2 4 5 2 3 6 3" xfId="25761" xr:uid="{B865A84A-956E-4B9B-A0C4-49E0D558348E}"/>
    <cellStyle name="Normal 2 2 4 5 2 3 6 4" xfId="25762" xr:uid="{6B6FF0C3-A866-4C47-A8C0-4263384B1A0F}"/>
    <cellStyle name="Normal 2 2 4 5 2 3 6 5" xfId="25763" xr:uid="{21F91B72-9400-40D0-90B7-20CE6C720BAC}"/>
    <cellStyle name="Normal 2 2 4 5 2 3 7" xfId="25764" xr:uid="{B27260D3-F5D6-4A5A-9E5A-6EDCC5F86B71}"/>
    <cellStyle name="Normal 2 2 4 5 2 3 7 2" xfId="25765" xr:uid="{B8067D1D-2CC8-4DC5-BA70-4CB446AA2E49}"/>
    <cellStyle name="Normal 2 2 4 5 2 3 7 3" xfId="25766" xr:uid="{F9F1F4BB-05FD-40E4-9D07-85AE56D0B19D}"/>
    <cellStyle name="Normal 2 2 4 5 2 3 7 4" xfId="25767" xr:uid="{82D92BDA-1FB7-4014-A3BE-166E7C2E445F}"/>
    <cellStyle name="Normal 2 2 4 5 2 3 7 5" xfId="25768" xr:uid="{843A49CC-51E8-4148-B895-BB5317306BE1}"/>
    <cellStyle name="Normal 2 2 4 5 2 3 8" xfId="25769" xr:uid="{7F105C0A-0A81-42D7-9A4F-3ACC65C12CB4}"/>
    <cellStyle name="Normal 2 2 4 5 2 3 8 2" xfId="25770" xr:uid="{AD4265E5-ADC9-46F3-B0D6-67EAA96EB944}"/>
    <cellStyle name="Normal 2 2 4 5 2 3 8 3" xfId="25771" xr:uid="{0CFE31C5-CD44-4D44-B532-8BAE5F873D4B}"/>
    <cellStyle name="Normal 2 2 4 5 2 3 8 4" xfId="25772" xr:uid="{8CF7D8D7-253D-4770-9A71-73EDB16FB451}"/>
    <cellStyle name="Normal 2 2 4 5 2 3 8 5" xfId="25773" xr:uid="{2876B2A4-5C7D-4E27-8051-6CA908A7B97E}"/>
    <cellStyle name="Normal 2 2 4 5 2 3 9" xfId="25774" xr:uid="{C939F294-5D2B-4D47-8A6F-D2305F43A1AF}"/>
    <cellStyle name="Normal 2 2 4 5 2 4" xfId="25775" xr:uid="{A22C7086-AA0A-43B4-A094-FB622E3D3EC8}"/>
    <cellStyle name="Normal 2 2 4 5 2 4 2" xfId="25776" xr:uid="{1AC5A10B-654A-478D-8E06-7499F5E23D0D}"/>
    <cellStyle name="Normal 2 2 4 5 2 4 2 2" xfId="25777" xr:uid="{3A7C02DD-677F-404E-9525-D21E48A7F878}"/>
    <cellStyle name="Normal 2 2 4 5 2 4 2 3" xfId="25778" xr:uid="{CB53B23F-1D4B-4821-B034-11C651F386A5}"/>
    <cellStyle name="Normal 2 2 4 5 2 4 2 4" xfId="25779" xr:uid="{0B11CBE7-2E93-4CF7-B65B-07AF2CCFD347}"/>
    <cellStyle name="Normal 2 2 4 5 2 4 2 5" xfId="25780" xr:uid="{F18EBEC8-BEEA-48A0-975F-2E558B13ACA6}"/>
    <cellStyle name="Normal 2 2 4 5 2 4 3" xfId="25781" xr:uid="{60892071-9209-47EE-BA79-9AB4C98CF6ED}"/>
    <cellStyle name="Normal 2 2 4 5 2 4 4" xfId="25782" xr:uid="{A1D8C9C9-9A62-4963-832B-AECBB3F61214}"/>
    <cellStyle name="Normal 2 2 4 5 2 4 5" xfId="25783" xr:uid="{426BCF94-7DB7-4E9D-974A-8EFDC00ADB69}"/>
    <cellStyle name="Normal 2 2 4 5 2 4 6" xfId="25784" xr:uid="{278870C7-A8BD-445A-9AB9-C5BA42B94F23}"/>
    <cellStyle name="Normal 2 2 4 5 2 5" xfId="25785" xr:uid="{4CD5E140-23C7-4048-90A1-68020CACF5B8}"/>
    <cellStyle name="Normal 2 2 4 5 2 5 2" xfId="25786" xr:uid="{8395BB06-7129-45D0-9574-7703F0F08013}"/>
    <cellStyle name="Normal 2 2 4 5 2 5 2 2" xfId="25787" xr:uid="{98C5499B-B414-41DE-8D5B-4B2484BF6C16}"/>
    <cellStyle name="Normal 2 2 4 5 2 5 2 3" xfId="25788" xr:uid="{784901B5-EF47-43AA-8779-4735EA939A18}"/>
    <cellStyle name="Normal 2 2 4 5 2 5 2 4" xfId="25789" xr:uid="{09BC094E-139C-4797-BA31-35DCC5C3C29B}"/>
    <cellStyle name="Normal 2 2 4 5 2 5 2 5" xfId="25790" xr:uid="{59296158-03A3-4BCF-ADD1-1D20BC3D41D3}"/>
    <cellStyle name="Normal 2 2 4 5 2 5 3" xfId="25791" xr:uid="{37CD7FC4-ABF2-4672-B2CE-0E3C6D8A59E4}"/>
    <cellStyle name="Normal 2 2 4 5 2 5 4" xfId="25792" xr:uid="{B2C55A65-BB52-4FC5-BF43-39F98284B2B7}"/>
    <cellStyle name="Normal 2 2 4 5 2 5 5" xfId="25793" xr:uid="{090783A8-F678-474C-838A-C80E17AEEC19}"/>
    <cellStyle name="Normal 2 2 4 5 2 5 6" xfId="25794" xr:uid="{6DDBA275-9861-435A-BCFF-968E8CA6EB2D}"/>
    <cellStyle name="Normal 2 2 4 5 2 6" xfId="25795" xr:uid="{FABA9541-7548-440F-8004-60CFE8B20613}"/>
    <cellStyle name="Normal 2 2 4 5 2 6 2" xfId="25796" xr:uid="{869378B7-0401-47F5-8E7B-923D59B67E0D}"/>
    <cellStyle name="Normal 2 2 4 5 2 6 2 2" xfId="25797" xr:uid="{FA72F1A8-504A-4F3A-9A3A-D53FEDEE82CD}"/>
    <cellStyle name="Normal 2 2 4 5 2 6 2 3" xfId="25798" xr:uid="{F1F35EAC-FA57-4BA8-BB01-5DDAD1C063AB}"/>
    <cellStyle name="Normal 2 2 4 5 2 6 2 4" xfId="25799" xr:uid="{78C47440-EA44-4A91-8035-9BCF7CABD632}"/>
    <cellStyle name="Normal 2 2 4 5 2 6 2 5" xfId="25800" xr:uid="{32FEE630-CDE1-4349-8927-AB23D4B13352}"/>
    <cellStyle name="Normal 2 2 4 5 2 6 3" xfId="25801" xr:uid="{2B04938D-3D47-4266-B55B-A62A8D860003}"/>
    <cellStyle name="Normal 2 2 4 5 2 6 4" xfId="25802" xr:uid="{72E9D241-ABF5-4D27-9591-05C4288DF915}"/>
    <cellStyle name="Normal 2 2 4 5 2 6 5" xfId="25803" xr:uid="{B8590F88-871F-413A-B261-02B78B081368}"/>
    <cellStyle name="Normal 2 2 4 5 2 6 6" xfId="25804" xr:uid="{32BDDA63-69FC-49F7-AE49-0C72600B1F03}"/>
    <cellStyle name="Normal 2 2 4 5 2 7" xfId="25805" xr:uid="{24081CC5-EA45-4F43-8A24-A51021B20658}"/>
    <cellStyle name="Normal 2 2 4 5 2 7 2" xfId="25806" xr:uid="{AC23D26F-DD69-47C0-9139-B63AFA3F1856}"/>
    <cellStyle name="Normal 2 2 4 5 2 7 3" xfId="25807" xr:uid="{47862AF1-4C43-42AE-82ED-4AF4304B96F3}"/>
    <cellStyle name="Normal 2 2 4 5 2 7 4" xfId="25808" xr:uid="{64FE577E-9B2B-499E-8680-C43611975AD2}"/>
    <cellStyle name="Normal 2 2 4 5 2 7 5" xfId="25809" xr:uid="{9E5D1D12-3CBD-4703-8A4B-9010D40E0FE4}"/>
    <cellStyle name="Normal 2 2 4 5 2 8" xfId="25810" xr:uid="{44D56ED3-8017-4192-BDFD-CCD9161AE384}"/>
    <cellStyle name="Normal 2 2 4 5 2 8 2" xfId="25811" xr:uid="{66FF04EB-D89C-4E1A-9CB3-350F14CB4677}"/>
    <cellStyle name="Normal 2 2 4 5 2 8 3" xfId="25812" xr:uid="{D3687861-CCF5-4230-8D85-D0C69483793F}"/>
    <cellStyle name="Normal 2 2 4 5 2 8 4" xfId="25813" xr:uid="{9EB3C9C1-59FC-4E65-8256-62348BA28CD6}"/>
    <cellStyle name="Normal 2 2 4 5 2 8 5" xfId="25814" xr:uid="{8BC87B69-DF71-45BA-BDFD-09B0931486D8}"/>
    <cellStyle name="Normal 2 2 4 5 2 9" xfId="25815" xr:uid="{736D1786-1AC6-47BF-88D4-4E63EFA5312C}"/>
    <cellStyle name="Normal 2 2 4 5 2 9 2" xfId="25816" xr:uid="{3829821F-DF66-4683-82D6-83DE77ADAFA0}"/>
    <cellStyle name="Normal 2 2 4 5 2 9 3" xfId="25817" xr:uid="{A0736ADE-895A-4DF2-88DE-CDCEE7BDAE85}"/>
    <cellStyle name="Normal 2 2 4 5 2 9 4" xfId="25818" xr:uid="{89082827-001D-4543-94A9-72C67C7C8AFF}"/>
    <cellStyle name="Normal 2 2 4 5 2 9 5" xfId="25819" xr:uid="{AD041B2E-2F80-4F44-85B9-32D98E5D821E}"/>
    <cellStyle name="Normal 2 2 4 5 3" xfId="25820" xr:uid="{568CE9CA-44A2-4F7E-ACD7-259F3E398137}"/>
    <cellStyle name="Normal 2 2 4 5 3 10" xfId="25821" xr:uid="{513C61BC-22DA-49AA-A23D-D342C6A155BA}"/>
    <cellStyle name="Normal 2 2 4 5 3 11" xfId="25822" xr:uid="{59422168-3930-4E21-948F-207B4405C446}"/>
    <cellStyle name="Normal 2 2 4 5 3 12" xfId="25823" xr:uid="{21A5C686-AE09-4A6E-9251-C07E68FF1E6D}"/>
    <cellStyle name="Normal 2 2 4 5 3 13" xfId="25824" xr:uid="{AE01975E-3751-437A-A958-71B3B5B84B10}"/>
    <cellStyle name="Normal 2 2 4 5 3 2" xfId="25825" xr:uid="{11A12792-605C-4900-8ED3-E5DAB57A3597}"/>
    <cellStyle name="Normal 2 2 4 5 3 2 10" xfId="25826" xr:uid="{F9865C38-F803-4094-AC4B-3082FB603B02}"/>
    <cellStyle name="Normal 2 2 4 5 3 2 11" xfId="25827" xr:uid="{3CF67AD7-028B-489A-AA18-DDBD02E55968}"/>
    <cellStyle name="Normal 2 2 4 5 3 2 12" xfId="25828" xr:uid="{3D34D0C9-AA30-4298-8C4A-8B8F0A4942DD}"/>
    <cellStyle name="Normal 2 2 4 5 3 2 2" xfId="25829" xr:uid="{DC16DFE1-A4A8-4B69-A9CB-90EF2CCDD0B9}"/>
    <cellStyle name="Normal 2 2 4 5 3 2 2 2" xfId="25830" xr:uid="{CEA36689-697D-4AF1-9413-8A717CFA4E66}"/>
    <cellStyle name="Normal 2 2 4 5 3 2 2 2 2" xfId="25831" xr:uid="{440D6488-0127-486A-BB6A-4BA010843546}"/>
    <cellStyle name="Normal 2 2 4 5 3 2 2 2 3" xfId="25832" xr:uid="{1F49EBE7-F0B9-444E-92C3-2CFA58A0FA16}"/>
    <cellStyle name="Normal 2 2 4 5 3 2 2 2 4" xfId="25833" xr:uid="{294F7E33-9400-4451-AF75-7134C1AA4A30}"/>
    <cellStyle name="Normal 2 2 4 5 3 2 2 2 5" xfId="25834" xr:uid="{A2DA0515-E577-4695-9DC0-59E50A18A99A}"/>
    <cellStyle name="Normal 2 2 4 5 3 2 2 3" xfId="25835" xr:uid="{7AF33E5C-3EB7-4537-BF21-E50648AC5CBE}"/>
    <cellStyle name="Normal 2 2 4 5 3 2 2 4" xfId="25836" xr:uid="{9141AC63-B4BD-4A4A-9CEB-31F1339582C1}"/>
    <cellStyle name="Normal 2 2 4 5 3 2 2 5" xfId="25837" xr:uid="{918D430C-D842-4EBE-A5A9-34B3BE785AFE}"/>
    <cellStyle name="Normal 2 2 4 5 3 2 2 6" xfId="25838" xr:uid="{82497B2C-46E0-4C0D-8CAC-33FE5BB701D0}"/>
    <cellStyle name="Normal 2 2 4 5 3 2 3" xfId="25839" xr:uid="{8D18C982-9AA1-4919-BBC8-8A5DAB38DC7A}"/>
    <cellStyle name="Normal 2 2 4 5 3 2 3 2" xfId="25840" xr:uid="{4EDB5CE6-6968-4F73-A105-F99541800D94}"/>
    <cellStyle name="Normal 2 2 4 5 3 2 3 2 2" xfId="25841" xr:uid="{34663A18-5699-4C30-9EBC-F64965D22707}"/>
    <cellStyle name="Normal 2 2 4 5 3 2 3 2 3" xfId="25842" xr:uid="{AC94803B-5B09-4AB6-999C-78EECA3CEF10}"/>
    <cellStyle name="Normal 2 2 4 5 3 2 3 2 4" xfId="25843" xr:uid="{0479EED4-E35A-4B78-81F1-6B1F2BF4C80B}"/>
    <cellStyle name="Normal 2 2 4 5 3 2 3 2 5" xfId="25844" xr:uid="{97377A84-18BC-4CEB-857C-E59E6928C37D}"/>
    <cellStyle name="Normal 2 2 4 5 3 2 3 3" xfId="25845" xr:uid="{AE02CEE4-804E-48E9-AF0F-D0E8C959ECB5}"/>
    <cellStyle name="Normal 2 2 4 5 3 2 3 4" xfId="25846" xr:uid="{0DEAA2A4-9F4E-40A3-827E-3CEB9C514C22}"/>
    <cellStyle name="Normal 2 2 4 5 3 2 3 5" xfId="25847" xr:uid="{845260BC-A484-4E87-AC4A-5AA6A58250A4}"/>
    <cellStyle name="Normal 2 2 4 5 3 2 3 6" xfId="25848" xr:uid="{9DAEB218-80DC-49DF-99C4-5EC4219762ED}"/>
    <cellStyle name="Normal 2 2 4 5 3 2 4" xfId="25849" xr:uid="{03CD2BDE-E3C3-40D9-AC25-A4D1EF4059B8}"/>
    <cellStyle name="Normal 2 2 4 5 3 2 4 2" xfId="25850" xr:uid="{DB4949F8-B25D-4DC9-9B6C-C76B349754BC}"/>
    <cellStyle name="Normal 2 2 4 5 3 2 4 2 2" xfId="25851" xr:uid="{A00592A2-B253-4FFB-B4E2-7E4B416D4451}"/>
    <cellStyle name="Normal 2 2 4 5 3 2 4 2 3" xfId="25852" xr:uid="{CF9B7DCC-C3C6-456F-8A36-357BA446E990}"/>
    <cellStyle name="Normal 2 2 4 5 3 2 4 2 4" xfId="25853" xr:uid="{C66700B5-C3CF-40EC-ABE3-713703335643}"/>
    <cellStyle name="Normal 2 2 4 5 3 2 4 2 5" xfId="25854" xr:uid="{057A0A00-4C2E-4361-A174-73443C07C538}"/>
    <cellStyle name="Normal 2 2 4 5 3 2 4 3" xfId="25855" xr:uid="{8DC9C2F7-8F64-42DD-8E4F-80FA76C6EB47}"/>
    <cellStyle name="Normal 2 2 4 5 3 2 4 4" xfId="25856" xr:uid="{BA7DA978-8BE4-4AC2-A378-7F88AD385242}"/>
    <cellStyle name="Normal 2 2 4 5 3 2 4 5" xfId="25857" xr:uid="{2BF1D9C3-FE2B-4868-BEA6-714DDCEB85CE}"/>
    <cellStyle name="Normal 2 2 4 5 3 2 4 6" xfId="25858" xr:uid="{FF063D0A-A128-41AF-940C-4DA84F7E2B84}"/>
    <cellStyle name="Normal 2 2 4 5 3 2 5" xfId="25859" xr:uid="{31CFCB56-DF49-43C4-A639-22CA6163AE40}"/>
    <cellStyle name="Normal 2 2 4 5 3 2 5 2" xfId="25860" xr:uid="{F5B2B4BC-917D-43C7-ACC2-0115ED95E131}"/>
    <cellStyle name="Normal 2 2 4 5 3 2 5 3" xfId="25861" xr:uid="{75B02AEB-9957-4E4A-B909-C1FE064AA04F}"/>
    <cellStyle name="Normal 2 2 4 5 3 2 5 4" xfId="25862" xr:uid="{9B3D274F-5EFF-4CE3-857E-DC696C095CE6}"/>
    <cellStyle name="Normal 2 2 4 5 3 2 5 5" xfId="25863" xr:uid="{4689B131-919F-4F9A-B7F8-8E5921EDD6C7}"/>
    <cellStyle name="Normal 2 2 4 5 3 2 6" xfId="25864" xr:uid="{0661DAC6-D434-4C10-8007-E4DFC9FC0648}"/>
    <cellStyle name="Normal 2 2 4 5 3 2 6 2" xfId="25865" xr:uid="{4845F79C-A295-4CA6-AAB9-884D8FFA2279}"/>
    <cellStyle name="Normal 2 2 4 5 3 2 6 3" xfId="25866" xr:uid="{92FCB289-8210-41E9-A148-815F24F1B9DC}"/>
    <cellStyle name="Normal 2 2 4 5 3 2 6 4" xfId="25867" xr:uid="{20A9C827-C06A-4386-B8BB-7818BE25AD9F}"/>
    <cellStyle name="Normal 2 2 4 5 3 2 6 5" xfId="25868" xr:uid="{05CD0EC9-97FD-4C00-8A1F-973AFE326AD6}"/>
    <cellStyle name="Normal 2 2 4 5 3 2 7" xfId="25869" xr:uid="{B807AFC9-12C3-440E-9247-5A1B8E2F6078}"/>
    <cellStyle name="Normal 2 2 4 5 3 2 7 2" xfId="25870" xr:uid="{6C59F563-0E00-459C-807A-449B0D9011F0}"/>
    <cellStyle name="Normal 2 2 4 5 3 2 7 3" xfId="25871" xr:uid="{A3049A9B-CE00-49A0-B609-34C74CD31EAA}"/>
    <cellStyle name="Normal 2 2 4 5 3 2 7 4" xfId="25872" xr:uid="{2CAD8A26-80A3-4DE1-9451-00C438AF22B5}"/>
    <cellStyle name="Normal 2 2 4 5 3 2 7 5" xfId="25873" xr:uid="{E2EB26AE-3FB7-49DC-9D97-1D007E5DC8E0}"/>
    <cellStyle name="Normal 2 2 4 5 3 2 8" xfId="25874" xr:uid="{72666E91-F162-4209-89D0-9DFC7675AB52}"/>
    <cellStyle name="Normal 2 2 4 5 3 2 8 2" xfId="25875" xr:uid="{0CDA3ADC-80C2-4C0A-AE9A-AB520E5DFCFD}"/>
    <cellStyle name="Normal 2 2 4 5 3 2 8 3" xfId="25876" xr:uid="{D6FBCEA4-9C4D-4704-8C9A-FDEED91EEC97}"/>
    <cellStyle name="Normal 2 2 4 5 3 2 8 4" xfId="25877" xr:uid="{2DF9713D-239E-46DE-B331-73CB35C14FB4}"/>
    <cellStyle name="Normal 2 2 4 5 3 2 8 5" xfId="25878" xr:uid="{064090C0-E07A-470F-8644-85A8A4FAE302}"/>
    <cellStyle name="Normal 2 2 4 5 3 2 9" xfId="25879" xr:uid="{376582B9-30B2-4DDF-8F6A-29B21FA4CBFE}"/>
    <cellStyle name="Normal 2 2 4 5 3 3" xfId="25880" xr:uid="{D00F0E8F-665D-42EC-820F-AD680DFD6876}"/>
    <cellStyle name="Normal 2 2 4 5 3 3 2" xfId="25881" xr:uid="{DB70C3E1-AA41-4B0C-86A4-D290C7B93E69}"/>
    <cellStyle name="Normal 2 2 4 5 3 3 2 2" xfId="25882" xr:uid="{5C82AE29-964C-4D01-8375-746857BBA0D4}"/>
    <cellStyle name="Normal 2 2 4 5 3 3 2 3" xfId="25883" xr:uid="{F735C594-BF94-4F27-8049-64F0A54726A5}"/>
    <cellStyle name="Normal 2 2 4 5 3 3 2 4" xfId="25884" xr:uid="{32CDBD95-3ED4-4EB1-B8C1-894F3D42ED37}"/>
    <cellStyle name="Normal 2 2 4 5 3 3 2 5" xfId="25885" xr:uid="{80229398-EA9A-43C6-98ED-FB078EEE93B8}"/>
    <cellStyle name="Normal 2 2 4 5 3 3 3" xfId="25886" xr:uid="{10D588BE-9F0B-4CC3-9806-8C0ED3B51BD5}"/>
    <cellStyle name="Normal 2 2 4 5 3 3 4" xfId="25887" xr:uid="{815F49BF-8DB8-4D2A-8B62-0CB59D252E3C}"/>
    <cellStyle name="Normal 2 2 4 5 3 3 5" xfId="25888" xr:uid="{57DE29E3-5BD8-4BA2-9BA8-39275C54DBA7}"/>
    <cellStyle name="Normal 2 2 4 5 3 3 6" xfId="25889" xr:uid="{8848ED9A-8D16-4258-9483-CB568F7B9E53}"/>
    <cellStyle name="Normal 2 2 4 5 3 4" xfId="25890" xr:uid="{8ADB5B7C-4322-436F-A09C-F7574DB6A802}"/>
    <cellStyle name="Normal 2 2 4 5 3 4 2" xfId="25891" xr:uid="{372A288F-CB5A-43C1-979D-83A7F15C4709}"/>
    <cellStyle name="Normal 2 2 4 5 3 4 2 2" xfId="25892" xr:uid="{37A630D5-6267-4FC7-82A8-C6BFB21F3D3C}"/>
    <cellStyle name="Normal 2 2 4 5 3 4 2 3" xfId="25893" xr:uid="{FBEA0D96-4477-4B52-A342-1D1072CF03D6}"/>
    <cellStyle name="Normal 2 2 4 5 3 4 2 4" xfId="25894" xr:uid="{53867492-313C-4059-843D-E1A960CF3EF0}"/>
    <cellStyle name="Normal 2 2 4 5 3 4 2 5" xfId="25895" xr:uid="{B3BD152F-D6DE-44C4-B2CF-3429D02722DF}"/>
    <cellStyle name="Normal 2 2 4 5 3 4 3" xfId="25896" xr:uid="{F4808429-32E3-43D6-A374-DA1ACAA3E717}"/>
    <cellStyle name="Normal 2 2 4 5 3 4 4" xfId="25897" xr:uid="{F098CFEE-9DC0-4561-9613-B9AFC0A58AA9}"/>
    <cellStyle name="Normal 2 2 4 5 3 4 5" xfId="25898" xr:uid="{1C93E43F-2749-480B-98CE-BABE10CDEB8E}"/>
    <cellStyle name="Normal 2 2 4 5 3 4 6" xfId="25899" xr:uid="{FB33FFCC-478B-44D4-B466-7CA606347582}"/>
    <cellStyle name="Normal 2 2 4 5 3 5" xfId="25900" xr:uid="{18E4D9AB-D825-463F-8C82-C0567E05AE2F}"/>
    <cellStyle name="Normal 2 2 4 5 3 5 2" xfId="25901" xr:uid="{5D49EF71-045B-4D8E-AB93-60E9E5C3406C}"/>
    <cellStyle name="Normal 2 2 4 5 3 5 2 2" xfId="25902" xr:uid="{FBD1E7BA-8F70-4C9E-A658-BE480460D5D4}"/>
    <cellStyle name="Normal 2 2 4 5 3 5 2 3" xfId="25903" xr:uid="{93A6634E-7B0C-4CCE-AFC6-7E8843688D30}"/>
    <cellStyle name="Normal 2 2 4 5 3 5 2 4" xfId="25904" xr:uid="{61FD61BE-10A1-4822-BA17-EA223D08E149}"/>
    <cellStyle name="Normal 2 2 4 5 3 5 2 5" xfId="25905" xr:uid="{60B6E999-1BED-4273-82ED-A59A42C00772}"/>
    <cellStyle name="Normal 2 2 4 5 3 5 3" xfId="25906" xr:uid="{EDDEBEDD-C758-494F-8561-6E3207A7259A}"/>
    <cellStyle name="Normal 2 2 4 5 3 5 4" xfId="25907" xr:uid="{A93B5BA3-05DE-471A-8ED0-746623755161}"/>
    <cellStyle name="Normal 2 2 4 5 3 5 5" xfId="25908" xr:uid="{36789687-6D4D-4E0E-86C2-8E93BA9B3D28}"/>
    <cellStyle name="Normal 2 2 4 5 3 5 6" xfId="25909" xr:uid="{037740C9-2225-4205-968B-BD582D7CFF71}"/>
    <cellStyle name="Normal 2 2 4 5 3 6" xfId="25910" xr:uid="{B960D414-CA4A-4C0A-A0F0-0650FAEC9C41}"/>
    <cellStyle name="Normal 2 2 4 5 3 6 2" xfId="25911" xr:uid="{30ACCE63-1F5A-46EE-9C6D-E8121999075B}"/>
    <cellStyle name="Normal 2 2 4 5 3 6 3" xfId="25912" xr:uid="{B84F3A79-3555-4B1E-A0AA-9E796521FBD0}"/>
    <cellStyle name="Normal 2 2 4 5 3 6 4" xfId="25913" xr:uid="{AAC2111E-DEAC-4EDE-809E-25C2DA61129A}"/>
    <cellStyle name="Normal 2 2 4 5 3 6 5" xfId="25914" xr:uid="{984215CC-C86A-4CDE-BD42-6CB14A3EE5F3}"/>
    <cellStyle name="Normal 2 2 4 5 3 7" xfId="25915" xr:uid="{810165B2-75F0-4884-A4BA-121C37874E10}"/>
    <cellStyle name="Normal 2 2 4 5 3 7 2" xfId="25916" xr:uid="{AA79E374-64BF-471F-8E41-E0F65AA56DD3}"/>
    <cellStyle name="Normal 2 2 4 5 3 7 3" xfId="25917" xr:uid="{95F97F83-B900-42CA-9CDC-9CDBBC87C34F}"/>
    <cellStyle name="Normal 2 2 4 5 3 7 4" xfId="25918" xr:uid="{8178B099-CB9D-46FB-AC50-A116A9E874D5}"/>
    <cellStyle name="Normal 2 2 4 5 3 7 5" xfId="25919" xr:uid="{E69BC53B-5819-4C5A-8029-B9755BDE19F6}"/>
    <cellStyle name="Normal 2 2 4 5 3 8" xfId="25920" xr:uid="{FA4F3F80-40A3-4914-8176-BF059DE682F5}"/>
    <cellStyle name="Normal 2 2 4 5 3 8 2" xfId="25921" xr:uid="{78585B1C-1A9A-4C0E-9721-8E153F3B1534}"/>
    <cellStyle name="Normal 2 2 4 5 3 8 3" xfId="25922" xr:uid="{552BD1B5-928B-4278-8E9F-D875F1C77F69}"/>
    <cellStyle name="Normal 2 2 4 5 3 8 4" xfId="25923" xr:uid="{81216C94-BCBD-435D-9F0A-03745F7009C7}"/>
    <cellStyle name="Normal 2 2 4 5 3 8 5" xfId="25924" xr:uid="{90F74D31-3DAE-469F-BC03-9A0D93C3AFA0}"/>
    <cellStyle name="Normal 2 2 4 5 3 9" xfId="25925" xr:uid="{5A7BDDD5-1C06-4B6B-A697-C7223CF68CF6}"/>
    <cellStyle name="Normal 2 2 4 5 3 9 2" xfId="25926" xr:uid="{491EC36D-173E-423F-A434-7DABFB4A5148}"/>
    <cellStyle name="Normal 2 2 4 5 3 9 3" xfId="25927" xr:uid="{08F81985-9886-4BBB-BFAE-1C6854D99EB1}"/>
    <cellStyle name="Normal 2 2 4 5 3 9 4" xfId="25928" xr:uid="{FDD82354-A78C-42EC-BF69-9BBB5326B002}"/>
    <cellStyle name="Normal 2 2 4 5 3 9 5" xfId="25929" xr:uid="{2D8F0F32-E3FB-4757-A350-4F193DDA1BD4}"/>
    <cellStyle name="Normal 2 2 4 5 4" xfId="25930" xr:uid="{EAF9A4BA-EB13-419D-A086-10078E59703B}"/>
    <cellStyle name="Normal 2 2 4 5 4 10" xfId="25931" xr:uid="{34801D17-3FEF-445F-9341-0743E407EA69}"/>
    <cellStyle name="Normal 2 2 4 5 4 11" xfId="25932" xr:uid="{504E3DAE-AFDA-47A6-8F13-C9B2774D5F91}"/>
    <cellStyle name="Normal 2 2 4 5 4 12" xfId="25933" xr:uid="{3C90361C-996D-442E-B0BB-622CF09BF9C7}"/>
    <cellStyle name="Normal 2 2 4 5 4 2" xfId="25934" xr:uid="{C5A6B7DE-E85E-4077-91A4-FE1C95E82987}"/>
    <cellStyle name="Normal 2 2 4 5 4 2 2" xfId="25935" xr:uid="{805B2EBE-E37E-4F9C-804E-F4D61BC88850}"/>
    <cellStyle name="Normal 2 2 4 5 4 2 2 2" xfId="25936" xr:uid="{4F3ABAAA-7E6D-4C61-B219-E4C8AE24FDFA}"/>
    <cellStyle name="Normal 2 2 4 5 4 2 2 3" xfId="25937" xr:uid="{091C519B-B426-43AB-9305-5EF37157D618}"/>
    <cellStyle name="Normal 2 2 4 5 4 2 2 4" xfId="25938" xr:uid="{B61A0423-8A77-4E6C-95C7-31AD23EF2744}"/>
    <cellStyle name="Normal 2 2 4 5 4 2 2 5" xfId="25939" xr:uid="{B1644CB3-188E-487A-AF73-75ADA2023423}"/>
    <cellStyle name="Normal 2 2 4 5 4 2 3" xfId="25940" xr:uid="{383595D7-778C-41F0-A828-8123DB6EEA89}"/>
    <cellStyle name="Normal 2 2 4 5 4 2 4" xfId="25941" xr:uid="{9482FF81-268E-4D26-BCCF-9B1C570819DA}"/>
    <cellStyle name="Normal 2 2 4 5 4 2 5" xfId="25942" xr:uid="{991369FF-5F47-4BD2-8F8A-D581D7696766}"/>
    <cellStyle name="Normal 2 2 4 5 4 2 6" xfId="25943" xr:uid="{A132EFFC-228C-49FD-AC08-C9E2B1709FA0}"/>
    <cellStyle name="Normal 2 2 4 5 4 3" xfId="25944" xr:uid="{200E29AB-FBE1-4BBE-879E-BD76C23BAE68}"/>
    <cellStyle name="Normal 2 2 4 5 4 3 2" xfId="25945" xr:uid="{2171130A-8D7E-460B-B6C7-2D2566E08DDE}"/>
    <cellStyle name="Normal 2 2 4 5 4 3 2 2" xfId="25946" xr:uid="{A93EFDD5-7FAA-4625-807F-4B7279C22131}"/>
    <cellStyle name="Normal 2 2 4 5 4 3 2 3" xfId="25947" xr:uid="{8F31B6D6-4B70-4BDD-89DC-BDC46ACBAD12}"/>
    <cellStyle name="Normal 2 2 4 5 4 3 2 4" xfId="25948" xr:uid="{76CBEDBF-FD5D-4338-A140-E94CBBAE23D2}"/>
    <cellStyle name="Normal 2 2 4 5 4 3 2 5" xfId="25949" xr:uid="{90D9B2D4-1D54-4018-92E0-C210DA46BBBF}"/>
    <cellStyle name="Normal 2 2 4 5 4 3 3" xfId="25950" xr:uid="{CB4A8284-2177-4B74-BDB4-A1D11A35D3FA}"/>
    <cellStyle name="Normal 2 2 4 5 4 3 4" xfId="25951" xr:uid="{81D06890-5C2B-4949-8072-F2D7AAFEAA68}"/>
    <cellStyle name="Normal 2 2 4 5 4 3 5" xfId="25952" xr:uid="{0C4D2102-D47D-4ECA-A8D4-33C3B1CEC2BC}"/>
    <cellStyle name="Normal 2 2 4 5 4 3 6" xfId="25953" xr:uid="{80016BDE-5F9B-466B-A701-8C8A68ED7D07}"/>
    <cellStyle name="Normal 2 2 4 5 4 4" xfId="25954" xr:uid="{B6E8A9C1-261F-44A8-AA81-8718C167BB1A}"/>
    <cellStyle name="Normal 2 2 4 5 4 4 2" xfId="25955" xr:uid="{E015F4B2-78E2-451A-B07D-5C0D3D00D59E}"/>
    <cellStyle name="Normal 2 2 4 5 4 4 2 2" xfId="25956" xr:uid="{46EBECF3-F051-4C69-BE65-C3DB349B8684}"/>
    <cellStyle name="Normal 2 2 4 5 4 4 2 3" xfId="25957" xr:uid="{F65224D7-8926-42A1-862D-7CCE5596F82C}"/>
    <cellStyle name="Normal 2 2 4 5 4 4 2 4" xfId="25958" xr:uid="{982F54F1-6B46-45CB-824D-5F75C3D418A4}"/>
    <cellStyle name="Normal 2 2 4 5 4 4 2 5" xfId="25959" xr:uid="{F7A9947F-8C2D-4D49-B749-AF1B812402A4}"/>
    <cellStyle name="Normal 2 2 4 5 4 4 3" xfId="25960" xr:uid="{E0C5A5DA-8508-4B68-AE61-E325178485E5}"/>
    <cellStyle name="Normal 2 2 4 5 4 4 4" xfId="25961" xr:uid="{893D8D5D-72C0-4C63-813F-D29449BDD59A}"/>
    <cellStyle name="Normal 2 2 4 5 4 4 5" xfId="25962" xr:uid="{5BCFF37D-0FBB-4DA1-A146-B89E429899E9}"/>
    <cellStyle name="Normal 2 2 4 5 4 4 6" xfId="25963" xr:uid="{895C96E0-141A-4435-8707-E16C8CBB036B}"/>
    <cellStyle name="Normal 2 2 4 5 4 5" xfId="25964" xr:uid="{E9109A60-7535-4AAB-A2DC-9FCF0192DF9D}"/>
    <cellStyle name="Normal 2 2 4 5 4 5 2" xfId="25965" xr:uid="{A692ED75-D227-4481-875D-813DBB2E5585}"/>
    <cellStyle name="Normal 2 2 4 5 4 5 3" xfId="25966" xr:uid="{F070DDF9-BCAB-4C06-9927-6A1154E18E93}"/>
    <cellStyle name="Normal 2 2 4 5 4 5 4" xfId="25967" xr:uid="{7620F2D8-A949-4276-9EDA-048EB4AAE77B}"/>
    <cellStyle name="Normal 2 2 4 5 4 5 5" xfId="25968" xr:uid="{4246AD91-FBA9-430C-8863-23F68566964C}"/>
    <cellStyle name="Normal 2 2 4 5 4 6" xfId="25969" xr:uid="{9396F649-DE00-42EB-9FA8-D13167908E2D}"/>
    <cellStyle name="Normal 2 2 4 5 4 6 2" xfId="25970" xr:uid="{5460CEE0-EF1F-4CDC-9B0F-51FA6B3C9847}"/>
    <cellStyle name="Normal 2 2 4 5 4 6 3" xfId="25971" xr:uid="{2DE121F9-10EB-4F93-8C0F-60DB533896DF}"/>
    <cellStyle name="Normal 2 2 4 5 4 6 4" xfId="25972" xr:uid="{04EAC5F2-CEDC-4456-A4E9-29F614B065C6}"/>
    <cellStyle name="Normal 2 2 4 5 4 6 5" xfId="25973" xr:uid="{48689BA0-E48C-4208-B58E-84BDD734C057}"/>
    <cellStyle name="Normal 2 2 4 5 4 7" xfId="25974" xr:uid="{E1E6279A-E8D4-4A89-8A7C-0D3BAFDE829A}"/>
    <cellStyle name="Normal 2 2 4 5 4 7 2" xfId="25975" xr:uid="{546C734A-0320-4F3D-85A6-C19A200382FE}"/>
    <cellStyle name="Normal 2 2 4 5 4 7 3" xfId="25976" xr:uid="{90D8405F-D460-4590-9DC5-3B05CD1ED170}"/>
    <cellStyle name="Normal 2 2 4 5 4 7 4" xfId="25977" xr:uid="{56C9768D-B9E4-40B7-BAD5-6B0AA86517E8}"/>
    <cellStyle name="Normal 2 2 4 5 4 7 5" xfId="25978" xr:uid="{11E06FF9-DAED-478C-89C3-38470A89C847}"/>
    <cellStyle name="Normal 2 2 4 5 4 8" xfId="25979" xr:uid="{92E7E2FD-DC59-4836-B7B4-81DD6E9B4BEF}"/>
    <cellStyle name="Normal 2 2 4 5 4 8 2" xfId="25980" xr:uid="{6B2626E7-8E22-4B61-9187-27FA6237CB00}"/>
    <cellStyle name="Normal 2 2 4 5 4 8 3" xfId="25981" xr:uid="{CC9092C5-5379-4463-8022-8B2CC0CBB4A2}"/>
    <cellStyle name="Normal 2 2 4 5 4 8 4" xfId="25982" xr:uid="{76BEDD22-167F-4473-AC28-81FC08EC2CAE}"/>
    <cellStyle name="Normal 2 2 4 5 4 8 5" xfId="25983" xr:uid="{B08FE6C9-8A08-4D6E-88DF-BEDB64D977D1}"/>
    <cellStyle name="Normal 2 2 4 5 4 9" xfId="25984" xr:uid="{CFE99965-A914-4840-8750-07B1D603098B}"/>
    <cellStyle name="Normal 2 2 4 5 5" xfId="25985" xr:uid="{58349C6C-1165-4AFC-9005-538BDD906726}"/>
    <cellStyle name="Normal 2 2 4 5 5 2" xfId="25986" xr:uid="{C5C8DC17-EF63-4AF5-8356-933922682FD1}"/>
    <cellStyle name="Normal 2 2 4 5 5 2 2" xfId="25987" xr:uid="{5098938D-8BBF-4AD8-9089-A851E7BBB3E0}"/>
    <cellStyle name="Normal 2 2 4 5 5 2 3" xfId="25988" xr:uid="{48ED23B2-302B-430B-BFEB-575249ED4C97}"/>
    <cellStyle name="Normal 2 2 4 5 5 2 4" xfId="25989" xr:uid="{A78E8D90-A6A3-474E-B9E0-264EBAA66D10}"/>
    <cellStyle name="Normal 2 2 4 5 5 2 5" xfId="25990" xr:uid="{7507F25C-FF18-4FD7-97F3-B139D38983D6}"/>
    <cellStyle name="Normal 2 2 4 5 5 3" xfId="25991" xr:uid="{6F019C43-D11C-4BB0-BDBA-F04F6BB80D9B}"/>
    <cellStyle name="Normal 2 2 4 5 5 4" xfId="25992" xr:uid="{DE7784D8-B07C-4684-BB09-FF28B3D7BF47}"/>
    <cellStyle name="Normal 2 2 4 5 5 5" xfId="25993" xr:uid="{C083A709-2257-4343-9EB9-4E995FAF92FB}"/>
    <cellStyle name="Normal 2 2 4 5 5 6" xfId="25994" xr:uid="{3E977171-A2E4-49A6-95E8-C01AFB7F614A}"/>
    <cellStyle name="Normal 2 2 4 5 6" xfId="25995" xr:uid="{1FEB3B39-6EFB-4B34-99EB-99B7B558731D}"/>
    <cellStyle name="Normal 2 2 4 5 6 2" xfId="25996" xr:uid="{88313472-09D2-4772-9EF7-27BBA62FE4E4}"/>
    <cellStyle name="Normal 2 2 4 5 6 2 2" xfId="25997" xr:uid="{38E08B08-EC0B-4F85-AFE3-19AFFAA08966}"/>
    <cellStyle name="Normal 2 2 4 5 6 2 3" xfId="25998" xr:uid="{7A3E01D8-E79C-482F-BC9F-92B58028BA5C}"/>
    <cellStyle name="Normal 2 2 4 5 6 2 4" xfId="25999" xr:uid="{916CAF02-0E2C-49C7-947D-82B7445C40B9}"/>
    <cellStyle name="Normal 2 2 4 5 6 2 5" xfId="26000" xr:uid="{4979AC6D-4B81-4289-9EEC-9E7C1A42D93A}"/>
    <cellStyle name="Normal 2 2 4 5 6 3" xfId="26001" xr:uid="{619E5ACF-71C0-44CC-BAE5-5F012C271DFE}"/>
    <cellStyle name="Normal 2 2 4 5 6 4" xfId="26002" xr:uid="{C8A07BB4-3BDA-4D40-BEEE-5C3DC5228807}"/>
    <cellStyle name="Normal 2 2 4 5 6 5" xfId="26003" xr:uid="{E95F1BAB-ACD9-4396-B84A-2714DA44AFC3}"/>
    <cellStyle name="Normal 2 2 4 5 6 6" xfId="26004" xr:uid="{1838AB09-418C-4531-9DE0-D0D2FE7EC8F4}"/>
    <cellStyle name="Normal 2 2 4 5 7" xfId="26005" xr:uid="{DB83B1F1-1792-4C3F-9406-5430CCBA1D82}"/>
    <cellStyle name="Normal 2 2 4 5 7 2" xfId="26006" xr:uid="{5E6E30FD-46DB-4550-AA27-D7B04ECA433C}"/>
    <cellStyle name="Normal 2 2 4 5 7 2 2" xfId="26007" xr:uid="{C9F1B3B4-7B3F-4001-B2B5-3CCEF6445BB5}"/>
    <cellStyle name="Normal 2 2 4 5 7 2 3" xfId="26008" xr:uid="{AF0EC64D-F008-4014-ABB0-D99FBC5BCA1F}"/>
    <cellStyle name="Normal 2 2 4 5 7 2 4" xfId="26009" xr:uid="{C402C980-B649-4572-B980-13305489C673}"/>
    <cellStyle name="Normal 2 2 4 5 7 2 5" xfId="26010" xr:uid="{67D11B0E-EC8B-468D-939E-02283CF6141C}"/>
    <cellStyle name="Normal 2 2 4 5 7 3" xfId="26011" xr:uid="{53E75247-737A-45EF-B50B-CDD9CAE33D69}"/>
    <cellStyle name="Normal 2 2 4 5 7 4" xfId="26012" xr:uid="{93B2FF9C-9AB0-482F-95E3-1D1225B7FDF1}"/>
    <cellStyle name="Normal 2 2 4 5 7 5" xfId="26013" xr:uid="{AD080337-62FA-4335-A348-1D0BB6F969EC}"/>
    <cellStyle name="Normal 2 2 4 5 7 6" xfId="26014" xr:uid="{D839038B-B65B-430C-9C2F-2992C8D9E869}"/>
    <cellStyle name="Normal 2 2 4 5 8" xfId="26015" xr:uid="{FA0C9BBA-1D3C-4236-BE54-3824A907EB95}"/>
    <cellStyle name="Normal 2 2 4 5 8 2" xfId="26016" xr:uid="{70F74FFF-C661-4478-9CCF-33130FE8C352}"/>
    <cellStyle name="Normal 2 2 4 5 8 3" xfId="26017" xr:uid="{AD50E7A5-9660-4669-B773-CB05B7E4DA53}"/>
    <cellStyle name="Normal 2 2 4 5 8 4" xfId="26018" xr:uid="{2FA45804-5F4B-4BE0-AE4C-3E4EDB315415}"/>
    <cellStyle name="Normal 2 2 4 5 8 5" xfId="26019" xr:uid="{183B1543-27E2-4A8B-913A-4A734407C9D9}"/>
    <cellStyle name="Normal 2 2 4 5 9" xfId="26020" xr:uid="{07C9A142-5838-4975-A685-4F5DD06097DB}"/>
    <cellStyle name="Normal 2 2 4 5 9 2" xfId="26021" xr:uid="{A6E3575A-DC9D-4CBA-A55F-12D0A58AA12D}"/>
    <cellStyle name="Normal 2 2 4 5 9 3" xfId="26022" xr:uid="{4FDF13BB-DE8C-4D04-9E4E-D79BA440B256}"/>
    <cellStyle name="Normal 2 2 4 5 9 4" xfId="26023" xr:uid="{14B9F666-33BE-49B0-943A-94D892D38EB6}"/>
    <cellStyle name="Normal 2 2 4 5 9 5" xfId="26024" xr:uid="{4CD1CEDF-13E9-4721-97F6-271DB839808D}"/>
    <cellStyle name="Normal 2 2 4 6" xfId="26025" xr:uid="{33FA33CA-B359-4BAC-AC12-182E3AE0BC02}"/>
    <cellStyle name="Normal 2 2 4 6 10" xfId="26026" xr:uid="{612DF110-6910-4B25-8051-2A218EE1A5FA}"/>
    <cellStyle name="Normal 2 2 4 6 11" xfId="26027" xr:uid="{8D371A6A-FF72-4D40-8647-A2E5C3705F46}"/>
    <cellStyle name="Normal 2 2 4 6 12" xfId="26028" xr:uid="{27003296-B4E0-4DB4-A7CB-3C0122EBC58C}"/>
    <cellStyle name="Normal 2 2 4 6 2" xfId="26029" xr:uid="{DDAC5F96-1DE9-467C-8E92-037CF163E94F}"/>
    <cellStyle name="Normal 2 2 4 6 2 10" xfId="26030" xr:uid="{216FFE8D-CFA4-4F11-B365-2F276DB1338D}"/>
    <cellStyle name="Normal 2 2 4 6 2 11" xfId="26031" xr:uid="{13CA8C6F-2283-48AF-808C-8CE489250C22}"/>
    <cellStyle name="Normal 2 2 4 6 2 2" xfId="26032" xr:uid="{E54EAB31-E424-4A1F-806B-F15967F3F9E5}"/>
    <cellStyle name="Normal 2 2 4 6 2 2 2" xfId="26033" xr:uid="{1DFBECDB-F5BD-47CC-9A86-F10F8426F316}"/>
    <cellStyle name="Normal 2 2 4 6 2 2 2 2" xfId="26034" xr:uid="{B3E4ACD8-5712-4BFE-8AB4-CFBC77DC6514}"/>
    <cellStyle name="Normal 2 2 4 6 2 2 2 3" xfId="26035" xr:uid="{C62932FF-ED1A-4601-92DF-20A8077024C0}"/>
    <cellStyle name="Normal 2 2 4 6 2 2 2 4" xfId="26036" xr:uid="{72FA4174-E911-420A-9E68-751BE76A4BB3}"/>
    <cellStyle name="Normal 2 2 4 6 2 2 2 5" xfId="26037" xr:uid="{D4EFEDAE-4459-4DC4-BD83-1AF26DCC3D80}"/>
    <cellStyle name="Normal 2 2 4 6 2 2 3" xfId="26038" xr:uid="{390331F8-1077-47EB-8DEA-5F6B2E162F52}"/>
    <cellStyle name="Normal 2 2 4 6 2 2 4" xfId="26039" xr:uid="{4D41A21A-02B7-4567-ABCD-A83BF1519B6A}"/>
    <cellStyle name="Normal 2 2 4 6 2 2 5" xfId="26040" xr:uid="{76B88158-E77D-4E3A-B7AF-1116B83B43BB}"/>
    <cellStyle name="Normal 2 2 4 6 2 2 6" xfId="26041" xr:uid="{0D814D53-FE0E-47C3-BD41-E4DAB11A1B97}"/>
    <cellStyle name="Normal 2 2 4 6 2 3" xfId="26042" xr:uid="{553D0F7A-F03F-4FF9-AFD8-52E023736F21}"/>
    <cellStyle name="Normal 2 2 4 6 2 3 2" xfId="26043" xr:uid="{69F68FC1-96C8-43A6-8172-EB1F4D195397}"/>
    <cellStyle name="Normal 2 2 4 6 2 3 2 2" xfId="26044" xr:uid="{32065BD5-89A6-43EE-8AE3-BC04B582D77E}"/>
    <cellStyle name="Normal 2 2 4 6 2 3 2 3" xfId="26045" xr:uid="{477340D2-81A6-4BAD-B66D-5EA8D509F16A}"/>
    <cellStyle name="Normal 2 2 4 6 2 3 2 4" xfId="26046" xr:uid="{3C32677C-CBF2-4A52-B33D-2D31DF2B05A4}"/>
    <cellStyle name="Normal 2 2 4 6 2 3 2 5" xfId="26047" xr:uid="{9A3FA13B-D1EB-4EFA-B094-D5CA1B58CB5D}"/>
    <cellStyle name="Normal 2 2 4 6 2 3 3" xfId="26048" xr:uid="{E2882096-A87B-4EBD-9172-6EE8F968B43F}"/>
    <cellStyle name="Normal 2 2 4 6 2 3 4" xfId="26049" xr:uid="{1647DD4E-0D8B-4A2E-AC28-869A3E8E34D1}"/>
    <cellStyle name="Normal 2 2 4 6 2 3 5" xfId="26050" xr:uid="{833B5CD7-D6CF-4A9C-9289-EF18AFFAC61B}"/>
    <cellStyle name="Normal 2 2 4 6 2 3 6" xfId="26051" xr:uid="{1499BE79-6727-4412-9A67-5DF1368E1D08}"/>
    <cellStyle name="Normal 2 2 4 6 2 4" xfId="26052" xr:uid="{A289D72D-BFB1-4A94-AF3C-AC60DC41330B}"/>
    <cellStyle name="Normal 2 2 4 6 2 4 2" xfId="26053" xr:uid="{E06E386F-9F25-4F60-B962-3A35EAFC652C}"/>
    <cellStyle name="Normal 2 2 4 6 2 4 2 2" xfId="26054" xr:uid="{B16AC368-1BEC-413A-B85B-E8D85CD69D6F}"/>
    <cellStyle name="Normal 2 2 4 6 2 4 2 3" xfId="26055" xr:uid="{1A3C24DC-1176-4C21-9E0C-FC1F23B32EA9}"/>
    <cellStyle name="Normal 2 2 4 6 2 4 2 4" xfId="26056" xr:uid="{C1388A5D-8B4D-4AC8-837A-F79FB2BEAEC6}"/>
    <cellStyle name="Normal 2 2 4 6 2 4 2 5" xfId="26057" xr:uid="{D3C80533-FF5B-4904-8127-68B90AD93C7D}"/>
    <cellStyle name="Normal 2 2 4 6 2 4 3" xfId="26058" xr:uid="{6C6EA78E-DFF5-48A7-9240-8BAA8FC4ED05}"/>
    <cellStyle name="Normal 2 2 4 6 2 4 4" xfId="26059" xr:uid="{CE8260A1-3AD9-4D72-8B16-ADC6D75520AD}"/>
    <cellStyle name="Normal 2 2 4 6 2 4 5" xfId="26060" xr:uid="{5CD17862-3EA6-4FC4-B456-46145ECABE44}"/>
    <cellStyle name="Normal 2 2 4 6 2 4 6" xfId="26061" xr:uid="{7E1C6099-8C78-46F0-A715-1BB6A44998A1}"/>
    <cellStyle name="Normal 2 2 4 6 2 5" xfId="26062" xr:uid="{65CC3D20-93DE-4EF4-83F7-F04E7316ADD0}"/>
    <cellStyle name="Normal 2 2 4 6 2 5 2" xfId="26063" xr:uid="{67475F41-6FA1-4AF0-BC8B-29B5563C833B}"/>
    <cellStyle name="Normal 2 2 4 6 2 5 3" xfId="26064" xr:uid="{C09F1A1A-2EAC-4A4C-A528-C962C37F2344}"/>
    <cellStyle name="Normal 2 2 4 6 2 5 4" xfId="26065" xr:uid="{AB9F6A40-1EC3-4CA9-AAFE-41C9AED02D3B}"/>
    <cellStyle name="Normal 2 2 4 6 2 5 5" xfId="26066" xr:uid="{8036D704-C309-4EBE-BFF2-45FA4194B221}"/>
    <cellStyle name="Normal 2 2 4 6 2 6" xfId="26067" xr:uid="{6DFC1206-CD5D-42DE-9D93-B123B8997D70}"/>
    <cellStyle name="Normal 2 2 4 6 2 6 2" xfId="26068" xr:uid="{B8F4BBA4-784D-45C3-AB5C-4A676EB543FD}"/>
    <cellStyle name="Normal 2 2 4 6 2 6 3" xfId="26069" xr:uid="{1DD6D874-EAC1-45E5-B51D-7EB157780E7A}"/>
    <cellStyle name="Normal 2 2 4 6 2 6 4" xfId="26070" xr:uid="{53F6A7A2-791E-41A7-8CA3-01EDFE956FF6}"/>
    <cellStyle name="Normal 2 2 4 6 2 6 5" xfId="26071" xr:uid="{EA880369-F2C4-4581-B93C-A2D5C8C31EE9}"/>
    <cellStyle name="Normal 2 2 4 6 2 7" xfId="26072" xr:uid="{F92C07C6-36C3-43CF-8E2C-12EF53B2AE5D}"/>
    <cellStyle name="Normal 2 2 4 6 2 7 2" xfId="26073" xr:uid="{715A6088-D284-495F-B105-022916574799}"/>
    <cellStyle name="Normal 2 2 4 6 2 7 3" xfId="26074" xr:uid="{1375E4DD-EF87-4EE2-938B-3BDA9E262C01}"/>
    <cellStyle name="Normal 2 2 4 6 2 7 4" xfId="26075" xr:uid="{57565C6E-1842-4FE5-A33B-87CB7BBC16E5}"/>
    <cellStyle name="Normal 2 2 4 6 2 7 5" xfId="26076" xr:uid="{D8F98E25-E396-4499-8ACA-C917C3D99C2F}"/>
    <cellStyle name="Normal 2 2 4 6 2 8" xfId="26077" xr:uid="{9945E965-5DF0-4B87-BFA5-7F41D25675E7}"/>
    <cellStyle name="Normal 2 2 4 6 2 9" xfId="26078" xr:uid="{AA5D95FC-B0B7-47D7-9584-A2E663549FE7}"/>
    <cellStyle name="Normal 2 2 4 6 3" xfId="26079" xr:uid="{4F3D3561-8451-4A37-84FE-5CA45FB810C5}"/>
    <cellStyle name="Normal 2 2 4 6 3 2" xfId="26080" xr:uid="{893A2E85-E6CB-49A0-962B-20DD16467FA0}"/>
    <cellStyle name="Normal 2 2 4 6 3 2 2" xfId="26081" xr:uid="{D0D57FFD-A797-495F-90B2-CD9274C4D27C}"/>
    <cellStyle name="Normal 2 2 4 6 3 2 3" xfId="26082" xr:uid="{ADE7B650-A9CE-4251-9AC2-E2607D9E6E2D}"/>
    <cellStyle name="Normal 2 2 4 6 3 2 4" xfId="26083" xr:uid="{FA0CE2E0-2B6D-4656-A811-BFEDA718DFD4}"/>
    <cellStyle name="Normal 2 2 4 6 3 2 5" xfId="26084" xr:uid="{7BF0E508-200A-4875-ABA3-125F4B759D68}"/>
    <cellStyle name="Normal 2 2 4 6 3 3" xfId="26085" xr:uid="{778DDAE7-4699-42F2-BDAF-0399EB92B0E9}"/>
    <cellStyle name="Normal 2 2 4 6 3 4" xfId="26086" xr:uid="{A595F791-6916-455B-BD5C-A12E666D3062}"/>
    <cellStyle name="Normal 2 2 4 6 3 5" xfId="26087" xr:uid="{0A18FC3F-85F8-45A2-AAB7-2E320ABBEAC7}"/>
    <cellStyle name="Normal 2 2 4 6 4" xfId="26088" xr:uid="{6859AA4B-D3F5-4ED8-8714-66390BF055AF}"/>
    <cellStyle name="Normal 2 2 4 6 5" xfId="26089" xr:uid="{A4F82157-B1F4-4485-A43F-94F0D4BBAFF6}"/>
    <cellStyle name="Normal 2 2 4 6 5 2" xfId="26090" xr:uid="{8411A9A4-7D5F-4570-BE1F-5E91DDB77246}"/>
    <cellStyle name="Normal 2 2 4 6 5 3" xfId="26091" xr:uid="{85D6F8C7-45ED-4680-AF42-95CAFF2E8A37}"/>
    <cellStyle name="Normal 2 2 4 6 5 4" xfId="26092" xr:uid="{411DD6A1-F349-40CF-BE61-52EBA7874946}"/>
    <cellStyle name="Normal 2 2 4 6 5 5" xfId="26093" xr:uid="{4A1FCC6C-C8E7-4D78-9188-18EFAC23FC76}"/>
    <cellStyle name="Normal 2 2 4 6 6" xfId="26094" xr:uid="{5C8DFC64-F0AB-4DF9-BC13-CC9BCA75F69F}"/>
    <cellStyle name="Normal 2 2 4 6 7" xfId="26095" xr:uid="{DC7064E0-5D8B-4060-9456-8C7A3DC6B7BC}"/>
    <cellStyle name="Normal 2 2 4 6 8" xfId="26096" xr:uid="{ECBBCD01-87DC-4BB6-A374-647054D8E916}"/>
    <cellStyle name="Normal 2 2 4 6 9" xfId="26097" xr:uid="{303A3DDC-B8FF-42A7-85D5-AD2C98E6F38F}"/>
    <cellStyle name="Normal 2 2 4 7" xfId="26098" xr:uid="{50B6E006-7C13-4293-9B45-56B992DC62F6}"/>
    <cellStyle name="Normal 2 2 4 7 2" xfId="26099" xr:uid="{B6027C97-156C-4D6B-8C61-FDD5691E1E89}"/>
    <cellStyle name="Normal 2 2 4 7 2 2" xfId="26100" xr:uid="{3EA64A4A-5FCD-4FB8-B636-7CA236260E63}"/>
    <cellStyle name="Normal 2 2 4 7 2 3" xfId="26101" xr:uid="{EDF2326F-D851-43C6-A916-350E93EC327A}"/>
    <cellStyle name="Normal 2 2 4 7 2 4" xfId="26102" xr:uid="{57FC549D-15E4-4C87-AF07-53AE095FFB18}"/>
    <cellStyle name="Normal 2 2 4 7 2 5" xfId="26103" xr:uid="{8EF8EC96-30EE-442C-A84A-D9F9D341A201}"/>
    <cellStyle name="Normal 2 2 4 7 3" xfId="26104" xr:uid="{6D5CF593-B577-4BA5-8135-26B320A3A809}"/>
    <cellStyle name="Normal 2 2 4 7 4" xfId="26105" xr:uid="{ACA52326-1D03-46E1-8FA8-28CF0CD7E5FF}"/>
    <cellStyle name="Normal 2 2 4 7 5" xfId="26106" xr:uid="{0109D055-9B49-4C7A-B3EB-2C100609BAFA}"/>
    <cellStyle name="Normal 2 2 4 7 6" xfId="26107" xr:uid="{D1022EFF-2C6A-47DD-A50C-88DF91169AD3}"/>
    <cellStyle name="Normal 2 2 4 8" xfId="26108" xr:uid="{C1DA10B0-8B0F-45F8-A2C2-B5810569DF16}"/>
    <cellStyle name="Normal 2 2 4 8 2" xfId="26109" xr:uid="{17014D2B-285E-4F7A-9253-DCE467D0982C}"/>
    <cellStyle name="Normal 2 2 4 8 2 2" xfId="26110" xr:uid="{E7ACE4F4-B446-431D-B269-E3F0D792C8D9}"/>
    <cellStyle name="Normal 2 2 4 8 2 3" xfId="26111" xr:uid="{9AD39E4A-60BB-4E54-90C6-08E646EE0FEC}"/>
    <cellStyle name="Normal 2 2 4 8 2 4" xfId="26112" xr:uid="{465337B4-A8B9-4462-BC87-8463070CCD5C}"/>
    <cellStyle name="Normal 2 2 4 8 2 5" xfId="26113" xr:uid="{59C95D28-B050-494C-833C-B3D98EFBB882}"/>
    <cellStyle name="Normal 2 2 4 8 3" xfId="26114" xr:uid="{D211FAD5-6230-42CB-886E-1D6BABD1A89C}"/>
    <cellStyle name="Normal 2 2 4 8 4" xfId="26115" xr:uid="{0FF36B5C-D766-4E35-9F28-019D9E161AC6}"/>
    <cellStyle name="Normal 2 2 4 8 5" xfId="26116" xr:uid="{2D95FDC1-0555-43CD-AE96-AA84D4520D72}"/>
    <cellStyle name="Normal 2 2 4 8 6" xfId="26117" xr:uid="{76318EBE-F3EC-448F-8D62-1C65FCED3264}"/>
    <cellStyle name="Normal 2 2 4 9" xfId="26118" xr:uid="{8814CF33-24EC-4259-8444-FAF0C81AFF56}"/>
    <cellStyle name="Normal 2 2 4 9 2" xfId="26119" xr:uid="{00B946E7-5007-460B-A7CE-6CD384961916}"/>
    <cellStyle name="Normal 2 2 4 9 2 2" xfId="26120" xr:uid="{09F480EB-1E57-47FB-B64E-395130883CCF}"/>
    <cellStyle name="Normal 2 2 4 9 2 3" xfId="26121" xr:uid="{09C02A7C-BD00-449F-8F63-2F0688804FAC}"/>
    <cellStyle name="Normal 2 2 4 9 2 4" xfId="26122" xr:uid="{E4F10B1D-5E59-4655-8AFB-021BFE807D31}"/>
    <cellStyle name="Normal 2 2 4 9 2 5" xfId="26123" xr:uid="{73AAFEE2-57F3-4EF1-86B5-7682C1C0812C}"/>
    <cellStyle name="Normal 2 2 4 9 3" xfId="26124" xr:uid="{34EBF014-B093-443F-BE59-BC9F83876879}"/>
    <cellStyle name="Normal 2 2 4 9 4" xfId="26125" xr:uid="{B57BD0B2-F52D-4E9D-9780-EC6CEC80DC51}"/>
    <cellStyle name="Normal 2 2 4 9 5" xfId="26126" xr:uid="{C910C949-E1C8-4397-B01A-8D9E5A8E18C3}"/>
    <cellStyle name="Normal 2 2 4 9 6" xfId="26127" xr:uid="{7DFE658A-DD66-4840-AAC8-3294D94BA73A}"/>
    <cellStyle name="Normal 2 2 5" xfId="239" xr:uid="{0C201A7D-9C1D-4A07-947D-B47040912299}"/>
    <cellStyle name="Normal 2 2 6" xfId="240" xr:uid="{97721794-F53D-41EC-89E6-10C50AF4BF46}"/>
    <cellStyle name="Normal 2 2 7" xfId="241" xr:uid="{BE1F0EB4-623E-48B9-A8C6-29203E99985D}"/>
    <cellStyle name="Normal 2 2 8" xfId="242" xr:uid="{A6387D98-288C-4328-8B0C-DE26433BA212}"/>
    <cellStyle name="Normal 2 2 9" xfId="243" xr:uid="{426959B0-A545-4231-BF9A-8D971F0848CA}"/>
    <cellStyle name="Normal 2 20" xfId="244" xr:uid="{D16BF5E7-55CE-45E3-8810-0171663EAF1B}"/>
    <cellStyle name="Normal 2 21" xfId="245" xr:uid="{3000314E-AD30-44D3-9588-AEC422EB5689}"/>
    <cellStyle name="Normal 2 21 10" xfId="45168" xr:uid="{EBFD0CE0-0264-4224-87BF-3BC43CA0465F}"/>
    <cellStyle name="Normal 2 21 10 2" xfId="45169" xr:uid="{D415968A-0298-4EE3-9718-8C9EE9801F46}"/>
    <cellStyle name="Normal 2 21 10 2 2" xfId="45170" xr:uid="{785434C9-66F8-478E-9788-12406A18D3B5}"/>
    <cellStyle name="Normal 2 21 10 2 2 2" xfId="45171" xr:uid="{5B100B17-B033-4791-BF2A-1B1F8789738D}"/>
    <cellStyle name="Normal 2 21 10 2 2 2 2" xfId="45172" xr:uid="{D35D919A-6B3F-4917-B708-494FFE209118}"/>
    <cellStyle name="Normal 2 21 10 2 2 2 2 2" xfId="45173" xr:uid="{63BE5CE1-9845-4B35-A158-62742BC2CE60}"/>
    <cellStyle name="Normal 2 21 10 2 2 2 2 2 2" xfId="45174" xr:uid="{8E557037-92D3-461D-B3D9-2AA9A4F11B0D}"/>
    <cellStyle name="Normal 2 21 10 2 2 2 2 3" xfId="45175" xr:uid="{2B2D94F0-3885-44F4-8740-FE859C79568B}"/>
    <cellStyle name="Normal 2 21 10 2 2 2 3" xfId="45176" xr:uid="{9EC79934-0748-4108-A95C-24C6E7464ECF}"/>
    <cellStyle name="Normal 2 21 10 2 2 2 3 2" xfId="45177" xr:uid="{99DF496E-BD57-4EEF-9111-24C24AAB4097}"/>
    <cellStyle name="Normal 2 21 10 2 2 2 4" xfId="45178" xr:uid="{060A8B94-CC53-4BAE-B69F-52366E3D41E4}"/>
    <cellStyle name="Normal 2 21 10 2 2 3" xfId="45179" xr:uid="{51A24AE8-2068-4AC4-A532-CF5EC2D4E161}"/>
    <cellStyle name="Normal 2 21 10 2 2 3 2" xfId="45180" xr:uid="{C2F4309F-9C62-490D-8B5B-A481499FF0AC}"/>
    <cellStyle name="Normal 2 21 10 2 2 3 2 2" xfId="45181" xr:uid="{E3E42E61-F4AB-4788-A4A8-3BB2FE0827AD}"/>
    <cellStyle name="Normal 2 21 10 2 2 3 3" xfId="45182" xr:uid="{57AD5898-ABBD-4429-AD83-CED42A3F355E}"/>
    <cellStyle name="Normal 2 21 10 2 2 4" xfId="45183" xr:uid="{7E2A4D62-4AC4-4B1E-9477-A43E9A819B2C}"/>
    <cellStyle name="Normal 2 21 10 2 2 4 2" xfId="45184" xr:uid="{5AEEF7FB-8662-4B91-9DBE-BD9FCF767338}"/>
    <cellStyle name="Normal 2 21 10 2 2 5" xfId="45185" xr:uid="{A2468086-A813-414E-8EA9-C174BA6C900A}"/>
    <cellStyle name="Normal 2 21 10 2 3" xfId="45186" xr:uid="{AAA8D93F-1704-4EAF-B0A4-6E34192BC0E1}"/>
    <cellStyle name="Normal 2 21 10 2 3 2" xfId="45187" xr:uid="{B6EDE092-699F-477A-BA83-2FC28C3CE777}"/>
    <cellStyle name="Normal 2 21 10 2 3 2 2" xfId="45188" xr:uid="{76F39BF4-C4B5-4934-B7CA-F60B27F964B1}"/>
    <cellStyle name="Normal 2 21 10 2 3 2 2 2" xfId="45189" xr:uid="{F8065168-B92C-4835-BA66-E919956E36B0}"/>
    <cellStyle name="Normal 2 21 10 2 3 2 3" xfId="45190" xr:uid="{AA546B03-0EB7-45B1-9B89-FABFC5920A20}"/>
    <cellStyle name="Normal 2 21 10 2 3 3" xfId="45191" xr:uid="{6453FD41-4C0C-4998-92AA-2F265273C798}"/>
    <cellStyle name="Normal 2 21 10 2 3 3 2" xfId="45192" xr:uid="{E93EAB1F-4522-4F94-90F4-8071A9245543}"/>
    <cellStyle name="Normal 2 21 10 2 3 4" xfId="45193" xr:uid="{6CE88C72-7CF7-4E25-9A20-0A2BF9DA7504}"/>
    <cellStyle name="Normal 2 21 10 2 4" xfId="45194" xr:uid="{E839E912-B417-4149-93A3-D7BD063D54BC}"/>
    <cellStyle name="Normal 2 21 10 2 4 2" xfId="45195" xr:uid="{4C23ECE9-5D3E-4C04-B8A0-49B11D307EB3}"/>
    <cellStyle name="Normal 2 21 10 2 4 2 2" xfId="45196" xr:uid="{BDC92C9C-EF72-439A-A411-4FE6D88A18C7}"/>
    <cellStyle name="Normal 2 21 10 2 4 3" xfId="45197" xr:uid="{BA649D5F-F124-4BB3-90AC-76E5DFC62FEB}"/>
    <cellStyle name="Normal 2 21 10 2 5" xfId="45198" xr:uid="{BEB2134D-F6D3-46D8-821A-9C2FCFC4C1FF}"/>
    <cellStyle name="Normal 2 21 10 2 5 2" xfId="45199" xr:uid="{3F057F3C-620B-423A-8D79-B320446FED1F}"/>
    <cellStyle name="Normal 2 21 10 2 6" xfId="45200" xr:uid="{A02D5350-4643-41D7-8CA8-EC849471835F}"/>
    <cellStyle name="Normal 2 21 10 3" xfId="45201" xr:uid="{EAB7043E-AEBA-49F6-9EAC-4DEFD67AB60A}"/>
    <cellStyle name="Normal 2 21 10 3 2" xfId="45202" xr:uid="{F93531D2-73F9-4143-AB9E-179FDFDDB852}"/>
    <cellStyle name="Normal 2 21 10 3 2 2" xfId="45203" xr:uid="{9DD2E503-D44F-4FE4-9B93-6B3BD9C16DF3}"/>
    <cellStyle name="Normal 2 21 10 3 2 2 2" xfId="45204" xr:uid="{2E4C33B2-1D38-45A5-89DA-70A05EA723ED}"/>
    <cellStyle name="Normal 2 21 10 3 2 2 2 2" xfId="45205" xr:uid="{BCBDEC53-8B94-41DA-BF0C-5917DB49ED6E}"/>
    <cellStyle name="Normal 2 21 10 3 2 2 3" xfId="45206" xr:uid="{69358070-362D-43E4-BF38-3487945F6B70}"/>
    <cellStyle name="Normal 2 21 10 3 2 3" xfId="45207" xr:uid="{A36DD129-F8E0-4334-B429-84EAE918CBCB}"/>
    <cellStyle name="Normal 2 21 10 3 2 3 2" xfId="45208" xr:uid="{60A5BA93-D2D6-4CEB-A6DF-66F6C4B2A4C5}"/>
    <cellStyle name="Normal 2 21 10 3 2 4" xfId="45209" xr:uid="{5C997953-CD95-4564-823A-09727C4FE2C2}"/>
    <cellStyle name="Normal 2 21 10 3 3" xfId="45210" xr:uid="{15E2926A-15E7-4621-AF9A-5631C1E8A160}"/>
    <cellStyle name="Normal 2 21 10 3 3 2" xfId="45211" xr:uid="{2E42470F-1353-48A9-A385-90A7A08A7360}"/>
    <cellStyle name="Normal 2 21 10 3 3 2 2" xfId="45212" xr:uid="{D813D735-4008-4526-9C74-4539FCED72D3}"/>
    <cellStyle name="Normal 2 21 10 3 3 3" xfId="45213" xr:uid="{A0C9763E-5F96-4260-98D4-2B2D59861A83}"/>
    <cellStyle name="Normal 2 21 10 3 4" xfId="45214" xr:uid="{D968F20D-6126-4B4C-85C7-0577535C5D1C}"/>
    <cellStyle name="Normal 2 21 10 3 4 2" xfId="45215" xr:uid="{F09EBB6A-E441-41B3-8360-3C77FE5C36D6}"/>
    <cellStyle name="Normal 2 21 10 3 5" xfId="45216" xr:uid="{8140F8A9-D69A-4F3D-9778-C0DC200D53AA}"/>
    <cellStyle name="Normal 2 21 10 4" xfId="45217" xr:uid="{CC812989-942A-4E4E-BCAC-56290AFD26CC}"/>
    <cellStyle name="Normal 2 21 10 4 2" xfId="45218" xr:uid="{5CA9421A-936F-4A65-80FB-6ABFD47FD338}"/>
    <cellStyle name="Normal 2 21 10 4 2 2" xfId="45219" xr:uid="{1BA14EEA-69AF-44CC-9BC7-60CB4BB6F678}"/>
    <cellStyle name="Normal 2 21 10 4 2 2 2" xfId="45220" xr:uid="{41B158C7-6F5C-489E-BE44-B61D5CB44FB1}"/>
    <cellStyle name="Normal 2 21 10 4 2 3" xfId="45221" xr:uid="{8B25CE99-EB1A-4F9C-BC54-511B52DD8B0F}"/>
    <cellStyle name="Normal 2 21 10 4 3" xfId="45222" xr:uid="{5D8C447A-2005-4A16-85BD-805BA0B18A59}"/>
    <cellStyle name="Normal 2 21 10 4 3 2" xfId="45223" xr:uid="{BB659F8E-4F76-44CC-BDE5-27B77C5C4323}"/>
    <cellStyle name="Normal 2 21 10 4 4" xfId="45224" xr:uid="{0C215091-9B9C-448E-9299-FA082BE3C666}"/>
    <cellStyle name="Normal 2 21 10 5" xfId="45225" xr:uid="{C43A8B10-C910-4AFF-8CC2-C705FF3F549E}"/>
    <cellStyle name="Normal 2 21 10 5 2" xfId="45226" xr:uid="{D179F0E3-FB65-4AFA-B93F-DAC8B30C399A}"/>
    <cellStyle name="Normal 2 21 10 5 2 2" xfId="45227" xr:uid="{89664896-3999-4EB1-8D1B-563F43B07CCC}"/>
    <cellStyle name="Normal 2 21 10 5 3" xfId="45228" xr:uid="{F0E4A099-61C5-40E3-AA50-3B0E92F4AF71}"/>
    <cellStyle name="Normal 2 21 10 6" xfId="45229" xr:uid="{6CE1D2A5-EA33-41F6-91BB-63871616A143}"/>
    <cellStyle name="Normal 2 21 10 6 2" xfId="45230" xr:uid="{021E2CF0-E3A2-42C2-8E1A-A44ADE0D94D2}"/>
    <cellStyle name="Normal 2 21 10 7" xfId="45231" xr:uid="{A6E5BA31-DD06-4CF6-95D6-2A704C3A7AA0}"/>
    <cellStyle name="Normal 2 21 11" xfId="45232" xr:uid="{7710971A-5808-4680-9A02-6872C844C72D}"/>
    <cellStyle name="Normal 2 21 11 2" xfId="45233" xr:uid="{091BE30E-96DE-4D7F-AB4A-2E18199A0637}"/>
    <cellStyle name="Normal 2 21 11 2 2" xfId="45234" xr:uid="{5ABD5D51-C624-47E1-AFF0-404E044F37B3}"/>
    <cellStyle name="Normal 2 21 11 2 2 2" xfId="45235" xr:uid="{F103C381-C05B-4026-A6AF-C154AF98A137}"/>
    <cellStyle name="Normal 2 21 11 2 2 2 2" xfId="45236" xr:uid="{61886947-EB91-456B-8971-89794E5E7D03}"/>
    <cellStyle name="Normal 2 21 11 2 2 2 2 2" xfId="45237" xr:uid="{3BD638E8-1977-4798-AB5A-B8C36287087F}"/>
    <cellStyle name="Normal 2 21 11 2 2 2 2 2 2" xfId="45238" xr:uid="{F9824227-E479-4E3C-86E8-CFA52D5AC237}"/>
    <cellStyle name="Normal 2 21 11 2 2 2 2 3" xfId="45239" xr:uid="{6F4E6898-A614-4695-9F94-58B71D2982D0}"/>
    <cellStyle name="Normal 2 21 11 2 2 2 3" xfId="45240" xr:uid="{2BBE284A-AD4F-4940-8F03-E7101059E82D}"/>
    <cellStyle name="Normal 2 21 11 2 2 2 3 2" xfId="45241" xr:uid="{27121216-976F-4157-A563-6C6B1E626DC8}"/>
    <cellStyle name="Normal 2 21 11 2 2 2 4" xfId="45242" xr:uid="{77623828-837A-44F0-B521-AB97B6552289}"/>
    <cellStyle name="Normal 2 21 11 2 2 3" xfId="45243" xr:uid="{7C613235-5899-4472-89BB-C44D4262BAF0}"/>
    <cellStyle name="Normal 2 21 11 2 2 3 2" xfId="45244" xr:uid="{0DBC536F-4227-45F4-B351-6002EC97481A}"/>
    <cellStyle name="Normal 2 21 11 2 2 3 2 2" xfId="45245" xr:uid="{B4F6910D-F980-438F-8D04-522B0EAC61DE}"/>
    <cellStyle name="Normal 2 21 11 2 2 3 3" xfId="45246" xr:uid="{216F36F4-773C-4D30-A0E7-CB91797F8310}"/>
    <cellStyle name="Normal 2 21 11 2 2 4" xfId="45247" xr:uid="{8A2E6171-F98E-4D1E-ADAA-6057AB28502E}"/>
    <cellStyle name="Normal 2 21 11 2 2 4 2" xfId="45248" xr:uid="{B7B3FC6A-7D4E-453E-B6EB-DBEED990BA75}"/>
    <cellStyle name="Normal 2 21 11 2 2 5" xfId="45249" xr:uid="{EBFE20C2-F027-4E55-96A6-754EE047F6C3}"/>
    <cellStyle name="Normal 2 21 11 2 3" xfId="45250" xr:uid="{8D42612E-E22B-44F2-AA34-C86279169D33}"/>
    <cellStyle name="Normal 2 21 11 2 3 2" xfId="45251" xr:uid="{38589B1A-BD9B-40A8-8228-C1DCF009DD99}"/>
    <cellStyle name="Normal 2 21 11 2 3 2 2" xfId="45252" xr:uid="{53531D9E-A307-4338-B30C-FC29EA874B8D}"/>
    <cellStyle name="Normal 2 21 11 2 3 2 2 2" xfId="45253" xr:uid="{FE29E431-E887-4B9E-9EAF-3FD8BA514E0F}"/>
    <cellStyle name="Normal 2 21 11 2 3 2 3" xfId="45254" xr:uid="{C8486D79-92A0-43A9-A600-EEA76A82DB77}"/>
    <cellStyle name="Normal 2 21 11 2 3 3" xfId="45255" xr:uid="{05353C77-9B6D-411D-88F9-B1DBFD380EE8}"/>
    <cellStyle name="Normal 2 21 11 2 3 3 2" xfId="45256" xr:uid="{4A6EFC9B-ECB1-41F8-B0DB-C76E9B36D60A}"/>
    <cellStyle name="Normal 2 21 11 2 3 4" xfId="45257" xr:uid="{635BB4B0-F302-45EC-A575-979EAE74ABFD}"/>
    <cellStyle name="Normal 2 21 11 2 4" xfId="45258" xr:uid="{77149E5C-F7B6-4521-B074-04337AA088A5}"/>
    <cellStyle name="Normal 2 21 11 2 4 2" xfId="45259" xr:uid="{B4BBB841-8FC1-41D6-933B-8242DC7864BD}"/>
    <cellStyle name="Normal 2 21 11 2 4 2 2" xfId="45260" xr:uid="{4599BDB6-75E8-4430-A382-4BFAE4AC02C4}"/>
    <cellStyle name="Normal 2 21 11 2 4 3" xfId="45261" xr:uid="{4E10576F-000D-4737-B02A-66A5ECC7A429}"/>
    <cellStyle name="Normal 2 21 11 2 5" xfId="45262" xr:uid="{A60043B1-16BB-4B57-B69A-9437FD18B182}"/>
    <cellStyle name="Normal 2 21 11 2 5 2" xfId="45263" xr:uid="{790B2067-33DD-43FD-ADB1-9FB75C861276}"/>
    <cellStyle name="Normal 2 21 11 2 6" xfId="45264" xr:uid="{F1015EB1-E4D1-4BDC-86F9-2E2275DCF341}"/>
    <cellStyle name="Normal 2 21 11 3" xfId="45265" xr:uid="{23C42BD1-603E-454E-ABBA-4DA03C0A46FB}"/>
    <cellStyle name="Normal 2 21 11 3 2" xfId="45266" xr:uid="{C2DEBAEB-C210-4B5F-9D5B-654C9A7144F2}"/>
    <cellStyle name="Normal 2 21 11 3 2 2" xfId="45267" xr:uid="{CEBE689B-CCD0-40A5-BB18-628F0B6650B6}"/>
    <cellStyle name="Normal 2 21 11 3 2 2 2" xfId="45268" xr:uid="{246D9B89-7E69-4C3F-B22F-62F29F5B7596}"/>
    <cellStyle name="Normal 2 21 11 3 2 2 2 2" xfId="45269" xr:uid="{5D59C5B5-803B-4A71-825A-EA445E0C53C2}"/>
    <cellStyle name="Normal 2 21 11 3 2 2 3" xfId="45270" xr:uid="{45C9EA0C-E284-4263-A6A3-F3A7DEA017A7}"/>
    <cellStyle name="Normal 2 21 11 3 2 3" xfId="45271" xr:uid="{06A97CA9-63C5-4AC3-9B97-854E0A28981D}"/>
    <cellStyle name="Normal 2 21 11 3 2 3 2" xfId="45272" xr:uid="{A8816189-5573-4077-A275-D0E693FB7135}"/>
    <cellStyle name="Normal 2 21 11 3 2 4" xfId="45273" xr:uid="{0DA13866-9842-4772-8306-19D456A767C7}"/>
    <cellStyle name="Normal 2 21 11 3 3" xfId="45274" xr:uid="{936D412B-5FC0-4D4A-8C72-747ACBAFDD20}"/>
    <cellStyle name="Normal 2 21 11 3 3 2" xfId="45275" xr:uid="{7D960437-6241-402A-B685-10BBF7BC2092}"/>
    <cellStyle name="Normal 2 21 11 3 3 2 2" xfId="45276" xr:uid="{26112382-45EC-4EF2-926D-71EB5ECE2C24}"/>
    <cellStyle name="Normal 2 21 11 3 3 3" xfId="45277" xr:uid="{D535674E-907D-4C04-BE5A-D5F75A2CEDE6}"/>
    <cellStyle name="Normal 2 21 11 3 4" xfId="45278" xr:uid="{1089A15E-4C07-4783-959C-A3932328FF96}"/>
    <cellStyle name="Normal 2 21 11 3 4 2" xfId="45279" xr:uid="{D406F3AE-E88A-4D9A-AAEB-89D4B2B69DEA}"/>
    <cellStyle name="Normal 2 21 11 3 5" xfId="45280" xr:uid="{C85C6FCB-FC2E-4FF7-89E1-487E38C9F793}"/>
    <cellStyle name="Normal 2 21 11 4" xfId="45281" xr:uid="{3539F425-E51E-41DB-A88A-CDB0A1709879}"/>
    <cellStyle name="Normal 2 21 11 4 2" xfId="45282" xr:uid="{4A27EC5E-7D3A-441A-8348-495377B11911}"/>
    <cellStyle name="Normal 2 21 11 4 2 2" xfId="45283" xr:uid="{D3EC1364-1E95-442C-8EF4-4DA535B76623}"/>
    <cellStyle name="Normal 2 21 11 4 2 2 2" xfId="45284" xr:uid="{C4E5D616-179A-4B3B-843A-4B375421726F}"/>
    <cellStyle name="Normal 2 21 11 4 2 3" xfId="45285" xr:uid="{AB90DBA1-5409-457D-94FD-3C435AE9BBB5}"/>
    <cellStyle name="Normal 2 21 11 4 3" xfId="45286" xr:uid="{B13D5B80-2ECE-4301-8EB8-EDE8E9AC10E0}"/>
    <cellStyle name="Normal 2 21 11 4 3 2" xfId="45287" xr:uid="{495C4BDD-C1E9-4A4D-BB2F-0861B61207F1}"/>
    <cellStyle name="Normal 2 21 11 4 4" xfId="45288" xr:uid="{5DEC4DBC-163A-44F3-9359-8323A8923151}"/>
    <cellStyle name="Normal 2 21 11 5" xfId="45289" xr:uid="{1044BC85-6DCE-49E9-B360-1069DEB56A8E}"/>
    <cellStyle name="Normal 2 21 11 5 2" xfId="45290" xr:uid="{FD8523AD-A2D2-4257-9894-D0CC66B70333}"/>
    <cellStyle name="Normal 2 21 11 5 2 2" xfId="45291" xr:uid="{F4501FE9-81A7-4DDF-9326-4E86D2E8A82F}"/>
    <cellStyle name="Normal 2 21 11 5 3" xfId="45292" xr:uid="{5FF2601E-5689-45DB-A4B5-924B72AA6029}"/>
    <cellStyle name="Normal 2 21 11 6" xfId="45293" xr:uid="{7D24DC8E-FBA8-4B5D-822A-4794720E3B6A}"/>
    <cellStyle name="Normal 2 21 11 6 2" xfId="45294" xr:uid="{005CB4DB-7B86-4FC4-936D-52D2DF123DA7}"/>
    <cellStyle name="Normal 2 21 11 7" xfId="45295" xr:uid="{FDBDD280-0385-4FF0-BF57-274A64148E28}"/>
    <cellStyle name="Normal 2 21 12" xfId="45296" xr:uid="{3D09C1DF-A742-4E98-8710-0F561427619E}"/>
    <cellStyle name="Normal 2 21 12 2" xfId="45297" xr:uid="{ACB5A9D9-68E0-415A-8338-05AFB8389645}"/>
    <cellStyle name="Normal 2 21 12 2 2" xfId="45298" xr:uid="{F79EC6D4-9B35-4954-BD86-AB3599DBE739}"/>
    <cellStyle name="Normal 2 21 12 2 2 2" xfId="45299" xr:uid="{D9B5BEBC-AB7A-47A7-96B3-43B32C82B9CF}"/>
    <cellStyle name="Normal 2 21 12 2 2 2 2" xfId="45300" xr:uid="{B16F6797-1829-4918-A009-36E85D31B81E}"/>
    <cellStyle name="Normal 2 21 12 2 2 2 2 2" xfId="45301" xr:uid="{B9B62B72-E30E-415F-BDE7-9E69C1269FD3}"/>
    <cellStyle name="Normal 2 21 12 2 2 2 3" xfId="45302" xr:uid="{2E805654-2A1A-4488-A420-CCD867BC0A60}"/>
    <cellStyle name="Normal 2 21 12 2 2 3" xfId="45303" xr:uid="{0AB4962B-485A-47F5-8E15-C6FD715DB86F}"/>
    <cellStyle name="Normal 2 21 12 2 2 3 2" xfId="45304" xr:uid="{00CEEC8B-796A-49D3-B13A-780A180009D0}"/>
    <cellStyle name="Normal 2 21 12 2 2 4" xfId="45305" xr:uid="{5EECC680-CF41-4740-A1E5-E9A80E05D21A}"/>
    <cellStyle name="Normal 2 21 12 2 3" xfId="45306" xr:uid="{89E34F09-BBA3-42FA-A7F1-5F29411B28E8}"/>
    <cellStyle name="Normal 2 21 12 2 3 2" xfId="45307" xr:uid="{B8058EB9-A68A-48A5-91E0-BD1B69F600CD}"/>
    <cellStyle name="Normal 2 21 12 2 3 2 2" xfId="45308" xr:uid="{CCD06A55-CA4A-43CB-8726-54C29C5ACD0D}"/>
    <cellStyle name="Normal 2 21 12 2 3 3" xfId="45309" xr:uid="{F0FA0A76-5787-4EF6-B5AF-4D7E337F59EA}"/>
    <cellStyle name="Normal 2 21 12 2 4" xfId="45310" xr:uid="{627E8693-7168-433A-8346-74EA3C87ADF0}"/>
    <cellStyle name="Normal 2 21 12 2 4 2" xfId="45311" xr:uid="{2397811E-FDD3-46C5-BD92-AC509D4175BB}"/>
    <cellStyle name="Normal 2 21 12 2 5" xfId="45312" xr:uid="{AFCC386C-0C9D-410E-BEFE-B317765117D3}"/>
    <cellStyle name="Normal 2 21 12 3" xfId="45313" xr:uid="{25E7B107-6610-4B45-A6DB-991480ACCF7A}"/>
    <cellStyle name="Normal 2 21 12 3 2" xfId="45314" xr:uid="{2A1FDF32-D1E4-45B6-80A5-85B68064AF8D}"/>
    <cellStyle name="Normal 2 21 12 3 2 2" xfId="45315" xr:uid="{F9EE61E3-6766-42A8-B1CD-3D128447984A}"/>
    <cellStyle name="Normal 2 21 12 3 2 2 2" xfId="45316" xr:uid="{34313F5C-5DC2-4FF7-BA98-4201F70FF478}"/>
    <cellStyle name="Normal 2 21 12 3 2 3" xfId="45317" xr:uid="{E9E5416C-B5BA-487D-93EA-424845B8942A}"/>
    <cellStyle name="Normal 2 21 12 3 3" xfId="45318" xr:uid="{507966D3-7013-4BD8-8574-6008F7689BC2}"/>
    <cellStyle name="Normal 2 21 12 3 3 2" xfId="45319" xr:uid="{AB7A3790-F3B5-4A95-9B61-31B1C04FE07B}"/>
    <cellStyle name="Normal 2 21 12 3 4" xfId="45320" xr:uid="{5BAB82AF-1CC5-4288-9B2B-6C3DA5D3ADC6}"/>
    <cellStyle name="Normal 2 21 12 4" xfId="45321" xr:uid="{4E9D332A-C3D8-4981-8D9F-77209E5A6D31}"/>
    <cellStyle name="Normal 2 21 12 4 2" xfId="45322" xr:uid="{B6DA0441-139F-4682-9C3D-51FE3A93FBE3}"/>
    <cellStyle name="Normal 2 21 12 4 2 2" xfId="45323" xr:uid="{F218794A-9863-4521-AC2D-E94A29DA1713}"/>
    <cellStyle name="Normal 2 21 12 4 3" xfId="45324" xr:uid="{F32E96C9-8F8D-4818-AF94-FDFB0B73D4A4}"/>
    <cellStyle name="Normal 2 21 12 5" xfId="45325" xr:uid="{AF7130CA-9050-43C3-B999-41613A7C36F9}"/>
    <cellStyle name="Normal 2 21 12 5 2" xfId="45326" xr:uid="{5DC59803-60CD-4ECC-B81F-F053EA58772C}"/>
    <cellStyle name="Normal 2 21 12 6" xfId="45327" xr:uid="{BB978F6C-BC0C-4A69-8027-6552C6A594B0}"/>
    <cellStyle name="Normal 2 21 13" xfId="45328" xr:uid="{8869C43D-4A0F-4974-8B58-E046D557A762}"/>
    <cellStyle name="Normal 2 21 13 2" xfId="45329" xr:uid="{8F2F9447-51FB-45E4-B6F3-158AC3A54491}"/>
    <cellStyle name="Normal 2 21 13 2 2" xfId="45330" xr:uid="{94556F80-12CB-4D74-A2AE-1FF6F3770205}"/>
    <cellStyle name="Normal 2 21 13 2 2 2" xfId="45331" xr:uid="{3EF8E7BC-8BCF-4DE1-A392-DA142C78B5BD}"/>
    <cellStyle name="Normal 2 21 13 2 2 2 2" xfId="45332" xr:uid="{D3672B4A-BBE9-4799-BAFC-726CCA7E58B1}"/>
    <cellStyle name="Normal 2 21 13 2 2 3" xfId="45333" xr:uid="{EA413C07-65B2-4FC8-A294-E57A384E7AAA}"/>
    <cellStyle name="Normal 2 21 13 2 3" xfId="45334" xr:uid="{D384511B-D922-4B15-8D06-203D35D30D48}"/>
    <cellStyle name="Normal 2 21 13 2 3 2" xfId="45335" xr:uid="{A345DE19-90C6-4160-BD9A-12C9F8D3DC7B}"/>
    <cellStyle name="Normal 2 21 13 2 4" xfId="45336" xr:uid="{F3433DCF-535E-49A7-8A4F-BD6CE3790D2F}"/>
    <cellStyle name="Normal 2 21 13 3" xfId="45337" xr:uid="{C39D56D4-ADBA-444C-80E8-3F1B8F2FC82F}"/>
    <cellStyle name="Normal 2 21 13 3 2" xfId="45338" xr:uid="{3CD06F6C-5216-4EB4-8157-762456D876BC}"/>
    <cellStyle name="Normal 2 21 13 3 2 2" xfId="45339" xr:uid="{AAC0963D-6EC0-463D-AEC5-E865F04ADAAB}"/>
    <cellStyle name="Normal 2 21 13 3 3" xfId="45340" xr:uid="{8986CCBC-EDE2-4928-B45E-3F9FEB63922F}"/>
    <cellStyle name="Normal 2 21 13 4" xfId="45341" xr:uid="{38357F4C-D660-43DC-8109-55845181AC5C}"/>
    <cellStyle name="Normal 2 21 13 4 2" xfId="45342" xr:uid="{B3EA8A7B-D160-4A44-9A0F-4F88BCCA9F58}"/>
    <cellStyle name="Normal 2 21 13 5" xfId="45343" xr:uid="{C3D1E61F-C1E3-41C1-8ED2-0002B3F063C7}"/>
    <cellStyle name="Normal 2 21 14" xfId="45344" xr:uid="{5E7688BF-10AB-41F2-883C-285D5D580183}"/>
    <cellStyle name="Normal 2 21 14 2" xfId="45345" xr:uid="{8B7639EF-CFF3-4F72-B6B1-A92B5E5280A2}"/>
    <cellStyle name="Normal 2 21 14 2 2" xfId="45346" xr:uid="{EFA5B93E-4988-4844-8E6B-1E08A26E2C1F}"/>
    <cellStyle name="Normal 2 21 14 2 2 2" xfId="45347" xr:uid="{B089C9B2-88A5-4CF7-898F-5FA32077E794}"/>
    <cellStyle name="Normal 2 21 14 2 3" xfId="45348" xr:uid="{55A3FAE6-4B1F-433A-A318-E9BEFC7C87FB}"/>
    <cellStyle name="Normal 2 21 14 3" xfId="45349" xr:uid="{94F51BD7-0737-44EF-BF5D-EB86BA840C92}"/>
    <cellStyle name="Normal 2 21 14 3 2" xfId="45350" xr:uid="{302AF44E-D980-41C6-BCA3-784E08C5712C}"/>
    <cellStyle name="Normal 2 21 14 4" xfId="45351" xr:uid="{C86E6D2D-F287-4932-9CAF-F4B843E1E00C}"/>
    <cellStyle name="Normal 2 21 15" xfId="45352" xr:uid="{DC724E9C-08BD-4422-878E-C227ADEC7A6C}"/>
    <cellStyle name="Normal 2 21 15 2" xfId="45353" xr:uid="{8F39E052-F4F7-43AE-9150-64B7F538A2E4}"/>
    <cellStyle name="Normal 2 21 15 2 2" xfId="45354" xr:uid="{9D515970-4BFE-45AC-9D81-EF5410EA06F9}"/>
    <cellStyle name="Normal 2 21 15 3" xfId="45355" xr:uid="{1BAF22C7-5D16-488C-9228-842E02161E71}"/>
    <cellStyle name="Normal 2 21 16" xfId="45356" xr:uid="{E25C8050-3A8C-46E4-992F-3A12BAE84AB3}"/>
    <cellStyle name="Normal 2 21 16 2" xfId="45357" xr:uid="{D8324424-9B3C-4C3B-8C9E-280456D43C96}"/>
    <cellStyle name="Normal 2 21 17" xfId="45358" xr:uid="{0BB32754-29EE-4087-884E-7B2CB1C784F7}"/>
    <cellStyle name="Normal 2 21 18" xfId="45167" xr:uid="{AF2A73E7-676C-4B64-9F7E-47FDC8A1AE00}"/>
    <cellStyle name="Normal 2 21 2" xfId="26128" xr:uid="{60CC1756-D017-4E26-B463-CAA74A03EFE2}"/>
    <cellStyle name="Normal 2 21 2 2" xfId="45360" xr:uid="{CBD5D27C-B7D2-40CA-A65F-DA9FC904AA43}"/>
    <cellStyle name="Normal 2 21 2 2 2" xfId="45361" xr:uid="{96CB7049-8CFB-4A6C-A659-BB83249DD7D5}"/>
    <cellStyle name="Normal 2 21 2 2 2 2" xfId="45362" xr:uid="{58A3DBCA-9A75-44E5-819C-A1B2A6FF397D}"/>
    <cellStyle name="Normal 2 21 2 2 2 2 2" xfId="45363" xr:uid="{535D3B79-AA6F-4926-9206-D77B3638913F}"/>
    <cellStyle name="Normal 2 21 2 2 2 2 2 2" xfId="45364" xr:uid="{FBF3E48A-851D-41DF-AAA7-3F223075AFF0}"/>
    <cellStyle name="Normal 2 21 2 2 2 2 2 2 2" xfId="45365" xr:uid="{806C35E0-E41E-481A-934C-C9496958CF6B}"/>
    <cellStyle name="Normal 2 21 2 2 2 2 2 3" xfId="45366" xr:uid="{1EACDB9F-576F-4329-B3DF-6F8F4E7FEC2C}"/>
    <cellStyle name="Normal 2 21 2 2 2 2 3" xfId="45367" xr:uid="{62AE7013-B9E2-46B5-B97A-406A3C3D1B6B}"/>
    <cellStyle name="Normal 2 21 2 2 2 2 3 2" xfId="45368" xr:uid="{31988F75-1EC0-4841-B6A4-96CB0BF3ADCD}"/>
    <cellStyle name="Normal 2 21 2 2 2 2 4" xfId="45369" xr:uid="{D3CE6059-7982-475A-8E4D-B4130A3C35F0}"/>
    <cellStyle name="Normal 2 21 2 2 2 3" xfId="45370" xr:uid="{DCA04FE5-9487-480A-A4D4-38343C9744B5}"/>
    <cellStyle name="Normal 2 21 2 2 2 3 2" xfId="45371" xr:uid="{93A0DAEA-1166-4BD6-9CC7-D324230C3C96}"/>
    <cellStyle name="Normal 2 21 2 2 2 3 2 2" xfId="45372" xr:uid="{AB80E244-9959-4B83-B912-2A8BE6FC674B}"/>
    <cellStyle name="Normal 2 21 2 2 2 3 3" xfId="45373" xr:uid="{AC162ACC-A544-41A3-BA51-1E357289A453}"/>
    <cellStyle name="Normal 2 21 2 2 2 4" xfId="45374" xr:uid="{EEC238BD-BA19-43C1-9B14-D831C203FA99}"/>
    <cellStyle name="Normal 2 21 2 2 2 4 2" xfId="45375" xr:uid="{09EFB6AA-01A1-4024-BA37-E71F7E730CF9}"/>
    <cellStyle name="Normal 2 21 2 2 2 5" xfId="45376" xr:uid="{DD6369A3-26ED-45B0-9D68-3BEC7F6690FA}"/>
    <cellStyle name="Normal 2 21 2 2 3" xfId="45377" xr:uid="{4F67AD09-747E-46FC-96D0-9FB2F2CB2CB4}"/>
    <cellStyle name="Normal 2 21 2 2 3 2" xfId="45378" xr:uid="{A511A817-BB63-421F-B5ED-F447CD623298}"/>
    <cellStyle name="Normal 2 21 2 2 3 2 2" xfId="45379" xr:uid="{FE0B7586-45C2-4556-B05D-2F21BFBA47C7}"/>
    <cellStyle name="Normal 2 21 2 2 3 2 2 2" xfId="45380" xr:uid="{069D96AE-852B-43F4-84B5-19F6E8F215C6}"/>
    <cellStyle name="Normal 2 21 2 2 3 2 3" xfId="45381" xr:uid="{4C075A97-4D32-40A3-8270-C4B9E1AD1619}"/>
    <cellStyle name="Normal 2 21 2 2 3 3" xfId="45382" xr:uid="{F32B7412-8B47-4D21-99F4-65AA68CE9F43}"/>
    <cellStyle name="Normal 2 21 2 2 3 3 2" xfId="45383" xr:uid="{9EFC8CE9-B823-4169-9928-31F53ACAF4F0}"/>
    <cellStyle name="Normal 2 21 2 2 3 4" xfId="45384" xr:uid="{EA08BEF3-1895-4E2D-91C8-00CAA24C5530}"/>
    <cellStyle name="Normal 2 21 2 2 4" xfId="45385" xr:uid="{4F0F72F2-9FBD-4BEE-BE10-9CA56D7AFFF8}"/>
    <cellStyle name="Normal 2 21 2 2 4 2" xfId="45386" xr:uid="{E5E0ABAD-8029-498D-9CEF-A3C11E8DE5B7}"/>
    <cellStyle name="Normal 2 21 2 2 4 2 2" xfId="45387" xr:uid="{92AB3716-FE3D-4774-AD61-D20A6167AE2E}"/>
    <cellStyle name="Normal 2 21 2 2 4 3" xfId="45388" xr:uid="{B78C52D9-A604-41E9-93A8-5303003F1C16}"/>
    <cellStyle name="Normal 2 21 2 2 5" xfId="45389" xr:uid="{80B8CEF3-DB82-4EC5-B5B7-973C41A838A3}"/>
    <cellStyle name="Normal 2 21 2 2 5 2" xfId="45390" xr:uid="{2FB94F83-22EB-4BF9-BCE7-ECB24972D1BB}"/>
    <cellStyle name="Normal 2 21 2 2 6" xfId="45391" xr:uid="{C7A8C0E9-BFF4-4424-ABD7-8B6514A1BAE7}"/>
    <cellStyle name="Normal 2 21 2 3" xfId="45392" xr:uid="{9B33B5B9-D06F-4DDD-B1C2-DA413338D34E}"/>
    <cellStyle name="Normal 2 21 2 3 2" xfId="45393" xr:uid="{42E31549-D3EE-4CB0-BEB9-044B82780E76}"/>
    <cellStyle name="Normal 2 21 2 3 2 2" xfId="45394" xr:uid="{F1BD6247-E1DB-4C07-B2D7-5A071AF1DB38}"/>
    <cellStyle name="Normal 2 21 2 3 2 2 2" xfId="45395" xr:uid="{85D41AEF-3E5A-470C-B4B3-4F0D526E031D}"/>
    <cellStyle name="Normal 2 21 2 3 2 2 2 2" xfId="45396" xr:uid="{966393D1-2493-4FB5-B6CD-5AC701739DC3}"/>
    <cellStyle name="Normal 2 21 2 3 2 2 3" xfId="45397" xr:uid="{75808A70-A36B-4274-A457-B66E08D57765}"/>
    <cellStyle name="Normal 2 21 2 3 2 3" xfId="45398" xr:uid="{9120C82A-3C22-41BD-BFB3-F9A7E6FA96C0}"/>
    <cellStyle name="Normal 2 21 2 3 2 3 2" xfId="45399" xr:uid="{5B4E8598-0040-412D-A8E7-6AEAE0470303}"/>
    <cellStyle name="Normal 2 21 2 3 2 4" xfId="45400" xr:uid="{36DA7A6A-EA41-47BA-8EA9-4D1178BFAC51}"/>
    <cellStyle name="Normal 2 21 2 3 3" xfId="45401" xr:uid="{627EB9D4-A3B5-412C-92BB-ADC8DD531A2E}"/>
    <cellStyle name="Normal 2 21 2 3 3 2" xfId="45402" xr:uid="{0D926D47-37BA-4949-A116-97966E43A7C4}"/>
    <cellStyle name="Normal 2 21 2 3 3 2 2" xfId="45403" xr:uid="{3997753D-1014-48C7-8A01-61CA928ED731}"/>
    <cellStyle name="Normal 2 21 2 3 3 3" xfId="45404" xr:uid="{7A0D597C-42BA-41D9-8DDC-0D107B55D92D}"/>
    <cellStyle name="Normal 2 21 2 3 4" xfId="45405" xr:uid="{742F3712-8346-4A34-97F0-35F2F51D06A5}"/>
    <cellStyle name="Normal 2 21 2 3 4 2" xfId="45406" xr:uid="{C06F910E-049D-4735-8FED-C86623803BAB}"/>
    <cellStyle name="Normal 2 21 2 3 5" xfId="45407" xr:uid="{C96A7DB7-8089-4306-A46B-BA3860BE3C51}"/>
    <cellStyle name="Normal 2 21 2 4" xfId="45408" xr:uid="{3048AEE5-48C8-4D81-9247-646D11075453}"/>
    <cellStyle name="Normal 2 21 2 4 2" xfId="45409" xr:uid="{F41FECB4-428D-4C21-B0CF-1695BF5EF1DC}"/>
    <cellStyle name="Normal 2 21 2 4 2 2" xfId="45410" xr:uid="{B930C9B3-10C4-460D-B4EB-947C4AA8E59A}"/>
    <cellStyle name="Normal 2 21 2 4 2 2 2" xfId="45411" xr:uid="{C94FB17B-B00C-4936-8AA6-B86A273D83DE}"/>
    <cellStyle name="Normal 2 21 2 4 2 3" xfId="45412" xr:uid="{BD8477C1-1704-4508-A28A-F81D32468509}"/>
    <cellStyle name="Normal 2 21 2 4 3" xfId="45413" xr:uid="{396AB327-6836-471F-B42D-BD2A9C7635AB}"/>
    <cellStyle name="Normal 2 21 2 4 3 2" xfId="45414" xr:uid="{E6A501A2-70DA-491E-8B6A-56E08334A653}"/>
    <cellStyle name="Normal 2 21 2 4 4" xfId="45415" xr:uid="{EE8DADDC-5052-4E2E-A81D-FD16AE500704}"/>
    <cellStyle name="Normal 2 21 2 5" xfId="45416" xr:uid="{A4D202C2-78A3-4C59-8546-DF6F54157C1B}"/>
    <cellStyle name="Normal 2 21 2 5 2" xfId="45417" xr:uid="{6AA80906-5221-4F8A-BA75-80C71730E215}"/>
    <cellStyle name="Normal 2 21 2 5 2 2" xfId="45418" xr:uid="{F8770BE1-C75C-4248-951F-DD15F32ACD88}"/>
    <cellStyle name="Normal 2 21 2 5 3" xfId="45419" xr:uid="{A6D96952-3F3B-4E4F-9EFE-2CCF65CC581C}"/>
    <cellStyle name="Normal 2 21 2 6" xfId="45420" xr:uid="{B4FCB9BC-E9A9-47CE-945D-3C3A08BC11A5}"/>
    <cellStyle name="Normal 2 21 2 6 2" xfId="45421" xr:uid="{F57C71AB-B6A0-4688-A79F-6EE612AED080}"/>
    <cellStyle name="Normal 2 21 2 7" xfId="45422" xr:uid="{1AAAAEF7-5FF9-4113-9A40-576582AA3DA7}"/>
    <cellStyle name="Normal 2 21 2 8" xfId="45359" xr:uid="{B86F2764-E97F-4B9D-926D-629706B843C5}"/>
    <cellStyle name="Normal 2 21 3" xfId="26129" xr:uid="{826912F0-0D4C-4937-B16D-620B80357F27}"/>
    <cellStyle name="Normal 2 21 3 2" xfId="45424" xr:uid="{C681CC99-2CC7-4326-A2B8-432839483766}"/>
    <cellStyle name="Normal 2 21 3 2 2" xfId="45425" xr:uid="{7F5C2955-4BD3-4EF5-92F8-2C315183B777}"/>
    <cellStyle name="Normal 2 21 3 2 2 2" xfId="45426" xr:uid="{9D6582AF-7DBE-40AB-9BB1-F2EB71E2878F}"/>
    <cellStyle name="Normal 2 21 3 2 2 2 2" xfId="45427" xr:uid="{7811A65F-DF90-4E0B-A69A-1EE252C70FDF}"/>
    <cellStyle name="Normal 2 21 3 2 2 2 2 2" xfId="45428" xr:uid="{18C1DEC3-9A2F-4C48-A27B-AE9588504894}"/>
    <cellStyle name="Normal 2 21 3 2 2 2 2 2 2" xfId="45429" xr:uid="{830B5F60-A9BC-4F0B-9869-25D6FBBE5172}"/>
    <cellStyle name="Normal 2 21 3 2 2 2 2 3" xfId="45430" xr:uid="{96F32176-DCB2-475B-9636-9D7F0E20800D}"/>
    <cellStyle name="Normal 2 21 3 2 2 2 3" xfId="45431" xr:uid="{1C9446D6-E13E-42AB-BABD-3D803CDD88DA}"/>
    <cellStyle name="Normal 2 21 3 2 2 2 3 2" xfId="45432" xr:uid="{5E1F3D49-BE0B-4949-8B54-EBA1F2D52704}"/>
    <cellStyle name="Normal 2 21 3 2 2 2 4" xfId="45433" xr:uid="{538BD2E9-FA9B-48E6-A061-67B9F411BC1B}"/>
    <cellStyle name="Normal 2 21 3 2 2 3" xfId="45434" xr:uid="{09166526-F331-4B58-B256-D65C04C1A106}"/>
    <cellStyle name="Normal 2 21 3 2 2 3 2" xfId="45435" xr:uid="{E55E5D75-F9F4-4957-B510-BB699D783EC0}"/>
    <cellStyle name="Normal 2 21 3 2 2 3 2 2" xfId="45436" xr:uid="{1B5C0A78-4AAE-4D48-AF28-538DF8C8EC0B}"/>
    <cellStyle name="Normal 2 21 3 2 2 3 3" xfId="45437" xr:uid="{04290F36-0D10-441C-8EFA-B913F7CD39A2}"/>
    <cellStyle name="Normal 2 21 3 2 2 4" xfId="45438" xr:uid="{CCC1A533-0CAD-42D4-8A32-FFAA6C4D9E06}"/>
    <cellStyle name="Normal 2 21 3 2 2 4 2" xfId="45439" xr:uid="{8A8A198A-9593-48B0-A5BF-FEFD5B210ECC}"/>
    <cellStyle name="Normal 2 21 3 2 2 5" xfId="45440" xr:uid="{2AB0BF16-A823-4943-AE0D-A38EB9BDDD2F}"/>
    <cellStyle name="Normal 2 21 3 2 3" xfId="45441" xr:uid="{F3A42B73-AF23-4E6E-A78C-E0E9DFD5D07B}"/>
    <cellStyle name="Normal 2 21 3 2 3 2" xfId="45442" xr:uid="{D7393ECF-5399-4EFE-A277-1CEEBB7DF52E}"/>
    <cellStyle name="Normal 2 21 3 2 3 2 2" xfId="45443" xr:uid="{F3FBEA1A-D8DF-4278-96E5-9C41F44868D2}"/>
    <cellStyle name="Normal 2 21 3 2 3 2 2 2" xfId="45444" xr:uid="{54D5815B-4FD8-4D0C-980E-0C2F60E671B4}"/>
    <cellStyle name="Normal 2 21 3 2 3 2 3" xfId="45445" xr:uid="{B7692E74-C034-46B3-AA4A-08539AABB2F0}"/>
    <cellStyle name="Normal 2 21 3 2 3 3" xfId="45446" xr:uid="{FD1FBD09-33FC-4DE1-A8DB-D110EE2380E0}"/>
    <cellStyle name="Normal 2 21 3 2 3 3 2" xfId="45447" xr:uid="{619DB5E9-BB62-4351-993D-4B183FE1C16D}"/>
    <cellStyle name="Normal 2 21 3 2 3 4" xfId="45448" xr:uid="{880F0B49-8922-4325-ABA9-4A9F1249DD08}"/>
    <cellStyle name="Normal 2 21 3 2 4" xfId="45449" xr:uid="{AED72240-343D-464A-AE58-9F98BAE1261D}"/>
    <cellStyle name="Normal 2 21 3 2 4 2" xfId="45450" xr:uid="{A989C150-3AE3-412E-83E2-337E014DCD6C}"/>
    <cellStyle name="Normal 2 21 3 2 4 2 2" xfId="45451" xr:uid="{F6655029-B120-4DB7-945A-E8540F3D15EB}"/>
    <cellStyle name="Normal 2 21 3 2 4 3" xfId="45452" xr:uid="{C5B43623-4856-444E-BFE4-3527054D326B}"/>
    <cellStyle name="Normal 2 21 3 2 5" xfId="45453" xr:uid="{8F5C12B8-CCBB-49C0-A3A3-9C71ECEEEEB6}"/>
    <cellStyle name="Normal 2 21 3 2 5 2" xfId="45454" xr:uid="{DC37E133-1FD8-4876-84FB-C5843543F2EE}"/>
    <cellStyle name="Normal 2 21 3 2 6" xfId="45455" xr:uid="{1F12C250-EEBE-48A1-8F00-AAADC64F27A3}"/>
    <cellStyle name="Normal 2 21 3 3" xfId="45456" xr:uid="{DE09ADD5-DA58-4613-962C-ECBD5E23BC86}"/>
    <cellStyle name="Normal 2 21 3 3 2" xfId="45457" xr:uid="{ACCA9B0E-F3AE-48A0-A6FC-676ECE69EF38}"/>
    <cellStyle name="Normal 2 21 3 3 2 2" xfId="45458" xr:uid="{0D95F58B-82EE-458A-9C7A-D9408ECDBAB0}"/>
    <cellStyle name="Normal 2 21 3 3 2 2 2" xfId="45459" xr:uid="{170E3F23-BE23-4454-9A95-CDA6C8D9F478}"/>
    <cellStyle name="Normal 2 21 3 3 2 2 2 2" xfId="45460" xr:uid="{205EF669-8D3C-4F46-9E63-5B1551C297B4}"/>
    <cellStyle name="Normal 2 21 3 3 2 2 3" xfId="45461" xr:uid="{B58AAF5B-2D2D-41DF-858D-F1B95F8A8791}"/>
    <cellStyle name="Normal 2 21 3 3 2 3" xfId="45462" xr:uid="{C0778429-D20B-4F2E-8EFF-2162F57F87C2}"/>
    <cellStyle name="Normal 2 21 3 3 2 3 2" xfId="45463" xr:uid="{D119F587-D41B-4D1F-B106-46F16247607F}"/>
    <cellStyle name="Normal 2 21 3 3 2 4" xfId="45464" xr:uid="{FD4E1ECE-6F8B-4729-AE8E-7EC74A07EA2E}"/>
    <cellStyle name="Normal 2 21 3 3 3" xfId="45465" xr:uid="{A0910F66-8790-4CE8-BFC0-7E91202D5096}"/>
    <cellStyle name="Normal 2 21 3 3 3 2" xfId="45466" xr:uid="{316A4E12-42BF-460A-93EA-A081890FF4BA}"/>
    <cellStyle name="Normal 2 21 3 3 3 2 2" xfId="45467" xr:uid="{2502C29A-49C3-4E93-A342-1AFC276D9F47}"/>
    <cellStyle name="Normal 2 21 3 3 3 3" xfId="45468" xr:uid="{27F21C15-19AF-46CE-8A7D-98947A285355}"/>
    <cellStyle name="Normal 2 21 3 3 4" xfId="45469" xr:uid="{C2EF92DB-01E5-4843-A2F2-B59E55807D01}"/>
    <cellStyle name="Normal 2 21 3 3 4 2" xfId="45470" xr:uid="{6267E029-D0F7-47B6-B798-8060821BB861}"/>
    <cellStyle name="Normal 2 21 3 3 5" xfId="45471" xr:uid="{5B2FE677-B8D9-4D65-ABA2-586F5FB3AD8F}"/>
    <cellStyle name="Normal 2 21 3 4" xfId="45472" xr:uid="{17B58EA5-D6A9-424D-8E6D-13B2B7B9C10F}"/>
    <cellStyle name="Normal 2 21 3 4 2" xfId="45473" xr:uid="{F7CDED53-E3EC-48F9-8850-4E130C7D9CC8}"/>
    <cellStyle name="Normal 2 21 3 4 2 2" xfId="45474" xr:uid="{11B33904-B0CF-4112-BCBB-6DAD464FB60B}"/>
    <cellStyle name="Normal 2 21 3 4 2 2 2" xfId="45475" xr:uid="{62A5890C-5846-4481-AF0F-665D19EA5CBA}"/>
    <cellStyle name="Normal 2 21 3 4 2 3" xfId="45476" xr:uid="{A9EEA4B5-0DD7-4B2E-8F33-CAAE1B685494}"/>
    <cellStyle name="Normal 2 21 3 4 3" xfId="45477" xr:uid="{3A8996D6-B83C-4E64-807D-7B9A12BE6C03}"/>
    <cellStyle name="Normal 2 21 3 4 3 2" xfId="45478" xr:uid="{7A67D6CC-C068-405F-882D-A280835F0CF5}"/>
    <cellStyle name="Normal 2 21 3 4 4" xfId="45479" xr:uid="{1627B906-6563-405E-BC9F-E0DE85496D22}"/>
    <cellStyle name="Normal 2 21 3 5" xfId="45480" xr:uid="{172AFE2E-6DE7-44CF-9CB8-9BD2E84D44EB}"/>
    <cellStyle name="Normal 2 21 3 5 2" xfId="45481" xr:uid="{F591098D-B370-4AC0-8BFD-0233D57F70D8}"/>
    <cellStyle name="Normal 2 21 3 5 2 2" xfId="45482" xr:uid="{17105566-C07E-445E-9B3E-862F5D219B96}"/>
    <cellStyle name="Normal 2 21 3 5 3" xfId="45483" xr:uid="{2863FA2C-2B30-4D29-B9CE-69AE168ACFBC}"/>
    <cellStyle name="Normal 2 21 3 6" xfId="45484" xr:uid="{600F7ECC-90C1-4488-8C6B-C4269B74FCA0}"/>
    <cellStyle name="Normal 2 21 3 6 2" xfId="45485" xr:uid="{07ABFB9B-74F5-4BB1-8CBD-EF3C92366898}"/>
    <cellStyle name="Normal 2 21 3 7" xfId="45486" xr:uid="{A0515970-91B8-477D-8B89-DFE4B7212253}"/>
    <cellStyle name="Normal 2 21 3 8" xfId="45423" xr:uid="{F8393B99-94B9-4A71-991B-3DE89AC41418}"/>
    <cellStyle name="Normal 2 21 4" xfId="26130" xr:uid="{47D31343-4EDB-4200-BDA3-3B6DC2EE3D20}"/>
    <cellStyle name="Normal 2 21 4 2" xfId="45488" xr:uid="{7FED6DF2-9417-42C2-8E10-E02391C2C9E6}"/>
    <cellStyle name="Normal 2 21 4 2 2" xfId="45489" xr:uid="{891CEFDE-C64E-480F-90D6-09D2800EA8F0}"/>
    <cellStyle name="Normal 2 21 4 2 2 2" xfId="45490" xr:uid="{EECDAACF-1EB3-4CD3-B744-1C37857B5C29}"/>
    <cellStyle name="Normal 2 21 4 2 2 2 2" xfId="45491" xr:uid="{93685B58-212B-42CE-803D-F9DE73AD645B}"/>
    <cellStyle name="Normal 2 21 4 2 2 2 2 2" xfId="45492" xr:uid="{C255AB7D-1B9B-4B72-A19A-55ED9B925FC2}"/>
    <cellStyle name="Normal 2 21 4 2 2 2 2 2 2" xfId="45493" xr:uid="{3AE79DD5-0462-41C6-BB8E-CD9510E5D604}"/>
    <cellStyle name="Normal 2 21 4 2 2 2 2 3" xfId="45494" xr:uid="{F0CD3A92-98A5-44F8-B220-16B14525374C}"/>
    <cellStyle name="Normal 2 21 4 2 2 2 3" xfId="45495" xr:uid="{94C9B01A-23A5-4082-B8E3-386A3DD6241D}"/>
    <cellStyle name="Normal 2 21 4 2 2 2 3 2" xfId="45496" xr:uid="{C5E72DBC-3369-43E7-BBFC-9A94E8BDA7EE}"/>
    <cellStyle name="Normal 2 21 4 2 2 2 4" xfId="45497" xr:uid="{564BABB3-834E-4B2A-908C-E417F2E68B83}"/>
    <cellStyle name="Normal 2 21 4 2 2 3" xfId="45498" xr:uid="{B5C2200F-2AFF-4E02-B9DC-7C71258D6EFA}"/>
    <cellStyle name="Normal 2 21 4 2 2 3 2" xfId="45499" xr:uid="{97834A1B-F84D-494C-842C-96D2C8F1BA01}"/>
    <cellStyle name="Normal 2 21 4 2 2 3 2 2" xfId="45500" xr:uid="{99757FAF-7B64-41C6-B5A0-65285A7C1CAA}"/>
    <cellStyle name="Normal 2 21 4 2 2 3 3" xfId="45501" xr:uid="{443A6CFA-A730-49F9-828A-DBF7AA46EE4A}"/>
    <cellStyle name="Normal 2 21 4 2 2 4" xfId="45502" xr:uid="{88CD3E53-29DD-48CD-B93F-0A771FBC6675}"/>
    <cellStyle name="Normal 2 21 4 2 2 4 2" xfId="45503" xr:uid="{9A96E695-2093-4588-B9A8-039C8DBE73C3}"/>
    <cellStyle name="Normal 2 21 4 2 2 5" xfId="45504" xr:uid="{18C5A901-BDB6-4C9F-AF4B-FC8D7950930C}"/>
    <cellStyle name="Normal 2 21 4 2 3" xfId="45505" xr:uid="{0B804C16-9022-424E-9479-4B24CAECD4A7}"/>
    <cellStyle name="Normal 2 21 4 2 3 2" xfId="45506" xr:uid="{1BF3D958-9947-4598-B708-744359386F64}"/>
    <cellStyle name="Normal 2 21 4 2 3 2 2" xfId="45507" xr:uid="{8F2EFA15-9D72-4E17-922A-358731EAF9B0}"/>
    <cellStyle name="Normal 2 21 4 2 3 2 2 2" xfId="45508" xr:uid="{46E21D0C-EAC0-4643-A93B-A3F561D9725F}"/>
    <cellStyle name="Normal 2 21 4 2 3 2 3" xfId="45509" xr:uid="{1CF37B47-06C1-4DD5-8F2D-D41CA67DC336}"/>
    <cellStyle name="Normal 2 21 4 2 3 3" xfId="45510" xr:uid="{BBB687C0-9BBD-4794-B3C7-69801D5535BB}"/>
    <cellStyle name="Normal 2 21 4 2 3 3 2" xfId="45511" xr:uid="{26E7E38B-D29A-47AB-BBA8-3911EE9F78AD}"/>
    <cellStyle name="Normal 2 21 4 2 3 4" xfId="45512" xr:uid="{481D1C7E-93BD-4A7C-8726-D8C67A4D9A4C}"/>
    <cellStyle name="Normal 2 21 4 2 4" xfId="45513" xr:uid="{C84F934E-07BE-4743-B1A9-16D6BB0AD2BE}"/>
    <cellStyle name="Normal 2 21 4 2 4 2" xfId="45514" xr:uid="{A95EED60-1448-449F-824E-5F82A7BCF349}"/>
    <cellStyle name="Normal 2 21 4 2 4 2 2" xfId="45515" xr:uid="{29C0EE54-E82C-4224-B4B2-6EC1EC38AF3F}"/>
    <cellStyle name="Normal 2 21 4 2 4 3" xfId="45516" xr:uid="{D14F8343-ADA7-4285-BA90-9C55790FFD92}"/>
    <cellStyle name="Normal 2 21 4 2 5" xfId="45517" xr:uid="{C45A85B6-27C7-4DAB-90C7-F35525029130}"/>
    <cellStyle name="Normal 2 21 4 2 5 2" xfId="45518" xr:uid="{2094CA5E-AF64-45FA-B012-47C7894F9A78}"/>
    <cellStyle name="Normal 2 21 4 2 6" xfId="45519" xr:uid="{509CB722-87EC-4F37-87F4-73E382F1FD1C}"/>
    <cellStyle name="Normal 2 21 4 3" xfId="45520" xr:uid="{3C05ABDE-79F1-4AA4-BE67-F5C7EB0AA568}"/>
    <cellStyle name="Normal 2 21 4 3 2" xfId="45521" xr:uid="{F335A03F-1284-40C6-BDBA-B186FFF62866}"/>
    <cellStyle name="Normal 2 21 4 3 2 2" xfId="45522" xr:uid="{E18ABCED-FEEC-47C7-A4F3-08D6A056AD6B}"/>
    <cellStyle name="Normal 2 21 4 3 2 2 2" xfId="45523" xr:uid="{A7521AA9-269B-4EA6-A1CA-44FE256F192F}"/>
    <cellStyle name="Normal 2 21 4 3 2 2 2 2" xfId="45524" xr:uid="{B541DFAB-310A-4955-9A90-E6197CEEC8A8}"/>
    <cellStyle name="Normal 2 21 4 3 2 2 3" xfId="45525" xr:uid="{DD44D984-2F62-4D82-ADE0-8D7CE35DFA5B}"/>
    <cellStyle name="Normal 2 21 4 3 2 3" xfId="45526" xr:uid="{6947183C-9514-45B3-AD57-D87CEE8672DD}"/>
    <cellStyle name="Normal 2 21 4 3 2 3 2" xfId="45527" xr:uid="{7D0DCD8E-8BE7-48D4-9B76-195B39585C2A}"/>
    <cellStyle name="Normal 2 21 4 3 2 4" xfId="45528" xr:uid="{20455992-25BE-47A0-ACEB-E301F4102FF6}"/>
    <cellStyle name="Normal 2 21 4 3 3" xfId="45529" xr:uid="{397F6F51-AE3B-4DBE-A9C4-712B42DE675E}"/>
    <cellStyle name="Normal 2 21 4 3 3 2" xfId="45530" xr:uid="{5A378F0A-DD81-4E0B-A46D-10C32C62757C}"/>
    <cellStyle name="Normal 2 21 4 3 3 2 2" xfId="45531" xr:uid="{AD12A4F5-44BB-4F11-A6DC-DEC875D929AD}"/>
    <cellStyle name="Normal 2 21 4 3 3 3" xfId="45532" xr:uid="{9DCA19CF-D98B-4589-A252-F32698FEB0B6}"/>
    <cellStyle name="Normal 2 21 4 3 4" xfId="45533" xr:uid="{686F32B0-136A-425F-9CFD-B5FEC1C3683E}"/>
    <cellStyle name="Normal 2 21 4 3 4 2" xfId="45534" xr:uid="{AD18BE5B-EE3F-4C21-9E12-E6B0B27C35CB}"/>
    <cellStyle name="Normal 2 21 4 3 5" xfId="45535" xr:uid="{AD32D5B7-DF72-4272-BC75-94C47CF5F665}"/>
    <cellStyle name="Normal 2 21 4 4" xfId="45536" xr:uid="{5DADB644-7576-4931-8120-6324D2212A40}"/>
    <cellStyle name="Normal 2 21 4 4 2" xfId="45537" xr:uid="{3EC2CE25-671F-4721-B447-D4AE4452CD54}"/>
    <cellStyle name="Normal 2 21 4 4 2 2" xfId="45538" xr:uid="{DEF90624-A7D5-492E-B18C-ECF8393F7830}"/>
    <cellStyle name="Normal 2 21 4 4 2 2 2" xfId="45539" xr:uid="{F6661CA2-1773-411A-A39D-7F6008CF20E0}"/>
    <cellStyle name="Normal 2 21 4 4 2 3" xfId="45540" xr:uid="{92E375B0-D820-422E-99AD-56937EF705C1}"/>
    <cellStyle name="Normal 2 21 4 4 3" xfId="45541" xr:uid="{9F7DD900-FAF5-45D5-9C5A-0DDF607DA5C4}"/>
    <cellStyle name="Normal 2 21 4 4 3 2" xfId="45542" xr:uid="{EDF6A0CE-D1E4-44AC-8BBE-2C153952A840}"/>
    <cellStyle name="Normal 2 21 4 4 4" xfId="45543" xr:uid="{D199A80A-5891-4B02-BCDB-58AD347845B0}"/>
    <cellStyle name="Normal 2 21 4 5" xfId="45544" xr:uid="{53FC4039-0D22-4B8E-AE4C-070302DB1B7E}"/>
    <cellStyle name="Normal 2 21 4 5 2" xfId="45545" xr:uid="{51D30365-B7FB-468F-97C5-268E085AA857}"/>
    <cellStyle name="Normal 2 21 4 5 2 2" xfId="45546" xr:uid="{4553518E-6551-4C0B-83F7-CE101F42B6D8}"/>
    <cellStyle name="Normal 2 21 4 5 3" xfId="45547" xr:uid="{612F5052-9843-41AC-A069-1B37835FA031}"/>
    <cellStyle name="Normal 2 21 4 6" xfId="45548" xr:uid="{63FF519F-A9E3-4DE4-BBD3-55BA5BE966C6}"/>
    <cellStyle name="Normal 2 21 4 6 2" xfId="45549" xr:uid="{3DB4870A-400F-404C-965C-820CC1EB668F}"/>
    <cellStyle name="Normal 2 21 4 7" xfId="45550" xr:uid="{8C84B7BD-A9E0-496E-B0DD-36DF2D05CF88}"/>
    <cellStyle name="Normal 2 21 4 8" xfId="45487" xr:uid="{F949E979-13B6-40B8-B537-9A4559AA4239}"/>
    <cellStyle name="Normal 2 21 5" xfId="26131" xr:uid="{ADF45DDF-FF92-4D15-994F-354689251A0E}"/>
    <cellStyle name="Normal 2 21 5 2" xfId="45552" xr:uid="{AA99F931-CC10-488D-87F1-F2C23B1EC7DF}"/>
    <cellStyle name="Normal 2 21 5 2 2" xfId="45553" xr:uid="{845CDE57-32D1-4118-B294-617FF1959EE6}"/>
    <cellStyle name="Normal 2 21 5 2 2 2" xfId="45554" xr:uid="{5376AF60-906A-4C87-B94F-0DEED8AE373F}"/>
    <cellStyle name="Normal 2 21 5 2 2 2 2" xfId="45555" xr:uid="{233C231C-5949-4DBF-B707-197133F1F166}"/>
    <cellStyle name="Normal 2 21 5 2 2 2 2 2" xfId="45556" xr:uid="{16A94618-CA15-43D9-810A-4683EE207F7E}"/>
    <cellStyle name="Normal 2 21 5 2 2 2 2 2 2" xfId="45557" xr:uid="{BDA1E1D0-A00D-4F41-955B-EC6DB0AC4713}"/>
    <cellStyle name="Normal 2 21 5 2 2 2 2 3" xfId="45558" xr:uid="{7CD2B613-917E-43B2-9F8F-9170B3618147}"/>
    <cellStyle name="Normal 2 21 5 2 2 2 3" xfId="45559" xr:uid="{94B263CC-9796-464D-8E23-93BFF8623910}"/>
    <cellStyle name="Normal 2 21 5 2 2 2 3 2" xfId="45560" xr:uid="{71732080-7376-455E-B576-CEF1AE25B1A3}"/>
    <cellStyle name="Normal 2 21 5 2 2 2 4" xfId="45561" xr:uid="{2818B645-FBB4-4464-B916-D277581E136F}"/>
    <cellStyle name="Normal 2 21 5 2 2 3" xfId="45562" xr:uid="{65A5B134-32CA-4B53-ADCB-27199399E279}"/>
    <cellStyle name="Normal 2 21 5 2 2 3 2" xfId="45563" xr:uid="{4D2C25E1-B4F0-4686-A5F1-847FB34E1AD3}"/>
    <cellStyle name="Normal 2 21 5 2 2 3 2 2" xfId="45564" xr:uid="{04E58AAB-23BB-49C1-AEAB-F8A4255F5DA4}"/>
    <cellStyle name="Normal 2 21 5 2 2 3 3" xfId="45565" xr:uid="{10E9A396-79A7-4384-86C6-77DEAAF0E244}"/>
    <cellStyle name="Normal 2 21 5 2 2 4" xfId="45566" xr:uid="{5B857445-C8D1-45BE-A36B-F38D01FF77D2}"/>
    <cellStyle name="Normal 2 21 5 2 2 4 2" xfId="45567" xr:uid="{170E54CD-001D-4EBC-8299-E99536A14CA5}"/>
    <cellStyle name="Normal 2 21 5 2 2 5" xfId="45568" xr:uid="{6F6837A0-B13F-4CE3-BA52-F4D639266B87}"/>
    <cellStyle name="Normal 2 21 5 2 3" xfId="45569" xr:uid="{684360AE-0577-4AB7-828A-BC95A2C41C06}"/>
    <cellStyle name="Normal 2 21 5 2 3 2" xfId="45570" xr:uid="{DE63070D-D96E-45FE-A87A-D83CBA6AF727}"/>
    <cellStyle name="Normal 2 21 5 2 3 2 2" xfId="45571" xr:uid="{E7861DA2-CAF3-48FA-8B68-6B18CC83D8C4}"/>
    <cellStyle name="Normal 2 21 5 2 3 2 2 2" xfId="45572" xr:uid="{C2A61420-F7DD-40E8-A656-5603C9DDB94F}"/>
    <cellStyle name="Normal 2 21 5 2 3 2 3" xfId="45573" xr:uid="{08507587-7914-4AD2-93D2-8F8DEB5136C3}"/>
    <cellStyle name="Normal 2 21 5 2 3 3" xfId="45574" xr:uid="{8BA7BC74-A225-42A4-9FE9-B8D9A9CF05D9}"/>
    <cellStyle name="Normal 2 21 5 2 3 3 2" xfId="45575" xr:uid="{B1AF2713-496D-41E4-A6A8-75B9B8188F97}"/>
    <cellStyle name="Normal 2 21 5 2 3 4" xfId="45576" xr:uid="{93EDD74C-6D90-4A90-9628-244A06A72D03}"/>
    <cellStyle name="Normal 2 21 5 2 4" xfId="45577" xr:uid="{45809438-B761-44E0-995E-9104300824DD}"/>
    <cellStyle name="Normal 2 21 5 2 4 2" xfId="45578" xr:uid="{05D67370-65CA-49B3-909D-5D618911CCBC}"/>
    <cellStyle name="Normal 2 21 5 2 4 2 2" xfId="45579" xr:uid="{4B8431B1-600A-4B6C-B3AB-21E898B02C92}"/>
    <cellStyle name="Normal 2 21 5 2 4 3" xfId="45580" xr:uid="{751D82D5-4CC2-4B37-9289-60DCB00C9905}"/>
    <cellStyle name="Normal 2 21 5 2 5" xfId="45581" xr:uid="{276C370B-6CD0-46B1-A757-19BE1358A581}"/>
    <cellStyle name="Normal 2 21 5 2 5 2" xfId="45582" xr:uid="{B07549DA-8AAB-4EFD-881C-5124386CDF9B}"/>
    <cellStyle name="Normal 2 21 5 2 6" xfId="45583" xr:uid="{E87F3DD7-35C2-43F8-A156-79CE7C5CEE41}"/>
    <cellStyle name="Normal 2 21 5 3" xfId="45584" xr:uid="{D3BBB8BD-247A-4127-8B2D-D5C756CD9318}"/>
    <cellStyle name="Normal 2 21 5 3 2" xfId="45585" xr:uid="{8D9D4ED1-92BA-4A8A-A302-BC9CC4C2D582}"/>
    <cellStyle name="Normal 2 21 5 3 2 2" xfId="45586" xr:uid="{DF8D6647-F142-4696-9FA8-2E98C4EAC76B}"/>
    <cellStyle name="Normal 2 21 5 3 2 2 2" xfId="45587" xr:uid="{21FF18DC-A258-4FA5-B5DF-749B0EC99D5E}"/>
    <cellStyle name="Normal 2 21 5 3 2 2 2 2" xfId="45588" xr:uid="{7E5D7148-3A89-435C-A0B5-C595D0BAA06A}"/>
    <cellStyle name="Normal 2 21 5 3 2 2 3" xfId="45589" xr:uid="{C7EEB55E-E500-4AD7-B9A5-D6831DD764EB}"/>
    <cellStyle name="Normal 2 21 5 3 2 3" xfId="45590" xr:uid="{11BB78E6-BCC3-4D93-AF05-02EBEB47844B}"/>
    <cellStyle name="Normal 2 21 5 3 2 3 2" xfId="45591" xr:uid="{3D76CFC9-7DA8-4A05-961B-65ABCD137364}"/>
    <cellStyle name="Normal 2 21 5 3 2 4" xfId="45592" xr:uid="{B0100631-A366-474C-A3AC-2C5D2CB082C9}"/>
    <cellStyle name="Normal 2 21 5 3 3" xfId="45593" xr:uid="{B2A5A05F-E189-4FA4-9E56-9DE32AE6D188}"/>
    <cellStyle name="Normal 2 21 5 3 3 2" xfId="45594" xr:uid="{D16A452D-DC6B-4156-B209-9FB4B61DE5D0}"/>
    <cellStyle name="Normal 2 21 5 3 3 2 2" xfId="45595" xr:uid="{79871A37-46B8-46BD-88E6-1381941411A7}"/>
    <cellStyle name="Normal 2 21 5 3 3 3" xfId="45596" xr:uid="{90873DAF-4629-4FC0-AA4A-D09B78C9B4FB}"/>
    <cellStyle name="Normal 2 21 5 3 4" xfId="45597" xr:uid="{DB48EC25-DCC0-4B11-BB54-A96F1BBE459E}"/>
    <cellStyle name="Normal 2 21 5 3 4 2" xfId="45598" xr:uid="{2E9767CD-2AC5-4C30-862D-731A43AEE5DC}"/>
    <cellStyle name="Normal 2 21 5 3 5" xfId="45599" xr:uid="{3899EA17-7411-4CA4-BD09-51AFDA9A2B42}"/>
    <cellStyle name="Normal 2 21 5 4" xfId="45600" xr:uid="{452DB745-D160-4742-B81D-EF31DCA19DB4}"/>
    <cellStyle name="Normal 2 21 5 4 2" xfId="45601" xr:uid="{1FC44800-1548-43BD-81E0-FF49892C66C1}"/>
    <cellStyle name="Normal 2 21 5 4 2 2" xfId="45602" xr:uid="{0495643C-D513-4D9A-AF1C-2A1A49C40B48}"/>
    <cellStyle name="Normal 2 21 5 4 2 2 2" xfId="45603" xr:uid="{693EBFA2-DDEF-4A8A-B3E2-739EF739C350}"/>
    <cellStyle name="Normal 2 21 5 4 2 3" xfId="45604" xr:uid="{D12F148D-AE8E-4334-8596-12CB5979FB12}"/>
    <cellStyle name="Normal 2 21 5 4 3" xfId="45605" xr:uid="{DAA6287C-699F-49C0-B65D-36F0D04FA438}"/>
    <cellStyle name="Normal 2 21 5 4 3 2" xfId="45606" xr:uid="{F6EDB386-A967-44A8-926F-399D32752A5C}"/>
    <cellStyle name="Normal 2 21 5 4 4" xfId="45607" xr:uid="{9E8EDDF0-5055-46F9-B54D-B76C6D5E096E}"/>
    <cellStyle name="Normal 2 21 5 5" xfId="45608" xr:uid="{30E44D9C-7AF8-4F90-9AF5-78D878F75F50}"/>
    <cellStyle name="Normal 2 21 5 5 2" xfId="45609" xr:uid="{A8BEEC78-3423-4510-BCEB-8E1AD74B93BA}"/>
    <cellStyle name="Normal 2 21 5 5 2 2" xfId="45610" xr:uid="{222C6664-6FD7-451A-B9ED-A023A03C0F4A}"/>
    <cellStyle name="Normal 2 21 5 5 3" xfId="45611" xr:uid="{7F301744-2C4E-4A2F-917D-1539A705B326}"/>
    <cellStyle name="Normal 2 21 5 6" xfId="45612" xr:uid="{E3ABEAE8-A92E-4508-9717-423349F52E69}"/>
    <cellStyle name="Normal 2 21 5 6 2" xfId="45613" xr:uid="{9E1FC3FE-DE66-46AA-96F2-D42B1D9A1600}"/>
    <cellStyle name="Normal 2 21 5 7" xfId="45614" xr:uid="{BF56789E-C5B6-46CC-91D3-E59E13D3443E}"/>
    <cellStyle name="Normal 2 21 5 8" xfId="45551" xr:uid="{ED918060-EB08-41B6-8667-86D7D81A1C3D}"/>
    <cellStyle name="Normal 2 21 6" xfId="26132" xr:uid="{91F81DCB-58CA-4EA1-A528-7AEAAEC9164A}"/>
    <cellStyle name="Normal 2 21 6 2" xfId="45616" xr:uid="{DC7F89C5-51F5-4484-B083-97BF1B6F2FCC}"/>
    <cellStyle name="Normal 2 21 6 2 2" xfId="45617" xr:uid="{1CB2C2FB-7C1E-4811-9238-593FE2851102}"/>
    <cellStyle name="Normal 2 21 6 2 2 2" xfId="45618" xr:uid="{5C98668F-2124-496E-82BF-1827332FD78B}"/>
    <cellStyle name="Normal 2 21 6 2 2 2 2" xfId="45619" xr:uid="{FF72756C-74AA-4CD0-85F0-A6FB0DEC7A98}"/>
    <cellStyle name="Normal 2 21 6 2 2 2 2 2" xfId="45620" xr:uid="{3B87A7D3-E5B6-426A-A702-C22D9C10787C}"/>
    <cellStyle name="Normal 2 21 6 2 2 2 2 2 2" xfId="45621" xr:uid="{E506BA1B-CEFB-4B6A-AE75-8F7CE82442B2}"/>
    <cellStyle name="Normal 2 21 6 2 2 2 2 3" xfId="45622" xr:uid="{962729CB-22FB-4D87-A1FE-DC515B314638}"/>
    <cellStyle name="Normal 2 21 6 2 2 2 3" xfId="45623" xr:uid="{CF930BC9-6528-4D23-AE04-A4678BB3554F}"/>
    <cellStyle name="Normal 2 21 6 2 2 2 3 2" xfId="45624" xr:uid="{2A829BB2-643F-43A9-AE77-DD8EB4FB5A76}"/>
    <cellStyle name="Normal 2 21 6 2 2 2 4" xfId="45625" xr:uid="{884FA913-21A5-4C09-ABD8-47D50EFACA45}"/>
    <cellStyle name="Normal 2 21 6 2 2 3" xfId="45626" xr:uid="{50FC18C6-BEDA-4B5B-BBF4-7E727A55CEC2}"/>
    <cellStyle name="Normal 2 21 6 2 2 3 2" xfId="45627" xr:uid="{314C6340-E468-4411-8B45-5142C8B17ED5}"/>
    <cellStyle name="Normal 2 21 6 2 2 3 2 2" xfId="45628" xr:uid="{0528DC74-0DAC-4C8D-A887-4291799E243A}"/>
    <cellStyle name="Normal 2 21 6 2 2 3 3" xfId="45629" xr:uid="{C5F64511-EC58-4262-9DE1-879DB39A9F5C}"/>
    <cellStyle name="Normal 2 21 6 2 2 4" xfId="45630" xr:uid="{9ACF7034-8443-4C92-B9CC-051B76FE30D0}"/>
    <cellStyle name="Normal 2 21 6 2 2 4 2" xfId="45631" xr:uid="{AA32741B-15A2-471E-8931-57E44BC2978E}"/>
    <cellStyle name="Normal 2 21 6 2 2 5" xfId="45632" xr:uid="{B2090DFC-A5E8-4A8D-BA57-CC9ACD9691A9}"/>
    <cellStyle name="Normal 2 21 6 2 3" xfId="45633" xr:uid="{2B1EDE04-32D3-4138-B540-15703F492BEC}"/>
    <cellStyle name="Normal 2 21 6 2 3 2" xfId="45634" xr:uid="{1253AD48-18E6-421F-BE20-14414BB9B60B}"/>
    <cellStyle name="Normal 2 21 6 2 3 2 2" xfId="45635" xr:uid="{427E2729-E344-454A-B1A1-8571E9F91F2F}"/>
    <cellStyle name="Normal 2 21 6 2 3 2 2 2" xfId="45636" xr:uid="{89F3D695-575C-455E-A10F-3EC42831DC44}"/>
    <cellStyle name="Normal 2 21 6 2 3 2 3" xfId="45637" xr:uid="{16EB7FB9-63AF-4784-B511-8B820A2D756D}"/>
    <cellStyle name="Normal 2 21 6 2 3 3" xfId="45638" xr:uid="{CABA46A4-880D-4470-8E37-1E1071BCC368}"/>
    <cellStyle name="Normal 2 21 6 2 3 3 2" xfId="45639" xr:uid="{65B79803-3D47-44AF-8892-E30C4DC004D9}"/>
    <cellStyle name="Normal 2 21 6 2 3 4" xfId="45640" xr:uid="{2174A580-4D45-45B7-AA08-321A7961FDED}"/>
    <cellStyle name="Normal 2 21 6 2 4" xfId="45641" xr:uid="{6C773C74-59E3-46F2-AE2B-A2AA25258C32}"/>
    <cellStyle name="Normal 2 21 6 2 4 2" xfId="45642" xr:uid="{703B28D7-EB2F-4584-AB05-A3BD30D074F0}"/>
    <cellStyle name="Normal 2 21 6 2 4 2 2" xfId="45643" xr:uid="{99519EAF-6DB3-4741-B8A5-0C41895ECE76}"/>
    <cellStyle name="Normal 2 21 6 2 4 3" xfId="45644" xr:uid="{C04EBFCF-B8D2-4C30-BF0C-8A2565354FBD}"/>
    <cellStyle name="Normal 2 21 6 2 5" xfId="45645" xr:uid="{DCFA2181-F6BA-4AB8-98C3-86B95667C15A}"/>
    <cellStyle name="Normal 2 21 6 2 5 2" xfId="45646" xr:uid="{0443EFAD-D916-4422-A2BF-0604C0EDE205}"/>
    <cellStyle name="Normal 2 21 6 2 6" xfId="45647" xr:uid="{C895EC58-499D-4145-91F8-B2B5D7FA5E9D}"/>
    <cellStyle name="Normal 2 21 6 3" xfId="45648" xr:uid="{0D827D3D-9A46-442D-8545-72EA93EB7804}"/>
    <cellStyle name="Normal 2 21 6 3 2" xfId="45649" xr:uid="{6CF96768-5C72-400D-9B0B-8CA7F196AF30}"/>
    <cellStyle name="Normal 2 21 6 3 2 2" xfId="45650" xr:uid="{739FC522-6295-42A5-82ED-03E1E3F08EB6}"/>
    <cellStyle name="Normal 2 21 6 3 2 2 2" xfId="45651" xr:uid="{8D232A61-7828-40D6-A4BA-FBFDB4D89429}"/>
    <cellStyle name="Normal 2 21 6 3 2 2 2 2" xfId="45652" xr:uid="{35CBDB62-A3EB-49C8-AB42-490023E89CDA}"/>
    <cellStyle name="Normal 2 21 6 3 2 2 3" xfId="45653" xr:uid="{DB4A0D9F-0A53-43E9-A11A-4B829A111927}"/>
    <cellStyle name="Normal 2 21 6 3 2 3" xfId="45654" xr:uid="{010DD1F0-DEC6-413C-ADF2-992573FA7906}"/>
    <cellStyle name="Normal 2 21 6 3 2 3 2" xfId="45655" xr:uid="{A6A182B0-38F0-4182-8739-F872AD621CCB}"/>
    <cellStyle name="Normal 2 21 6 3 2 4" xfId="45656" xr:uid="{E8E56356-372C-497A-81E6-EF63F02070D0}"/>
    <cellStyle name="Normal 2 21 6 3 3" xfId="45657" xr:uid="{4F67002B-1C34-4ADE-8B88-CD4CEA274328}"/>
    <cellStyle name="Normal 2 21 6 3 3 2" xfId="45658" xr:uid="{ED1E67EA-1DD3-45DA-B179-BE851ECA1B4E}"/>
    <cellStyle name="Normal 2 21 6 3 3 2 2" xfId="45659" xr:uid="{3833F46F-6240-4512-9A5A-AC930E77F28A}"/>
    <cellStyle name="Normal 2 21 6 3 3 3" xfId="45660" xr:uid="{938061B6-5975-4096-93A6-BAF6B9C95ADC}"/>
    <cellStyle name="Normal 2 21 6 3 4" xfId="45661" xr:uid="{FC601CD2-6304-4FDB-8AE1-5EF1B8E30426}"/>
    <cellStyle name="Normal 2 21 6 3 4 2" xfId="45662" xr:uid="{7B36C7A7-0022-49F9-A543-9B6046D5FA32}"/>
    <cellStyle name="Normal 2 21 6 3 5" xfId="45663" xr:uid="{32F18E2B-CEF5-4534-9C4C-E78F2A70214D}"/>
    <cellStyle name="Normal 2 21 6 4" xfId="45664" xr:uid="{F7E9831B-474F-4BFC-AD11-F8DBFF91C042}"/>
    <cellStyle name="Normal 2 21 6 4 2" xfId="45665" xr:uid="{C5F26DF5-8665-48FA-92C4-A5C8764FB9DB}"/>
    <cellStyle name="Normal 2 21 6 4 2 2" xfId="45666" xr:uid="{A9528723-24FE-4048-85BC-863E66857088}"/>
    <cellStyle name="Normal 2 21 6 4 2 2 2" xfId="45667" xr:uid="{E0C5A5A9-A9C7-46BF-A52D-DE3A79D6503A}"/>
    <cellStyle name="Normal 2 21 6 4 2 3" xfId="45668" xr:uid="{92295102-B0BA-43B5-B6CD-C72C77C3518E}"/>
    <cellStyle name="Normal 2 21 6 4 3" xfId="45669" xr:uid="{67DD668A-F925-4EF3-A6C3-7DB2AD8F7898}"/>
    <cellStyle name="Normal 2 21 6 4 3 2" xfId="45670" xr:uid="{CFB28F52-819E-449C-B973-3CDB0779C97F}"/>
    <cellStyle name="Normal 2 21 6 4 4" xfId="45671" xr:uid="{D46574F5-088E-4A28-A0C9-22FA82CC1C8D}"/>
    <cellStyle name="Normal 2 21 6 5" xfId="45672" xr:uid="{7D2CBADC-4BDB-4EF9-8095-6D8DBD893D81}"/>
    <cellStyle name="Normal 2 21 6 5 2" xfId="45673" xr:uid="{8D620339-196E-41FB-873B-17534B982298}"/>
    <cellStyle name="Normal 2 21 6 5 2 2" xfId="45674" xr:uid="{FAC08A8E-E30E-4EAC-9F5F-8205C2556C31}"/>
    <cellStyle name="Normal 2 21 6 5 3" xfId="45675" xr:uid="{9B36CBE8-1419-45EB-9984-CB204321C11B}"/>
    <cellStyle name="Normal 2 21 6 6" xfId="45676" xr:uid="{E6AA7D17-C419-4333-9D89-39B4206D0F74}"/>
    <cellStyle name="Normal 2 21 6 6 2" xfId="45677" xr:uid="{CF50522D-5C06-495B-940F-592388530F87}"/>
    <cellStyle name="Normal 2 21 6 7" xfId="45678" xr:uid="{898A3BE7-447C-4D90-804E-1E5A225F92E1}"/>
    <cellStyle name="Normal 2 21 6 8" xfId="45615" xr:uid="{D551A43E-B754-4B0B-800E-001095E4FA03}"/>
    <cellStyle name="Normal 2 21 7" xfId="45679" xr:uid="{A1F680C9-5FD2-475A-8C18-65D5A430B54D}"/>
    <cellStyle name="Normal 2 21 7 2" xfId="45680" xr:uid="{2A638090-9DA7-43DA-811A-ECBF40D37CD7}"/>
    <cellStyle name="Normal 2 21 7 2 2" xfId="45681" xr:uid="{9F3F92EC-6677-4FB6-9D95-9C7E6B5B4247}"/>
    <cellStyle name="Normal 2 21 7 2 2 2" xfId="45682" xr:uid="{7B15CD84-02BC-473D-BF04-2C07C4F469DB}"/>
    <cellStyle name="Normal 2 21 7 2 2 2 2" xfId="45683" xr:uid="{A12D44B1-9D16-4F55-96DD-41F61D53EAA2}"/>
    <cellStyle name="Normal 2 21 7 2 2 2 2 2" xfId="45684" xr:uid="{6DC57BB4-F623-479F-93D9-0AFD51137F62}"/>
    <cellStyle name="Normal 2 21 7 2 2 2 2 2 2" xfId="45685" xr:uid="{49D691E7-C3D5-4B9E-BB0C-7FF863AA956B}"/>
    <cellStyle name="Normal 2 21 7 2 2 2 2 3" xfId="45686" xr:uid="{82110002-E082-48EC-851A-17C563826E09}"/>
    <cellStyle name="Normal 2 21 7 2 2 2 3" xfId="45687" xr:uid="{B83FE949-C226-4666-9155-CD698410A7A4}"/>
    <cellStyle name="Normal 2 21 7 2 2 2 3 2" xfId="45688" xr:uid="{829D2EED-B952-476F-B42E-D7035F0FDDCD}"/>
    <cellStyle name="Normal 2 21 7 2 2 2 4" xfId="45689" xr:uid="{F5567622-A502-4FEF-87F2-FF71C23D72A1}"/>
    <cellStyle name="Normal 2 21 7 2 2 3" xfId="45690" xr:uid="{3CD48D95-129F-476E-AC90-F287F321D9E7}"/>
    <cellStyle name="Normal 2 21 7 2 2 3 2" xfId="45691" xr:uid="{F6A8716C-C968-4C1A-A55A-961911E0E976}"/>
    <cellStyle name="Normal 2 21 7 2 2 3 2 2" xfId="45692" xr:uid="{D83E6E6A-99E8-4FC8-871A-77002179FCD3}"/>
    <cellStyle name="Normal 2 21 7 2 2 3 3" xfId="45693" xr:uid="{A2E66686-26B1-4975-8BD2-16889D623E05}"/>
    <cellStyle name="Normal 2 21 7 2 2 4" xfId="45694" xr:uid="{DA6807F8-0659-4EB5-BFF7-F71485CF21C0}"/>
    <cellStyle name="Normal 2 21 7 2 2 4 2" xfId="45695" xr:uid="{CA968F6F-8D71-4AC8-A92C-F44167B8EC2B}"/>
    <cellStyle name="Normal 2 21 7 2 2 5" xfId="45696" xr:uid="{7C5D6F31-BB3B-4120-8EDF-8F013EA0AC1C}"/>
    <cellStyle name="Normal 2 21 7 2 3" xfId="45697" xr:uid="{3B69338D-01D0-4776-B28B-D130F659BA60}"/>
    <cellStyle name="Normal 2 21 7 2 3 2" xfId="45698" xr:uid="{DCA3325C-FF8C-4DD8-A59B-167543BB0B6C}"/>
    <cellStyle name="Normal 2 21 7 2 3 2 2" xfId="45699" xr:uid="{A3633A55-4FB1-44B4-974D-DE11C201FF7F}"/>
    <cellStyle name="Normal 2 21 7 2 3 2 2 2" xfId="45700" xr:uid="{E4315328-C944-4E01-A2C5-1C5A46674F94}"/>
    <cellStyle name="Normal 2 21 7 2 3 2 3" xfId="45701" xr:uid="{5038DE5D-E8C7-4515-89D5-6F683D7B2FD0}"/>
    <cellStyle name="Normal 2 21 7 2 3 3" xfId="45702" xr:uid="{43A1FA5F-73FC-471D-A657-9964755B656F}"/>
    <cellStyle name="Normal 2 21 7 2 3 3 2" xfId="45703" xr:uid="{B192FA1D-27D1-4DC6-8AE3-28B5D5B466F4}"/>
    <cellStyle name="Normal 2 21 7 2 3 4" xfId="45704" xr:uid="{F797F94B-79B6-457A-96D3-FB6B60A26EED}"/>
    <cellStyle name="Normal 2 21 7 2 4" xfId="45705" xr:uid="{1D959834-BD10-4FF3-AD1F-67D3DBBB9323}"/>
    <cellStyle name="Normal 2 21 7 2 4 2" xfId="45706" xr:uid="{D4866EEA-83F9-4078-AF24-FA214B00C471}"/>
    <cellStyle name="Normal 2 21 7 2 4 2 2" xfId="45707" xr:uid="{7BEB39DE-F315-4BFB-9B38-2E11ABF4D7DC}"/>
    <cellStyle name="Normal 2 21 7 2 4 3" xfId="45708" xr:uid="{89A284CA-91D0-46E9-950E-4277CA848194}"/>
    <cellStyle name="Normal 2 21 7 2 5" xfId="45709" xr:uid="{19EE8330-B2E0-4B22-8960-74893A70D11D}"/>
    <cellStyle name="Normal 2 21 7 2 5 2" xfId="45710" xr:uid="{AF3954FA-DF28-463B-A1A6-A13077FF18B8}"/>
    <cellStyle name="Normal 2 21 7 2 6" xfId="45711" xr:uid="{D82BC283-FC0E-4E23-A970-2C2DD6C374FB}"/>
    <cellStyle name="Normal 2 21 7 3" xfId="45712" xr:uid="{C06DCEAE-7226-4977-910E-41F0F8EE59B7}"/>
    <cellStyle name="Normal 2 21 7 3 2" xfId="45713" xr:uid="{B5DC3918-2531-40D8-AE02-C815B0817601}"/>
    <cellStyle name="Normal 2 21 7 3 2 2" xfId="45714" xr:uid="{EDD64127-55FD-4200-9867-EE5274AC3A3A}"/>
    <cellStyle name="Normal 2 21 7 3 2 2 2" xfId="45715" xr:uid="{23AB511D-9686-4375-B320-6803C30007BD}"/>
    <cellStyle name="Normal 2 21 7 3 2 2 2 2" xfId="45716" xr:uid="{0414BC50-10FC-4971-B08B-C0E6D6885FB0}"/>
    <cellStyle name="Normal 2 21 7 3 2 2 3" xfId="45717" xr:uid="{611CDDB3-522D-4AD1-BA1C-7C8D785AA77D}"/>
    <cellStyle name="Normal 2 21 7 3 2 3" xfId="45718" xr:uid="{CFA07D83-6420-49DC-92AB-1A7153F3025E}"/>
    <cellStyle name="Normal 2 21 7 3 2 3 2" xfId="45719" xr:uid="{E30B8E1A-2DFD-4818-BA9F-E3713FFA9C02}"/>
    <cellStyle name="Normal 2 21 7 3 2 4" xfId="45720" xr:uid="{44FE7FD0-8403-4D06-9800-392998185F95}"/>
    <cellStyle name="Normal 2 21 7 3 3" xfId="45721" xr:uid="{B9FB015D-5E24-492A-8AE0-35DBE55F5E95}"/>
    <cellStyle name="Normal 2 21 7 3 3 2" xfId="45722" xr:uid="{2859F414-787D-4036-9D79-89D5DEF8EB40}"/>
    <cellStyle name="Normal 2 21 7 3 3 2 2" xfId="45723" xr:uid="{F890A239-9658-45A6-92A9-1E81B13E8B2F}"/>
    <cellStyle name="Normal 2 21 7 3 3 3" xfId="45724" xr:uid="{2B5BFEAB-4F6A-4058-9083-986469597EDE}"/>
    <cellStyle name="Normal 2 21 7 3 4" xfId="45725" xr:uid="{14A63B0D-FD48-4EF4-B742-4A79F49E9404}"/>
    <cellStyle name="Normal 2 21 7 3 4 2" xfId="45726" xr:uid="{7A51C4AC-0CFC-45F1-9C26-FA031F4C953B}"/>
    <cellStyle name="Normal 2 21 7 3 5" xfId="45727" xr:uid="{58FAEEA7-6005-4D2F-B30A-D18D0AEC657C}"/>
    <cellStyle name="Normal 2 21 7 4" xfId="45728" xr:uid="{AEF160F9-12EB-4511-B8EC-B1E4F14B39D2}"/>
    <cellStyle name="Normal 2 21 7 4 2" xfId="45729" xr:uid="{897C3CC1-1071-4894-9ED4-93848D76E260}"/>
    <cellStyle name="Normal 2 21 7 4 2 2" xfId="45730" xr:uid="{9A4CA267-FB84-41C0-B8F6-F6C485021ECD}"/>
    <cellStyle name="Normal 2 21 7 4 2 2 2" xfId="45731" xr:uid="{2E4DE172-698E-4345-964C-1BEB992B82D4}"/>
    <cellStyle name="Normal 2 21 7 4 2 3" xfId="45732" xr:uid="{68A2974D-20E6-4B97-A6A6-55E36D3AC98E}"/>
    <cellStyle name="Normal 2 21 7 4 3" xfId="45733" xr:uid="{F31F70E4-4314-41CF-AA5E-801E992D5EAD}"/>
    <cellStyle name="Normal 2 21 7 4 3 2" xfId="45734" xr:uid="{DF9401F2-8F16-4A96-897D-0D4AD289B205}"/>
    <cellStyle name="Normal 2 21 7 4 4" xfId="45735" xr:uid="{D071EE2F-406C-4B5F-B47D-7729EE413AED}"/>
    <cellStyle name="Normal 2 21 7 5" xfId="45736" xr:uid="{C0385EAA-1052-4138-9D2C-60C41BE6054F}"/>
    <cellStyle name="Normal 2 21 7 5 2" xfId="45737" xr:uid="{DB94BE78-9DE8-4EEF-A7D7-549C6D936FB0}"/>
    <cellStyle name="Normal 2 21 7 5 2 2" xfId="45738" xr:uid="{B276A32D-4434-46F4-A09C-3188FCBF339A}"/>
    <cellStyle name="Normal 2 21 7 5 3" xfId="45739" xr:uid="{A343FB7D-521D-4E3C-82AF-9C59C6F98046}"/>
    <cellStyle name="Normal 2 21 7 6" xfId="45740" xr:uid="{98B9661F-8FCB-449D-AA72-A3344C8F2997}"/>
    <cellStyle name="Normal 2 21 7 6 2" xfId="45741" xr:uid="{D7561FFF-05D1-4AF2-9958-4E5AFCAF564F}"/>
    <cellStyle name="Normal 2 21 7 7" xfId="45742" xr:uid="{F07187A0-7E89-4A15-8E05-F8457765835A}"/>
    <cellStyle name="Normal 2 21 8" xfId="45743" xr:uid="{D41579E9-5FB9-4E57-B0B2-CB820295BA28}"/>
    <cellStyle name="Normal 2 21 8 2" xfId="45744" xr:uid="{3F18241D-5B3F-43CF-91D0-313FDB656117}"/>
    <cellStyle name="Normal 2 21 8 2 2" xfId="45745" xr:uid="{0BBAA78B-1974-4776-A242-70F6963689AF}"/>
    <cellStyle name="Normal 2 21 8 2 2 2" xfId="45746" xr:uid="{4E3B115A-7870-4656-8C68-E57045681000}"/>
    <cellStyle name="Normal 2 21 8 2 2 2 2" xfId="45747" xr:uid="{F7E666AA-E4E2-477F-B5F2-0ED2D8CD2CF5}"/>
    <cellStyle name="Normal 2 21 8 2 2 2 2 2" xfId="45748" xr:uid="{70B9F2A0-FB2E-4F90-B49C-AA116D99308B}"/>
    <cellStyle name="Normal 2 21 8 2 2 2 2 2 2" xfId="45749" xr:uid="{A7E69CD2-2BF1-42C3-B1A3-FFB3EB0CB2D2}"/>
    <cellStyle name="Normal 2 21 8 2 2 2 2 3" xfId="45750" xr:uid="{9BAC7C11-5954-4184-90DC-8DD736730173}"/>
    <cellStyle name="Normal 2 21 8 2 2 2 3" xfId="45751" xr:uid="{0A3DA3F8-717B-4964-B094-C3BFC3D3CB95}"/>
    <cellStyle name="Normal 2 21 8 2 2 2 3 2" xfId="45752" xr:uid="{8570DF6E-69FF-4E68-BB3D-9C965BA9370F}"/>
    <cellStyle name="Normal 2 21 8 2 2 2 4" xfId="45753" xr:uid="{A4A693DB-640D-4CCB-A29F-8AC78C613DCB}"/>
    <cellStyle name="Normal 2 21 8 2 2 3" xfId="45754" xr:uid="{127BC9DF-4DF8-42D6-9674-62F2BEA0D9F6}"/>
    <cellStyle name="Normal 2 21 8 2 2 3 2" xfId="45755" xr:uid="{605620B8-E5CA-48CF-9325-12C8ABE101EC}"/>
    <cellStyle name="Normal 2 21 8 2 2 3 2 2" xfId="45756" xr:uid="{59A11127-AE8D-40D0-B231-416399C85009}"/>
    <cellStyle name="Normal 2 21 8 2 2 3 3" xfId="45757" xr:uid="{91456FEA-7277-4326-A455-EA6D4F3545BF}"/>
    <cellStyle name="Normal 2 21 8 2 2 4" xfId="45758" xr:uid="{6CEE926E-4D5D-44FD-8A0C-8076BF0BEBB9}"/>
    <cellStyle name="Normal 2 21 8 2 2 4 2" xfId="45759" xr:uid="{A6E13374-12DF-4F02-AB05-FFEE14349B7E}"/>
    <cellStyle name="Normal 2 21 8 2 2 5" xfId="45760" xr:uid="{26DB246B-323E-427B-8EF1-3427ED6B5E63}"/>
    <cellStyle name="Normal 2 21 8 2 3" xfId="45761" xr:uid="{EE28D039-CCC3-4679-BF5C-3B76788362F7}"/>
    <cellStyle name="Normal 2 21 8 2 3 2" xfId="45762" xr:uid="{573FD804-1F22-4B74-B59E-9C5D6DEDDE7B}"/>
    <cellStyle name="Normal 2 21 8 2 3 2 2" xfId="45763" xr:uid="{1B91BC89-9BAD-4162-8C9F-384725CA3070}"/>
    <cellStyle name="Normal 2 21 8 2 3 2 2 2" xfId="45764" xr:uid="{6E3C9703-DE22-4ABD-9353-E81C31F78311}"/>
    <cellStyle name="Normal 2 21 8 2 3 2 3" xfId="45765" xr:uid="{4BE40F6F-8E3D-495A-89E2-4EF8330E10F6}"/>
    <cellStyle name="Normal 2 21 8 2 3 3" xfId="45766" xr:uid="{55FFF8D7-F4DF-4C54-A1DE-1202ADCC03F2}"/>
    <cellStyle name="Normal 2 21 8 2 3 3 2" xfId="45767" xr:uid="{09747038-3C8F-478A-B20B-A1067893A416}"/>
    <cellStyle name="Normal 2 21 8 2 3 4" xfId="45768" xr:uid="{41F5B259-B783-445A-AE47-F2E356A6505B}"/>
    <cellStyle name="Normal 2 21 8 2 4" xfId="45769" xr:uid="{3FF8867A-9B35-4C69-89E0-058B76232D46}"/>
    <cellStyle name="Normal 2 21 8 2 4 2" xfId="45770" xr:uid="{B833FA0B-18F8-4CD3-A6C2-B9D40A2A6A19}"/>
    <cellStyle name="Normal 2 21 8 2 4 2 2" xfId="45771" xr:uid="{08345EF0-895E-40D3-9DC0-ED32B41BD262}"/>
    <cellStyle name="Normal 2 21 8 2 4 3" xfId="45772" xr:uid="{0F26FB19-19D7-40C5-AA3D-564531E476D9}"/>
    <cellStyle name="Normal 2 21 8 2 5" xfId="45773" xr:uid="{4BB93F8F-651C-45D9-B8F8-42AFA49709EA}"/>
    <cellStyle name="Normal 2 21 8 2 5 2" xfId="45774" xr:uid="{E09B17C5-81A6-46E8-81DC-81421AE19E2E}"/>
    <cellStyle name="Normal 2 21 8 2 6" xfId="45775" xr:uid="{858E87F5-4BB6-401C-AC12-28BF4CE00100}"/>
    <cellStyle name="Normal 2 21 8 3" xfId="45776" xr:uid="{3937DEFC-5B34-4510-8779-94BBBD40529E}"/>
    <cellStyle name="Normal 2 21 8 3 2" xfId="45777" xr:uid="{AADA9FAE-A6E8-4633-B511-D7B1CA4D9B3E}"/>
    <cellStyle name="Normal 2 21 8 3 2 2" xfId="45778" xr:uid="{7A460451-2F32-4E08-B42C-88B3B6FD1E68}"/>
    <cellStyle name="Normal 2 21 8 3 2 2 2" xfId="45779" xr:uid="{EAF693CB-32E8-443C-95AE-6CEF580F832E}"/>
    <cellStyle name="Normal 2 21 8 3 2 2 2 2" xfId="45780" xr:uid="{A7192372-8EF4-4F17-BB91-A7876EDC37B2}"/>
    <cellStyle name="Normal 2 21 8 3 2 2 3" xfId="45781" xr:uid="{EDA323E7-BACD-41D0-B028-861013B31ACD}"/>
    <cellStyle name="Normal 2 21 8 3 2 3" xfId="45782" xr:uid="{60FA0438-7B1F-4464-8197-97B9FEE8BDAA}"/>
    <cellStyle name="Normal 2 21 8 3 2 3 2" xfId="45783" xr:uid="{0D66D02A-809D-449B-A9E6-F0F9049D6E50}"/>
    <cellStyle name="Normal 2 21 8 3 2 4" xfId="45784" xr:uid="{21369627-CC16-4C80-BFE1-3EBDD1415A9D}"/>
    <cellStyle name="Normal 2 21 8 3 3" xfId="45785" xr:uid="{77B5AFB6-BE61-43B3-838A-785086CEF135}"/>
    <cellStyle name="Normal 2 21 8 3 3 2" xfId="45786" xr:uid="{D55BA2B9-A18D-4741-88D8-5AA83869788F}"/>
    <cellStyle name="Normal 2 21 8 3 3 2 2" xfId="45787" xr:uid="{36F3A864-72F8-4B55-AA08-83EA3BB742E0}"/>
    <cellStyle name="Normal 2 21 8 3 3 3" xfId="45788" xr:uid="{670DB04D-5B29-4434-B007-A4B534CF148E}"/>
    <cellStyle name="Normal 2 21 8 3 4" xfId="45789" xr:uid="{FC19FA2A-114E-49BC-A7CF-47DCD6B79126}"/>
    <cellStyle name="Normal 2 21 8 3 4 2" xfId="45790" xr:uid="{95B11BC2-C120-41E8-82C5-35C65994CDD9}"/>
    <cellStyle name="Normal 2 21 8 3 5" xfId="45791" xr:uid="{22191FDB-B7E5-450E-AD8F-0D82CFE6BCD1}"/>
    <cellStyle name="Normal 2 21 8 4" xfId="45792" xr:uid="{A935E8B0-6118-40C0-885D-6CF176F7F705}"/>
    <cellStyle name="Normal 2 21 8 4 2" xfId="45793" xr:uid="{7B52245B-B112-4BFD-845A-0A607E375212}"/>
    <cellStyle name="Normal 2 21 8 4 2 2" xfId="45794" xr:uid="{57D3885A-6F23-4A16-B668-3DBEA0ABAA59}"/>
    <cellStyle name="Normal 2 21 8 4 2 2 2" xfId="45795" xr:uid="{EF0F1403-6B93-4A6D-8AA6-AC8CCEAA2835}"/>
    <cellStyle name="Normal 2 21 8 4 2 3" xfId="45796" xr:uid="{D8474295-CBFD-470E-8BF9-1A2FD6B729DC}"/>
    <cellStyle name="Normal 2 21 8 4 3" xfId="45797" xr:uid="{6EDC1E62-484E-4166-8DE3-9791C288EE15}"/>
    <cellStyle name="Normal 2 21 8 4 3 2" xfId="45798" xr:uid="{C415EB0B-E870-4D73-9CED-2D31FB8141A2}"/>
    <cellStyle name="Normal 2 21 8 4 4" xfId="45799" xr:uid="{CF44CB52-1837-43AB-84DD-F9948923EBE7}"/>
    <cellStyle name="Normal 2 21 8 5" xfId="45800" xr:uid="{C3FAFA4F-6BB6-474D-A3A0-FFC1E15FF882}"/>
    <cellStyle name="Normal 2 21 8 5 2" xfId="45801" xr:uid="{6487059D-66BF-41BF-90E5-9658CFDE1CAF}"/>
    <cellStyle name="Normal 2 21 8 5 2 2" xfId="45802" xr:uid="{771B96CD-1E24-4ABC-9C86-FB90ECEB189A}"/>
    <cellStyle name="Normal 2 21 8 5 3" xfId="45803" xr:uid="{DB3C4058-840F-4E04-B697-6E188BFC470E}"/>
    <cellStyle name="Normal 2 21 8 6" xfId="45804" xr:uid="{F0233ACD-8ACE-4710-8809-FF624B744956}"/>
    <cellStyle name="Normal 2 21 8 6 2" xfId="45805" xr:uid="{3E4B53A1-1467-468C-ABD8-194697136CCD}"/>
    <cellStyle name="Normal 2 21 8 7" xfId="45806" xr:uid="{174407FD-6A10-46D9-9B44-05710E787B14}"/>
    <cellStyle name="Normal 2 21 9" xfId="45807" xr:uid="{29FA55AD-3061-4A26-84E6-2C84FC00AAF5}"/>
    <cellStyle name="Normal 2 21 9 2" xfId="45808" xr:uid="{CF1B5E55-9F68-4411-9626-597563455226}"/>
    <cellStyle name="Normal 2 21 9 2 2" xfId="45809" xr:uid="{B491993D-0808-428F-8FD0-6410E064C80D}"/>
    <cellStyle name="Normal 2 21 9 2 2 2" xfId="45810" xr:uid="{56FF0DD9-2D55-45B9-9B4D-91BF429B8DCB}"/>
    <cellStyle name="Normal 2 21 9 2 2 2 2" xfId="45811" xr:uid="{2A8ECA06-B719-402E-8C5B-7BFC06FB2423}"/>
    <cellStyle name="Normal 2 21 9 2 2 2 2 2" xfId="45812" xr:uid="{67265623-A32E-48B4-87C2-AB20FB099FC3}"/>
    <cellStyle name="Normal 2 21 9 2 2 2 2 2 2" xfId="45813" xr:uid="{87D4BDF0-A268-4909-AEA1-1760A1B4B51E}"/>
    <cellStyle name="Normal 2 21 9 2 2 2 2 3" xfId="45814" xr:uid="{FDE2A2E3-3A3E-4674-9D54-18D0736360EF}"/>
    <cellStyle name="Normal 2 21 9 2 2 2 3" xfId="45815" xr:uid="{AC09C692-0642-4E99-8659-A4BE3FC4EC16}"/>
    <cellStyle name="Normal 2 21 9 2 2 2 3 2" xfId="45816" xr:uid="{868BAB4F-8A94-4010-98EC-C991D6ED3842}"/>
    <cellStyle name="Normal 2 21 9 2 2 2 4" xfId="45817" xr:uid="{847CB3E8-3B99-4E2C-A21F-0E10A4B05815}"/>
    <cellStyle name="Normal 2 21 9 2 2 3" xfId="45818" xr:uid="{6191E1C6-68D0-4F47-B3E4-EADE1612EAD7}"/>
    <cellStyle name="Normal 2 21 9 2 2 3 2" xfId="45819" xr:uid="{E296020F-A51B-43BB-9294-675B1BC61A70}"/>
    <cellStyle name="Normal 2 21 9 2 2 3 2 2" xfId="45820" xr:uid="{E09BA58E-63CD-4080-90EC-3943A2192D69}"/>
    <cellStyle name="Normal 2 21 9 2 2 3 3" xfId="45821" xr:uid="{10D5C5B0-9653-4321-89D2-9340E1B6335E}"/>
    <cellStyle name="Normal 2 21 9 2 2 4" xfId="45822" xr:uid="{30FD35B8-3CAD-4CE2-BBB2-EF6CC23E7DA2}"/>
    <cellStyle name="Normal 2 21 9 2 2 4 2" xfId="45823" xr:uid="{D8284F83-EC64-40E5-93D1-1E26A4DB7F40}"/>
    <cellStyle name="Normal 2 21 9 2 2 5" xfId="45824" xr:uid="{AF4EF771-0A94-4FE6-80FD-769CA9876212}"/>
    <cellStyle name="Normal 2 21 9 2 3" xfId="45825" xr:uid="{3E384B35-E12E-4A40-8688-E442DE33F752}"/>
    <cellStyle name="Normal 2 21 9 2 3 2" xfId="45826" xr:uid="{B44F143A-9888-4470-8C4E-1554505E0408}"/>
    <cellStyle name="Normal 2 21 9 2 3 2 2" xfId="45827" xr:uid="{1FEB76B5-80DD-4DD6-9974-178357776CEA}"/>
    <cellStyle name="Normal 2 21 9 2 3 2 2 2" xfId="45828" xr:uid="{23A552E2-9F18-46F6-89F8-9F3ADBC22BA0}"/>
    <cellStyle name="Normal 2 21 9 2 3 2 3" xfId="45829" xr:uid="{43BD03A4-DE76-4808-AC83-89E474BF6329}"/>
    <cellStyle name="Normal 2 21 9 2 3 3" xfId="45830" xr:uid="{26889625-EBD4-4B15-A391-8C93B9A0A6D5}"/>
    <cellStyle name="Normal 2 21 9 2 3 3 2" xfId="45831" xr:uid="{65CE62AF-1EAF-4108-862B-4B2BDC707ACD}"/>
    <cellStyle name="Normal 2 21 9 2 3 4" xfId="45832" xr:uid="{88DF9E46-DE1A-4255-8502-6E5BC9D9900D}"/>
    <cellStyle name="Normal 2 21 9 2 4" xfId="45833" xr:uid="{CC0BED05-8D32-42F1-A02F-AB38A271732F}"/>
    <cellStyle name="Normal 2 21 9 2 4 2" xfId="45834" xr:uid="{A93A5A0E-B937-4662-A1DF-67D8A26D8DD8}"/>
    <cellStyle name="Normal 2 21 9 2 4 2 2" xfId="45835" xr:uid="{7D181A1D-D324-4DDC-8F77-04EA45036CC5}"/>
    <cellStyle name="Normal 2 21 9 2 4 3" xfId="45836" xr:uid="{F556814A-3208-4B7C-96D7-F25DEABF9B11}"/>
    <cellStyle name="Normal 2 21 9 2 5" xfId="45837" xr:uid="{24366114-5FE6-44CB-9CFE-2C2EDC62396D}"/>
    <cellStyle name="Normal 2 21 9 2 5 2" xfId="45838" xr:uid="{48222115-FAD3-4181-B847-9FF2222B2729}"/>
    <cellStyle name="Normal 2 21 9 2 6" xfId="45839" xr:uid="{4619E210-C548-4954-93C9-3A681625EAD9}"/>
    <cellStyle name="Normal 2 21 9 3" xfId="45840" xr:uid="{53C1F583-B7CB-4DA6-8F1A-E37F32981791}"/>
    <cellStyle name="Normal 2 21 9 3 2" xfId="45841" xr:uid="{84DAFC3E-4571-4DF8-8C42-1AFB9A0EC101}"/>
    <cellStyle name="Normal 2 21 9 3 2 2" xfId="45842" xr:uid="{AD7A1ED1-C71F-4C0D-81FE-AB53307D1692}"/>
    <cellStyle name="Normal 2 21 9 3 2 2 2" xfId="45843" xr:uid="{BB09CA52-0B98-4AF1-96B7-46B4F216E6C7}"/>
    <cellStyle name="Normal 2 21 9 3 2 2 2 2" xfId="45844" xr:uid="{BEB6E31C-1836-481A-BEF5-0FA68C47C37C}"/>
    <cellStyle name="Normal 2 21 9 3 2 2 3" xfId="45845" xr:uid="{6C0BFADA-478D-4606-A01C-F27CBEB9180A}"/>
    <cellStyle name="Normal 2 21 9 3 2 3" xfId="45846" xr:uid="{6679D561-6B3E-417A-AD12-73974872089F}"/>
    <cellStyle name="Normal 2 21 9 3 2 3 2" xfId="45847" xr:uid="{B6168EE1-1578-4A94-8B9F-4D6E374DC5C6}"/>
    <cellStyle name="Normal 2 21 9 3 2 4" xfId="45848" xr:uid="{9372C708-0FEF-4A2D-9C38-A72C7400272E}"/>
    <cellStyle name="Normal 2 21 9 3 3" xfId="45849" xr:uid="{4BD0CB9B-6F2D-4C18-B828-425784456ECD}"/>
    <cellStyle name="Normal 2 21 9 3 3 2" xfId="45850" xr:uid="{84D3AAD6-A5BA-46A1-84F5-7E12E40A69A1}"/>
    <cellStyle name="Normal 2 21 9 3 3 2 2" xfId="45851" xr:uid="{9DF22E62-7F18-494A-A899-AB6CB6E3883C}"/>
    <cellStyle name="Normal 2 21 9 3 3 3" xfId="45852" xr:uid="{77D00BFA-A00A-48AD-87DB-F1C4828A0A56}"/>
    <cellStyle name="Normal 2 21 9 3 4" xfId="45853" xr:uid="{A0921E89-0FF8-404D-8DCE-3DCB3CEFBB17}"/>
    <cellStyle name="Normal 2 21 9 3 4 2" xfId="45854" xr:uid="{0DE3214B-4FAE-4644-BC16-95F7EE97DF93}"/>
    <cellStyle name="Normal 2 21 9 3 5" xfId="45855" xr:uid="{2D6DAD2C-0536-4358-A0D5-9998A21950B5}"/>
    <cellStyle name="Normal 2 21 9 4" xfId="45856" xr:uid="{EA60F63F-B825-4373-8DB6-C2C6F3EA5207}"/>
    <cellStyle name="Normal 2 21 9 4 2" xfId="45857" xr:uid="{8E921EB4-C106-4BA3-BD4C-5AF90EF3BE0E}"/>
    <cellStyle name="Normal 2 21 9 4 2 2" xfId="45858" xr:uid="{55DB528D-FDE3-453D-B752-CA3CFA1F0CF3}"/>
    <cellStyle name="Normal 2 21 9 4 2 2 2" xfId="45859" xr:uid="{225F6B02-8D1C-4EA1-B81F-40D139D5579C}"/>
    <cellStyle name="Normal 2 21 9 4 2 3" xfId="45860" xr:uid="{884836D6-2A07-4132-881B-13C93FCA9524}"/>
    <cellStyle name="Normal 2 21 9 4 3" xfId="45861" xr:uid="{13A08509-0CF9-4C0D-AE3A-4354C48E3BF6}"/>
    <cellStyle name="Normal 2 21 9 4 3 2" xfId="45862" xr:uid="{49FECADB-2719-4C5B-AACB-82D2C0768D77}"/>
    <cellStyle name="Normal 2 21 9 4 4" xfId="45863" xr:uid="{C2551EB9-6550-4536-A215-ACD2A100B842}"/>
    <cellStyle name="Normal 2 21 9 5" xfId="45864" xr:uid="{A8EA7372-5091-43A9-8BC4-B66DBB3E4BF5}"/>
    <cellStyle name="Normal 2 21 9 5 2" xfId="45865" xr:uid="{D7A31FF9-6718-4F35-8001-9980D7472C96}"/>
    <cellStyle name="Normal 2 21 9 5 2 2" xfId="45866" xr:uid="{70A0F9C5-BF18-41CC-A380-6F6D6009CDC5}"/>
    <cellStyle name="Normal 2 21 9 5 3" xfId="45867" xr:uid="{1260E0D6-18D4-4062-8CF6-02531D33837E}"/>
    <cellStyle name="Normal 2 21 9 6" xfId="45868" xr:uid="{FB6C2122-46B3-46BC-A233-35E1A5782542}"/>
    <cellStyle name="Normal 2 21 9 6 2" xfId="45869" xr:uid="{437BAEAA-0FD0-4071-A635-5131FD1776D5}"/>
    <cellStyle name="Normal 2 21 9 7" xfId="45870" xr:uid="{31EF6350-8D00-47A2-A01E-FFBE7819D7B0}"/>
    <cellStyle name="Normal 2 22" xfId="246" xr:uid="{59732D5F-01AB-454E-84B0-774E733F79FC}"/>
    <cellStyle name="Normal 2 23" xfId="247" xr:uid="{9881D544-C768-4D5B-8045-7F9934611B01}"/>
    <cellStyle name="Normal 2 23 2" xfId="26133" xr:uid="{404AEC2D-21BD-4098-A37C-CA7E061C9F44}"/>
    <cellStyle name="Normal 2 23 3" xfId="26134" xr:uid="{46F25AE0-7A94-4256-9700-98F7BBE93E9C}"/>
    <cellStyle name="Normal 2 23 4" xfId="26135" xr:uid="{4DB6F97E-EAFD-4236-8D7B-17B087E36BC1}"/>
    <cellStyle name="Normal 2 23 5" xfId="26136" xr:uid="{DEAEE663-2C32-4FD2-8E2F-296724C4967B}"/>
    <cellStyle name="Normal 2 24" xfId="248" xr:uid="{FE331AD6-E70F-4197-9A1D-5CFF3475016E}"/>
    <cellStyle name="Normal 2 24 2" xfId="26137" xr:uid="{1E74AFDE-5DD3-411D-8F92-34E0F69AF2EC}"/>
    <cellStyle name="Normal 2 24 3" xfId="26138" xr:uid="{9E53ECC0-C9BB-453A-AB35-61E07622F309}"/>
    <cellStyle name="Normal 2 24 4" xfId="26139" xr:uid="{6C252FDB-9461-46E6-BB72-AEC4ECEAC49E}"/>
    <cellStyle name="Normal 2 24 5" xfId="26140" xr:uid="{24EFC6D0-2976-41C0-A177-93F9334F2741}"/>
    <cellStyle name="Normal 2 25" xfId="249" xr:uid="{93026510-8665-4716-8EF7-1AD075C54C3C}"/>
    <cellStyle name="Normal 2 25 2" xfId="26141" xr:uid="{ECB6180D-1392-4324-AED9-936E93346B9C}"/>
    <cellStyle name="Normal 2 25 3" xfId="26142" xr:uid="{EA23465E-D86D-4A0C-AAB6-FDF059FB5051}"/>
    <cellStyle name="Normal 2 25 4" xfId="26143" xr:uid="{0A3729C7-73A3-4B73-971C-C6C71F2526D0}"/>
    <cellStyle name="Normal 2 25 5" xfId="26144" xr:uid="{356D7095-A334-4E11-95E1-899B854C2C82}"/>
    <cellStyle name="Normal 2 26" xfId="250" xr:uid="{93F29E03-8AC3-4A5C-9A03-D8078F0012AE}"/>
    <cellStyle name="Normal 2 27" xfId="251" xr:uid="{8A36B11C-45C4-4CB2-B128-7ABA930BE696}"/>
    <cellStyle name="Normal 2 28" xfId="252" xr:uid="{7B45AF2E-8496-4367-8CB4-642D5FA04445}"/>
    <cellStyle name="Normal 2 29" xfId="253" xr:uid="{F510071B-05AB-4612-B1CA-849EE5DB4E40}"/>
    <cellStyle name="Normal 2 3" xfId="254" xr:uid="{FCDB3CF6-4789-4DAD-B752-5F8339ED9C57}"/>
    <cellStyle name="Normal 2 3 10" xfId="26145" xr:uid="{DE6D2E9A-4A29-40F8-B52B-6DC09777B965}"/>
    <cellStyle name="Normal 2 3 11" xfId="26146" xr:uid="{27DEAE65-6DBA-42AE-854B-AF6F5147B6BC}"/>
    <cellStyle name="Normal 2 3 12" xfId="26147" xr:uid="{24BEA0D5-8145-4DB8-8462-FA2DCF90C4D9}"/>
    <cellStyle name="Normal 2 3 12 2" xfId="26148" xr:uid="{EB85729E-085B-434C-8D66-79C59582ECEE}"/>
    <cellStyle name="Normal 2 3 12 3" xfId="26149" xr:uid="{A904FB0F-14C3-44E8-9A2A-6146DC2755AD}"/>
    <cellStyle name="Normal 2 3 12 4" xfId="26150" xr:uid="{48189381-F5DF-4A9E-9C06-1A51F7925914}"/>
    <cellStyle name="Normal 2 3 12 5" xfId="26151" xr:uid="{8558EF1A-7DB1-4927-88EB-7E9FC39F16C8}"/>
    <cellStyle name="Normal 2 3 13" xfId="26152" xr:uid="{270801BC-45D1-4878-BA68-AE1FBE3E38F7}"/>
    <cellStyle name="Normal 2 3 14" xfId="26153" xr:uid="{3A3B52FB-7753-45BE-ACCD-DCB85A6B857F}"/>
    <cellStyle name="Normal 2 3 15" xfId="26154" xr:uid="{775175AC-2A0B-4828-A948-AAE388076819}"/>
    <cellStyle name="Normal 2 3 16" xfId="26155" xr:uid="{98A96DD0-91BC-431F-80BE-93E3D1773A4C}"/>
    <cellStyle name="Normal 2 3 17" xfId="26156" xr:uid="{722B628D-0B77-43DC-8BB8-045BFCB7422F}"/>
    <cellStyle name="Normal 2 3 18" xfId="26157" xr:uid="{87D9D028-8DD6-4FFD-A3F6-50474404B8C7}"/>
    <cellStyle name="Normal 2 3 19" xfId="26158" xr:uid="{54D953AF-0872-451E-9A9B-1A46D9057449}"/>
    <cellStyle name="Normal 2 3 2" xfId="26159" xr:uid="{D27BA465-38A5-4CCC-978D-9F958E692AF0}"/>
    <cellStyle name="Normal 2 3 2 10" xfId="26160" xr:uid="{8C4F5D3B-5843-416D-9B50-E71E51BDDF1F}"/>
    <cellStyle name="Normal 2 3 2 10 2" xfId="26161" xr:uid="{AFFBEC3C-503A-472F-AC7C-E46EC23152E5}"/>
    <cellStyle name="Normal 2 3 2 10 3" xfId="26162" xr:uid="{70524C92-9E68-484C-BD02-59E02612CAA0}"/>
    <cellStyle name="Normal 2 3 2 10 4" xfId="26163" xr:uid="{71B50623-283B-4C4A-8F59-D3A63B0A59EB}"/>
    <cellStyle name="Normal 2 3 2 10 5" xfId="26164" xr:uid="{E9379A45-4814-42E1-A93C-F3B7594AC239}"/>
    <cellStyle name="Normal 2 3 2 11" xfId="26165" xr:uid="{B8271C78-5F35-4D1A-A391-029F38C2E77B}"/>
    <cellStyle name="Normal 2 3 2 11 2" xfId="26166" xr:uid="{4F0D3F8A-780F-422D-9F3C-CC30AAC511A9}"/>
    <cellStyle name="Normal 2 3 2 11 3" xfId="26167" xr:uid="{2B8FFAEC-100C-4EE0-9EFD-473BD4B77280}"/>
    <cellStyle name="Normal 2 3 2 11 4" xfId="26168" xr:uid="{10B83A2D-6B92-46BE-B004-25F6739EF86F}"/>
    <cellStyle name="Normal 2 3 2 11 5" xfId="26169" xr:uid="{86BBE72D-C029-4F0E-ABE6-88F7A4F948B6}"/>
    <cellStyle name="Normal 2 3 2 12" xfId="26170" xr:uid="{BDADC84C-5A81-45FB-82BA-D195E767CAC8}"/>
    <cellStyle name="Normal 2 3 2 12 2" xfId="26171" xr:uid="{EA9A9F27-2035-4AC8-B13E-971E3A321139}"/>
    <cellStyle name="Normal 2 3 2 12 3" xfId="26172" xr:uid="{896178A6-D692-45DA-9CED-525BA430977F}"/>
    <cellStyle name="Normal 2 3 2 12 4" xfId="26173" xr:uid="{9AB21E31-9D37-47FF-B27D-DCF7A39ED66D}"/>
    <cellStyle name="Normal 2 3 2 12 5" xfId="26174" xr:uid="{32452B93-86CC-4013-8E22-F1D2382E80B0}"/>
    <cellStyle name="Normal 2 3 2 13" xfId="26175" xr:uid="{F02A9622-7876-4AE5-AF3B-148B7D56DA7B}"/>
    <cellStyle name="Normal 2 3 2 14" xfId="26176" xr:uid="{028CDB2F-6E54-40F3-BFE4-F74EBEF30095}"/>
    <cellStyle name="Normal 2 3 2 15" xfId="26177" xr:uid="{B443FE54-F3CC-41FA-ADBD-7F61442CAF5E}"/>
    <cellStyle name="Normal 2 3 2 16" xfId="26178" xr:uid="{11B72D01-785F-467E-8F72-B6ED2E6B6A15}"/>
    <cellStyle name="Normal 2 3 2 2" xfId="26179" xr:uid="{ABC31FFD-EBC0-406E-91BC-FC7B93C9ACA3}"/>
    <cellStyle name="Normal 2 3 2 2 10" xfId="26180" xr:uid="{66401665-FE0A-4AFB-A430-0E7BCC302626}"/>
    <cellStyle name="Normal 2 3 2 2 11" xfId="26181" xr:uid="{C15B6907-A53A-4ACC-A330-DC69A880F7F0}"/>
    <cellStyle name="Normal 2 3 2 2 12" xfId="26182" xr:uid="{C4A61240-D6E9-4089-91BB-2D41FFCF5302}"/>
    <cellStyle name="Normal 2 3 2 2 13" xfId="26183" xr:uid="{6A8BDDC9-0D01-456A-AA51-369B25915155}"/>
    <cellStyle name="Normal 2 3 2 2 14" xfId="26184" xr:uid="{186AA72E-AE9B-4151-B349-4ED0EEA1E653}"/>
    <cellStyle name="Normal 2 3 2 2 15" xfId="26185" xr:uid="{5541475C-0829-4FE0-B760-D91592A65595}"/>
    <cellStyle name="Normal 2 3 2 2 2" xfId="26186" xr:uid="{38E5C42F-BB5E-4BC4-BCB3-D36275FFFA8E}"/>
    <cellStyle name="Normal 2 3 2 2 2 10" xfId="26187" xr:uid="{2054C1EC-8968-4ABB-A178-135907DEBC01}"/>
    <cellStyle name="Normal 2 3 2 2 2 10 2" xfId="26188" xr:uid="{1FBCE219-3E36-4E46-8357-06067BD094F0}"/>
    <cellStyle name="Normal 2 3 2 2 2 10 3" xfId="26189" xr:uid="{5DFFD396-29C8-45D4-9849-64FAF7CB589E}"/>
    <cellStyle name="Normal 2 3 2 2 2 10 4" xfId="26190" xr:uid="{9EF0CE1B-BBD8-49F1-BCD5-6C28463FD356}"/>
    <cellStyle name="Normal 2 3 2 2 2 10 5" xfId="26191" xr:uid="{5E7EC80E-7007-4582-9AD9-05C7F937DB53}"/>
    <cellStyle name="Normal 2 3 2 2 2 11" xfId="26192" xr:uid="{434DEF12-DCBD-49D5-8A18-C8391B12501D}"/>
    <cellStyle name="Normal 2 3 2 2 2 12" xfId="26193" xr:uid="{A3FC42CF-A562-44CF-841A-9F29B6FE805F}"/>
    <cellStyle name="Normal 2 3 2 2 2 13" xfId="26194" xr:uid="{0EFEF521-685D-4386-87EF-357CCEFBBDF0}"/>
    <cellStyle name="Normal 2 3 2 2 2 14" xfId="26195" xr:uid="{C7A06E06-5FE0-49F6-8E29-7AD8233D8161}"/>
    <cellStyle name="Normal 2 3 2 2 2 2" xfId="26196" xr:uid="{C5BE2667-E165-4E75-99FA-F55A442217B3}"/>
    <cellStyle name="Normal 2 3 2 2 2 2 10" xfId="26197" xr:uid="{57FAE12E-CCE4-47E3-A274-30B0C1F004D8}"/>
    <cellStyle name="Normal 2 3 2 2 2 2 11" xfId="26198" xr:uid="{FA201938-196B-45D2-8A83-7DFFEF27A29A}"/>
    <cellStyle name="Normal 2 3 2 2 2 2 12" xfId="26199" xr:uid="{C2854383-03D6-47B2-A90E-45D157685F0D}"/>
    <cellStyle name="Normal 2 3 2 2 2 2 13" xfId="26200" xr:uid="{C298DD2F-BBDE-420A-BF4F-7FEE037E1855}"/>
    <cellStyle name="Normal 2 3 2 2 2 2 2" xfId="26201" xr:uid="{A8CAC510-22F2-4696-AD79-5D467C72BEA4}"/>
    <cellStyle name="Normal 2 3 2 2 2 2 2 10" xfId="26202" xr:uid="{E7B3465A-A14F-4C0C-A614-CF41ADA7A110}"/>
    <cellStyle name="Normal 2 3 2 2 2 2 2 11" xfId="26203" xr:uid="{54613341-965A-4354-BB5C-CCE4AD7B39D4}"/>
    <cellStyle name="Normal 2 3 2 2 2 2 2 12" xfId="26204" xr:uid="{60B65F1B-949C-44CE-8F5E-D33D22A9CD37}"/>
    <cellStyle name="Normal 2 3 2 2 2 2 2 2" xfId="26205" xr:uid="{6EC2CA41-0D62-40C3-9BDD-65FFB0442E89}"/>
    <cellStyle name="Normal 2 3 2 2 2 2 2 2 2" xfId="26206" xr:uid="{0D379DDB-DFE0-4C72-B3BA-D4676582F9E2}"/>
    <cellStyle name="Normal 2 3 2 2 2 2 2 2 2 2" xfId="26207" xr:uid="{6FE10A54-422F-4790-8052-3384F979680D}"/>
    <cellStyle name="Normal 2 3 2 2 2 2 2 2 2 3" xfId="26208" xr:uid="{A58D3D7A-4FB8-4004-B1D7-E99A4647D49B}"/>
    <cellStyle name="Normal 2 3 2 2 2 2 2 2 2 4" xfId="26209" xr:uid="{36C52A52-9D5F-4002-A40B-1153C8AB5A5A}"/>
    <cellStyle name="Normal 2 3 2 2 2 2 2 2 2 5" xfId="26210" xr:uid="{A69102C9-F19F-4EAC-81E8-93287CAA3D51}"/>
    <cellStyle name="Normal 2 3 2 2 2 2 2 2 3" xfId="26211" xr:uid="{0974E0AF-A786-4850-B2E7-0F4871F6C448}"/>
    <cellStyle name="Normal 2 3 2 2 2 2 2 2 4" xfId="26212" xr:uid="{7E63756C-A43C-49E3-84C5-2153CF25352E}"/>
    <cellStyle name="Normal 2 3 2 2 2 2 2 2 5" xfId="26213" xr:uid="{35C6A7C6-9EA6-49B6-BC16-07B321A6B2D0}"/>
    <cellStyle name="Normal 2 3 2 2 2 2 2 2 6" xfId="26214" xr:uid="{A3FDED60-0ACF-4AF7-B01E-F96E8C1B71A0}"/>
    <cellStyle name="Normal 2 3 2 2 2 2 2 3" xfId="26215" xr:uid="{D63403F5-D70D-4B0F-B396-2D6591F35920}"/>
    <cellStyle name="Normal 2 3 2 2 2 2 2 3 2" xfId="26216" xr:uid="{898DCDAE-FC4D-45AB-95C3-EDA8CC6B7EB9}"/>
    <cellStyle name="Normal 2 3 2 2 2 2 2 3 2 2" xfId="26217" xr:uid="{C4EAF596-2984-44B9-A758-CCA9F1387881}"/>
    <cellStyle name="Normal 2 3 2 2 2 2 2 3 2 3" xfId="26218" xr:uid="{D7B64CE7-A8E8-434E-A439-5701CE0303A1}"/>
    <cellStyle name="Normal 2 3 2 2 2 2 2 3 2 4" xfId="26219" xr:uid="{ECA87A13-A901-4A65-B691-45015A4A8EE3}"/>
    <cellStyle name="Normal 2 3 2 2 2 2 2 3 2 5" xfId="26220" xr:uid="{50DF7697-292F-4432-A967-FC7339E74F83}"/>
    <cellStyle name="Normal 2 3 2 2 2 2 2 3 3" xfId="26221" xr:uid="{8E35F893-676F-44A5-89DD-9D2C46AC183C}"/>
    <cellStyle name="Normal 2 3 2 2 2 2 2 3 4" xfId="26222" xr:uid="{16E9DD8D-6273-4B21-B11D-9FF98EBE64B7}"/>
    <cellStyle name="Normal 2 3 2 2 2 2 2 3 5" xfId="26223" xr:uid="{7F754BB0-E1E2-45E7-B796-0473115DB7BC}"/>
    <cellStyle name="Normal 2 3 2 2 2 2 2 3 6" xfId="26224" xr:uid="{5667079C-8CE5-4A55-B6E7-083954907D44}"/>
    <cellStyle name="Normal 2 3 2 2 2 2 2 4" xfId="26225" xr:uid="{D8D4978B-D922-4EA1-9B16-D5C5E1D9FD4D}"/>
    <cellStyle name="Normal 2 3 2 2 2 2 2 4 2" xfId="26226" xr:uid="{EE82D067-66A6-484A-9E12-921901C7017E}"/>
    <cellStyle name="Normal 2 3 2 2 2 2 2 4 2 2" xfId="26227" xr:uid="{DFDA2657-E793-4574-A248-AAE4721F0FF1}"/>
    <cellStyle name="Normal 2 3 2 2 2 2 2 4 2 3" xfId="26228" xr:uid="{698FA2B2-A173-443B-933B-9AA2DEBC2E0F}"/>
    <cellStyle name="Normal 2 3 2 2 2 2 2 4 2 4" xfId="26229" xr:uid="{C2262627-CE33-4ED5-BFE3-243581350A14}"/>
    <cellStyle name="Normal 2 3 2 2 2 2 2 4 2 5" xfId="26230" xr:uid="{E231B0DC-2149-46BC-9AE6-DE1C33CFE0E1}"/>
    <cellStyle name="Normal 2 3 2 2 2 2 2 4 3" xfId="26231" xr:uid="{EF5B79C9-6F3C-4B8A-9997-468B9E18957E}"/>
    <cellStyle name="Normal 2 3 2 2 2 2 2 4 4" xfId="26232" xr:uid="{D55BAD20-6AD6-4981-A7EB-12EFABDF27A6}"/>
    <cellStyle name="Normal 2 3 2 2 2 2 2 4 5" xfId="26233" xr:uid="{EF551229-7574-453F-91A7-1007E5D2A47C}"/>
    <cellStyle name="Normal 2 3 2 2 2 2 2 4 6" xfId="26234" xr:uid="{8B481002-8204-4CDB-B94C-0BA4FFEC7F1C}"/>
    <cellStyle name="Normal 2 3 2 2 2 2 2 5" xfId="26235" xr:uid="{D46256E0-07C8-43C3-B774-1992CE8FAC2D}"/>
    <cellStyle name="Normal 2 3 2 2 2 2 2 5 2" xfId="26236" xr:uid="{236976BB-D320-49A0-8FF1-020C2DA7632F}"/>
    <cellStyle name="Normal 2 3 2 2 2 2 2 5 3" xfId="26237" xr:uid="{1D338DF5-BFF2-4198-BB68-98644E937FAC}"/>
    <cellStyle name="Normal 2 3 2 2 2 2 2 5 4" xfId="26238" xr:uid="{D1D9E4F4-E8D6-44F9-8B4F-FCB2E79356E0}"/>
    <cellStyle name="Normal 2 3 2 2 2 2 2 5 5" xfId="26239" xr:uid="{2130BDE8-8B44-4B6C-81F3-00308EFBB668}"/>
    <cellStyle name="Normal 2 3 2 2 2 2 2 6" xfId="26240" xr:uid="{96AFB450-B282-4D60-ADA9-383C9DAAEA25}"/>
    <cellStyle name="Normal 2 3 2 2 2 2 2 6 2" xfId="26241" xr:uid="{2FA1B68A-1360-4EB9-9228-35B71358B2D3}"/>
    <cellStyle name="Normal 2 3 2 2 2 2 2 6 3" xfId="26242" xr:uid="{119BEB49-0D94-46F2-A784-F17E504444C7}"/>
    <cellStyle name="Normal 2 3 2 2 2 2 2 6 4" xfId="26243" xr:uid="{779E4415-EFE8-4A3B-9B44-10371EBAD85B}"/>
    <cellStyle name="Normal 2 3 2 2 2 2 2 6 5" xfId="26244" xr:uid="{31B2F74A-31EF-42F0-A565-E641C6DDFC3E}"/>
    <cellStyle name="Normal 2 3 2 2 2 2 2 7" xfId="26245" xr:uid="{737C7338-C207-4E66-8D44-9A53C9C34A56}"/>
    <cellStyle name="Normal 2 3 2 2 2 2 2 7 2" xfId="26246" xr:uid="{79D992AF-834E-4B6B-9F59-75499D0722EA}"/>
    <cellStyle name="Normal 2 3 2 2 2 2 2 7 3" xfId="26247" xr:uid="{508702EC-ADAC-4C0F-987E-1B388C46641F}"/>
    <cellStyle name="Normal 2 3 2 2 2 2 2 7 4" xfId="26248" xr:uid="{E493482D-BB76-4897-BFBB-C4BA3D91C0F1}"/>
    <cellStyle name="Normal 2 3 2 2 2 2 2 7 5" xfId="26249" xr:uid="{5F25745A-576E-43A0-A1CB-AE9F19A4D81E}"/>
    <cellStyle name="Normal 2 3 2 2 2 2 2 8" xfId="26250" xr:uid="{762EE5B8-FBCE-4BD9-B729-C41BF51AC2BE}"/>
    <cellStyle name="Normal 2 3 2 2 2 2 2 8 2" xfId="26251" xr:uid="{4AE4D092-5476-44DB-A4A1-484DD3BE6540}"/>
    <cellStyle name="Normal 2 3 2 2 2 2 2 8 3" xfId="26252" xr:uid="{EE8E0E2E-8F6B-4A74-BF9F-E1D546AFEBA8}"/>
    <cellStyle name="Normal 2 3 2 2 2 2 2 8 4" xfId="26253" xr:uid="{34C5C379-14EA-4FCE-BE02-1F359A6BE2E7}"/>
    <cellStyle name="Normal 2 3 2 2 2 2 2 8 5" xfId="26254" xr:uid="{48393C3B-831D-487F-B5FC-9D8B86B48C62}"/>
    <cellStyle name="Normal 2 3 2 2 2 2 2 9" xfId="26255" xr:uid="{58ED57C2-8D83-4E97-94E7-B22918A71E99}"/>
    <cellStyle name="Normal 2 3 2 2 2 2 3" xfId="26256" xr:uid="{F73BCC7F-A686-4AAF-A331-A7FD55C551CF}"/>
    <cellStyle name="Normal 2 3 2 2 2 2 3 2" xfId="26257" xr:uid="{71E76EA6-0859-4F0B-94B8-F27B3BFB0942}"/>
    <cellStyle name="Normal 2 3 2 2 2 2 3 2 2" xfId="26258" xr:uid="{4EAF3D01-7763-43E3-98C3-E465CA1CC133}"/>
    <cellStyle name="Normal 2 3 2 2 2 2 3 2 3" xfId="26259" xr:uid="{66235B12-A725-4E25-BD3F-B7E039089F37}"/>
    <cellStyle name="Normal 2 3 2 2 2 2 3 2 4" xfId="26260" xr:uid="{622D02A8-DC77-453D-B7DB-A3A44C0AD61A}"/>
    <cellStyle name="Normal 2 3 2 2 2 2 3 2 5" xfId="26261" xr:uid="{9F5C322E-D201-4E4C-9F18-9C0C0CBF567C}"/>
    <cellStyle name="Normal 2 3 2 2 2 2 3 3" xfId="26262" xr:uid="{D2CC2265-AF7F-4946-B15F-242AA63DB3A5}"/>
    <cellStyle name="Normal 2 3 2 2 2 2 3 4" xfId="26263" xr:uid="{9A55300F-D35E-486C-BA81-8FCB3E08A2CB}"/>
    <cellStyle name="Normal 2 3 2 2 2 2 3 5" xfId="26264" xr:uid="{BBC40EB0-8AFF-42E5-9D47-33748EEAE027}"/>
    <cellStyle name="Normal 2 3 2 2 2 2 3 6" xfId="26265" xr:uid="{CD2D5102-9558-486D-9A09-FF34CFC047BF}"/>
    <cellStyle name="Normal 2 3 2 2 2 2 4" xfId="26266" xr:uid="{B0167445-73B5-4767-8A7D-FCEAD4EA1481}"/>
    <cellStyle name="Normal 2 3 2 2 2 2 4 2" xfId="26267" xr:uid="{FEB0076E-B016-4EF9-B1E5-1CF056ACD17B}"/>
    <cellStyle name="Normal 2 3 2 2 2 2 4 2 2" xfId="26268" xr:uid="{E094BBE1-475D-4020-B505-C77EB2A33601}"/>
    <cellStyle name="Normal 2 3 2 2 2 2 4 2 3" xfId="26269" xr:uid="{3B90C89D-1A3A-46BD-84C8-963FBAF302FA}"/>
    <cellStyle name="Normal 2 3 2 2 2 2 4 2 4" xfId="26270" xr:uid="{F41D7324-1F4C-4753-A8CE-BF73F1CC9F34}"/>
    <cellStyle name="Normal 2 3 2 2 2 2 4 2 5" xfId="26271" xr:uid="{87828A51-71E6-40F4-8E0F-487F73D9B1A6}"/>
    <cellStyle name="Normal 2 3 2 2 2 2 4 3" xfId="26272" xr:uid="{340F5968-3349-4A7B-8237-4472866EDEFC}"/>
    <cellStyle name="Normal 2 3 2 2 2 2 4 4" xfId="26273" xr:uid="{BAF02718-13CD-4FE8-946D-BA7C389583C3}"/>
    <cellStyle name="Normal 2 3 2 2 2 2 4 5" xfId="26274" xr:uid="{D8154EAB-03D3-4219-93A5-9556016E5AEB}"/>
    <cellStyle name="Normal 2 3 2 2 2 2 4 6" xfId="26275" xr:uid="{4BAC9D90-A985-4A24-986F-F8A56D37A322}"/>
    <cellStyle name="Normal 2 3 2 2 2 2 5" xfId="26276" xr:uid="{3313AEBD-0401-4A6F-9B10-6B3FA879B53B}"/>
    <cellStyle name="Normal 2 3 2 2 2 2 5 2" xfId="26277" xr:uid="{D665B0CC-A218-4C0E-8C0A-B3E9D4A807CB}"/>
    <cellStyle name="Normal 2 3 2 2 2 2 5 2 2" xfId="26278" xr:uid="{415FCA32-BE10-4943-95A7-205EA7A562C8}"/>
    <cellStyle name="Normal 2 3 2 2 2 2 5 2 3" xfId="26279" xr:uid="{9B74A583-DC66-4621-9086-F6318DD24A42}"/>
    <cellStyle name="Normal 2 3 2 2 2 2 5 2 4" xfId="26280" xr:uid="{737866DB-DDE0-4B9B-ADC1-98FA7B247E3F}"/>
    <cellStyle name="Normal 2 3 2 2 2 2 5 2 5" xfId="26281" xr:uid="{60786D65-59F7-427E-A195-78584F8F7CF2}"/>
    <cellStyle name="Normal 2 3 2 2 2 2 5 3" xfId="26282" xr:uid="{8ED1F21F-F634-4BB3-B323-C5176A04F33B}"/>
    <cellStyle name="Normal 2 3 2 2 2 2 5 4" xfId="26283" xr:uid="{8AA0D5CD-F158-4CCC-81D8-94CEFB585C4F}"/>
    <cellStyle name="Normal 2 3 2 2 2 2 5 5" xfId="26284" xr:uid="{E6124066-9821-40D1-94C0-DCD0D462B143}"/>
    <cellStyle name="Normal 2 3 2 2 2 2 5 6" xfId="26285" xr:uid="{D569207E-5824-4D36-B433-4AD39BF09E92}"/>
    <cellStyle name="Normal 2 3 2 2 2 2 6" xfId="26286" xr:uid="{EF1C87B9-B7BB-4A11-A0E3-20B3212C59BB}"/>
    <cellStyle name="Normal 2 3 2 2 2 2 6 2" xfId="26287" xr:uid="{E45D6462-3D73-4B25-9561-3264A85ADF38}"/>
    <cellStyle name="Normal 2 3 2 2 2 2 6 3" xfId="26288" xr:uid="{6613483E-3B75-4218-A51A-D6A92BF8C244}"/>
    <cellStyle name="Normal 2 3 2 2 2 2 6 4" xfId="26289" xr:uid="{A702299A-5E63-48C5-B34D-91B8C65D4372}"/>
    <cellStyle name="Normal 2 3 2 2 2 2 6 5" xfId="26290" xr:uid="{7BA413CF-F47C-4C94-9D99-A22644309899}"/>
    <cellStyle name="Normal 2 3 2 2 2 2 7" xfId="26291" xr:uid="{7DFF972E-B79D-495E-AB25-44DBB383301E}"/>
    <cellStyle name="Normal 2 3 2 2 2 2 7 2" xfId="26292" xr:uid="{57A2136B-71C6-4A4B-BB7F-E0D2A629B760}"/>
    <cellStyle name="Normal 2 3 2 2 2 2 7 3" xfId="26293" xr:uid="{A2EC3A01-F648-4A96-A696-E0EB4273D9B9}"/>
    <cellStyle name="Normal 2 3 2 2 2 2 7 4" xfId="26294" xr:uid="{F2E57CD8-7AED-44E3-A53E-E66683AADAFE}"/>
    <cellStyle name="Normal 2 3 2 2 2 2 7 5" xfId="26295" xr:uid="{73BC5FFF-2594-477E-BE88-C08F8149BAE4}"/>
    <cellStyle name="Normal 2 3 2 2 2 2 8" xfId="26296" xr:uid="{5394A05E-B3CB-464F-A0F3-552036319D52}"/>
    <cellStyle name="Normal 2 3 2 2 2 2 8 2" xfId="26297" xr:uid="{9997BD5C-B7E3-414F-B9D3-225EEAD1430F}"/>
    <cellStyle name="Normal 2 3 2 2 2 2 8 3" xfId="26298" xr:uid="{3C2EFA1E-8D60-48D5-B0A1-E4CE8EC29562}"/>
    <cellStyle name="Normal 2 3 2 2 2 2 8 4" xfId="26299" xr:uid="{375F5BBC-3F8D-40EE-B375-3EE8E22679FA}"/>
    <cellStyle name="Normal 2 3 2 2 2 2 8 5" xfId="26300" xr:uid="{5EC582B5-071E-43FF-9EB6-48F11AFEA17E}"/>
    <cellStyle name="Normal 2 3 2 2 2 2 9" xfId="26301" xr:uid="{791B2F22-5F77-4EF6-B692-BCD0C6AC6C77}"/>
    <cellStyle name="Normal 2 3 2 2 2 2 9 2" xfId="26302" xr:uid="{212A355A-F536-4AE3-BC1F-965FE564CE03}"/>
    <cellStyle name="Normal 2 3 2 2 2 2 9 3" xfId="26303" xr:uid="{C8F36EDB-1B43-4654-A11D-AB9C0FE60FE4}"/>
    <cellStyle name="Normal 2 3 2 2 2 2 9 4" xfId="26304" xr:uid="{5A029A4F-E1BA-451A-A81D-4C95CEC97968}"/>
    <cellStyle name="Normal 2 3 2 2 2 2 9 5" xfId="26305" xr:uid="{E5335F1D-3F40-4BE5-A0AA-9280B8F3827B}"/>
    <cellStyle name="Normal 2 3 2 2 2 3" xfId="26306" xr:uid="{AD2AF687-1328-475B-9F11-D5E41A7D7183}"/>
    <cellStyle name="Normal 2 3 2 2 2 3 10" xfId="26307" xr:uid="{B71A79F1-6759-4F7D-8618-3EF30C9EEA77}"/>
    <cellStyle name="Normal 2 3 2 2 2 3 11" xfId="26308" xr:uid="{C94CB384-8EEE-43A5-A5B0-AD4AEC5C72D6}"/>
    <cellStyle name="Normal 2 3 2 2 2 3 12" xfId="26309" xr:uid="{C3EF97A6-89DD-45FA-8EBB-767FFAE34ED0}"/>
    <cellStyle name="Normal 2 3 2 2 2 3 2" xfId="26310" xr:uid="{324621C4-2139-45F9-AA27-610E2468A9F5}"/>
    <cellStyle name="Normal 2 3 2 2 2 3 2 2" xfId="26311" xr:uid="{F0D660C5-C25D-487F-8ACB-2ADA305209C7}"/>
    <cellStyle name="Normal 2 3 2 2 2 3 2 2 2" xfId="26312" xr:uid="{8E043E93-1EA8-4B88-ADB7-887161E92840}"/>
    <cellStyle name="Normal 2 3 2 2 2 3 2 2 3" xfId="26313" xr:uid="{C13547A2-7552-45D2-A66E-CA573A1FE0DE}"/>
    <cellStyle name="Normal 2 3 2 2 2 3 2 2 4" xfId="26314" xr:uid="{D398ECE6-19B5-4536-8A52-48E75122E420}"/>
    <cellStyle name="Normal 2 3 2 2 2 3 2 2 5" xfId="26315" xr:uid="{A4F93B97-7870-4C22-AAFC-E7CF84ABEA77}"/>
    <cellStyle name="Normal 2 3 2 2 2 3 2 3" xfId="26316" xr:uid="{8652F1D5-1AEC-4930-89C2-19F277E238C4}"/>
    <cellStyle name="Normal 2 3 2 2 2 3 2 4" xfId="26317" xr:uid="{8AFFE0DE-B4B6-437E-A92B-37ACE7EFE731}"/>
    <cellStyle name="Normal 2 3 2 2 2 3 2 5" xfId="26318" xr:uid="{181AE057-C395-4981-B2D4-F3C0CD5C160F}"/>
    <cellStyle name="Normal 2 3 2 2 2 3 2 6" xfId="26319" xr:uid="{5761F4E2-63DE-4BC7-8DB2-35FD5F0B0405}"/>
    <cellStyle name="Normal 2 3 2 2 2 3 3" xfId="26320" xr:uid="{5A39799A-97CF-4978-B80E-82FE40256E76}"/>
    <cellStyle name="Normal 2 3 2 2 2 3 3 2" xfId="26321" xr:uid="{A1848FA4-1B62-4285-8E2E-9F1E941E27B5}"/>
    <cellStyle name="Normal 2 3 2 2 2 3 3 2 2" xfId="26322" xr:uid="{B74705D8-80AD-46EF-AAFF-722FAA7DC3C9}"/>
    <cellStyle name="Normal 2 3 2 2 2 3 3 2 3" xfId="26323" xr:uid="{1A87C97B-6AB3-41E2-A696-60ACCC9F0E08}"/>
    <cellStyle name="Normal 2 3 2 2 2 3 3 2 4" xfId="26324" xr:uid="{F08706A4-D4A4-4784-9061-174C1BE9E914}"/>
    <cellStyle name="Normal 2 3 2 2 2 3 3 2 5" xfId="26325" xr:uid="{E652E4AB-16FB-4D34-908C-D7AB75234850}"/>
    <cellStyle name="Normal 2 3 2 2 2 3 3 3" xfId="26326" xr:uid="{80DEF1B8-162B-42B3-A3E4-09A6447930D7}"/>
    <cellStyle name="Normal 2 3 2 2 2 3 3 4" xfId="26327" xr:uid="{69275024-2942-4936-9359-F849AEB4831E}"/>
    <cellStyle name="Normal 2 3 2 2 2 3 3 5" xfId="26328" xr:uid="{B7E68EB2-5573-49D4-A25F-3A041DE32C8E}"/>
    <cellStyle name="Normal 2 3 2 2 2 3 3 6" xfId="26329" xr:uid="{6949FBE3-9238-4297-ACC0-45457DF6977E}"/>
    <cellStyle name="Normal 2 3 2 2 2 3 4" xfId="26330" xr:uid="{46C79C26-45A3-45D1-BD0F-AEE7BC9BC537}"/>
    <cellStyle name="Normal 2 3 2 2 2 3 4 2" xfId="26331" xr:uid="{73BA57D9-16FF-4D6F-AAEC-5A48EED2DECB}"/>
    <cellStyle name="Normal 2 3 2 2 2 3 4 2 2" xfId="26332" xr:uid="{F849B671-C000-42D2-83E3-4B6A7739E42B}"/>
    <cellStyle name="Normal 2 3 2 2 2 3 4 2 3" xfId="26333" xr:uid="{02708884-ACBC-41F7-BAC7-57ED5C454549}"/>
    <cellStyle name="Normal 2 3 2 2 2 3 4 2 4" xfId="26334" xr:uid="{19211832-23BB-41FF-A6E9-9549A1677C25}"/>
    <cellStyle name="Normal 2 3 2 2 2 3 4 2 5" xfId="26335" xr:uid="{F3175168-7AD5-4305-8DC3-1D6F1CC49E89}"/>
    <cellStyle name="Normal 2 3 2 2 2 3 4 3" xfId="26336" xr:uid="{3A21AB03-4E54-43D4-B584-F0133D371669}"/>
    <cellStyle name="Normal 2 3 2 2 2 3 4 4" xfId="26337" xr:uid="{E3A4FB4D-7F2A-4307-9B83-6AC08FCD367E}"/>
    <cellStyle name="Normal 2 3 2 2 2 3 4 5" xfId="26338" xr:uid="{F4DFE2FF-C7AC-4CA2-B1B8-953B6300E286}"/>
    <cellStyle name="Normal 2 3 2 2 2 3 4 6" xfId="26339" xr:uid="{F12E8F9A-E1B3-4E0B-B3E3-D54CDD510E91}"/>
    <cellStyle name="Normal 2 3 2 2 2 3 5" xfId="26340" xr:uid="{73781A02-7649-4E34-84D7-EB0081FC1F79}"/>
    <cellStyle name="Normal 2 3 2 2 2 3 5 2" xfId="26341" xr:uid="{AA248A2B-B825-49C4-B5AF-92DE5E23291C}"/>
    <cellStyle name="Normal 2 3 2 2 2 3 5 3" xfId="26342" xr:uid="{35A0D3E2-C832-4B0D-BBE1-63A680952578}"/>
    <cellStyle name="Normal 2 3 2 2 2 3 5 4" xfId="26343" xr:uid="{6378EB43-22D0-4F0E-9C4B-5EE6E85798A0}"/>
    <cellStyle name="Normal 2 3 2 2 2 3 5 5" xfId="26344" xr:uid="{9B2B1A5F-34FE-4C37-85A1-932B83AE6372}"/>
    <cellStyle name="Normal 2 3 2 2 2 3 6" xfId="26345" xr:uid="{4CA5BE74-E6F6-4C0D-B462-F9A0FC874754}"/>
    <cellStyle name="Normal 2 3 2 2 2 3 6 2" xfId="26346" xr:uid="{ADA9F2F6-66DB-4327-89DC-38CA392534CF}"/>
    <cellStyle name="Normal 2 3 2 2 2 3 6 3" xfId="26347" xr:uid="{A03CB83C-E05C-4B94-A98D-D10317C5AB8B}"/>
    <cellStyle name="Normal 2 3 2 2 2 3 6 4" xfId="26348" xr:uid="{5F1F6789-4E40-41A2-BF1F-E5EB6364A679}"/>
    <cellStyle name="Normal 2 3 2 2 2 3 6 5" xfId="26349" xr:uid="{8EB1AD90-A691-4F12-96BA-56D2D87BB1B2}"/>
    <cellStyle name="Normal 2 3 2 2 2 3 7" xfId="26350" xr:uid="{3D5A2B6D-B003-462F-B97A-7A01366E5A38}"/>
    <cellStyle name="Normal 2 3 2 2 2 3 7 2" xfId="26351" xr:uid="{C8ECABCD-26EE-4BAA-BB8D-A6624DD33923}"/>
    <cellStyle name="Normal 2 3 2 2 2 3 7 3" xfId="26352" xr:uid="{A27338FC-CD29-4FFF-80A9-816613202B22}"/>
    <cellStyle name="Normal 2 3 2 2 2 3 7 4" xfId="26353" xr:uid="{D0DDE4AF-B5A4-4DF5-8430-A53229F6FF72}"/>
    <cellStyle name="Normal 2 3 2 2 2 3 7 5" xfId="26354" xr:uid="{EE55FA4C-D3DD-4B7A-B5CB-B21AF578D929}"/>
    <cellStyle name="Normal 2 3 2 2 2 3 8" xfId="26355" xr:uid="{77805186-D00C-4FF9-954C-7DFA4C8D75DB}"/>
    <cellStyle name="Normal 2 3 2 2 2 3 8 2" xfId="26356" xr:uid="{A21EE285-BD87-4BF6-ABEA-6F7E1C51BE1F}"/>
    <cellStyle name="Normal 2 3 2 2 2 3 8 3" xfId="26357" xr:uid="{C115EA22-97AC-4B84-8936-C8C8419609D1}"/>
    <cellStyle name="Normal 2 3 2 2 2 3 8 4" xfId="26358" xr:uid="{2DB6D463-6A1D-49C7-9157-F0EF6DD2B17D}"/>
    <cellStyle name="Normal 2 3 2 2 2 3 8 5" xfId="26359" xr:uid="{9F1672EB-4587-4C4D-8620-106C728B6BE8}"/>
    <cellStyle name="Normal 2 3 2 2 2 3 9" xfId="26360" xr:uid="{0A3C9CC9-CC18-45FA-B9EF-23D2FE0DF76E}"/>
    <cellStyle name="Normal 2 3 2 2 2 4" xfId="26361" xr:uid="{BD1AB8A9-A057-420C-BCAF-D9077F1DBCC2}"/>
    <cellStyle name="Normal 2 3 2 2 2 4 2" xfId="26362" xr:uid="{260DFA46-933E-422A-AB61-FE91FCB9F14C}"/>
    <cellStyle name="Normal 2 3 2 2 2 4 2 2" xfId="26363" xr:uid="{AFF0591D-D3C1-4A82-B586-E3C2F8A87A5A}"/>
    <cellStyle name="Normal 2 3 2 2 2 4 2 3" xfId="26364" xr:uid="{A0FE7037-1CC7-45A0-920E-B6F1DA721E6F}"/>
    <cellStyle name="Normal 2 3 2 2 2 4 2 4" xfId="26365" xr:uid="{5EBB89FF-A660-4D99-ACBC-F64DFD1B14BE}"/>
    <cellStyle name="Normal 2 3 2 2 2 4 2 5" xfId="26366" xr:uid="{07883117-4E09-410E-894E-26C18222CAD5}"/>
    <cellStyle name="Normal 2 3 2 2 2 4 3" xfId="26367" xr:uid="{24E5A3A8-CFC6-46D2-A0AA-7B55C92771FF}"/>
    <cellStyle name="Normal 2 3 2 2 2 4 4" xfId="26368" xr:uid="{CE555E7E-77D2-4C85-BE93-C9D06BDEDC19}"/>
    <cellStyle name="Normal 2 3 2 2 2 4 5" xfId="26369" xr:uid="{1369F02D-321E-4161-B8E1-3796CD9BA91F}"/>
    <cellStyle name="Normal 2 3 2 2 2 4 6" xfId="26370" xr:uid="{8876AAAD-07F3-4664-B547-81D05287EA43}"/>
    <cellStyle name="Normal 2 3 2 2 2 5" xfId="26371" xr:uid="{80C2F5A2-C619-4095-BCEB-F03907E95CD3}"/>
    <cellStyle name="Normal 2 3 2 2 2 5 2" xfId="26372" xr:uid="{2A9ABFF4-5B4E-40D9-9C08-9A01D31ED5BC}"/>
    <cellStyle name="Normal 2 3 2 2 2 5 2 2" xfId="26373" xr:uid="{674A4578-CE3A-4996-90FC-11AF6F8E3015}"/>
    <cellStyle name="Normal 2 3 2 2 2 5 2 3" xfId="26374" xr:uid="{4E5F6D4C-DBAB-472D-93E4-334A67C87D0F}"/>
    <cellStyle name="Normal 2 3 2 2 2 5 2 4" xfId="26375" xr:uid="{B410FE84-6C39-4C91-86BE-0EF95F2E2358}"/>
    <cellStyle name="Normal 2 3 2 2 2 5 2 5" xfId="26376" xr:uid="{643622E6-2783-412C-BC45-45BBF02100C9}"/>
    <cellStyle name="Normal 2 3 2 2 2 5 3" xfId="26377" xr:uid="{B77A2FC8-B37B-464D-BAC6-91AF22FDAC46}"/>
    <cellStyle name="Normal 2 3 2 2 2 5 4" xfId="26378" xr:uid="{560C8510-23D0-4751-B8A0-7B27656352F5}"/>
    <cellStyle name="Normal 2 3 2 2 2 5 5" xfId="26379" xr:uid="{367D5B44-DFBD-4BE5-9799-EE4257727E40}"/>
    <cellStyle name="Normal 2 3 2 2 2 5 6" xfId="26380" xr:uid="{CFC918DE-B829-496D-98F7-1DBF25A5122C}"/>
    <cellStyle name="Normal 2 3 2 2 2 6" xfId="26381" xr:uid="{FBED124E-4B94-46BF-8DD0-D635BE013975}"/>
    <cellStyle name="Normal 2 3 2 2 2 6 2" xfId="26382" xr:uid="{E0A598E5-D829-4B2E-9855-CF2C0DB92255}"/>
    <cellStyle name="Normal 2 3 2 2 2 6 2 2" xfId="26383" xr:uid="{FB706747-D9C8-489A-A5CF-4AC9D3AC62F8}"/>
    <cellStyle name="Normal 2 3 2 2 2 6 2 3" xfId="26384" xr:uid="{2DCCB1EC-0D96-40BD-B41E-51D9C04875FC}"/>
    <cellStyle name="Normal 2 3 2 2 2 6 2 4" xfId="26385" xr:uid="{7FB01D36-32A5-4CD8-BE7D-03B717A72335}"/>
    <cellStyle name="Normal 2 3 2 2 2 6 2 5" xfId="26386" xr:uid="{CE5FFE90-50E1-4C38-927B-EF365B1A7711}"/>
    <cellStyle name="Normal 2 3 2 2 2 6 3" xfId="26387" xr:uid="{28673252-9C01-431D-B142-B59EA0993DBB}"/>
    <cellStyle name="Normal 2 3 2 2 2 6 4" xfId="26388" xr:uid="{6AFDDEAA-9A0D-479E-90EC-28CC90D099EC}"/>
    <cellStyle name="Normal 2 3 2 2 2 6 5" xfId="26389" xr:uid="{06BDAC81-361D-41EC-8069-CBD52F1F6393}"/>
    <cellStyle name="Normal 2 3 2 2 2 6 6" xfId="26390" xr:uid="{646264E8-4C9C-416A-8409-B3823FF99B89}"/>
    <cellStyle name="Normal 2 3 2 2 2 7" xfId="26391" xr:uid="{D4565F85-1747-4C2A-8257-DB5394BF2DDD}"/>
    <cellStyle name="Normal 2 3 2 2 2 7 2" xfId="26392" xr:uid="{3485D762-B5FC-473E-AA32-F163BBA44D61}"/>
    <cellStyle name="Normal 2 3 2 2 2 7 3" xfId="26393" xr:uid="{EE8850D1-D657-4BD7-A8D6-364C0BCE3665}"/>
    <cellStyle name="Normal 2 3 2 2 2 7 4" xfId="26394" xr:uid="{768E1F97-0246-4EDD-A5FC-17386F5527CD}"/>
    <cellStyle name="Normal 2 3 2 2 2 7 5" xfId="26395" xr:uid="{507B3A5A-45C8-4524-BEEF-D9309AB24849}"/>
    <cellStyle name="Normal 2 3 2 2 2 8" xfId="26396" xr:uid="{896B39E3-E442-4331-90C7-E84DA1CA7B37}"/>
    <cellStyle name="Normal 2 3 2 2 2 8 2" xfId="26397" xr:uid="{DDA47D79-3313-45EA-A994-B45661E7D218}"/>
    <cellStyle name="Normal 2 3 2 2 2 8 3" xfId="26398" xr:uid="{3F3F1628-9747-4F32-88C7-BCFC97C26D9C}"/>
    <cellStyle name="Normal 2 3 2 2 2 8 4" xfId="26399" xr:uid="{12770A62-966E-4E1C-A707-ADA4004E46FA}"/>
    <cellStyle name="Normal 2 3 2 2 2 8 5" xfId="26400" xr:uid="{46FDFE14-CC49-46BB-9577-292579E163D3}"/>
    <cellStyle name="Normal 2 3 2 2 2 9" xfId="26401" xr:uid="{104CC977-C321-4BE7-9E4C-01284CEEBC7C}"/>
    <cellStyle name="Normal 2 3 2 2 2 9 2" xfId="26402" xr:uid="{8C006911-A5CF-4EC8-9D9E-314B215A2F71}"/>
    <cellStyle name="Normal 2 3 2 2 2 9 3" xfId="26403" xr:uid="{162C863E-1C70-4764-BC4F-1EA9D2B48783}"/>
    <cellStyle name="Normal 2 3 2 2 2 9 4" xfId="26404" xr:uid="{52283336-8B66-4924-A166-D2AADB5B9809}"/>
    <cellStyle name="Normal 2 3 2 2 2 9 5" xfId="26405" xr:uid="{FC4C3EDA-9CE4-4103-B2A7-D00E6DB65B30}"/>
    <cellStyle name="Normal 2 3 2 2 3" xfId="26406" xr:uid="{C56BD39F-2051-4B06-9B2F-DBA24657FEB7}"/>
    <cellStyle name="Normal 2 3 2 2 3 10" xfId="26407" xr:uid="{FA2B32C6-99BB-4777-8181-E7B6C6F7B0A9}"/>
    <cellStyle name="Normal 2 3 2 2 3 11" xfId="26408" xr:uid="{4D094501-EFEF-4B23-8417-CD36EE54C939}"/>
    <cellStyle name="Normal 2 3 2 2 3 12" xfId="26409" xr:uid="{C4D8BD5E-A0E2-4A7B-8DD2-BDBECF178FAD}"/>
    <cellStyle name="Normal 2 3 2 2 3 13" xfId="26410" xr:uid="{AB178DE6-6BE2-4A5E-B259-180068D77CF1}"/>
    <cellStyle name="Normal 2 3 2 2 3 2" xfId="26411" xr:uid="{1CBFA0A0-78D5-4E99-A56D-D637F2BBFDCA}"/>
    <cellStyle name="Normal 2 3 2 2 3 2 10" xfId="26412" xr:uid="{BF723ED0-ADB9-402A-B4EF-282CFA31216B}"/>
    <cellStyle name="Normal 2 3 2 2 3 2 11" xfId="26413" xr:uid="{D96C1B1C-480E-4A8C-8F5D-41DDC2872EC9}"/>
    <cellStyle name="Normal 2 3 2 2 3 2 12" xfId="26414" xr:uid="{B3B21BBD-8414-4737-A09D-8FFBCFC6E43B}"/>
    <cellStyle name="Normal 2 3 2 2 3 2 2" xfId="26415" xr:uid="{CE0D2C21-0C3B-4177-984E-BA4E14FAD3C5}"/>
    <cellStyle name="Normal 2 3 2 2 3 2 2 2" xfId="26416" xr:uid="{4E69C60F-C2D8-42ED-8F29-41B59ABCF636}"/>
    <cellStyle name="Normal 2 3 2 2 3 2 2 2 2" xfId="26417" xr:uid="{677222E7-8A17-4A3F-80C2-D2601C66487C}"/>
    <cellStyle name="Normal 2 3 2 2 3 2 2 2 3" xfId="26418" xr:uid="{4ADA6C2D-05BA-49C6-96A5-96CA1F9751D0}"/>
    <cellStyle name="Normal 2 3 2 2 3 2 2 2 4" xfId="26419" xr:uid="{570F2F4B-CAE6-4142-94E2-79247BB27511}"/>
    <cellStyle name="Normal 2 3 2 2 3 2 2 2 5" xfId="26420" xr:uid="{14D10FB9-DFAD-4E6A-91F7-5FB3D1FFEBF2}"/>
    <cellStyle name="Normal 2 3 2 2 3 2 2 3" xfId="26421" xr:uid="{044EDE27-2C1B-44B1-B166-6078D2B06226}"/>
    <cellStyle name="Normal 2 3 2 2 3 2 2 4" xfId="26422" xr:uid="{EDE1482B-5BB7-4AAA-AA77-3206BD703153}"/>
    <cellStyle name="Normal 2 3 2 2 3 2 2 5" xfId="26423" xr:uid="{F8E8F882-24EF-4FEB-9219-05DE8BE0097F}"/>
    <cellStyle name="Normal 2 3 2 2 3 2 2 6" xfId="26424" xr:uid="{6647BEBF-80B0-45EA-B419-34ED87A38562}"/>
    <cellStyle name="Normal 2 3 2 2 3 2 3" xfId="26425" xr:uid="{3925042E-E315-4EF8-AF0D-BC0807EB3C30}"/>
    <cellStyle name="Normal 2 3 2 2 3 2 3 2" xfId="26426" xr:uid="{78A0C3FC-8568-410B-8548-27DEF19F502E}"/>
    <cellStyle name="Normal 2 3 2 2 3 2 3 2 2" xfId="26427" xr:uid="{E76654F0-F08F-48AF-9739-155B69EF3768}"/>
    <cellStyle name="Normal 2 3 2 2 3 2 3 2 3" xfId="26428" xr:uid="{3B943AF3-25D1-4D9E-B711-9C59917208D6}"/>
    <cellStyle name="Normal 2 3 2 2 3 2 3 2 4" xfId="26429" xr:uid="{F40D2AE9-7BB8-4ABF-9120-FE0BBE36442E}"/>
    <cellStyle name="Normal 2 3 2 2 3 2 3 2 5" xfId="26430" xr:uid="{ABE1A951-A171-4FDF-9F8D-D14928C6217B}"/>
    <cellStyle name="Normal 2 3 2 2 3 2 3 3" xfId="26431" xr:uid="{F8DCF76A-CF3F-421D-81A9-417FECC79283}"/>
    <cellStyle name="Normal 2 3 2 2 3 2 3 4" xfId="26432" xr:uid="{AD30ADE9-B838-4AB0-8060-151382AD4E2E}"/>
    <cellStyle name="Normal 2 3 2 2 3 2 3 5" xfId="26433" xr:uid="{EE7604CC-A232-4884-BF73-121F99474CF3}"/>
    <cellStyle name="Normal 2 3 2 2 3 2 3 6" xfId="26434" xr:uid="{A9F78E9B-4FB8-4DA3-9DB8-AD64A6B58BE8}"/>
    <cellStyle name="Normal 2 3 2 2 3 2 4" xfId="26435" xr:uid="{D9AAD594-38E7-479D-8ABF-B5A4514BE4A2}"/>
    <cellStyle name="Normal 2 3 2 2 3 2 4 2" xfId="26436" xr:uid="{17649998-F235-42C0-9818-1FA2CCD5652D}"/>
    <cellStyle name="Normal 2 3 2 2 3 2 4 2 2" xfId="26437" xr:uid="{282CB0F4-0BD7-45A5-8479-F742EC2FD473}"/>
    <cellStyle name="Normal 2 3 2 2 3 2 4 2 3" xfId="26438" xr:uid="{1C08301E-9FF2-4339-9154-3E54C8ABA549}"/>
    <cellStyle name="Normal 2 3 2 2 3 2 4 2 4" xfId="26439" xr:uid="{6BF8927E-A407-4180-98D2-610E464BE7A9}"/>
    <cellStyle name="Normal 2 3 2 2 3 2 4 2 5" xfId="26440" xr:uid="{57B44112-C48B-4307-B0EB-956977B314C4}"/>
    <cellStyle name="Normal 2 3 2 2 3 2 4 3" xfId="26441" xr:uid="{BDEBC5F2-3BA5-492B-A5C1-FB07672A5C78}"/>
    <cellStyle name="Normal 2 3 2 2 3 2 4 4" xfId="26442" xr:uid="{226DB4D7-273A-446D-859E-F8E916585540}"/>
    <cellStyle name="Normal 2 3 2 2 3 2 4 5" xfId="26443" xr:uid="{C505768D-1F8C-49C4-913D-3F98B87938EA}"/>
    <cellStyle name="Normal 2 3 2 2 3 2 4 6" xfId="26444" xr:uid="{E99F8D07-B47B-4C8C-80EF-CDE38881F0F1}"/>
    <cellStyle name="Normal 2 3 2 2 3 2 5" xfId="26445" xr:uid="{D80613DE-F142-415B-B4FE-FA7535E80071}"/>
    <cellStyle name="Normal 2 3 2 2 3 2 5 2" xfId="26446" xr:uid="{38A1AA4A-45AD-49FF-A454-7BBB7D93508E}"/>
    <cellStyle name="Normal 2 3 2 2 3 2 5 3" xfId="26447" xr:uid="{0E8F269F-5834-468F-91B0-ABB0E34317B5}"/>
    <cellStyle name="Normal 2 3 2 2 3 2 5 4" xfId="26448" xr:uid="{E4B4DCD9-302B-4A48-925E-1CEABF7C7B48}"/>
    <cellStyle name="Normal 2 3 2 2 3 2 5 5" xfId="26449" xr:uid="{8B428296-6907-4FD4-99B7-A76E62441470}"/>
    <cellStyle name="Normal 2 3 2 2 3 2 6" xfId="26450" xr:uid="{9E6A64E1-FE56-442D-BBE1-50F827586354}"/>
    <cellStyle name="Normal 2 3 2 2 3 2 6 2" xfId="26451" xr:uid="{20A000F7-3350-489A-86E3-55D0DBC9B0F5}"/>
    <cellStyle name="Normal 2 3 2 2 3 2 6 3" xfId="26452" xr:uid="{6AC801E4-E7C7-4112-ACA7-76006529153F}"/>
    <cellStyle name="Normal 2 3 2 2 3 2 6 4" xfId="26453" xr:uid="{7A8192B4-7CB3-44C1-B82E-AD287E676CAC}"/>
    <cellStyle name="Normal 2 3 2 2 3 2 6 5" xfId="26454" xr:uid="{A4A6EC31-F88C-40AF-9F2A-EEE20EFF39EC}"/>
    <cellStyle name="Normal 2 3 2 2 3 2 7" xfId="26455" xr:uid="{001D19E6-FC1F-4D8E-9B17-551FDB77E5CF}"/>
    <cellStyle name="Normal 2 3 2 2 3 2 7 2" xfId="26456" xr:uid="{F5B6C4F7-D07B-4160-A938-6AE8738DE7DA}"/>
    <cellStyle name="Normal 2 3 2 2 3 2 7 3" xfId="26457" xr:uid="{2FF3F09E-E48E-41B7-87D1-3D4B2B208BC6}"/>
    <cellStyle name="Normal 2 3 2 2 3 2 7 4" xfId="26458" xr:uid="{FA751DC9-A3FD-41C4-B302-63EF144805A3}"/>
    <cellStyle name="Normal 2 3 2 2 3 2 7 5" xfId="26459" xr:uid="{07A9E0D1-9379-4F70-BF5B-8E884894C9C8}"/>
    <cellStyle name="Normal 2 3 2 2 3 2 8" xfId="26460" xr:uid="{6F7518D0-2A57-4CC7-BEF3-654EEFE3EA87}"/>
    <cellStyle name="Normal 2 3 2 2 3 2 8 2" xfId="26461" xr:uid="{081B788A-2726-4359-8044-43250B7DC5E5}"/>
    <cellStyle name="Normal 2 3 2 2 3 2 8 3" xfId="26462" xr:uid="{5AD9AC3A-7A75-4BE6-9EB7-F08CCB12153B}"/>
    <cellStyle name="Normal 2 3 2 2 3 2 8 4" xfId="26463" xr:uid="{33374FB6-5470-4552-BD4B-D9C2E45CBA46}"/>
    <cellStyle name="Normal 2 3 2 2 3 2 8 5" xfId="26464" xr:uid="{42FB9DAD-AECC-4E4F-A0E8-76EB31DF7CDB}"/>
    <cellStyle name="Normal 2 3 2 2 3 2 9" xfId="26465" xr:uid="{2211C5FE-A924-40C8-86E6-3AFF465B6569}"/>
    <cellStyle name="Normal 2 3 2 2 3 3" xfId="26466" xr:uid="{B50F04AB-176C-422C-B7BC-1D9EB171C883}"/>
    <cellStyle name="Normal 2 3 2 2 3 3 2" xfId="26467" xr:uid="{003B0A1B-46D3-4381-9C86-F16FA56CD3D1}"/>
    <cellStyle name="Normal 2 3 2 2 3 3 2 2" xfId="26468" xr:uid="{3DB5B989-32C8-49E3-905F-F45086C85249}"/>
    <cellStyle name="Normal 2 3 2 2 3 3 2 3" xfId="26469" xr:uid="{15EF501C-92A3-4DF6-AC3D-FE4F156691B6}"/>
    <cellStyle name="Normal 2 3 2 2 3 3 2 4" xfId="26470" xr:uid="{B44CDC4C-5D9D-4D89-A440-2F161885A712}"/>
    <cellStyle name="Normal 2 3 2 2 3 3 2 5" xfId="26471" xr:uid="{2673CE66-BC48-433D-A3A7-A48EA84BDD44}"/>
    <cellStyle name="Normal 2 3 2 2 3 3 3" xfId="26472" xr:uid="{757D01A0-6224-48E7-83EC-E287FD19331D}"/>
    <cellStyle name="Normal 2 3 2 2 3 3 4" xfId="26473" xr:uid="{8F193C22-7C35-4A86-931B-A7EDF15D5310}"/>
    <cellStyle name="Normal 2 3 2 2 3 3 5" xfId="26474" xr:uid="{5A91C1E6-6CAB-449C-AB58-14464F05827A}"/>
    <cellStyle name="Normal 2 3 2 2 3 3 6" xfId="26475" xr:uid="{1D0D6DD5-A4E1-47E4-AFB7-78DBBC92AFE0}"/>
    <cellStyle name="Normal 2 3 2 2 3 4" xfId="26476" xr:uid="{BBFC4CF3-C097-49C4-98A6-2E417807350D}"/>
    <cellStyle name="Normal 2 3 2 2 3 4 2" xfId="26477" xr:uid="{4712B62D-9BEF-46FF-A040-8579253EF225}"/>
    <cellStyle name="Normal 2 3 2 2 3 4 2 2" xfId="26478" xr:uid="{6D03DA42-F364-463E-9AEE-169A3C7F9D78}"/>
    <cellStyle name="Normal 2 3 2 2 3 4 2 3" xfId="26479" xr:uid="{C6ABF6E4-C625-482A-81D2-43CFEE1D89F0}"/>
    <cellStyle name="Normal 2 3 2 2 3 4 2 4" xfId="26480" xr:uid="{F84BC8BB-FAEC-4652-86EE-7F5DE0769306}"/>
    <cellStyle name="Normal 2 3 2 2 3 4 2 5" xfId="26481" xr:uid="{88E4E1CE-2D48-4356-A703-9F9BF31C4A45}"/>
    <cellStyle name="Normal 2 3 2 2 3 4 3" xfId="26482" xr:uid="{3B72AA2E-991B-4866-8BB1-AE144E7E916E}"/>
    <cellStyle name="Normal 2 3 2 2 3 4 4" xfId="26483" xr:uid="{CF2C73FD-F48C-4FE8-B91C-BD43C2E39930}"/>
    <cellStyle name="Normal 2 3 2 2 3 4 5" xfId="26484" xr:uid="{8EEB6855-954C-44C7-BF80-C1424A61DDC8}"/>
    <cellStyle name="Normal 2 3 2 2 3 4 6" xfId="26485" xr:uid="{6BB1E293-A993-465B-9B0F-BF0F78B26489}"/>
    <cellStyle name="Normal 2 3 2 2 3 5" xfId="26486" xr:uid="{52A27D71-918A-46AF-BF8B-FC54DCC1894B}"/>
    <cellStyle name="Normal 2 3 2 2 3 5 2" xfId="26487" xr:uid="{F03F0B92-5435-478A-A781-3E4AEB26AFB1}"/>
    <cellStyle name="Normal 2 3 2 2 3 5 2 2" xfId="26488" xr:uid="{B84D7EBD-99A8-4F78-941F-F497BA444A27}"/>
    <cellStyle name="Normal 2 3 2 2 3 5 2 3" xfId="26489" xr:uid="{96143E29-9505-4C3C-A2AD-43CDD90E7EA8}"/>
    <cellStyle name="Normal 2 3 2 2 3 5 2 4" xfId="26490" xr:uid="{258ED1B0-40ED-4003-8E37-89C26A6956D3}"/>
    <cellStyle name="Normal 2 3 2 2 3 5 2 5" xfId="26491" xr:uid="{FED0C8D9-EFC8-423F-BC69-BE746DE5B9BB}"/>
    <cellStyle name="Normal 2 3 2 2 3 5 3" xfId="26492" xr:uid="{772AE9D9-F378-4EE9-B622-2965A9DF3FBA}"/>
    <cellStyle name="Normal 2 3 2 2 3 5 4" xfId="26493" xr:uid="{D8CC3C4B-7F50-4E31-878B-69A1F2415186}"/>
    <cellStyle name="Normal 2 3 2 2 3 5 5" xfId="26494" xr:uid="{D0043FF6-4893-48D9-8BA9-DFD61512A0A4}"/>
    <cellStyle name="Normal 2 3 2 2 3 5 6" xfId="26495" xr:uid="{7ACA22BE-AFAD-4C0A-B059-748BFA8C7E01}"/>
    <cellStyle name="Normal 2 3 2 2 3 6" xfId="26496" xr:uid="{7DD91728-7ABF-4201-AD84-F72161C9495F}"/>
    <cellStyle name="Normal 2 3 2 2 3 6 2" xfId="26497" xr:uid="{0C8EB15F-1A74-407A-BA90-59F02E2C7351}"/>
    <cellStyle name="Normal 2 3 2 2 3 6 3" xfId="26498" xr:uid="{0164D2E1-6D6F-429F-BED7-1416898062BC}"/>
    <cellStyle name="Normal 2 3 2 2 3 6 4" xfId="26499" xr:uid="{09B5773E-1FA4-46DB-8E6E-BA099E5000CD}"/>
    <cellStyle name="Normal 2 3 2 2 3 6 5" xfId="26500" xr:uid="{E01AC27D-92AB-4226-8A2E-7EA1E26608E1}"/>
    <cellStyle name="Normal 2 3 2 2 3 7" xfId="26501" xr:uid="{671FB4EB-1F0E-4537-9B72-3BE60ECA189C}"/>
    <cellStyle name="Normal 2 3 2 2 3 7 2" xfId="26502" xr:uid="{263399FA-743A-43AD-A9C9-7D5D9B4FC888}"/>
    <cellStyle name="Normal 2 3 2 2 3 7 3" xfId="26503" xr:uid="{48D29DD1-C55E-492A-A2E8-FD4A81049C2F}"/>
    <cellStyle name="Normal 2 3 2 2 3 7 4" xfId="26504" xr:uid="{90F4DFEA-13A4-4B3D-B361-0F54307308EB}"/>
    <cellStyle name="Normal 2 3 2 2 3 7 5" xfId="26505" xr:uid="{1D937C79-EABA-4196-BA6F-9BD03ACBCB9E}"/>
    <cellStyle name="Normal 2 3 2 2 3 8" xfId="26506" xr:uid="{20C8A753-8CFE-457D-83FD-6B220A63EADB}"/>
    <cellStyle name="Normal 2 3 2 2 3 8 2" xfId="26507" xr:uid="{599FBF0A-22E3-49D1-8872-F7DFEC0E5857}"/>
    <cellStyle name="Normal 2 3 2 2 3 8 3" xfId="26508" xr:uid="{97CFC20D-85F2-4E46-8BE7-30BDFA469F4B}"/>
    <cellStyle name="Normal 2 3 2 2 3 8 4" xfId="26509" xr:uid="{8EA0BB78-8DA1-4967-AAA6-D5D3E79C9556}"/>
    <cellStyle name="Normal 2 3 2 2 3 8 5" xfId="26510" xr:uid="{5151846C-8DFB-46F9-BDE1-7536561B9845}"/>
    <cellStyle name="Normal 2 3 2 2 3 9" xfId="26511" xr:uid="{BE915D5E-871D-414E-A607-4337AEE5E114}"/>
    <cellStyle name="Normal 2 3 2 2 3 9 2" xfId="26512" xr:uid="{196BB094-006B-48C8-AE3E-6B1C3974219A}"/>
    <cellStyle name="Normal 2 3 2 2 3 9 3" xfId="26513" xr:uid="{7470CBF4-BFA5-4488-88AA-0526ABDF8B21}"/>
    <cellStyle name="Normal 2 3 2 2 3 9 4" xfId="26514" xr:uid="{8FDBC39A-EF82-4985-9455-AF5147ECCEC5}"/>
    <cellStyle name="Normal 2 3 2 2 3 9 5" xfId="26515" xr:uid="{30EDE1C9-B7BA-4533-A365-B826913242E5}"/>
    <cellStyle name="Normal 2 3 2 2 4" xfId="26516" xr:uid="{2A8D7E44-1940-47A7-8CC7-136A15E2DD3D}"/>
    <cellStyle name="Normal 2 3 2 2 4 10" xfId="26517" xr:uid="{BB9D6D67-3DFB-4ECD-AB4F-040A3F4F48F2}"/>
    <cellStyle name="Normal 2 3 2 2 4 11" xfId="26518" xr:uid="{899CC805-CD3A-470E-8D2E-D61AF4A4C0C5}"/>
    <cellStyle name="Normal 2 3 2 2 4 2" xfId="26519" xr:uid="{2A7ED2A8-A6C7-4F6F-AC0B-7F5C008D6997}"/>
    <cellStyle name="Normal 2 3 2 2 4 2 10" xfId="26520" xr:uid="{00A996ED-1620-42F5-A112-8A1B0158070E}"/>
    <cellStyle name="Normal 2 3 2 2 4 2 11" xfId="26521" xr:uid="{8B4C9EFC-E962-4E4A-9C5B-7C923F6BC192}"/>
    <cellStyle name="Normal 2 3 2 2 4 2 12" xfId="26522" xr:uid="{31FE8354-AE33-490C-973C-899C72FA3FF2}"/>
    <cellStyle name="Normal 2 3 2 2 4 2 2" xfId="26523" xr:uid="{7D68D125-EB62-4E17-A5E9-E98AAADB9BF0}"/>
    <cellStyle name="Normal 2 3 2 2 4 2 2 2" xfId="26524" xr:uid="{A842C716-9D0C-41F5-AEAB-732876D9182C}"/>
    <cellStyle name="Normal 2 3 2 2 4 2 2 2 2" xfId="26525" xr:uid="{E4E626EC-F910-45D9-88A9-767113D51F4F}"/>
    <cellStyle name="Normal 2 3 2 2 4 2 2 2 3" xfId="26526" xr:uid="{E3F3E029-6BB7-4AA9-9E36-91B5BF5B6051}"/>
    <cellStyle name="Normal 2 3 2 2 4 2 2 2 4" xfId="26527" xr:uid="{C6D0B5A2-DDD3-4F4D-ACF7-91F3A1F62DB8}"/>
    <cellStyle name="Normal 2 3 2 2 4 2 2 2 5" xfId="26528" xr:uid="{5978BD19-81A2-41A4-8C9C-8D24EAAF508B}"/>
    <cellStyle name="Normal 2 3 2 2 4 2 2 3" xfId="26529" xr:uid="{FDD47529-9D0E-4448-A442-D32CD49FAC09}"/>
    <cellStyle name="Normal 2 3 2 2 4 2 2 4" xfId="26530" xr:uid="{1D8B9289-FD22-422A-A9AE-58571B9AC43C}"/>
    <cellStyle name="Normal 2 3 2 2 4 2 2 5" xfId="26531" xr:uid="{EB41A9B0-E291-4947-8DBE-227EFC34D62A}"/>
    <cellStyle name="Normal 2 3 2 2 4 2 3" xfId="26532" xr:uid="{3B07783B-DE26-4B10-A3D7-3900CD1DB156}"/>
    <cellStyle name="Normal 2 3 2 2 4 2 4" xfId="26533" xr:uid="{6E2B2AC9-67DB-4945-80E7-8759549F049D}"/>
    <cellStyle name="Normal 2 3 2 2 4 2 5" xfId="26534" xr:uid="{2AB0DB4B-4E4D-4234-9438-0241FD1F1A6C}"/>
    <cellStyle name="Normal 2 3 2 2 4 2 5 2" xfId="26535" xr:uid="{C7A31A5C-73CB-44C0-BF62-4160B56142B2}"/>
    <cellStyle name="Normal 2 3 2 2 4 2 5 3" xfId="26536" xr:uid="{BE12BBFC-EE68-49AF-838A-A9C1D1AB0B56}"/>
    <cellStyle name="Normal 2 3 2 2 4 2 5 4" xfId="26537" xr:uid="{D1FF9B20-8003-41A6-A3E9-8E8FEFD73D74}"/>
    <cellStyle name="Normal 2 3 2 2 4 2 5 5" xfId="26538" xr:uid="{7B65F2CE-A547-447D-B92F-E3232D4E0524}"/>
    <cellStyle name="Normal 2 3 2 2 4 2 6" xfId="26539" xr:uid="{7AF90834-6706-4998-A571-023CC5AC2B62}"/>
    <cellStyle name="Normal 2 3 2 2 4 2 7" xfId="26540" xr:uid="{9801BBE6-2B9D-45CF-A1D9-22FA37B0FA0C}"/>
    <cellStyle name="Normal 2 3 2 2 4 2 8" xfId="26541" xr:uid="{E8A744A5-B062-47E8-B124-7BE9D8D5E359}"/>
    <cellStyle name="Normal 2 3 2 2 4 2 9" xfId="26542" xr:uid="{1DBB82F8-BC04-4CCC-A7A8-54FF9BC08A3E}"/>
    <cellStyle name="Normal 2 3 2 2 4 3" xfId="26543" xr:uid="{73D891D7-E3FE-4A57-B4B0-747EFA218A47}"/>
    <cellStyle name="Normal 2 3 2 2 4 3 2" xfId="26544" xr:uid="{4AB8ADE2-64D8-4EE8-8F9C-A76196D79BF1}"/>
    <cellStyle name="Normal 2 3 2 2 4 3 2 2" xfId="26545" xr:uid="{797C824B-935F-4B82-B79E-73F212ECB943}"/>
    <cellStyle name="Normal 2 3 2 2 4 3 2 3" xfId="26546" xr:uid="{CCCF31AE-AA59-4E23-AB24-3DFBE432A726}"/>
    <cellStyle name="Normal 2 3 2 2 4 3 2 4" xfId="26547" xr:uid="{DAD2AC23-5885-456D-AFAF-E311856D0D0E}"/>
    <cellStyle name="Normal 2 3 2 2 4 3 2 5" xfId="26548" xr:uid="{285D31F6-21AE-4422-A492-B36DDD00D148}"/>
    <cellStyle name="Normal 2 3 2 2 4 3 3" xfId="26549" xr:uid="{023DFC4E-F6B4-46E0-AD45-6E60AB0CB5EB}"/>
    <cellStyle name="Normal 2 3 2 2 4 3 4" xfId="26550" xr:uid="{55DF6E1C-B634-47D2-9834-27311B9647F3}"/>
    <cellStyle name="Normal 2 3 2 2 4 3 5" xfId="26551" xr:uid="{0222E289-3519-401F-B489-490D61E9A686}"/>
    <cellStyle name="Normal 2 3 2 2 4 3 6" xfId="26552" xr:uid="{801B032A-32EB-43F2-99CE-C26F6F22DA3F}"/>
    <cellStyle name="Normal 2 3 2 2 4 4" xfId="26553" xr:uid="{A0E99FBB-089B-4392-A5F9-1E4C10FE9A46}"/>
    <cellStyle name="Normal 2 3 2 2 4 4 2" xfId="26554" xr:uid="{CDB9993D-B17B-4CF5-8A9B-F409C34FC926}"/>
    <cellStyle name="Normal 2 3 2 2 4 4 2 2" xfId="26555" xr:uid="{B58797F6-C1B8-4A39-8505-29560D8E9B46}"/>
    <cellStyle name="Normal 2 3 2 2 4 4 2 3" xfId="26556" xr:uid="{F8096874-5954-4C19-AE6E-35D3241AA200}"/>
    <cellStyle name="Normal 2 3 2 2 4 4 2 4" xfId="26557" xr:uid="{E73151EA-8F22-42DA-92A7-96307AB1D004}"/>
    <cellStyle name="Normal 2 3 2 2 4 4 2 5" xfId="26558" xr:uid="{4F65EFEC-97D0-43DE-9A76-BB37A24DE984}"/>
    <cellStyle name="Normal 2 3 2 2 4 4 3" xfId="26559" xr:uid="{693D7826-9471-4D1E-B8C4-A11C59D891D7}"/>
    <cellStyle name="Normal 2 3 2 2 4 4 4" xfId="26560" xr:uid="{AF01CF71-D413-4B6A-B72D-295088D78B1A}"/>
    <cellStyle name="Normal 2 3 2 2 4 4 5" xfId="26561" xr:uid="{7DD7D84F-393D-4932-8A1C-A12B4B18C204}"/>
    <cellStyle name="Normal 2 3 2 2 4 4 6" xfId="26562" xr:uid="{AFF66C85-C3F9-4C92-AAE4-72A6FD3CC701}"/>
    <cellStyle name="Normal 2 3 2 2 4 5" xfId="26563" xr:uid="{81EE31CD-D385-4A49-906D-04649B0C76ED}"/>
    <cellStyle name="Normal 2 3 2 2 4 5 2" xfId="26564" xr:uid="{1B22F58E-ECD5-4445-BB56-ABC99D1247D0}"/>
    <cellStyle name="Normal 2 3 2 2 4 5 3" xfId="26565" xr:uid="{921186C7-BB6B-478E-94E7-FE394C9B155B}"/>
    <cellStyle name="Normal 2 3 2 2 4 5 4" xfId="26566" xr:uid="{75D0102D-8569-4F2D-B26A-CF9A4C490784}"/>
    <cellStyle name="Normal 2 3 2 2 4 5 5" xfId="26567" xr:uid="{F37484E0-20C5-4A88-BDD1-6886F92B75CA}"/>
    <cellStyle name="Normal 2 3 2 2 4 6" xfId="26568" xr:uid="{34FA08BF-7C9A-4210-B3E4-8E77275B7A13}"/>
    <cellStyle name="Normal 2 3 2 2 4 6 2" xfId="26569" xr:uid="{859E21BD-4ED5-4AD8-BC42-C0330ECB8954}"/>
    <cellStyle name="Normal 2 3 2 2 4 6 3" xfId="26570" xr:uid="{0D107247-98B7-4A77-8267-1A5916842AE2}"/>
    <cellStyle name="Normal 2 3 2 2 4 6 4" xfId="26571" xr:uid="{1126A5E7-AE56-40A8-8DAB-E04C2FE3FD78}"/>
    <cellStyle name="Normal 2 3 2 2 4 6 5" xfId="26572" xr:uid="{173370EB-08DE-49E0-ADA9-265D415F2621}"/>
    <cellStyle name="Normal 2 3 2 2 4 7" xfId="26573" xr:uid="{804CE5AE-01B4-4DCF-9FB4-C6A7460169E0}"/>
    <cellStyle name="Normal 2 3 2 2 4 7 2" xfId="26574" xr:uid="{916E84E4-7CC4-4825-A5E5-5226B2C8D90A}"/>
    <cellStyle name="Normal 2 3 2 2 4 7 3" xfId="26575" xr:uid="{9C563E5F-0CDE-48ED-8258-3F2A0E089E57}"/>
    <cellStyle name="Normal 2 3 2 2 4 7 4" xfId="26576" xr:uid="{BCF89ED7-2910-4747-8008-0CDD7D262CDB}"/>
    <cellStyle name="Normal 2 3 2 2 4 7 5" xfId="26577" xr:uid="{C7D33F6F-3ED7-469A-BD81-2B3FA4277D0C}"/>
    <cellStyle name="Normal 2 3 2 2 4 8" xfId="26578" xr:uid="{A108B6BE-4887-4F54-9184-3DC63E690272}"/>
    <cellStyle name="Normal 2 3 2 2 4 9" xfId="26579" xr:uid="{836BDC7F-304A-4BD8-9F73-7F9D4050CC7F}"/>
    <cellStyle name="Normal 2 3 2 2 5" xfId="26580" xr:uid="{51856378-3F9A-4138-BE9C-8789CC620278}"/>
    <cellStyle name="Normal 2 3 2 2 5 2" xfId="26581" xr:uid="{8A2B4F3F-9CD5-4CF6-9BF5-061CD13D65F0}"/>
    <cellStyle name="Normal 2 3 2 2 5 2 2" xfId="26582" xr:uid="{809C9240-E2F5-4ACE-995F-75F2B394366E}"/>
    <cellStyle name="Normal 2 3 2 2 5 2 3" xfId="26583" xr:uid="{7C202DC7-BEB3-48C9-9F9A-6526B90207B3}"/>
    <cellStyle name="Normal 2 3 2 2 5 2 4" xfId="26584" xr:uid="{C34C0E20-638F-4DA4-9820-408202884442}"/>
    <cellStyle name="Normal 2 3 2 2 5 2 5" xfId="26585" xr:uid="{6DE4A9C6-3147-4708-8882-7D203B8EDF1C}"/>
    <cellStyle name="Normal 2 3 2 2 5 3" xfId="26586" xr:uid="{8D58E608-3884-44D8-94B5-8FF305DAF0BB}"/>
    <cellStyle name="Normal 2 3 2 2 5 4" xfId="26587" xr:uid="{C73B08B1-1F63-4F7F-9477-ACF7BDFFADC9}"/>
    <cellStyle name="Normal 2 3 2 2 5 5" xfId="26588" xr:uid="{67770163-2919-4D8B-9A53-CBE976CBA562}"/>
    <cellStyle name="Normal 2 3 2 2 6" xfId="26589" xr:uid="{6287F3F2-EBC9-4D88-99D1-ED0E1991DD66}"/>
    <cellStyle name="Normal 2 3 2 2 7" xfId="26590" xr:uid="{3DEF77E3-DEA0-4DFC-8678-E9514A471A54}"/>
    <cellStyle name="Normal 2 3 2 2 8" xfId="26591" xr:uid="{76696ABB-6763-406B-BA87-1416DE4AA738}"/>
    <cellStyle name="Normal 2 3 2 2 8 2" xfId="26592" xr:uid="{92B3C81E-DF68-45A9-A9FA-5272DA9F9AC3}"/>
    <cellStyle name="Normal 2 3 2 2 8 3" xfId="26593" xr:uid="{739C57FB-2E78-4575-8A1A-FFC335B72390}"/>
    <cellStyle name="Normal 2 3 2 2 8 4" xfId="26594" xr:uid="{AE5FD942-7DEE-462A-BFA4-8B8A969B7153}"/>
    <cellStyle name="Normal 2 3 2 2 8 5" xfId="26595" xr:uid="{95788ECB-55E7-46AF-BCCA-B0F01EC73B1C}"/>
    <cellStyle name="Normal 2 3 2 2 9" xfId="26596" xr:uid="{4B84C6C1-5F3C-43DD-98C7-1E0672653CE4}"/>
    <cellStyle name="Normal 2 3 2 3" xfId="26597" xr:uid="{BB0C10D0-62B8-4FBC-BE18-16662BD27078}"/>
    <cellStyle name="Normal 2 3 2 3 10" xfId="26598" xr:uid="{6667C622-68DF-4932-8F6A-D738F1620625}"/>
    <cellStyle name="Normal 2 3 2 3 10 2" xfId="26599" xr:uid="{FE4527F8-F8D3-4D6F-B34D-09A82EF51A74}"/>
    <cellStyle name="Normal 2 3 2 3 10 3" xfId="26600" xr:uid="{3A4DD797-36D2-4736-A2D6-3FDF9A566D54}"/>
    <cellStyle name="Normal 2 3 2 3 10 4" xfId="26601" xr:uid="{0F910B45-3C12-4B3D-B730-49B7DC1AE6BC}"/>
    <cellStyle name="Normal 2 3 2 3 10 5" xfId="26602" xr:uid="{34720310-221C-4EE0-9BB9-DEEFDB84688E}"/>
    <cellStyle name="Normal 2 3 2 3 11" xfId="26603" xr:uid="{1A9CB7E4-CE46-42BB-AC7B-65D61EF3222F}"/>
    <cellStyle name="Normal 2 3 2 3 11 2" xfId="26604" xr:uid="{528752DB-FB57-4A9F-A7F1-FFFB2C5F71AD}"/>
    <cellStyle name="Normal 2 3 2 3 11 3" xfId="26605" xr:uid="{C1EAE57A-0522-4ED5-BF08-29217B254966}"/>
    <cellStyle name="Normal 2 3 2 3 11 4" xfId="26606" xr:uid="{FEC76E40-B893-4D0E-901A-9CAACD446398}"/>
    <cellStyle name="Normal 2 3 2 3 11 5" xfId="26607" xr:uid="{045FD7B1-AB44-41F3-AC3F-E9661F27AE60}"/>
    <cellStyle name="Normal 2 3 2 3 12" xfId="26608" xr:uid="{FB800835-A2C0-45A9-AF83-DDCAA4555688}"/>
    <cellStyle name="Normal 2 3 2 3 13" xfId="26609" xr:uid="{0D5212AC-F121-4396-8EA6-255DF29BC581}"/>
    <cellStyle name="Normal 2 3 2 3 14" xfId="26610" xr:uid="{455A2EA9-9698-4C4A-964A-1FD07345FBE0}"/>
    <cellStyle name="Normal 2 3 2 3 15" xfId="26611" xr:uid="{25FC9549-F674-4E71-AE6C-7F9DAB83EC69}"/>
    <cellStyle name="Normal 2 3 2 3 2" xfId="26612" xr:uid="{8DA1DD78-41E1-485E-87A8-061FC9E3E3EA}"/>
    <cellStyle name="Normal 2 3 2 3 2 10" xfId="26613" xr:uid="{D6441F79-B8F2-4F31-8A93-C43A3185F2D3}"/>
    <cellStyle name="Normal 2 3 2 3 2 10 2" xfId="26614" xr:uid="{18768D75-A5D6-4B8C-8424-0BF4026A4054}"/>
    <cellStyle name="Normal 2 3 2 3 2 10 3" xfId="26615" xr:uid="{FDDCD929-C5ED-4080-95F6-00A0F4A1403A}"/>
    <cellStyle name="Normal 2 3 2 3 2 10 4" xfId="26616" xr:uid="{DB14622F-A5B5-4E06-81F1-A67D8F64665D}"/>
    <cellStyle name="Normal 2 3 2 3 2 10 5" xfId="26617" xr:uid="{609BF3A6-F9DA-4A5B-AFC7-2BA5A9523D4E}"/>
    <cellStyle name="Normal 2 3 2 3 2 11" xfId="26618" xr:uid="{E9445AF4-49EC-42CA-B2DF-E8297AAA13F5}"/>
    <cellStyle name="Normal 2 3 2 3 2 12" xfId="26619" xr:uid="{3F194E79-CAD4-453B-84B9-5866E3EB2C61}"/>
    <cellStyle name="Normal 2 3 2 3 2 13" xfId="26620" xr:uid="{63A8FEF5-9CA9-4BA3-AD4C-D0FE4DA9B1C1}"/>
    <cellStyle name="Normal 2 3 2 3 2 14" xfId="26621" xr:uid="{38A0D787-FFA6-490F-A2F3-D253FE6174E2}"/>
    <cellStyle name="Normal 2 3 2 3 2 2" xfId="26622" xr:uid="{FCF8077C-EFF6-4A15-A761-8A9A75622524}"/>
    <cellStyle name="Normal 2 3 2 3 2 2 10" xfId="26623" xr:uid="{4E0ACFA8-9A52-42FB-8991-36669907C0E1}"/>
    <cellStyle name="Normal 2 3 2 3 2 2 11" xfId="26624" xr:uid="{B20E8369-15A8-4A43-B6B6-F3C33D0410A0}"/>
    <cellStyle name="Normal 2 3 2 3 2 2 12" xfId="26625" xr:uid="{B6B6467D-1297-4014-8801-653993A80C6F}"/>
    <cellStyle name="Normal 2 3 2 3 2 2 13" xfId="26626" xr:uid="{ACA2A1C1-6D4E-4413-AE8B-9CCA50A562C4}"/>
    <cellStyle name="Normal 2 3 2 3 2 2 2" xfId="26627" xr:uid="{52E84E45-17E1-4110-AFE9-788C4132E8F7}"/>
    <cellStyle name="Normal 2 3 2 3 2 2 2 10" xfId="26628" xr:uid="{2802FF0A-A203-443D-9654-5E77484750F7}"/>
    <cellStyle name="Normal 2 3 2 3 2 2 2 11" xfId="26629" xr:uid="{C92F7DD5-5365-4CAA-8657-BC955FD5C7DF}"/>
    <cellStyle name="Normal 2 3 2 3 2 2 2 12" xfId="26630" xr:uid="{DA26054F-19DE-44AE-829C-3DECBA4947C3}"/>
    <cellStyle name="Normal 2 3 2 3 2 2 2 2" xfId="26631" xr:uid="{B9ADB5D6-A84D-4EEB-9FA2-B23DCEF0A46F}"/>
    <cellStyle name="Normal 2 3 2 3 2 2 2 2 2" xfId="26632" xr:uid="{C29E41AC-A128-4DE4-9DA7-BDB0542F514B}"/>
    <cellStyle name="Normal 2 3 2 3 2 2 2 2 2 2" xfId="26633" xr:uid="{D6875BF3-D978-4BC0-8FF2-506D7A216158}"/>
    <cellStyle name="Normal 2 3 2 3 2 2 2 2 2 3" xfId="26634" xr:uid="{601E331D-55DB-4BAC-942A-B633EF3F6B29}"/>
    <cellStyle name="Normal 2 3 2 3 2 2 2 2 2 4" xfId="26635" xr:uid="{8751FB44-690F-4AF0-A3BD-6EC88C2B109F}"/>
    <cellStyle name="Normal 2 3 2 3 2 2 2 2 2 5" xfId="26636" xr:uid="{70D6AAA3-FE4C-4E01-B943-F70B5B8A2432}"/>
    <cellStyle name="Normal 2 3 2 3 2 2 2 2 3" xfId="26637" xr:uid="{758BCA31-5E89-4B32-88A5-9795B5B3FA8E}"/>
    <cellStyle name="Normal 2 3 2 3 2 2 2 2 4" xfId="26638" xr:uid="{009A6EE6-31B2-497C-A0A9-CF4685680DAB}"/>
    <cellStyle name="Normal 2 3 2 3 2 2 2 2 5" xfId="26639" xr:uid="{3E735792-D63E-4B8E-B45C-C02B127E4D41}"/>
    <cellStyle name="Normal 2 3 2 3 2 2 2 2 6" xfId="26640" xr:uid="{9ABC5950-3724-4167-9C28-87155640B5A4}"/>
    <cellStyle name="Normal 2 3 2 3 2 2 2 3" xfId="26641" xr:uid="{12CBDC8F-41FB-4369-9F0D-C774BFE301F4}"/>
    <cellStyle name="Normal 2 3 2 3 2 2 2 3 2" xfId="26642" xr:uid="{87C61461-04F1-4413-96A8-96A6FEF0B62C}"/>
    <cellStyle name="Normal 2 3 2 3 2 2 2 3 2 2" xfId="26643" xr:uid="{1FF8783D-BC75-425D-9E6B-5BDC4A208B94}"/>
    <cellStyle name="Normal 2 3 2 3 2 2 2 3 2 3" xfId="26644" xr:uid="{E9CE8D4F-F4D2-45B2-BFC7-9E89A3603E52}"/>
    <cellStyle name="Normal 2 3 2 3 2 2 2 3 2 4" xfId="26645" xr:uid="{A1A3C0E4-FF67-42E8-BCBB-7483BE4DD486}"/>
    <cellStyle name="Normal 2 3 2 3 2 2 2 3 2 5" xfId="26646" xr:uid="{965A0491-9EE5-4A9D-80C3-0A866FAB6896}"/>
    <cellStyle name="Normal 2 3 2 3 2 2 2 3 3" xfId="26647" xr:uid="{28E6BC4C-9F2D-4A3D-8721-9BB2CB5ACA7D}"/>
    <cellStyle name="Normal 2 3 2 3 2 2 2 3 4" xfId="26648" xr:uid="{52CDA6D6-A2AA-43B3-8F94-EE27E4BA5D08}"/>
    <cellStyle name="Normal 2 3 2 3 2 2 2 3 5" xfId="26649" xr:uid="{D52FDA67-1B49-4CB8-80E5-5C9794847020}"/>
    <cellStyle name="Normal 2 3 2 3 2 2 2 3 6" xfId="26650" xr:uid="{5BE5DA35-F7A8-4D76-835B-847F1695762B}"/>
    <cellStyle name="Normal 2 3 2 3 2 2 2 4" xfId="26651" xr:uid="{3747074A-2598-46D7-9B22-F4A0315CED07}"/>
    <cellStyle name="Normal 2 3 2 3 2 2 2 4 2" xfId="26652" xr:uid="{1C8EEE60-FA01-479A-9A92-7354071927DE}"/>
    <cellStyle name="Normal 2 3 2 3 2 2 2 4 2 2" xfId="26653" xr:uid="{BB151765-20E6-4D45-91E7-1772ABBFC7C1}"/>
    <cellStyle name="Normal 2 3 2 3 2 2 2 4 2 3" xfId="26654" xr:uid="{B6F06389-A306-4B93-83A8-830D59EEB90B}"/>
    <cellStyle name="Normal 2 3 2 3 2 2 2 4 2 4" xfId="26655" xr:uid="{50F8932E-F22E-44FC-BE8C-6C6A117C8CB7}"/>
    <cellStyle name="Normal 2 3 2 3 2 2 2 4 2 5" xfId="26656" xr:uid="{1542E6FB-988C-40C3-9692-0F385161D328}"/>
    <cellStyle name="Normal 2 3 2 3 2 2 2 4 3" xfId="26657" xr:uid="{2E5A30E2-6373-44FF-87DB-79F68008DB33}"/>
    <cellStyle name="Normal 2 3 2 3 2 2 2 4 4" xfId="26658" xr:uid="{B53CCF72-075D-44E3-A957-A67F8EF4100B}"/>
    <cellStyle name="Normal 2 3 2 3 2 2 2 4 5" xfId="26659" xr:uid="{032A462D-7B56-438E-A9E6-6572829C6D70}"/>
    <cellStyle name="Normal 2 3 2 3 2 2 2 4 6" xfId="26660" xr:uid="{231DF118-CA6E-4D37-91DC-F7ED5CC6CB7F}"/>
    <cellStyle name="Normal 2 3 2 3 2 2 2 5" xfId="26661" xr:uid="{AC81D289-B026-4AB9-9CAC-660F521CC408}"/>
    <cellStyle name="Normal 2 3 2 3 2 2 2 5 2" xfId="26662" xr:uid="{E038EDD5-0CE4-4062-B44F-477CC4341377}"/>
    <cellStyle name="Normal 2 3 2 3 2 2 2 5 3" xfId="26663" xr:uid="{E02FA5B5-0F26-4435-BA21-C28737E15EE2}"/>
    <cellStyle name="Normal 2 3 2 3 2 2 2 5 4" xfId="26664" xr:uid="{5B236F18-2BF1-4CA7-99C5-D6BB3C8B090B}"/>
    <cellStyle name="Normal 2 3 2 3 2 2 2 5 5" xfId="26665" xr:uid="{6D659263-C771-4D6D-A3C3-E7507728576B}"/>
    <cellStyle name="Normal 2 3 2 3 2 2 2 6" xfId="26666" xr:uid="{6C9F9B54-F961-401B-B86D-3BE2B2531CF8}"/>
    <cellStyle name="Normal 2 3 2 3 2 2 2 6 2" xfId="26667" xr:uid="{4598AC67-3BB7-4847-AC12-B6A138E35C45}"/>
    <cellStyle name="Normal 2 3 2 3 2 2 2 6 3" xfId="26668" xr:uid="{E8C9DFEA-9273-49E9-AD59-0128DEF68BF7}"/>
    <cellStyle name="Normal 2 3 2 3 2 2 2 6 4" xfId="26669" xr:uid="{1181BDDE-F694-4A98-8436-3FC65309C997}"/>
    <cellStyle name="Normal 2 3 2 3 2 2 2 6 5" xfId="26670" xr:uid="{86F5D8C7-ECFC-4A58-80A9-6F51F3DA13E7}"/>
    <cellStyle name="Normal 2 3 2 3 2 2 2 7" xfId="26671" xr:uid="{D166E173-B2F4-4C87-BCD8-29A334137A9E}"/>
    <cellStyle name="Normal 2 3 2 3 2 2 2 7 2" xfId="26672" xr:uid="{E946C4B3-D39A-4214-877D-280C273C074B}"/>
    <cellStyle name="Normal 2 3 2 3 2 2 2 7 3" xfId="26673" xr:uid="{9BBF8EA3-A311-419C-B810-281BFA27D117}"/>
    <cellStyle name="Normal 2 3 2 3 2 2 2 7 4" xfId="26674" xr:uid="{4414FE19-D7B6-498A-AF86-E5F346B2791B}"/>
    <cellStyle name="Normal 2 3 2 3 2 2 2 7 5" xfId="26675" xr:uid="{37E42029-85ED-4509-A17F-17ACF25F891B}"/>
    <cellStyle name="Normal 2 3 2 3 2 2 2 8" xfId="26676" xr:uid="{E1CFB7EA-E334-46A8-842B-6692E8D84A8A}"/>
    <cellStyle name="Normal 2 3 2 3 2 2 2 8 2" xfId="26677" xr:uid="{AE55CF33-170E-4369-9C5D-F89CB5ED928E}"/>
    <cellStyle name="Normal 2 3 2 3 2 2 2 8 3" xfId="26678" xr:uid="{D09FDF90-7C50-41B8-9C2E-E25A6C455D2F}"/>
    <cellStyle name="Normal 2 3 2 3 2 2 2 8 4" xfId="26679" xr:uid="{8C2864B0-A6F9-4F86-AB02-2D27F749617B}"/>
    <cellStyle name="Normal 2 3 2 3 2 2 2 8 5" xfId="26680" xr:uid="{9C8274AB-75EB-4C45-BA4E-B5B05B03E535}"/>
    <cellStyle name="Normal 2 3 2 3 2 2 2 9" xfId="26681" xr:uid="{DA02863A-D4B2-4A39-8C5F-1522C6A02EEE}"/>
    <cellStyle name="Normal 2 3 2 3 2 2 3" xfId="26682" xr:uid="{A3AAF8D3-D33F-45F7-BE01-31E8CA556B50}"/>
    <cellStyle name="Normal 2 3 2 3 2 2 3 2" xfId="26683" xr:uid="{67CD42C3-03DA-4623-BD31-4376D4C070FA}"/>
    <cellStyle name="Normal 2 3 2 3 2 2 3 2 2" xfId="26684" xr:uid="{BFBD19F9-D28A-47C7-97C9-245674412231}"/>
    <cellStyle name="Normal 2 3 2 3 2 2 3 2 3" xfId="26685" xr:uid="{B3E85659-30A3-4D51-B399-A53A1D3F5C0F}"/>
    <cellStyle name="Normal 2 3 2 3 2 2 3 2 4" xfId="26686" xr:uid="{400B8E7B-CE44-4ACA-995F-5E493C81CB65}"/>
    <cellStyle name="Normal 2 3 2 3 2 2 3 2 5" xfId="26687" xr:uid="{8131AA00-D830-45E5-8FF1-121B4F42BDE9}"/>
    <cellStyle name="Normal 2 3 2 3 2 2 3 3" xfId="26688" xr:uid="{C60DA6DF-62A2-4852-9227-63C82BF402F4}"/>
    <cellStyle name="Normal 2 3 2 3 2 2 3 4" xfId="26689" xr:uid="{C2A9F077-EB1F-4243-8B93-62D06021E65F}"/>
    <cellStyle name="Normal 2 3 2 3 2 2 3 5" xfId="26690" xr:uid="{3EF16A16-174D-4AAA-B9DF-D2234FBC9ADC}"/>
    <cellStyle name="Normal 2 3 2 3 2 2 3 6" xfId="26691" xr:uid="{1A6FF8D6-1061-44FD-A079-9275656C4C8C}"/>
    <cellStyle name="Normal 2 3 2 3 2 2 4" xfId="26692" xr:uid="{1B46EE9B-2A99-410F-806A-F3E3663A156A}"/>
    <cellStyle name="Normal 2 3 2 3 2 2 4 2" xfId="26693" xr:uid="{A50E4285-60F8-4928-BFD7-182FE3B1AECA}"/>
    <cellStyle name="Normal 2 3 2 3 2 2 4 2 2" xfId="26694" xr:uid="{88BF412D-233C-4490-B4A5-1AEB240B387D}"/>
    <cellStyle name="Normal 2 3 2 3 2 2 4 2 3" xfId="26695" xr:uid="{9B18A96A-99E4-4F4E-86C2-5C627333016F}"/>
    <cellStyle name="Normal 2 3 2 3 2 2 4 2 4" xfId="26696" xr:uid="{BC44A84F-23C9-4E60-BBF4-54E5DDAF23DE}"/>
    <cellStyle name="Normal 2 3 2 3 2 2 4 2 5" xfId="26697" xr:uid="{E6D92A03-FCA1-42AA-B0B0-43CBF589FEA3}"/>
    <cellStyle name="Normal 2 3 2 3 2 2 4 3" xfId="26698" xr:uid="{D4EA4253-A1AF-40BB-AA06-191D8AE655B6}"/>
    <cellStyle name="Normal 2 3 2 3 2 2 4 4" xfId="26699" xr:uid="{AFB59394-F24A-44F7-BEAD-F77308023F00}"/>
    <cellStyle name="Normal 2 3 2 3 2 2 4 5" xfId="26700" xr:uid="{3F242031-24CE-4EAE-8953-7BCCC5263311}"/>
    <cellStyle name="Normal 2 3 2 3 2 2 4 6" xfId="26701" xr:uid="{E4940439-F351-4871-8736-F250C21AC5EE}"/>
    <cellStyle name="Normal 2 3 2 3 2 2 5" xfId="26702" xr:uid="{B1467E04-0461-4B6E-BB5E-3D12DE07E63A}"/>
    <cellStyle name="Normal 2 3 2 3 2 2 5 2" xfId="26703" xr:uid="{902E3444-FC4D-472B-8AB4-DBF58E79B6C4}"/>
    <cellStyle name="Normal 2 3 2 3 2 2 5 2 2" xfId="26704" xr:uid="{E3D6EEF6-8254-44B2-9712-C567879B9170}"/>
    <cellStyle name="Normal 2 3 2 3 2 2 5 2 3" xfId="26705" xr:uid="{68C6F77F-51FA-4BD3-86E1-3768EBD95F31}"/>
    <cellStyle name="Normal 2 3 2 3 2 2 5 2 4" xfId="26706" xr:uid="{A59F4848-BFC7-43E5-A13A-8D90F523B553}"/>
    <cellStyle name="Normal 2 3 2 3 2 2 5 2 5" xfId="26707" xr:uid="{DD5F1B97-ACD1-414B-AC65-52208791B18C}"/>
    <cellStyle name="Normal 2 3 2 3 2 2 5 3" xfId="26708" xr:uid="{D1884744-4C57-4EB6-A921-28AC6EF56843}"/>
    <cellStyle name="Normal 2 3 2 3 2 2 5 4" xfId="26709" xr:uid="{2CA50EE1-3400-4086-B497-ACABD78D864F}"/>
    <cellStyle name="Normal 2 3 2 3 2 2 5 5" xfId="26710" xr:uid="{6B5AD989-AFA0-414D-8B57-CCE14A5E489F}"/>
    <cellStyle name="Normal 2 3 2 3 2 2 5 6" xfId="26711" xr:uid="{9E638024-E8DE-4888-8333-C2B189076F3D}"/>
    <cellStyle name="Normal 2 3 2 3 2 2 6" xfId="26712" xr:uid="{60D4895D-5483-4D08-8E27-F55B602F597A}"/>
    <cellStyle name="Normal 2 3 2 3 2 2 6 2" xfId="26713" xr:uid="{54217BC1-73DD-4E6B-8AAE-C4E8B19A34D3}"/>
    <cellStyle name="Normal 2 3 2 3 2 2 6 3" xfId="26714" xr:uid="{3DB27FCE-55C5-490A-A9B7-A6F4B077A4BA}"/>
    <cellStyle name="Normal 2 3 2 3 2 2 6 4" xfId="26715" xr:uid="{99760927-E123-4402-955D-42C652E9B077}"/>
    <cellStyle name="Normal 2 3 2 3 2 2 6 5" xfId="26716" xr:uid="{8645400B-0392-435A-BF21-8CD121386403}"/>
    <cellStyle name="Normal 2 3 2 3 2 2 7" xfId="26717" xr:uid="{1E47F168-3F16-4C4D-B9EA-D35D93BFEB34}"/>
    <cellStyle name="Normal 2 3 2 3 2 2 7 2" xfId="26718" xr:uid="{4ED67C77-9A4A-4DCC-B809-471A9BF897F5}"/>
    <cellStyle name="Normal 2 3 2 3 2 2 7 3" xfId="26719" xr:uid="{C8852E2F-B540-4AF2-B518-0C4F396840C2}"/>
    <cellStyle name="Normal 2 3 2 3 2 2 7 4" xfId="26720" xr:uid="{009092A5-E42B-4F2F-96C8-91C267586DFC}"/>
    <cellStyle name="Normal 2 3 2 3 2 2 7 5" xfId="26721" xr:uid="{9636BA8A-DAD3-43E8-A0F1-BB88776A28A6}"/>
    <cellStyle name="Normal 2 3 2 3 2 2 8" xfId="26722" xr:uid="{ED8D1D92-0847-4EC0-96CD-52CE88BABB8C}"/>
    <cellStyle name="Normal 2 3 2 3 2 2 8 2" xfId="26723" xr:uid="{88E0C422-E76E-4EC2-AF34-E7300135F565}"/>
    <cellStyle name="Normal 2 3 2 3 2 2 8 3" xfId="26724" xr:uid="{00473250-7EEB-4087-86F4-FFE33A50DBEC}"/>
    <cellStyle name="Normal 2 3 2 3 2 2 8 4" xfId="26725" xr:uid="{53EA92E3-2C3E-4A94-8732-4E7DCEAD7499}"/>
    <cellStyle name="Normal 2 3 2 3 2 2 8 5" xfId="26726" xr:uid="{AE39892D-F446-465B-AC8E-B9B658DD8ABF}"/>
    <cellStyle name="Normal 2 3 2 3 2 2 9" xfId="26727" xr:uid="{1E0EDE57-0BF8-498F-8E06-D28AEF773CFC}"/>
    <cellStyle name="Normal 2 3 2 3 2 2 9 2" xfId="26728" xr:uid="{B898F6F6-2C7B-46BC-8FA0-E38E3B3C9990}"/>
    <cellStyle name="Normal 2 3 2 3 2 2 9 3" xfId="26729" xr:uid="{25BA131F-E2A9-4163-AF0A-419E54D40F89}"/>
    <cellStyle name="Normal 2 3 2 3 2 2 9 4" xfId="26730" xr:uid="{C2496C14-8B3B-4F44-8E23-52962A9773DA}"/>
    <cellStyle name="Normal 2 3 2 3 2 2 9 5" xfId="26731" xr:uid="{82612645-E783-4A8F-9E05-D3E73D653C5D}"/>
    <cellStyle name="Normal 2 3 2 3 2 3" xfId="26732" xr:uid="{B10E05B1-E7D4-4785-A541-85B24CB66EAC}"/>
    <cellStyle name="Normal 2 3 2 3 2 3 10" xfId="26733" xr:uid="{653318DC-EAE1-4168-B72E-B1C3E949D44F}"/>
    <cellStyle name="Normal 2 3 2 3 2 3 11" xfId="26734" xr:uid="{85AC4ED9-EFAA-4ADD-A697-306F8B67D57B}"/>
    <cellStyle name="Normal 2 3 2 3 2 3 12" xfId="26735" xr:uid="{67354E0F-935D-45FF-B041-F8812FD2801D}"/>
    <cellStyle name="Normal 2 3 2 3 2 3 2" xfId="26736" xr:uid="{DA08D1D5-F829-4405-B941-5DB2FF175663}"/>
    <cellStyle name="Normal 2 3 2 3 2 3 2 2" xfId="26737" xr:uid="{8D96B6AF-F3AC-47F5-8B3F-5111FD664CA7}"/>
    <cellStyle name="Normal 2 3 2 3 2 3 2 2 2" xfId="26738" xr:uid="{D3CBEDB8-627D-48A0-B5B0-1BF16A53223A}"/>
    <cellStyle name="Normal 2 3 2 3 2 3 2 2 3" xfId="26739" xr:uid="{9F813C97-E79B-4967-819E-D89B70BC00ED}"/>
    <cellStyle name="Normal 2 3 2 3 2 3 2 2 4" xfId="26740" xr:uid="{2C12280B-4660-4CC4-8043-DE81B03CA4E1}"/>
    <cellStyle name="Normal 2 3 2 3 2 3 2 2 5" xfId="26741" xr:uid="{9EC5649E-07E6-40DB-B956-DFD26FADBCE6}"/>
    <cellStyle name="Normal 2 3 2 3 2 3 2 3" xfId="26742" xr:uid="{41E76C7E-5BB4-4D86-8A58-A8E4347DDAA6}"/>
    <cellStyle name="Normal 2 3 2 3 2 3 2 4" xfId="26743" xr:uid="{DAF203E0-735B-4DE2-BFA9-4FB2ED38AF5D}"/>
    <cellStyle name="Normal 2 3 2 3 2 3 2 5" xfId="26744" xr:uid="{86081610-F1E9-4292-B980-8342CC95FCA1}"/>
    <cellStyle name="Normal 2 3 2 3 2 3 2 6" xfId="26745" xr:uid="{CC018CEB-3B04-4C41-B592-60804BDAF4AF}"/>
    <cellStyle name="Normal 2 3 2 3 2 3 3" xfId="26746" xr:uid="{79887DF6-2F97-48BF-8B9F-637BBE30968D}"/>
    <cellStyle name="Normal 2 3 2 3 2 3 3 2" xfId="26747" xr:uid="{8F41F942-7604-4A59-9FB9-1BD769BA1ED2}"/>
    <cellStyle name="Normal 2 3 2 3 2 3 3 2 2" xfId="26748" xr:uid="{2C0698EA-088F-4FC8-82C6-83694DDEEDCE}"/>
    <cellStyle name="Normal 2 3 2 3 2 3 3 2 3" xfId="26749" xr:uid="{EF8D5F94-E11A-4329-A656-0ACE4B0A2CF5}"/>
    <cellStyle name="Normal 2 3 2 3 2 3 3 2 4" xfId="26750" xr:uid="{09EA680A-0801-4835-A5A8-4C3DA24FCA7B}"/>
    <cellStyle name="Normal 2 3 2 3 2 3 3 2 5" xfId="26751" xr:uid="{6D603087-51EC-4DAB-BFEB-03B2FFD8AC2C}"/>
    <cellStyle name="Normal 2 3 2 3 2 3 3 3" xfId="26752" xr:uid="{1A9B4E0B-E9F8-4022-9A6F-D4659486082B}"/>
    <cellStyle name="Normal 2 3 2 3 2 3 3 4" xfId="26753" xr:uid="{9E80607B-F9D0-4F88-A7DB-CC28C5DAE15E}"/>
    <cellStyle name="Normal 2 3 2 3 2 3 3 5" xfId="26754" xr:uid="{C786F2D2-5D4E-4F0F-983E-BD3C7DC99977}"/>
    <cellStyle name="Normal 2 3 2 3 2 3 3 6" xfId="26755" xr:uid="{EF9E991A-C490-4746-ACD2-010A390FB44E}"/>
    <cellStyle name="Normal 2 3 2 3 2 3 4" xfId="26756" xr:uid="{23673EF1-F608-475D-A9AE-EA22374EE66F}"/>
    <cellStyle name="Normal 2 3 2 3 2 3 4 2" xfId="26757" xr:uid="{B4B461A2-0828-4CF2-A747-4577905D2B84}"/>
    <cellStyle name="Normal 2 3 2 3 2 3 4 2 2" xfId="26758" xr:uid="{01E6801A-DF29-48E9-83C9-E2033764AEF0}"/>
    <cellStyle name="Normal 2 3 2 3 2 3 4 2 3" xfId="26759" xr:uid="{5EA8CF7C-939A-4FF3-A34B-637F7FBC2148}"/>
    <cellStyle name="Normal 2 3 2 3 2 3 4 2 4" xfId="26760" xr:uid="{B2479D9F-310D-433D-B3E4-CBA6135B166B}"/>
    <cellStyle name="Normal 2 3 2 3 2 3 4 2 5" xfId="26761" xr:uid="{9566AC4D-EC1A-41E3-BEC8-21D7DABBAA01}"/>
    <cellStyle name="Normal 2 3 2 3 2 3 4 3" xfId="26762" xr:uid="{AFCFA868-A036-4B32-B8BD-582EC5DF9197}"/>
    <cellStyle name="Normal 2 3 2 3 2 3 4 4" xfId="26763" xr:uid="{4E220060-1EBA-4D5D-AF78-75C4BFF012C8}"/>
    <cellStyle name="Normal 2 3 2 3 2 3 4 5" xfId="26764" xr:uid="{00207A0A-A500-4E8E-AA86-CDD7AB06B8F3}"/>
    <cellStyle name="Normal 2 3 2 3 2 3 4 6" xfId="26765" xr:uid="{B1F38C67-C6FF-4027-9EFA-5342900FD475}"/>
    <cellStyle name="Normal 2 3 2 3 2 3 5" xfId="26766" xr:uid="{6E1A4890-7139-430D-8E53-F21DB5123E70}"/>
    <cellStyle name="Normal 2 3 2 3 2 3 5 2" xfId="26767" xr:uid="{178691C8-3AD4-494D-8DB2-A118E5C36694}"/>
    <cellStyle name="Normal 2 3 2 3 2 3 5 3" xfId="26768" xr:uid="{8F254C72-82F1-4A7E-9C3C-75D7BFB357DB}"/>
    <cellStyle name="Normal 2 3 2 3 2 3 5 4" xfId="26769" xr:uid="{23003EE6-8203-41C4-97EC-6DB0649740A9}"/>
    <cellStyle name="Normal 2 3 2 3 2 3 5 5" xfId="26770" xr:uid="{97CD5122-839E-43F7-AD11-1E5498CF8870}"/>
    <cellStyle name="Normal 2 3 2 3 2 3 6" xfId="26771" xr:uid="{988106C7-2162-4508-98C5-D4EA10BC5F0D}"/>
    <cellStyle name="Normal 2 3 2 3 2 3 6 2" xfId="26772" xr:uid="{4FA39FA9-8774-4C6C-980E-6B0225EF96DE}"/>
    <cellStyle name="Normal 2 3 2 3 2 3 6 3" xfId="26773" xr:uid="{95BFA9A4-5527-46DD-8CB7-7BDF8E037670}"/>
    <cellStyle name="Normal 2 3 2 3 2 3 6 4" xfId="26774" xr:uid="{838CAE45-0DBD-41AF-B0CF-CA234348FF8E}"/>
    <cellStyle name="Normal 2 3 2 3 2 3 6 5" xfId="26775" xr:uid="{8B1E9EC3-D377-4796-95A6-D986326EA01C}"/>
    <cellStyle name="Normal 2 3 2 3 2 3 7" xfId="26776" xr:uid="{705BFD06-E4BA-455A-A1A3-62A5B2A5BC73}"/>
    <cellStyle name="Normal 2 3 2 3 2 3 7 2" xfId="26777" xr:uid="{91866E86-1741-4620-89BE-790A8CA3AC0D}"/>
    <cellStyle name="Normal 2 3 2 3 2 3 7 3" xfId="26778" xr:uid="{47FE3DA1-B8E4-4F6E-B361-A2EDB01B2C97}"/>
    <cellStyle name="Normal 2 3 2 3 2 3 7 4" xfId="26779" xr:uid="{9804B462-7091-4CCA-A1B1-BB558ADC5266}"/>
    <cellStyle name="Normal 2 3 2 3 2 3 7 5" xfId="26780" xr:uid="{D8D772D9-C896-4D41-B9B7-27DB67408B6B}"/>
    <cellStyle name="Normal 2 3 2 3 2 3 8" xfId="26781" xr:uid="{351B1CD4-B3AA-4632-98FC-6000AF875851}"/>
    <cellStyle name="Normal 2 3 2 3 2 3 8 2" xfId="26782" xr:uid="{69F4970F-4C35-47BA-ABCE-786600D55060}"/>
    <cellStyle name="Normal 2 3 2 3 2 3 8 3" xfId="26783" xr:uid="{68CCB02F-C614-4E87-AC30-722FCADB3F35}"/>
    <cellStyle name="Normal 2 3 2 3 2 3 8 4" xfId="26784" xr:uid="{0D0713E8-8855-40A1-8504-3602F8110FCC}"/>
    <cellStyle name="Normal 2 3 2 3 2 3 8 5" xfId="26785" xr:uid="{42C2D5B2-AF8E-4D93-B151-550FA4928541}"/>
    <cellStyle name="Normal 2 3 2 3 2 3 9" xfId="26786" xr:uid="{39EF3A4B-98A0-45DC-8A53-AEFC28265984}"/>
    <cellStyle name="Normal 2 3 2 3 2 4" xfId="26787" xr:uid="{B92EFEB7-B885-4B97-8061-9D25A1F4BB3B}"/>
    <cellStyle name="Normal 2 3 2 3 2 4 2" xfId="26788" xr:uid="{0DFBFEF3-357F-4D39-A954-41FA10D0E0B6}"/>
    <cellStyle name="Normal 2 3 2 3 2 4 2 2" xfId="26789" xr:uid="{538A56A7-B97B-421A-B46D-8BA170492A8C}"/>
    <cellStyle name="Normal 2 3 2 3 2 4 2 3" xfId="26790" xr:uid="{4416C0E9-103B-45C6-B98B-CAF22C0D8E31}"/>
    <cellStyle name="Normal 2 3 2 3 2 4 2 4" xfId="26791" xr:uid="{1528A37C-F4CC-4BC0-BBFD-A7D6FDDA0A4B}"/>
    <cellStyle name="Normal 2 3 2 3 2 4 2 5" xfId="26792" xr:uid="{8260503A-7370-4ECE-B20C-E6839825A013}"/>
    <cellStyle name="Normal 2 3 2 3 2 4 3" xfId="26793" xr:uid="{6DD0BED9-A7CD-4E1C-B0EC-E3D30744A504}"/>
    <cellStyle name="Normal 2 3 2 3 2 4 4" xfId="26794" xr:uid="{9F323FE1-E230-4739-9244-20C80DA93D41}"/>
    <cellStyle name="Normal 2 3 2 3 2 4 5" xfId="26795" xr:uid="{60214C87-C879-426C-B4AE-40D150A60E31}"/>
    <cellStyle name="Normal 2 3 2 3 2 4 6" xfId="26796" xr:uid="{46B07DAB-EFCA-4611-817A-F81691AE879E}"/>
    <cellStyle name="Normal 2 3 2 3 2 5" xfId="26797" xr:uid="{2AB5B811-CADD-4399-B641-E92589B89390}"/>
    <cellStyle name="Normal 2 3 2 3 2 5 2" xfId="26798" xr:uid="{77C58930-09C8-4380-8D8B-8C134271122A}"/>
    <cellStyle name="Normal 2 3 2 3 2 5 2 2" xfId="26799" xr:uid="{71E4626A-4EDF-41E4-A608-2D2D72BCF3F7}"/>
    <cellStyle name="Normal 2 3 2 3 2 5 2 3" xfId="26800" xr:uid="{8FDE1E5C-C978-4987-83A5-1C614E883CB1}"/>
    <cellStyle name="Normal 2 3 2 3 2 5 2 4" xfId="26801" xr:uid="{8EFA18FD-E6D7-41E4-B592-43163A722A9B}"/>
    <cellStyle name="Normal 2 3 2 3 2 5 2 5" xfId="26802" xr:uid="{955ADEE7-2A96-41DD-9A15-CD5475CD6502}"/>
    <cellStyle name="Normal 2 3 2 3 2 5 3" xfId="26803" xr:uid="{941F546B-657A-425B-84DB-958473182DEC}"/>
    <cellStyle name="Normal 2 3 2 3 2 5 4" xfId="26804" xr:uid="{291E4869-CA8B-45F9-A9D3-2BF012CA31E8}"/>
    <cellStyle name="Normal 2 3 2 3 2 5 5" xfId="26805" xr:uid="{48122832-7DC2-4285-B660-D9AA5F9BB7A3}"/>
    <cellStyle name="Normal 2 3 2 3 2 5 6" xfId="26806" xr:uid="{C816F611-E944-473B-88D2-6D98AE2091CA}"/>
    <cellStyle name="Normal 2 3 2 3 2 6" xfId="26807" xr:uid="{0F3447A0-C0BC-4373-A8A3-267A7BAD74BF}"/>
    <cellStyle name="Normal 2 3 2 3 2 6 2" xfId="26808" xr:uid="{512BE7AC-F3BC-42D8-B572-E5DB4CAA30F1}"/>
    <cellStyle name="Normal 2 3 2 3 2 6 2 2" xfId="26809" xr:uid="{1D9EDAB3-FC74-4BC8-BA49-1DC5F03F3F33}"/>
    <cellStyle name="Normal 2 3 2 3 2 6 2 3" xfId="26810" xr:uid="{83312BAD-030C-45A5-A303-177BA7714318}"/>
    <cellStyle name="Normal 2 3 2 3 2 6 2 4" xfId="26811" xr:uid="{CEA18D78-8632-4F8C-BF57-38E45BB7EBCB}"/>
    <cellStyle name="Normal 2 3 2 3 2 6 2 5" xfId="26812" xr:uid="{EC252B6A-7156-4AED-BDAA-EC209E930AFB}"/>
    <cellStyle name="Normal 2 3 2 3 2 6 3" xfId="26813" xr:uid="{D8591218-6451-4850-9A7A-B78650551054}"/>
    <cellStyle name="Normal 2 3 2 3 2 6 4" xfId="26814" xr:uid="{58C92309-DD99-47EC-BBB2-4369A8595780}"/>
    <cellStyle name="Normal 2 3 2 3 2 6 5" xfId="26815" xr:uid="{BF52AD32-63B1-4519-BEBE-52750372E475}"/>
    <cellStyle name="Normal 2 3 2 3 2 6 6" xfId="26816" xr:uid="{F680FF53-A4CF-4E7E-AA19-EC084939F194}"/>
    <cellStyle name="Normal 2 3 2 3 2 7" xfId="26817" xr:uid="{9E874C29-9179-4B77-905A-3759BD07BFA5}"/>
    <cellStyle name="Normal 2 3 2 3 2 7 2" xfId="26818" xr:uid="{C3BBEDC7-1A15-4691-8487-F6B0D3CAC5E0}"/>
    <cellStyle name="Normal 2 3 2 3 2 7 3" xfId="26819" xr:uid="{DF3B0EEA-6B7E-4C3F-9A58-743EC05E8136}"/>
    <cellStyle name="Normal 2 3 2 3 2 7 4" xfId="26820" xr:uid="{417DE420-D45A-4A93-8A72-4BE07185A52E}"/>
    <cellStyle name="Normal 2 3 2 3 2 7 5" xfId="26821" xr:uid="{8ED4E4A1-DFB2-4B51-9117-7B6BCC8CDDF9}"/>
    <cellStyle name="Normal 2 3 2 3 2 8" xfId="26822" xr:uid="{8EB15BF9-63BF-4AF3-B73E-56082FBA502C}"/>
    <cellStyle name="Normal 2 3 2 3 2 8 2" xfId="26823" xr:uid="{21699F05-7BDD-447E-84DC-97617722D764}"/>
    <cellStyle name="Normal 2 3 2 3 2 8 3" xfId="26824" xr:uid="{B2BE71EE-28D8-4386-952A-386EC5C34784}"/>
    <cellStyle name="Normal 2 3 2 3 2 8 4" xfId="26825" xr:uid="{C6CDCB75-DFDB-464C-882E-A46FBAA9A7F2}"/>
    <cellStyle name="Normal 2 3 2 3 2 8 5" xfId="26826" xr:uid="{EBA40303-CB91-47F4-8884-5C2A00B60612}"/>
    <cellStyle name="Normal 2 3 2 3 2 9" xfId="26827" xr:uid="{C69F279C-E295-4359-91FC-C31A36AB0E61}"/>
    <cellStyle name="Normal 2 3 2 3 2 9 2" xfId="26828" xr:uid="{8C45BDC7-4281-4B11-85C6-560556C0540E}"/>
    <cellStyle name="Normal 2 3 2 3 2 9 3" xfId="26829" xr:uid="{57032E8E-BC2A-437C-B61A-5CEF2476DC54}"/>
    <cellStyle name="Normal 2 3 2 3 2 9 4" xfId="26830" xr:uid="{925174AF-4DB5-4445-9A66-A516BC8BBD5D}"/>
    <cellStyle name="Normal 2 3 2 3 2 9 5" xfId="26831" xr:uid="{C7B80AE8-B08B-4FF4-9DE2-DF7C3F77CDDE}"/>
    <cellStyle name="Normal 2 3 2 3 3" xfId="26832" xr:uid="{79DD53C1-8310-4148-A4B6-CEEB83775346}"/>
    <cellStyle name="Normal 2 3 2 3 3 10" xfId="26833" xr:uid="{D30132AF-E7BB-41FD-AC98-85A543564B97}"/>
    <cellStyle name="Normal 2 3 2 3 3 11" xfId="26834" xr:uid="{59A2892A-42BA-4C99-BE25-7A7DB94F76D4}"/>
    <cellStyle name="Normal 2 3 2 3 3 12" xfId="26835" xr:uid="{19D0EBDC-6DF2-46BD-8330-79E4C84C670B}"/>
    <cellStyle name="Normal 2 3 2 3 3 13" xfId="26836" xr:uid="{DA1F4B69-F00F-4573-9B9C-0A859F89D24F}"/>
    <cellStyle name="Normal 2 3 2 3 3 2" xfId="26837" xr:uid="{E83E19AF-094A-45E1-84EE-210470B0EEFA}"/>
    <cellStyle name="Normal 2 3 2 3 3 2 10" xfId="26838" xr:uid="{259A8CE9-52CE-4FF4-91C3-F26417D64B2B}"/>
    <cellStyle name="Normal 2 3 2 3 3 2 11" xfId="26839" xr:uid="{F2F39BF1-8BFE-47A6-A44D-06071505837C}"/>
    <cellStyle name="Normal 2 3 2 3 3 2 12" xfId="26840" xr:uid="{AF61FF47-2CE4-4FE8-BD65-7F20668379DE}"/>
    <cellStyle name="Normal 2 3 2 3 3 2 2" xfId="26841" xr:uid="{08E30890-4D91-42CE-830C-995B1445D196}"/>
    <cellStyle name="Normal 2 3 2 3 3 2 2 2" xfId="26842" xr:uid="{BBCEAD46-1850-487A-A84F-C73E44DBF398}"/>
    <cellStyle name="Normal 2 3 2 3 3 2 2 2 2" xfId="26843" xr:uid="{3364DA6C-60A3-434D-9716-7DF633648D56}"/>
    <cellStyle name="Normal 2 3 2 3 3 2 2 2 3" xfId="26844" xr:uid="{F7610936-28BA-436D-A0E1-0567AB2A6D00}"/>
    <cellStyle name="Normal 2 3 2 3 3 2 2 2 4" xfId="26845" xr:uid="{538986B3-839D-4F16-BD75-311415CC8292}"/>
    <cellStyle name="Normal 2 3 2 3 3 2 2 2 5" xfId="26846" xr:uid="{C693B5DD-A9B5-454A-962E-FA12FB26D526}"/>
    <cellStyle name="Normal 2 3 2 3 3 2 2 3" xfId="26847" xr:uid="{85691E8F-BDDC-4711-A906-4792B3D3F476}"/>
    <cellStyle name="Normal 2 3 2 3 3 2 2 4" xfId="26848" xr:uid="{3C553D47-4303-4A6F-B851-4F27B97089A3}"/>
    <cellStyle name="Normal 2 3 2 3 3 2 2 5" xfId="26849" xr:uid="{53E9B909-7EDB-4CE6-B93B-F2D0D27266B0}"/>
    <cellStyle name="Normal 2 3 2 3 3 2 2 6" xfId="26850" xr:uid="{49A1F4B3-D0F1-4790-8AED-B440B4EDD691}"/>
    <cellStyle name="Normal 2 3 2 3 3 2 3" xfId="26851" xr:uid="{D9751FE8-0679-4169-8040-2F3BBEDF478B}"/>
    <cellStyle name="Normal 2 3 2 3 3 2 3 2" xfId="26852" xr:uid="{5A595E53-51A3-408B-9399-15DD248DFCEC}"/>
    <cellStyle name="Normal 2 3 2 3 3 2 3 2 2" xfId="26853" xr:uid="{A9A11777-6FB8-408D-9772-2E20ADAF7680}"/>
    <cellStyle name="Normal 2 3 2 3 3 2 3 2 3" xfId="26854" xr:uid="{6C7C1BFF-267F-4CF9-BA57-D1AC5EF65729}"/>
    <cellStyle name="Normal 2 3 2 3 3 2 3 2 4" xfId="26855" xr:uid="{6FBD35CE-7C22-43A3-B23D-4986DB91805F}"/>
    <cellStyle name="Normal 2 3 2 3 3 2 3 2 5" xfId="26856" xr:uid="{CBD9DE23-8346-4E8E-AD8C-01EBB776EB0A}"/>
    <cellStyle name="Normal 2 3 2 3 3 2 3 3" xfId="26857" xr:uid="{FF23ADFA-F807-4E51-A55B-5A994F49687A}"/>
    <cellStyle name="Normal 2 3 2 3 3 2 3 4" xfId="26858" xr:uid="{3B1CBE15-491B-4829-BE4E-3715D1040B80}"/>
    <cellStyle name="Normal 2 3 2 3 3 2 3 5" xfId="26859" xr:uid="{A501EBCD-2790-4D06-8FE0-B64F870A5CF0}"/>
    <cellStyle name="Normal 2 3 2 3 3 2 3 6" xfId="26860" xr:uid="{684E2C8C-90DA-4700-887F-47EF05387724}"/>
    <cellStyle name="Normal 2 3 2 3 3 2 4" xfId="26861" xr:uid="{FC904C7D-CD5C-4CA7-9904-7AA2FD000BC3}"/>
    <cellStyle name="Normal 2 3 2 3 3 2 4 2" xfId="26862" xr:uid="{8564B788-49CE-4A81-9DF0-1A0C99A26620}"/>
    <cellStyle name="Normal 2 3 2 3 3 2 4 2 2" xfId="26863" xr:uid="{CEC66901-90AE-44C1-8D0F-C6ADE0B54EF6}"/>
    <cellStyle name="Normal 2 3 2 3 3 2 4 2 3" xfId="26864" xr:uid="{1BB9928C-4D60-447D-B220-0C0E14114E6B}"/>
    <cellStyle name="Normal 2 3 2 3 3 2 4 2 4" xfId="26865" xr:uid="{B42E54E2-1963-4D65-92D1-A51381F6C272}"/>
    <cellStyle name="Normal 2 3 2 3 3 2 4 2 5" xfId="26866" xr:uid="{0D0AD27E-8C12-4BF8-BFC9-3AECCC3CA976}"/>
    <cellStyle name="Normal 2 3 2 3 3 2 4 3" xfId="26867" xr:uid="{A61E67C7-0B1A-4243-B4E0-B748402A5CCB}"/>
    <cellStyle name="Normal 2 3 2 3 3 2 4 4" xfId="26868" xr:uid="{F845C7AF-F21C-4C81-848B-6A7FB7CA5AEB}"/>
    <cellStyle name="Normal 2 3 2 3 3 2 4 5" xfId="26869" xr:uid="{A8ACD7B8-138A-4C95-B0E1-5E6F79E391C5}"/>
    <cellStyle name="Normal 2 3 2 3 3 2 4 6" xfId="26870" xr:uid="{96D5989D-B9C3-4B98-8CB3-7C77612C67A3}"/>
    <cellStyle name="Normal 2 3 2 3 3 2 5" xfId="26871" xr:uid="{6A697957-B823-4189-A395-159CBF241E65}"/>
    <cellStyle name="Normal 2 3 2 3 3 2 5 2" xfId="26872" xr:uid="{8222D4A0-AFC5-4F7B-94B9-C1A4B9BA69F3}"/>
    <cellStyle name="Normal 2 3 2 3 3 2 5 3" xfId="26873" xr:uid="{6CB9BBD6-D760-4C0A-BC46-B25DCD0C93E8}"/>
    <cellStyle name="Normal 2 3 2 3 3 2 5 4" xfId="26874" xr:uid="{97181D95-D120-41B6-8CF1-2C67A17AD400}"/>
    <cellStyle name="Normal 2 3 2 3 3 2 5 5" xfId="26875" xr:uid="{C234189B-8E7E-4F70-BD23-C6EEB67CA7A5}"/>
    <cellStyle name="Normal 2 3 2 3 3 2 6" xfId="26876" xr:uid="{984A5E38-84A4-4C06-835D-15999F92E4EE}"/>
    <cellStyle name="Normal 2 3 2 3 3 2 6 2" xfId="26877" xr:uid="{34A4216C-A62A-4120-8449-C432DD76DD2F}"/>
    <cellStyle name="Normal 2 3 2 3 3 2 6 3" xfId="26878" xr:uid="{631D0268-9E46-4579-8455-CF0FE862A959}"/>
    <cellStyle name="Normal 2 3 2 3 3 2 6 4" xfId="26879" xr:uid="{CCC72E4C-8323-406C-9C93-2136BDDCB1CC}"/>
    <cellStyle name="Normal 2 3 2 3 3 2 6 5" xfId="26880" xr:uid="{E6E5434A-47E8-4D78-83D9-02104921F9F3}"/>
    <cellStyle name="Normal 2 3 2 3 3 2 7" xfId="26881" xr:uid="{E6B08023-8A97-4FBE-88C5-51FC943268A3}"/>
    <cellStyle name="Normal 2 3 2 3 3 2 7 2" xfId="26882" xr:uid="{8DC61DF7-F4FD-4CA0-BB36-0A27D9C3CCED}"/>
    <cellStyle name="Normal 2 3 2 3 3 2 7 3" xfId="26883" xr:uid="{BFAB7DC7-2F82-4FA6-AFF8-0B51E823BEFF}"/>
    <cellStyle name="Normal 2 3 2 3 3 2 7 4" xfId="26884" xr:uid="{B7A39536-485F-4899-8DAD-706335279906}"/>
    <cellStyle name="Normal 2 3 2 3 3 2 7 5" xfId="26885" xr:uid="{311316CB-E9E3-45D2-8E8B-7C95976F3EBB}"/>
    <cellStyle name="Normal 2 3 2 3 3 2 8" xfId="26886" xr:uid="{2A08FA69-81CC-4CF6-A2E0-23D8317577CD}"/>
    <cellStyle name="Normal 2 3 2 3 3 2 8 2" xfId="26887" xr:uid="{49EE482A-3075-47DB-87D4-15CF1B395E59}"/>
    <cellStyle name="Normal 2 3 2 3 3 2 8 3" xfId="26888" xr:uid="{40831E05-C2EB-4E43-9753-6CD30D3DFF69}"/>
    <cellStyle name="Normal 2 3 2 3 3 2 8 4" xfId="26889" xr:uid="{B0FA6DCE-D357-4F2B-AA00-9385FC066EE9}"/>
    <cellStyle name="Normal 2 3 2 3 3 2 8 5" xfId="26890" xr:uid="{2B96505B-32E4-4B1C-8419-01E9744E9F34}"/>
    <cellStyle name="Normal 2 3 2 3 3 2 9" xfId="26891" xr:uid="{DE26D717-32CB-4E0D-AF21-43D057611716}"/>
    <cellStyle name="Normal 2 3 2 3 3 3" xfId="26892" xr:uid="{BB0FED74-BDA3-405C-BDED-C7D0BC3C349B}"/>
    <cellStyle name="Normal 2 3 2 3 3 3 2" xfId="26893" xr:uid="{03944AA5-F56B-45EA-A97C-8A768E495CE7}"/>
    <cellStyle name="Normal 2 3 2 3 3 3 2 2" xfId="26894" xr:uid="{7815EFF4-EFDC-4E60-A0AA-DCD7A28BA1F6}"/>
    <cellStyle name="Normal 2 3 2 3 3 3 2 3" xfId="26895" xr:uid="{A7B1BBF9-E7FC-4D82-8644-CD6ED2CBA15E}"/>
    <cellStyle name="Normal 2 3 2 3 3 3 2 4" xfId="26896" xr:uid="{629955D2-0AB3-4E35-98A0-308622CB4CC2}"/>
    <cellStyle name="Normal 2 3 2 3 3 3 2 5" xfId="26897" xr:uid="{F548D78F-1D50-4786-96AB-21F0A579CD21}"/>
    <cellStyle name="Normal 2 3 2 3 3 3 3" xfId="26898" xr:uid="{55CC2010-F4E4-4210-9E2C-D9C6D371B98E}"/>
    <cellStyle name="Normal 2 3 2 3 3 3 4" xfId="26899" xr:uid="{8128F6EC-A507-4C2B-9C6C-ADDF5DEE5EF0}"/>
    <cellStyle name="Normal 2 3 2 3 3 3 5" xfId="26900" xr:uid="{B8AE61B7-B3CD-4657-A979-1B1775785CB9}"/>
    <cellStyle name="Normal 2 3 2 3 3 3 6" xfId="26901" xr:uid="{43E11571-A18B-43C7-B6B2-3007EACDBE3F}"/>
    <cellStyle name="Normal 2 3 2 3 3 4" xfId="26902" xr:uid="{33DBC5CA-0092-4334-88F0-224C950BB76C}"/>
    <cellStyle name="Normal 2 3 2 3 3 4 2" xfId="26903" xr:uid="{45290B82-9DEB-493F-A04C-DED0B4AC1927}"/>
    <cellStyle name="Normal 2 3 2 3 3 4 2 2" xfId="26904" xr:uid="{952210C5-5317-400B-AF0F-F2AC38A0468B}"/>
    <cellStyle name="Normal 2 3 2 3 3 4 2 3" xfId="26905" xr:uid="{7658CE88-501C-4CED-9BC1-AA6085207637}"/>
    <cellStyle name="Normal 2 3 2 3 3 4 2 4" xfId="26906" xr:uid="{1B29193D-1888-49A7-BFC2-1642BD629230}"/>
    <cellStyle name="Normal 2 3 2 3 3 4 2 5" xfId="26907" xr:uid="{D545C779-72ED-4D6C-BBE6-6924AA5698C6}"/>
    <cellStyle name="Normal 2 3 2 3 3 4 3" xfId="26908" xr:uid="{72755F54-EA84-4F59-AAC2-E97F2C59ADF5}"/>
    <cellStyle name="Normal 2 3 2 3 3 4 4" xfId="26909" xr:uid="{20152991-ACF7-4196-A3FB-DCF89B66EEC2}"/>
    <cellStyle name="Normal 2 3 2 3 3 4 5" xfId="26910" xr:uid="{99A8A437-50CD-4A8D-AA6F-017155688871}"/>
    <cellStyle name="Normal 2 3 2 3 3 4 6" xfId="26911" xr:uid="{6D3E8FA3-B41D-47A6-9CC9-8151947F3899}"/>
    <cellStyle name="Normal 2 3 2 3 3 5" xfId="26912" xr:uid="{52DA72A9-731B-4ACF-885B-F1CE7965F646}"/>
    <cellStyle name="Normal 2 3 2 3 3 5 2" xfId="26913" xr:uid="{9B2299B1-7430-4A37-B571-A2AEC7F434B2}"/>
    <cellStyle name="Normal 2 3 2 3 3 5 2 2" xfId="26914" xr:uid="{D2F25C42-A527-4015-9C8D-301DB709A92E}"/>
    <cellStyle name="Normal 2 3 2 3 3 5 2 3" xfId="26915" xr:uid="{B3A3F403-B83A-4432-BDCE-DE615765200F}"/>
    <cellStyle name="Normal 2 3 2 3 3 5 2 4" xfId="26916" xr:uid="{282180CE-073C-449D-AB69-71BC2AFF2BB7}"/>
    <cellStyle name="Normal 2 3 2 3 3 5 2 5" xfId="26917" xr:uid="{F7559FEE-315C-442A-B22E-93ADBD7A746D}"/>
    <cellStyle name="Normal 2 3 2 3 3 5 3" xfId="26918" xr:uid="{873888E0-BAFC-4AD5-B2A0-9CDDD0C67A99}"/>
    <cellStyle name="Normal 2 3 2 3 3 5 4" xfId="26919" xr:uid="{B8958BAC-9983-4BDF-A28A-367C0BBFE046}"/>
    <cellStyle name="Normal 2 3 2 3 3 5 5" xfId="26920" xr:uid="{346243D2-A5D1-4F72-AE62-7EAB1F88A7E2}"/>
    <cellStyle name="Normal 2 3 2 3 3 5 6" xfId="26921" xr:uid="{A781A640-8322-48DC-9672-799C3267FD01}"/>
    <cellStyle name="Normal 2 3 2 3 3 6" xfId="26922" xr:uid="{4BDA5EBE-9087-4576-B76C-829A8DAC4911}"/>
    <cellStyle name="Normal 2 3 2 3 3 6 2" xfId="26923" xr:uid="{45A69B79-7D53-4380-81BB-3685D49EC84A}"/>
    <cellStyle name="Normal 2 3 2 3 3 6 3" xfId="26924" xr:uid="{9E62EDFF-57E4-4B72-A196-219C1DADE4E7}"/>
    <cellStyle name="Normal 2 3 2 3 3 6 4" xfId="26925" xr:uid="{99A766DD-163B-4788-A910-1A6ACD950C74}"/>
    <cellStyle name="Normal 2 3 2 3 3 6 5" xfId="26926" xr:uid="{BA755465-D167-4863-BE25-F88213E34F95}"/>
    <cellStyle name="Normal 2 3 2 3 3 7" xfId="26927" xr:uid="{503F2D3F-E928-43F2-8F05-1B75034D9B59}"/>
    <cellStyle name="Normal 2 3 2 3 3 7 2" xfId="26928" xr:uid="{417FD2F7-911E-403D-A1E3-2F7F74D2CBCC}"/>
    <cellStyle name="Normal 2 3 2 3 3 7 3" xfId="26929" xr:uid="{03C70154-4CAA-49DD-9DEC-E9D6F11E67B5}"/>
    <cellStyle name="Normal 2 3 2 3 3 7 4" xfId="26930" xr:uid="{1FDFAF6C-E571-427A-A504-E581CE977D11}"/>
    <cellStyle name="Normal 2 3 2 3 3 7 5" xfId="26931" xr:uid="{4F80366E-F83B-483A-8A69-B6DE188B95D0}"/>
    <cellStyle name="Normal 2 3 2 3 3 8" xfId="26932" xr:uid="{F92FF769-114F-4292-B688-09CAF3E650BA}"/>
    <cellStyle name="Normal 2 3 2 3 3 8 2" xfId="26933" xr:uid="{95855F26-7754-40FE-B5B8-9A7B2AB21307}"/>
    <cellStyle name="Normal 2 3 2 3 3 8 3" xfId="26934" xr:uid="{D18DD8E9-E1A6-414D-9F67-22F629239237}"/>
    <cellStyle name="Normal 2 3 2 3 3 8 4" xfId="26935" xr:uid="{147CA299-5B74-40B6-BF3D-52174F21C6AC}"/>
    <cellStyle name="Normal 2 3 2 3 3 8 5" xfId="26936" xr:uid="{0E5FB59D-320A-4300-A31F-0D676042062D}"/>
    <cellStyle name="Normal 2 3 2 3 3 9" xfId="26937" xr:uid="{8271834D-08A7-49D9-899C-77FE0CE69CA6}"/>
    <cellStyle name="Normal 2 3 2 3 3 9 2" xfId="26938" xr:uid="{41B141DB-BEAF-463E-9C10-C1FFFC85E4D2}"/>
    <cellStyle name="Normal 2 3 2 3 3 9 3" xfId="26939" xr:uid="{B92EAE32-7DC9-416F-8EF3-24A5AB05982C}"/>
    <cellStyle name="Normal 2 3 2 3 3 9 4" xfId="26940" xr:uid="{1A48C975-66DA-4460-ADE2-F8750A5D12E4}"/>
    <cellStyle name="Normal 2 3 2 3 3 9 5" xfId="26941" xr:uid="{BE7F17F4-F507-452D-849B-68843F55A398}"/>
    <cellStyle name="Normal 2 3 2 3 4" xfId="26942" xr:uid="{4894C231-ECA1-4C1B-B519-F722F1925A80}"/>
    <cellStyle name="Normal 2 3 2 3 4 10" xfId="26943" xr:uid="{DF048C9B-B02A-47CC-AD09-EF17B27657AA}"/>
    <cellStyle name="Normal 2 3 2 3 4 11" xfId="26944" xr:uid="{6060F6D9-7745-4E8C-881D-EFDEB63073DF}"/>
    <cellStyle name="Normal 2 3 2 3 4 12" xfId="26945" xr:uid="{65FC28E9-8BE3-40B5-BE12-6DD440EC3273}"/>
    <cellStyle name="Normal 2 3 2 3 4 2" xfId="26946" xr:uid="{5374C827-0E35-405E-B150-FAC2E870FD0B}"/>
    <cellStyle name="Normal 2 3 2 3 4 2 2" xfId="26947" xr:uid="{A24328A8-6E52-405E-90DA-8FF7F8294A1A}"/>
    <cellStyle name="Normal 2 3 2 3 4 2 2 2" xfId="26948" xr:uid="{E4CF44D4-A78F-43CA-9907-3D32F0B68E8B}"/>
    <cellStyle name="Normal 2 3 2 3 4 2 2 3" xfId="26949" xr:uid="{40C10D99-D925-4456-80EB-C900E735BA3C}"/>
    <cellStyle name="Normal 2 3 2 3 4 2 2 4" xfId="26950" xr:uid="{1E7FC204-0A20-4A87-833E-CBCCB447B074}"/>
    <cellStyle name="Normal 2 3 2 3 4 2 2 5" xfId="26951" xr:uid="{D68EC9D1-9008-4D0B-8B03-194A3923D1CC}"/>
    <cellStyle name="Normal 2 3 2 3 4 2 3" xfId="26952" xr:uid="{4AA92AAC-D459-4A3F-9A5B-FA7F7303A415}"/>
    <cellStyle name="Normal 2 3 2 3 4 2 4" xfId="26953" xr:uid="{DE10A97E-2410-4C22-9503-1C4A52B6B76D}"/>
    <cellStyle name="Normal 2 3 2 3 4 2 5" xfId="26954" xr:uid="{CDA6D156-BFFF-4B43-AFAD-FFC3DA375E86}"/>
    <cellStyle name="Normal 2 3 2 3 4 2 6" xfId="26955" xr:uid="{8DC4DC8D-1498-477A-8110-3DEB8BCE176A}"/>
    <cellStyle name="Normal 2 3 2 3 4 3" xfId="26956" xr:uid="{5F17D4AF-36AE-40C6-9BE1-5FA164F90D82}"/>
    <cellStyle name="Normal 2 3 2 3 4 3 2" xfId="26957" xr:uid="{2531DAA8-A416-4110-8E64-E7587FC80836}"/>
    <cellStyle name="Normal 2 3 2 3 4 3 2 2" xfId="26958" xr:uid="{11961649-FE35-4E58-8A18-D95D36A87EE8}"/>
    <cellStyle name="Normal 2 3 2 3 4 3 2 3" xfId="26959" xr:uid="{D1410A65-7D90-47B7-AB44-6CA3F982A9F6}"/>
    <cellStyle name="Normal 2 3 2 3 4 3 2 4" xfId="26960" xr:uid="{BB6DCFC5-93F6-460E-8199-4B50677BDA07}"/>
    <cellStyle name="Normal 2 3 2 3 4 3 2 5" xfId="26961" xr:uid="{83AC247C-9519-4B54-85A9-BABA0B972D63}"/>
    <cellStyle name="Normal 2 3 2 3 4 3 3" xfId="26962" xr:uid="{897E4F42-7F08-4D44-884E-59586DC1018B}"/>
    <cellStyle name="Normal 2 3 2 3 4 3 4" xfId="26963" xr:uid="{2899D339-E746-47F8-BC35-450AC1D59635}"/>
    <cellStyle name="Normal 2 3 2 3 4 3 5" xfId="26964" xr:uid="{6CCF7074-4229-41B0-B326-D4F4AC88778C}"/>
    <cellStyle name="Normal 2 3 2 3 4 3 6" xfId="26965" xr:uid="{6B6E2F6B-9EB9-49DD-839E-5FE500C49947}"/>
    <cellStyle name="Normal 2 3 2 3 4 4" xfId="26966" xr:uid="{D0EF44FE-DE78-45D6-BB8F-F39C7B90DC9E}"/>
    <cellStyle name="Normal 2 3 2 3 4 4 2" xfId="26967" xr:uid="{2C5BA204-F9C4-44CB-8EB1-D327AFF2D799}"/>
    <cellStyle name="Normal 2 3 2 3 4 4 2 2" xfId="26968" xr:uid="{A06AFE10-0696-42E9-9615-5308507A8E3A}"/>
    <cellStyle name="Normal 2 3 2 3 4 4 2 3" xfId="26969" xr:uid="{B667AD54-DE4D-4B2F-8D00-F9CF5EA787F2}"/>
    <cellStyle name="Normal 2 3 2 3 4 4 2 4" xfId="26970" xr:uid="{05CAA27C-9CF8-4D6C-8DE5-554967B25461}"/>
    <cellStyle name="Normal 2 3 2 3 4 4 2 5" xfId="26971" xr:uid="{6389826F-9623-4D6A-9A6D-2E1574958F3C}"/>
    <cellStyle name="Normal 2 3 2 3 4 4 3" xfId="26972" xr:uid="{9E813A45-23AA-49AF-89B9-BB354CEDAFDE}"/>
    <cellStyle name="Normal 2 3 2 3 4 4 4" xfId="26973" xr:uid="{29DB13EB-8A7F-475F-AAA1-A336EB787C19}"/>
    <cellStyle name="Normal 2 3 2 3 4 4 5" xfId="26974" xr:uid="{B8A7FCA0-6A4E-4E69-896A-0F7EB1B39742}"/>
    <cellStyle name="Normal 2 3 2 3 4 4 6" xfId="26975" xr:uid="{3BE8D265-8B4F-4C71-90DF-00146EF07641}"/>
    <cellStyle name="Normal 2 3 2 3 4 5" xfId="26976" xr:uid="{D5180AB9-7DFF-4E08-85A9-DE3D0391B77E}"/>
    <cellStyle name="Normal 2 3 2 3 4 5 2" xfId="26977" xr:uid="{9C40244C-01D3-458C-AD9D-69B0A8E3B762}"/>
    <cellStyle name="Normal 2 3 2 3 4 5 3" xfId="26978" xr:uid="{EB97543D-6F38-449D-906C-BA8D1B74D1F1}"/>
    <cellStyle name="Normal 2 3 2 3 4 5 4" xfId="26979" xr:uid="{12967871-5705-4A8F-927A-D6BE0F4CA590}"/>
    <cellStyle name="Normal 2 3 2 3 4 5 5" xfId="26980" xr:uid="{F3A41FBE-F764-42F7-8F1C-B6F5A40A5AD4}"/>
    <cellStyle name="Normal 2 3 2 3 4 6" xfId="26981" xr:uid="{50A82D90-2037-466F-BE38-F87CC0584567}"/>
    <cellStyle name="Normal 2 3 2 3 4 6 2" xfId="26982" xr:uid="{570C3ABD-4E81-43A3-A75E-9F49F4678DB0}"/>
    <cellStyle name="Normal 2 3 2 3 4 6 3" xfId="26983" xr:uid="{4AEF0662-5B05-4728-AD7D-84C18192BDA3}"/>
    <cellStyle name="Normal 2 3 2 3 4 6 4" xfId="26984" xr:uid="{7AF785E8-16EE-4672-9ADD-7BACBD5BC8CD}"/>
    <cellStyle name="Normal 2 3 2 3 4 6 5" xfId="26985" xr:uid="{CABE8965-903B-4771-84A1-3C5777F1D2F5}"/>
    <cellStyle name="Normal 2 3 2 3 4 7" xfId="26986" xr:uid="{FD29B17A-6951-4B26-BA25-15A1AB44BF66}"/>
    <cellStyle name="Normal 2 3 2 3 4 7 2" xfId="26987" xr:uid="{748194F2-5495-408E-902B-FA2FC760FB2D}"/>
    <cellStyle name="Normal 2 3 2 3 4 7 3" xfId="26988" xr:uid="{B9544AC5-9EBA-496C-B8DA-9B595CA90581}"/>
    <cellStyle name="Normal 2 3 2 3 4 7 4" xfId="26989" xr:uid="{2CCD07B4-08B7-4E56-BC6B-D2338BF56C54}"/>
    <cellStyle name="Normal 2 3 2 3 4 7 5" xfId="26990" xr:uid="{76ADB907-4023-431D-9899-01F2B2EE56DC}"/>
    <cellStyle name="Normal 2 3 2 3 4 8" xfId="26991" xr:uid="{9ED799C6-9E7A-42C3-A896-415174A131DB}"/>
    <cellStyle name="Normal 2 3 2 3 4 8 2" xfId="26992" xr:uid="{16C6B377-E24B-4592-967A-ADF4072058E3}"/>
    <cellStyle name="Normal 2 3 2 3 4 8 3" xfId="26993" xr:uid="{7E38E76A-A981-476D-A829-22F7C3826426}"/>
    <cellStyle name="Normal 2 3 2 3 4 8 4" xfId="26994" xr:uid="{C7C3657C-CBBC-4C18-8BEC-286F97C6596E}"/>
    <cellStyle name="Normal 2 3 2 3 4 8 5" xfId="26995" xr:uid="{433CE86F-A2D1-4DBA-86CF-4AA1F24AACEA}"/>
    <cellStyle name="Normal 2 3 2 3 4 9" xfId="26996" xr:uid="{48FE45D0-D6C5-497E-866E-43F82C50D7FC}"/>
    <cellStyle name="Normal 2 3 2 3 5" xfId="26997" xr:uid="{D4E7B178-BA7C-427A-83EE-FC6C02259B4F}"/>
    <cellStyle name="Normal 2 3 2 3 5 2" xfId="26998" xr:uid="{FB13EADE-C4A2-4ACC-B3F3-61B8FE0663AD}"/>
    <cellStyle name="Normal 2 3 2 3 5 2 2" xfId="26999" xr:uid="{7BA20C1B-C3AF-4EC3-A395-41089AFB078F}"/>
    <cellStyle name="Normal 2 3 2 3 5 2 3" xfId="27000" xr:uid="{7D0546B9-C8EE-444E-98B8-4E25A31880C0}"/>
    <cellStyle name="Normal 2 3 2 3 5 2 4" xfId="27001" xr:uid="{9F381F81-E101-4743-93B8-5AA7DF83BC26}"/>
    <cellStyle name="Normal 2 3 2 3 5 2 5" xfId="27002" xr:uid="{24FB5B01-77EC-444C-87FD-3555525738E8}"/>
    <cellStyle name="Normal 2 3 2 3 5 3" xfId="27003" xr:uid="{8EF96E82-248B-4078-97D2-AFDAC42C2802}"/>
    <cellStyle name="Normal 2 3 2 3 5 4" xfId="27004" xr:uid="{3FA9B974-67E0-4379-832F-99702C8C261B}"/>
    <cellStyle name="Normal 2 3 2 3 5 5" xfId="27005" xr:uid="{5DB4683B-9CA2-4851-993B-8A9B22087D76}"/>
    <cellStyle name="Normal 2 3 2 3 5 6" xfId="27006" xr:uid="{1F8095FA-2CA5-4F58-A928-C13027E6B533}"/>
    <cellStyle name="Normal 2 3 2 3 6" xfId="27007" xr:uid="{86B4CFC9-3B99-4BB6-A1BD-E4EEA1519987}"/>
    <cellStyle name="Normal 2 3 2 3 6 2" xfId="27008" xr:uid="{FBE3D6A3-4CFA-44CA-AC19-9960407D0EAB}"/>
    <cellStyle name="Normal 2 3 2 3 6 2 2" xfId="27009" xr:uid="{B2490158-FA94-4F60-80BD-5834405F4D05}"/>
    <cellStyle name="Normal 2 3 2 3 6 2 3" xfId="27010" xr:uid="{BE61F96F-3CC6-48B2-A406-925332686A59}"/>
    <cellStyle name="Normal 2 3 2 3 6 2 4" xfId="27011" xr:uid="{FA11A608-B15F-4ADE-8EA9-CA6322852E19}"/>
    <cellStyle name="Normal 2 3 2 3 6 2 5" xfId="27012" xr:uid="{D9430582-6A7D-4CD8-BDC1-E7BBA5CBB0C1}"/>
    <cellStyle name="Normal 2 3 2 3 6 3" xfId="27013" xr:uid="{A64A82B5-52CF-4A5A-A8B0-DBAFFCA61EFD}"/>
    <cellStyle name="Normal 2 3 2 3 6 4" xfId="27014" xr:uid="{C605D968-A814-497A-9017-29ED1A5D0DDF}"/>
    <cellStyle name="Normal 2 3 2 3 6 5" xfId="27015" xr:uid="{983C8DA4-E545-43E1-9EAF-08BD33EF5160}"/>
    <cellStyle name="Normal 2 3 2 3 6 6" xfId="27016" xr:uid="{4C8E0A88-E62A-4D9E-87CE-2D2868DB02F5}"/>
    <cellStyle name="Normal 2 3 2 3 7" xfId="27017" xr:uid="{A0B904E4-B5FD-4CE9-AFFD-2B63930F7276}"/>
    <cellStyle name="Normal 2 3 2 3 7 2" xfId="27018" xr:uid="{B750D1CF-C520-4871-94EA-9F76F9D7B3F7}"/>
    <cellStyle name="Normal 2 3 2 3 7 2 2" xfId="27019" xr:uid="{7194DD34-D883-48DF-B7D7-84C93437AEE0}"/>
    <cellStyle name="Normal 2 3 2 3 7 2 3" xfId="27020" xr:uid="{E06FEEC7-6F21-473C-A73F-73F2E825559F}"/>
    <cellStyle name="Normal 2 3 2 3 7 2 4" xfId="27021" xr:uid="{7A92E543-F8B2-4205-9A3F-DA44B9C090B4}"/>
    <cellStyle name="Normal 2 3 2 3 7 2 5" xfId="27022" xr:uid="{08AD0071-8166-4A1C-AC27-7A4758C19089}"/>
    <cellStyle name="Normal 2 3 2 3 7 3" xfId="27023" xr:uid="{1CD8CAC2-D6DB-412E-A3E7-D4ED26D0E870}"/>
    <cellStyle name="Normal 2 3 2 3 7 4" xfId="27024" xr:uid="{892319B8-5CEE-4214-89A6-112DEDF50B0C}"/>
    <cellStyle name="Normal 2 3 2 3 7 5" xfId="27025" xr:uid="{B6F5F0FE-03D4-424D-A71C-965C2FFED8AF}"/>
    <cellStyle name="Normal 2 3 2 3 7 6" xfId="27026" xr:uid="{3DD73F22-C69F-4009-A371-D0B01B0BA267}"/>
    <cellStyle name="Normal 2 3 2 3 8" xfId="27027" xr:uid="{94894620-15FE-479C-BA3D-CC6D46DCC098}"/>
    <cellStyle name="Normal 2 3 2 3 8 2" xfId="27028" xr:uid="{4DA094C7-06C2-4641-961B-6EB5B5D439F2}"/>
    <cellStyle name="Normal 2 3 2 3 8 3" xfId="27029" xr:uid="{E3E6744A-C28E-48BA-9F6C-8447465C1220}"/>
    <cellStyle name="Normal 2 3 2 3 8 4" xfId="27030" xr:uid="{92F07A65-03A0-444A-BE15-8861D1552442}"/>
    <cellStyle name="Normal 2 3 2 3 8 5" xfId="27031" xr:uid="{EF700CC6-3172-4345-B392-4D2C22C26B9E}"/>
    <cellStyle name="Normal 2 3 2 3 9" xfId="27032" xr:uid="{5D7AE081-4271-4FD4-8870-03D3E1D797EB}"/>
    <cellStyle name="Normal 2 3 2 3 9 2" xfId="27033" xr:uid="{34C1CF27-2E17-4A56-A055-020C7ABDD2E4}"/>
    <cellStyle name="Normal 2 3 2 3 9 3" xfId="27034" xr:uid="{82DA0BAB-C380-4578-9E3A-D34BADB3B74B}"/>
    <cellStyle name="Normal 2 3 2 3 9 4" xfId="27035" xr:uid="{7BC8806D-A2AA-4807-9ED0-595D4EF9CEFD}"/>
    <cellStyle name="Normal 2 3 2 3 9 5" xfId="27036" xr:uid="{25A39D0F-1A0C-4075-845B-F07C76043722}"/>
    <cellStyle name="Normal 2 3 2 4" xfId="27037" xr:uid="{A6EC90ED-9DB7-49A1-A831-F25C3523937E}"/>
    <cellStyle name="Normal 2 3 2 4 10" xfId="27038" xr:uid="{C07FEC91-D09B-4E60-9CDC-0E4B413E6847}"/>
    <cellStyle name="Normal 2 3 2 4 10 2" xfId="27039" xr:uid="{601C1824-4315-4D78-8BDD-D27E05E30DEE}"/>
    <cellStyle name="Normal 2 3 2 4 10 3" xfId="27040" xr:uid="{F07EC431-FC9E-4A54-83C0-9D0E2A12221B}"/>
    <cellStyle name="Normal 2 3 2 4 10 4" xfId="27041" xr:uid="{FF4850AC-252A-4C34-8209-BC326207107E}"/>
    <cellStyle name="Normal 2 3 2 4 10 5" xfId="27042" xr:uid="{892EF398-8822-49A4-8DF4-2F2E4BF5840D}"/>
    <cellStyle name="Normal 2 3 2 4 11" xfId="27043" xr:uid="{14E1DB1B-B3DF-4C9C-9D38-679360DFBED0}"/>
    <cellStyle name="Normal 2 3 2 4 11 2" xfId="27044" xr:uid="{968C2859-837E-4304-82B4-A83790E82928}"/>
    <cellStyle name="Normal 2 3 2 4 11 3" xfId="27045" xr:uid="{008BC59A-4572-4577-A189-962E5E45D50A}"/>
    <cellStyle name="Normal 2 3 2 4 11 4" xfId="27046" xr:uid="{8CAC1A0E-3E1D-47EB-B4B9-A605BEF30AEC}"/>
    <cellStyle name="Normal 2 3 2 4 11 5" xfId="27047" xr:uid="{AB853B39-7833-4588-9524-669FC5B5FB44}"/>
    <cellStyle name="Normal 2 3 2 4 12" xfId="27048" xr:uid="{B2D532FD-0281-4933-87A0-1B3CE9F27135}"/>
    <cellStyle name="Normal 2 3 2 4 13" xfId="27049" xr:uid="{DF42FEEF-29EF-44D8-ACB1-CF06560AFEA4}"/>
    <cellStyle name="Normal 2 3 2 4 14" xfId="27050" xr:uid="{A1D66EBD-E4DD-4966-B6C0-2BF08323BFE5}"/>
    <cellStyle name="Normal 2 3 2 4 15" xfId="27051" xr:uid="{08031C2C-E4F5-4DD9-B467-545A1D7630CD}"/>
    <cellStyle name="Normal 2 3 2 4 2" xfId="27052" xr:uid="{A44FEC95-2EFF-4554-8A65-C8F1E3E724CB}"/>
    <cellStyle name="Normal 2 3 2 4 2 10" xfId="27053" xr:uid="{9A2C6A79-F372-4CE7-B6CB-5BE434AC8706}"/>
    <cellStyle name="Normal 2 3 2 4 2 10 2" xfId="27054" xr:uid="{5558A2D6-D4EF-419F-A6D2-80F8042FF782}"/>
    <cellStyle name="Normal 2 3 2 4 2 10 3" xfId="27055" xr:uid="{E82495D9-0614-42F8-9870-9D681653E0B2}"/>
    <cellStyle name="Normal 2 3 2 4 2 10 4" xfId="27056" xr:uid="{EF42B7D3-180B-446E-8375-1EB522FC1865}"/>
    <cellStyle name="Normal 2 3 2 4 2 10 5" xfId="27057" xr:uid="{C0D9E2F0-AD3D-402A-A568-98306F590E21}"/>
    <cellStyle name="Normal 2 3 2 4 2 11" xfId="27058" xr:uid="{D5FBB6D9-E8EC-4DC0-8820-7CDA3A57F804}"/>
    <cellStyle name="Normal 2 3 2 4 2 12" xfId="27059" xr:uid="{3E16C9F5-02A0-4B36-9B9F-A93A85BBC02C}"/>
    <cellStyle name="Normal 2 3 2 4 2 13" xfId="27060" xr:uid="{BF72D0C4-A4BA-498B-BA4D-27282A17F31B}"/>
    <cellStyle name="Normal 2 3 2 4 2 14" xfId="27061" xr:uid="{A67083CC-34E7-4298-A8C7-30331FDE8C87}"/>
    <cellStyle name="Normal 2 3 2 4 2 2" xfId="27062" xr:uid="{003C7443-5203-4D78-96DC-25F9A1236362}"/>
    <cellStyle name="Normal 2 3 2 4 2 2 10" xfId="27063" xr:uid="{9EFC2454-3CDB-482B-B077-707E4355F8EF}"/>
    <cellStyle name="Normal 2 3 2 4 2 2 11" xfId="27064" xr:uid="{85E3B61B-E249-4685-9DE3-7D2082B9E07A}"/>
    <cellStyle name="Normal 2 3 2 4 2 2 12" xfId="27065" xr:uid="{A48E28F2-0906-4FE5-904C-090CF19F12CA}"/>
    <cellStyle name="Normal 2 3 2 4 2 2 13" xfId="27066" xr:uid="{99E0C248-F153-43AA-801E-4F76FE1D58C3}"/>
    <cellStyle name="Normal 2 3 2 4 2 2 2" xfId="27067" xr:uid="{6AEDA547-5CCC-4F45-AAE1-DF0B06FC2B8E}"/>
    <cellStyle name="Normal 2 3 2 4 2 2 2 10" xfId="27068" xr:uid="{27F8F245-0016-4459-8996-9F55C190B394}"/>
    <cellStyle name="Normal 2 3 2 4 2 2 2 11" xfId="27069" xr:uid="{49B2B867-BDC5-4270-9E89-88DA58415006}"/>
    <cellStyle name="Normal 2 3 2 4 2 2 2 12" xfId="27070" xr:uid="{58979307-AE96-46B0-B725-DB6A737FF246}"/>
    <cellStyle name="Normal 2 3 2 4 2 2 2 2" xfId="27071" xr:uid="{368F3E91-41E3-4C81-A24B-11B29510D262}"/>
    <cellStyle name="Normal 2 3 2 4 2 2 2 2 2" xfId="27072" xr:uid="{7A5A769F-2CA7-4249-A5AE-7AAE3556D2C0}"/>
    <cellStyle name="Normal 2 3 2 4 2 2 2 2 2 2" xfId="27073" xr:uid="{3712F035-15D8-48F5-B1C4-ABE975497031}"/>
    <cellStyle name="Normal 2 3 2 4 2 2 2 2 2 3" xfId="27074" xr:uid="{FFE7D752-DAD1-4EE0-87CE-E81E4F9DA31E}"/>
    <cellStyle name="Normal 2 3 2 4 2 2 2 2 2 4" xfId="27075" xr:uid="{B9F6C3E1-BBD6-4941-9A61-1934EFA75851}"/>
    <cellStyle name="Normal 2 3 2 4 2 2 2 2 2 5" xfId="27076" xr:uid="{8340D1C7-0B96-42ED-B7E6-043411C82095}"/>
    <cellStyle name="Normal 2 3 2 4 2 2 2 2 3" xfId="27077" xr:uid="{F7DA3418-9966-41E4-8DAF-63ACCAC20CAD}"/>
    <cellStyle name="Normal 2 3 2 4 2 2 2 2 4" xfId="27078" xr:uid="{73065716-4CBA-4B0C-BB11-5D098FC6A7BB}"/>
    <cellStyle name="Normal 2 3 2 4 2 2 2 2 5" xfId="27079" xr:uid="{CEB562CF-BB7A-4945-9DB5-55EA352EC5C9}"/>
    <cellStyle name="Normal 2 3 2 4 2 2 2 2 6" xfId="27080" xr:uid="{BAF9FAF1-8BAF-412E-9C11-0691BC47E9D1}"/>
    <cellStyle name="Normal 2 3 2 4 2 2 2 3" xfId="27081" xr:uid="{4BBCE535-D6D5-49ED-9350-682CF136BD31}"/>
    <cellStyle name="Normal 2 3 2 4 2 2 2 3 2" xfId="27082" xr:uid="{7990F98F-C820-4C86-AC75-B4D765E76F31}"/>
    <cellStyle name="Normal 2 3 2 4 2 2 2 3 2 2" xfId="27083" xr:uid="{416C6E34-7C88-4CD5-9C3E-5B13E0AC1C59}"/>
    <cellStyle name="Normal 2 3 2 4 2 2 2 3 2 3" xfId="27084" xr:uid="{192B32DD-4FB0-48B4-AE1E-573D56EC30B0}"/>
    <cellStyle name="Normal 2 3 2 4 2 2 2 3 2 4" xfId="27085" xr:uid="{E572F161-C4CD-432D-8724-D809864E15E3}"/>
    <cellStyle name="Normal 2 3 2 4 2 2 2 3 2 5" xfId="27086" xr:uid="{463E9F4B-F5D2-4420-857F-A4352A9BC80B}"/>
    <cellStyle name="Normal 2 3 2 4 2 2 2 3 3" xfId="27087" xr:uid="{707AD1B3-104B-4BBB-9A7F-1E28A22D7810}"/>
    <cellStyle name="Normal 2 3 2 4 2 2 2 3 4" xfId="27088" xr:uid="{1337E80D-1FAE-4D54-9940-F28E40693E09}"/>
    <cellStyle name="Normal 2 3 2 4 2 2 2 3 5" xfId="27089" xr:uid="{8258A31F-FE27-4E17-85B4-182E2281B63F}"/>
    <cellStyle name="Normal 2 3 2 4 2 2 2 3 6" xfId="27090" xr:uid="{E0846CC1-0E8F-4B64-A0DB-C8A612E75543}"/>
    <cellStyle name="Normal 2 3 2 4 2 2 2 4" xfId="27091" xr:uid="{D2390B6C-1B38-46A6-AF8B-3492DB67CE42}"/>
    <cellStyle name="Normal 2 3 2 4 2 2 2 4 2" xfId="27092" xr:uid="{40C84BF0-CA31-454A-B2D9-4213492D361A}"/>
    <cellStyle name="Normal 2 3 2 4 2 2 2 4 2 2" xfId="27093" xr:uid="{199DBA2A-1942-4E70-98A0-DE4AADA84C8B}"/>
    <cellStyle name="Normal 2 3 2 4 2 2 2 4 2 3" xfId="27094" xr:uid="{F59C14B6-FB4F-4172-B533-2097D98CC910}"/>
    <cellStyle name="Normal 2 3 2 4 2 2 2 4 2 4" xfId="27095" xr:uid="{FC859FED-82CF-4BB7-9A04-99A8F15C5544}"/>
    <cellStyle name="Normal 2 3 2 4 2 2 2 4 2 5" xfId="27096" xr:uid="{996D8ABA-FBD0-4604-8CBE-F8BE87C77B95}"/>
    <cellStyle name="Normal 2 3 2 4 2 2 2 4 3" xfId="27097" xr:uid="{0A8E4BAE-157F-48CE-B1F1-ABF6E4071A69}"/>
    <cellStyle name="Normal 2 3 2 4 2 2 2 4 4" xfId="27098" xr:uid="{9C4AC4F7-2711-4AAF-A318-254972D4B00A}"/>
    <cellStyle name="Normal 2 3 2 4 2 2 2 4 5" xfId="27099" xr:uid="{E0C6D749-4B77-49F7-B368-AC30B7B9D854}"/>
    <cellStyle name="Normal 2 3 2 4 2 2 2 4 6" xfId="27100" xr:uid="{5C709E93-903C-440A-A1DE-B545B82DEDF6}"/>
    <cellStyle name="Normal 2 3 2 4 2 2 2 5" xfId="27101" xr:uid="{3F49DF0C-B62A-473B-A788-5150781BF556}"/>
    <cellStyle name="Normal 2 3 2 4 2 2 2 5 2" xfId="27102" xr:uid="{98B3FE3E-C6B5-4F25-B853-88C961333771}"/>
    <cellStyle name="Normal 2 3 2 4 2 2 2 5 3" xfId="27103" xr:uid="{45EF65D9-50CC-4C6F-98DE-36358DBB12C3}"/>
    <cellStyle name="Normal 2 3 2 4 2 2 2 5 4" xfId="27104" xr:uid="{149098AC-216A-4F55-AB21-EE52979721DC}"/>
    <cellStyle name="Normal 2 3 2 4 2 2 2 5 5" xfId="27105" xr:uid="{5FD186D6-1090-4906-91C7-2B2D25EB35A8}"/>
    <cellStyle name="Normal 2 3 2 4 2 2 2 6" xfId="27106" xr:uid="{C7DA5066-BCE3-4DEB-877A-15D9A2E499D6}"/>
    <cellStyle name="Normal 2 3 2 4 2 2 2 6 2" xfId="27107" xr:uid="{85470F80-6A3C-4080-83F7-A92057D1F804}"/>
    <cellStyle name="Normal 2 3 2 4 2 2 2 6 3" xfId="27108" xr:uid="{79B87833-5399-4D6E-AAB9-A5841E213C34}"/>
    <cellStyle name="Normal 2 3 2 4 2 2 2 6 4" xfId="27109" xr:uid="{91E3DE14-C362-4961-9C5D-9BD7A9D79DB7}"/>
    <cellStyle name="Normal 2 3 2 4 2 2 2 6 5" xfId="27110" xr:uid="{85BCDB1E-BC5D-4DB5-98EC-94BDF53DA328}"/>
    <cellStyle name="Normal 2 3 2 4 2 2 2 7" xfId="27111" xr:uid="{ACE50EAA-9909-4680-B648-3D26EF0F457C}"/>
    <cellStyle name="Normal 2 3 2 4 2 2 2 7 2" xfId="27112" xr:uid="{1F8BA0F6-4C85-48C7-BA06-2B8BE090BC4D}"/>
    <cellStyle name="Normal 2 3 2 4 2 2 2 7 3" xfId="27113" xr:uid="{7B11BE4B-57EB-4880-B985-125F38A8B093}"/>
    <cellStyle name="Normal 2 3 2 4 2 2 2 7 4" xfId="27114" xr:uid="{980427D6-4AFA-478C-AEEB-02F90D76C5C8}"/>
    <cellStyle name="Normal 2 3 2 4 2 2 2 7 5" xfId="27115" xr:uid="{2D5FE845-C5FD-48DB-9CE9-988AF0BE945B}"/>
    <cellStyle name="Normal 2 3 2 4 2 2 2 8" xfId="27116" xr:uid="{F6D6CC43-50B7-4D40-B00F-98B22BBB255C}"/>
    <cellStyle name="Normal 2 3 2 4 2 2 2 8 2" xfId="27117" xr:uid="{66CDE091-915D-47DE-AC9C-A90585257778}"/>
    <cellStyle name="Normal 2 3 2 4 2 2 2 8 3" xfId="27118" xr:uid="{13836147-ADA4-4AFD-A694-044FB9A18BE5}"/>
    <cellStyle name="Normal 2 3 2 4 2 2 2 8 4" xfId="27119" xr:uid="{EC983133-5026-4FB8-941F-3964F4B6F2B8}"/>
    <cellStyle name="Normal 2 3 2 4 2 2 2 8 5" xfId="27120" xr:uid="{D6CCB1BE-E9D9-4D87-9A55-B160926FC458}"/>
    <cellStyle name="Normal 2 3 2 4 2 2 2 9" xfId="27121" xr:uid="{2EAAA700-5FD6-4236-B888-3E6314B12CF5}"/>
    <cellStyle name="Normal 2 3 2 4 2 2 3" xfId="27122" xr:uid="{62E57BC0-706C-4905-A52A-651481C884EA}"/>
    <cellStyle name="Normal 2 3 2 4 2 2 3 2" xfId="27123" xr:uid="{1F0A91A4-1DC6-408F-9242-9A9400BBFBA8}"/>
    <cellStyle name="Normal 2 3 2 4 2 2 3 2 2" xfId="27124" xr:uid="{95F1F65F-F129-4047-9D31-DF6D58051065}"/>
    <cellStyle name="Normal 2 3 2 4 2 2 3 2 3" xfId="27125" xr:uid="{FFF803FF-B4E7-4A0B-BD7B-E85A058D4C76}"/>
    <cellStyle name="Normal 2 3 2 4 2 2 3 2 4" xfId="27126" xr:uid="{9D89558F-22B9-41BC-A789-2F41FC457B6B}"/>
    <cellStyle name="Normal 2 3 2 4 2 2 3 2 5" xfId="27127" xr:uid="{0C23E963-A5C6-4ED0-AA84-508BF94AFC7F}"/>
    <cellStyle name="Normal 2 3 2 4 2 2 3 3" xfId="27128" xr:uid="{F5063F16-73B5-4855-B9E8-8E7B7B73BE70}"/>
    <cellStyle name="Normal 2 3 2 4 2 2 3 4" xfId="27129" xr:uid="{99CD4F76-BEA5-4A7B-949C-8B2F28DD712E}"/>
    <cellStyle name="Normal 2 3 2 4 2 2 3 5" xfId="27130" xr:uid="{85BA322E-66B4-4FDA-B74C-CABE774B3337}"/>
    <cellStyle name="Normal 2 3 2 4 2 2 3 6" xfId="27131" xr:uid="{B0CF5F63-EE82-4D27-AA20-198FFF4C437B}"/>
    <cellStyle name="Normal 2 3 2 4 2 2 4" xfId="27132" xr:uid="{9C4A75F2-CC39-49FE-AF8C-2F09195B1D6A}"/>
    <cellStyle name="Normal 2 3 2 4 2 2 4 2" xfId="27133" xr:uid="{335219F8-08DF-4E66-9433-F93695523CEA}"/>
    <cellStyle name="Normal 2 3 2 4 2 2 4 2 2" xfId="27134" xr:uid="{21DB4D8E-BBDF-4F28-A8EF-106D8E7D023C}"/>
    <cellStyle name="Normal 2 3 2 4 2 2 4 2 3" xfId="27135" xr:uid="{FC64CC3F-F2CD-4FBE-BD37-34670691D5EC}"/>
    <cellStyle name="Normal 2 3 2 4 2 2 4 2 4" xfId="27136" xr:uid="{F8BF1BFF-41B1-4EF0-AB95-3F5595B52949}"/>
    <cellStyle name="Normal 2 3 2 4 2 2 4 2 5" xfId="27137" xr:uid="{BDE599BE-F6D2-4AC1-A1EA-2A3F499B0F40}"/>
    <cellStyle name="Normal 2 3 2 4 2 2 4 3" xfId="27138" xr:uid="{E8B9853C-D7EB-44DB-B392-E39F670A9791}"/>
    <cellStyle name="Normal 2 3 2 4 2 2 4 4" xfId="27139" xr:uid="{0D0B0941-9CCD-4689-8150-3FBF9EECC9D0}"/>
    <cellStyle name="Normal 2 3 2 4 2 2 4 5" xfId="27140" xr:uid="{FAEB3C59-198E-4DB8-8200-313B3D98B37F}"/>
    <cellStyle name="Normal 2 3 2 4 2 2 4 6" xfId="27141" xr:uid="{7AD609BE-2AAA-4044-8494-2E13BF03713E}"/>
    <cellStyle name="Normal 2 3 2 4 2 2 5" xfId="27142" xr:uid="{F0004382-7C72-4121-BC50-5630C688DCC2}"/>
    <cellStyle name="Normal 2 3 2 4 2 2 5 2" xfId="27143" xr:uid="{D5A77692-C95A-4300-B78B-FB73E1C3A9B3}"/>
    <cellStyle name="Normal 2 3 2 4 2 2 5 2 2" xfId="27144" xr:uid="{581E5738-41AD-4A1C-812B-76827B970A9D}"/>
    <cellStyle name="Normal 2 3 2 4 2 2 5 2 3" xfId="27145" xr:uid="{E538FB4F-3F09-4AEC-AFA2-8575357D6E69}"/>
    <cellStyle name="Normal 2 3 2 4 2 2 5 2 4" xfId="27146" xr:uid="{524EBB16-F122-484B-9CED-0E8D82BB3483}"/>
    <cellStyle name="Normal 2 3 2 4 2 2 5 2 5" xfId="27147" xr:uid="{4783EC02-9FA9-40FF-9352-02294A89ED87}"/>
    <cellStyle name="Normal 2 3 2 4 2 2 5 3" xfId="27148" xr:uid="{A17FBADF-C2B5-4C20-ACEE-96F2C04983B4}"/>
    <cellStyle name="Normal 2 3 2 4 2 2 5 4" xfId="27149" xr:uid="{D521DB46-972E-4870-B6EA-8B82A365DF17}"/>
    <cellStyle name="Normal 2 3 2 4 2 2 5 5" xfId="27150" xr:uid="{D2DAD13A-A385-41D9-AEEC-B047C4C13522}"/>
    <cellStyle name="Normal 2 3 2 4 2 2 5 6" xfId="27151" xr:uid="{21AE4827-3699-43EB-9331-E80703AA9378}"/>
    <cellStyle name="Normal 2 3 2 4 2 2 6" xfId="27152" xr:uid="{9A5CEDB6-6FE0-427A-AD7C-DE76D1E3B28E}"/>
    <cellStyle name="Normal 2 3 2 4 2 2 6 2" xfId="27153" xr:uid="{521777AD-088F-4E80-9EB1-55E498103990}"/>
    <cellStyle name="Normal 2 3 2 4 2 2 6 3" xfId="27154" xr:uid="{D42AAE29-9EFC-4FBF-A4AA-52B3D5F46C43}"/>
    <cellStyle name="Normal 2 3 2 4 2 2 6 4" xfId="27155" xr:uid="{E55F5779-A66A-489E-91AF-93C899386C71}"/>
    <cellStyle name="Normal 2 3 2 4 2 2 6 5" xfId="27156" xr:uid="{BC363B97-7D5A-4250-B9C8-BE8D969FC26C}"/>
    <cellStyle name="Normal 2 3 2 4 2 2 7" xfId="27157" xr:uid="{32B090E1-7B31-4CC3-B347-AA0D1253E989}"/>
    <cellStyle name="Normal 2 3 2 4 2 2 7 2" xfId="27158" xr:uid="{A9BC45DD-6925-4654-8CFA-89144A6C0DBA}"/>
    <cellStyle name="Normal 2 3 2 4 2 2 7 3" xfId="27159" xr:uid="{B458CC73-A317-42A5-B1F1-C840AD51353F}"/>
    <cellStyle name="Normal 2 3 2 4 2 2 7 4" xfId="27160" xr:uid="{8F9B776F-23F2-443A-90CB-CFDD611C1DEE}"/>
    <cellStyle name="Normal 2 3 2 4 2 2 7 5" xfId="27161" xr:uid="{F47A7CE4-CEA0-4ACB-B824-5AF212B1C7BC}"/>
    <cellStyle name="Normal 2 3 2 4 2 2 8" xfId="27162" xr:uid="{6EF74C84-8C36-4B8F-A2EA-A6B7C8D5F3BD}"/>
    <cellStyle name="Normal 2 3 2 4 2 2 8 2" xfId="27163" xr:uid="{C7863DF4-B0F4-4C4B-99B5-CBC28AF23217}"/>
    <cellStyle name="Normal 2 3 2 4 2 2 8 3" xfId="27164" xr:uid="{6B0CF15B-2FE9-4DDE-BA40-E9BB1D70C5DF}"/>
    <cellStyle name="Normal 2 3 2 4 2 2 8 4" xfId="27165" xr:uid="{99AA6640-8338-4156-9213-BF4EC467C935}"/>
    <cellStyle name="Normal 2 3 2 4 2 2 8 5" xfId="27166" xr:uid="{3C694D75-F514-4386-B781-295BB1231F82}"/>
    <cellStyle name="Normal 2 3 2 4 2 2 9" xfId="27167" xr:uid="{A7F4D67D-CB09-4C27-9561-D7EA38C0C5CF}"/>
    <cellStyle name="Normal 2 3 2 4 2 2 9 2" xfId="27168" xr:uid="{015E68B2-EBFC-46CC-ADA1-722E225105B4}"/>
    <cellStyle name="Normal 2 3 2 4 2 2 9 3" xfId="27169" xr:uid="{601E49A3-DE21-4ACB-83B8-430B0C6BCAE5}"/>
    <cellStyle name="Normal 2 3 2 4 2 2 9 4" xfId="27170" xr:uid="{15F19E07-1290-4B26-8CFC-D572F0037745}"/>
    <cellStyle name="Normal 2 3 2 4 2 2 9 5" xfId="27171" xr:uid="{765FD73F-111C-4C98-95FD-B79E7110199A}"/>
    <cellStyle name="Normal 2 3 2 4 2 3" xfId="27172" xr:uid="{2B4B7688-7726-4211-8BC7-24B710F21A9F}"/>
    <cellStyle name="Normal 2 3 2 4 2 3 10" xfId="27173" xr:uid="{BF742F31-AD48-431C-8F09-A56CCD86B85E}"/>
    <cellStyle name="Normal 2 3 2 4 2 3 11" xfId="27174" xr:uid="{BBD796C9-2A12-48F1-AA85-C4DC4B268486}"/>
    <cellStyle name="Normal 2 3 2 4 2 3 12" xfId="27175" xr:uid="{69D02043-3316-488A-8CAD-A7CD3F77A8C2}"/>
    <cellStyle name="Normal 2 3 2 4 2 3 2" xfId="27176" xr:uid="{AC33AE40-C013-4739-9ADF-648E879950BA}"/>
    <cellStyle name="Normal 2 3 2 4 2 3 2 2" xfId="27177" xr:uid="{4BC3674E-439E-41F9-BAC1-7651DBAE6436}"/>
    <cellStyle name="Normal 2 3 2 4 2 3 2 2 2" xfId="27178" xr:uid="{E7EAB5B1-CE3E-449C-BE0E-2A20F14B8C38}"/>
    <cellStyle name="Normal 2 3 2 4 2 3 2 2 3" xfId="27179" xr:uid="{BB92F00A-6396-473A-A31E-98CB17D21E09}"/>
    <cellStyle name="Normal 2 3 2 4 2 3 2 2 4" xfId="27180" xr:uid="{154F4B05-0B25-4E06-B71B-BF4572B17F7E}"/>
    <cellStyle name="Normal 2 3 2 4 2 3 2 2 5" xfId="27181" xr:uid="{2D6B8B59-4077-4979-AA03-0EA58EB8AB5A}"/>
    <cellStyle name="Normal 2 3 2 4 2 3 2 3" xfId="27182" xr:uid="{62315328-6AA8-471C-B60A-4B728CAA4109}"/>
    <cellStyle name="Normal 2 3 2 4 2 3 2 4" xfId="27183" xr:uid="{86740CA8-A949-48D2-9CF0-19AE0A8D803F}"/>
    <cellStyle name="Normal 2 3 2 4 2 3 2 5" xfId="27184" xr:uid="{ABEB7C9A-731C-4265-A4D5-49CBD13DD318}"/>
    <cellStyle name="Normal 2 3 2 4 2 3 2 6" xfId="27185" xr:uid="{336DC89D-2FC1-48FF-866B-A6508BDE0E5E}"/>
    <cellStyle name="Normal 2 3 2 4 2 3 3" xfId="27186" xr:uid="{2323FA77-6034-42CD-8B61-165482334654}"/>
    <cellStyle name="Normal 2 3 2 4 2 3 3 2" xfId="27187" xr:uid="{26FB148A-6951-45C8-A16C-EF96A88EBFC7}"/>
    <cellStyle name="Normal 2 3 2 4 2 3 3 2 2" xfId="27188" xr:uid="{CDDBFBAD-8720-43C3-A1C8-624619989640}"/>
    <cellStyle name="Normal 2 3 2 4 2 3 3 2 3" xfId="27189" xr:uid="{44D84FBA-3D15-4351-A2A4-659C336F3B58}"/>
    <cellStyle name="Normal 2 3 2 4 2 3 3 2 4" xfId="27190" xr:uid="{E0630AE7-C74E-40C1-98B6-1CB5B9BACB8D}"/>
    <cellStyle name="Normal 2 3 2 4 2 3 3 2 5" xfId="27191" xr:uid="{3BEEE6C4-0E24-4789-82F4-4DD6EBB9F139}"/>
    <cellStyle name="Normal 2 3 2 4 2 3 3 3" xfId="27192" xr:uid="{DEECA674-C5F9-4CC9-B2BA-5A67B8EC25B0}"/>
    <cellStyle name="Normal 2 3 2 4 2 3 3 4" xfId="27193" xr:uid="{AD52F7A0-4C63-4CAD-9E06-F974AA6B022D}"/>
    <cellStyle name="Normal 2 3 2 4 2 3 3 5" xfId="27194" xr:uid="{783ABD70-0B32-468D-8896-AF13613EC02A}"/>
    <cellStyle name="Normal 2 3 2 4 2 3 3 6" xfId="27195" xr:uid="{C574D211-E719-4F4E-9FB4-9A6475202FB4}"/>
    <cellStyle name="Normal 2 3 2 4 2 3 4" xfId="27196" xr:uid="{ED15FA58-9A7B-4B53-B46D-0AAB755E7A35}"/>
    <cellStyle name="Normal 2 3 2 4 2 3 4 2" xfId="27197" xr:uid="{4AA05C4D-EAB1-4699-A8E8-12676E8ECC22}"/>
    <cellStyle name="Normal 2 3 2 4 2 3 4 2 2" xfId="27198" xr:uid="{65A40BE7-23D9-4519-89C4-D0D74D79DC27}"/>
    <cellStyle name="Normal 2 3 2 4 2 3 4 2 3" xfId="27199" xr:uid="{D243A00D-8AC1-4F3C-908D-47C3B6835D90}"/>
    <cellStyle name="Normal 2 3 2 4 2 3 4 2 4" xfId="27200" xr:uid="{7F681390-B153-4F94-8404-2F9F7BDAB4BB}"/>
    <cellStyle name="Normal 2 3 2 4 2 3 4 2 5" xfId="27201" xr:uid="{6FAB51E4-EA58-4B4A-A62F-9DDF8832E6F8}"/>
    <cellStyle name="Normal 2 3 2 4 2 3 4 3" xfId="27202" xr:uid="{9694BD49-7E58-4E05-9634-3D83DC4985E6}"/>
    <cellStyle name="Normal 2 3 2 4 2 3 4 4" xfId="27203" xr:uid="{D0EED5D5-0FA0-4201-BBFE-51B9F43198E0}"/>
    <cellStyle name="Normal 2 3 2 4 2 3 4 5" xfId="27204" xr:uid="{9094DF15-A330-445A-9331-1A062539696D}"/>
    <cellStyle name="Normal 2 3 2 4 2 3 4 6" xfId="27205" xr:uid="{D8C1FABC-839A-43DE-9DBC-09EA4D40EFB2}"/>
    <cellStyle name="Normal 2 3 2 4 2 3 5" xfId="27206" xr:uid="{5244DBA4-9280-488F-8E14-6F19F5359507}"/>
    <cellStyle name="Normal 2 3 2 4 2 3 5 2" xfId="27207" xr:uid="{02086078-E2A5-4A65-9716-41E47DC8CDE1}"/>
    <cellStyle name="Normal 2 3 2 4 2 3 5 3" xfId="27208" xr:uid="{85BEA2EF-CDF3-4A63-AEB9-1A71CCAA91E0}"/>
    <cellStyle name="Normal 2 3 2 4 2 3 5 4" xfId="27209" xr:uid="{78428245-6F5C-4E9C-862F-4B0DED34162A}"/>
    <cellStyle name="Normal 2 3 2 4 2 3 5 5" xfId="27210" xr:uid="{30E9C619-DB8F-4327-B7B6-3DC63A517506}"/>
    <cellStyle name="Normal 2 3 2 4 2 3 6" xfId="27211" xr:uid="{49EBF202-C5DB-4CD4-B1D9-57DF0B7B683C}"/>
    <cellStyle name="Normal 2 3 2 4 2 3 6 2" xfId="27212" xr:uid="{D677A144-67E6-4E26-8977-767576B7E8FA}"/>
    <cellStyle name="Normal 2 3 2 4 2 3 6 3" xfId="27213" xr:uid="{8C34FCC6-D3C0-482F-8E01-060210847593}"/>
    <cellStyle name="Normal 2 3 2 4 2 3 6 4" xfId="27214" xr:uid="{8030AD01-D3A9-4554-B531-26A87CB2BCBB}"/>
    <cellStyle name="Normal 2 3 2 4 2 3 6 5" xfId="27215" xr:uid="{73D3CA1C-0744-447B-AE9A-AD826FE4E1E4}"/>
    <cellStyle name="Normal 2 3 2 4 2 3 7" xfId="27216" xr:uid="{6F279448-06F3-4CE3-8D93-382F6E484FA2}"/>
    <cellStyle name="Normal 2 3 2 4 2 3 7 2" xfId="27217" xr:uid="{043A6A05-B43E-4555-A81E-6169518375A0}"/>
    <cellStyle name="Normal 2 3 2 4 2 3 7 3" xfId="27218" xr:uid="{A6F81609-AC9D-4220-8FA0-A737304F7182}"/>
    <cellStyle name="Normal 2 3 2 4 2 3 7 4" xfId="27219" xr:uid="{5035E352-C21B-4D6C-B3E7-03E2FD8C7F45}"/>
    <cellStyle name="Normal 2 3 2 4 2 3 7 5" xfId="27220" xr:uid="{C1FE8D01-90BA-48C0-A7BA-825CA222C56C}"/>
    <cellStyle name="Normal 2 3 2 4 2 3 8" xfId="27221" xr:uid="{95E369A6-3434-4217-AE82-6D26053B4D76}"/>
    <cellStyle name="Normal 2 3 2 4 2 3 8 2" xfId="27222" xr:uid="{9139B1C6-F85D-4F4E-9A3C-4ABA1D63CEBD}"/>
    <cellStyle name="Normal 2 3 2 4 2 3 8 3" xfId="27223" xr:uid="{D9039856-9C9C-4BCF-94D3-B444B36BEF68}"/>
    <cellStyle name="Normal 2 3 2 4 2 3 8 4" xfId="27224" xr:uid="{915A6F73-E765-457C-84D4-4CFD17861AA8}"/>
    <cellStyle name="Normal 2 3 2 4 2 3 8 5" xfId="27225" xr:uid="{E0CD29DF-F8F7-448E-9C8E-0956F264DFA9}"/>
    <cellStyle name="Normal 2 3 2 4 2 3 9" xfId="27226" xr:uid="{C4F4F7F6-8B40-4FC2-8947-E9D47E099D85}"/>
    <cellStyle name="Normal 2 3 2 4 2 4" xfId="27227" xr:uid="{4DA2597C-36DE-49DC-99ED-5E84FF197034}"/>
    <cellStyle name="Normal 2 3 2 4 2 4 2" xfId="27228" xr:uid="{1EBC0968-F9D3-45EA-BFA5-12045DB99FD0}"/>
    <cellStyle name="Normal 2 3 2 4 2 4 2 2" xfId="27229" xr:uid="{554FEDEB-E23C-424E-9D58-7863BDF8BABF}"/>
    <cellStyle name="Normal 2 3 2 4 2 4 2 3" xfId="27230" xr:uid="{793B702E-1A1A-4EB0-BEB4-B015A86E31A9}"/>
    <cellStyle name="Normal 2 3 2 4 2 4 2 4" xfId="27231" xr:uid="{3E4526B2-0547-4658-AA78-C3DFB4535C1E}"/>
    <cellStyle name="Normal 2 3 2 4 2 4 2 5" xfId="27232" xr:uid="{A1606BC9-3067-46D9-AC0C-6D9E253DB0BA}"/>
    <cellStyle name="Normal 2 3 2 4 2 4 3" xfId="27233" xr:uid="{972D0A8E-930D-41B4-B14D-675A05266581}"/>
    <cellStyle name="Normal 2 3 2 4 2 4 4" xfId="27234" xr:uid="{AF10F439-E716-4FB9-A4E1-FACB4BE893AE}"/>
    <cellStyle name="Normal 2 3 2 4 2 4 5" xfId="27235" xr:uid="{67A6AF28-158E-4B60-B57C-12F315B89DBE}"/>
    <cellStyle name="Normal 2 3 2 4 2 4 6" xfId="27236" xr:uid="{5881D695-53B7-4ACA-86D2-11965D3D85B9}"/>
    <cellStyle name="Normal 2 3 2 4 2 5" xfId="27237" xr:uid="{E4A073DC-2B69-4528-88BF-001AAF0550CF}"/>
    <cellStyle name="Normal 2 3 2 4 2 5 2" xfId="27238" xr:uid="{BE7FFA28-470E-43C1-A602-6E09800F01B5}"/>
    <cellStyle name="Normal 2 3 2 4 2 5 2 2" xfId="27239" xr:uid="{3E393522-4B33-491D-9638-4ED171FF4995}"/>
    <cellStyle name="Normal 2 3 2 4 2 5 2 3" xfId="27240" xr:uid="{8251133B-C4A0-43E7-BA8F-E43B19C3F377}"/>
    <cellStyle name="Normal 2 3 2 4 2 5 2 4" xfId="27241" xr:uid="{A0B25085-7276-4A28-BEBC-F08A79F57C9E}"/>
    <cellStyle name="Normal 2 3 2 4 2 5 2 5" xfId="27242" xr:uid="{2D597C39-B04C-4B3D-ADAA-04BB6263DF28}"/>
    <cellStyle name="Normal 2 3 2 4 2 5 3" xfId="27243" xr:uid="{1749EBA8-6400-4638-980A-7949C5440596}"/>
    <cellStyle name="Normal 2 3 2 4 2 5 4" xfId="27244" xr:uid="{EF1A75D0-E1D8-44EE-AA44-62DC2510A4C7}"/>
    <cellStyle name="Normal 2 3 2 4 2 5 5" xfId="27245" xr:uid="{1142EAFD-FBEB-442D-AE10-3859E57DB386}"/>
    <cellStyle name="Normal 2 3 2 4 2 5 6" xfId="27246" xr:uid="{D97158AD-9C94-4689-B93F-2835E908ED1B}"/>
    <cellStyle name="Normal 2 3 2 4 2 6" xfId="27247" xr:uid="{711F6BEA-9980-47A2-B820-F275F6B77B0C}"/>
    <cellStyle name="Normal 2 3 2 4 2 6 2" xfId="27248" xr:uid="{7CAD5277-81E1-4E73-931F-377686F6090F}"/>
    <cellStyle name="Normal 2 3 2 4 2 6 2 2" xfId="27249" xr:uid="{CD12DB96-5934-41E8-8D31-3FDB1C5D90BE}"/>
    <cellStyle name="Normal 2 3 2 4 2 6 2 3" xfId="27250" xr:uid="{C34568A7-A6E6-41E9-8017-25EF625D6535}"/>
    <cellStyle name="Normal 2 3 2 4 2 6 2 4" xfId="27251" xr:uid="{3C1E5E78-BFAF-47E4-964F-884B398126D4}"/>
    <cellStyle name="Normal 2 3 2 4 2 6 2 5" xfId="27252" xr:uid="{0534707B-21AF-4E31-858C-57FE2A0AC717}"/>
    <cellStyle name="Normal 2 3 2 4 2 6 3" xfId="27253" xr:uid="{AFBAF277-A726-45E6-9353-1A01D3470B3A}"/>
    <cellStyle name="Normal 2 3 2 4 2 6 4" xfId="27254" xr:uid="{780560A2-0743-47BF-BD78-25B2C80111E4}"/>
    <cellStyle name="Normal 2 3 2 4 2 6 5" xfId="27255" xr:uid="{7857FC43-3321-497E-B558-F8ED1438CD08}"/>
    <cellStyle name="Normal 2 3 2 4 2 6 6" xfId="27256" xr:uid="{5996211B-A4BC-4345-8A05-B6ED4B20D6C8}"/>
    <cellStyle name="Normal 2 3 2 4 2 7" xfId="27257" xr:uid="{AB96B628-088B-408E-852B-DD8B5E8A5BDD}"/>
    <cellStyle name="Normal 2 3 2 4 2 7 2" xfId="27258" xr:uid="{B2C1870C-D862-4BF8-8D38-BEF2E90D9ED8}"/>
    <cellStyle name="Normal 2 3 2 4 2 7 3" xfId="27259" xr:uid="{122727E2-EDD4-464F-900E-BD7DC74732BE}"/>
    <cellStyle name="Normal 2 3 2 4 2 7 4" xfId="27260" xr:uid="{43C129B6-E09C-4EEA-A467-2B464B48D7AC}"/>
    <cellStyle name="Normal 2 3 2 4 2 7 5" xfId="27261" xr:uid="{B0EEE029-1AD6-47CF-A243-965D5A991CAA}"/>
    <cellStyle name="Normal 2 3 2 4 2 8" xfId="27262" xr:uid="{1183C8F9-F2BB-4FCC-B233-94CAD108656F}"/>
    <cellStyle name="Normal 2 3 2 4 2 8 2" xfId="27263" xr:uid="{F6D0F47E-2E9E-4762-A77A-A3ECADED7A6F}"/>
    <cellStyle name="Normal 2 3 2 4 2 8 3" xfId="27264" xr:uid="{9BDD067E-5C3B-4F00-8409-6767C1AA1FD7}"/>
    <cellStyle name="Normal 2 3 2 4 2 8 4" xfId="27265" xr:uid="{C65FB2C7-F541-41FA-BAC5-7FDA360AD11D}"/>
    <cellStyle name="Normal 2 3 2 4 2 8 5" xfId="27266" xr:uid="{8BE8CB8C-0BCC-4B80-A0D9-FF13F2CC8707}"/>
    <cellStyle name="Normal 2 3 2 4 2 9" xfId="27267" xr:uid="{4539FA8A-2FCB-4D57-BC6C-ACAFD5529153}"/>
    <cellStyle name="Normal 2 3 2 4 2 9 2" xfId="27268" xr:uid="{CF3B571B-69E4-4D1A-8233-CF9CF7764FD3}"/>
    <cellStyle name="Normal 2 3 2 4 2 9 3" xfId="27269" xr:uid="{154156AE-CF4E-4978-AA3F-6E370E29AFFC}"/>
    <cellStyle name="Normal 2 3 2 4 2 9 4" xfId="27270" xr:uid="{B49D20CC-E108-4586-8472-E11F4FDF7F32}"/>
    <cellStyle name="Normal 2 3 2 4 2 9 5" xfId="27271" xr:uid="{B5597B17-DF89-4058-B4B7-D6E924F2513F}"/>
    <cellStyle name="Normal 2 3 2 4 3" xfId="27272" xr:uid="{ABAB04DF-2A64-4A1B-8159-48BA7FE83D50}"/>
    <cellStyle name="Normal 2 3 2 4 3 10" xfId="27273" xr:uid="{8091E26F-150E-424D-B42E-B3AB9E0DAEAE}"/>
    <cellStyle name="Normal 2 3 2 4 3 11" xfId="27274" xr:uid="{2FDBDC99-6E95-4783-B13F-A0F2EEE73403}"/>
    <cellStyle name="Normal 2 3 2 4 3 12" xfId="27275" xr:uid="{BEB5C87B-8077-4327-A934-64B968B10CBD}"/>
    <cellStyle name="Normal 2 3 2 4 3 13" xfId="27276" xr:uid="{EDCF487E-CE71-491B-B294-1673248AB18E}"/>
    <cellStyle name="Normal 2 3 2 4 3 2" xfId="27277" xr:uid="{9D4FE6D1-BB0F-4D42-942E-286129B50F0D}"/>
    <cellStyle name="Normal 2 3 2 4 3 2 10" xfId="27278" xr:uid="{575196D2-B345-4646-98AA-8C436423CDCD}"/>
    <cellStyle name="Normal 2 3 2 4 3 2 11" xfId="27279" xr:uid="{08B6FC0A-887C-4A94-BBBA-E05EE24C8431}"/>
    <cellStyle name="Normal 2 3 2 4 3 2 12" xfId="27280" xr:uid="{6EF01701-7CC6-4B18-BE88-26A0DCD656A4}"/>
    <cellStyle name="Normal 2 3 2 4 3 2 2" xfId="27281" xr:uid="{787EC7EB-B704-47FC-BFDD-E0121EFB46B8}"/>
    <cellStyle name="Normal 2 3 2 4 3 2 2 2" xfId="27282" xr:uid="{D6F52903-04AC-4919-945F-E739A8175E41}"/>
    <cellStyle name="Normal 2 3 2 4 3 2 2 2 2" xfId="27283" xr:uid="{1100D394-4427-446D-A419-D51E8CE2128A}"/>
    <cellStyle name="Normal 2 3 2 4 3 2 2 2 3" xfId="27284" xr:uid="{7B32629B-31CA-4928-B734-3DB61ABF59CE}"/>
    <cellStyle name="Normal 2 3 2 4 3 2 2 2 4" xfId="27285" xr:uid="{D6D80AAC-E38B-4BF2-BAF4-01F8E60F0B2D}"/>
    <cellStyle name="Normal 2 3 2 4 3 2 2 2 5" xfId="27286" xr:uid="{573417F5-3801-42F7-9E03-FC95DFE9229B}"/>
    <cellStyle name="Normal 2 3 2 4 3 2 2 3" xfId="27287" xr:uid="{F297AA86-F8BB-4AF0-9412-80ABFE1E9B55}"/>
    <cellStyle name="Normal 2 3 2 4 3 2 2 4" xfId="27288" xr:uid="{BF7CAD9A-161D-44E7-B452-D9797187863A}"/>
    <cellStyle name="Normal 2 3 2 4 3 2 2 5" xfId="27289" xr:uid="{6025240D-8ECA-4333-859D-9BD1BEC80964}"/>
    <cellStyle name="Normal 2 3 2 4 3 2 2 6" xfId="27290" xr:uid="{C3E67DBC-8A71-4718-ADB3-65BF6D18DE01}"/>
    <cellStyle name="Normal 2 3 2 4 3 2 3" xfId="27291" xr:uid="{2D05D961-A350-45BD-AB67-CCCA94BCAA8D}"/>
    <cellStyle name="Normal 2 3 2 4 3 2 3 2" xfId="27292" xr:uid="{7219D9BD-B01F-46C5-B7C5-37C77220E7D9}"/>
    <cellStyle name="Normal 2 3 2 4 3 2 3 2 2" xfId="27293" xr:uid="{56A05D2D-EBD3-4189-8629-B36B37AAF580}"/>
    <cellStyle name="Normal 2 3 2 4 3 2 3 2 3" xfId="27294" xr:uid="{D05C57A3-4041-4BF5-BB1A-A9A65EB18DAF}"/>
    <cellStyle name="Normal 2 3 2 4 3 2 3 2 4" xfId="27295" xr:uid="{420D5878-6FE3-4265-BDE7-AE2FE2F0F217}"/>
    <cellStyle name="Normal 2 3 2 4 3 2 3 2 5" xfId="27296" xr:uid="{43B433A7-7D20-4802-B936-AA64A099619C}"/>
    <cellStyle name="Normal 2 3 2 4 3 2 3 3" xfId="27297" xr:uid="{02377155-30C7-4E47-A3D5-E2C255653317}"/>
    <cellStyle name="Normal 2 3 2 4 3 2 3 4" xfId="27298" xr:uid="{B8C01CCF-345A-4C05-816E-EB07CE88079C}"/>
    <cellStyle name="Normal 2 3 2 4 3 2 3 5" xfId="27299" xr:uid="{AF2F716C-3140-4209-8556-48B414E3945F}"/>
    <cellStyle name="Normal 2 3 2 4 3 2 3 6" xfId="27300" xr:uid="{B7E42F63-6D53-422F-AD82-2DC9E469C6ED}"/>
    <cellStyle name="Normal 2 3 2 4 3 2 4" xfId="27301" xr:uid="{B836FE92-69FF-4720-96F4-8E6C5959C126}"/>
    <cellStyle name="Normal 2 3 2 4 3 2 4 2" xfId="27302" xr:uid="{56DA4FD1-9700-4210-B818-96857EB8E99D}"/>
    <cellStyle name="Normal 2 3 2 4 3 2 4 2 2" xfId="27303" xr:uid="{F80716DA-77F6-43D5-ABA0-BCB8B262FF8D}"/>
    <cellStyle name="Normal 2 3 2 4 3 2 4 2 3" xfId="27304" xr:uid="{9BF4A43B-B122-4351-AFDD-3DEE882DD735}"/>
    <cellStyle name="Normal 2 3 2 4 3 2 4 2 4" xfId="27305" xr:uid="{122A2923-360C-4089-9099-FDFF118E1D2E}"/>
    <cellStyle name="Normal 2 3 2 4 3 2 4 2 5" xfId="27306" xr:uid="{13C54B0D-93F2-46D6-9C97-BD95DFC1DF90}"/>
    <cellStyle name="Normal 2 3 2 4 3 2 4 3" xfId="27307" xr:uid="{BEC82060-670F-437C-8C3A-46B1869EFF68}"/>
    <cellStyle name="Normal 2 3 2 4 3 2 4 4" xfId="27308" xr:uid="{6DBCD78C-E573-4F4F-9A20-E12C4C3C1802}"/>
    <cellStyle name="Normal 2 3 2 4 3 2 4 5" xfId="27309" xr:uid="{B4555063-EED6-4EE8-91AF-5A431B33C8E7}"/>
    <cellStyle name="Normal 2 3 2 4 3 2 4 6" xfId="27310" xr:uid="{7FCD0527-130F-42D1-A407-0B3E0DC575F7}"/>
    <cellStyle name="Normal 2 3 2 4 3 2 5" xfId="27311" xr:uid="{A3919162-B714-450A-9389-6CF738171C4B}"/>
    <cellStyle name="Normal 2 3 2 4 3 2 5 2" xfId="27312" xr:uid="{594A9416-F82E-4322-861D-3583EBE658F1}"/>
    <cellStyle name="Normal 2 3 2 4 3 2 5 3" xfId="27313" xr:uid="{F6A07D41-A883-4652-8EE1-7C4A24A76088}"/>
    <cellStyle name="Normal 2 3 2 4 3 2 5 4" xfId="27314" xr:uid="{97657755-D979-4444-812E-EA8134C967AF}"/>
    <cellStyle name="Normal 2 3 2 4 3 2 5 5" xfId="27315" xr:uid="{3CE5B33F-FE75-4D89-AEB4-4B556F09D3AE}"/>
    <cellStyle name="Normal 2 3 2 4 3 2 6" xfId="27316" xr:uid="{7A2B6833-B01B-4D32-9C51-28A0D30180CA}"/>
    <cellStyle name="Normal 2 3 2 4 3 2 6 2" xfId="27317" xr:uid="{CC2D9DA9-D6A9-45DB-A41F-3AC6C81F1007}"/>
    <cellStyle name="Normal 2 3 2 4 3 2 6 3" xfId="27318" xr:uid="{7233B3A7-54B7-49DE-B4E7-371F0390303D}"/>
    <cellStyle name="Normal 2 3 2 4 3 2 6 4" xfId="27319" xr:uid="{12EF4ABE-FA6B-46F7-B204-BEE18087FAE0}"/>
    <cellStyle name="Normal 2 3 2 4 3 2 6 5" xfId="27320" xr:uid="{9E78E9B0-298D-4A2F-B325-C095954FA97B}"/>
    <cellStyle name="Normal 2 3 2 4 3 2 7" xfId="27321" xr:uid="{4A28A79A-F2EB-4EC2-93E1-A4A3787EEB61}"/>
    <cellStyle name="Normal 2 3 2 4 3 2 7 2" xfId="27322" xr:uid="{71CDDE45-0A31-4A95-AC52-AA152C3DBDE9}"/>
    <cellStyle name="Normal 2 3 2 4 3 2 7 3" xfId="27323" xr:uid="{52944952-E0DC-44D4-9D33-F4A10594F9AA}"/>
    <cellStyle name="Normal 2 3 2 4 3 2 7 4" xfId="27324" xr:uid="{A886E100-AA0E-4549-8AC4-E233F7D7A93B}"/>
    <cellStyle name="Normal 2 3 2 4 3 2 7 5" xfId="27325" xr:uid="{0B0CC38F-A185-4B54-B35C-F054198EEDE2}"/>
    <cellStyle name="Normal 2 3 2 4 3 2 8" xfId="27326" xr:uid="{392CDE29-CBD7-4371-ADA8-7B8F65A9597A}"/>
    <cellStyle name="Normal 2 3 2 4 3 2 8 2" xfId="27327" xr:uid="{99FF2B41-22B0-42AF-8F6E-0A10DF7BC219}"/>
    <cellStyle name="Normal 2 3 2 4 3 2 8 3" xfId="27328" xr:uid="{98FAE1DB-3CE5-4C8A-9A8C-7F44619E5C7F}"/>
    <cellStyle name="Normal 2 3 2 4 3 2 8 4" xfId="27329" xr:uid="{C46B681C-8D7F-4D06-A450-AD721EE33BA6}"/>
    <cellStyle name="Normal 2 3 2 4 3 2 8 5" xfId="27330" xr:uid="{9CE198B8-A947-434F-A97F-72CF482D9346}"/>
    <cellStyle name="Normal 2 3 2 4 3 2 9" xfId="27331" xr:uid="{A5502465-12BF-4A01-86A6-B39A48F4963C}"/>
    <cellStyle name="Normal 2 3 2 4 3 3" xfId="27332" xr:uid="{E3566DA5-7EA2-4848-B14E-A71D3D29F546}"/>
    <cellStyle name="Normal 2 3 2 4 3 3 2" xfId="27333" xr:uid="{E7AEFF0F-CFA9-46AE-AC23-B32357A851E0}"/>
    <cellStyle name="Normal 2 3 2 4 3 3 2 2" xfId="27334" xr:uid="{AFD42D58-8680-4C11-85F9-E755CAA45F80}"/>
    <cellStyle name="Normal 2 3 2 4 3 3 2 3" xfId="27335" xr:uid="{0A5DCD86-86D5-4D28-8FAF-9BA4B17CCAAC}"/>
    <cellStyle name="Normal 2 3 2 4 3 3 2 4" xfId="27336" xr:uid="{BC4D0D6A-F6B6-4FFB-95BD-C47ED47E913E}"/>
    <cellStyle name="Normal 2 3 2 4 3 3 2 5" xfId="27337" xr:uid="{17FFB0A0-50ED-4284-8435-E57B17B0B5ED}"/>
    <cellStyle name="Normal 2 3 2 4 3 3 3" xfId="27338" xr:uid="{F2AFE0A4-B1FE-4AA2-ADDF-455C4711079A}"/>
    <cellStyle name="Normal 2 3 2 4 3 3 4" xfId="27339" xr:uid="{0774748D-651C-4C46-A15B-B3AE7F9FCF7E}"/>
    <cellStyle name="Normal 2 3 2 4 3 3 5" xfId="27340" xr:uid="{DC045CBE-853D-4E2F-8002-AD8387122F1A}"/>
    <cellStyle name="Normal 2 3 2 4 3 3 6" xfId="27341" xr:uid="{A4C06DCC-F0C7-433E-9734-9F0CC47FA9B7}"/>
    <cellStyle name="Normal 2 3 2 4 3 4" xfId="27342" xr:uid="{5DDAC261-402F-41C7-82BD-6647DC52B8E6}"/>
    <cellStyle name="Normal 2 3 2 4 3 4 2" xfId="27343" xr:uid="{1020DEF1-0EB1-421B-83F7-488046F119D3}"/>
    <cellStyle name="Normal 2 3 2 4 3 4 2 2" xfId="27344" xr:uid="{5BF06BB7-1595-414C-ABA8-98CC9E86F103}"/>
    <cellStyle name="Normal 2 3 2 4 3 4 2 3" xfId="27345" xr:uid="{DB4A14F2-950F-45FF-8B1B-508164B5CED7}"/>
    <cellStyle name="Normal 2 3 2 4 3 4 2 4" xfId="27346" xr:uid="{CCB297B6-E311-4D32-800D-A0979E710A72}"/>
    <cellStyle name="Normal 2 3 2 4 3 4 2 5" xfId="27347" xr:uid="{1A748E5D-82C6-44C5-AFE1-A28B9A26EA8D}"/>
    <cellStyle name="Normal 2 3 2 4 3 4 3" xfId="27348" xr:uid="{9582625C-580E-4324-96A3-D4F71FE0F220}"/>
    <cellStyle name="Normal 2 3 2 4 3 4 4" xfId="27349" xr:uid="{85AFF71C-637B-4530-91EE-346255020829}"/>
    <cellStyle name="Normal 2 3 2 4 3 4 5" xfId="27350" xr:uid="{45660A03-450D-41FA-A25B-61D673173BF6}"/>
    <cellStyle name="Normal 2 3 2 4 3 4 6" xfId="27351" xr:uid="{3D7FB6DA-9D13-4D5D-A37B-2F27A0ADF4C9}"/>
    <cellStyle name="Normal 2 3 2 4 3 5" xfId="27352" xr:uid="{BA446DE4-2D95-4CF5-8BF4-F1B60DA88682}"/>
    <cellStyle name="Normal 2 3 2 4 3 5 2" xfId="27353" xr:uid="{217CFE82-7C0F-4CA2-B334-7405523A1795}"/>
    <cellStyle name="Normal 2 3 2 4 3 5 2 2" xfId="27354" xr:uid="{166744B3-7BF2-408E-AF26-8CF0724BC47C}"/>
    <cellStyle name="Normal 2 3 2 4 3 5 2 3" xfId="27355" xr:uid="{BD3212BA-EAFE-4CE3-BD61-F0A91D17F841}"/>
    <cellStyle name="Normal 2 3 2 4 3 5 2 4" xfId="27356" xr:uid="{7E0E7AAD-416B-447A-B022-436011CD1926}"/>
    <cellStyle name="Normal 2 3 2 4 3 5 2 5" xfId="27357" xr:uid="{2C479EAF-E11A-462A-8A9C-F6C931E28AE8}"/>
    <cellStyle name="Normal 2 3 2 4 3 5 3" xfId="27358" xr:uid="{8F9DB576-F80E-474F-89E5-C81AE1C25A8C}"/>
    <cellStyle name="Normal 2 3 2 4 3 5 4" xfId="27359" xr:uid="{6291AF63-2DA7-4B99-948E-00155BC8AA00}"/>
    <cellStyle name="Normal 2 3 2 4 3 5 5" xfId="27360" xr:uid="{8DE3F6DC-2688-4C10-92F9-DB2B1E6EED2E}"/>
    <cellStyle name="Normal 2 3 2 4 3 5 6" xfId="27361" xr:uid="{09CAF0B3-AB67-469B-9895-1F288AD8E1C5}"/>
    <cellStyle name="Normal 2 3 2 4 3 6" xfId="27362" xr:uid="{8E917017-0661-4CE6-BA4D-2051F75BA8CD}"/>
    <cellStyle name="Normal 2 3 2 4 3 6 2" xfId="27363" xr:uid="{CCC30931-C82F-448F-97BA-5CAB9A45EEB2}"/>
    <cellStyle name="Normal 2 3 2 4 3 6 3" xfId="27364" xr:uid="{25A5DB8A-1B7E-46C4-9827-B7B6EF5ADAA9}"/>
    <cellStyle name="Normal 2 3 2 4 3 6 4" xfId="27365" xr:uid="{77ED1AA5-08FF-471A-BDCF-04EC48D97F22}"/>
    <cellStyle name="Normal 2 3 2 4 3 6 5" xfId="27366" xr:uid="{21656DC0-508F-4B9C-B1E6-0176CBF8C0B9}"/>
    <cellStyle name="Normal 2 3 2 4 3 7" xfId="27367" xr:uid="{D772A00E-D47D-4B58-8E7B-4CB5946A4B52}"/>
    <cellStyle name="Normal 2 3 2 4 3 7 2" xfId="27368" xr:uid="{35114B46-09CD-47F4-8276-FC5DF486913D}"/>
    <cellStyle name="Normal 2 3 2 4 3 7 3" xfId="27369" xr:uid="{92CE53D5-7ABD-4B62-B029-F98AF3C7E9C9}"/>
    <cellStyle name="Normal 2 3 2 4 3 7 4" xfId="27370" xr:uid="{874B6300-A6AF-44F7-A3E9-7C6D14D7B9A8}"/>
    <cellStyle name="Normal 2 3 2 4 3 7 5" xfId="27371" xr:uid="{F7D009A8-D710-477D-B8C9-874D887563FF}"/>
    <cellStyle name="Normal 2 3 2 4 3 8" xfId="27372" xr:uid="{56EE66B5-A018-492C-A541-446F4D767731}"/>
    <cellStyle name="Normal 2 3 2 4 3 8 2" xfId="27373" xr:uid="{7F5BEAB6-F34E-418A-8D96-F392224E09C9}"/>
    <cellStyle name="Normal 2 3 2 4 3 8 3" xfId="27374" xr:uid="{E3BE7362-C4B1-4C72-9E67-ADBF113F45C0}"/>
    <cellStyle name="Normal 2 3 2 4 3 8 4" xfId="27375" xr:uid="{49993FB5-CEBF-476E-86D7-F7C6EE800D0B}"/>
    <cellStyle name="Normal 2 3 2 4 3 8 5" xfId="27376" xr:uid="{F20C8E6C-06B7-4993-9636-BEF6D9FB93D3}"/>
    <cellStyle name="Normal 2 3 2 4 3 9" xfId="27377" xr:uid="{CC1C8B81-E7CF-4820-8F4D-4262D82023F1}"/>
    <cellStyle name="Normal 2 3 2 4 3 9 2" xfId="27378" xr:uid="{7133F79C-430E-4565-8D19-AA347951C5AA}"/>
    <cellStyle name="Normal 2 3 2 4 3 9 3" xfId="27379" xr:uid="{6319B67D-E23B-44E2-9611-828504B195DD}"/>
    <cellStyle name="Normal 2 3 2 4 3 9 4" xfId="27380" xr:uid="{FCE4F97F-613B-4EF4-93E3-3D47B13BF250}"/>
    <cellStyle name="Normal 2 3 2 4 3 9 5" xfId="27381" xr:uid="{E78FB43F-5A1F-473E-B78C-7B1E3B93C602}"/>
    <cellStyle name="Normal 2 3 2 4 4" xfId="27382" xr:uid="{06113E1E-0814-4334-97A4-6F2F5C2C90B8}"/>
    <cellStyle name="Normal 2 3 2 4 4 10" xfId="27383" xr:uid="{C620BB09-D5C9-4568-A1E6-6D830DEAC39C}"/>
    <cellStyle name="Normal 2 3 2 4 4 11" xfId="27384" xr:uid="{909DA5FA-398C-4CEA-BF90-B9719E265B8A}"/>
    <cellStyle name="Normal 2 3 2 4 4 12" xfId="27385" xr:uid="{E337BCA5-E6F6-4A2B-82BC-A1B2FA75FD54}"/>
    <cellStyle name="Normal 2 3 2 4 4 2" xfId="27386" xr:uid="{47771CEA-7CF9-41A5-B7CE-F69254349F7F}"/>
    <cellStyle name="Normal 2 3 2 4 4 2 2" xfId="27387" xr:uid="{E97FBD34-95BA-4F8E-B7D5-B06C1ADA7992}"/>
    <cellStyle name="Normal 2 3 2 4 4 2 2 2" xfId="27388" xr:uid="{5A21A1A9-ECC2-45C4-AC91-3CADD23B4846}"/>
    <cellStyle name="Normal 2 3 2 4 4 2 2 3" xfId="27389" xr:uid="{87EB55C5-A7A8-4B6D-8885-CB003B4EBD66}"/>
    <cellStyle name="Normal 2 3 2 4 4 2 2 4" xfId="27390" xr:uid="{B05B187C-E5DE-4B35-85E2-C36A812217AF}"/>
    <cellStyle name="Normal 2 3 2 4 4 2 2 5" xfId="27391" xr:uid="{FE8F3DA1-8793-4F5B-B90E-96BF107A6E02}"/>
    <cellStyle name="Normal 2 3 2 4 4 2 3" xfId="27392" xr:uid="{16B5F06A-678D-49B6-B74F-59A01B2B9633}"/>
    <cellStyle name="Normal 2 3 2 4 4 2 4" xfId="27393" xr:uid="{03AB23B4-1B14-4328-8482-80021494852D}"/>
    <cellStyle name="Normal 2 3 2 4 4 2 5" xfId="27394" xr:uid="{D10DFE4C-FB61-4D35-BFDB-A311816D02C2}"/>
    <cellStyle name="Normal 2 3 2 4 4 2 6" xfId="27395" xr:uid="{A090C9D4-421C-42E3-8010-9630EF12D5DE}"/>
    <cellStyle name="Normal 2 3 2 4 4 3" xfId="27396" xr:uid="{30892FAF-9343-464D-BEFC-DD7360CD3F9B}"/>
    <cellStyle name="Normal 2 3 2 4 4 3 2" xfId="27397" xr:uid="{661A14F9-8020-4864-8CB9-59390472BE9F}"/>
    <cellStyle name="Normal 2 3 2 4 4 3 2 2" xfId="27398" xr:uid="{3B90FDE4-11F5-4094-B929-6FDDA0E1135F}"/>
    <cellStyle name="Normal 2 3 2 4 4 3 2 3" xfId="27399" xr:uid="{C2716B47-1A84-4314-B6F5-16DB0CA6F7C2}"/>
    <cellStyle name="Normal 2 3 2 4 4 3 2 4" xfId="27400" xr:uid="{5BBE7449-7ED0-485E-B39E-D117AF78300C}"/>
    <cellStyle name="Normal 2 3 2 4 4 3 2 5" xfId="27401" xr:uid="{1D4ED84F-451D-48F0-BB7A-37503303F051}"/>
    <cellStyle name="Normal 2 3 2 4 4 3 3" xfId="27402" xr:uid="{FBC5E48D-BECC-4810-B994-261B67229655}"/>
    <cellStyle name="Normal 2 3 2 4 4 3 4" xfId="27403" xr:uid="{6FDB184C-877B-42D9-A029-5AF413D008D6}"/>
    <cellStyle name="Normal 2 3 2 4 4 3 5" xfId="27404" xr:uid="{289AEF69-7143-4A0E-B212-91AF9A676396}"/>
    <cellStyle name="Normal 2 3 2 4 4 3 6" xfId="27405" xr:uid="{F34832E5-59BE-46F1-A6B5-B8778FD2B874}"/>
    <cellStyle name="Normal 2 3 2 4 4 4" xfId="27406" xr:uid="{012B9AB7-4A1E-44F3-A13E-B135DA76DBFD}"/>
    <cellStyle name="Normal 2 3 2 4 4 4 2" xfId="27407" xr:uid="{0F629113-C75C-417D-BBA8-9A3227711A79}"/>
    <cellStyle name="Normal 2 3 2 4 4 4 2 2" xfId="27408" xr:uid="{83F40444-14FB-49F2-B1D2-A75E1060C3F6}"/>
    <cellStyle name="Normal 2 3 2 4 4 4 2 3" xfId="27409" xr:uid="{6193AD78-A5B6-4780-B1BD-C8D36DA697A4}"/>
    <cellStyle name="Normal 2 3 2 4 4 4 2 4" xfId="27410" xr:uid="{9FFBD79A-E792-4FA7-AC86-FCE15C21F74C}"/>
    <cellStyle name="Normal 2 3 2 4 4 4 2 5" xfId="27411" xr:uid="{8DBE679B-6DE3-4D01-87C6-52E51763117D}"/>
    <cellStyle name="Normal 2 3 2 4 4 4 3" xfId="27412" xr:uid="{300890E5-6192-4B2C-9906-03BBE2DF0595}"/>
    <cellStyle name="Normal 2 3 2 4 4 4 4" xfId="27413" xr:uid="{2EFBAC37-BB8D-40D3-A496-D2638B22901A}"/>
    <cellStyle name="Normal 2 3 2 4 4 4 5" xfId="27414" xr:uid="{C13DD513-14AC-4E69-A7B6-09C34BC5910D}"/>
    <cellStyle name="Normal 2 3 2 4 4 4 6" xfId="27415" xr:uid="{AD5499F4-8C0D-4666-8FA8-437F8B386E9E}"/>
    <cellStyle name="Normal 2 3 2 4 4 5" xfId="27416" xr:uid="{35830E8B-8D0C-4DF7-AF3B-B676009AF580}"/>
    <cellStyle name="Normal 2 3 2 4 4 5 2" xfId="27417" xr:uid="{2DF7DDDF-1F81-48CC-B25F-3B4BC5538E6E}"/>
    <cellStyle name="Normal 2 3 2 4 4 5 3" xfId="27418" xr:uid="{148B675C-ADCB-4533-B5C1-5E5047EF0B57}"/>
    <cellStyle name="Normal 2 3 2 4 4 5 4" xfId="27419" xr:uid="{83C1D97D-299E-46B3-BA38-B6D7905764DA}"/>
    <cellStyle name="Normal 2 3 2 4 4 5 5" xfId="27420" xr:uid="{95F7F075-24DB-4275-81F3-B6D716E74BB4}"/>
    <cellStyle name="Normal 2 3 2 4 4 6" xfId="27421" xr:uid="{9C459666-A414-4798-8791-4B56FFEFA7CC}"/>
    <cellStyle name="Normal 2 3 2 4 4 6 2" xfId="27422" xr:uid="{8486F852-47D1-4ECB-8B32-9B34AAD04E57}"/>
    <cellStyle name="Normal 2 3 2 4 4 6 3" xfId="27423" xr:uid="{2C2B976F-CAA8-4788-9802-C6C63EAFD508}"/>
    <cellStyle name="Normal 2 3 2 4 4 6 4" xfId="27424" xr:uid="{000411F4-6654-46A4-8BE9-45D5C6D15F28}"/>
    <cellStyle name="Normal 2 3 2 4 4 6 5" xfId="27425" xr:uid="{36C6B976-DB5E-4DEE-AC79-37394CA17B29}"/>
    <cellStyle name="Normal 2 3 2 4 4 7" xfId="27426" xr:uid="{20F254E2-2917-49E3-875E-EF21FF420A8B}"/>
    <cellStyle name="Normal 2 3 2 4 4 7 2" xfId="27427" xr:uid="{DD0601ED-E943-4A4D-ABFA-9B3E84826FB7}"/>
    <cellStyle name="Normal 2 3 2 4 4 7 3" xfId="27428" xr:uid="{FAC3E666-28D7-474C-A5F8-3F7E0EA1E50F}"/>
    <cellStyle name="Normal 2 3 2 4 4 7 4" xfId="27429" xr:uid="{E6CC8538-7490-4EC0-8BC2-249CB0CB53F6}"/>
    <cellStyle name="Normal 2 3 2 4 4 7 5" xfId="27430" xr:uid="{ADC779DB-F218-421D-8946-A33637D96538}"/>
    <cellStyle name="Normal 2 3 2 4 4 8" xfId="27431" xr:uid="{951B7DDD-B057-4234-884B-6AD4F7C73E47}"/>
    <cellStyle name="Normal 2 3 2 4 4 8 2" xfId="27432" xr:uid="{B7A0C03C-DC2E-4412-8A2B-9E4F280956A5}"/>
    <cellStyle name="Normal 2 3 2 4 4 8 3" xfId="27433" xr:uid="{6F05D4CA-68EB-47D5-B77F-201E80DDEFF5}"/>
    <cellStyle name="Normal 2 3 2 4 4 8 4" xfId="27434" xr:uid="{01D0B235-361A-4DF1-966A-7AC5CFB18254}"/>
    <cellStyle name="Normal 2 3 2 4 4 8 5" xfId="27435" xr:uid="{2741967E-A7AF-4E41-ACA0-2AA72AC96422}"/>
    <cellStyle name="Normal 2 3 2 4 4 9" xfId="27436" xr:uid="{2059B86A-DC53-412D-8303-9B85DF0C736C}"/>
    <cellStyle name="Normal 2 3 2 4 5" xfId="27437" xr:uid="{214F43C9-7263-468A-BA23-AC841B8010FE}"/>
    <cellStyle name="Normal 2 3 2 4 5 2" xfId="27438" xr:uid="{F5256105-F3C7-4D94-98D3-D27A7875EFE6}"/>
    <cellStyle name="Normal 2 3 2 4 5 2 2" xfId="27439" xr:uid="{9BC70CD3-4166-4511-972E-4B8AA034EE29}"/>
    <cellStyle name="Normal 2 3 2 4 5 2 3" xfId="27440" xr:uid="{A4F84EF6-D74C-4B3B-AA49-5A65597C82D1}"/>
    <cellStyle name="Normal 2 3 2 4 5 2 4" xfId="27441" xr:uid="{924063C8-328F-4608-88B3-DCA521CCDA7C}"/>
    <cellStyle name="Normal 2 3 2 4 5 2 5" xfId="27442" xr:uid="{61511093-9916-4C21-BDC4-696E6D51F7FF}"/>
    <cellStyle name="Normal 2 3 2 4 5 3" xfId="27443" xr:uid="{64DD183B-1A48-45DB-96D2-481A68320E37}"/>
    <cellStyle name="Normal 2 3 2 4 5 4" xfId="27444" xr:uid="{70C741C8-2FB2-4C52-8C4F-78E73C422035}"/>
    <cellStyle name="Normal 2 3 2 4 5 5" xfId="27445" xr:uid="{C206660D-44EF-4A87-BCF5-D16FAA587173}"/>
    <cellStyle name="Normal 2 3 2 4 5 6" xfId="27446" xr:uid="{5D4B1EDA-D70E-4303-A6BF-1AA1553DC3CE}"/>
    <cellStyle name="Normal 2 3 2 4 6" xfId="27447" xr:uid="{DC5F2732-817F-42F6-B576-EFBB88BFB72F}"/>
    <cellStyle name="Normal 2 3 2 4 6 2" xfId="27448" xr:uid="{EA6ADB0D-6FF0-4F4B-9A78-3B6A4BEEB87C}"/>
    <cellStyle name="Normal 2 3 2 4 6 2 2" xfId="27449" xr:uid="{D55E4387-C5A0-4E3B-9165-C054CACC7A42}"/>
    <cellStyle name="Normal 2 3 2 4 6 2 3" xfId="27450" xr:uid="{AB1F6718-5153-4F3F-9E70-A2C0F8E0AA9F}"/>
    <cellStyle name="Normal 2 3 2 4 6 2 4" xfId="27451" xr:uid="{62B0A740-C8BB-4172-A78F-9DE1DE9344F5}"/>
    <cellStyle name="Normal 2 3 2 4 6 2 5" xfId="27452" xr:uid="{B5E9CCC4-4013-4B6D-94B1-36584CA55D99}"/>
    <cellStyle name="Normal 2 3 2 4 6 3" xfId="27453" xr:uid="{F410E598-D3E5-4330-962F-98792AE3D279}"/>
    <cellStyle name="Normal 2 3 2 4 6 4" xfId="27454" xr:uid="{05B8DC38-CD50-4625-9239-CB916804912C}"/>
    <cellStyle name="Normal 2 3 2 4 6 5" xfId="27455" xr:uid="{56A9177A-1037-4681-866F-FDDEA7607A36}"/>
    <cellStyle name="Normal 2 3 2 4 6 6" xfId="27456" xr:uid="{47F0765F-E342-4203-9265-CAB18E228DB3}"/>
    <cellStyle name="Normal 2 3 2 4 7" xfId="27457" xr:uid="{5806FF98-8B4F-4023-AEC5-728FD25896D1}"/>
    <cellStyle name="Normal 2 3 2 4 7 2" xfId="27458" xr:uid="{E4962D84-D691-476B-B7CA-1569B4DBB58C}"/>
    <cellStyle name="Normal 2 3 2 4 7 2 2" xfId="27459" xr:uid="{BF7C4428-61BA-4F96-BE59-5D90B5409896}"/>
    <cellStyle name="Normal 2 3 2 4 7 2 3" xfId="27460" xr:uid="{30EFE017-3979-409D-9A6D-05DAD60338B9}"/>
    <cellStyle name="Normal 2 3 2 4 7 2 4" xfId="27461" xr:uid="{B7527B7F-EE93-4F1C-9CCB-7FE67F0B8C86}"/>
    <cellStyle name="Normal 2 3 2 4 7 2 5" xfId="27462" xr:uid="{0D287501-0E2D-437F-831F-792118B529CA}"/>
    <cellStyle name="Normal 2 3 2 4 7 3" xfId="27463" xr:uid="{C919A44B-7625-4341-A508-1DEBAF2F7E85}"/>
    <cellStyle name="Normal 2 3 2 4 7 4" xfId="27464" xr:uid="{6B2C4FE3-1D9B-4865-8D1C-0A70EE431C94}"/>
    <cellStyle name="Normal 2 3 2 4 7 5" xfId="27465" xr:uid="{356F3B95-D1DC-4F74-AEA1-0F98D7A5B50A}"/>
    <cellStyle name="Normal 2 3 2 4 7 6" xfId="27466" xr:uid="{D92B1D1C-015F-4E89-95EF-35BC18B46AB8}"/>
    <cellStyle name="Normal 2 3 2 4 8" xfId="27467" xr:uid="{F3B322EE-46CA-4D32-8106-673D8392B39C}"/>
    <cellStyle name="Normal 2 3 2 4 8 2" xfId="27468" xr:uid="{5BBAC5A8-B390-4BB3-A19C-867971DDB389}"/>
    <cellStyle name="Normal 2 3 2 4 8 3" xfId="27469" xr:uid="{8F446490-FBA7-4165-9DB5-DF7D16F70E28}"/>
    <cellStyle name="Normal 2 3 2 4 8 4" xfId="27470" xr:uid="{17BDF55A-1645-4BAF-978F-022E93C60FFA}"/>
    <cellStyle name="Normal 2 3 2 4 8 5" xfId="27471" xr:uid="{AC677C31-83E2-44BC-88EB-089BF51F549F}"/>
    <cellStyle name="Normal 2 3 2 4 9" xfId="27472" xr:uid="{AAF986A1-27A9-49AD-863D-3B74A244EF7A}"/>
    <cellStyle name="Normal 2 3 2 4 9 2" xfId="27473" xr:uid="{CDE2858D-E5CB-4ACE-9D1B-F72A25997231}"/>
    <cellStyle name="Normal 2 3 2 4 9 3" xfId="27474" xr:uid="{F02E1FFF-859E-4B9A-A8F9-BA30A05BCD3C}"/>
    <cellStyle name="Normal 2 3 2 4 9 4" xfId="27475" xr:uid="{B2BAC11F-008E-40BF-82B4-0B64732F2D35}"/>
    <cellStyle name="Normal 2 3 2 4 9 5" xfId="27476" xr:uid="{E7CD969B-272F-4FDB-8C29-EBF248A95EF2}"/>
    <cellStyle name="Normal 2 3 2 5" xfId="27477" xr:uid="{73A989C4-B704-4889-9483-C2435907E918}"/>
    <cellStyle name="Normal 2 3 2 5 10" xfId="27478" xr:uid="{6157676F-F61C-4BE2-A4B6-1F58C97CB497}"/>
    <cellStyle name="Normal 2 3 2 5 10 2" xfId="27479" xr:uid="{D0228E08-320E-46B9-AAFE-5B117BB94FC0}"/>
    <cellStyle name="Normal 2 3 2 5 10 3" xfId="27480" xr:uid="{904B4BA2-FE69-48AB-B981-06B08E4E24F1}"/>
    <cellStyle name="Normal 2 3 2 5 10 4" xfId="27481" xr:uid="{003C2B9B-A02B-451E-A51A-9C77876DB066}"/>
    <cellStyle name="Normal 2 3 2 5 10 5" xfId="27482" xr:uid="{D2F2DE8D-0E21-4D65-AEDF-0155A4549DC7}"/>
    <cellStyle name="Normal 2 3 2 5 11" xfId="27483" xr:uid="{72CBBC31-9C59-489F-9BBD-8F53B33D7BC1}"/>
    <cellStyle name="Normal 2 3 2 5 11 2" xfId="27484" xr:uid="{92073110-E7AD-4C2E-AEF4-18AD2C7286D6}"/>
    <cellStyle name="Normal 2 3 2 5 11 3" xfId="27485" xr:uid="{A65427C5-B91D-4568-BCB7-04DB71C492A0}"/>
    <cellStyle name="Normal 2 3 2 5 11 4" xfId="27486" xr:uid="{040143B4-3130-4410-8DAC-B2A3255175A6}"/>
    <cellStyle name="Normal 2 3 2 5 11 5" xfId="27487" xr:uid="{13E6800D-47A4-409C-AF62-B90A9AAC7BE1}"/>
    <cellStyle name="Normal 2 3 2 5 12" xfId="27488" xr:uid="{3D446B1B-F90F-4E8A-B68E-B220877ED921}"/>
    <cellStyle name="Normal 2 3 2 5 13" xfId="27489" xr:uid="{B4F515A7-8001-428B-994F-BAAFEA33CE52}"/>
    <cellStyle name="Normal 2 3 2 5 14" xfId="27490" xr:uid="{340AF15E-B57D-4E3E-9346-AAE614CB02EC}"/>
    <cellStyle name="Normal 2 3 2 5 15" xfId="27491" xr:uid="{BCB53BE1-577B-4D95-B978-6D718EE52299}"/>
    <cellStyle name="Normal 2 3 2 5 2" xfId="27492" xr:uid="{1C9FDCDF-95D9-4531-842A-178389C71D0F}"/>
    <cellStyle name="Normal 2 3 2 5 2 10" xfId="27493" xr:uid="{1A69D367-D2B5-4A5D-8C2A-BF6BE68E0778}"/>
    <cellStyle name="Normal 2 3 2 5 2 10 2" xfId="27494" xr:uid="{AF42B4B0-D69C-4960-98F3-A11D2BA18F48}"/>
    <cellStyle name="Normal 2 3 2 5 2 10 3" xfId="27495" xr:uid="{4774E741-408C-4461-B062-A7A9665BFAE4}"/>
    <cellStyle name="Normal 2 3 2 5 2 10 4" xfId="27496" xr:uid="{74259A85-4F32-4499-A792-556211B96B91}"/>
    <cellStyle name="Normal 2 3 2 5 2 10 5" xfId="27497" xr:uid="{FF4AB678-B264-4BAB-94D1-5C83934259EB}"/>
    <cellStyle name="Normal 2 3 2 5 2 11" xfId="27498" xr:uid="{859EC2E8-B690-46A9-AE27-5EBAA5458306}"/>
    <cellStyle name="Normal 2 3 2 5 2 12" xfId="27499" xr:uid="{1A0CD4EB-EF8B-4673-8716-5C688FC62995}"/>
    <cellStyle name="Normal 2 3 2 5 2 13" xfId="27500" xr:uid="{AAE7EAA2-4F78-463A-BE22-6D3F3B08061D}"/>
    <cellStyle name="Normal 2 3 2 5 2 14" xfId="27501" xr:uid="{D9E3C00B-EAAF-4F37-9F1E-B02458C84648}"/>
    <cellStyle name="Normal 2 3 2 5 2 2" xfId="27502" xr:uid="{03123447-7D19-43E5-912D-167500E54211}"/>
    <cellStyle name="Normal 2 3 2 5 2 2 10" xfId="27503" xr:uid="{C254CD47-5DA6-47FF-8373-FADCE4BEBA34}"/>
    <cellStyle name="Normal 2 3 2 5 2 2 11" xfId="27504" xr:uid="{DE0F601E-2530-45AC-9206-E434DEFB08FB}"/>
    <cellStyle name="Normal 2 3 2 5 2 2 12" xfId="27505" xr:uid="{8D098CD9-8412-4D1D-8D06-CC994D0E0086}"/>
    <cellStyle name="Normal 2 3 2 5 2 2 13" xfId="27506" xr:uid="{89B86F97-994C-42EA-9B56-686D51DC5A83}"/>
    <cellStyle name="Normal 2 3 2 5 2 2 2" xfId="27507" xr:uid="{2BFFE721-4E56-41E5-9DC8-BCD7A436D708}"/>
    <cellStyle name="Normal 2 3 2 5 2 2 2 10" xfId="27508" xr:uid="{366231EE-9728-4052-89E9-AB12C1B1638B}"/>
    <cellStyle name="Normal 2 3 2 5 2 2 2 11" xfId="27509" xr:uid="{A3890A40-3316-4FCD-A4A9-029154CEC1FC}"/>
    <cellStyle name="Normal 2 3 2 5 2 2 2 12" xfId="27510" xr:uid="{57E15AB0-5349-4525-9B03-D9118B23C911}"/>
    <cellStyle name="Normal 2 3 2 5 2 2 2 2" xfId="27511" xr:uid="{9B9904C8-F466-4257-8A5B-945F6B570DA3}"/>
    <cellStyle name="Normal 2 3 2 5 2 2 2 2 2" xfId="27512" xr:uid="{556066D5-28E3-49D7-80DC-BEFE1C5CD24A}"/>
    <cellStyle name="Normal 2 3 2 5 2 2 2 2 2 2" xfId="27513" xr:uid="{DD94F542-0BE3-455D-B3AB-7EAF1B27B6B1}"/>
    <cellStyle name="Normal 2 3 2 5 2 2 2 2 2 3" xfId="27514" xr:uid="{B5B1AE7E-4282-4362-BE66-BA84E30239B4}"/>
    <cellStyle name="Normal 2 3 2 5 2 2 2 2 2 4" xfId="27515" xr:uid="{5099118E-C001-45E4-9C88-7B1E4D72C1E5}"/>
    <cellStyle name="Normal 2 3 2 5 2 2 2 2 2 5" xfId="27516" xr:uid="{9FC92F77-AF63-4341-A177-A6954A253679}"/>
    <cellStyle name="Normal 2 3 2 5 2 2 2 2 3" xfId="27517" xr:uid="{5AA08413-1F1F-499E-A7B5-37F471E808B7}"/>
    <cellStyle name="Normal 2 3 2 5 2 2 2 2 4" xfId="27518" xr:uid="{61057B6E-7CF7-4E6B-86AE-B1FA083DF2C5}"/>
    <cellStyle name="Normal 2 3 2 5 2 2 2 2 5" xfId="27519" xr:uid="{D1365135-8208-4E9A-A938-14525041FD7D}"/>
    <cellStyle name="Normal 2 3 2 5 2 2 2 2 6" xfId="27520" xr:uid="{CB6956F6-0526-4AAA-B12C-09A265A9A875}"/>
    <cellStyle name="Normal 2 3 2 5 2 2 2 3" xfId="27521" xr:uid="{9B98F3E4-C36B-4AB7-BB82-693648EC6E60}"/>
    <cellStyle name="Normal 2 3 2 5 2 2 2 3 2" xfId="27522" xr:uid="{CB30196A-4899-40BC-91EC-BE10B13113A8}"/>
    <cellStyle name="Normal 2 3 2 5 2 2 2 3 2 2" xfId="27523" xr:uid="{6EC1DA64-9BB5-4346-A78B-753B2D5B07C6}"/>
    <cellStyle name="Normal 2 3 2 5 2 2 2 3 2 3" xfId="27524" xr:uid="{9575A6DB-2E08-427F-8680-0EF84001A4C1}"/>
    <cellStyle name="Normal 2 3 2 5 2 2 2 3 2 4" xfId="27525" xr:uid="{09A42AA7-B14B-4E44-9348-491E86C185D9}"/>
    <cellStyle name="Normal 2 3 2 5 2 2 2 3 2 5" xfId="27526" xr:uid="{B6CED457-B38D-4A4C-86F5-465D205798DD}"/>
    <cellStyle name="Normal 2 3 2 5 2 2 2 3 3" xfId="27527" xr:uid="{C13F08A5-47D7-4B43-944C-8FB1378F9279}"/>
    <cellStyle name="Normal 2 3 2 5 2 2 2 3 4" xfId="27528" xr:uid="{3C290190-E429-4D8D-A9E6-B7D970749A98}"/>
    <cellStyle name="Normal 2 3 2 5 2 2 2 3 5" xfId="27529" xr:uid="{159B5CFA-21D2-4AED-883E-27EDB272A214}"/>
    <cellStyle name="Normal 2 3 2 5 2 2 2 3 6" xfId="27530" xr:uid="{FDC2CD64-41B2-4B96-9AE0-EA7D019BA236}"/>
    <cellStyle name="Normal 2 3 2 5 2 2 2 4" xfId="27531" xr:uid="{B9A6C02A-347F-454D-8846-693EF91B44A6}"/>
    <cellStyle name="Normal 2 3 2 5 2 2 2 4 2" xfId="27532" xr:uid="{F5CAA57C-0669-46AC-8D53-D9DE90826B85}"/>
    <cellStyle name="Normal 2 3 2 5 2 2 2 4 2 2" xfId="27533" xr:uid="{363175A2-1E7D-4A48-805E-CEAD7B52B35F}"/>
    <cellStyle name="Normal 2 3 2 5 2 2 2 4 2 3" xfId="27534" xr:uid="{834442D0-F5D7-4F29-AE2B-962D0BD5A48D}"/>
    <cellStyle name="Normal 2 3 2 5 2 2 2 4 2 4" xfId="27535" xr:uid="{46752BF5-D62A-49A0-8E3A-5DC39DEEE06F}"/>
    <cellStyle name="Normal 2 3 2 5 2 2 2 4 2 5" xfId="27536" xr:uid="{EB52CF09-F5C1-4350-A755-778007C3EAA8}"/>
    <cellStyle name="Normal 2 3 2 5 2 2 2 4 3" xfId="27537" xr:uid="{FB4275B3-6B69-426B-A579-5ABBC4575B90}"/>
    <cellStyle name="Normal 2 3 2 5 2 2 2 4 4" xfId="27538" xr:uid="{2858D449-480C-49AC-8AD3-29EEE7320084}"/>
    <cellStyle name="Normal 2 3 2 5 2 2 2 4 5" xfId="27539" xr:uid="{008F54A0-96AB-407C-AD5D-79E3EC9955B4}"/>
    <cellStyle name="Normal 2 3 2 5 2 2 2 4 6" xfId="27540" xr:uid="{86D2E2A8-E065-4753-A20F-E29261DF6EC7}"/>
    <cellStyle name="Normal 2 3 2 5 2 2 2 5" xfId="27541" xr:uid="{FB334A4D-7CF9-4050-87E0-2714FE28A309}"/>
    <cellStyle name="Normal 2 3 2 5 2 2 2 5 2" xfId="27542" xr:uid="{18EE63ED-4CD4-451A-B499-2F317100B8F8}"/>
    <cellStyle name="Normal 2 3 2 5 2 2 2 5 3" xfId="27543" xr:uid="{B528DCFD-FEA5-4BB6-847C-04FFA76D54B6}"/>
    <cellStyle name="Normal 2 3 2 5 2 2 2 5 4" xfId="27544" xr:uid="{D5957FA7-2D60-40CF-9A0A-9A70F38C07F1}"/>
    <cellStyle name="Normal 2 3 2 5 2 2 2 5 5" xfId="27545" xr:uid="{6ACF020A-A238-4902-B2F6-9C2F17A3C810}"/>
    <cellStyle name="Normal 2 3 2 5 2 2 2 6" xfId="27546" xr:uid="{7D2B9C84-0042-4332-B3C3-8F755827A298}"/>
    <cellStyle name="Normal 2 3 2 5 2 2 2 6 2" xfId="27547" xr:uid="{C512B0A6-C3BB-454D-9BD2-DBDAE4190594}"/>
    <cellStyle name="Normal 2 3 2 5 2 2 2 6 3" xfId="27548" xr:uid="{7A5CB604-5E14-488B-91E7-C9E79EB4E3F9}"/>
    <cellStyle name="Normal 2 3 2 5 2 2 2 6 4" xfId="27549" xr:uid="{57D088CC-6B8C-4EA0-9C5D-80A7FBA2B784}"/>
    <cellStyle name="Normal 2 3 2 5 2 2 2 6 5" xfId="27550" xr:uid="{60FF55CD-FEA2-4B89-94F3-BA31D2D69EC0}"/>
    <cellStyle name="Normal 2 3 2 5 2 2 2 7" xfId="27551" xr:uid="{5855FBB8-C9BB-437E-ABC8-23A0BF31924B}"/>
    <cellStyle name="Normal 2 3 2 5 2 2 2 7 2" xfId="27552" xr:uid="{AFA1B8E8-D9E8-4478-A325-AE3DCFB8CA76}"/>
    <cellStyle name="Normal 2 3 2 5 2 2 2 7 3" xfId="27553" xr:uid="{D8EFBB76-1E63-41CE-AFD1-B1648C50537B}"/>
    <cellStyle name="Normal 2 3 2 5 2 2 2 7 4" xfId="27554" xr:uid="{483009CD-DE4E-44EE-B8B1-1D0B9EF5DF3D}"/>
    <cellStyle name="Normal 2 3 2 5 2 2 2 7 5" xfId="27555" xr:uid="{C650D58B-9E8A-44E1-8869-7A2356891E00}"/>
    <cellStyle name="Normal 2 3 2 5 2 2 2 8" xfId="27556" xr:uid="{2C74F21C-EE1E-4D2A-A7D9-3CD476AEAE12}"/>
    <cellStyle name="Normal 2 3 2 5 2 2 2 8 2" xfId="27557" xr:uid="{C7E32C3B-3734-495C-99F2-14FCBC15E9FF}"/>
    <cellStyle name="Normal 2 3 2 5 2 2 2 8 3" xfId="27558" xr:uid="{520A8F30-F819-41D1-A2A2-40901E4B9228}"/>
    <cellStyle name="Normal 2 3 2 5 2 2 2 8 4" xfId="27559" xr:uid="{502E50A3-7F92-4C75-8A64-1E6032B3AA00}"/>
    <cellStyle name="Normal 2 3 2 5 2 2 2 8 5" xfId="27560" xr:uid="{E9FBADBA-B185-4054-AF11-C3D7450D3C35}"/>
    <cellStyle name="Normal 2 3 2 5 2 2 2 9" xfId="27561" xr:uid="{B196D4A5-CD9F-4190-8EB0-C75FDFC48518}"/>
    <cellStyle name="Normal 2 3 2 5 2 2 3" xfId="27562" xr:uid="{25851D67-3F3E-46E6-A26F-876ABF20F518}"/>
    <cellStyle name="Normal 2 3 2 5 2 2 3 2" xfId="27563" xr:uid="{A56D033E-5FB1-4D2F-AC1B-C641D8044288}"/>
    <cellStyle name="Normal 2 3 2 5 2 2 3 2 2" xfId="27564" xr:uid="{5DC9C853-EC6E-4F42-8311-CF67A13BFC4D}"/>
    <cellStyle name="Normal 2 3 2 5 2 2 3 2 3" xfId="27565" xr:uid="{53C36819-7D43-4CDB-BC87-1C2742A9F1D6}"/>
    <cellStyle name="Normal 2 3 2 5 2 2 3 2 4" xfId="27566" xr:uid="{DCADD3C5-CCD5-400B-AF8F-28D4325E3EAC}"/>
    <cellStyle name="Normal 2 3 2 5 2 2 3 2 5" xfId="27567" xr:uid="{F1EE7829-5F42-4AED-B569-0E954EB1F0C0}"/>
    <cellStyle name="Normal 2 3 2 5 2 2 3 3" xfId="27568" xr:uid="{B57DFBFD-5515-4356-94EB-05344AD2C5F7}"/>
    <cellStyle name="Normal 2 3 2 5 2 2 3 4" xfId="27569" xr:uid="{ABDDDACF-542C-45F7-A40E-4825D82982B3}"/>
    <cellStyle name="Normal 2 3 2 5 2 2 3 5" xfId="27570" xr:uid="{E8E96794-D361-4109-B539-CE0364E826C4}"/>
    <cellStyle name="Normal 2 3 2 5 2 2 3 6" xfId="27571" xr:uid="{7C1B5FD6-C7C3-419B-BC71-5B42BA245A43}"/>
    <cellStyle name="Normal 2 3 2 5 2 2 4" xfId="27572" xr:uid="{705C0D6E-C530-4E2E-AA98-E989B9E37AD5}"/>
    <cellStyle name="Normal 2 3 2 5 2 2 4 2" xfId="27573" xr:uid="{5B99C394-EF04-4199-B142-198072DCB306}"/>
    <cellStyle name="Normal 2 3 2 5 2 2 4 2 2" xfId="27574" xr:uid="{B9EA94E3-0F4B-4F70-9B74-65AD8DDD84A8}"/>
    <cellStyle name="Normal 2 3 2 5 2 2 4 2 3" xfId="27575" xr:uid="{53AD361B-0143-4FE2-A172-9993C583B22B}"/>
    <cellStyle name="Normal 2 3 2 5 2 2 4 2 4" xfId="27576" xr:uid="{F050CCA0-BB6B-4B10-8129-763BD6249FB0}"/>
    <cellStyle name="Normal 2 3 2 5 2 2 4 2 5" xfId="27577" xr:uid="{E89FCD4F-65F0-49E0-9760-BB79CDE4610A}"/>
    <cellStyle name="Normal 2 3 2 5 2 2 4 3" xfId="27578" xr:uid="{0778B7F3-AD50-44FB-9013-DFE545C25AFC}"/>
    <cellStyle name="Normal 2 3 2 5 2 2 4 4" xfId="27579" xr:uid="{5E063C2D-0314-4166-9689-E95DCECDE162}"/>
    <cellStyle name="Normal 2 3 2 5 2 2 4 5" xfId="27580" xr:uid="{EF82D3B4-968E-4548-AB98-D6E2696F98C3}"/>
    <cellStyle name="Normal 2 3 2 5 2 2 4 6" xfId="27581" xr:uid="{6A0373C7-350E-46BE-94B9-E466F74A5E32}"/>
    <cellStyle name="Normal 2 3 2 5 2 2 5" xfId="27582" xr:uid="{69E5CBB4-D49F-42BE-BF17-F1918F867DAD}"/>
    <cellStyle name="Normal 2 3 2 5 2 2 5 2" xfId="27583" xr:uid="{648B396B-D4E1-4137-BBDC-284EEBAAA859}"/>
    <cellStyle name="Normal 2 3 2 5 2 2 5 2 2" xfId="27584" xr:uid="{B2B2A492-1F3A-4A9D-B4D3-F7B5401F8945}"/>
    <cellStyle name="Normal 2 3 2 5 2 2 5 2 3" xfId="27585" xr:uid="{DAFC76F9-C40F-4ED9-962A-AAE8AC402C82}"/>
    <cellStyle name="Normal 2 3 2 5 2 2 5 2 4" xfId="27586" xr:uid="{D1CED5B0-43BD-41C7-A693-EA6E9661D349}"/>
    <cellStyle name="Normal 2 3 2 5 2 2 5 2 5" xfId="27587" xr:uid="{571E7A69-A932-4B89-838F-540D3FB594FC}"/>
    <cellStyle name="Normal 2 3 2 5 2 2 5 3" xfId="27588" xr:uid="{1A036D78-2635-4EBD-AB8E-01B18A7562DE}"/>
    <cellStyle name="Normal 2 3 2 5 2 2 5 4" xfId="27589" xr:uid="{C5AB77C2-BB6A-4F59-92E2-E7D84DD9CEEE}"/>
    <cellStyle name="Normal 2 3 2 5 2 2 5 5" xfId="27590" xr:uid="{024F90BA-8ACF-421C-B571-3E643D2C4AD8}"/>
    <cellStyle name="Normal 2 3 2 5 2 2 5 6" xfId="27591" xr:uid="{C2A083DC-71E5-4846-BEF8-03D57D13FB4E}"/>
    <cellStyle name="Normal 2 3 2 5 2 2 6" xfId="27592" xr:uid="{CA6661AE-5D3B-4905-97F6-FDDD05F8B597}"/>
    <cellStyle name="Normal 2 3 2 5 2 2 6 2" xfId="27593" xr:uid="{0E92F1A0-8324-4132-965D-DBDA86686669}"/>
    <cellStyle name="Normal 2 3 2 5 2 2 6 3" xfId="27594" xr:uid="{AFE969A9-1673-4ADE-B92A-CE1B271A4F5F}"/>
    <cellStyle name="Normal 2 3 2 5 2 2 6 4" xfId="27595" xr:uid="{05843DC9-A2D6-459C-B27B-1A23F00B415C}"/>
    <cellStyle name="Normal 2 3 2 5 2 2 6 5" xfId="27596" xr:uid="{B01061B8-7A45-481F-9ADB-88F4624D73F4}"/>
    <cellStyle name="Normal 2 3 2 5 2 2 7" xfId="27597" xr:uid="{39ADE28F-2F81-48AE-8FB4-C47299D94ADA}"/>
    <cellStyle name="Normal 2 3 2 5 2 2 7 2" xfId="27598" xr:uid="{4FE90B60-BD89-4352-B47A-596E8440D26D}"/>
    <cellStyle name="Normal 2 3 2 5 2 2 7 3" xfId="27599" xr:uid="{373DECCC-D40A-4703-94B7-14C610D0BFB7}"/>
    <cellStyle name="Normal 2 3 2 5 2 2 7 4" xfId="27600" xr:uid="{8BDDA3DA-A17F-429D-B50B-328739C1C7B9}"/>
    <cellStyle name="Normal 2 3 2 5 2 2 7 5" xfId="27601" xr:uid="{E297A87E-3F31-415B-B15A-95AC0EE7FC1E}"/>
    <cellStyle name="Normal 2 3 2 5 2 2 8" xfId="27602" xr:uid="{68F46C6E-20B6-4AC8-953D-B874FA8DB594}"/>
    <cellStyle name="Normal 2 3 2 5 2 2 8 2" xfId="27603" xr:uid="{791DEEA6-D40D-4950-840E-B260CB3A5EC3}"/>
    <cellStyle name="Normal 2 3 2 5 2 2 8 3" xfId="27604" xr:uid="{CF5459E1-268E-4C2D-B467-D56FC6851281}"/>
    <cellStyle name="Normal 2 3 2 5 2 2 8 4" xfId="27605" xr:uid="{DC1FF1B6-1010-446B-8AF1-D3820723B44A}"/>
    <cellStyle name="Normal 2 3 2 5 2 2 8 5" xfId="27606" xr:uid="{91C6B00D-856D-47C3-909F-8F7E521961EA}"/>
    <cellStyle name="Normal 2 3 2 5 2 2 9" xfId="27607" xr:uid="{D15F2FB3-F96D-4947-9C31-C7600B3E1301}"/>
    <cellStyle name="Normal 2 3 2 5 2 2 9 2" xfId="27608" xr:uid="{AD660700-38C9-4C87-8803-C6DBD2D240E6}"/>
    <cellStyle name="Normal 2 3 2 5 2 2 9 3" xfId="27609" xr:uid="{3A4F4857-0497-4D29-9638-792103359B9A}"/>
    <cellStyle name="Normal 2 3 2 5 2 2 9 4" xfId="27610" xr:uid="{590B3743-C6AD-41F8-83B2-801BF6FFFF50}"/>
    <cellStyle name="Normal 2 3 2 5 2 2 9 5" xfId="27611" xr:uid="{4C963BF4-AE0F-40BF-BC99-FD9C0F26062A}"/>
    <cellStyle name="Normal 2 3 2 5 2 3" xfId="27612" xr:uid="{80E37085-9084-408C-9EF6-F5B3EB8A59CE}"/>
    <cellStyle name="Normal 2 3 2 5 2 3 10" xfId="27613" xr:uid="{457696DB-5521-4B20-BF0F-E2927304955C}"/>
    <cellStyle name="Normal 2 3 2 5 2 3 11" xfId="27614" xr:uid="{541E5EE6-B93E-4260-9C44-5D9E820889A5}"/>
    <cellStyle name="Normal 2 3 2 5 2 3 12" xfId="27615" xr:uid="{A85F111A-F378-4294-9649-D7F7C66E5719}"/>
    <cellStyle name="Normal 2 3 2 5 2 3 2" xfId="27616" xr:uid="{94E1664A-5374-460D-8ECD-F4E416574797}"/>
    <cellStyle name="Normal 2 3 2 5 2 3 2 2" xfId="27617" xr:uid="{6324A6ED-0D0B-4D69-B7E2-97F137D54C09}"/>
    <cellStyle name="Normal 2 3 2 5 2 3 2 2 2" xfId="27618" xr:uid="{8A9C83C0-85BD-490F-ABBD-742894A351A7}"/>
    <cellStyle name="Normal 2 3 2 5 2 3 2 2 3" xfId="27619" xr:uid="{CDD70748-603B-49B7-A09B-F4F0099CA4AD}"/>
    <cellStyle name="Normal 2 3 2 5 2 3 2 2 4" xfId="27620" xr:uid="{48CEAC6B-9E68-43AF-B704-3AE5CC6CDD13}"/>
    <cellStyle name="Normal 2 3 2 5 2 3 2 2 5" xfId="27621" xr:uid="{E1EAC42D-30DA-4D73-A2BF-E87E8DD7B990}"/>
    <cellStyle name="Normal 2 3 2 5 2 3 2 3" xfId="27622" xr:uid="{AE6738B5-570B-4335-A3CB-30A0866DAAAA}"/>
    <cellStyle name="Normal 2 3 2 5 2 3 2 4" xfId="27623" xr:uid="{B72CC160-CCDB-416C-A650-E38E2EBBDC26}"/>
    <cellStyle name="Normal 2 3 2 5 2 3 2 5" xfId="27624" xr:uid="{40BB7AFF-F3EE-4D37-AB19-DE86C993DFD1}"/>
    <cellStyle name="Normal 2 3 2 5 2 3 2 6" xfId="27625" xr:uid="{7D9C3E0E-E6DC-409A-A562-1355B07825F4}"/>
    <cellStyle name="Normal 2 3 2 5 2 3 3" xfId="27626" xr:uid="{C7323D23-68B5-4248-B0CB-D23A1C2B229B}"/>
    <cellStyle name="Normal 2 3 2 5 2 3 3 2" xfId="27627" xr:uid="{D3238772-644B-446A-A18D-54017125423B}"/>
    <cellStyle name="Normal 2 3 2 5 2 3 3 2 2" xfId="27628" xr:uid="{4F2B94E0-99DF-47FC-AB7C-65E5B21CE412}"/>
    <cellStyle name="Normal 2 3 2 5 2 3 3 2 3" xfId="27629" xr:uid="{46300C28-B7BA-44B1-B91E-1894147EB08B}"/>
    <cellStyle name="Normal 2 3 2 5 2 3 3 2 4" xfId="27630" xr:uid="{591C2CA5-38AB-4B7C-9AD7-B88AE719A260}"/>
    <cellStyle name="Normal 2 3 2 5 2 3 3 2 5" xfId="27631" xr:uid="{687874A1-3F87-40A8-B148-F5389E8869DE}"/>
    <cellStyle name="Normal 2 3 2 5 2 3 3 3" xfId="27632" xr:uid="{5166E4DC-F44E-48EC-848C-AB5874626F99}"/>
    <cellStyle name="Normal 2 3 2 5 2 3 3 4" xfId="27633" xr:uid="{DFB1B621-85DA-489C-B4AE-27D029F0A6CB}"/>
    <cellStyle name="Normal 2 3 2 5 2 3 3 5" xfId="27634" xr:uid="{258885FD-0504-4D10-A903-2D2185ABFF80}"/>
    <cellStyle name="Normal 2 3 2 5 2 3 3 6" xfId="27635" xr:uid="{1FBE6E5C-130C-4534-8B90-3A070AD3A7E8}"/>
    <cellStyle name="Normal 2 3 2 5 2 3 4" xfId="27636" xr:uid="{BF9830D5-17C4-4FAD-A59F-9197C83FF1B3}"/>
    <cellStyle name="Normal 2 3 2 5 2 3 4 2" xfId="27637" xr:uid="{C3266D86-3E7C-4D9E-9151-B73B3166CAF0}"/>
    <cellStyle name="Normal 2 3 2 5 2 3 4 2 2" xfId="27638" xr:uid="{4A65E5BB-CC97-4AB3-82AF-868F87B3854C}"/>
    <cellStyle name="Normal 2 3 2 5 2 3 4 2 3" xfId="27639" xr:uid="{4073C496-AE8E-43DD-9890-D2BE40BD88C5}"/>
    <cellStyle name="Normal 2 3 2 5 2 3 4 2 4" xfId="27640" xr:uid="{B6F16ED8-294F-4D62-90FC-50DEFCF2C4BD}"/>
    <cellStyle name="Normal 2 3 2 5 2 3 4 2 5" xfId="27641" xr:uid="{846DBE5F-E830-4260-BB6D-ECDE05EEFE71}"/>
    <cellStyle name="Normal 2 3 2 5 2 3 4 3" xfId="27642" xr:uid="{83D34AC6-7811-4846-88CE-DDAF97CA3693}"/>
    <cellStyle name="Normal 2 3 2 5 2 3 4 4" xfId="27643" xr:uid="{8BBD6146-ED0A-4694-95B7-39181660015D}"/>
    <cellStyle name="Normal 2 3 2 5 2 3 4 5" xfId="27644" xr:uid="{EFE9D188-B39D-4D19-81E1-7F33C55EB4D0}"/>
    <cellStyle name="Normal 2 3 2 5 2 3 4 6" xfId="27645" xr:uid="{EE383AB7-32C9-4889-87D2-93161292B520}"/>
    <cellStyle name="Normal 2 3 2 5 2 3 5" xfId="27646" xr:uid="{FA36DE2B-C9C4-48CA-AD70-C57CC48E7B2C}"/>
    <cellStyle name="Normal 2 3 2 5 2 3 5 2" xfId="27647" xr:uid="{678E3023-28B8-47D3-8D07-B5401A9C0236}"/>
    <cellStyle name="Normal 2 3 2 5 2 3 5 3" xfId="27648" xr:uid="{37B2DB2A-72E3-4FCB-BE28-DC9F6B9D640D}"/>
    <cellStyle name="Normal 2 3 2 5 2 3 5 4" xfId="27649" xr:uid="{555711C9-10A0-46B1-8FEF-B175FBD6DC72}"/>
    <cellStyle name="Normal 2 3 2 5 2 3 5 5" xfId="27650" xr:uid="{930E5774-C491-4226-A81D-2F2AF57A33EE}"/>
    <cellStyle name="Normal 2 3 2 5 2 3 6" xfId="27651" xr:uid="{4B911047-1B60-4E55-93DA-D434DDA2B6BE}"/>
    <cellStyle name="Normal 2 3 2 5 2 3 6 2" xfId="27652" xr:uid="{13486E94-E3BB-47D8-9508-1A38AF151098}"/>
    <cellStyle name="Normal 2 3 2 5 2 3 6 3" xfId="27653" xr:uid="{031904D3-3A7B-4B06-822E-F2F242C8445E}"/>
    <cellStyle name="Normal 2 3 2 5 2 3 6 4" xfId="27654" xr:uid="{822ECA1A-B773-479A-BF38-71497A88772F}"/>
    <cellStyle name="Normal 2 3 2 5 2 3 6 5" xfId="27655" xr:uid="{89471B91-395A-4EE9-A0AD-9A4FD41C97BE}"/>
    <cellStyle name="Normal 2 3 2 5 2 3 7" xfId="27656" xr:uid="{1A4E67E1-3A73-4243-BBC6-05F550DDB566}"/>
    <cellStyle name="Normal 2 3 2 5 2 3 7 2" xfId="27657" xr:uid="{564C0C78-4F14-43B8-A79E-176CCB783BD8}"/>
    <cellStyle name="Normal 2 3 2 5 2 3 7 3" xfId="27658" xr:uid="{F890BC79-2EDE-47C8-B1BE-7BA0CD423FB3}"/>
    <cellStyle name="Normal 2 3 2 5 2 3 7 4" xfId="27659" xr:uid="{2B8EE2F1-289A-4F55-AADC-7903989AB7D2}"/>
    <cellStyle name="Normal 2 3 2 5 2 3 7 5" xfId="27660" xr:uid="{C7CEE561-D683-4119-8C67-D44D7D44BE5C}"/>
    <cellStyle name="Normal 2 3 2 5 2 3 8" xfId="27661" xr:uid="{217338FE-DBB6-4273-9913-D28F9C04F15C}"/>
    <cellStyle name="Normal 2 3 2 5 2 3 8 2" xfId="27662" xr:uid="{AEA80E65-A5FD-4B7B-A2D4-D06A26F0EE32}"/>
    <cellStyle name="Normal 2 3 2 5 2 3 8 3" xfId="27663" xr:uid="{C7BA39E4-1ED5-4783-A278-6C6607C85873}"/>
    <cellStyle name="Normal 2 3 2 5 2 3 8 4" xfId="27664" xr:uid="{78DEF52B-111D-4279-925F-A1C0F24A44B0}"/>
    <cellStyle name="Normal 2 3 2 5 2 3 8 5" xfId="27665" xr:uid="{237C959F-11A0-4ADE-A967-205469A3EF3C}"/>
    <cellStyle name="Normal 2 3 2 5 2 3 9" xfId="27666" xr:uid="{8115AF97-00A7-453E-BA9A-B6384BA0CF24}"/>
    <cellStyle name="Normal 2 3 2 5 2 4" xfId="27667" xr:uid="{7084D349-EC3E-4587-AF29-792CEDD67A55}"/>
    <cellStyle name="Normal 2 3 2 5 2 4 2" xfId="27668" xr:uid="{DF67774C-CD53-4CF4-B4B6-F152C3C566A1}"/>
    <cellStyle name="Normal 2 3 2 5 2 4 2 2" xfId="27669" xr:uid="{76097FC5-9074-4A6A-B0D5-43A8EC7CE33B}"/>
    <cellStyle name="Normal 2 3 2 5 2 4 2 3" xfId="27670" xr:uid="{36D6262B-2CC2-4A1B-824C-32621BBEB7DF}"/>
    <cellStyle name="Normal 2 3 2 5 2 4 2 4" xfId="27671" xr:uid="{23FD04EB-D956-434E-9CD2-962C1C6FFC54}"/>
    <cellStyle name="Normal 2 3 2 5 2 4 2 5" xfId="27672" xr:uid="{325B1A6B-EFFB-4EE8-8804-1DCBB2970D00}"/>
    <cellStyle name="Normal 2 3 2 5 2 4 3" xfId="27673" xr:uid="{7FB7EB5E-DFAB-4300-8168-2ACFA4FB915C}"/>
    <cellStyle name="Normal 2 3 2 5 2 4 4" xfId="27674" xr:uid="{6D066E6A-F01B-4092-962A-306DB348914E}"/>
    <cellStyle name="Normal 2 3 2 5 2 4 5" xfId="27675" xr:uid="{BD7B913F-02A0-4681-922B-A7C64F1F64DF}"/>
    <cellStyle name="Normal 2 3 2 5 2 4 6" xfId="27676" xr:uid="{80456A7B-5BD5-4218-B5FC-63E8CB7C5931}"/>
    <cellStyle name="Normal 2 3 2 5 2 5" xfId="27677" xr:uid="{C4197FF0-70E2-44F8-B59B-7FCD69D77E84}"/>
    <cellStyle name="Normal 2 3 2 5 2 5 2" xfId="27678" xr:uid="{AC396A4E-0895-4B44-9508-486352A71A40}"/>
    <cellStyle name="Normal 2 3 2 5 2 5 2 2" xfId="27679" xr:uid="{A5B11424-F55D-4448-A89C-2D9EC373677C}"/>
    <cellStyle name="Normal 2 3 2 5 2 5 2 3" xfId="27680" xr:uid="{2E3EFB12-06B5-4476-9421-369C69723265}"/>
    <cellStyle name="Normal 2 3 2 5 2 5 2 4" xfId="27681" xr:uid="{B97BC2D1-A4B6-4F45-9A8C-C60135707877}"/>
    <cellStyle name="Normal 2 3 2 5 2 5 2 5" xfId="27682" xr:uid="{FB79E92E-6D8C-4884-868F-80F3DB03FE95}"/>
    <cellStyle name="Normal 2 3 2 5 2 5 3" xfId="27683" xr:uid="{120739CA-79CE-4BAA-8994-BAFD3AD15C4E}"/>
    <cellStyle name="Normal 2 3 2 5 2 5 4" xfId="27684" xr:uid="{D15FDA22-2C4F-4319-BA76-B1D75A363D18}"/>
    <cellStyle name="Normal 2 3 2 5 2 5 5" xfId="27685" xr:uid="{032B2F30-0E63-4D2E-A1E0-2115EB990315}"/>
    <cellStyle name="Normal 2 3 2 5 2 5 6" xfId="27686" xr:uid="{39BFB793-9058-4945-967C-BEEAD5398D54}"/>
    <cellStyle name="Normal 2 3 2 5 2 6" xfId="27687" xr:uid="{549DD6A5-EEE1-4B71-ADB6-9FEE36F7B61A}"/>
    <cellStyle name="Normal 2 3 2 5 2 6 2" xfId="27688" xr:uid="{12E7BD9F-14BC-4B2B-857A-CD9B2698CA60}"/>
    <cellStyle name="Normal 2 3 2 5 2 6 2 2" xfId="27689" xr:uid="{9033E4CA-39DA-4427-ACF2-A3842C5FDA52}"/>
    <cellStyle name="Normal 2 3 2 5 2 6 2 3" xfId="27690" xr:uid="{EE006D20-BD5A-4A14-83EA-CB64DA306BA4}"/>
    <cellStyle name="Normal 2 3 2 5 2 6 2 4" xfId="27691" xr:uid="{D7779394-69AD-4586-AA2D-47BE091A8430}"/>
    <cellStyle name="Normal 2 3 2 5 2 6 2 5" xfId="27692" xr:uid="{C6BEA173-08A0-4F5C-B1F3-10CD68002EBC}"/>
    <cellStyle name="Normal 2 3 2 5 2 6 3" xfId="27693" xr:uid="{A0F82AB3-1024-49CE-8F65-4D5D77448F84}"/>
    <cellStyle name="Normal 2 3 2 5 2 6 4" xfId="27694" xr:uid="{525374BF-BDE9-4BC7-A158-3CA3DAB92648}"/>
    <cellStyle name="Normal 2 3 2 5 2 6 5" xfId="27695" xr:uid="{2FA785F6-70DA-4DCA-83EE-A345596A0050}"/>
    <cellStyle name="Normal 2 3 2 5 2 6 6" xfId="27696" xr:uid="{8F0900E0-BB38-4B9B-A39E-5CCBA5E86D76}"/>
    <cellStyle name="Normal 2 3 2 5 2 7" xfId="27697" xr:uid="{C0B67DD8-D2FE-414B-BDA7-D4F7EBFB8DEE}"/>
    <cellStyle name="Normal 2 3 2 5 2 7 2" xfId="27698" xr:uid="{C6C58339-0F4F-405F-8D7A-D52F076E6E73}"/>
    <cellStyle name="Normal 2 3 2 5 2 7 3" xfId="27699" xr:uid="{21B560A6-289C-4808-887A-1F63850C82AA}"/>
    <cellStyle name="Normal 2 3 2 5 2 7 4" xfId="27700" xr:uid="{71E4717A-B486-4BDB-8B65-E12A97923A39}"/>
    <cellStyle name="Normal 2 3 2 5 2 7 5" xfId="27701" xr:uid="{CCF2DD16-006B-451F-8654-75E16F290861}"/>
    <cellStyle name="Normal 2 3 2 5 2 8" xfId="27702" xr:uid="{BFDDA47B-12CB-44C4-8090-0386DA21E96E}"/>
    <cellStyle name="Normal 2 3 2 5 2 8 2" xfId="27703" xr:uid="{BDD94B51-8764-47D2-A290-D6DA972BFCDE}"/>
    <cellStyle name="Normal 2 3 2 5 2 8 3" xfId="27704" xr:uid="{3F97E460-555E-4192-8A7D-C9D51DC449B8}"/>
    <cellStyle name="Normal 2 3 2 5 2 8 4" xfId="27705" xr:uid="{97787218-A82B-4803-BDA6-C54309948AB2}"/>
    <cellStyle name="Normal 2 3 2 5 2 8 5" xfId="27706" xr:uid="{6C851BC6-3F22-4710-8928-28A25F9ABA04}"/>
    <cellStyle name="Normal 2 3 2 5 2 9" xfId="27707" xr:uid="{4FD1065B-221C-4817-ABBE-E80A29FFC487}"/>
    <cellStyle name="Normal 2 3 2 5 2 9 2" xfId="27708" xr:uid="{E0D1E259-01AE-4962-ABE2-40AF2F7A2532}"/>
    <cellStyle name="Normal 2 3 2 5 2 9 3" xfId="27709" xr:uid="{3AE25883-34AD-4EA7-BAF0-36000F324688}"/>
    <cellStyle name="Normal 2 3 2 5 2 9 4" xfId="27710" xr:uid="{D916415D-790A-4E42-BD3F-91F829FB2918}"/>
    <cellStyle name="Normal 2 3 2 5 2 9 5" xfId="27711" xr:uid="{9A67DD77-6EB1-4F7A-9CC3-ACD9A5927F9B}"/>
    <cellStyle name="Normal 2 3 2 5 3" xfId="27712" xr:uid="{AEAC21D8-4885-4448-A1E7-C819BDCBA7EE}"/>
    <cellStyle name="Normal 2 3 2 5 3 10" xfId="27713" xr:uid="{00B83332-94EC-4270-A9E2-6954909B7914}"/>
    <cellStyle name="Normal 2 3 2 5 3 11" xfId="27714" xr:uid="{446664D3-F35F-483B-BB79-91CD13CB8DFB}"/>
    <cellStyle name="Normal 2 3 2 5 3 12" xfId="27715" xr:uid="{7BA8E206-8A8E-4B2F-8BDB-2695239387DF}"/>
    <cellStyle name="Normal 2 3 2 5 3 13" xfId="27716" xr:uid="{73866888-69A2-4AB8-A4C9-09454A0D8E54}"/>
    <cellStyle name="Normal 2 3 2 5 3 2" xfId="27717" xr:uid="{E2CD3E23-BED2-4A3D-95DF-A9AACD7EB21F}"/>
    <cellStyle name="Normal 2 3 2 5 3 2 10" xfId="27718" xr:uid="{587476A2-C147-4692-BF0E-BC735A1B4977}"/>
    <cellStyle name="Normal 2 3 2 5 3 2 11" xfId="27719" xr:uid="{9804449E-A7EE-45CA-96C7-6D820CB99631}"/>
    <cellStyle name="Normal 2 3 2 5 3 2 12" xfId="27720" xr:uid="{4F1B0CE0-47A7-4802-9FC1-D0FB03F830F2}"/>
    <cellStyle name="Normal 2 3 2 5 3 2 2" xfId="27721" xr:uid="{EB920141-8BB0-4DEC-A4A5-C3E3E80C9E74}"/>
    <cellStyle name="Normal 2 3 2 5 3 2 2 2" xfId="27722" xr:uid="{DA3B179A-0F04-4880-93B8-BB27DB50141F}"/>
    <cellStyle name="Normal 2 3 2 5 3 2 2 2 2" xfId="27723" xr:uid="{951AD39F-BA01-47EB-922C-18802A11AC88}"/>
    <cellStyle name="Normal 2 3 2 5 3 2 2 2 3" xfId="27724" xr:uid="{C7AC5FC3-AB6E-478C-9A34-F6C4B2503243}"/>
    <cellStyle name="Normal 2 3 2 5 3 2 2 2 4" xfId="27725" xr:uid="{A1E3A9E9-EE5B-4310-BBAD-59B441281810}"/>
    <cellStyle name="Normal 2 3 2 5 3 2 2 2 5" xfId="27726" xr:uid="{5F925F8E-9F83-41AC-AC8B-DB9B95DE4781}"/>
    <cellStyle name="Normal 2 3 2 5 3 2 2 3" xfId="27727" xr:uid="{AE348F86-5679-4D4B-A10F-AD5B9254A996}"/>
    <cellStyle name="Normal 2 3 2 5 3 2 2 4" xfId="27728" xr:uid="{316A3BA2-C430-4E21-BC75-D2729CA89086}"/>
    <cellStyle name="Normal 2 3 2 5 3 2 2 5" xfId="27729" xr:uid="{DEA880C5-12B8-479A-9580-C4C53967B034}"/>
    <cellStyle name="Normal 2 3 2 5 3 2 2 6" xfId="27730" xr:uid="{F99C7744-F3CD-4715-BC60-049F4B2D07B9}"/>
    <cellStyle name="Normal 2 3 2 5 3 2 3" xfId="27731" xr:uid="{56592D12-52AB-47CD-B825-E1892DC396A7}"/>
    <cellStyle name="Normal 2 3 2 5 3 2 3 2" xfId="27732" xr:uid="{DB238990-80ED-4006-927B-F73D1CFB1B3B}"/>
    <cellStyle name="Normal 2 3 2 5 3 2 3 2 2" xfId="27733" xr:uid="{7CAF497C-4A78-42E6-8C90-3FA91085AC80}"/>
    <cellStyle name="Normal 2 3 2 5 3 2 3 2 3" xfId="27734" xr:uid="{206C1545-D4EE-4586-9DB8-E4C198C2A289}"/>
    <cellStyle name="Normal 2 3 2 5 3 2 3 2 4" xfId="27735" xr:uid="{E9D74630-4335-481C-A0F9-2EB05B0DEE32}"/>
    <cellStyle name="Normal 2 3 2 5 3 2 3 2 5" xfId="27736" xr:uid="{9F4A5E0E-9A6D-47FF-96E6-6BB848EBCFE9}"/>
    <cellStyle name="Normal 2 3 2 5 3 2 3 3" xfId="27737" xr:uid="{6DDA6033-B43A-42A4-9C44-AF4908BD3457}"/>
    <cellStyle name="Normal 2 3 2 5 3 2 3 4" xfId="27738" xr:uid="{4DE83D8C-C388-4379-84B5-F9B7CCC0E9A1}"/>
    <cellStyle name="Normal 2 3 2 5 3 2 3 5" xfId="27739" xr:uid="{B9B9FD83-BCC8-412A-9D4E-DCFDD28CA2BF}"/>
    <cellStyle name="Normal 2 3 2 5 3 2 3 6" xfId="27740" xr:uid="{48C5E4B2-C05B-4EBE-8CD0-90500131CD53}"/>
    <cellStyle name="Normal 2 3 2 5 3 2 4" xfId="27741" xr:uid="{C43E5B96-8283-4E98-9142-A0F5FC13997F}"/>
    <cellStyle name="Normal 2 3 2 5 3 2 4 2" xfId="27742" xr:uid="{CD1B8A51-79F7-4AD3-81AC-06EC1C13CC66}"/>
    <cellStyle name="Normal 2 3 2 5 3 2 4 2 2" xfId="27743" xr:uid="{9FB85CB0-FFB5-438F-AF0D-CFDAFEC655B8}"/>
    <cellStyle name="Normal 2 3 2 5 3 2 4 2 3" xfId="27744" xr:uid="{514CC5B9-AF36-4E79-BC28-83BD0030F8C6}"/>
    <cellStyle name="Normal 2 3 2 5 3 2 4 2 4" xfId="27745" xr:uid="{4B32EC33-B8BC-4269-AC03-3800755E431E}"/>
    <cellStyle name="Normal 2 3 2 5 3 2 4 2 5" xfId="27746" xr:uid="{60C53F64-2D26-4E97-8374-9B119CE2CF0A}"/>
    <cellStyle name="Normal 2 3 2 5 3 2 4 3" xfId="27747" xr:uid="{370765F8-1D0D-414D-AFB5-D2007F80901F}"/>
    <cellStyle name="Normal 2 3 2 5 3 2 4 4" xfId="27748" xr:uid="{16178497-FD53-455C-B223-FB00D53FA70C}"/>
    <cellStyle name="Normal 2 3 2 5 3 2 4 5" xfId="27749" xr:uid="{43EF5E05-834C-4D90-AD8F-B6459F85B299}"/>
    <cellStyle name="Normal 2 3 2 5 3 2 4 6" xfId="27750" xr:uid="{219DCAD0-EC98-407B-8DE6-69BB501880C5}"/>
    <cellStyle name="Normal 2 3 2 5 3 2 5" xfId="27751" xr:uid="{6AEE1D4C-E9F8-4C61-9725-375CD9BA8D0B}"/>
    <cellStyle name="Normal 2 3 2 5 3 2 5 2" xfId="27752" xr:uid="{BBA9949B-ED15-4B62-BEEC-0BAC1DD28B36}"/>
    <cellStyle name="Normal 2 3 2 5 3 2 5 3" xfId="27753" xr:uid="{B2CB20BB-F377-4D8E-8E52-F67FF83D3F7D}"/>
    <cellStyle name="Normal 2 3 2 5 3 2 5 4" xfId="27754" xr:uid="{5656EF9F-DFC2-4135-BE42-CD40C64C5CF4}"/>
    <cellStyle name="Normal 2 3 2 5 3 2 5 5" xfId="27755" xr:uid="{52F56167-78E6-4509-98AB-2673E525ABC1}"/>
    <cellStyle name="Normal 2 3 2 5 3 2 6" xfId="27756" xr:uid="{689D105E-26B3-481D-B4B4-59273940079A}"/>
    <cellStyle name="Normal 2 3 2 5 3 2 6 2" xfId="27757" xr:uid="{65B7D18F-4BC4-415B-AE3B-A3657E11CE71}"/>
    <cellStyle name="Normal 2 3 2 5 3 2 6 3" xfId="27758" xr:uid="{1BAC15F4-BD7F-4FC7-9A83-EABCE99244B2}"/>
    <cellStyle name="Normal 2 3 2 5 3 2 6 4" xfId="27759" xr:uid="{5D50B9BA-6083-4C06-95FF-4F7F04B116EB}"/>
    <cellStyle name="Normal 2 3 2 5 3 2 6 5" xfId="27760" xr:uid="{6F188BD7-D382-4B0C-BC06-8CC091D07926}"/>
    <cellStyle name="Normal 2 3 2 5 3 2 7" xfId="27761" xr:uid="{1720C598-7BF8-4128-815A-1C020732B635}"/>
    <cellStyle name="Normal 2 3 2 5 3 2 7 2" xfId="27762" xr:uid="{8D7B8335-7E22-4F8B-990B-8F89D2CB4086}"/>
    <cellStyle name="Normal 2 3 2 5 3 2 7 3" xfId="27763" xr:uid="{58240961-50BA-42B0-A4D8-CFCB404AB6D8}"/>
    <cellStyle name="Normal 2 3 2 5 3 2 7 4" xfId="27764" xr:uid="{BEEC3A78-947E-4082-B7B9-26E900CC5759}"/>
    <cellStyle name="Normal 2 3 2 5 3 2 7 5" xfId="27765" xr:uid="{D1725FED-0A70-4FC8-BC44-B5F53FEC0907}"/>
    <cellStyle name="Normal 2 3 2 5 3 2 8" xfId="27766" xr:uid="{59B931D1-D3EE-4D93-ADF2-7AD63198C084}"/>
    <cellStyle name="Normal 2 3 2 5 3 2 8 2" xfId="27767" xr:uid="{DA06EE3E-746C-4926-9BA4-39AAC50C19B9}"/>
    <cellStyle name="Normal 2 3 2 5 3 2 8 3" xfId="27768" xr:uid="{AAFD62AF-8730-4373-BBA6-30662C862224}"/>
    <cellStyle name="Normal 2 3 2 5 3 2 8 4" xfId="27769" xr:uid="{8E0BE7C5-7516-431A-AC96-178DEA4186F7}"/>
    <cellStyle name="Normal 2 3 2 5 3 2 8 5" xfId="27770" xr:uid="{A2E3874D-EF15-44F7-9BE0-9381EDC45D7E}"/>
    <cellStyle name="Normal 2 3 2 5 3 2 9" xfId="27771" xr:uid="{7BBF8EE1-6C0A-4960-BC7C-1785D564204C}"/>
    <cellStyle name="Normal 2 3 2 5 3 3" xfId="27772" xr:uid="{322E4515-B046-4434-9C11-7BB732539E8B}"/>
    <cellStyle name="Normal 2 3 2 5 3 3 2" xfId="27773" xr:uid="{C7C3919A-50E4-4AEB-A3DB-272F1BAADD06}"/>
    <cellStyle name="Normal 2 3 2 5 3 3 2 2" xfId="27774" xr:uid="{C09B7096-5204-468B-8FD8-40A0BE37B512}"/>
    <cellStyle name="Normal 2 3 2 5 3 3 2 3" xfId="27775" xr:uid="{6717AD8F-FCD0-483E-8A76-D713637FB95A}"/>
    <cellStyle name="Normal 2 3 2 5 3 3 2 4" xfId="27776" xr:uid="{46F4FC34-D161-4BDB-9547-48E14354F093}"/>
    <cellStyle name="Normal 2 3 2 5 3 3 2 5" xfId="27777" xr:uid="{BCF4CB1A-852A-41E2-A1A3-85F6EC5A96A4}"/>
    <cellStyle name="Normal 2 3 2 5 3 3 3" xfId="27778" xr:uid="{35C2DFDF-82DA-4236-85D2-D53A6D19F075}"/>
    <cellStyle name="Normal 2 3 2 5 3 3 4" xfId="27779" xr:uid="{1AD57266-3895-440D-BB86-D6B352A14089}"/>
    <cellStyle name="Normal 2 3 2 5 3 3 5" xfId="27780" xr:uid="{AA4C5393-9F16-467F-A8C0-2038945DFB54}"/>
    <cellStyle name="Normal 2 3 2 5 3 3 6" xfId="27781" xr:uid="{490EC104-9F35-4F03-8735-3816C5D23C23}"/>
    <cellStyle name="Normal 2 3 2 5 3 4" xfId="27782" xr:uid="{3DA5A4E3-C529-49E9-9E47-464BB62D6E62}"/>
    <cellStyle name="Normal 2 3 2 5 3 4 2" xfId="27783" xr:uid="{FB62344A-19CB-43BB-BC73-EEAF0B209247}"/>
    <cellStyle name="Normal 2 3 2 5 3 4 2 2" xfId="27784" xr:uid="{E7AF2CF9-82A0-4E08-B787-C0622B5ABE68}"/>
    <cellStyle name="Normal 2 3 2 5 3 4 2 3" xfId="27785" xr:uid="{23927032-3956-459E-A745-BC9DFFCFB467}"/>
    <cellStyle name="Normal 2 3 2 5 3 4 2 4" xfId="27786" xr:uid="{6F833471-0AA7-4DFC-A2A3-D71FED87BCA1}"/>
    <cellStyle name="Normal 2 3 2 5 3 4 2 5" xfId="27787" xr:uid="{D790ACF3-8C56-4AFB-A0E7-5E55C8A72CE8}"/>
    <cellStyle name="Normal 2 3 2 5 3 4 3" xfId="27788" xr:uid="{8CB2673E-A3A1-4E0F-9A30-34C405BBD799}"/>
    <cellStyle name="Normal 2 3 2 5 3 4 4" xfId="27789" xr:uid="{78909548-F3FA-47C6-A565-23C3BC768E5F}"/>
    <cellStyle name="Normal 2 3 2 5 3 4 5" xfId="27790" xr:uid="{32553F58-20E1-4C62-ACF8-3F9805CA8553}"/>
    <cellStyle name="Normal 2 3 2 5 3 4 6" xfId="27791" xr:uid="{C73FF652-DCB6-4F15-AF9F-CEBD22A92A7A}"/>
    <cellStyle name="Normal 2 3 2 5 3 5" xfId="27792" xr:uid="{B0DB4B14-7F87-47A6-BB56-E68FA5982B8D}"/>
    <cellStyle name="Normal 2 3 2 5 3 5 2" xfId="27793" xr:uid="{BEDCFF82-AD48-4314-8BA9-74C8493833B9}"/>
    <cellStyle name="Normal 2 3 2 5 3 5 2 2" xfId="27794" xr:uid="{0E35E6F2-D3DC-4E4F-9008-A9D30D66AA8F}"/>
    <cellStyle name="Normal 2 3 2 5 3 5 2 3" xfId="27795" xr:uid="{B1F872D1-A715-46DB-9E6D-C7A5D7E6EF99}"/>
    <cellStyle name="Normal 2 3 2 5 3 5 2 4" xfId="27796" xr:uid="{6713F55D-AD33-4C08-A2B4-D4E911B87919}"/>
    <cellStyle name="Normal 2 3 2 5 3 5 2 5" xfId="27797" xr:uid="{99A6623A-1F03-460B-864B-8028CD77A5D9}"/>
    <cellStyle name="Normal 2 3 2 5 3 5 3" xfId="27798" xr:uid="{43380C3C-883E-428E-99FC-B6FA09CC149F}"/>
    <cellStyle name="Normal 2 3 2 5 3 5 4" xfId="27799" xr:uid="{70038B92-68B4-43AE-AE3E-852F847E5A39}"/>
    <cellStyle name="Normal 2 3 2 5 3 5 5" xfId="27800" xr:uid="{5104F375-5E3E-43C3-9843-7C204547565A}"/>
    <cellStyle name="Normal 2 3 2 5 3 5 6" xfId="27801" xr:uid="{6899EEA0-2E81-437A-9E20-A234E8C75C92}"/>
    <cellStyle name="Normal 2 3 2 5 3 6" xfId="27802" xr:uid="{B61B9CF1-5B74-42B0-A4F8-0203C0169D95}"/>
    <cellStyle name="Normal 2 3 2 5 3 6 2" xfId="27803" xr:uid="{141FA42D-199C-42FF-BD0D-145C565F4E68}"/>
    <cellStyle name="Normal 2 3 2 5 3 6 3" xfId="27804" xr:uid="{643EE035-F5D5-40AE-A058-BC887B5FEAE5}"/>
    <cellStyle name="Normal 2 3 2 5 3 6 4" xfId="27805" xr:uid="{3C85D22E-FB8B-4B40-BEC5-05C5824A5547}"/>
    <cellStyle name="Normal 2 3 2 5 3 6 5" xfId="27806" xr:uid="{857E54C1-2075-48B4-85A3-5721D2D653FD}"/>
    <cellStyle name="Normal 2 3 2 5 3 7" xfId="27807" xr:uid="{42A0D184-E7CD-4FFD-BEE4-078ED6A11192}"/>
    <cellStyle name="Normal 2 3 2 5 3 7 2" xfId="27808" xr:uid="{554C4345-857E-4E64-88A5-B79A3FC2514A}"/>
    <cellStyle name="Normal 2 3 2 5 3 7 3" xfId="27809" xr:uid="{8E6806AD-F899-4876-A24A-10A22CF1749D}"/>
    <cellStyle name="Normal 2 3 2 5 3 7 4" xfId="27810" xr:uid="{D50537D8-E53B-494E-9E13-33AADA2180BF}"/>
    <cellStyle name="Normal 2 3 2 5 3 7 5" xfId="27811" xr:uid="{31DA32EE-AD1B-4B31-946D-9FB7516CA9C5}"/>
    <cellStyle name="Normal 2 3 2 5 3 8" xfId="27812" xr:uid="{5FC35E4B-CDD4-4EAA-B1DA-490BF60C16E5}"/>
    <cellStyle name="Normal 2 3 2 5 3 8 2" xfId="27813" xr:uid="{5CEE0114-A36A-4F9B-A1A1-27AE0444DC46}"/>
    <cellStyle name="Normal 2 3 2 5 3 8 3" xfId="27814" xr:uid="{B21E0C66-F4F0-40C3-A289-E5B33D5EAE0D}"/>
    <cellStyle name="Normal 2 3 2 5 3 8 4" xfId="27815" xr:uid="{56AB7178-9B71-41DF-9A26-B9FDD8084EBB}"/>
    <cellStyle name="Normal 2 3 2 5 3 8 5" xfId="27816" xr:uid="{7D13109A-2C14-474B-9A35-737DF3658C45}"/>
    <cellStyle name="Normal 2 3 2 5 3 9" xfId="27817" xr:uid="{D4C5836F-8B61-48F2-A3E1-5388A23A5D88}"/>
    <cellStyle name="Normal 2 3 2 5 3 9 2" xfId="27818" xr:uid="{4190A7B1-A998-4D18-A522-C3ED3462E7B5}"/>
    <cellStyle name="Normal 2 3 2 5 3 9 3" xfId="27819" xr:uid="{0FC9178E-81FE-4EAC-9138-288CAA42AC93}"/>
    <cellStyle name="Normal 2 3 2 5 3 9 4" xfId="27820" xr:uid="{2513FF86-2C98-4B3E-A52D-3EAEA5D8652D}"/>
    <cellStyle name="Normal 2 3 2 5 3 9 5" xfId="27821" xr:uid="{19DD52B3-8674-4C46-BBCB-487CA8EBE6D6}"/>
    <cellStyle name="Normal 2 3 2 5 4" xfId="27822" xr:uid="{AA7422DD-585B-498B-9EFA-C0F027397556}"/>
    <cellStyle name="Normal 2 3 2 5 4 10" xfId="27823" xr:uid="{B0835995-E68F-421E-B8B6-182A8BC30A39}"/>
    <cellStyle name="Normal 2 3 2 5 4 11" xfId="27824" xr:uid="{06573023-732A-427B-80FE-BB6A4A997DB8}"/>
    <cellStyle name="Normal 2 3 2 5 4 12" xfId="27825" xr:uid="{109712DA-31E5-4ED7-A82D-0509E1431539}"/>
    <cellStyle name="Normal 2 3 2 5 4 2" xfId="27826" xr:uid="{0863B72E-86E7-4504-8929-C1F3D96869BD}"/>
    <cellStyle name="Normal 2 3 2 5 4 2 2" xfId="27827" xr:uid="{C433E0D3-1E4F-4104-8086-D8286E83A662}"/>
    <cellStyle name="Normal 2 3 2 5 4 2 2 2" xfId="27828" xr:uid="{AEA49B3B-B1A7-4394-B177-2002107736A0}"/>
    <cellStyle name="Normal 2 3 2 5 4 2 2 3" xfId="27829" xr:uid="{BB718FB8-F1BA-4FC6-ABCD-383A036A2DD0}"/>
    <cellStyle name="Normal 2 3 2 5 4 2 2 4" xfId="27830" xr:uid="{90BABE26-5518-4501-8D62-DA3716F5BB51}"/>
    <cellStyle name="Normal 2 3 2 5 4 2 2 5" xfId="27831" xr:uid="{0EF67C06-1A52-4D9B-B1D0-83BF4636CECF}"/>
    <cellStyle name="Normal 2 3 2 5 4 2 3" xfId="27832" xr:uid="{0A47ED1F-D9E8-4B7A-884E-35B466050DE9}"/>
    <cellStyle name="Normal 2 3 2 5 4 2 4" xfId="27833" xr:uid="{D8844FA7-4166-45B6-B1A3-F990A0BE9CA8}"/>
    <cellStyle name="Normal 2 3 2 5 4 2 5" xfId="27834" xr:uid="{8596DB82-D31C-4953-A1BC-91F087B384D5}"/>
    <cellStyle name="Normal 2 3 2 5 4 2 6" xfId="27835" xr:uid="{B12213C7-9FAF-400F-9A64-0FE8D57CEA50}"/>
    <cellStyle name="Normal 2 3 2 5 4 3" xfId="27836" xr:uid="{3844BF62-3D62-497C-8BA2-073708DFCE8D}"/>
    <cellStyle name="Normal 2 3 2 5 4 3 2" xfId="27837" xr:uid="{A9B54C1D-D2E2-492D-BA2D-7B059077035D}"/>
    <cellStyle name="Normal 2 3 2 5 4 3 2 2" xfId="27838" xr:uid="{82506005-AC0B-4826-9E8E-5AAF6C6E1255}"/>
    <cellStyle name="Normal 2 3 2 5 4 3 2 3" xfId="27839" xr:uid="{BEE36BF2-5C27-42C7-925B-68304E7AA593}"/>
    <cellStyle name="Normal 2 3 2 5 4 3 2 4" xfId="27840" xr:uid="{E9C0875A-62ED-44D6-ADE2-F4FEB900759E}"/>
    <cellStyle name="Normal 2 3 2 5 4 3 2 5" xfId="27841" xr:uid="{9BBCD197-7C7D-4A10-9AB4-66621AA91482}"/>
    <cellStyle name="Normal 2 3 2 5 4 3 3" xfId="27842" xr:uid="{AF6A449F-92B0-4CBC-B1E4-C79ED8BF4E3F}"/>
    <cellStyle name="Normal 2 3 2 5 4 3 4" xfId="27843" xr:uid="{139856D9-7906-459B-BB42-E315DEF833FC}"/>
    <cellStyle name="Normal 2 3 2 5 4 3 5" xfId="27844" xr:uid="{D346923F-845F-4CD4-8452-C3E9B0093091}"/>
    <cellStyle name="Normal 2 3 2 5 4 3 6" xfId="27845" xr:uid="{E978DA31-1339-4841-8D0A-D6C4B45A09FF}"/>
    <cellStyle name="Normal 2 3 2 5 4 4" xfId="27846" xr:uid="{A27EC115-212E-4171-B9D9-3A94D8FF7571}"/>
    <cellStyle name="Normal 2 3 2 5 4 4 2" xfId="27847" xr:uid="{EC203529-E348-48E6-B211-23778F880DB1}"/>
    <cellStyle name="Normal 2 3 2 5 4 4 2 2" xfId="27848" xr:uid="{84BE9791-6CB3-44AA-8EBF-B3B9384E4DBE}"/>
    <cellStyle name="Normal 2 3 2 5 4 4 2 3" xfId="27849" xr:uid="{49ACFF94-F7D3-4692-A41F-28BC3FF8B72D}"/>
    <cellStyle name="Normal 2 3 2 5 4 4 2 4" xfId="27850" xr:uid="{B6966A09-4B0E-434E-9D03-7FC9EEBBD0A2}"/>
    <cellStyle name="Normal 2 3 2 5 4 4 2 5" xfId="27851" xr:uid="{5FF5B805-07CB-46F8-AE92-26E4ABFF936F}"/>
    <cellStyle name="Normal 2 3 2 5 4 4 3" xfId="27852" xr:uid="{5CC044CF-47E6-48DF-9843-4BC396ED7671}"/>
    <cellStyle name="Normal 2 3 2 5 4 4 4" xfId="27853" xr:uid="{42AEEC3E-264E-4BDF-A6AB-546D835023E4}"/>
    <cellStyle name="Normal 2 3 2 5 4 4 5" xfId="27854" xr:uid="{F557D236-F851-40B1-A73A-F2F66A30CB2C}"/>
    <cellStyle name="Normal 2 3 2 5 4 4 6" xfId="27855" xr:uid="{9D87BB1A-1678-4BF5-BF6A-094E0010FD83}"/>
    <cellStyle name="Normal 2 3 2 5 4 5" xfId="27856" xr:uid="{FA43DB3A-9180-41D9-BDD3-CB8690543F87}"/>
    <cellStyle name="Normal 2 3 2 5 4 5 2" xfId="27857" xr:uid="{55DF0C3A-1F6F-4E63-AA1F-4C7C1C908E24}"/>
    <cellStyle name="Normal 2 3 2 5 4 5 3" xfId="27858" xr:uid="{4960E5D1-5924-4838-9340-89C598724458}"/>
    <cellStyle name="Normal 2 3 2 5 4 5 4" xfId="27859" xr:uid="{6F7BD4B1-C041-4E6F-85DE-99CB526EFFFB}"/>
    <cellStyle name="Normal 2 3 2 5 4 5 5" xfId="27860" xr:uid="{E70DDBC9-DB9E-4827-9417-298BB83CC3BB}"/>
    <cellStyle name="Normal 2 3 2 5 4 6" xfId="27861" xr:uid="{0B23AE49-C55D-4DB6-8564-44E0060ACA1E}"/>
    <cellStyle name="Normal 2 3 2 5 4 6 2" xfId="27862" xr:uid="{DD61458A-4ED8-4CA3-BDCA-9FD81BC14F09}"/>
    <cellStyle name="Normal 2 3 2 5 4 6 3" xfId="27863" xr:uid="{A18A20C3-D2FA-44B4-98FB-D225B7111ADA}"/>
    <cellStyle name="Normal 2 3 2 5 4 6 4" xfId="27864" xr:uid="{D7D882E4-39F7-4A7B-A6B5-509742A9B0AD}"/>
    <cellStyle name="Normal 2 3 2 5 4 6 5" xfId="27865" xr:uid="{8076417B-D5E6-4BB6-8820-E17F58ABEBA6}"/>
    <cellStyle name="Normal 2 3 2 5 4 7" xfId="27866" xr:uid="{979B616D-7EE0-49E8-86F2-64593709A602}"/>
    <cellStyle name="Normal 2 3 2 5 4 7 2" xfId="27867" xr:uid="{B1711040-DE10-473C-BFD6-90E2C24007F2}"/>
    <cellStyle name="Normal 2 3 2 5 4 7 3" xfId="27868" xr:uid="{43C5CB62-CA20-4822-9C71-67EDE73AA04A}"/>
    <cellStyle name="Normal 2 3 2 5 4 7 4" xfId="27869" xr:uid="{F19ECCFB-DEC4-41FA-9AA8-99422830A47E}"/>
    <cellStyle name="Normal 2 3 2 5 4 7 5" xfId="27870" xr:uid="{FFE421E9-0A13-4650-AC8A-61DA10671E1A}"/>
    <cellStyle name="Normal 2 3 2 5 4 8" xfId="27871" xr:uid="{28816132-F8B0-4249-9433-B406870FBD90}"/>
    <cellStyle name="Normal 2 3 2 5 4 8 2" xfId="27872" xr:uid="{200AB869-879A-4B1F-B97B-A5279EBADCA9}"/>
    <cellStyle name="Normal 2 3 2 5 4 8 3" xfId="27873" xr:uid="{8840A036-7E54-4010-A1C1-B8C53FF8F9FD}"/>
    <cellStyle name="Normal 2 3 2 5 4 8 4" xfId="27874" xr:uid="{C4C23AE9-BBA2-4242-83CB-D38081B76CC0}"/>
    <cellStyle name="Normal 2 3 2 5 4 8 5" xfId="27875" xr:uid="{ACCE196D-8417-4EA4-827F-5F6053F6CD74}"/>
    <cellStyle name="Normal 2 3 2 5 4 9" xfId="27876" xr:uid="{3D25C706-DF94-45EA-ABD1-121C888BF2C0}"/>
    <cellStyle name="Normal 2 3 2 5 5" xfId="27877" xr:uid="{4ACCF79D-8A02-4C6D-94AA-4F147F8C64D3}"/>
    <cellStyle name="Normal 2 3 2 5 5 2" xfId="27878" xr:uid="{3AE67D3A-981C-41D9-8864-D64C782A3796}"/>
    <cellStyle name="Normal 2 3 2 5 5 2 2" xfId="27879" xr:uid="{B5622BC5-1105-43DA-B913-07FD575D37D9}"/>
    <cellStyle name="Normal 2 3 2 5 5 2 3" xfId="27880" xr:uid="{D7803E73-7FE2-4DF2-A502-3DE193B63D2E}"/>
    <cellStyle name="Normal 2 3 2 5 5 2 4" xfId="27881" xr:uid="{3DEC531E-EAD9-46E6-975C-BED8F7BE40EC}"/>
    <cellStyle name="Normal 2 3 2 5 5 2 5" xfId="27882" xr:uid="{77C271A8-DA1C-455A-AC7C-C89B99812E1C}"/>
    <cellStyle name="Normal 2 3 2 5 5 3" xfId="27883" xr:uid="{5236A0DA-7BF3-4A58-895D-D1F30BB7AE90}"/>
    <cellStyle name="Normal 2 3 2 5 5 4" xfId="27884" xr:uid="{16FA776A-4EA8-4904-97F0-D9FD0EA8C7BB}"/>
    <cellStyle name="Normal 2 3 2 5 5 5" xfId="27885" xr:uid="{5C8A979A-1763-43E5-8702-35F92784E102}"/>
    <cellStyle name="Normal 2 3 2 5 5 6" xfId="27886" xr:uid="{31EB33DE-33FF-4EE6-A46A-97FBE6219613}"/>
    <cellStyle name="Normal 2 3 2 5 6" xfId="27887" xr:uid="{BEAE4C90-B82C-4A19-B720-DCB2248B193A}"/>
    <cellStyle name="Normal 2 3 2 5 6 2" xfId="27888" xr:uid="{07F02D93-1AED-4E2A-82B4-D26964C5BD1D}"/>
    <cellStyle name="Normal 2 3 2 5 6 2 2" xfId="27889" xr:uid="{D28A2B64-4F18-489C-8CF1-D80B06D538B6}"/>
    <cellStyle name="Normal 2 3 2 5 6 2 3" xfId="27890" xr:uid="{7E213FA6-21EA-4BA1-8C8C-5A20CB260901}"/>
    <cellStyle name="Normal 2 3 2 5 6 2 4" xfId="27891" xr:uid="{DEB4B6D5-FEE4-44F2-826D-F7B7FE850B3A}"/>
    <cellStyle name="Normal 2 3 2 5 6 2 5" xfId="27892" xr:uid="{1F747BAE-3A9C-4CC4-B09C-8201893AA552}"/>
    <cellStyle name="Normal 2 3 2 5 6 3" xfId="27893" xr:uid="{0E4F195A-AE99-49A1-B912-25E7A3C4133C}"/>
    <cellStyle name="Normal 2 3 2 5 6 4" xfId="27894" xr:uid="{7592C3E5-3DF8-490B-B336-0EC73BD83A22}"/>
    <cellStyle name="Normal 2 3 2 5 6 5" xfId="27895" xr:uid="{3DBE39E3-4F13-4CC4-9738-E74A37E121A7}"/>
    <cellStyle name="Normal 2 3 2 5 6 6" xfId="27896" xr:uid="{36DAB9B0-3841-4321-BA3D-EBA091CDD22C}"/>
    <cellStyle name="Normal 2 3 2 5 7" xfId="27897" xr:uid="{E928058F-02BC-4C58-8AD7-EBAC5F092AFA}"/>
    <cellStyle name="Normal 2 3 2 5 7 2" xfId="27898" xr:uid="{5BAE71A7-68D1-4DC2-A90C-6898DDC07FB2}"/>
    <cellStyle name="Normal 2 3 2 5 7 2 2" xfId="27899" xr:uid="{B2727B7D-3834-4DD2-ADD7-65B90DDDBFA2}"/>
    <cellStyle name="Normal 2 3 2 5 7 2 3" xfId="27900" xr:uid="{B6686E74-4C88-4B7D-A77A-4C2C7223ADD0}"/>
    <cellStyle name="Normal 2 3 2 5 7 2 4" xfId="27901" xr:uid="{9C5D8323-ED94-41F5-9F1A-69AC3FA37D86}"/>
    <cellStyle name="Normal 2 3 2 5 7 2 5" xfId="27902" xr:uid="{A736552B-07C3-4429-A74B-57153D45F1B1}"/>
    <cellStyle name="Normal 2 3 2 5 7 3" xfId="27903" xr:uid="{25D4CC80-66C4-4D9F-91C5-BCE2E22C5169}"/>
    <cellStyle name="Normal 2 3 2 5 7 4" xfId="27904" xr:uid="{14A8DDF7-F4B9-4274-AADA-19329E867612}"/>
    <cellStyle name="Normal 2 3 2 5 7 5" xfId="27905" xr:uid="{31C399DC-C25A-4E94-8F98-31C38B350563}"/>
    <cellStyle name="Normal 2 3 2 5 7 6" xfId="27906" xr:uid="{A542AFEB-B8DE-4B84-BAC2-BC3C25661AA1}"/>
    <cellStyle name="Normal 2 3 2 5 8" xfId="27907" xr:uid="{153581AE-91CC-4B50-94DF-23CFB9BE5CD1}"/>
    <cellStyle name="Normal 2 3 2 5 8 2" xfId="27908" xr:uid="{80543840-4E6D-472F-B755-76EA6688238F}"/>
    <cellStyle name="Normal 2 3 2 5 8 3" xfId="27909" xr:uid="{786A1116-8EE0-4436-8236-A481F0ACE4BE}"/>
    <cellStyle name="Normal 2 3 2 5 8 4" xfId="27910" xr:uid="{401E7D95-520C-401C-8740-81B0EEE26232}"/>
    <cellStyle name="Normal 2 3 2 5 8 5" xfId="27911" xr:uid="{51EE0509-39B4-4AF5-80FF-BD20693C13C5}"/>
    <cellStyle name="Normal 2 3 2 5 9" xfId="27912" xr:uid="{53AE9892-CD30-4FC7-86E3-7FD7ECB8595D}"/>
    <cellStyle name="Normal 2 3 2 5 9 2" xfId="27913" xr:uid="{5512457A-9447-4821-97C8-055604D597C9}"/>
    <cellStyle name="Normal 2 3 2 5 9 3" xfId="27914" xr:uid="{1D77C26C-799F-4730-BCA5-4D2A7C373F11}"/>
    <cellStyle name="Normal 2 3 2 5 9 4" xfId="27915" xr:uid="{A547237A-79CE-4054-9D70-79299979F592}"/>
    <cellStyle name="Normal 2 3 2 5 9 5" xfId="27916" xr:uid="{CE658D3D-43E6-4AC6-9363-3FACBC06B0C1}"/>
    <cellStyle name="Normal 2 3 2 6" xfId="27917" xr:uid="{992FBD36-467B-4900-93C7-5974EEF17D35}"/>
    <cellStyle name="Normal 2 3 2 6 10" xfId="27918" xr:uid="{C247C4F5-0FAD-4A71-A788-94BF43AC66F3}"/>
    <cellStyle name="Normal 2 3 2 6 11" xfId="27919" xr:uid="{D56B0054-0E07-418B-89D4-06B7D1FD7A1E}"/>
    <cellStyle name="Normal 2 3 2 6 12" xfId="27920" xr:uid="{47F54E5C-A233-4B37-8CCC-93EA01FEF902}"/>
    <cellStyle name="Normal 2 3 2 6 2" xfId="27921" xr:uid="{E94F3EFD-206A-4677-BE89-1664A5A21E4B}"/>
    <cellStyle name="Normal 2 3 2 6 2 10" xfId="27922" xr:uid="{75598756-440C-4E92-A1C2-07F30340291A}"/>
    <cellStyle name="Normal 2 3 2 6 2 11" xfId="27923" xr:uid="{13B69B2B-91F1-4650-B1CB-61F88226CA8D}"/>
    <cellStyle name="Normal 2 3 2 6 2 2" xfId="27924" xr:uid="{7AA382E9-00EE-48C0-B1CA-CB00D6748413}"/>
    <cellStyle name="Normal 2 3 2 6 2 2 2" xfId="27925" xr:uid="{3D6551BF-1F83-41E1-BADA-AB22250AF554}"/>
    <cellStyle name="Normal 2 3 2 6 2 2 2 2" xfId="27926" xr:uid="{B5B7DB4C-5CEA-40B5-B94C-1A000DCAEC6A}"/>
    <cellStyle name="Normal 2 3 2 6 2 2 2 3" xfId="27927" xr:uid="{C73339F0-DB28-4FB3-9B00-33CF4E212C9C}"/>
    <cellStyle name="Normal 2 3 2 6 2 2 2 4" xfId="27928" xr:uid="{EC0196E7-0AD6-4D19-B1AE-8071D2776046}"/>
    <cellStyle name="Normal 2 3 2 6 2 2 2 5" xfId="27929" xr:uid="{1E9BB442-E12C-4706-8C5D-8F7D23F6ED9D}"/>
    <cellStyle name="Normal 2 3 2 6 2 2 3" xfId="27930" xr:uid="{89A266AE-099D-4C47-9225-2CAF6704ACFB}"/>
    <cellStyle name="Normal 2 3 2 6 2 2 4" xfId="27931" xr:uid="{95863E49-109B-4FD5-B7B2-8E067990B242}"/>
    <cellStyle name="Normal 2 3 2 6 2 2 5" xfId="27932" xr:uid="{A5790727-E479-4966-A2E8-CDA559A29825}"/>
    <cellStyle name="Normal 2 3 2 6 2 2 6" xfId="27933" xr:uid="{1D309AE8-F811-4CE4-B5E4-6C0D2F799877}"/>
    <cellStyle name="Normal 2 3 2 6 2 3" xfId="27934" xr:uid="{78FF98DC-2603-4EF1-BAC3-537BBD3356CC}"/>
    <cellStyle name="Normal 2 3 2 6 2 3 2" xfId="27935" xr:uid="{EA81A96E-88E7-4FD2-98DD-AB26889AE4D2}"/>
    <cellStyle name="Normal 2 3 2 6 2 3 2 2" xfId="27936" xr:uid="{0420ED6B-00BD-4A8A-A20B-D0CC888EFF66}"/>
    <cellStyle name="Normal 2 3 2 6 2 3 2 3" xfId="27937" xr:uid="{407588D3-0B60-49F3-976D-18931B1577F8}"/>
    <cellStyle name="Normal 2 3 2 6 2 3 2 4" xfId="27938" xr:uid="{11229680-C12B-4068-B926-E23D3F780321}"/>
    <cellStyle name="Normal 2 3 2 6 2 3 2 5" xfId="27939" xr:uid="{F1537292-4AF8-4606-B753-7C4F70C54419}"/>
    <cellStyle name="Normal 2 3 2 6 2 3 3" xfId="27940" xr:uid="{CF84D579-9E7B-4C58-A572-9CF6AFC1302A}"/>
    <cellStyle name="Normal 2 3 2 6 2 3 4" xfId="27941" xr:uid="{9349E15B-1C9D-47C0-BA48-72DFB6EB918E}"/>
    <cellStyle name="Normal 2 3 2 6 2 3 5" xfId="27942" xr:uid="{738482C3-2DF5-4BE4-B6B0-9DCEDCF4C812}"/>
    <cellStyle name="Normal 2 3 2 6 2 3 6" xfId="27943" xr:uid="{8A24F55A-0BCD-476B-B549-68D34FB2A76E}"/>
    <cellStyle name="Normal 2 3 2 6 2 4" xfId="27944" xr:uid="{47EA0A8D-FD31-496B-80E8-BC6DC5BC31E3}"/>
    <cellStyle name="Normal 2 3 2 6 2 4 2" xfId="27945" xr:uid="{B48FE03E-599C-48A0-8770-546ED0F77352}"/>
    <cellStyle name="Normal 2 3 2 6 2 4 2 2" xfId="27946" xr:uid="{AF5A3436-F58F-459F-8119-5877EE0711C6}"/>
    <cellStyle name="Normal 2 3 2 6 2 4 2 3" xfId="27947" xr:uid="{8633092C-BAFA-4C54-BACC-2D569111A2B1}"/>
    <cellStyle name="Normal 2 3 2 6 2 4 2 4" xfId="27948" xr:uid="{D8DB1143-AE9A-4F4C-8F10-D672387BC254}"/>
    <cellStyle name="Normal 2 3 2 6 2 4 2 5" xfId="27949" xr:uid="{376D4D3C-C57B-4E92-93D4-FCFAE58041CC}"/>
    <cellStyle name="Normal 2 3 2 6 2 4 3" xfId="27950" xr:uid="{19B455C5-A39C-4AA9-A00B-22E5C892FF3E}"/>
    <cellStyle name="Normal 2 3 2 6 2 4 4" xfId="27951" xr:uid="{61865CA4-D166-4183-9201-3FE4F75FAD8F}"/>
    <cellStyle name="Normal 2 3 2 6 2 4 5" xfId="27952" xr:uid="{55FC92B5-0BAB-4482-B8F7-BFFA703DDC6E}"/>
    <cellStyle name="Normal 2 3 2 6 2 4 6" xfId="27953" xr:uid="{66233B73-2D46-4892-B8AF-E3B71098A7C4}"/>
    <cellStyle name="Normal 2 3 2 6 2 5" xfId="27954" xr:uid="{9D74B1FD-DD61-460F-AF29-FCECA37436D9}"/>
    <cellStyle name="Normal 2 3 2 6 2 5 2" xfId="27955" xr:uid="{DFDBEE62-7271-4AC6-AAA6-05001740A5E8}"/>
    <cellStyle name="Normal 2 3 2 6 2 5 3" xfId="27956" xr:uid="{14A541CF-9612-47F7-8E79-80D4DFFDAB5E}"/>
    <cellStyle name="Normal 2 3 2 6 2 5 4" xfId="27957" xr:uid="{E290A343-BFE0-466E-87BE-6C0A82FBF455}"/>
    <cellStyle name="Normal 2 3 2 6 2 5 5" xfId="27958" xr:uid="{0043EB30-ECFC-4341-B6F3-F5846BC27FEF}"/>
    <cellStyle name="Normal 2 3 2 6 2 6" xfId="27959" xr:uid="{6DB143BB-A40C-43D4-AA86-9EAD94508D17}"/>
    <cellStyle name="Normal 2 3 2 6 2 6 2" xfId="27960" xr:uid="{96DD6D67-816A-406A-B42D-E141656707C0}"/>
    <cellStyle name="Normal 2 3 2 6 2 6 3" xfId="27961" xr:uid="{2A166327-A409-42A4-8C7A-0103CA896B2D}"/>
    <cellStyle name="Normal 2 3 2 6 2 6 4" xfId="27962" xr:uid="{DAA19882-C7DF-4052-8BD5-95C971B2FBA4}"/>
    <cellStyle name="Normal 2 3 2 6 2 6 5" xfId="27963" xr:uid="{1760C37B-1626-4C55-9365-A9AE7771F635}"/>
    <cellStyle name="Normal 2 3 2 6 2 7" xfId="27964" xr:uid="{74F23806-13BF-4C65-8B59-E2266B517500}"/>
    <cellStyle name="Normal 2 3 2 6 2 7 2" xfId="27965" xr:uid="{50A053F5-AF45-485D-8A3F-680C8D01A130}"/>
    <cellStyle name="Normal 2 3 2 6 2 7 3" xfId="27966" xr:uid="{AB3D239D-3F17-4828-BDD8-64CF9D28466C}"/>
    <cellStyle name="Normal 2 3 2 6 2 7 4" xfId="27967" xr:uid="{CEB14457-D650-4DC0-AF59-27D5BC7DDD49}"/>
    <cellStyle name="Normal 2 3 2 6 2 7 5" xfId="27968" xr:uid="{7FE82254-3E1D-4AAD-ACE0-9759363DC3CE}"/>
    <cellStyle name="Normal 2 3 2 6 2 8" xfId="27969" xr:uid="{15561758-94C7-470A-8AF1-364BECBE7C80}"/>
    <cellStyle name="Normal 2 3 2 6 2 9" xfId="27970" xr:uid="{0B77906A-8F66-4719-BD58-CA1B9D8B5E30}"/>
    <cellStyle name="Normal 2 3 2 6 3" xfId="27971" xr:uid="{2D786659-64DE-4DE7-A979-7BF12F99E1B8}"/>
    <cellStyle name="Normal 2 3 2 6 3 2" xfId="27972" xr:uid="{C683665D-E40B-4A9C-BEE7-8DD55F60B16F}"/>
    <cellStyle name="Normal 2 3 2 6 3 2 2" xfId="27973" xr:uid="{6746E448-F55F-4FDA-837F-130CCAB65607}"/>
    <cellStyle name="Normal 2 3 2 6 3 2 3" xfId="27974" xr:uid="{E208FC8F-1C03-44CD-85D1-201DE81A9C54}"/>
    <cellStyle name="Normal 2 3 2 6 3 2 4" xfId="27975" xr:uid="{C3CCEFD8-F12B-44E8-AFD3-CDDE949EE4FC}"/>
    <cellStyle name="Normal 2 3 2 6 3 2 5" xfId="27976" xr:uid="{0CDF12AC-BB98-438A-A8D0-E4DF9AE8A281}"/>
    <cellStyle name="Normal 2 3 2 6 3 3" xfId="27977" xr:uid="{CAD55E8B-D273-4C45-8C74-4B10CC495217}"/>
    <cellStyle name="Normal 2 3 2 6 3 4" xfId="27978" xr:uid="{7EBFFC5C-D85D-49B9-99C5-F5B60A698009}"/>
    <cellStyle name="Normal 2 3 2 6 3 5" xfId="27979" xr:uid="{C2B9E615-AAA2-4A91-97F0-17D1E3C8841A}"/>
    <cellStyle name="Normal 2 3 2 6 4" xfId="27980" xr:uid="{B990920B-910D-4B93-B076-93864D29AAA3}"/>
    <cellStyle name="Normal 2 3 2 6 5" xfId="27981" xr:uid="{2327B450-E8E8-41E3-95CF-4E286DC70F26}"/>
    <cellStyle name="Normal 2 3 2 6 5 2" xfId="27982" xr:uid="{1DDEA479-8D85-4421-BE0F-19F58EE7E110}"/>
    <cellStyle name="Normal 2 3 2 6 5 3" xfId="27983" xr:uid="{6E2669BA-DA47-4A61-B658-A7E0AC0706D9}"/>
    <cellStyle name="Normal 2 3 2 6 5 4" xfId="27984" xr:uid="{D157E60D-CC2B-4106-970A-ED00A97780DE}"/>
    <cellStyle name="Normal 2 3 2 6 5 5" xfId="27985" xr:uid="{49EB4FCA-D488-4140-967B-3155D7D74AB5}"/>
    <cellStyle name="Normal 2 3 2 6 6" xfId="27986" xr:uid="{E9AA3811-E462-4B36-8126-AE8F009DDA2E}"/>
    <cellStyle name="Normal 2 3 2 6 7" xfId="27987" xr:uid="{CBD95C63-4F1D-4F79-884B-F5E1C070409D}"/>
    <cellStyle name="Normal 2 3 2 6 8" xfId="27988" xr:uid="{E8483B37-D0D6-4B17-B511-05E50BE4C77A}"/>
    <cellStyle name="Normal 2 3 2 6 9" xfId="27989" xr:uid="{BFBC8FD6-04D2-44A7-BDBE-297975E156CA}"/>
    <cellStyle name="Normal 2 3 2 7" xfId="27990" xr:uid="{5A6E9D63-7B8F-4480-9438-92E28B1D5B45}"/>
    <cellStyle name="Normal 2 3 2 7 2" xfId="27991" xr:uid="{E396E271-F144-472C-9DE2-74A9A543CFE5}"/>
    <cellStyle name="Normal 2 3 2 7 2 2" xfId="27992" xr:uid="{116A4B3F-DF65-408B-8F16-09A31A954817}"/>
    <cellStyle name="Normal 2 3 2 7 2 3" xfId="27993" xr:uid="{D6B0FA0B-9B72-44A8-B671-FB8DFC8D7FA0}"/>
    <cellStyle name="Normal 2 3 2 7 2 4" xfId="27994" xr:uid="{785454AF-D977-4BB2-A304-C55833DBF7C8}"/>
    <cellStyle name="Normal 2 3 2 7 2 5" xfId="27995" xr:uid="{FBCC77A8-6425-4F31-976C-9579958A3383}"/>
    <cellStyle name="Normal 2 3 2 7 3" xfId="27996" xr:uid="{4C0CC998-B6B3-40B9-A97E-748E849D9A5D}"/>
    <cellStyle name="Normal 2 3 2 7 4" xfId="27997" xr:uid="{C9A6DDFE-DA20-4CC4-93D4-F3CDA9B3B2C6}"/>
    <cellStyle name="Normal 2 3 2 7 5" xfId="27998" xr:uid="{1F5E8EBE-5162-4B3E-B9C9-ECFD1073E38A}"/>
    <cellStyle name="Normal 2 3 2 7 6" xfId="27999" xr:uid="{FF09E4AE-0BF8-4FA4-96E9-F1E436E98159}"/>
    <cellStyle name="Normal 2 3 2 8" xfId="28000" xr:uid="{F57938D5-49FB-4EF0-8C2F-FEBBA6771F83}"/>
    <cellStyle name="Normal 2 3 2 8 2" xfId="28001" xr:uid="{694F3900-6F0D-4520-B2BD-448147B96F8B}"/>
    <cellStyle name="Normal 2 3 2 8 2 2" xfId="28002" xr:uid="{1FE44ED2-9568-4E41-A49A-A72AB1CAFBB9}"/>
    <cellStyle name="Normal 2 3 2 8 2 3" xfId="28003" xr:uid="{E8917F43-311E-4E9A-B6A6-806BE78129C5}"/>
    <cellStyle name="Normal 2 3 2 8 2 4" xfId="28004" xr:uid="{547FEB2B-9814-4B73-AC9C-05DA06BC04A7}"/>
    <cellStyle name="Normal 2 3 2 8 2 5" xfId="28005" xr:uid="{61D5613B-CC77-448A-90EA-740F87AC8144}"/>
    <cellStyle name="Normal 2 3 2 8 3" xfId="28006" xr:uid="{83C1C336-73BE-45AE-9287-ABE10AC3269A}"/>
    <cellStyle name="Normal 2 3 2 8 4" xfId="28007" xr:uid="{48F82D90-FBE4-4F00-9267-41A28891D471}"/>
    <cellStyle name="Normal 2 3 2 8 5" xfId="28008" xr:uid="{8A5E99A3-02DA-4CBF-99F7-897DAFE19F43}"/>
    <cellStyle name="Normal 2 3 2 8 6" xfId="28009" xr:uid="{01EF654C-F894-41FD-8D64-EEFD90283CB2}"/>
    <cellStyle name="Normal 2 3 2 9" xfId="28010" xr:uid="{711FD909-7E2B-4EB6-96BC-15CF36305906}"/>
    <cellStyle name="Normal 2 3 2 9 2" xfId="28011" xr:uid="{5E6F2A88-1541-4C62-A9C7-948EF3939FAB}"/>
    <cellStyle name="Normal 2 3 2 9 2 2" xfId="28012" xr:uid="{B06ED49B-0CB7-432D-A261-ADC69EE4C157}"/>
    <cellStyle name="Normal 2 3 2 9 2 3" xfId="28013" xr:uid="{1B9FDFC8-BE10-493A-AFB4-AA9DA4837F59}"/>
    <cellStyle name="Normal 2 3 2 9 2 4" xfId="28014" xr:uid="{EAA4A74F-EC4A-4A35-AE42-7C6ADF4B247B}"/>
    <cellStyle name="Normal 2 3 2 9 2 5" xfId="28015" xr:uid="{0D5EED3E-579F-4D8E-877F-DFC5258500F6}"/>
    <cellStyle name="Normal 2 3 2 9 3" xfId="28016" xr:uid="{EFE0CD3A-931E-44D8-A8DD-A1E480F9A9C4}"/>
    <cellStyle name="Normal 2 3 2 9 4" xfId="28017" xr:uid="{31644A00-1E69-46E5-A160-C5E9173856FC}"/>
    <cellStyle name="Normal 2 3 2 9 5" xfId="28018" xr:uid="{9916FD33-3663-469D-9729-EE194904E064}"/>
    <cellStyle name="Normal 2 3 2 9 6" xfId="28019" xr:uid="{054CD0B5-7B85-4C5C-903A-545A286501BB}"/>
    <cellStyle name="Normal 2 3 3" xfId="28020" xr:uid="{8962CF82-E71B-4A99-A8A3-5D7D35051A39}"/>
    <cellStyle name="Normal 2 3 3 10" xfId="28021" xr:uid="{1ACD799F-2B36-4B4F-BCB9-FF5F82563D5C}"/>
    <cellStyle name="Normal 2 3 3 11" xfId="28022" xr:uid="{4DD3BCF7-FAA8-41D9-A48E-0D8DF82A98F2}"/>
    <cellStyle name="Normal 2 3 3 12" xfId="28023" xr:uid="{8850B25D-6000-4114-ADD9-185F07551645}"/>
    <cellStyle name="Normal 2 3 3 2" xfId="28024" xr:uid="{197D53AD-0019-4FF5-B744-BDA137AFD473}"/>
    <cellStyle name="Normal 2 3 3 2 10" xfId="28025" xr:uid="{B474ADA9-FED7-406F-88FC-8796A9ADAE71}"/>
    <cellStyle name="Normal 2 3 3 2 11" xfId="28026" xr:uid="{70CF698A-AE80-4355-B6C2-0F32FEC0964E}"/>
    <cellStyle name="Normal 2 3 3 2 12" xfId="28027" xr:uid="{0C372FB7-A5CA-4B2E-907C-DA3ABD866831}"/>
    <cellStyle name="Normal 2 3 3 2 13" xfId="28028" xr:uid="{428F52DA-18EE-4714-B498-872AAAD3531F}"/>
    <cellStyle name="Normal 2 3 3 2 2" xfId="28029" xr:uid="{8E6C82D6-72B0-4818-84A5-1E39A74E782A}"/>
    <cellStyle name="Normal 2 3 3 2 2 10" xfId="28030" xr:uid="{34922124-7902-407D-9EBC-E11A25F5016D}"/>
    <cellStyle name="Normal 2 3 3 2 2 11" xfId="28031" xr:uid="{660ED8ED-7BC3-4FD7-A1F3-E94EB912E812}"/>
    <cellStyle name="Normal 2 3 3 2 2 2" xfId="28032" xr:uid="{0CB9A945-4779-49D0-8804-0A4BAFC3BF66}"/>
    <cellStyle name="Normal 2 3 3 2 2 2 10" xfId="28033" xr:uid="{A1193CCC-1641-489A-BC06-835CBD985FDC}"/>
    <cellStyle name="Normal 2 3 3 2 2 2 11" xfId="28034" xr:uid="{6C8CD9BD-163C-4BE6-AB8A-4960B1497502}"/>
    <cellStyle name="Normal 2 3 3 2 2 2 12" xfId="28035" xr:uid="{EBDEC795-FE0D-4E6E-BBC6-F88E65A55ED7}"/>
    <cellStyle name="Normal 2 3 3 2 2 2 2" xfId="28036" xr:uid="{A1E24843-E6E7-4F3D-81EC-DF1A25869BCC}"/>
    <cellStyle name="Normal 2 3 3 2 2 2 2 2" xfId="28037" xr:uid="{E096B0CD-D3BC-4C34-915D-ECA7DE6C412E}"/>
    <cellStyle name="Normal 2 3 3 2 2 2 2 2 2" xfId="28038" xr:uid="{35B8762E-8726-4B79-B4FD-B000CF2233BE}"/>
    <cellStyle name="Normal 2 3 3 2 2 2 2 2 3" xfId="28039" xr:uid="{7C84F1FE-C4FF-4E73-80FD-E1E599509675}"/>
    <cellStyle name="Normal 2 3 3 2 2 2 2 2 4" xfId="28040" xr:uid="{9A7EE63E-0C3E-4501-BDAD-453810396C5C}"/>
    <cellStyle name="Normal 2 3 3 2 2 2 2 2 5" xfId="28041" xr:uid="{063DB1BB-E060-403E-870B-5348EA55AC1E}"/>
    <cellStyle name="Normal 2 3 3 2 2 2 2 3" xfId="28042" xr:uid="{E1476612-DCD6-43E8-9A7B-EF9211EBE1EE}"/>
    <cellStyle name="Normal 2 3 3 2 2 2 2 4" xfId="28043" xr:uid="{AD73D69D-AE4E-498A-B9AF-B2DA756DC4C7}"/>
    <cellStyle name="Normal 2 3 3 2 2 2 2 5" xfId="28044" xr:uid="{0D192D08-F673-4804-8D5A-86607D4C9E28}"/>
    <cellStyle name="Normal 2 3 3 2 2 2 3" xfId="28045" xr:uid="{FF27D694-C433-4951-9901-7417A59A80BE}"/>
    <cellStyle name="Normal 2 3 3 2 2 2 4" xfId="28046" xr:uid="{E6DA49C6-B868-40D8-A9D8-34B936B606AF}"/>
    <cellStyle name="Normal 2 3 3 2 2 2 5" xfId="28047" xr:uid="{F1560109-8612-4473-887F-75AE2AFAC772}"/>
    <cellStyle name="Normal 2 3 3 2 2 2 5 2" xfId="28048" xr:uid="{836BFDD8-E2F8-46EE-9D3C-CE8E532126E1}"/>
    <cellStyle name="Normal 2 3 3 2 2 2 5 3" xfId="28049" xr:uid="{78B097A1-FA10-45C9-9AB9-65F31BC27C3E}"/>
    <cellStyle name="Normal 2 3 3 2 2 2 5 4" xfId="28050" xr:uid="{ED5136E4-736E-47AE-8C31-C2AF44323EFD}"/>
    <cellStyle name="Normal 2 3 3 2 2 2 5 5" xfId="28051" xr:uid="{E947F87D-C65B-487A-B457-76AC2DDF9AFC}"/>
    <cellStyle name="Normal 2 3 3 2 2 2 6" xfId="28052" xr:uid="{DA87FD80-2024-4ABD-B6D6-27DB471B5EE0}"/>
    <cellStyle name="Normal 2 3 3 2 2 2 7" xfId="28053" xr:uid="{E0209D72-FACE-4432-BF10-8C07B743A993}"/>
    <cellStyle name="Normal 2 3 3 2 2 2 8" xfId="28054" xr:uid="{31CBA1F3-1655-44A7-941C-C1FF6DA30EFD}"/>
    <cellStyle name="Normal 2 3 3 2 2 2 9" xfId="28055" xr:uid="{04C83B69-5098-41DA-A41E-2F78B7B9DF1B}"/>
    <cellStyle name="Normal 2 3 3 2 2 3" xfId="28056" xr:uid="{DE40D0E5-D6BB-46F4-A0A7-E9F763D2C657}"/>
    <cellStyle name="Normal 2 3 3 2 2 3 2" xfId="28057" xr:uid="{43316293-7358-466F-BB19-83F5EE8A57E7}"/>
    <cellStyle name="Normal 2 3 3 2 2 3 2 2" xfId="28058" xr:uid="{96918F40-9B52-4462-AFB6-B0423CEA3976}"/>
    <cellStyle name="Normal 2 3 3 2 2 3 2 3" xfId="28059" xr:uid="{8555E830-D221-4CDC-AE1D-1388C9E0E49D}"/>
    <cellStyle name="Normal 2 3 3 2 2 3 2 4" xfId="28060" xr:uid="{96B9CE2C-BA50-432F-872D-1D48D2C94B91}"/>
    <cellStyle name="Normal 2 3 3 2 2 3 2 5" xfId="28061" xr:uid="{3D5D5717-60AF-4738-B405-A27FA01D860A}"/>
    <cellStyle name="Normal 2 3 3 2 2 3 3" xfId="28062" xr:uid="{483BA402-D5A7-44F9-9249-77BF72E90782}"/>
    <cellStyle name="Normal 2 3 3 2 2 3 4" xfId="28063" xr:uid="{73C38155-2A30-4251-82E0-847E81DB4DF6}"/>
    <cellStyle name="Normal 2 3 3 2 2 3 5" xfId="28064" xr:uid="{22ED209B-7FEE-4866-89E6-5745C44879EB}"/>
    <cellStyle name="Normal 2 3 3 2 2 3 6" xfId="28065" xr:uid="{25AE75CC-95C2-4E50-BE1B-94F03F0A1E64}"/>
    <cellStyle name="Normal 2 3 3 2 2 4" xfId="28066" xr:uid="{1CA1517C-7417-4BF4-8DC1-6D7C0E6D1428}"/>
    <cellStyle name="Normal 2 3 3 2 2 4 2" xfId="28067" xr:uid="{B673ECF6-0CDD-4106-8AC2-4F956D5950B3}"/>
    <cellStyle name="Normal 2 3 3 2 2 4 2 2" xfId="28068" xr:uid="{CA8210B7-1EB3-4F61-AEC2-FD4A60EBD1BF}"/>
    <cellStyle name="Normal 2 3 3 2 2 4 2 3" xfId="28069" xr:uid="{9888A32B-B24E-4579-B558-0F7DAA54439C}"/>
    <cellStyle name="Normal 2 3 3 2 2 4 2 4" xfId="28070" xr:uid="{C5B3B735-D104-4D09-AB2B-5FA89B7A45F7}"/>
    <cellStyle name="Normal 2 3 3 2 2 4 2 5" xfId="28071" xr:uid="{A97DEB5B-E909-4DD7-871F-274B52F16AFA}"/>
    <cellStyle name="Normal 2 3 3 2 2 4 3" xfId="28072" xr:uid="{55ED82E7-5911-41EB-89DA-FE40C0ED9000}"/>
    <cellStyle name="Normal 2 3 3 2 2 4 4" xfId="28073" xr:uid="{FABDEAF1-8A06-4C94-9053-5F7D0F08DF9E}"/>
    <cellStyle name="Normal 2 3 3 2 2 4 5" xfId="28074" xr:uid="{1B7A785B-028A-4412-8A91-0BEFE85F08BF}"/>
    <cellStyle name="Normal 2 3 3 2 2 4 6" xfId="28075" xr:uid="{05C03112-7EF2-47DC-A553-95F68E1D1132}"/>
    <cellStyle name="Normal 2 3 3 2 2 5" xfId="28076" xr:uid="{1EF13AA3-6D8A-4C2F-B496-C48C5324B0BB}"/>
    <cellStyle name="Normal 2 3 3 2 2 5 2" xfId="28077" xr:uid="{E3F50974-617B-4477-8DE5-89CD1BFD82ED}"/>
    <cellStyle name="Normal 2 3 3 2 2 5 3" xfId="28078" xr:uid="{19283CA0-C114-46C8-99AF-3760FD8A2FE7}"/>
    <cellStyle name="Normal 2 3 3 2 2 5 4" xfId="28079" xr:uid="{19CCAC9C-4291-4C64-BC19-3F32636214E2}"/>
    <cellStyle name="Normal 2 3 3 2 2 5 5" xfId="28080" xr:uid="{9261351B-5F16-44E3-BFFA-DB8B2191761B}"/>
    <cellStyle name="Normal 2 3 3 2 2 6" xfId="28081" xr:uid="{2D9DB9C9-8E1C-45D1-AACE-CE2E4422EC76}"/>
    <cellStyle name="Normal 2 3 3 2 2 6 2" xfId="28082" xr:uid="{305F5366-7DF9-4353-84A3-F4BF88072DA4}"/>
    <cellStyle name="Normal 2 3 3 2 2 6 3" xfId="28083" xr:uid="{6FEED9E8-3D0A-40FA-AABB-382A4985827D}"/>
    <cellStyle name="Normal 2 3 3 2 2 6 4" xfId="28084" xr:uid="{5D3C8216-94C5-414F-A5A7-A8AF4AF32FC7}"/>
    <cellStyle name="Normal 2 3 3 2 2 6 5" xfId="28085" xr:uid="{59389B05-E31F-4306-BE1F-9DB4F1ECC751}"/>
    <cellStyle name="Normal 2 3 3 2 2 7" xfId="28086" xr:uid="{A24245C2-5FC4-45C3-A960-096658D3CB4C}"/>
    <cellStyle name="Normal 2 3 3 2 2 7 2" xfId="28087" xr:uid="{CEDAAE63-7E35-46AB-938A-1BF0F24CA027}"/>
    <cellStyle name="Normal 2 3 3 2 2 7 3" xfId="28088" xr:uid="{B3A3ADD4-AE55-4AF1-B6F2-8B73DE8D7796}"/>
    <cellStyle name="Normal 2 3 3 2 2 7 4" xfId="28089" xr:uid="{FF4F53E2-9FB2-480C-9B2F-8ED0464AA198}"/>
    <cellStyle name="Normal 2 3 3 2 2 7 5" xfId="28090" xr:uid="{76F15D33-BE10-41EE-B09E-D29918171B9C}"/>
    <cellStyle name="Normal 2 3 3 2 2 8" xfId="28091" xr:uid="{361D7490-440F-40FA-9802-394204B4D2C4}"/>
    <cellStyle name="Normal 2 3 3 2 2 9" xfId="28092" xr:uid="{7270FD19-5508-4A27-BEE2-07A33ADE7A08}"/>
    <cellStyle name="Normal 2 3 3 2 3" xfId="28093" xr:uid="{BB6DDF6E-7925-495F-B10E-0C0349756D73}"/>
    <cellStyle name="Normal 2 3 3 2 3 2" xfId="28094" xr:uid="{74D19762-CEBF-485D-B182-84C41699B88C}"/>
    <cellStyle name="Normal 2 3 3 2 3 2 2" xfId="28095" xr:uid="{349AECB0-E908-488B-A8D1-560C3E16339B}"/>
    <cellStyle name="Normal 2 3 3 2 3 2 3" xfId="28096" xr:uid="{2CCA32F0-BBE4-464D-A339-E6AD0FD473E6}"/>
    <cellStyle name="Normal 2 3 3 2 3 2 4" xfId="28097" xr:uid="{4118D268-5F7A-4904-B749-039100DC1FC8}"/>
    <cellStyle name="Normal 2 3 3 2 3 2 5" xfId="28098" xr:uid="{380EA13A-021D-4719-8F84-7C1D3AE3CE5C}"/>
    <cellStyle name="Normal 2 3 3 2 3 3" xfId="28099" xr:uid="{FCAB6D70-B754-4DF7-87FA-CC0121D219D7}"/>
    <cellStyle name="Normal 2 3 3 2 3 4" xfId="28100" xr:uid="{A248C5CB-15AF-4E37-A4AD-DBB0F6D06E5D}"/>
    <cellStyle name="Normal 2 3 3 2 3 5" xfId="28101" xr:uid="{01AE2D13-F708-49CE-9FC7-56B4DCD86947}"/>
    <cellStyle name="Normal 2 3 3 2 4" xfId="28102" xr:uid="{139A5D8B-BEF4-4FD1-87EB-3986216D622C}"/>
    <cellStyle name="Normal 2 3 3 2 5" xfId="28103" xr:uid="{3834B5C1-DA4F-4A2C-BD5F-F74932BEEDCE}"/>
    <cellStyle name="Normal 2 3 3 2 6" xfId="28104" xr:uid="{E096762F-ACCD-405A-AD8D-4C152E242666}"/>
    <cellStyle name="Normal 2 3 3 2 6 2" xfId="28105" xr:uid="{5D9E4970-E36D-40FD-8540-F0B3CA658B70}"/>
    <cellStyle name="Normal 2 3 3 2 6 3" xfId="28106" xr:uid="{3DC7196D-0481-44D0-87EC-043405867485}"/>
    <cellStyle name="Normal 2 3 3 2 6 4" xfId="28107" xr:uid="{3FE87B7E-3E12-4D0C-96A4-BA708AC90385}"/>
    <cellStyle name="Normal 2 3 3 2 6 5" xfId="28108" xr:uid="{4EF423B4-FBEB-4DCD-9EB8-EA3D653392B2}"/>
    <cellStyle name="Normal 2 3 3 2 7" xfId="28109" xr:uid="{9D010BD5-F837-4015-A173-3AC7BB1EB9B2}"/>
    <cellStyle name="Normal 2 3 3 2 8" xfId="28110" xr:uid="{500017DC-A318-4C4A-99B3-995D56598FF4}"/>
    <cellStyle name="Normal 2 3 3 2 9" xfId="28111" xr:uid="{7F1C37FD-E345-4F59-9124-D0638D6220B1}"/>
    <cellStyle name="Normal 2 3 3 3" xfId="28112" xr:uid="{B1668E86-5769-47EB-A1FA-624A3EE13BEF}"/>
    <cellStyle name="Normal 2 3 3 3 10" xfId="28113" xr:uid="{29D51E5A-EA48-4276-B48E-2E841E977257}"/>
    <cellStyle name="Normal 2 3 3 3 11" xfId="28114" xr:uid="{472EC463-B967-49F4-BC33-75804B2EA814}"/>
    <cellStyle name="Normal 2 3 3 3 12" xfId="28115" xr:uid="{AF2FFB2F-3B77-44FE-A102-405E578E3785}"/>
    <cellStyle name="Normal 2 3 3 3 2" xfId="28116" xr:uid="{01D8C143-0FAB-4EA5-B29F-C9DE224F507B}"/>
    <cellStyle name="Normal 2 3 3 3 2 2" xfId="28117" xr:uid="{2057C87C-BCA7-48A6-9DED-6B06212801A6}"/>
    <cellStyle name="Normal 2 3 3 3 2 2 2" xfId="28118" xr:uid="{C8F49B3D-D81D-483A-A5B3-9E2EF9B48B85}"/>
    <cellStyle name="Normal 2 3 3 3 2 2 3" xfId="28119" xr:uid="{41E64174-05E6-4E12-A739-B6D84A8B716D}"/>
    <cellStyle name="Normal 2 3 3 3 2 2 4" xfId="28120" xr:uid="{4C998AB5-FC9B-45E2-8B73-1A310494F75B}"/>
    <cellStyle name="Normal 2 3 3 3 2 2 5" xfId="28121" xr:uid="{AB1F8FB4-6FFE-4B0F-9368-0F80D7E21C86}"/>
    <cellStyle name="Normal 2 3 3 3 2 3" xfId="28122" xr:uid="{D67E92A7-B363-48F4-B1A8-90F1E5458099}"/>
    <cellStyle name="Normal 2 3 3 3 2 4" xfId="28123" xr:uid="{2BFE9030-8499-4A64-85BE-A3899C7A776D}"/>
    <cellStyle name="Normal 2 3 3 3 2 5" xfId="28124" xr:uid="{3A681C1B-942E-4394-A767-29F9D84A923B}"/>
    <cellStyle name="Normal 2 3 3 3 3" xfId="28125" xr:uid="{6D8576A5-D0FD-47E3-A17B-5CB91009458C}"/>
    <cellStyle name="Normal 2 3 3 3 4" xfId="28126" xr:uid="{B818070E-2B2F-49DF-B821-8F5346113E25}"/>
    <cellStyle name="Normal 2 3 3 3 5" xfId="28127" xr:uid="{88DFDCDB-3F72-4BA3-8B10-28090C3615A2}"/>
    <cellStyle name="Normal 2 3 3 3 5 2" xfId="28128" xr:uid="{5FCCF379-D7AA-4AA8-838F-7347D242E060}"/>
    <cellStyle name="Normal 2 3 3 3 5 3" xfId="28129" xr:uid="{4054CB1D-9D37-43CB-B81B-4F8377D4C79E}"/>
    <cellStyle name="Normal 2 3 3 3 5 4" xfId="28130" xr:uid="{20CF70EC-FDB5-4E6D-A252-EA61D7B883E4}"/>
    <cellStyle name="Normal 2 3 3 3 5 5" xfId="28131" xr:uid="{6853814F-9E94-49B3-AD5A-0B45FD24A882}"/>
    <cellStyle name="Normal 2 3 3 3 6" xfId="28132" xr:uid="{18E01303-F6B9-4E14-8DF3-3D2D8A66B3CD}"/>
    <cellStyle name="Normal 2 3 3 3 7" xfId="28133" xr:uid="{0F5566E7-2D77-4E29-8B96-E2A056F514AD}"/>
    <cellStyle name="Normal 2 3 3 3 8" xfId="28134" xr:uid="{6F7E935F-5557-45EF-8FE2-33259C87E089}"/>
    <cellStyle name="Normal 2 3 3 3 9" xfId="28135" xr:uid="{7ACA5486-273A-4C83-8357-BFCD59957C04}"/>
    <cellStyle name="Normal 2 3 3 4" xfId="28136" xr:uid="{DD89B747-CDFA-4DA5-B492-6A43196F0FD8}"/>
    <cellStyle name="Normal 2 3 3 4 2" xfId="28137" xr:uid="{0C1FD2B6-8C55-45F9-8181-1B39F93A38A2}"/>
    <cellStyle name="Normal 2 3 3 4 2 2" xfId="28138" xr:uid="{B723ABF4-1772-4902-8E9E-C4FADF52BC87}"/>
    <cellStyle name="Normal 2 3 3 4 2 3" xfId="28139" xr:uid="{7EEA0FDD-7D22-4288-9CD6-AC7AB20CC701}"/>
    <cellStyle name="Normal 2 3 3 4 2 4" xfId="28140" xr:uid="{13E0561C-66BB-495D-BAE3-BBF26936E521}"/>
    <cellStyle name="Normal 2 3 3 4 2 5" xfId="28141" xr:uid="{3E1CAF88-B193-4274-A6B3-C7CA3A68FC28}"/>
    <cellStyle name="Normal 2 3 3 4 3" xfId="28142" xr:uid="{A676D9AF-49BF-474F-A43B-34E4FE94C32C}"/>
    <cellStyle name="Normal 2 3 3 4 4" xfId="28143" xr:uid="{77369CBA-77ED-4559-B83A-A70179850D8C}"/>
    <cellStyle name="Normal 2 3 3 4 5" xfId="28144" xr:uid="{DFB6E1C1-6A14-4C05-A096-EAAC57889A49}"/>
    <cellStyle name="Normal 2 3 3 4 6" xfId="28145" xr:uid="{0122FFEA-D4E4-46BF-A28C-5E25E133227B}"/>
    <cellStyle name="Normal 2 3 3 5" xfId="28146" xr:uid="{4DE2600F-FD90-48A1-B1C8-2AB0CBA2DA47}"/>
    <cellStyle name="Normal 2 3 3 5 2" xfId="28147" xr:uid="{33A7449E-D546-45EA-A3AE-41DC86E59738}"/>
    <cellStyle name="Normal 2 3 3 5 2 2" xfId="28148" xr:uid="{93930E93-57DE-49F5-ADB6-3FFF46DAB581}"/>
    <cellStyle name="Normal 2 3 3 5 2 3" xfId="28149" xr:uid="{5A809A5B-C633-4079-967E-55643A0D4A3B}"/>
    <cellStyle name="Normal 2 3 3 5 2 4" xfId="28150" xr:uid="{8D890B6E-E061-433D-81AE-3B0A6F47E978}"/>
    <cellStyle name="Normal 2 3 3 5 2 5" xfId="28151" xr:uid="{C567AF7D-EF31-47AD-8CDC-899CFBE8F4FF}"/>
    <cellStyle name="Normal 2 3 3 5 3" xfId="28152" xr:uid="{DED87FD7-A4B3-46B7-8A24-FE665481CB2B}"/>
    <cellStyle name="Normal 2 3 3 5 4" xfId="28153" xr:uid="{9BBD396B-2FDD-4938-B690-097695922501}"/>
    <cellStyle name="Normal 2 3 3 5 5" xfId="28154" xr:uid="{B3324CEF-DEC9-43D9-AAD3-913EF7FF56EC}"/>
    <cellStyle name="Normal 2 3 3 5 6" xfId="28155" xr:uid="{8AE6AB8B-FEB2-4B12-83C0-321E3F3DF13D}"/>
    <cellStyle name="Normal 2 3 3 6" xfId="28156" xr:uid="{BAD7B0C4-4808-4B05-8F1D-267AE2F8A2F8}"/>
    <cellStyle name="Normal 2 3 3 6 2" xfId="28157" xr:uid="{9B730F3A-B602-4504-8807-31F2F1A57F3F}"/>
    <cellStyle name="Normal 2 3 3 6 3" xfId="28158" xr:uid="{E6C28053-8A9A-4294-8620-61EDFE93F106}"/>
    <cellStyle name="Normal 2 3 3 6 4" xfId="28159" xr:uid="{7A3EF5F8-7C44-4642-8FED-4CE85C67C7C3}"/>
    <cellStyle name="Normal 2 3 3 6 5" xfId="28160" xr:uid="{26DCAE2A-6042-4584-958C-CB5B10748ACF}"/>
    <cellStyle name="Normal 2 3 3 7" xfId="28161" xr:uid="{2BACE6D2-E3C0-4C29-A4C8-D1D0B8931766}"/>
    <cellStyle name="Normal 2 3 3 7 2" xfId="28162" xr:uid="{F233CF57-0A1E-40EE-9138-B4CF274E6B3A}"/>
    <cellStyle name="Normal 2 3 3 7 3" xfId="28163" xr:uid="{7878CB6D-9B1D-48AA-B636-D30E42BCD91A}"/>
    <cellStyle name="Normal 2 3 3 7 4" xfId="28164" xr:uid="{E295A88E-7550-445F-B689-18F74D762F9B}"/>
    <cellStyle name="Normal 2 3 3 7 5" xfId="28165" xr:uid="{972AA49D-0791-4B15-842A-04CF98B56CCA}"/>
    <cellStyle name="Normal 2 3 3 8" xfId="28166" xr:uid="{FA6B93E8-58EB-4312-ACBC-DA8DD917F2C3}"/>
    <cellStyle name="Normal 2 3 3 8 2" xfId="28167" xr:uid="{28DB49D6-D862-457F-93C2-DEC638A5E0F6}"/>
    <cellStyle name="Normal 2 3 3 8 3" xfId="28168" xr:uid="{7EF27E8A-DFCD-4E39-B598-307361EE58EC}"/>
    <cellStyle name="Normal 2 3 3 8 4" xfId="28169" xr:uid="{C9B01A09-DBF5-42A9-879C-CC6FED72E2C3}"/>
    <cellStyle name="Normal 2 3 3 8 5" xfId="28170" xr:uid="{7170A8B8-C13E-40E2-A83E-ADD1E0B7AF15}"/>
    <cellStyle name="Normal 2 3 3 9" xfId="28171" xr:uid="{57079E52-8207-4524-9972-CEC5E4E0C449}"/>
    <cellStyle name="Normal 2 3 4" xfId="28172" xr:uid="{0767E658-C594-4ECD-897C-BEE14EC6A388}"/>
    <cellStyle name="Normal 2 3 5" xfId="28173" xr:uid="{31599630-3417-4BFB-B0BE-118669D43CD7}"/>
    <cellStyle name="Normal 2 3 6" xfId="28174" xr:uid="{2CF8298E-2F01-4885-9F13-288C9857B6A0}"/>
    <cellStyle name="Normal 2 3 6 10" xfId="28175" xr:uid="{089F091F-1621-4373-A1CF-2715143505AA}"/>
    <cellStyle name="Normal 2 3 6 10 2" xfId="28176" xr:uid="{CE3245EF-2028-45D5-85F3-57920E369BF3}"/>
    <cellStyle name="Normal 2 3 6 10 3" xfId="28177" xr:uid="{B2008393-32C7-494F-AABC-F758BAE2F094}"/>
    <cellStyle name="Normal 2 3 6 10 4" xfId="28178" xr:uid="{89C73A30-9C13-4805-9A92-DB4F1994CF6A}"/>
    <cellStyle name="Normal 2 3 6 10 5" xfId="28179" xr:uid="{74C8EA14-828D-4F52-88BE-6BD62C2202B1}"/>
    <cellStyle name="Normal 2 3 6 11" xfId="28180" xr:uid="{C17C48B4-2C24-40A6-AEEE-E09CC0286489}"/>
    <cellStyle name="Normal 2 3 6 12" xfId="28181" xr:uid="{8C5AA842-11D5-4CE1-B73F-98D68F28DFE9}"/>
    <cellStyle name="Normal 2 3 6 13" xfId="28182" xr:uid="{C0F4100B-9433-4B9D-B95F-975EC732C39D}"/>
    <cellStyle name="Normal 2 3 6 14" xfId="28183" xr:uid="{8940C913-8BAB-412F-94E9-C6A8CAF5D22F}"/>
    <cellStyle name="Normal 2 3 6 2" xfId="28184" xr:uid="{3D80099E-B730-4294-A581-4B7BB73CD95C}"/>
    <cellStyle name="Normal 2 3 6 2 10" xfId="28185" xr:uid="{48EE6CB4-DE5C-4CBF-845D-DD6D1C9E8078}"/>
    <cellStyle name="Normal 2 3 6 2 11" xfId="28186" xr:uid="{3276C21D-5E36-4A50-B3A2-254337D64DCF}"/>
    <cellStyle name="Normal 2 3 6 2 12" xfId="28187" xr:uid="{2EC43C9C-180F-420E-A159-7B3825485F5C}"/>
    <cellStyle name="Normal 2 3 6 2 13" xfId="28188" xr:uid="{026A311F-A4D3-4DE3-B29C-54C3DE69DF4A}"/>
    <cellStyle name="Normal 2 3 6 2 2" xfId="28189" xr:uid="{CBA4F487-39B4-44DA-A1D5-FC7C51AC3DA6}"/>
    <cellStyle name="Normal 2 3 6 2 2 10" xfId="28190" xr:uid="{2C8FF8C0-5B6B-48D3-AD0E-CD0B892ECAEC}"/>
    <cellStyle name="Normal 2 3 6 2 2 11" xfId="28191" xr:uid="{4911825C-CAB8-4BD4-B751-B214B66D6D8D}"/>
    <cellStyle name="Normal 2 3 6 2 2 12" xfId="28192" xr:uid="{8BF5D412-C218-4462-BC78-CCAF0C8CC4DA}"/>
    <cellStyle name="Normal 2 3 6 2 2 2" xfId="28193" xr:uid="{D2679573-53C8-4192-AF20-716E2D9E685F}"/>
    <cellStyle name="Normal 2 3 6 2 2 2 2" xfId="28194" xr:uid="{0E840B12-530B-4773-A841-237AE691A0AF}"/>
    <cellStyle name="Normal 2 3 6 2 2 2 2 2" xfId="28195" xr:uid="{1C745A6C-ACF2-4FDB-B53A-CFB4C0F288BD}"/>
    <cellStyle name="Normal 2 3 6 2 2 2 2 3" xfId="28196" xr:uid="{2EACCBD3-C2FC-4270-8531-6C380D8473F9}"/>
    <cellStyle name="Normal 2 3 6 2 2 2 2 4" xfId="28197" xr:uid="{0484CF63-88A5-4CA9-BBD7-1CC1AA03CC40}"/>
    <cellStyle name="Normal 2 3 6 2 2 2 2 5" xfId="28198" xr:uid="{C13728DD-8629-42DC-A117-0E31CD46D6ED}"/>
    <cellStyle name="Normal 2 3 6 2 2 2 3" xfId="28199" xr:uid="{C8A76C2F-B71E-4855-B3F3-E371FCB780E4}"/>
    <cellStyle name="Normal 2 3 6 2 2 2 4" xfId="28200" xr:uid="{E31B3DCE-65D0-43BB-9D57-387643E11CFC}"/>
    <cellStyle name="Normal 2 3 6 2 2 2 5" xfId="28201" xr:uid="{2A45A534-4DDD-47CA-9332-0A6885CF4FEB}"/>
    <cellStyle name="Normal 2 3 6 2 2 2 6" xfId="28202" xr:uid="{D300021A-9BAA-40DD-9629-3E3C67EE7504}"/>
    <cellStyle name="Normal 2 3 6 2 2 3" xfId="28203" xr:uid="{CE273E63-A8DA-4BAE-B5FF-5C66419BF57E}"/>
    <cellStyle name="Normal 2 3 6 2 2 3 2" xfId="28204" xr:uid="{D5EFBEDA-7426-407E-B008-FB4AF1241739}"/>
    <cellStyle name="Normal 2 3 6 2 2 3 2 2" xfId="28205" xr:uid="{F19A9E63-52FB-4CE0-A05B-D3ADD7F5C63A}"/>
    <cellStyle name="Normal 2 3 6 2 2 3 2 3" xfId="28206" xr:uid="{512D66B4-EE5F-4CF7-A0CE-1E142E500CDB}"/>
    <cellStyle name="Normal 2 3 6 2 2 3 2 4" xfId="28207" xr:uid="{214E27AC-2E65-4CF7-A9B7-DA220868A504}"/>
    <cellStyle name="Normal 2 3 6 2 2 3 2 5" xfId="28208" xr:uid="{7ACC5E32-6D6D-40F1-9121-4060FA690778}"/>
    <cellStyle name="Normal 2 3 6 2 2 3 3" xfId="28209" xr:uid="{22EA5648-FE50-4C82-B382-A607570FC3BD}"/>
    <cellStyle name="Normal 2 3 6 2 2 3 4" xfId="28210" xr:uid="{20160DC8-75DD-42E1-BE2A-367B592BA072}"/>
    <cellStyle name="Normal 2 3 6 2 2 3 5" xfId="28211" xr:uid="{D3FCB32C-C868-411E-8B2B-45780F5CE25A}"/>
    <cellStyle name="Normal 2 3 6 2 2 3 6" xfId="28212" xr:uid="{DBFCC13C-C2F8-473A-AAB6-F4C7984B389C}"/>
    <cellStyle name="Normal 2 3 6 2 2 4" xfId="28213" xr:uid="{246F4005-BF99-4236-8670-F91042738145}"/>
    <cellStyle name="Normal 2 3 6 2 2 4 2" xfId="28214" xr:uid="{4B4965DD-3757-43A0-8224-D436E0546E2E}"/>
    <cellStyle name="Normal 2 3 6 2 2 4 2 2" xfId="28215" xr:uid="{A5AAEB6A-B7CF-4B2A-A611-1AFAAD2804CF}"/>
    <cellStyle name="Normal 2 3 6 2 2 4 2 3" xfId="28216" xr:uid="{53C20665-F4C6-4DEF-9577-199967650DCF}"/>
    <cellStyle name="Normal 2 3 6 2 2 4 2 4" xfId="28217" xr:uid="{0B9E5E50-72EC-4550-8F25-2F36A0194BBE}"/>
    <cellStyle name="Normal 2 3 6 2 2 4 2 5" xfId="28218" xr:uid="{807557D1-C8B5-4E5B-9FA9-50C3A866486B}"/>
    <cellStyle name="Normal 2 3 6 2 2 4 3" xfId="28219" xr:uid="{304C18D8-1047-4930-85C4-9040058A8872}"/>
    <cellStyle name="Normal 2 3 6 2 2 4 4" xfId="28220" xr:uid="{E537292E-C54E-4017-978B-9CD55DA74E64}"/>
    <cellStyle name="Normal 2 3 6 2 2 4 5" xfId="28221" xr:uid="{0BEDAA57-8364-409E-BBF5-3417F3378A8F}"/>
    <cellStyle name="Normal 2 3 6 2 2 4 6" xfId="28222" xr:uid="{66E7FAC9-5BD2-49D8-9B0C-5368A1DC5EBD}"/>
    <cellStyle name="Normal 2 3 6 2 2 5" xfId="28223" xr:uid="{C705FBBC-A4D4-4E6D-8B1B-7CC65EAFF2EE}"/>
    <cellStyle name="Normal 2 3 6 2 2 5 2" xfId="28224" xr:uid="{A37ADE56-AA7E-42E4-81EF-D9E2CBAC9A65}"/>
    <cellStyle name="Normal 2 3 6 2 2 5 3" xfId="28225" xr:uid="{F38A26E1-7BE2-42EC-BE21-2AC354C4A1AD}"/>
    <cellStyle name="Normal 2 3 6 2 2 5 4" xfId="28226" xr:uid="{8B836357-FEC2-4B73-8AD7-3B1178437538}"/>
    <cellStyle name="Normal 2 3 6 2 2 5 5" xfId="28227" xr:uid="{4F03EAB0-33C4-4F8E-AC71-00967728F811}"/>
    <cellStyle name="Normal 2 3 6 2 2 6" xfId="28228" xr:uid="{C77A7BC4-B4F5-42DB-857A-CF32F8D2D90F}"/>
    <cellStyle name="Normal 2 3 6 2 2 6 2" xfId="28229" xr:uid="{743D8189-1F14-49C6-B39D-FB946EE7F6A9}"/>
    <cellStyle name="Normal 2 3 6 2 2 6 3" xfId="28230" xr:uid="{0719A1B1-4DA9-40A3-B60A-245A50269361}"/>
    <cellStyle name="Normal 2 3 6 2 2 6 4" xfId="28231" xr:uid="{97351631-1529-498E-8067-F62764198D84}"/>
    <cellStyle name="Normal 2 3 6 2 2 6 5" xfId="28232" xr:uid="{85C9DD61-1BD2-42F3-A9CD-E14EEA25E8AE}"/>
    <cellStyle name="Normal 2 3 6 2 2 7" xfId="28233" xr:uid="{C4D562C3-41DA-4625-B409-7CD4102A5273}"/>
    <cellStyle name="Normal 2 3 6 2 2 7 2" xfId="28234" xr:uid="{CCA59085-EC9D-42BA-A59F-36B4F6F62FE5}"/>
    <cellStyle name="Normal 2 3 6 2 2 7 3" xfId="28235" xr:uid="{B4201366-2036-42E2-AB68-60683CC5FED1}"/>
    <cellStyle name="Normal 2 3 6 2 2 7 4" xfId="28236" xr:uid="{36FFC83F-CA14-4FCE-A27D-44F7416F965A}"/>
    <cellStyle name="Normal 2 3 6 2 2 7 5" xfId="28237" xr:uid="{548C403F-E489-49FF-9D73-19E041922A13}"/>
    <cellStyle name="Normal 2 3 6 2 2 8" xfId="28238" xr:uid="{63EAF36A-08ED-44EE-9998-33983F621052}"/>
    <cellStyle name="Normal 2 3 6 2 2 8 2" xfId="28239" xr:uid="{7825FA11-ADD5-4848-8F9C-7B22008EB246}"/>
    <cellStyle name="Normal 2 3 6 2 2 8 3" xfId="28240" xr:uid="{EE79D2F7-8711-4470-983A-E60BD4DD6DA2}"/>
    <cellStyle name="Normal 2 3 6 2 2 8 4" xfId="28241" xr:uid="{DDA83AA4-0415-42D9-8946-47A394A2DDC4}"/>
    <cellStyle name="Normal 2 3 6 2 2 8 5" xfId="28242" xr:uid="{F954152B-9430-48B2-B2CD-FACEA68269AE}"/>
    <cellStyle name="Normal 2 3 6 2 2 9" xfId="28243" xr:uid="{9FB76AE1-2B1A-4D20-A88C-CDDC4FD769ED}"/>
    <cellStyle name="Normal 2 3 6 2 3" xfId="28244" xr:uid="{7F2B6C39-B27C-4A08-AD5A-C0318B14A8E0}"/>
    <cellStyle name="Normal 2 3 6 2 3 2" xfId="28245" xr:uid="{7ED274DA-9505-43D1-9A47-D70EB0F30AFE}"/>
    <cellStyle name="Normal 2 3 6 2 3 2 2" xfId="28246" xr:uid="{0DDF1BBA-A8FE-43BF-A312-37318F418EEB}"/>
    <cellStyle name="Normal 2 3 6 2 3 2 3" xfId="28247" xr:uid="{904233E0-7657-47B1-BA25-E4930F821E6A}"/>
    <cellStyle name="Normal 2 3 6 2 3 2 4" xfId="28248" xr:uid="{D2F9DC00-E2C4-40AF-9F21-6D61CAE107D1}"/>
    <cellStyle name="Normal 2 3 6 2 3 2 5" xfId="28249" xr:uid="{D4935BB0-94C4-433E-B9DE-ED9A6D531B65}"/>
    <cellStyle name="Normal 2 3 6 2 3 3" xfId="28250" xr:uid="{407844CD-4DE3-47DB-8C99-2CC5A1715844}"/>
    <cellStyle name="Normal 2 3 6 2 3 4" xfId="28251" xr:uid="{4D6F196F-CE25-43C4-98F1-E1582F30337B}"/>
    <cellStyle name="Normal 2 3 6 2 3 5" xfId="28252" xr:uid="{954DD5EE-6852-4D84-9602-ACE0917CFDF0}"/>
    <cellStyle name="Normal 2 3 6 2 3 6" xfId="28253" xr:uid="{4C67A5DA-E1F2-4F16-8098-3D3A689CF895}"/>
    <cellStyle name="Normal 2 3 6 2 4" xfId="28254" xr:uid="{BB18C21F-EBE1-4F77-A44E-F08605D274D6}"/>
    <cellStyle name="Normal 2 3 6 2 4 2" xfId="28255" xr:uid="{676DCBBB-19D7-40F2-B97C-F2273A84CFBB}"/>
    <cellStyle name="Normal 2 3 6 2 4 2 2" xfId="28256" xr:uid="{AD73971B-7120-4A0A-B7E7-D61444412FC7}"/>
    <cellStyle name="Normal 2 3 6 2 4 2 3" xfId="28257" xr:uid="{E125725B-32A3-400A-A66D-CDD20443B9B7}"/>
    <cellStyle name="Normal 2 3 6 2 4 2 4" xfId="28258" xr:uid="{FB16AA44-6461-4CD3-8BB4-95E490C6DF29}"/>
    <cellStyle name="Normal 2 3 6 2 4 2 5" xfId="28259" xr:uid="{4E08651A-7E03-4293-9E90-3FA19A2A65C0}"/>
    <cellStyle name="Normal 2 3 6 2 4 3" xfId="28260" xr:uid="{991790F6-70B6-4E41-B008-C33E4915C9DF}"/>
    <cellStyle name="Normal 2 3 6 2 4 4" xfId="28261" xr:uid="{4C838FF5-920B-48E8-BEC5-B3A919C7B83F}"/>
    <cellStyle name="Normal 2 3 6 2 4 5" xfId="28262" xr:uid="{2AAE3449-EA8D-417F-8A56-E1FEACFCD5AC}"/>
    <cellStyle name="Normal 2 3 6 2 4 6" xfId="28263" xr:uid="{1E09ECE7-A24C-4D2D-895B-9ACC18C15CA5}"/>
    <cellStyle name="Normal 2 3 6 2 5" xfId="28264" xr:uid="{76AF21DB-7E03-421C-B1AF-2C7052F42998}"/>
    <cellStyle name="Normal 2 3 6 2 5 2" xfId="28265" xr:uid="{ADCC9D6C-949B-4FA3-B07C-3EDD118A8F38}"/>
    <cellStyle name="Normal 2 3 6 2 5 2 2" xfId="28266" xr:uid="{FC8D712E-EE61-40B5-AAA0-D73E1DF26DBC}"/>
    <cellStyle name="Normal 2 3 6 2 5 2 3" xfId="28267" xr:uid="{F0537AE3-7871-4BF8-8B60-F625E0B206E5}"/>
    <cellStyle name="Normal 2 3 6 2 5 2 4" xfId="28268" xr:uid="{4E3588DC-A7A5-48F8-ABFD-79243531D046}"/>
    <cellStyle name="Normal 2 3 6 2 5 2 5" xfId="28269" xr:uid="{BEA95FE1-6ED7-40BA-A576-EDA21ECF21CD}"/>
    <cellStyle name="Normal 2 3 6 2 5 3" xfId="28270" xr:uid="{2115EFA1-D5A9-4803-AFD5-6F5EB066C140}"/>
    <cellStyle name="Normal 2 3 6 2 5 4" xfId="28271" xr:uid="{4FF397DE-0B64-4D0A-9123-1A3DDAC6454F}"/>
    <cellStyle name="Normal 2 3 6 2 5 5" xfId="28272" xr:uid="{90DA0885-EC1A-40E8-9963-8E858F8F47C5}"/>
    <cellStyle name="Normal 2 3 6 2 5 6" xfId="28273" xr:uid="{58CFF7B0-841D-4041-AD22-23C2B0C3F350}"/>
    <cellStyle name="Normal 2 3 6 2 6" xfId="28274" xr:uid="{FD74AA14-1DB6-43B5-92C9-FE7AEAE56448}"/>
    <cellStyle name="Normal 2 3 6 2 6 2" xfId="28275" xr:uid="{6FFD7DAB-7C00-40C4-A458-87FDEC2BAEF0}"/>
    <cellStyle name="Normal 2 3 6 2 6 3" xfId="28276" xr:uid="{5772F016-EB8E-467A-B19E-99382F01F59B}"/>
    <cellStyle name="Normal 2 3 6 2 6 4" xfId="28277" xr:uid="{9A443373-3DBF-4534-ABD5-4491A462FFF6}"/>
    <cellStyle name="Normal 2 3 6 2 6 5" xfId="28278" xr:uid="{6B8B8AF9-46F9-4481-BCFF-FEEC877016EC}"/>
    <cellStyle name="Normal 2 3 6 2 7" xfId="28279" xr:uid="{649CBEF8-CBAD-48DD-91FB-511FC67CE272}"/>
    <cellStyle name="Normal 2 3 6 2 7 2" xfId="28280" xr:uid="{94B53668-F408-4D7D-BECC-2DEB782F3D34}"/>
    <cellStyle name="Normal 2 3 6 2 7 3" xfId="28281" xr:uid="{A7F75B94-6EC9-440D-A9D4-DB710C7DD097}"/>
    <cellStyle name="Normal 2 3 6 2 7 4" xfId="28282" xr:uid="{EC0F0889-47EB-40BD-A4C9-7C42360023DB}"/>
    <cellStyle name="Normal 2 3 6 2 7 5" xfId="28283" xr:uid="{6ADF7E00-24CC-4845-8793-B164A0B8272E}"/>
    <cellStyle name="Normal 2 3 6 2 8" xfId="28284" xr:uid="{5FED18BC-F6B8-4DC9-BA7A-2C12EAA24FDD}"/>
    <cellStyle name="Normal 2 3 6 2 8 2" xfId="28285" xr:uid="{7226DD1D-F0C5-4633-B0C3-F3113D6BAE43}"/>
    <cellStyle name="Normal 2 3 6 2 8 3" xfId="28286" xr:uid="{BC30BEE6-7723-48F7-97E9-F049039BCCEA}"/>
    <cellStyle name="Normal 2 3 6 2 8 4" xfId="28287" xr:uid="{40E65561-EAB6-474A-AAEE-BE55F704E8F6}"/>
    <cellStyle name="Normal 2 3 6 2 8 5" xfId="28288" xr:uid="{4105134A-BA42-4C5F-8711-841865719DA3}"/>
    <cellStyle name="Normal 2 3 6 2 9" xfId="28289" xr:uid="{87546F7D-7BA3-4966-8FD5-AD58316C0027}"/>
    <cellStyle name="Normal 2 3 6 2 9 2" xfId="28290" xr:uid="{6A311A6F-E59A-4C70-B323-CEDA7DE53AAA}"/>
    <cellStyle name="Normal 2 3 6 2 9 3" xfId="28291" xr:uid="{CFF4F6A9-E291-49D4-80BD-50FD377831FC}"/>
    <cellStyle name="Normal 2 3 6 2 9 4" xfId="28292" xr:uid="{E3467859-CA4F-45A1-8B29-4856777E3E32}"/>
    <cellStyle name="Normal 2 3 6 2 9 5" xfId="28293" xr:uid="{D448DDF5-FDF1-45CB-8F43-1ABF8CCFB376}"/>
    <cellStyle name="Normal 2 3 6 3" xfId="28294" xr:uid="{E730EC58-CACB-48BD-8317-6A39F91F4DD2}"/>
    <cellStyle name="Normal 2 3 6 3 10" xfId="28295" xr:uid="{66E10152-877E-46CB-8878-9172A27D7BD1}"/>
    <cellStyle name="Normal 2 3 6 3 11" xfId="28296" xr:uid="{C9C9E5A2-7879-4D4E-98FB-56638FE437D4}"/>
    <cellStyle name="Normal 2 3 6 3 12" xfId="28297" xr:uid="{1A1EDF2F-6213-4389-8A3F-60D20D51CE21}"/>
    <cellStyle name="Normal 2 3 6 3 2" xfId="28298" xr:uid="{95B3A233-D2A7-41B7-AF4E-01FAEE3EEA75}"/>
    <cellStyle name="Normal 2 3 6 3 2 2" xfId="28299" xr:uid="{7D7BD8EA-F65C-46EA-9177-9356FC677534}"/>
    <cellStyle name="Normal 2 3 6 3 2 2 2" xfId="28300" xr:uid="{E83D4963-C075-4B4A-ADF0-32DBEF58D1A1}"/>
    <cellStyle name="Normal 2 3 6 3 2 2 3" xfId="28301" xr:uid="{4F482519-24BE-4855-A7C2-368AC4D0D3A0}"/>
    <cellStyle name="Normal 2 3 6 3 2 2 4" xfId="28302" xr:uid="{2AB04F2C-5008-4537-9787-013ED70704B4}"/>
    <cellStyle name="Normal 2 3 6 3 2 2 5" xfId="28303" xr:uid="{F3A0F49F-1F96-438D-9FC2-EB72B567E0C0}"/>
    <cellStyle name="Normal 2 3 6 3 2 3" xfId="28304" xr:uid="{F9F3609A-7D83-4A16-B029-58489C6DD7D0}"/>
    <cellStyle name="Normal 2 3 6 3 2 4" xfId="28305" xr:uid="{5BB3891E-3A66-4F32-8BC9-9914D1306E40}"/>
    <cellStyle name="Normal 2 3 6 3 2 5" xfId="28306" xr:uid="{DA031F67-5AAA-4595-A490-203EFAF6A2E4}"/>
    <cellStyle name="Normal 2 3 6 3 2 6" xfId="28307" xr:uid="{D957C93E-5E7E-484E-B7E4-5B9D5D203724}"/>
    <cellStyle name="Normal 2 3 6 3 3" xfId="28308" xr:uid="{C6DCB3B2-196A-4C01-BE23-F0EE68434A4F}"/>
    <cellStyle name="Normal 2 3 6 3 3 2" xfId="28309" xr:uid="{242E39E1-C683-45C1-B7BE-65EF66B3B1D6}"/>
    <cellStyle name="Normal 2 3 6 3 3 2 2" xfId="28310" xr:uid="{49B34DBF-DB16-466A-B2A2-D6FE2B8824B8}"/>
    <cellStyle name="Normal 2 3 6 3 3 2 3" xfId="28311" xr:uid="{4E6FB6EE-4092-47D5-AE6A-85E710DBEB5C}"/>
    <cellStyle name="Normal 2 3 6 3 3 2 4" xfId="28312" xr:uid="{BE52CC22-84FF-4955-AF09-8C75996BA491}"/>
    <cellStyle name="Normal 2 3 6 3 3 2 5" xfId="28313" xr:uid="{2F56C78E-E383-4148-800E-0DEECF154EA0}"/>
    <cellStyle name="Normal 2 3 6 3 3 3" xfId="28314" xr:uid="{A30C4E12-7D40-4967-9454-94D5CE320BB0}"/>
    <cellStyle name="Normal 2 3 6 3 3 4" xfId="28315" xr:uid="{F855D414-0032-4A18-9036-C46CFA9C21AE}"/>
    <cellStyle name="Normal 2 3 6 3 3 5" xfId="28316" xr:uid="{3EE5BFD5-25E5-40E7-83A2-3E4BE1E9CD65}"/>
    <cellStyle name="Normal 2 3 6 3 3 6" xfId="28317" xr:uid="{C51D74F4-F2BC-4F2F-80A5-6EDE475C1F6C}"/>
    <cellStyle name="Normal 2 3 6 3 4" xfId="28318" xr:uid="{BD6BF950-00A6-4554-9738-0B9FD01F2CD3}"/>
    <cellStyle name="Normal 2 3 6 3 4 2" xfId="28319" xr:uid="{DAEA7D7E-4FD4-4ACD-AF80-4B73D10D7625}"/>
    <cellStyle name="Normal 2 3 6 3 4 2 2" xfId="28320" xr:uid="{6F005D4B-4B5F-4EB9-B95A-12F6190254BC}"/>
    <cellStyle name="Normal 2 3 6 3 4 2 3" xfId="28321" xr:uid="{0512DB9F-1EB4-4E63-94F4-15C2331C3E54}"/>
    <cellStyle name="Normal 2 3 6 3 4 2 4" xfId="28322" xr:uid="{FDBD4F63-E91B-4178-A93D-C61EB2326933}"/>
    <cellStyle name="Normal 2 3 6 3 4 2 5" xfId="28323" xr:uid="{1FA96AF6-81CF-4957-8275-821ADB0BE689}"/>
    <cellStyle name="Normal 2 3 6 3 4 3" xfId="28324" xr:uid="{E3DCC8B2-1F0D-4A9F-9AAD-B3D706536B8B}"/>
    <cellStyle name="Normal 2 3 6 3 4 4" xfId="28325" xr:uid="{96D773BF-7C4C-4609-BB78-EADDF8ACF1ED}"/>
    <cellStyle name="Normal 2 3 6 3 4 5" xfId="28326" xr:uid="{BEA1DE79-C0D4-4266-9FD8-2BFF284CA251}"/>
    <cellStyle name="Normal 2 3 6 3 4 6" xfId="28327" xr:uid="{E6FA60C4-BEF0-4850-BDC6-7C52911E73A2}"/>
    <cellStyle name="Normal 2 3 6 3 5" xfId="28328" xr:uid="{0E9AC236-492D-44F9-B04C-A5D86CFE0F0E}"/>
    <cellStyle name="Normal 2 3 6 3 5 2" xfId="28329" xr:uid="{90F52D2F-1CC6-4000-8A1C-189E260E3A5A}"/>
    <cellStyle name="Normal 2 3 6 3 5 3" xfId="28330" xr:uid="{76BDA651-5F78-49EA-A9F2-C06B95028C8A}"/>
    <cellStyle name="Normal 2 3 6 3 5 4" xfId="28331" xr:uid="{513A309F-D798-4B81-A067-0D57DB5225EE}"/>
    <cellStyle name="Normal 2 3 6 3 5 5" xfId="28332" xr:uid="{3378F0DC-75BF-4338-AA24-AD9306DFED6C}"/>
    <cellStyle name="Normal 2 3 6 3 6" xfId="28333" xr:uid="{E6818B06-17E6-41A6-98AC-7A7624D520B8}"/>
    <cellStyle name="Normal 2 3 6 3 6 2" xfId="28334" xr:uid="{DFD0DD5E-D2B2-4256-9C73-CF01344924EB}"/>
    <cellStyle name="Normal 2 3 6 3 6 3" xfId="28335" xr:uid="{FE74E15C-4BC4-47F5-8DC6-5033E2EEBA31}"/>
    <cellStyle name="Normal 2 3 6 3 6 4" xfId="28336" xr:uid="{F53927E9-D0A2-497F-8305-FB13CC22E84A}"/>
    <cellStyle name="Normal 2 3 6 3 6 5" xfId="28337" xr:uid="{D4B339F7-CA7B-4091-AB58-165E691A9380}"/>
    <cellStyle name="Normal 2 3 6 3 7" xfId="28338" xr:uid="{3F45B730-5D48-491D-AFF7-1115EC13D5EE}"/>
    <cellStyle name="Normal 2 3 6 3 7 2" xfId="28339" xr:uid="{B5808909-F07B-4032-BD47-6EE9F7912265}"/>
    <cellStyle name="Normal 2 3 6 3 7 3" xfId="28340" xr:uid="{5EBD0DDD-83A1-4E37-B91E-7DED8E066F6E}"/>
    <cellStyle name="Normal 2 3 6 3 7 4" xfId="28341" xr:uid="{7949088E-9857-4655-B176-D47BDFFFDF7E}"/>
    <cellStyle name="Normal 2 3 6 3 7 5" xfId="28342" xr:uid="{4C58E2BF-E979-4E65-8BF9-80C71AB8A9AF}"/>
    <cellStyle name="Normal 2 3 6 3 8" xfId="28343" xr:uid="{8C30AF6F-966E-4D52-AB3C-09F7956A5157}"/>
    <cellStyle name="Normal 2 3 6 3 8 2" xfId="28344" xr:uid="{2FB2D805-D79F-4C74-B04F-8D8CDC73D6CB}"/>
    <cellStyle name="Normal 2 3 6 3 8 3" xfId="28345" xr:uid="{564B3584-88F0-4253-A36F-889537C14888}"/>
    <cellStyle name="Normal 2 3 6 3 8 4" xfId="28346" xr:uid="{386261E9-0158-4FE5-9579-F525A45A7083}"/>
    <cellStyle name="Normal 2 3 6 3 8 5" xfId="28347" xr:uid="{928AA6ED-B276-4CA8-9EBA-C1D02DFA1CE4}"/>
    <cellStyle name="Normal 2 3 6 3 9" xfId="28348" xr:uid="{ED69BF76-2E55-4A8E-8D30-4B7AFD3A1D58}"/>
    <cellStyle name="Normal 2 3 6 4" xfId="28349" xr:uid="{111E3A83-0014-40A0-88F6-4DB902902CAB}"/>
    <cellStyle name="Normal 2 3 6 4 2" xfId="28350" xr:uid="{D4B83502-75F7-492A-9FF1-4B47B5E78088}"/>
    <cellStyle name="Normal 2 3 6 4 2 2" xfId="28351" xr:uid="{67BD4B68-D766-4E88-8DE0-B76A7DA00ED5}"/>
    <cellStyle name="Normal 2 3 6 4 2 3" xfId="28352" xr:uid="{007D7110-B7AB-4DBB-9FF3-31C2ACB55226}"/>
    <cellStyle name="Normal 2 3 6 4 2 4" xfId="28353" xr:uid="{E1524316-C5D8-4D00-8EE4-1029C4EE8C01}"/>
    <cellStyle name="Normal 2 3 6 4 2 5" xfId="28354" xr:uid="{6020ED60-331D-4599-9EC7-56D716BAC933}"/>
    <cellStyle name="Normal 2 3 6 4 3" xfId="28355" xr:uid="{DB2F57D3-E4E8-459F-928A-D3203B894472}"/>
    <cellStyle name="Normal 2 3 6 4 4" xfId="28356" xr:uid="{006C6202-5DA2-499D-830A-CC994A9E4030}"/>
    <cellStyle name="Normal 2 3 6 4 5" xfId="28357" xr:uid="{5BE5AAF6-B12F-4E8D-9CB9-C65E6E350C4E}"/>
    <cellStyle name="Normal 2 3 6 4 6" xfId="28358" xr:uid="{FFB78B56-F54B-4CC3-B987-47BB141878FA}"/>
    <cellStyle name="Normal 2 3 6 5" xfId="28359" xr:uid="{595BCEC4-E515-4555-9F0A-22B1EC8FFFD8}"/>
    <cellStyle name="Normal 2 3 6 5 2" xfId="28360" xr:uid="{48912C54-3356-40D4-8E13-10CB15619BE7}"/>
    <cellStyle name="Normal 2 3 6 5 2 2" xfId="28361" xr:uid="{89D3BEB6-8EEC-4B3C-9C16-2C200A2A2A7E}"/>
    <cellStyle name="Normal 2 3 6 5 2 3" xfId="28362" xr:uid="{923AD5E3-A294-4235-B6D0-14885AE0F42F}"/>
    <cellStyle name="Normal 2 3 6 5 2 4" xfId="28363" xr:uid="{6EC0FC05-320C-4F12-8DE9-185240849497}"/>
    <cellStyle name="Normal 2 3 6 5 2 5" xfId="28364" xr:uid="{6437DBDF-6588-4BAE-84FD-91EB231F0276}"/>
    <cellStyle name="Normal 2 3 6 5 3" xfId="28365" xr:uid="{E9A5FF38-8D77-4359-B6AF-35F95D590DAA}"/>
    <cellStyle name="Normal 2 3 6 5 4" xfId="28366" xr:uid="{9D262629-A5A1-4DF5-B31F-686E1E1DA5A4}"/>
    <cellStyle name="Normal 2 3 6 5 5" xfId="28367" xr:uid="{776CEE09-F3FB-4456-BD1A-69AB708DA3EE}"/>
    <cellStyle name="Normal 2 3 6 5 6" xfId="28368" xr:uid="{1D528614-1574-4ED2-A393-814714BD5AE2}"/>
    <cellStyle name="Normal 2 3 6 6" xfId="28369" xr:uid="{3B52285E-5A81-46F6-839D-8E5C590C45C9}"/>
    <cellStyle name="Normal 2 3 6 6 2" xfId="28370" xr:uid="{900F1084-536D-4F25-8DBA-65B54C232E3E}"/>
    <cellStyle name="Normal 2 3 6 6 2 2" xfId="28371" xr:uid="{A3DC7EBD-522B-45B5-BE9C-53327BE63FA0}"/>
    <cellStyle name="Normal 2 3 6 6 2 3" xfId="28372" xr:uid="{EEF36790-D17D-4681-B6CF-85115130580F}"/>
    <cellStyle name="Normal 2 3 6 6 2 4" xfId="28373" xr:uid="{F5D344A4-7D13-4800-B38F-BB293D89C49B}"/>
    <cellStyle name="Normal 2 3 6 6 2 5" xfId="28374" xr:uid="{1D0262AE-6C39-4412-8DA7-D779BCD3F417}"/>
    <cellStyle name="Normal 2 3 6 6 3" xfId="28375" xr:uid="{374D0CDE-1A8A-4CD2-B745-B508B735060E}"/>
    <cellStyle name="Normal 2 3 6 6 4" xfId="28376" xr:uid="{A37C2D4C-94D9-44FD-8314-343166B676CF}"/>
    <cellStyle name="Normal 2 3 6 6 5" xfId="28377" xr:uid="{BF8540D7-84BB-4080-A429-547B9ED9C6F3}"/>
    <cellStyle name="Normal 2 3 6 6 6" xfId="28378" xr:uid="{4977EFA6-9FB2-4E86-A062-1378EA0B5EAA}"/>
    <cellStyle name="Normal 2 3 6 7" xfId="28379" xr:uid="{0C82FE84-E8B4-41CC-AA21-25CBF6AA0800}"/>
    <cellStyle name="Normal 2 3 6 7 2" xfId="28380" xr:uid="{29BEA61B-5842-4776-9CAF-FEACBED1FCBE}"/>
    <cellStyle name="Normal 2 3 6 7 3" xfId="28381" xr:uid="{8B0BE5FC-6EF8-469C-9F9E-439AA49FA690}"/>
    <cellStyle name="Normal 2 3 6 7 4" xfId="28382" xr:uid="{A24E1019-FD89-48CD-9D24-E93824BE7BCE}"/>
    <cellStyle name="Normal 2 3 6 7 5" xfId="28383" xr:uid="{9768F16C-B81C-4069-9ED5-A6F8BF7EF383}"/>
    <cellStyle name="Normal 2 3 6 8" xfId="28384" xr:uid="{994F2562-620A-4947-A1F5-168238FD29F8}"/>
    <cellStyle name="Normal 2 3 6 8 2" xfId="28385" xr:uid="{56C1A6A2-A5E3-4101-85D5-C19DC4F661B7}"/>
    <cellStyle name="Normal 2 3 6 8 3" xfId="28386" xr:uid="{C52E7422-03C8-4A5A-9153-D97BBD42CAAD}"/>
    <cellStyle name="Normal 2 3 6 8 4" xfId="28387" xr:uid="{D92D74D1-ABC0-4B9E-AB9F-E46F176628E9}"/>
    <cellStyle name="Normal 2 3 6 8 5" xfId="28388" xr:uid="{6F5AA5AB-7AC6-46A4-8ACB-3A1DA637177F}"/>
    <cellStyle name="Normal 2 3 6 9" xfId="28389" xr:uid="{EC180DEE-9D03-4E84-87AB-5A45134C9F02}"/>
    <cellStyle name="Normal 2 3 6 9 2" xfId="28390" xr:uid="{4D4F6932-B7B0-485C-9D2B-818F33145B38}"/>
    <cellStyle name="Normal 2 3 6 9 3" xfId="28391" xr:uid="{AACF51F3-4498-4386-85F5-471620582C73}"/>
    <cellStyle name="Normal 2 3 6 9 4" xfId="28392" xr:uid="{DE2CC3F6-B5AC-4D35-84C5-338F925284DE}"/>
    <cellStyle name="Normal 2 3 6 9 5" xfId="28393" xr:uid="{6D261CA2-86E5-4207-BEC6-9D028CEE79F9}"/>
    <cellStyle name="Normal 2 3 7" xfId="28394" xr:uid="{3F9758F6-3ADD-4E64-B2A5-87A1161AACD9}"/>
    <cellStyle name="Normal 2 3 7 10" xfId="28395" xr:uid="{4964017C-8126-49F7-9173-DAEF0889CDB4}"/>
    <cellStyle name="Normal 2 3 7 11" xfId="28396" xr:uid="{CE4FB946-17A5-4F04-A2E7-C5A41500B00D}"/>
    <cellStyle name="Normal 2 3 7 12" xfId="28397" xr:uid="{BA69E5D5-055E-4823-B95E-0D0BF71D22A1}"/>
    <cellStyle name="Normal 2 3 7 13" xfId="28398" xr:uid="{C116495F-62E4-440F-907D-FD3D43B8C4A1}"/>
    <cellStyle name="Normal 2 3 7 2" xfId="28399" xr:uid="{04B2E021-8251-40A8-B6E0-85D7F6552A1B}"/>
    <cellStyle name="Normal 2 3 7 2 10" xfId="28400" xr:uid="{E8A5913E-588A-4265-AA5B-930AF31CDDF7}"/>
    <cellStyle name="Normal 2 3 7 2 11" xfId="28401" xr:uid="{C919802C-BD3A-4F89-816A-AFE56D2D167D}"/>
    <cellStyle name="Normal 2 3 7 2 12" xfId="28402" xr:uid="{31C9F865-7389-4A57-AD26-D7889D48E090}"/>
    <cellStyle name="Normal 2 3 7 2 2" xfId="28403" xr:uid="{C79E55D8-2062-47B1-8F36-7F868B843B76}"/>
    <cellStyle name="Normal 2 3 7 2 2 2" xfId="28404" xr:uid="{71F2DBE4-6EA4-439A-9438-171F4E5E8AB2}"/>
    <cellStyle name="Normal 2 3 7 2 2 2 2" xfId="28405" xr:uid="{AEEC3735-6C91-4FAB-8D00-AF2C4889E746}"/>
    <cellStyle name="Normal 2 3 7 2 2 2 3" xfId="28406" xr:uid="{84CF1D11-0707-4FB7-AC64-6FA89D2F1F6A}"/>
    <cellStyle name="Normal 2 3 7 2 2 2 4" xfId="28407" xr:uid="{32F5D05F-3A67-46A4-ADDA-25B8AD03B566}"/>
    <cellStyle name="Normal 2 3 7 2 2 2 5" xfId="28408" xr:uid="{2EF86A75-3971-450F-A10A-A525E2F432C7}"/>
    <cellStyle name="Normal 2 3 7 2 2 3" xfId="28409" xr:uid="{8E005B3F-130F-426D-A0CE-98DBFAB83C5D}"/>
    <cellStyle name="Normal 2 3 7 2 2 4" xfId="28410" xr:uid="{7AFAE887-B694-44C2-9A6E-DA81EC59998D}"/>
    <cellStyle name="Normal 2 3 7 2 2 5" xfId="28411" xr:uid="{6E2F4C42-7121-4135-9EC3-846F6CF0DBAF}"/>
    <cellStyle name="Normal 2 3 7 2 2 6" xfId="28412" xr:uid="{0B342EBC-AB60-43D6-971E-17A12E6FADDF}"/>
    <cellStyle name="Normal 2 3 7 2 3" xfId="28413" xr:uid="{85E4F37D-C0C4-4FBE-BAE0-FABCA629FC08}"/>
    <cellStyle name="Normal 2 3 7 2 3 2" xfId="28414" xr:uid="{9DF19536-79A4-413E-BDAE-582EFD00EB3C}"/>
    <cellStyle name="Normal 2 3 7 2 3 2 2" xfId="28415" xr:uid="{DA63A73B-BC2C-4686-ADE8-E5131A39667F}"/>
    <cellStyle name="Normal 2 3 7 2 3 2 3" xfId="28416" xr:uid="{AF466BE2-7C99-48FC-8C13-ADDF795C49B9}"/>
    <cellStyle name="Normal 2 3 7 2 3 2 4" xfId="28417" xr:uid="{6326A935-8213-4E32-8DE9-A4C57800D7C4}"/>
    <cellStyle name="Normal 2 3 7 2 3 2 5" xfId="28418" xr:uid="{102AC19B-975F-49F4-AFC1-105D5A57F976}"/>
    <cellStyle name="Normal 2 3 7 2 3 3" xfId="28419" xr:uid="{BD914990-2AF3-4855-8E41-AE50CC96A0B8}"/>
    <cellStyle name="Normal 2 3 7 2 3 4" xfId="28420" xr:uid="{DF6605AA-04F6-4B86-94BC-C6633118EC35}"/>
    <cellStyle name="Normal 2 3 7 2 3 5" xfId="28421" xr:uid="{0D84F706-FA72-47B4-A315-CE998BA4AADA}"/>
    <cellStyle name="Normal 2 3 7 2 3 6" xfId="28422" xr:uid="{EFED39FE-2D85-4223-8E3F-187843FD6ACE}"/>
    <cellStyle name="Normal 2 3 7 2 4" xfId="28423" xr:uid="{E11A029A-1787-4AAF-A9C2-3B656CA7ACA3}"/>
    <cellStyle name="Normal 2 3 7 2 4 2" xfId="28424" xr:uid="{4C29C08D-D908-4DE8-9FB7-FE4DF0308263}"/>
    <cellStyle name="Normal 2 3 7 2 4 2 2" xfId="28425" xr:uid="{D479EEAE-32B3-4C53-B91E-F50BBC410378}"/>
    <cellStyle name="Normal 2 3 7 2 4 2 3" xfId="28426" xr:uid="{171EB682-1DCB-4F91-806A-48F5FBBEA397}"/>
    <cellStyle name="Normal 2 3 7 2 4 2 4" xfId="28427" xr:uid="{1D569013-103C-4603-9A46-7244862A6293}"/>
    <cellStyle name="Normal 2 3 7 2 4 2 5" xfId="28428" xr:uid="{05016389-B38C-475C-A005-08EE75A47CFB}"/>
    <cellStyle name="Normal 2 3 7 2 4 3" xfId="28429" xr:uid="{0EF1671D-D2F1-48BC-83C2-BBE8DB098625}"/>
    <cellStyle name="Normal 2 3 7 2 4 4" xfId="28430" xr:uid="{8CE2A498-4ACF-438C-ADEA-9B67A2297509}"/>
    <cellStyle name="Normal 2 3 7 2 4 5" xfId="28431" xr:uid="{B943DF84-AC02-4D66-970F-79C89A630A93}"/>
    <cellStyle name="Normal 2 3 7 2 4 6" xfId="28432" xr:uid="{B002826F-91D0-4D85-816D-D727A21E01BB}"/>
    <cellStyle name="Normal 2 3 7 2 5" xfId="28433" xr:uid="{85EC3067-A98B-4584-8A48-1CAC23BFF741}"/>
    <cellStyle name="Normal 2 3 7 2 5 2" xfId="28434" xr:uid="{04159469-5576-40B7-AEC2-4307F522AE51}"/>
    <cellStyle name="Normal 2 3 7 2 5 3" xfId="28435" xr:uid="{4F5031E2-41DE-42F8-A391-4C5ED54A05CB}"/>
    <cellStyle name="Normal 2 3 7 2 5 4" xfId="28436" xr:uid="{47B5F98C-60CA-46A7-8627-A14A5B0393C0}"/>
    <cellStyle name="Normal 2 3 7 2 5 5" xfId="28437" xr:uid="{C93F1F86-D0FC-4A86-B4F8-FD162F37C3E6}"/>
    <cellStyle name="Normal 2 3 7 2 6" xfId="28438" xr:uid="{442AB954-4351-4040-AEF8-67A9E82C71CD}"/>
    <cellStyle name="Normal 2 3 7 2 6 2" xfId="28439" xr:uid="{6112A083-7D13-46E7-A5DE-8DCCD44BD4A3}"/>
    <cellStyle name="Normal 2 3 7 2 6 3" xfId="28440" xr:uid="{E0C9C964-ED64-4AB8-8FB5-CE6057E5D745}"/>
    <cellStyle name="Normal 2 3 7 2 6 4" xfId="28441" xr:uid="{A0FE0BAA-F048-4B30-9557-2B7DADA5AD66}"/>
    <cellStyle name="Normal 2 3 7 2 6 5" xfId="28442" xr:uid="{585D5CF5-4DA9-4906-8747-B4508CDDEF7C}"/>
    <cellStyle name="Normal 2 3 7 2 7" xfId="28443" xr:uid="{83C9BDAB-4908-43B7-B1B5-5564ABA702BF}"/>
    <cellStyle name="Normal 2 3 7 2 7 2" xfId="28444" xr:uid="{68BFAE8A-F6C1-432F-A5CD-B3473CAE5CBE}"/>
    <cellStyle name="Normal 2 3 7 2 7 3" xfId="28445" xr:uid="{AE1C775C-D12E-4F41-A22F-073DE23191D3}"/>
    <cellStyle name="Normal 2 3 7 2 7 4" xfId="28446" xr:uid="{30A7EB01-6CB3-4763-AF48-55DC227AFF32}"/>
    <cellStyle name="Normal 2 3 7 2 7 5" xfId="28447" xr:uid="{1056817F-6FDE-4D4A-B66A-F9F51EC2D815}"/>
    <cellStyle name="Normal 2 3 7 2 8" xfId="28448" xr:uid="{DA6320E5-A77D-408F-A807-F780038E2035}"/>
    <cellStyle name="Normal 2 3 7 2 8 2" xfId="28449" xr:uid="{D02E48D2-FFD6-431F-B104-064CA57BA5DF}"/>
    <cellStyle name="Normal 2 3 7 2 8 3" xfId="28450" xr:uid="{01CB151D-A69F-4F11-B909-3D39FE7284C1}"/>
    <cellStyle name="Normal 2 3 7 2 8 4" xfId="28451" xr:uid="{925494BB-1E27-475E-9EA8-7834DCF73414}"/>
    <cellStyle name="Normal 2 3 7 2 8 5" xfId="28452" xr:uid="{56AA696D-CACB-4DC7-80CA-C0A6B239CF32}"/>
    <cellStyle name="Normal 2 3 7 2 9" xfId="28453" xr:uid="{D73AD24E-4323-4506-A579-BF742AA00FE5}"/>
    <cellStyle name="Normal 2 3 7 3" xfId="28454" xr:uid="{CB929919-43BD-4B56-922A-FD9D859BAFA0}"/>
    <cellStyle name="Normal 2 3 7 3 2" xfId="28455" xr:uid="{83274262-0C39-4D35-BF97-5E588193B803}"/>
    <cellStyle name="Normal 2 3 7 3 2 2" xfId="28456" xr:uid="{5D9394C2-C07A-463D-A14E-3FF22676FE05}"/>
    <cellStyle name="Normal 2 3 7 3 2 3" xfId="28457" xr:uid="{4DC04FAD-8F50-42A7-9B78-679F3995F9E3}"/>
    <cellStyle name="Normal 2 3 7 3 2 4" xfId="28458" xr:uid="{DBDA84DC-1386-4B3D-984E-28B3132E8B39}"/>
    <cellStyle name="Normal 2 3 7 3 2 5" xfId="28459" xr:uid="{EDFA1B63-6EEF-485A-B1BB-9123F9451489}"/>
    <cellStyle name="Normal 2 3 7 3 3" xfId="28460" xr:uid="{593DA7D9-5A54-42BC-ACE8-0A2AA2FBCDA7}"/>
    <cellStyle name="Normal 2 3 7 3 4" xfId="28461" xr:uid="{73BE7F9C-97E6-4FF9-A748-78062299B6D4}"/>
    <cellStyle name="Normal 2 3 7 3 5" xfId="28462" xr:uid="{E7BB4EEB-A529-4E63-B441-147E0CBA66C1}"/>
    <cellStyle name="Normal 2 3 7 3 6" xfId="28463" xr:uid="{79AA742B-FD50-489F-A352-659BF77535F0}"/>
    <cellStyle name="Normal 2 3 7 4" xfId="28464" xr:uid="{3151CC5F-94C8-4989-9D0D-6B597A610FBD}"/>
    <cellStyle name="Normal 2 3 7 4 2" xfId="28465" xr:uid="{AB365461-EEA4-4F3E-A7C0-C9CE0635831F}"/>
    <cellStyle name="Normal 2 3 7 4 2 2" xfId="28466" xr:uid="{CED5D829-3168-438B-91DA-3C6A40FC9D44}"/>
    <cellStyle name="Normal 2 3 7 4 2 3" xfId="28467" xr:uid="{214D9BCB-B441-46A5-9650-E4CDDD9C6BC6}"/>
    <cellStyle name="Normal 2 3 7 4 2 4" xfId="28468" xr:uid="{5108DFB0-F100-49DA-BE78-9B340D96D576}"/>
    <cellStyle name="Normal 2 3 7 4 2 5" xfId="28469" xr:uid="{90629082-E9D4-4064-9523-E53A890778C5}"/>
    <cellStyle name="Normal 2 3 7 4 3" xfId="28470" xr:uid="{BA970BD9-4A2B-46D9-A069-F4D430221F92}"/>
    <cellStyle name="Normal 2 3 7 4 4" xfId="28471" xr:uid="{82FE2900-ACBF-4C2B-A281-FB3E625A42EB}"/>
    <cellStyle name="Normal 2 3 7 4 5" xfId="28472" xr:uid="{1A02C10D-4B8C-434E-977D-443579838C0D}"/>
    <cellStyle name="Normal 2 3 7 4 6" xfId="28473" xr:uid="{1664B95E-560B-4AB8-813D-BE82917C2603}"/>
    <cellStyle name="Normal 2 3 7 5" xfId="28474" xr:uid="{A5DC4E6D-1A07-40A9-8FBA-D9FCCFD631A1}"/>
    <cellStyle name="Normal 2 3 7 5 2" xfId="28475" xr:uid="{DE4C2D95-B055-4C64-8969-CB54F23E0A5F}"/>
    <cellStyle name="Normal 2 3 7 5 2 2" xfId="28476" xr:uid="{B118C781-7BAA-47EB-8174-D13671CBDBCF}"/>
    <cellStyle name="Normal 2 3 7 5 2 3" xfId="28477" xr:uid="{40CD6B21-CA23-4296-9967-48623F8E0FA6}"/>
    <cellStyle name="Normal 2 3 7 5 2 4" xfId="28478" xr:uid="{40BE3D7A-E0EF-4C2A-9508-968FFAB9920B}"/>
    <cellStyle name="Normal 2 3 7 5 2 5" xfId="28479" xr:uid="{A8063F30-EEFB-4CDC-B71F-885A9531816D}"/>
    <cellStyle name="Normal 2 3 7 5 3" xfId="28480" xr:uid="{55E07EF0-2DAF-48BA-B352-C764646AA662}"/>
    <cellStyle name="Normal 2 3 7 5 4" xfId="28481" xr:uid="{D69451F7-C4C7-435C-93F5-B8AAE18769FE}"/>
    <cellStyle name="Normal 2 3 7 5 5" xfId="28482" xr:uid="{FDF39E49-F41F-4486-8F30-FFF940E58A20}"/>
    <cellStyle name="Normal 2 3 7 5 6" xfId="28483" xr:uid="{E72A455B-4841-4F61-86AF-9BF61B8E59C6}"/>
    <cellStyle name="Normal 2 3 7 6" xfId="28484" xr:uid="{C66CBA78-0C06-429F-867C-EEBD71CC717E}"/>
    <cellStyle name="Normal 2 3 7 6 2" xfId="28485" xr:uid="{7EAA5D2F-018E-4F1C-B61D-0618C99FD559}"/>
    <cellStyle name="Normal 2 3 7 6 3" xfId="28486" xr:uid="{998578BB-FCD7-4CBE-8EB0-433DEA3DEBB7}"/>
    <cellStyle name="Normal 2 3 7 6 4" xfId="28487" xr:uid="{4CE3F02B-A326-4207-864C-7097303141C7}"/>
    <cellStyle name="Normal 2 3 7 6 5" xfId="28488" xr:uid="{6A8BD9FA-C6D7-4B72-B972-348DBEE94476}"/>
    <cellStyle name="Normal 2 3 7 7" xfId="28489" xr:uid="{663708FF-D6E2-4A7A-AFF8-43B53C952F7E}"/>
    <cellStyle name="Normal 2 3 7 7 2" xfId="28490" xr:uid="{6EAE9184-3A76-431A-83C7-63C78598CD97}"/>
    <cellStyle name="Normal 2 3 7 7 3" xfId="28491" xr:uid="{5664359F-8AC4-4B10-81E6-A0E3469053D9}"/>
    <cellStyle name="Normal 2 3 7 7 4" xfId="28492" xr:uid="{27E656AF-15BA-4FA9-A164-5475A554072E}"/>
    <cellStyle name="Normal 2 3 7 7 5" xfId="28493" xr:uid="{15751935-FA1D-4967-BA0F-D6A4C8713C8D}"/>
    <cellStyle name="Normal 2 3 7 8" xfId="28494" xr:uid="{8DE5585A-811B-46D9-9C44-9F6F4FBE3C1C}"/>
    <cellStyle name="Normal 2 3 7 8 2" xfId="28495" xr:uid="{DB581DE0-A89D-417F-8448-52A478A52FE3}"/>
    <cellStyle name="Normal 2 3 7 8 3" xfId="28496" xr:uid="{9E54A34F-F5D6-4A63-B74E-ACD11E65A112}"/>
    <cellStyle name="Normal 2 3 7 8 4" xfId="28497" xr:uid="{54976CC7-FCD2-4935-BF9A-484A0F8702B7}"/>
    <cellStyle name="Normal 2 3 7 8 5" xfId="28498" xr:uid="{D91180FD-3BE7-4C8C-81D9-D4D2B51AD8F4}"/>
    <cellStyle name="Normal 2 3 7 9" xfId="28499" xr:uid="{3C7BE5E1-8E83-4204-8BCB-0C939973A47F}"/>
    <cellStyle name="Normal 2 3 7 9 2" xfId="28500" xr:uid="{2761D667-FF98-47AF-B1B3-91792F08B1D0}"/>
    <cellStyle name="Normal 2 3 7 9 3" xfId="28501" xr:uid="{D92F2D9F-216C-4972-BAC3-5305FFD6CB36}"/>
    <cellStyle name="Normal 2 3 7 9 4" xfId="28502" xr:uid="{594DE23F-1AC1-47B5-A46D-F504E65F7476}"/>
    <cellStyle name="Normal 2 3 7 9 5" xfId="28503" xr:uid="{D046ABA7-3759-4D09-B64B-8B6C5734FA0E}"/>
    <cellStyle name="Normal 2 3 8" xfId="28504" xr:uid="{47FE8FAB-FE44-431D-B3C2-E30E35C0B300}"/>
    <cellStyle name="Normal 2 3 8 10" xfId="28505" xr:uid="{D10678CC-A610-41F5-84AA-DB7CE741D79D}"/>
    <cellStyle name="Normal 2 3 8 11" xfId="28506" xr:uid="{D91906C0-6B96-4BC8-A498-AA38251905EF}"/>
    <cellStyle name="Normal 2 3 8 2" xfId="28507" xr:uid="{1E53A66E-1749-420D-8C9A-DAD65882F370}"/>
    <cellStyle name="Normal 2 3 8 2 10" xfId="28508" xr:uid="{C97D8102-D1DC-4895-9D65-13B95236EC74}"/>
    <cellStyle name="Normal 2 3 8 2 11" xfId="28509" xr:uid="{CB1AFA2B-C79F-48E0-8EF0-B3977277D685}"/>
    <cellStyle name="Normal 2 3 8 2 12" xfId="28510" xr:uid="{D6288036-2662-4524-BB49-AFC15E6361F2}"/>
    <cellStyle name="Normal 2 3 8 2 2" xfId="28511" xr:uid="{E6FFEF53-59DC-4C56-ADCF-80DB413C1FB6}"/>
    <cellStyle name="Normal 2 3 8 2 2 2" xfId="28512" xr:uid="{02372B5A-623D-4868-95A2-562DD6744F56}"/>
    <cellStyle name="Normal 2 3 8 2 2 2 2" xfId="28513" xr:uid="{35DD1730-6C89-4F9A-9E0B-E637FB721F33}"/>
    <cellStyle name="Normal 2 3 8 2 2 2 3" xfId="28514" xr:uid="{8E32C0AF-AA28-4CC0-B43D-A71414DE1F14}"/>
    <cellStyle name="Normal 2 3 8 2 2 2 4" xfId="28515" xr:uid="{939CC0E5-DAC5-4BEC-AC7E-04A4405DAB35}"/>
    <cellStyle name="Normal 2 3 8 2 2 2 5" xfId="28516" xr:uid="{AD408221-1F5F-4896-B35B-EB70F9A35200}"/>
    <cellStyle name="Normal 2 3 8 2 2 3" xfId="28517" xr:uid="{3D010451-5311-4A57-8326-64077EF31CD3}"/>
    <cellStyle name="Normal 2 3 8 2 2 4" xfId="28518" xr:uid="{B169A0EE-FB7D-48B1-8BCF-C260A13EDB3B}"/>
    <cellStyle name="Normal 2 3 8 2 2 5" xfId="28519" xr:uid="{0B72393B-929C-428E-AB47-865311CF6421}"/>
    <cellStyle name="Normal 2 3 8 2 3" xfId="28520" xr:uid="{F1B0D6A5-F36B-418C-8DFA-BFC6396EF31C}"/>
    <cellStyle name="Normal 2 3 8 2 4" xfId="28521" xr:uid="{11485B14-B9CC-466B-8EA8-DC20A556233B}"/>
    <cellStyle name="Normal 2 3 8 2 5" xfId="28522" xr:uid="{DB2508C9-FA69-4837-8AFA-FDE9ABFCB7EE}"/>
    <cellStyle name="Normal 2 3 8 2 5 2" xfId="28523" xr:uid="{D3BEFC2F-B1A3-40EE-A451-E697F6DA8BB5}"/>
    <cellStyle name="Normal 2 3 8 2 5 3" xfId="28524" xr:uid="{D5C097A2-7401-4BBB-B1D0-8E0D2DA1E8D1}"/>
    <cellStyle name="Normal 2 3 8 2 5 4" xfId="28525" xr:uid="{270AD93B-D512-49CD-8FA7-B1B30EC3B398}"/>
    <cellStyle name="Normal 2 3 8 2 5 5" xfId="28526" xr:uid="{D93A7103-5E28-45BC-B791-C4897ADEC0EB}"/>
    <cellStyle name="Normal 2 3 8 2 6" xfId="28527" xr:uid="{913044BA-114D-414E-846C-0949DDB49470}"/>
    <cellStyle name="Normal 2 3 8 2 7" xfId="28528" xr:uid="{59596300-1F98-4077-8CB1-669448813B56}"/>
    <cellStyle name="Normal 2 3 8 2 8" xfId="28529" xr:uid="{1743C544-AD94-43B2-88E9-DB76C8A90FE6}"/>
    <cellStyle name="Normal 2 3 8 2 9" xfId="28530" xr:uid="{D5CEE448-E34E-41B6-808D-15FE5A5B2097}"/>
    <cellStyle name="Normal 2 3 8 3" xfId="28531" xr:uid="{3957FD75-9BE8-44D1-B807-E6C57BA31855}"/>
    <cellStyle name="Normal 2 3 8 3 2" xfId="28532" xr:uid="{91AE1BA3-4192-44EC-B8BA-8A54BFE02BFE}"/>
    <cellStyle name="Normal 2 3 8 3 2 2" xfId="28533" xr:uid="{FFF9BED8-35C2-46BB-883E-BE3922FEA957}"/>
    <cellStyle name="Normal 2 3 8 3 2 3" xfId="28534" xr:uid="{3037FBCC-9A57-4A36-ACFB-3D5B5051AB01}"/>
    <cellStyle name="Normal 2 3 8 3 2 4" xfId="28535" xr:uid="{84AAA836-92FA-456E-A904-8E60324945DE}"/>
    <cellStyle name="Normal 2 3 8 3 2 5" xfId="28536" xr:uid="{72259FF9-2F4A-4E5C-8C0F-DFECF7950D4A}"/>
    <cellStyle name="Normal 2 3 8 3 3" xfId="28537" xr:uid="{37DA6D6A-A170-4DA7-85D4-A56089292882}"/>
    <cellStyle name="Normal 2 3 8 3 4" xfId="28538" xr:uid="{A655F741-7D41-4D5E-9B51-079A7BADC517}"/>
    <cellStyle name="Normal 2 3 8 3 5" xfId="28539" xr:uid="{C10A762D-19D8-409E-94FD-D6357746FEFE}"/>
    <cellStyle name="Normal 2 3 8 3 6" xfId="28540" xr:uid="{87018C93-BC5B-48E9-9599-6F98DEEED118}"/>
    <cellStyle name="Normal 2 3 8 4" xfId="28541" xr:uid="{61B140C0-A202-412E-BB13-9259F8FDDF89}"/>
    <cellStyle name="Normal 2 3 8 4 2" xfId="28542" xr:uid="{E48AEEC8-87AE-4080-A217-956A74499163}"/>
    <cellStyle name="Normal 2 3 8 4 2 2" xfId="28543" xr:uid="{510653F1-E80A-4A37-B868-C90FFE0377E5}"/>
    <cellStyle name="Normal 2 3 8 4 2 3" xfId="28544" xr:uid="{D87FD523-1FE3-43E2-8966-3DCBA448C428}"/>
    <cellStyle name="Normal 2 3 8 4 2 4" xfId="28545" xr:uid="{F924658B-B9EE-4632-8275-322E7D6697AF}"/>
    <cellStyle name="Normal 2 3 8 4 2 5" xfId="28546" xr:uid="{24FF8E19-2806-4089-B39D-EA6F9245C819}"/>
    <cellStyle name="Normal 2 3 8 4 3" xfId="28547" xr:uid="{6E322647-20CC-4590-A504-45F9EC9524F3}"/>
    <cellStyle name="Normal 2 3 8 4 4" xfId="28548" xr:uid="{4D0AD163-4F60-456C-B6C0-74B1EF303977}"/>
    <cellStyle name="Normal 2 3 8 4 5" xfId="28549" xr:uid="{0D461C02-AE5D-425B-989B-477ACA495D30}"/>
    <cellStyle name="Normal 2 3 8 4 6" xfId="28550" xr:uid="{85E6E704-0D72-4723-B0A3-E37117B750FE}"/>
    <cellStyle name="Normal 2 3 8 5" xfId="28551" xr:uid="{F2B5B345-FD62-4C61-B964-9BCF81014241}"/>
    <cellStyle name="Normal 2 3 8 5 2" xfId="28552" xr:uid="{C0448CEE-7057-4532-A5FF-16404168B814}"/>
    <cellStyle name="Normal 2 3 8 5 3" xfId="28553" xr:uid="{CC1DE81E-CE16-4465-AF80-E7B1200D26BB}"/>
    <cellStyle name="Normal 2 3 8 5 4" xfId="28554" xr:uid="{80F4167C-8087-4DF5-9784-666DBC95CEE3}"/>
    <cellStyle name="Normal 2 3 8 5 5" xfId="28555" xr:uid="{8837FED7-5610-4726-88BC-4A985891084C}"/>
    <cellStyle name="Normal 2 3 8 6" xfId="28556" xr:uid="{B6E5AA32-92EC-43D6-A113-34BDC51634D0}"/>
    <cellStyle name="Normal 2 3 8 6 2" xfId="28557" xr:uid="{0A46C991-6E8B-4D85-A3BD-8285E4D23087}"/>
    <cellStyle name="Normal 2 3 8 6 3" xfId="28558" xr:uid="{E8ECC519-34B3-455C-B7EA-3538954EF155}"/>
    <cellStyle name="Normal 2 3 8 6 4" xfId="28559" xr:uid="{C2D8305A-ABB6-4CD6-966A-EA13822770F7}"/>
    <cellStyle name="Normal 2 3 8 6 5" xfId="28560" xr:uid="{F8D0C78E-804A-4376-B590-438E980E8E9B}"/>
    <cellStyle name="Normal 2 3 8 7" xfId="28561" xr:uid="{8BE9AA52-1CAE-4DE3-BDE6-B233201725D2}"/>
    <cellStyle name="Normal 2 3 8 7 2" xfId="28562" xr:uid="{1BA1C31E-9457-4476-B360-6E94842268F1}"/>
    <cellStyle name="Normal 2 3 8 7 3" xfId="28563" xr:uid="{B4C9236D-8148-4805-A8DF-7728A59025FC}"/>
    <cellStyle name="Normal 2 3 8 7 4" xfId="28564" xr:uid="{4C77CFB8-DE1C-477C-BFB2-3023422EA317}"/>
    <cellStyle name="Normal 2 3 8 7 5" xfId="28565" xr:uid="{230C7695-B0A9-42C6-B52B-8EC8BFF77D55}"/>
    <cellStyle name="Normal 2 3 8 8" xfId="28566" xr:uid="{8582E882-1211-4BE3-AA2E-A3B0B6BC91C6}"/>
    <cellStyle name="Normal 2 3 8 9" xfId="28567" xr:uid="{C09EE33D-5F51-48FF-BBFD-F296422CEF41}"/>
    <cellStyle name="Normal 2 3 9" xfId="28568" xr:uid="{CE848FF7-7520-4643-9FD7-4D65634A4BF6}"/>
    <cellStyle name="Normal 2 3 9 2" xfId="28569" xr:uid="{4D716A82-CB67-45D9-9979-624F841FF0CD}"/>
    <cellStyle name="Normal 2 3 9 2 2" xfId="28570" xr:uid="{DAD5A259-EC5F-4295-8937-CAB2293A31F1}"/>
    <cellStyle name="Normal 2 3 9 2 3" xfId="28571" xr:uid="{0947BD9C-ED3C-4C0F-8076-3F86AC68FE11}"/>
    <cellStyle name="Normal 2 3 9 2 4" xfId="28572" xr:uid="{140CCE15-9AF6-4269-B1C6-26404D8BAAE3}"/>
    <cellStyle name="Normal 2 3 9 2 5" xfId="28573" xr:uid="{EBFC98AF-BB44-48BE-9D9E-7B913BBFF9C7}"/>
    <cellStyle name="Normal 2 3 9 3" xfId="28574" xr:uid="{0995CD7A-43BE-4817-A0C8-80E6493B536A}"/>
    <cellStyle name="Normal 2 3 9 4" xfId="28575" xr:uid="{F645137F-EE03-4ED4-97DA-F21F559CE8AF}"/>
    <cellStyle name="Normal 2 3 9 5" xfId="28576" xr:uid="{7F7D3F0D-431F-49A1-8C6E-5B2E94287464}"/>
    <cellStyle name="Normal 2 30" xfId="255" xr:uid="{F56ACCF2-F901-461A-AC68-F7F50297516D}"/>
    <cellStyle name="Normal 2 31" xfId="256" xr:uid="{F389D6AB-99E1-4E8D-B1C2-AD5DAEDD5F6D}"/>
    <cellStyle name="Normal 2 31 2" xfId="257" xr:uid="{47DC509D-1E8C-4A83-B41C-891A4DABA2F1}"/>
    <cellStyle name="Normal 2 32" xfId="2678" xr:uid="{2505B6C8-6B40-4A76-8F1A-D56B68EF1079}"/>
    <cellStyle name="Normal 2 33" xfId="58" xr:uid="{A0888901-60FA-4F50-AB75-F7BACC55CC8B}"/>
    <cellStyle name="Normal 2 4" xfId="258" xr:uid="{532DE71C-849A-465A-B485-246D04EBED83}"/>
    <cellStyle name="Normal 2 4 10" xfId="28577" xr:uid="{A8574BD1-54B6-4941-8848-E29325AEBE34}"/>
    <cellStyle name="Normal 2 4 10 2" xfId="28578" xr:uid="{638FAD6E-2DFD-44E9-9FA2-EFE9DF226715}"/>
    <cellStyle name="Normal 2 4 10 2 2" xfId="28579" xr:uid="{626D27C3-D807-4E9A-BB1D-081070FF3239}"/>
    <cellStyle name="Normal 2 4 10 2 3" xfId="28580" xr:uid="{FE2CD429-7A1E-41BA-8723-B28E510E39B6}"/>
    <cellStyle name="Normal 2 4 10 2 4" xfId="28581" xr:uid="{1F43C552-C26B-4704-970B-1D81C363351D}"/>
    <cellStyle name="Normal 2 4 10 2 5" xfId="28582" xr:uid="{0BEA64DB-0B97-4D0C-B3CA-F0234863EC2C}"/>
    <cellStyle name="Normal 2 4 10 3" xfId="28583" xr:uid="{3D35E960-E7C3-4B6D-A416-29D3F0CB6BFF}"/>
    <cellStyle name="Normal 2 4 10 4" xfId="28584" xr:uid="{C03DD44D-EE15-4407-AFC8-21F96C3B4170}"/>
    <cellStyle name="Normal 2 4 10 5" xfId="28585" xr:uid="{C7E7EB13-B232-4FA3-B629-97208785966C}"/>
    <cellStyle name="Normal 2 4 10 6" xfId="28586" xr:uid="{AFC56EA5-B56B-48F2-A8CD-F9DFB7A8A740}"/>
    <cellStyle name="Normal 2 4 11" xfId="28587" xr:uid="{7035E3CC-70AE-417D-97AC-C150A3EB1C3A}"/>
    <cellStyle name="Normal 2 4 11 2" xfId="28588" xr:uid="{B9DA6581-70DB-4D44-9730-D7C5D7855C7B}"/>
    <cellStyle name="Normal 2 4 11 3" xfId="28589" xr:uid="{B548447A-AD30-4BE0-9EEA-ABE5020E1F4E}"/>
    <cellStyle name="Normal 2 4 11 4" xfId="28590" xr:uid="{B0618E56-1325-4E13-BFA6-672C27B96F79}"/>
    <cellStyle name="Normal 2 4 11 5" xfId="28591" xr:uid="{7703400D-53D5-4184-ADB3-D66BEBD38833}"/>
    <cellStyle name="Normal 2 4 12" xfId="28592" xr:uid="{BBA50B77-352F-4A90-AEF5-0AB61F426F1D}"/>
    <cellStyle name="Normal 2 4 12 2" xfId="28593" xr:uid="{128FA231-1B34-4682-80F9-0A2E572D4830}"/>
    <cellStyle name="Normal 2 4 12 3" xfId="28594" xr:uid="{FCC3AB47-918B-4DFB-8BB9-1AB120091A02}"/>
    <cellStyle name="Normal 2 4 12 4" xfId="28595" xr:uid="{08697239-85C6-4DA6-8964-C01F0F86E1CB}"/>
    <cellStyle name="Normal 2 4 12 5" xfId="28596" xr:uid="{F5D0212E-FFBF-48B9-B51D-3189ECF75CF3}"/>
    <cellStyle name="Normal 2 4 13" xfId="28597" xr:uid="{CF595575-E53D-40C8-9F9A-F9507882BB13}"/>
    <cellStyle name="Normal 2 4 13 2" xfId="28598" xr:uid="{5ACF9317-FCF7-46F3-B1D8-48B999FA4DBB}"/>
    <cellStyle name="Normal 2 4 13 3" xfId="28599" xr:uid="{1759E19C-AA7F-45B7-BD7A-DDA0BB29043B}"/>
    <cellStyle name="Normal 2 4 13 4" xfId="28600" xr:uid="{16F1CA67-DC50-4AA4-B6EE-7341303E9A23}"/>
    <cellStyle name="Normal 2 4 13 5" xfId="28601" xr:uid="{EDBAFBD0-4DC4-41D5-9056-23EDE004A6D3}"/>
    <cellStyle name="Normal 2 4 14" xfId="28602" xr:uid="{D71FA32A-068B-48B3-9CB6-ED78C011EE44}"/>
    <cellStyle name="Normal 2 4 14 2" xfId="28603" xr:uid="{C6B27DBE-7873-4A77-BE23-9EEA3AAEF21F}"/>
    <cellStyle name="Normal 2 4 14 3" xfId="28604" xr:uid="{34A7A20B-CF8A-4E40-B345-C9C2A8970DFC}"/>
    <cellStyle name="Normal 2 4 14 4" xfId="28605" xr:uid="{BF9D9035-0239-4998-B808-1D2ECEB1717C}"/>
    <cellStyle name="Normal 2 4 14 5" xfId="28606" xr:uid="{875F3DCD-9107-4AEE-89E9-0961C3C8DA52}"/>
    <cellStyle name="Normal 2 4 15" xfId="28607" xr:uid="{5AEB1500-7D66-4914-93CF-4B5C336DE0D8}"/>
    <cellStyle name="Normal 2 4 16" xfId="28608" xr:uid="{33CA209F-D7C4-4058-8C80-82A87F3478C3}"/>
    <cellStyle name="Normal 2 4 17" xfId="28609" xr:uid="{8E01F76A-2FDA-495C-A3C0-438A3B985626}"/>
    <cellStyle name="Normal 2 4 18" xfId="28610" xr:uid="{F3265175-2090-468E-BC7F-3E934F00BA62}"/>
    <cellStyle name="Normal 2 4 19" xfId="46144" xr:uid="{A7793948-97B3-4FB5-B9BD-E0CD7583215E}"/>
    <cellStyle name="Normal 2 4 2" xfId="28611" xr:uid="{FCA1548A-787A-458C-BCC1-1A3CC7554660}"/>
    <cellStyle name="Normal 2 4 2 10" xfId="28612" xr:uid="{936EA51A-655C-4817-A132-05F23EC88325}"/>
    <cellStyle name="Normal 2 4 2 10 2" xfId="28613" xr:uid="{1B10C3FF-A885-4EBA-94F4-9A8D7BBF22C1}"/>
    <cellStyle name="Normal 2 4 2 10 3" xfId="28614" xr:uid="{65F4828A-693D-4E85-8E57-09998EC13BD2}"/>
    <cellStyle name="Normal 2 4 2 10 4" xfId="28615" xr:uid="{5657D5B3-8EF4-453B-A2CF-A316E35F8A16}"/>
    <cellStyle name="Normal 2 4 2 10 5" xfId="28616" xr:uid="{C09EAD1F-899F-4ED2-9547-DEAA5A43CE4A}"/>
    <cellStyle name="Normal 2 4 2 11" xfId="28617" xr:uid="{F49C9BC3-29B7-4D58-B7A6-58FD793B993D}"/>
    <cellStyle name="Normal 2 4 2 11 2" xfId="28618" xr:uid="{CCFBD125-F7F8-4045-BAEF-7B4045878EF6}"/>
    <cellStyle name="Normal 2 4 2 11 3" xfId="28619" xr:uid="{3C485144-EAA3-47F0-910F-B8148E3DBF31}"/>
    <cellStyle name="Normal 2 4 2 11 4" xfId="28620" xr:uid="{4992F656-926A-4402-8B8C-7585305BD6B0}"/>
    <cellStyle name="Normal 2 4 2 11 5" xfId="28621" xr:uid="{4DC24623-E892-4B77-90D6-CF611615C087}"/>
    <cellStyle name="Normal 2 4 2 12" xfId="28622" xr:uid="{9E0BC77E-4D18-45D6-AD67-D7F2605F5235}"/>
    <cellStyle name="Normal 2 4 2 13" xfId="28623" xr:uid="{A606FF9C-1B95-46A4-8E88-AFC5D825FE90}"/>
    <cellStyle name="Normal 2 4 2 14" xfId="28624" xr:uid="{13DC19BA-13D9-437E-8D7F-4A32F25AA3C8}"/>
    <cellStyle name="Normal 2 4 2 15" xfId="28625" xr:uid="{1726FB4D-6040-49A1-BFDF-E7C30925C503}"/>
    <cellStyle name="Normal 2 4 2 2" xfId="28626" xr:uid="{0252ADC1-3CF4-4EEF-8476-43D4E175B7FD}"/>
    <cellStyle name="Normal 2 4 2 2 10" xfId="28627" xr:uid="{597D6072-5C05-4983-BF3D-D1E8F9051467}"/>
    <cellStyle name="Normal 2 4 2 2 10 2" xfId="28628" xr:uid="{4BC1BD2C-56AA-47A5-AF21-DB0B33B1E9D6}"/>
    <cellStyle name="Normal 2 4 2 2 10 3" xfId="28629" xr:uid="{5AE925C2-F9CA-4DDF-8CA5-DD0D9114FB4F}"/>
    <cellStyle name="Normal 2 4 2 2 10 4" xfId="28630" xr:uid="{8B85F7C4-1B5A-4C63-A04F-E236F448CCE5}"/>
    <cellStyle name="Normal 2 4 2 2 10 5" xfId="28631" xr:uid="{80A22BA1-BA91-4EB5-8996-0A671D101D17}"/>
    <cellStyle name="Normal 2 4 2 2 11" xfId="28632" xr:uid="{E1CDAC07-9567-46D6-9767-65778709306A}"/>
    <cellStyle name="Normal 2 4 2 2 12" xfId="28633" xr:uid="{4CDA8495-12F9-473D-ADB4-41825001F85F}"/>
    <cellStyle name="Normal 2 4 2 2 13" xfId="28634" xr:uid="{AEA02634-A9DA-4365-83FC-0BBD4247D6FE}"/>
    <cellStyle name="Normal 2 4 2 2 14" xfId="28635" xr:uid="{E850855E-2BBC-4327-82E3-26E5A813DB2D}"/>
    <cellStyle name="Normal 2 4 2 2 2" xfId="28636" xr:uid="{A449222B-F3FB-4611-8ACE-FC7C717F3902}"/>
    <cellStyle name="Normal 2 4 2 2 2 10" xfId="28637" xr:uid="{C414BA28-322A-4997-BAF7-589C4BAF0D4E}"/>
    <cellStyle name="Normal 2 4 2 2 2 11" xfId="28638" xr:uid="{26998369-55C0-4C51-8FD8-961DB6E5D36D}"/>
    <cellStyle name="Normal 2 4 2 2 2 12" xfId="28639" xr:uid="{4DEF9B23-CA14-49E5-90C2-46D9CC4D5DCB}"/>
    <cellStyle name="Normal 2 4 2 2 2 13" xfId="28640" xr:uid="{D88B3525-0194-4A06-920C-75E3C9854E20}"/>
    <cellStyle name="Normal 2 4 2 2 2 2" xfId="28641" xr:uid="{0E1B1DD0-8068-454F-B2CC-B4731DAF61DA}"/>
    <cellStyle name="Normal 2 4 2 2 2 2 10" xfId="28642" xr:uid="{14F2626A-BC79-4E58-9465-C58F3D3FF7E3}"/>
    <cellStyle name="Normal 2 4 2 2 2 2 11" xfId="28643" xr:uid="{AB13DA12-1139-4ECC-AB33-5D16D3CE894E}"/>
    <cellStyle name="Normal 2 4 2 2 2 2 12" xfId="28644" xr:uid="{889821E9-DC2E-4E08-B7F1-877A60EC8DF9}"/>
    <cellStyle name="Normal 2 4 2 2 2 2 2" xfId="28645" xr:uid="{40AA78F1-CF91-49A9-B5AD-185FD05FE480}"/>
    <cellStyle name="Normal 2 4 2 2 2 2 2 2" xfId="28646" xr:uid="{890E4E6E-281B-4C65-92D8-FFDD58E3BCFA}"/>
    <cellStyle name="Normal 2 4 2 2 2 2 2 2 2" xfId="28647" xr:uid="{7AFBEEA1-ACCA-4C4D-ADB9-2969038B48CD}"/>
    <cellStyle name="Normal 2 4 2 2 2 2 2 2 3" xfId="28648" xr:uid="{C7E91F59-7097-4013-9EF4-3FED784E9B40}"/>
    <cellStyle name="Normal 2 4 2 2 2 2 2 2 4" xfId="28649" xr:uid="{9728EDF2-203A-454B-951F-30BDB1D311F9}"/>
    <cellStyle name="Normal 2 4 2 2 2 2 2 2 5" xfId="28650" xr:uid="{A5AA885F-B19A-4AD0-B55B-3E766C54EEBB}"/>
    <cellStyle name="Normal 2 4 2 2 2 2 2 3" xfId="28651" xr:uid="{7FD5734D-7B01-41D3-8D52-0F14F85F7C81}"/>
    <cellStyle name="Normal 2 4 2 2 2 2 2 4" xfId="28652" xr:uid="{110C5B1B-45AC-43B9-AF80-79753DE9E1DC}"/>
    <cellStyle name="Normal 2 4 2 2 2 2 2 5" xfId="28653" xr:uid="{BC1B56D2-141F-46EF-9804-46884337C9D3}"/>
    <cellStyle name="Normal 2 4 2 2 2 2 2 6" xfId="28654" xr:uid="{D3F50E08-B577-42AB-9FA5-26EA8F2BC49A}"/>
    <cellStyle name="Normal 2 4 2 2 2 2 3" xfId="28655" xr:uid="{E339390A-2A25-4EA5-B0FD-263C0A47F271}"/>
    <cellStyle name="Normal 2 4 2 2 2 2 3 2" xfId="28656" xr:uid="{68581B07-F8E3-41EA-948A-C19690525182}"/>
    <cellStyle name="Normal 2 4 2 2 2 2 3 2 2" xfId="28657" xr:uid="{3C005C19-4F12-4550-BED3-D25E790F7D2D}"/>
    <cellStyle name="Normal 2 4 2 2 2 2 3 2 3" xfId="28658" xr:uid="{1F47B3FA-DD7B-4A44-858A-38DDF153F8AA}"/>
    <cellStyle name="Normal 2 4 2 2 2 2 3 2 4" xfId="28659" xr:uid="{D6CC7C52-056C-4D49-AAD1-A69B24C94980}"/>
    <cellStyle name="Normal 2 4 2 2 2 2 3 2 5" xfId="28660" xr:uid="{ECB3EF5D-C300-46AF-89B6-AC4F269FAD49}"/>
    <cellStyle name="Normal 2 4 2 2 2 2 3 3" xfId="28661" xr:uid="{884981D3-1198-4932-9F9C-0EBBF800114F}"/>
    <cellStyle name="Normal 2 4 2 2 2 2 3 4" xfId="28662" xr:uid="{3B09ED87-3209-4060-B041-7BBCCE039F6C}"/>
    <cellStyle name="Normal 2 4 2 2 2 2 3 5" xfId="28663" xr:uid="{EA973904-C725-4044-A944-4097448FB318}"/>
    <cellStyle name="Normal 2 4 2 2 2 2 3 6" xfId="28664" xr:uid="{3BFB480F-A747-4AFF-A984-4B822387054B}"/>
    <cellStyle name="Normal 2 4 2 2 2 2 4" xfId="28665" xr:uid="{03B12049-4476-452F-AC6E-3898C2B533E7}"/>
    <cellStyle name="Normal 2 4 2 2 2 2 4 2" xfId="28666" xr:uid="{88AF9D94-0B6D-418F-A2AD-6CC9F3D3806B}"/>
    <cellStyle name="Normal 2 4 2 2 2 2 4 2 2" xfId="28667" xr:uid="{3F388FCD-911A-4567-A527-47F2C64D6811}"/>
    <cellStyle name="Normal 2 4 2 2 2 2 4 2 3" xfId="28668" xr:uid="{80A4D513-2BB0-482B-8375-5156BCFB4A3C}"/>
    <cellStyle name="Normal 2 4 2 2 2 2 4 2 4" xfId="28669" xr:uid="{12385AC6-4C6D-4003-AAE2-CCE11F552879}"/>
    <cellStyle name="Normal 2 4 2 2 2 2 4 2 5" xfId="28670" xr:uid="{14963253-DB27-4D18-BA9B-2BF670771765}"/>
    <cellStyle name="Normal 2 4 2 2 2 2 4 3" xfId="28671" xr:uid="{5E026ED2-2B63-4587-BC91-4C58797890E0}"/>
    <cellStyle name="Normal 2 4 2 2 2 2 4 4" xfId="28672" xr:uid="{7877844F-60C7-4ADB-8D3D-BBC8DA36EC46}"/>
    <cellStyle name="Normal 2 4 2 2 2 2 4 5" xfId="28673" xr:uid="{2E7ABF8D-0838-46DA-8001-3D97FF0BA893}"/>
    <cellStyle name="Normal 2 4 2 2 2 2 4 6" xfId="28674" xr:uid="{7A8474B6-2DC5-4A47-9D42-5FB7396B339F}"/>
    <cellStyle name="Normal 2 4 2 2 2 2 5" xfId="28675" xr:uid="{918C3B9D-A1DA-406F-ACCF-9F8E4DD8CFA7}"/>
    <cellStyle name="Normal 2 4 2 2 2 2 5 2" xfId="28676" xr:uid="{DB58976A-1162-4009-9A33-0FF4027792E0}"/>
    <cellStyle name="Normal 2 4 2 2 2 2 5 3" xfId="28677" xr:uid="{462DD654-AF27-4C50-AA3D-123A1D9D125D}"/>
    <cellStyle name="Normal 2 4 2 2 2 2 5 4" xfId="28678" xr:uid="{2F2CBBAE-E12A-4FDB-9E3F-B3875B26A180}"/>
    <cellStyle name="Normal 2 4 2 2 2 2 5 5" xfId="28679" xr:uid="{9A1E7D65-3788-4A7F-AE93-A84A135C1E08}"/>
    <cellStyle name="Normal 2 4 2 2 2 2 6" xfId="28680" xr:uid="{B2EAA518-546B-4156-929A-89982B484F11}"/>
    <cellStyle name="Normal 2 4 2 2 2 2 6 2" xfId="28681" xr:uid="{E09FFC63-5DED-49B0-BA63-23F30CB0BB9B}"/>
    <cellStyle name="Normal 2 4 2 2 2 2 6 3" xfId="28682" xr:uid="{1D0DBB95-B12F-4025-A1DA-5D0C549CC024}"/>
    <cellStyle name="Normal 2 4 2 2 2 2 6 4" xfId="28683" xr:uid="{ED09990A-839F-49FC-82A2-7430B4795A88}"/>
    <cellStyle name="Normal 2 4 2 2 2 2 6 5" xfId="28684" xr:uid="{31340053-B851-49B5-ABD1-2FA9DD2C6282}"/>
    <cellStyle name="Normal 2 4 2 2 2 2 7" xfId="28685" xr:uid="{F48A355C-47CB-4DBD-B8B5-30A73D65AE96}"/>
    <cellStyle name="Normal 2 4 2 2 2 2 7 2" xfId="28686" xr:uid="{5D6BD78F-54FA-45C6-B438-2EB5829C428E}"/>
    <cellStyle name="Normal 2 4 2 2 2 2 7 3" xfId="28687" xr:uid="{BAE80C60-9086-41AD-BCEF-AF34DAE7D740}"/>
    <cellStyle name="Normal 2 4 2 2 2 2 7 4" xfId="28688" xr:uid="{AD1F45CD-FC05-44BC-8E23-72FB41811062}"/>
    <cellStyle name="Normal 2 4 2 2 2 2 7 5" xfId="28689" xr:uid="{3A608786-F006-4B5E-A219-1022DB3DC91A}"/>
    <cellStyle name="Normal 2 4 2 2 2 2 8" xfId="28690" xr:uid="{C43539BA-BB17-4D2E-9AC5-0DF9DF8C3DB1}"/>
    <cellStyle name="Normal 2 4 2 2 2 2 8 2" xfId="28691" xr:uid="{2FE2D134-AB0C-4563-AEEA-02EDF18ED9A0}"/>
    <cellStyle name="Normal 2 4 2 2 2 2 8 3" xfId="28692" xr:uid="{B0469AAD-AFFF-4EF9-A1F0-2D0A4B26AA81}"/>
    <cellStyle name="Normal 2 4 2 2 2 2 8 4" xfId="28693" xr:uid="{D6C5190C-AA28-4DAB-A667-7E575FAC1D60}"/>
    <cellStyle name="Normal 2 4 2 2 2 2 8 5" xfId="28694" xr:uid="{EDBBA74E-AAF8-4A69-BBF0-1CBFBACD8493}"/>
    <cellStyle name="Normal 2 4 2 2 2 2 9" xfId="28695" xr:uid="{45D417C3-3137-41EC-9EE9-430B046A85DF}"/>
    <cellStyle name="Normal 2 4 2 2 2 3" xfId="28696" xr:uid="{554F9D47-2F64-4927-8FD6-CE1AA64B6B1A}"/>
    <cellStyle name="Normal 2 4 2 2 2 3 2" xfId="28697" xr:uid="{F7B6DBA2-39D0-4701-8B6F-4916BD6E5E70}"/>
    <cellStyle name="Normal 2 4 2 2 2 3 2 2" xfId="28698" xr:uid="{1545A004-E961-4188-9C48-D09B2DC4B802}"/>
    <cellStyle name="Normal 2 4 2 2 2 3 2 3" xfId="28699" xr:uid="{DE4FDB56-408B-4082-A90E-4513AA7FC418}"/>
    <cellStyle name="Normal 2 4 2 2 2 3 2 4" xfId="28700" xr:uid="{72A91C2E-52E6-499B-A495-2270E758370E}"/>
    <cellStyle name="Normal 2 4 2 2 2 3 2 5" xfId="28701" xr:uid="{A8D596B8-8FDE-4059-8A4B-269F8F23083F}"/>
    <cellStyle name="Normal 2 4 2 2 2 3 3" xfId="28702" xr:uid="{DCBB1329-0303-4907-9CE5-FAF284AF01A8}"/>
    <cellStyle name="Normal 2 4 2 2 2 3 4" xfId="28703" xr:uid="{F7342762-E164-4253-8283-7623C1C69F92}"/>
    <cellStyle name="Normal 2 4 2 2 2 3 5" xfId="28704" xr:uid="{311B54B7-44D3-411E-8ECF-86561ECBAF43}"/>
    <cellStyle name="Normal 2 4 2 2 2 3 6" xfId="28705" xr:uid="{38B47835-7244-412A-B3A7-799249346E7A}"/>
    <cellStyle name="Normal 2 4 2 2 2 4" xfId="28706" xr:uid="{E48A099A-9130-4EC6-A712-F6F27809BAE7}"/>
    <cellStyle name="Normal 2 4 2 2 2 4 2" xfId="28707" xr:uid="{17E7DD19-63E9-4E94-85B2-4CDF5B77EFEA}"/>
    <cellStyle name="Normal 2 4 2 2 2 4 2 2" xfId="28708" xr:uid="{E73C4834-B249-43FB-A723-351D614C5EC3}"/>
    <cellStyle name="Normal 2 4 2 2 2 4 2 3" xfId="28709" xr:uid="{59B21E2B-D6A8-4029-AEFD-1D4B48E0CD0A}"/>
    <cellStyle name="Normal 2 4 2 2 2 4 2 4" xfId="28710" xr:uid="{FC6C5FEC-58D9-4881-A929-16E8653A33C7}"/>
    <cellStyle name="Normal 2 4 2 2 2 4 2 5" xfId="28711" xr:uid="{DE9F342E-3A8D-46CC-B5B5-9334FA7A7C45}"/>
    <cellStyle name="Normal 2 4 2 2 2 4 3" xfId="28712" xr:uid="{A4B7C5B5-C2E1-4767-99AA-191F6BBC469E}"/>
    <cellStyle name="Normal 2 4 2 2 2 4 4" xfId="28713" xr:uid="{5C6CDE6E-0C87-42CE-91E0-9D17F6EDC0A5}"/>
    <cellStyle name="Normal 2 4 2 2 2 4 5" xfId="28714" xr:uid="{77218BB1-C4B9-439D-AD7E-FB5F4D8E3C82}"/>
    <cellStyle name="Normal 2 4 2 2 2 4 6" xfId="28715" xr:uid="{1006FEBA-6F60-4A23-A0FE-1BCBB14CB320}"/>
    <cellStyle name="Normal 2 4 2 2 2 5" xfId="28716" xr:uid="{89930E8E-FA43-434C-8A6E-35262473353C}"/>
    <cellStyle name="Normal 2 4 2 2 2 5 2" xfId="28717" xr:uid="{CAF7CDAC-B11D-4750-A33B-5B5C2C583A03}"/>
    <cellStyle name="Normal 2 4 2 2 2 5 2 2" xfId="28718" xr:uid="{F4EBB1CC-A451-4CD2-84B0-CA1394CE5427}"/>
    <cellStyle name="Normal 2 4 2 2 2 5 2 3" xfId="28719" xr:uid="{8BE327A4-81B0-4BE5-9D65-B6F9BD46FBF4}"/>
    <cellStyle name="Normal 2 4 2 2 2 5 2 4" xfId="28720" xr:uid="{C8EFA42C-D279-4BAA-8A93-109199F1E05B}"/>
    <cellStyle name="Normal 2 4 2 2 2 5 2 5" xfId="28721" xr:uid="{B19FBF1D-96DF-409D-AC75-AEB2DD14A31F}"/>
    <cellStyle name="Normal 2 4 2 2 2 5 3" xfId="28722" xr:uid="{AF95672D-D3F8-40A1-982A-703DB478CD52}"/>
    <cellStyle name="Normal 2 4 2 2 2 5 4" xfId="28723" xr:uid="{5EBA857B-2FF6-4640-91F2-227F69216444}"/>
    <cellStyle name="Normal 2 4 2 2 2 5 5" xfId="28724" xr:uid="{1F0CACCC-4FCC-4244-BBD2-71DD5A6144AA}"/>
    <cellStyle name="Normal 2 4 2 2 2 5 6" xfId="28725" xr:uid="{9415FC54-7153-43CA-A2EB-B5609A3903C5}"/>
    <cellStyle name="Normal 2 4 2 2 2 6" xfId="28726" xr:uid="{700E597F-EAAC-4169-8493-A783FED800C4}"/>
    <cellStyle name="Normal 2 4 2 2 2 6 2" xfId="28727" xr:uid="{943A870C-EF39-4F20-89F8-2A905BE6DCD2}"/>
    <cellStyle name="Normal 2 4 2 2 2 6 3" xfId="28728" xr:uid="{4217070D-A65E-4AA1-A124-04CDA79A1764}"/>
    <cellStyle name="Normal 2 4 2 2 2 6 4" xfId="28729" xr:uid="{D66F952E-C84A-4551-95A2-5352ADEAE273}"/>
    <cellStyle name="Normal 2 4 2 2 2 6 5" xfId="28730" xr:uid="{23195C7A-DE53-43CA-8D61-85C65DDAD189}"/>
    <cellStyle name="Normal 2 4 2 2 2 7" xfId="28731" xr:uid="{C72652ED-CBD9-4171-AC41-316FC0CD76FE}"/>
    <cellStyle name="Normal 2 4 2 2 2 7 2" xfId="28732" xr:uid="{F62ED5BD-1FB3-4083-BA4A-2B3D9D29B961}"/>
    <cellStyle name="Normal 2 4 2 2 2 7 3" xfId="28733" xr:uid="{52043466-494E-48ED-A14B-C0CF5A5DFF23}"/>
    <cellStyle name="Normal 2 4 2 2 2 7 4" xfId="28734" xr:uid="{9DB2E2AC-33D7-4F5E-B240-CC23FA2498F3}"/>
    <cellStyle name="Normal 2 4 2 2 2 7 5" xfId="28735" xr:uid="{319661A4-8B6F-4CFA-A0F6-E813D9651FC2}"/>
    <cellStyle name="Normal 2 4 2 2 2 8" xfId="28736" xr:uid="{09BC4356-1A67-4958-AE56-A8C9BA50EB95}"/>
    <cellStyle name="Normal 2 4 2 2 2 8 2" xfId="28737" xr:uid="{2DBFED01-0641-4701-9AAA-0650E0775403}"/>
    <cellStyle name="Normal 2 4 2 2 2 8 3" xfId="28738" xr:uid="{A3FAA2E9-12A0-4C43-A93C-D1DE76A19DD9}"/>
    <cellStyle name="Normal 2 4 2 2 2 8 4" xfId="28739" xr:uid="{913AF6DA-417E-4253-8E00-6E08B0DBFD60}"/>
    <cellStyle name="Normal 2 4 2 2 2 8 5" xfId="28740" xr:uid="{11D7206F-2F16-4932-9C6F-416AF3032A86}"/>
    <cellStyle name="Normal 2 4 2 2 2 9" xfId="28741" xr:uid="{02C91115-BCEB-4DDB-8CF7-752A112AA26A}"/>
    <cellStyle name="Normal 2 4 2 2 2 9 2" xfId="28742" xr:uid="{86BD1D91-14BC-450C-8EF7-20D4BE113423}"/>
    <cellStyle name="Normal 2 4 2 2 2 9 3" xfId="28743" xr:uid="{1C437369-041D-4735-A64D-51587896B7D7}"/>
    <cellStyle name="Normal 2 4 2 2 2 9 4" xfId="28744" xr:uid="{5EF5A9C7-8D1E-4508-834F-F5FA5C0D3E59}"/>
    <cellStyle name="Normal 2 4 2 2 2 9 5" xfId="28745" xr:uid="{17E56F4C-23FC-4659-8ADF-766776FC3299}"/>
    <cellStyle name="Normal 2 4 2 2 3" xfId="28746" xr:uid="{AC3460EF-6453-4265-8B10-DC569C4AECBA}"/>
    <cellStyle name="Normal 2 4 2 2 3 10" xfId="28747" xr:uid="{A289752E-D0BC-49D6-A175-8728417E0E2E}"/>
    <cellStyle name="Normal 2 4 2 2 3 11" xfId="28748" xr:uid="{29FA4852-CECC-4120-945E-5350161ADAB6}"/>
    <cellStyle name="Normal 2 4 2 2 3 12" xfId="28749" xr:uid="{5AE9B98D-EBB6-42EA-9075-DE7C726A1F25}"/>
    <cellStyle name="Normal 2 4 2 2 3 2" xfId="28750" xr:uid="{0F6ED889-542F-4127-92E2-529D8175E5AC}"/>
    <cellStyle name="Normal 2 4 2 2 3 2 2" xfId="28751" xr:uid="{DA6AC186-674D-491E-A9B3-D0EAC40D49BC}"/>
    <cellStyle name="Normal 2 4 2 2 3 2 2 2" xfId="28752" xr:uid="{752C578C-DF7A-4CD8-8403-D7630468CBC6}"/>
    <cellStyle name="Normal 2 4 2 2 3 2 2 3" xfId="28753" xr:uid="{BAF78E1A-D9D7-4E8D-9EA8-32D5825A7363}"/>
    <cellStyle name="Normal 2 4 2 2 3 2 2 4" xfId="28754" xr:uid="{449B00A2-F93E-409E-A653-F0FFE7BD3543}"/>
    <cellStyle name="Normal 2 4 2 2 3 2 2 5" xfId="28755" xr:uid="{DC3423E9-B538-4E57-9F71-9A5C617EFE94}"/>
    <cellStyle name="Normal 2 4 2 2 3 2 3" xfId="28756" xr:uid="{A49FA959-F6E6-40EF-BF60-DC57537DF3FC}"/>
    <cellStyle name="Normal 2 4 2 2 3 2 4" xfId="28757" xr:uid="{0848BDF9-FDA0-401B-AF0C-E9FAB3AA7445}"/>
    <cellStyle name="Normal 2 4 2 2 3 2 5" xfId="28758" xr:uid="{1B15EEB2-EAB7-48EC-B5CF-4A4C9904CB0C}"/>
    <cellStyle name="Normal 2 4 2 2 3 2 6" xfId="28759" xr:uid="{A0EBAC36-8E11-4F83-83EC-680663C92079}"/>
    <cellStyle name="Normal 2 4 2 2 3 3" xfId="28760" xr:uid="{1695FD19-FF8E-4D6E-91D0-C7738C616C72}"/>
    <cellStyle name="Normal 2 4 2 2 3 3 2" xfId="28761" xr:uid="{9066E24C-2B13-452F-B078-3B814D6542EA}"/>
    <cellStyle name="Normal 2 4 2 2 3 3 2 2" xfId="28762" xr:uid="{6FE68B9A-6CE5-45B1-A213-9CC0AAC245D8}"/>
    <cellStyle name="Normal 2 4 2 2 3 3 2 3" xfId="28763" xr:uid="{5CC57ABA-D4B5-46F0-9D8C-0F6F5015AF4E}"/>
    <cellStyle name="Normal 2 4 2 2 3 3 2 4" xfId="28764" xr:uid="{FE0E5102-87F8-4936-8655-DD14A795D0FF}"/>
    <cellStyle name="Normal 2 4 2 2 3 3 2 5" xfId="28765" xr:uid="{D030092E-37E1-4C5F-A1CA-1081A8176F4F}"/>
    <cellStyle name="Normal 2 4 2 2 3 3 3" xfId="28766" xr:uid="{A8AC98A8-8DCD-49E7-935C-19402249ACA3}"/>
    <cellStyle name="Normal 2 4 2 2 3 3 4" xfId="28767" xr:uid="{9A21D2AC-947A-430D-82CE-57EC140B437D}"/>
    <cellStyle name="Normal 2 4 2 2 3 3 5" xfId="28768" xr:uid="{78B39ED8-3ED2-41AC-BC14-B84C7B5A3C93}"/>
    <cellStyle name="Normal 2 4 2 2 3 3 6" xfId="28769" xr:uid="{A06A17F7-DAFC-419E-ACE4-4F2EB4AB7E84}"/>
    <cellStyle name="Normal 2 4 2 2 3 4" xfId="28770" xr:uid="{4097BB41-B6E2-4EAB-9F0F-10B7439A9209}"/>
    <cellStyle name="Normal 2 4 2 2 3 4 2" xfId="28771" xr:uid="{1DECBF29-0B7B-4EB6-976C-061B51D5170D}"/>
    <cellStyle name="Normal 2 4 2 2 3 4 2 2" xfId="28772" xr:uid="{CC33A874-E554-4588-8369-B69048EB206B}"/>
    <cellStyle name="Normal 2 4 2 2 3 4 2 3" xfId="28773" xr:uid="{6D3E06A8-2568-41E1-ADE9-87141EB69F00}"/>
    <cellStyle name="Normal 2 4 2 2 3 4 2 4" xfId="28774" xr:uid="{48390BAF-DEFD-4728-883F-4B4FAB9B6302}"/>
    <cellStyle name="Normal 2 4 2 2 3 4 2 5" xfId="28775" xr:uid="{D70FD481-2181-47E1-B03F-D48E6B8230AC}"/>
    <cellStyle name="Normal 2 4 2 2 3 4 3" xfId="28776" xr:uid="{EC4E883D-AA7F-4739-AD02-6A84B136AEB4}"/>
    <cellStyle name="Normal 2 4 2 2 3 4 4" xfId="28777" xr:uid="{90BE8451-24CA-4CE0-9C96-69C82623DF5B}"/>
    <cellStyle name="Normal 2 4 2 2 3 4 5" xfId="28778" xr:uid="{2AC02FC4-1743-4AD9-9609-C227CE41B31E}"/>
    <cellStyle name="Normal 2 4 2 2 3 4 6" xfId="28779" xr:uid="{9554AF70-78E9-4550-B054-EB445AA62FE9}"/>
    <cellStyle name="Normal 2 4 2 2 3 5" xfId="28780" xr:uid="{02671955-6611-4515-AE65-31D7E84F4744}"/>
    <cellStyle name="Normal 2 4 2 2 3 5 2" xfId="28781" xr:uid="{610D4597-F04C-417F-92C8-B2E582B29EE1}"/>
    <cellStyle name="Normal 2 4 2 2 3 5 3" xfId="28782" xr:uid="{C34A2520-FBB8-4D53-8CC0-04A711F7B583}"/>
    <cellStyle name="Normal 2 4 2 2 3 5 4" xfId="28783" xr:uid="{3FA5CB4B-A90B-45CD-8B4E-75DB47A60BDB}"/>
    <cellStyle name="Normal 2 4 2 2 3 5 5" xfId="28784" xr:uid="{065E4164-A4B7-4668-966E-AB9944036DE1}"/>
    <cellStyle name="Normal 2 4 2 2 3 6" xfId="28785" xr:uid="{F41A1EF0-154C-418A-806E-9934659511AA}"/>
    <cellStyle name="Normal 2 4 2 2 3 6 2" xfId="28786" xr:uid="{726B4CFF-7631-4CF2-915E-6EE41B2EAC25}"/>
    <cellStyle name="Normal 2 4 2 2 3 6 3" xfId="28787" xr:uid="{3205122B-D2A0-4071-9F4C-8737D887B24D}"/>
    <cellStyle name="Normal 2 4 2 2 3 6 4" xfId="28788" xr:uid="{E545112C-5FBD-4F05-A9B5-34653FE45AF8}"/>
    <cellStyle name="Normal 2 4 2 2 3 6 5" xfId="28789" xr:uid="{6471965F-6B39-4773-93BF-D4EFFCCB5147}"/>
    <cellStyle name="Normal 2 4 2 2 3 7" xfId="28790" xr:uid="{C8407C07-93C8-4F75-AB5F-5D2503E44A8D}"/>
    <cellStyle name="Normal 2 4 2 2 3 7 2" xfId="28791" xr:uid="{FBB25228-DFEA-45A0-A3AE-FE805004C1CA}"/>
    <cellStyle name="Normal 2 4 2 2 3 7 3" xfId="28792" xr:uid="{4C1714FE-D214-4090-813B-BBC28CD8026D}"/>
    <cellStyle name="Normal 2 4 2 2 3 7 4" xfId="28793" xr:uid="{6CB5B5ED-1536-4594-9487-1C9ECC42AB19}"/>
    <cellStyle name="Normal 2 4 2 2 3 7 5" xfId="28794" xr:uid="{6D43B449-624B-4591-9FED-EF3F43C1A120}"/>
    <cellStyle name="Normal 2 4 2 2 3 8" xfId="28795" xr:uid="{FAA61F63-11CF-4B86-A610-07AEAE3888DB}"/>
    <cellStyle name="Normal 2 4 2 2 3 8 2" xfId="28796" xr:uid="{480DE177-8FFF-4651-8B69-CB8E173692ED}"/>
    <cellStyle name="Normal 2 4 2 2 3 8 3" xfId="28797" xr:uid="{7D2B2D80-0F0B-4DAD-98EF-0E52A887574E}"/>
    <cellStyle name="Normal 2 4 2 2 3 8 4" xfId="28798" xr:uid="{F7E37F1E-B294-4B88-AEEE-61EFFBD64DAC}"/>
    <cellStyle name="Normal 2 4 2 2 3 8 5" xfId="28799" xr:uid="{A3C46DF8-8032-41FF-9E3D-B4EDBEBC1B27}"/>
    <cellStyle name="Normal 2 4 2 2 3 9" xfId="28800" xr:uid="{7FEC547F-2817-4D21-BF8C-8D2A9D54CD19}"/>
    <cellStyle name="Normal 2 4 2 2 4" xfId="28801" xr:uid="{991BD445-D531-4D78-B83D-4F160DDF3ACE}"/>
    <cellStyle name="Normal 2 4 2 2 4 2" xfId="28802" xr:uid="{E360D66D-8FE8-444C-9F48-8295985C673D}"/>
    <cellStyle name="Normal 2 4 2 2 4 2 2" xfId="28803" xr:uid="{7DF4C305-3EE9-45E1-973A-6C9F907CD33A}"/>
    <cellStyle name="Normal 2 4 2 2 4 2 3" xfId="28804" xr:uid="{2DDC5132-30D8-4528-B1C1-ACAD30F971F1}"/>
    <cellStyle name="Normal 2 4 2 2 4 2 4" xfId="28805" xr:uid="{092F3F39-A444-443A-84EE-6605BDB913EE}"/>
    <cellStyle name="Normal 2 4 2 2 4 2 5" xfId="28806" xr:uid="{E1B9A22A-3365-436A-BE86-9D596FAD0283}"/>
    <cellStyle name="Normal 2 4 2 2 4 3" xfId="28807" xr:uid="{0E4F1058-2749-4E4E-A6BD-1D650CB13828}"/>
    <cellStyle name="Normal 2 4 2 2 4 4" xfId="28808" xr:uid="{8695583C-B397-4194-8FD3-7882B70908DA}"/>
    <cellStyle name="Normal 2 4 2 2 4 5" xfId="28809" xr:uid="{1289CB1F-D470-4629-B666-F9C0A71CE1D8}"/>
    <cellStyle name="Normal 2 4 2 2 4 6" xfId="28810" xr:uid="{0CDC93CF-35F9-4B9A-96BA-C1C4AF4784E0}"/>
    <cellStyle name="Normal 2 4 2 2 5" xfId="28811" xr:uid="{0F8C5858-DF34-4924-8563-BAEFDD7CC5BA}"/>
    <cellStyle name="Normal 2 4 2 2 5 2" xfId="28812" xr:uid="{01BC11F2-3ECD-4794-B93F-E7DE971F6B52}"/>
    <cellStyle name="Normal 2 4 2 2 5 2 2" xfId="28813" xr:uid="{C8D85038-06EC-4600-998E-6A6D57B48A80}"/>
    <cellStyle name="Normal 2 4 2 2 5 2 3" xfId="28814" xr:uid="{55AC7DED-6050-4020-AA06-BF0567DB9E88}"/>
    <cellStyle name="Normal 2 4 2 2 5 2 4" xfId="28815" xr:uid="{FD806205-04EB-4028-A1C0-AF39C18FAE90}"/>
    <cellStyle name="Normal 2 4 2 2 5 2 5" xfId="28816" xr:uid="{9DBF9EB3-271D-41F8-BD96-93CAC3D3C985}"/>
    <cellStyle name="Normal 2 4 2 2 5 3" xfId="28817" xr:uid="{EC6F2BA7-A46F-4353-8D1E-F9ECE7EA5DA0}"/>
    <cellStyle name="Normal 2 4 2 2 5 4" xfId="28818" xr:uid="{FC986AED-869D-46A9-9FB6-E22932AA2A4C}"/>
    <cellStyle name="Normal 2 4 2 2 5 5" xfId="28819" xr:uid="{56BF7C1F-88BD-44B4-80A2-29854A6E3BBD}"/>
    <cellStyle name="Normal 2 4 2 2 5 6" xfId="28820" xr:uid="{18E05AEE-9B6D-4315-8711-326BB05D0185}"/>
    <cellStyle name="Normal 2 4 2 2 6" xfId="28821" xr:uid="{8B4B19C9-3033-4AFB-B356-8DF5C8FCC42B}"/>
    <cellStyle name="Normal 2 4 2 2 6 2" xfId="28822" xr:uid="{B0AC3A05-E1DE-448C-89A5-3E19B458EB3A}"/>
    <cellStyle name="Normal 2 4 2 2 6 2 2" xfId="28823" xr:uid="{9196982E-E57B-435B-831E-70BB98A3AEF2}"/>
    <cellStyle name="Normal 2 4 2 2 6 2 3" xfId="28824" xr:uid="{FC87A1BA-12FF-4642-9AC5-94C09911C171}"/>
    <cellStyle name="Normal 2 4 2 2 6 2 4" xfId="28825" xr:uid="{EAC76281-1229-4DD1-BF7F-E6DF26AF23C9}"/>
    <cellStyle name="Normal 2 4 2 2 6 2 5" xfId="28826" xr:uid="{CC7240EE-FB97-43DC-972A-5FDCA9250E31}"/>
    <cellStyle name="Normal 2 4 2 2 6 3" xfId="28827" xr:uid="{72FCD636-4FA5-4968-8DDD-2F96292261E3}"/>
    <cellStyle name="Normal 2 4 2 2 6 4" xfId="28828" xr:uid="{FC9A2A93-0F05-4F6C-B46F-60E152E690E7}"/>
    <cellStyle name="Normal 2 4 2 2 6 5" xfId="28829" xr:uid="{5B9C92D2-E9B4-4425-8AA3-32C5F47C758A}"/>
    <cellStyle name="Normal 2 4 2 2 6 6" xfId="28830" xr:uid="{6D2A1904-9634-462A-A55B-EDF5082A71A4}"/>
    <cellStyle name="Normal 2 4 2 2 7" xfId="28831" xr:uid="{5CD039E6-B1AA-473B-A491-812D2B974DEC}"/>
    <cellStyle name="Normal 2 4 2 2 7 2" xfId="28832" xr:uid="{EF6CBC47-D0BF-48A7-9B06-7DCF058F5182}"/>
    <cellStyle name="Normal 2 4 2 2 7 3" xfId="28833" xr:uid="{03592607-4E39-4F99-B4E7-92E688000BEF}"/>
    <cellStyle name="Normal 2 4 2 2 7 4" xfId="28834" xr:uid="{B47E18BC-BB6C-493D-9CBD-3D59C8388C81}"/>
    <cellStyle name="Normal 2 4 2 2 7 5" xfId="28835" xr:uid="{E43E0108-D37D-4CD2-9612-DAA650B7B90E}"/>
    <cellStyle name="Normal 2 4 2 2 8" xfId="28836" xr:uid="{948F55EE-2A55-43D6-8615-4706E6F80474}"/>
    <cellStyle name="Normal 2 4 2 2 8 2" xfId="28837" xr:uid="{FD43A79F-E884-4DBD-A75C-5583E0C0596A}"/>
    <cellStyle name="Normal 2 4 2 2 8 3" xfId="28838" xr:uid="{4CBA0294-DF18-4BC4-BB65-12213E1F3710}"/>
    <cellStyle name="Normal 2 4 2 2 8 4" xfId="28839" xr:uid="{E86FD15B-4EA7-466D-A4BC-A8381BF02A2A}"/>
    <cellStyle name="Normal 2 4 2 2 8 5" xfId="28840" xr:uid="{1E9E921F-DF0F-417B-8C77-B3FF62079D76}"/>
    <cellStyle name="Normal 2 4 2 2 9" xfId="28841" xr:uid="{1607757A-47D0-41B6-883C-4019299E5A24}"/>
    <cellStyle name="Normal 2 4 2 2 9 2" xfId="28842" xr:uid="{5DD77DDD-C122-4BEF-BB05-4EB42BC45CEC}"/>
    <cellStyle name="Normal 2 4 2 2 9 3" xfId="28843" xr:uid="{5E42998F-F824-4225-B6FD-CA5B3BCA9ED8}"/>
    <cellStyle name="Normal 2 4 2 2 9 4" xfId="28844" xr:uid="{98FF3EA3-BBD8-4C91-BC6C-5CD1F24941EE}"/>
    <cellStyle name="Normal 2 4 2 2 9 5" xfId="28845" xr:uid="{338DE476-764A-4E6E-909D-9C827D49A458}"/>
    <cellStyle name="Normal 2 4 2 3" xfId="28846" xr:uid="{FFFAD82F-57A1-4816-A9CB-688A56A73714}"/>
    <cellStyle name="Normal 2 4 2 3 10" xfId="28847" xr:uid="{612F7139-F0FD-40F3-8308-82EE8DEE106A}"/>
    <cellStyle name="Normal 2 4 2 3 11" xfId="28848" xr:uid="{3D421A9D-C670-4FC9-B9B8-F3360893BB00}"/>
    <cellStyle name="Normal 2 4 2 3 12" xfId="28849" xr:uid="{FDCA91D7-7F9C-4805-A747-5C95761F59C8}"/>
    <cellStyle name="Normal 2 4 2 3 13" xfId="28850" xr:uid="{76B4740B-6795-49D0-BA23-F51744348EC5}"/>
    <cellStyle name="Normal 2 4 2 3 2" xfId="28851" xr:uid="{E4C41E87-FAA4-4F66-BDAB-5C6027F950EC}"/>
    <cellStyle name="Normal 2 4 2 3 2 10" xfId="28852" xr:uid="{EC8422BC-E015-40F6-9BEC-0FB2AFC2305C}"/>
    <cellStyle name="Normal 2 4 2 3 2 11" xfId="28853" xr:uid="{CE4DEFF3-BF04-4EBC-AC63-AC658EFA975A}"/>
    <cellStyle name="Normal 2 4 2 3 2 12" xfId="28854" xr:uid="{5FF4A181-1028-44D1-9686-9E2E4539DB00}"/>
    <cellStyle name="Normal 2 4 2 3 2 2" xfId="28855" xr:uid="{F317E92A-4F60-464C-84D3-90743BCB28C7}"/>
    <cellStyle name="Normal 2 4 2 3 2 2 2" xfId="28856" xr:uid="{5EB16D55-70AC-4FB6-9234-76B12373A301}"/>
    <cellStyle name="Normal 2 4 2 3 2 2 2 2" xfId="28857" xr:uid="{31B233B5-6FFC-4493-BB7E-DBE5157691CE}"/>
    <cellStyle name="Normal 2 4 2 3 2 2 2 3" xfId="28858" xr:uid="{BA0DDF56-CB62-45AE-BB84-7165C468C875}"/>
    <cellStyle name="Normal 2 4 2 3 2 2 2 4" xfId="28859" xr:uid="{9E6C2A79-7BC5-4CF8-823F-F882EDFF1961}"/>
    <cellStyle name="Normal 2 4 2 3 2 2 2 5" xfId="28860" xr:uid="{A4EB7981-83B8-40C3-8845-E9775872285F}"/>
    <cellStyle name="Normal 2 4 2 3 2 2 3" xfId="28861" xr:uid="{E700BC7A-A855-4DC3-9370-0D254A313089}"/>
    <cellStyle name="Normal 2 4 2 3 2 2 4" xfId="28862" xr:uid="{C5CE7F7A-4AB6-4510-BD73-9B4EC61041D6}"/>
    <cellStyle name="Normal 2 4 2 3 2 2 5" xfId="28863" xr:uid="{5EB5AE1B-46E4-4161-84B3-AED5239A4D9D}"/>
    <cellStyle name="Normal 2 4 2 3 2 2 6" xfId="28864" xr:uid="{D5D3F77F-5B78-435F-A289-4115DAABC4D5}"/>
    <cellStyle name="Normal 2 4 2 3 2 3" xfId="28865" xr:uid="{56DB61F0-584F-46D7-83F4-84D5D40DAA22}"/>
    <cellStyle name="Normal 2 4 2 3 2 3 2" xfId="28866" xr:uid="{D3F89C66-A268-490D-A3AF-E7339FA8DD37}"/>
    <cellStyle name="Normal 2 4 2 3 2 3 2 2" xfId="28867" xr:uid="{355B7FF4-D229-416A-B04F-CCCE566B5F58}"/>
    <cellStyle name="Normal 2 4 2 3 2 3 2 3" xfId="28868" xr:uid="{899E0538-1991-4D25-A8EC-A0C4B5B31DA4}"/>
    <cellStyle name="Normal 2 4 2 3 2 3 2 4" xfId="28869" xr:uid="{37FD8F27-F9AC-4864-A390-EFF191015D4E}"/>
    <cellStyle name="Normal 2 4 2 3 2 3 2 5" xfId="28870" xr:uid="{CAA19876-EE20-463E-BB3D-6A47957E6006}"/>
    <cellStyle name="Normal 2 4 2 3 2 3 3" xfId="28871" xr:uid="{BF839685-17E7-4C1D-8B8D-B3464DFCAF5A}"/>
    <cellStyle name="Normal 2 4 2 3 2 3 4" xfId="28872" xr:uid="{C7C005C4-3249-455E-BB39-89A00CD85779}"/>
    <cellStyle name="Normal 2 4 2 3 2 3 5" xfId="28873" xr:uid="{897AFDE0-8AC4-4E6B-9036-49BE7ABE94EF}"/>
    <cellStyle name="Normal 2 4 2 3 2 3 6" xfId="28874" xr:uid="{F3A3D3F1-C463-45A8-B657-57F79C412902}"/>
    <cellStyle name="Normal 2 4 2 3 2 4" xfId="28875" xr:uid="{660ED81F-A3C4-4E9A-A071-7C88FBE75898}"/>
    <cellStyle name="Normal 2 4 2 3 2 4 2" xfId="28876" xr:uid="{E0563BFD-F7D5-46A9-B69A-B7F8D41122DB}"/>
    <cellStyle name="Normal 2 4 2 3 2 4 2 2" xfId="28877" xr:uid="{11628756-076E-417D-9DE4-CDFB10644A20}"/>
    <cellStyle name="Normal 2 4 2 3 2 4 2 3" xfId="28878" xr:uid="{03DF8EAA-7641-43E2-BAD2-94BFE39389EE}"/>
    <cellStyle name="Normal 2 4 2 3 2 4 2 4" xfId="28879" xr:uid="{999568D1-2098-4E4C-B249-9933050BAA55}"/>
    <cellStyle name="Normal 2 4 2 3 2 4 2 5" xfId="28880" xr:uid="{4049A0D0-DC46-4F78-B5E0-CF8942B95368}"/>
    <cellStyle name="Normal 2 4 2 3 2 4 3" xfId="28881" xr:uid="{5E2EE5CC-760A-4926-987D-5B321E1A1195}"/>
    <cellStyle name="Normal 2 4 2 3 2 4 4" xfId="28882" xr:uid="{13A76BC9-E6C4-43F2-844C-8C7F9FDF2166}"/>
    <cellStyle name="Normal 2 4 2 3 2 4 5" xfId="28883" xr:uid="{1AF8951B-3E60-46EC-A5AE-CE353CC989B9}"/>
    <cellStyle name="Normal 2 4 2 3 2 4 6" xfId="28884" xr:uid="{C14818BE-EE12-453A-A571-36815A630B92}"/>
    <cellStyle name="Normal 2 4 2 3 2 5" xfId="28885" xr:uid="{7EF4D1A4-8643-40AE-9B2D-9B862E8247B5}"/>
    <cellStyle name="Normal 2 4 2 3 2 5 2" xfId="28886" xr:uid="{3F3D4F81-3452-4404-9AFE-B26DEF4356A0}"/>
    <cellStyle name="Normal 2 4 2 3 2 5 3" xfId="28887" xr:uid="{16C0B807-1AFA-4497-98BF-8344E497DC7F}"/>
    <cellStyle name="Normal 2 4 2 3 2 5 4" xfId="28888" xr:uid="{BCA6AF94-7B75-41C2-BCA7-362C4F28A715}"/>
    <cellStyle name="Normal 2 4 2 3 2 5 5" xfId="28889" xr:uid="{D8D2E90D-EB46-4269-9FD1-117B7EDFFD8E}"/>
    <cellStyle name="Normal 2 4 2 3 2 6" xfId="28890" xr:uid="{E11C70AC-A6BE-4A34-8015-2A679F4D00DD}"/>
    <cellStyle name="Normal 2 4 2 3 2 6 2" xfId="28891" xr:uid="{CF8E69ED-9D29-45E3-98E9-029669E475AF}"/>
    <cellStyle name="Normal 2 4 2 3 2 6 3" xfId="28892" xr:uid="{0D30AA15-70F8-40DD-A9D8-25078E17CE30}"/>
    <cellStyle name="Normal 2 4 2 3 2 6 4" xfId="28893" xr:uid="{E7A753AC-5DC2-4B2A-8492-CFE23A450D24}"/>
    <cellStyle name="Normal 2 4 2 3 2 6 5" xfId="28894" xr:uid="{FF0463CB-DBF6-44EE-923D-282AF6AC9E23}"/>
    <cellStyle name="Normal 2 4 2 3 2 7" xfId="28895" xr:uid="{B10596FB-3728-4014-B83A-56CB4ECBB4B9}"/>
    <cellStyle name="Normal 2 4 2 3 2 7 2" xfId="28896" xr:uid="{118A5591-C1EF-4673-98C6-7698B32F204A}"/>
    <cellStyle name="Normal 2 4 2 3 2 7 3" xfId="28897" xr:uid="{1FB260E6-413C-4567-B55D-DCEFC13F7D1B}"/>
    <cellStyle name="Normal 2 4 2 3 2 7 4" xfId="28898" xr:uid="{416F737B-87B9-452A-A259-8C3128905D81}"/>
    <cellStyle name="Normal 2 4 2 3 2 7 5" xfId="28899" xr:uid="{D8B6BA44-CD36-4B57-BCF0-BCECDF9C0823}"/>
    <cellStyle name="Normal 2 4 2 3 2 8" xfId="28900" xr:uid="{9B11EC43-F3CE-4C60-8F55-2EBB20AFC8C6}"/>
    <cellStyle name="Normal 2 4 2 3 2 8 2" xfId="28901" xr:uid="{1AF01F84-07F6-4E9B-B8C1-71B84564059E}"/>
    <cellStyle name="Normal 2 4 2 3 2 8 3" xfId="28902" xr:uid="{AE2D79AA-883D-4BE5-A8E5-DE44E37FFFCA}"/>
    <cellStyle name="Normal 2 4 2 3 2 8 4" xfId="28903" xr:uid="{CF028148-061D-4F60-AA33-C96F973941B6}"/>
    <cellStyle name="Normal 2 4 2 3 2 8 5" xfId="28904" xr:uid="{6A4C39FF-FB06-497D-B486-8F75959D7304}"/>
    <cellStyle name="Normal 2 4 2 3 2 9" xfId="28905" xr:uid="{6AAC1531-F726-4E54-B0F9-E8D1060686C7}"/>
    <cellStyle name="Normal 2 4 2 3 3" xfId="28906" xr:uid="{E5C434C5-357E-4F01-BDF3-2B8610912F0F}"/>
    <cellStyle name="Normal 2 4 2 3 3 2" xfId="28907" xr:uid="{82687FDD-94A2-4DA2-B47E-7F4B6DC37D11}"/>
    <cellStyle name="Normal 2 4 2 3 3 2 2" xfId="28908" xr:uid="{EF231DAC-42BB-41DC-9592-B1903AA23181}"/>
    <cellStyle name="Normal 2 4 2 3 3 2 3" xfId="28909" xr:uid="{B918ED8C-D708-4EFB-AED3-84606F48B143}"/>
    <cellStyle name="Normal 2 4 2 3 3 2 4" xfId="28910" xr:uid="{9F0054EE-3179-44FC-AC7C-0A3092D863A6}"/>
    <cellStyle name="Normal 2 4 2 3 3 2 5" xfId="28911" xr:uid="{360AA602-2750-4983-82FD-7A1CFE6CE23E}"/>
    <cellStyle name="Normal 2 4 2 3 3 3" xfId="28912" xr:uid="{BB34BFFC-D5A2-4188-A413-FBC14BE69A68}"/>
    <cellStyle name="Normal 2 4 2 3 3 4" xfId="28913" xr:uid="{1706B30D-B88E-482D-8759-FBEE0CA62FB5}"/>
    <cellStyle name="Normal 2 4 2 3 3 5" xfId="28914" xr:uid="{3B2D7FB5-6F84-4312-86D3-BA7D0089B878}"/>
    <cellStyle name="Normal 2 4 2 3 3 6" xfId="28915" xr:uid="{0C09D080-73F4-430E-97CD-2AFE15584568}"/>
    <cellStyle name="Normal 2 4 2 3 4" xfId="28916" xr:uid="{B396BC6D-7F0E-496F-8304-40A2A5B480EE}"/>
    <cellStyle name="Normal 2 4 2 3 4 2" xfId="28917" xr:uid="{BEB12325-2AF4-40B7-8599-B3B899D44BC4}"/>
    <cellStyle name="Normal 2 4 2 3 4 2 2" xfId="28918" xr:uid="{39D094E0-1715-432E-BA85-71B52E91152E}"/>
    <cellStyle name="Normal 2 4 2 3 4 2 3" xfId="28919" xr:uid="{8BB1BEA3-B49B-4FE9-8EB0-A3143DD85BEC}"/>
    <cellStyle name="Normal 2 4 2 3 4 2 4" xfId="28920" xr:uid="{0E1AE616-A8E6-43A7-994D-3F23F983CC14}"/>
    <cellStyle name="Normal 2 4 2 3 4 2 5" xfId="28921" xr:uid="{55326278-BE9C-4101-8058-FBBF69EE749F}"/>
    <cellStyle name="Normal 2 4 2 3 4 3" xfId="28922" xr:uid="{3FA97B49-B119-43A1-9680-55368587243B}"/>
    <cellStyle name="Normal 2 4 2 3 4 4" xfId="28923" xr:uid="{D788EB64-F25C-4FA5-B00D-AFA864F37419}"/>
    <cellStyle name="Normal 2 4 2 3 4 5" xfId="28924" xr:uid="{C1C98D2A-5A39-433A-A1D7-D558BE6D32F7}"/>
    <cellStyle name="Normal 2 4 2 3 4 6" xfId="28925" xr:uid="{5DC7A6D0-D9C0-4264-AEF2-81E25E13237D}"/>
    <cellStyle name="Normal 2 4 2 3 5" xfId="28926" xr:uid="{58349495-7566-43FA-BCCB-2280CE91F58D}"/>
    <cellStyle name="Normal 2 4 2 3 5 2" xfId="28927" xr:uid="{8A53AEA3-0729-4757-A7F9-904BD0668442}"/>
    <cellStyle name="Normal 2 4 2 3 5 2 2" xfId="28928" xr:uid="{736162E9-9233-42D6-85DF-54D09718BD85}"/>
    <cellStyle name="Normal 2 4 2 3 5 2 3" xfId="28929" xr:uid="{51528B4E-8E2E-442C-9224-8B5C9C58C73C}"/>
    <cellStyle name="Normal 2 4 2 3 5 2 4" xfId="28930" xr:uid="{E3501044-66B9-4D37-BBDF-790542E7BEC3}"/>
    <cellStyle name="Normal 2 4 2 3 5 2 5" xfId="28931" xr:uid="{DEA47FF6-0173-4981-B24A-4813D7A6C215}"/>
    <cellStyle name="Normal 2 4 2 3 5 3" xfId="28932" xr:uid="{1EAA19D6-B0E6-41A8-8874-A53D237FB20C}"/>
    <cellStyle name="Normal 2 4 2 3 5 4" xfId="28933" xr:uid="{851F66AD-1F96-4215-B14E-D37A9FCBBC3F}"/>
    <cellStyle name="Normal 2 4 2 3 5 5" xfId="28934" xr:uid="{68B150B3-0839-47F7-9D10-32E5131AB7B4}"/>
    <cellStyle name="Normal 2 4 2 3 5 6" xfId="28935" xr:uid="{3126E9BA-2A09-493E-99F2-6527A69C89A2}"/>
    <cellStyle name="Normal 2 4 2 3 6" xfId="28936" xr:uid="{6EC22084-76AB-42C3-8547-E1B67258A19F}"/>
    <cellStyle name="Normal 2 4 2 3 6 2" xfId="28937" xr:uid="{9B651DF4-545E-4E0D-8C31-1FC53BB41CDD}"/>
    <cellStyle name="Normal 2 4 2 3 6 3" xfId="28938" xr:uid="{E17B1220-1657-497C-B7AC-BDCF2A285059}"/>
    <cellStyle name="Normal 2 4 2 3 6 4" xfId="28939" xr:uid="{313F6BD4-348D-4DF8-9F9B-5AD930A39398}"/>
    <cellStyle name="Normal 2 4 2 3 6 5" xfId="28940" xr:uid="{195F3FB2-D30A-406D-8358-2652A882607B}"/>
    <cellStyle name="Normal 2 4 2 3 7" xfId="28941" xr:uid="{652B32BB-95A0-4C0B-96BD-AABC84F239E1}"/>
    <cellStyle name="Normal 2 4 2 3 7 2" xfId="28942" xr:uid="{4ED88214-E846-43A3-B2D7-9D5EBD1A755C}"/>
    <cellStyle name="Normal 2 4 2 3 7 3" xfId="28943" xr:uid="{7BF5E70C-3B52-4D74-886F-29277106AF18}"/>
    <cellStyle name="Normal 2 4 2 3 7 4" xfId="28944" xr:uid="{7254F47B-C87A-433E-BB8D-C6C451168A4C}"/>
    <cellStyle name="Normal 2 4 2 3 7 5" xfId="28945" xr:uid="{5E56A499-DCB9-4692-9C53-83912E7C80AB}"/>
    <cellStyle name="Normal 2 4 2 3 8" xfId="28946" xr:uid="{064037F2-F1AC-48B8-9E41-DC876228D073}"/>
    <cellStyle name="Normal 2 4 2 3 8 2" xfId="28947" xr:uid="{4A13C63D-0B9B-4F4D-9532-BA80582D837B}"/>
    <cellStyle name="Normal 2 4 2 3 8 3" xfId="28948" xr:uid="{DCE516C4-1D94-4C3D-9380-D0AB763AF6FC}"/>
    <cellStyle name="Normal 2 4 2 3 8 4" xfId="28949" xr:uid="{EA4D2371-510B-4694-B844-8A759E9D9A76}"/>
    <cellStyle name="Normal 2 4 2 3 8 5" xfId="28950" xr:uid="{935CCB06-624B-4973-89D5-95CC69654E89}"/>
    <cellStyle name="Normal 2 4 2 3 9" xfId="28951" xr:uid="{9E66690D-B2D6-4F80-B82C-C7EC783A54C4}"/>
    <cellStyle name="Normal 2 4 2 3 9 2" xfId="28952" xr:uid="{99FB0421-A3D3-4BA9-B81E-332A6550ACAE}"/>
    <cellStyle name="Normal 2 4 2 3 9 3" xfId="28953" xr:uid="{029F9D5A-84C2-4F73-A5B9-A210A889871A}"/>
    <cellStyle name="Normal 2 4 2 3 9 4" xfId="28954" xr:uid="{4DF6DE5C-005C-4622-99D0-D710A97AF8D7}"/>
    <cellStyle name="Normal 2 4 2 3 9 5" xfId="28955" xr:uid="{2387A0BF-62A3-45AE-BB09-8EFA1CA4C1AB}"/>
    <cellStyle name="Normal 2 4 2 4" xfId="28956" xr:uid="{2D206C42-78B0-45AD-B9A4-8BA0C36B989D}"/>
    <cellStyle name="Normal 2 4 2 4 10" xfId="28957" xr:uid="{8A275EA0-B602-4993-98B7-DF6C50201B4B}"/>
    <cellStyle name="Normal 2 4 2 4 11" xfId="28958" xr:uid="{168F928D-9D8C-4BBA-B160-72DF02976243}"/>
    <cellStyle name="Normal 2 4 2 4 12" xfId="28959" xr:uid="{6D839BCC-48B8-4173-949F-90F21C2DE1D5}"/>
    <cellStyle name="Normal 2 4 2 4 2" xfId="28960" xr:uid="{A2C987C0-6370-4691-BB1E-2C69FDCC63B1}"/>
    <cellStyle name="Normal 2 4 2 4 2 2" xfId="28961" xr:uid="{A9937797-1BA3-4131-AC7D-7D800D3BFF4E}"/>
    <cellStyle name="Normal 2 4 2 4 2 2 2" xfId="28962" xr:uid="{AF387600-A613-4D1F-A2A6-0210AC8CC376}"/>
    <cellStyle name="Normal 2 4 2 4 2 2 3" xfId="28963" xr:uid="{40C450C6-7575-4D6D-8C50-68C2B850E094}"/>
    <cellStyle name="Normal 2 4 2 4 2 2 4" xfId="28964" xr:uid="{6035856C-C42F-4829-89A6-F50D77A62606}"/>
    <cellStyle name="Normal 2 4 2 4 2 2 5" xfId="28965" xr:uid="{ECE8C40A-10F2-4958-A7FC-982C088E3A53}"/>
    <cellStyle name="Normal 2 4 2 4 2 3" xfId="28966" xr:uid="{629E9582-6187-4CD2-9F1A-260596534BFA}"/>
    <cellStyle name="Normal 2 4 2 4 2 4" xfId="28967" xr:uid="{FFFAA702-EA97-4B74-AB6D-A872DF7260A7}"/>
    <cellStyle name="Normal 2 4 2 4 2 5" xfId="28968" xr:uid="{1DBBB78B-24EF-4275-A8CF-1D66F103C922}"/>
    <cellStyle name="Normal 2 4 2 4 2 6" xfId="28969" xr:uid="{77A93E7F-C036-49C1-8D23-A192DDEF62BE}"/>
    <cellStyle name="Normal 2 4 2 4 3" xfId="28970" xr:uid="{C2C018E8-3ABA-446C-BA54-141F02E7CE34}"/>
    <cellStyle name="Normal 2 4 2 4 3 2" xfId="28971" xr:uid="{CBB3C9A4-F8BD-4E5E-874B-FB72F5F8AC3D}"/>
    <cellStyle name="Normal 2 4 2 4 3 2 2" xfId="28972" xr:uid="{2134D1C0-0441-45E4-9E08-52AAF6AE97B9}"/>
    <cellStyle name="Normal 2 4 2 4 3 2 3" xfId="28973" xr:uid="{06A9E912-ED5C-4942-BB6A-B6044D663F6F}"/>
    <cellStyle name="Normal 2 4 2 4 3 2 4" xfId="28974" xr:uid="{7ECD04BC-5B76-45F4-A268-DFB7E9A81867}"/>
    <cellStyle name="Normal 2 4 2 4 3 2 5" xfId="28975" xr:uid="{7C6D2050-4E32-49B2-88A3-5C49F8C2CFAA}"/>
    <cellStyle name="Normal 2 4 2 4 3 3" xfId="28976" xr:uid="{2D268764-92C5-4BC5-8CC7-5C3A47B7AF69}"/>
    <cellStyle name="Normal 2 4 2 4 3 4" xfId="28977" xr:uid="{A91BF0D3-AD0B-4225-ABC6-0FDE7BEA8246}"/>
    <cellStyle name="Normal 2 4 2 4 3 5" xfId="28978" xr:uid="{D7A0BD1F-021C-4B7A-83C0-C99CE08AF107}"/>
    <cellStyle name="Normal 2 4 2 4 3 6" xfId="28979" xr:uid="{4D3C34B5-97BD-40B4-BF02-4E0B10F4B21F}"/>
    <cellStyle name="Normal 2 4 2 4 4" xfId="28980" xr:uid="{55B19778-4B67-4A37-AF0C-0D125DE54B7D}"/>
    <cellStyle name="Normal 2 4 2 4 4 2" xfId="28981" xr:uid="{14900360-8B70-4FC9-8638-28DA616FA117}"/>
    <cellStyle name="Normal 2 4 2 4 4 2 2" xfId="28982" xr:uid="{5DF9F3D0-D1AD-4042-A6C0-3FA642796584}"/>
    <cellStyle name="Normal 2 4 2 4 4 2 3" xfId="28983" xr:uid="{5496928C-E99A-4633-8110-B182CB0EE66E}"/>
    <cellStyle name="Normal 2 4 2 4 4 2 4" xfId="28984" xr:uid="{00AB30E6-C4CC-442A-AE88-33296C9F76E0}"/>
    <cellStyle name="Normal 2 4 2 4 4 2 5" xfId="28985" xr:uid="{9A6315CF-77FA-4D0B-B0CC-D81D6EF625E9}"/>
    <cellStyle name="Normal 2 4 2 4 4 3" xfId="28986" xr:uid="{B5A44DD2-F315-4026-93CF-2BFC0057BAC2}"/>
    <cellStyle name="Normal 2 4 2 4 4 4" xfId="28987" xr:uid="{1F20C58F-2A2C-4FE7-8AEF-B1B6A7727D33}"/>
    <cellStyle name="Normal 2 4 2 4 4 5" xfId="28988" xr:uid="{797E6863-D76D-447F-9E5A-22C27EA54599}"/>
    <cellStyle name="Normal 2 4 2 4 4 6" xfId="28989" xr:uid="{BFFFB6FD-EBA1-4867-9996-2B72EC9CABE6}"/>
    <cellStyle name="Normal 2 4 2 4 5" xfId="28990" xr:uid="{64A2E256-824C-4E81-93CF-1C5DF3F38CDC}"/>
    <cellStyle name="Normal 2 4 2 4 5 2" xfId="28991" xr:uid="{5E16CBD8-2206-4256-AFFB-65405A691973}"/>
    <cellStyle name="Normal 2 4 2 4 5 3" xfId="28992" xr:uid="{415B3DD9-ACF8-4B4A-B3D5-281AC8B84BDD}"/>
    <cellStyle name="Normal 2 4 2 4 5 4" xfId="28993" xr:uid="{89C6B6EC-AA13-4A4B-B436-DFE1C1F2F7C8}"/>
    <cellStyle name="Normal 2 4 2 4 5 5" xfId="28994" xr:uid="{89F933C1-1877-422B-88B2-2B0F40A1CBF3}"/>
    <cellStyle name="Normal 2 4 2 4 6" xfId="28995" xr:uid="{2B3AA391-857C-4FFC-A1B5-B047AC559469}"/>
    <cellStyle name="Normal 2 4 2 4 6 2" xfId="28996" xr:uid="{A6C4A796-EDED-45BF-BB2B-8E1AC767EEDD}"/>
    <cellStyle name="Normal 2 4 2 4 6 3" xfId="28997" xr:uid="{9312FE8B-E61E-4FDA-B5B5-EF5A76ABDCC3}"/>
    <cellStyle name="Normal 2 4 2 4 6 4" xfId="28998" xr:uid="{CEF3B3FF-7B46-47AD-9E0A-AB237F4D6D19}"/>
    <cellStyle name="Normal 2 4 2 4 6 5" xfId="28999" xr:uid="{99572C43-9792-4FAC-B783-5A10074C0ECD}"/>
    <cellStyle name="Normal 2 4 2 4 7" xfId="29000" xr:uid="{2F6AC249-7920-4F78-A021-79915F0B2D62}"/>
    <cellStyle name="Normal 2 4 2 4 7 2" xfId="29001" xr:uid="{2879283E-E81C-4124-A3C3-D6C90D5A5000}"/>
    <cellStyle name="Normal 2 4 2 4 7 3" xfId="29002" xr:uid="{B43C2E23-AAB2-40AC-B985-BC0193FA90A0}"/>
    <cellStyle name="Normal 2 4 2 4 7 4" xfId="29003" xr:uid="{5684007D-C070-465D-9FDF-889774A8DBF6}"/>
    <cellStyle name="Normal 2 4 2 4 7 5" xfId="29004" xr:uid="{B5C56DDB-FB7F-4D28-9127-624DB736D8F0}"/>
    <cellStyle name="Normal 2 4 2 4 8" xfId="29005" xr:uid="{59CAD049-3922-4851-A4A6-E57C1095ACF3}"/>
    <cellStyle name="Normal 2 4 2 4 8 2" xfId="29006" xr:uid="{50B3EBD2-578B-453F-8189-0783512F8BE9}"/>
    <cellStyle name="Normal 2 4 2 4 8 3" xfId="29007" xr:uid="{51CE49A9-7BAB-4D97-9CE2-D9E1BC0FFC46}"/>
    <cellStyle name="Normal 2 4 2 4 8 4" xfId="29008" xr:uid="{667C2170-410C-4D70-BA77-258E2FFDC29F}"/>
    <cellStyle name="Normal 2 4 2 4 8 5" xfId="29009" xr:uid="{B786A02A-1428-4A50-9BAA-BFC9A30F7FEB}"/>
    <cellStyle name="Normal 2 4 2 4 9" xfId="29010" xr:uid="{0125C7E3-F504-4BF1-A340-2916B4ED43A7}"/>
    <cellStyle name="Normal 2 4 2 5" xfId="29011" xr:uid="{FA8FFEDB-4EB8-4728-B8F6-90FA2B2FE439}"/>
    <cellStyle name="Normal 2 4 2 5 2" xfId="29012" xr:uid="{CE145B98-8609-4F72-A96D-EB042C437CCB}"/>
    <cellStyle name="Normal 2 4 2 5 2 2" xfId="29013" xr:uid="{39AF0B21-7861-467C-963D-BCCCBD3FD31D}"/>
    <cellStyle name="Normal 2 4 2 5 2 3" xfId="29014" xr:uid="{7FBE5C68-19C0-4204-B099-0F393B72E5F3}"/>
    <cellStyle name="Normal 2 4 2 5 2 4" xfId="29015" xr:uid="{14ED5724-704F-4B34-8EF3-889B7BB2D69B}"/>
    <cellStyle name="Normal 2 4 2 5 2 5" xfId="29016" xr:uid="{47F1DE2A-70A1-48A3-92C7-8924E73DD680}"/>
    <cellStyle name="Normal 2 4 2 5 3" xfId="29017" xr:uid="{C9338481-7B80-4DEB-A83F-3D4E4C8BE0D8}"/>
    <cellStyle name="Normal 2 4 2 5 4" xfId="29018" xr:uid="{E8086FE3-CE80-4994-88E0-2F9A1D997152}"/>
    <cellStyle name="Normal 2 4 2 5 5" xfId="29019" xr:uid="{193B5E93-5110-4936-9554-AD457EBBE71D}"/>
    <cellStyle name="Normal 2 4 2 5 6" xfId="29020" xr:uid="{9C9E1F70-1C1E-4B5A-ACA6-3C2FE5800E90}"/>
    <cellStyle name="Normal 2 4 2 6" xfId="29021" xr:uid="{955062DF-F1BB-4DBB-A29B-743F4502F8CE}"/>
    <cellStyle name="Normal 2 4 2 6 2" xfId="29022" xr:uid="{56D1E122-1E8A-4C6C-B562-DCDD901E3187}"/>
    <cellStyle name="Normal 2 4 2 6 2 2" xfId="29023" xr:uid="{A27B84C1-7BFE-4D7A-B622-698100E782F2}"/>
    <cellStyle name="Normal 2 4 2 6 2 3" xfId="29024" xr:uid="{D602DA06-D0DF-444B-8918-14BF9F9EF0C0}"/>
    <cellStyle name="Normal 2 4 2 6 2 4" xfId="29025" xr:uid="{286113A6-1010-4282-A2FB-63DCE67B5C82}"/>
    <cellStyle name="Normal 2 4 2 6 2 5" xfId="29026" xr:uid="{6C19EA54-35B9-46BC-884B-DE0330B40906}"/>
    <cellStyle name="Normal 2 4 2 6 3" xfId="29027" xr:uid="{B53A47CC-5C53-48AA-8F0F-B261EF01E1ED}"/>
    <cellStyle name="Normal 2 4 2 6 4" xfId="29028" xr:uid="{78A42423-8D8E-4AA9-A6A0-CEC593D048C0}"/>
    <cellStyle name="Normal 2 4 2 6 5" xfId="29029" xr:uid="{9D595FEB-59EA-492D-8880-F16A7888A843}"/>
    <cellStyle name="Normal 2 4 2 6 6" xfId="29030" xr:uid="{4E420355-557E-4DBA-A868-EAE37FA06927}"/>
    <cellStyle name="Normal 2 4 2 7" xfId="29031" xr:uid="{B51BDA5B-68C4-4C44-BEFC-281E534A416A}"/>
    <cellStyle name="Normal 2 4 2 7 2" xfId="29032" xr:uid="{5114A65F-DF64-479C-BCAB-379AC8C68B42}"/>
    <cellStyle name="Normal 2 4 2 7 2 2" xfId="29033" xr:uid="{CC3C2628-8D70-495A-A2B9-94092E7D2368}"/>
    <cellStyle name="Normal 2 4 2 7 2 3" xfId="29034" xr:uid="{4F0C8833-164D-4E07-918F-46E6A3C3955C}"/>
    <cellStyle name="Normal 2 4 2 7 2 4" xfId="29035" xr:uid="{03FCCFCC-90E6-4202-B67E-F6BE4D8B20EB}"/>
    <cellStyle name="Normal 2 4 2 7 2 5" xfId="29036" xr:uid="{650C1041-ED53-4D83-A466-51699F1F1C90}"/>
    <cellStyle name="Normal 2 4 2 7 3" xfId="29037" xr:uid="{6813AE76-43B6-414E-AEE1-28E6DD2D8335}"/>
    <cellStyle name="Normal 2 4 2 7 4" xfId="29038" xr:uid="{2B3C8B84-4036-421D-9C07-AE32F1C884CE}"/>
    <cellStyle name="Normal 2 4 2 7 5" xfId="29039" xr:uid="{A8B68853-612C-43BE-903F-D9905691A23A}"/>
    <cellStyle name="Normal 2 4 2 7 6" xfId="29040" xr:uid="{F58B9F7C-C83F-4A92-9B71-71F5CE7BD956}"/>
    <cellStyle name="Normal 2 4 2 8" xfId="29041" xr:uid="{DDFC8B47-30E9-4304-AB74-D06139A0E21B}"/>
    <cellStyle name="Normal 2 4 2 8 2" xfId="29042" xr:uid="{2F068B3B-A6E1-4C93-B566-8819A716D919}"/>
    <cellStyle name="Normal 2 4 2 8 3" xfId="29043" xr:uid="{C894B321-F214-4F7C-96B3-6A0D164418F0}"/>
    <cellStyle name="Normal 2 4 2 8 4" xfId="29044" xr:uid="{8C1A83F4-808C-4FCD-AB8A-F30E715F1997}"/>
    <cellStyle name="Normal 2 4 2 8 5" xfId="29045" xr:uid="{0CD088E4-8AD9-47D7-95E9-4C23B712CD23}"/>
    <cellStyle name="Normal 2 4 2 9" xfId="29046" xr:uid="{3FF65743-438F-47EB-9E72-46D3B26B8025}"/>
    <cellStyle name="Normal 2 4 2 9 2" xfId="29047" xr:uid="{BAD301D7-66AA-47F3-A0CE-DE051CD65509}"/>
    <cellStyle name="Normal 2 4 2 9 3" xfId="29048" xr:uid="{936ED92D-E699-455E-96DB-A6D635DA6137}"/>
    <cellStyle name="Normal 2 4 2 9 4" xfId="29049" xr:uid="{20774FEA-CA4B-4505-A079-498D08BF1108}"/>
    <cellStyle name="Normal 2 4 2 9 5" xfId="29050" xr:uid="{EB036B6A-F5DB-4093-B1EC-8C9973FE2EAD}"/>
    <cellStyle name="Normal 2 4 3" xfId="29051" xr:uid="{1452CDF5-340F-4A1B-80A0-9C44610610E3}"/>
    <cellStyle name="Normal 2 4 3 10" xfId="29052" xr:uid="{B4C89952-65FE-402C-8FA4-B321D0981A89}"/>
    <cellStyle name="Normal 2 4 3 10 2" xfId="29053" xr:uid="{C6726708-E783-4296-ADBD-3A5D286FD917}"/>
    <cellStyle name="Normal 2 4 3 10 3" xfId="29054" xr:uid="{561CD094-9C47-453D-8A40-5033F2468776}"/>
    <cellStyle name="Normal 2 4 3 10 4" xfId="29055" xr:uid="{C92AE13C-A6A8-4353-BF5A-3CC49B04E2DD}"/>
    <cellStyle name="Normal 2 4 3 10 5" xfId="29056" xr:uid="{070220B5-95E4-482C-9D69-2331EA2D1ECC}"/>
    <cellStyle name="Normal 2 4 3 11" xfId="29057" xr:uid="{81A71D56-202A-44AB-9D8C-86513191745C}"/>
    <cellStyle name="Normal 2 4 3 11 2" xfId="29058" xr:uid="{D6682BCF-5045-4CA1-94EA-672FC7D299D1}"/>
    <cellStyle name="Normal 2 4 3 11 3" xfId="29059" xr:uid="{F5EC63BB-CFFE-4B05-9C81-8FF8F8285631}"/>
    <cellStyle name="Normal 2 4 3 11 4" xfId="29060" xr:uid="{50C348B8-518C-4FFC-BE7E-F601CF4DBBDC}"/>
    <cellStyle name="Normal 2 4 3 11 5" xfId="29061" xr:uid="{D528C539-2D17-46DF-82B6-5021649B5F99}"/>
    <cellStyle name="Normal 2 4 3 12" xfId="29062" xr:uid="{882824DC-3A56-4CE3-A554-AC8B264B42EE}"/>
    <cellStyle name="Normal 2 4 3 13" xfId="29063" xr:uid="{DD8F4476-E514-4629-ADF8-074DFDF17FF9}"/>
    <cellStyle name="Normal 2 4 3 14" xfId="29064" xr:uid="{EFABA015-AC3D-4B96-8584-BA7683D61BA0}"/>
    <cellStyle name="Normal 2 4 3 15" xfId="29065" xr:uid="{E971A0EA-DD0F-485D-862C-E5F0C5EB3023}"/>
    <cellStyle name="Normal 2 4 3 2" xfId="29066" xr:uid="{87000362-354B-4A2A-9891-7843C86FFD25}"/>
    <cellStyle name="Normal 2 4 3 2 10" xfId="29067" xr:uid="{45E64003-88DC-4AFE-B024-68B7DDF4AF44}"/>
    <cellStyle name="Normal 2 4 3 2 10 2" xfId="29068" xr:uid="{AEF4A122-97ED-4BF9-8AB7-FA6FA2BA6E20}"/>
    <cellStyle name="Normal 2 4 3 2 10 3" xfId="29069" xr:uid="{31C5A6BC-52FD-45AB-9F3A-DC436448BD88}"/>
    <cellStyle name="Normal 2 4 3 2 10 4" xfId="29070" xr:uid="{9730D927-0882-473B-852B-2598CE2BFD8B}"/>
    <cellStyle name="Normal 2 4 3 2 10 5" xfId="29071" xr:uid="{DDF8E1FA-3FEF-43AD-A8E4-4DE56A9A1711}"/>
    <cellStyle name="Normal 2 4 3 2 11" xfId="29072" xr:uid="{8A4F2F9A-ABA7-4894-9003-9A15475D7EED}"/>
    <cellStyle name="Normal 2 4 3 2 12" xfId="29073" xr:uid="{ACB615C5-E867-4398-9113-E0FEC72854D8}"/>
    <cellStyle name="Normal 2 4 3 2 13" xfId="29074" xr:uid="{E24C9729-EFEB-47F5-ADE3-7A9228427C77}"/>
    <cellStyle name="Normal 2 4 3 2 14" xfId="29075" xr:uid="{C66BA66B-B320-4515-950E-EAD3F4A7D44E}"/>
    <cellStyle name="Normal 2 4 3 2 2" xfId="29076" xr:uid="{3D9C1F84-8F69-4D57-892F-F91B0B34DB75}"/>
    <cellStyle name="Normal 2 4 3 2 2 10" xfId="29077" xr:uid="{EDCD0845-FDF8-489D-AECC-8C19BAF6EA38}"/>
    <cellStyle name="Normal 2 4 3 2 2 11" xfId="29078" xr:uid="{5DC471D0-F273-4A0B-9442-A1FA46F81431}"/>
    <cellStyle name="Normal 2 4 3 2 2 12" xfId="29079" xr:uid="{D8F8003E-FD95-4A19-9DE7-4147152746E3}"/>
    <cellStyle name="Normal 2 4 3 2 2 13" xfId="29080" xr:uid="{AED9355A-F8CD-4D5D-A9C5-DF8CCF07D4ED}"/>
    <cellStyle name="Normal 2 4 3 2 2 2" xfId="29081" xr:uid="{3CE0B414-C247-447A-9E08-53EEC4373B6C}"/>
    <cellStyle name="Normal 2 4 3 2 2 2 10" xfId="29082" xr:uid="{8751943A-3D78-4E2D-B7F4-338AD0274096}"/>
    <cellStyle name="Normal 2 4 3 2 2 2 11" xfId="29083" xr:uid="{374DD4E6-3FA2-4473-BC83-72081078632E}"/>
    <cellStyle name="Normal 2 4 3 2 2 2 12" xfId="29084" xr:uid="{D641FE17-D24B-409A-A235-D88450743788}"/>
    <cellStyle name="Normal 2 4 3 2 2 2 2" xfId="29085" xr:uid="{7DF53FB0-1244-4F54-95D1-63AFEE695AC9}"/>
    <cellStyle name="Normal 2 4 3 2 2 2 2 2" xfId="29086" xr:uid="{8EEBC109-B52A-42A9-B6AD-1925F9A8CE8F}"/>
    <cellStyle name="Normal 2 4 3 2 2 2 2 2 2" xfId="29087" xr:uid="{544B8F02-67DD-49FB-82DA-683A1A1A83EF}"/>
    <cellStyle name="Normal 2 4 3 2 2 2 2 2 3" xfId="29088" xr:uid="{664E25FF-ADF0-4A2E-B2FD-249998032CC8}"/>
    <cellStyle name="Normal 2 4 3 2 2 2 2 2 4" xfId="29089" xr:uid="{21744573-E49A-46F9-8144-9C758DB7E7F6}"/>
    <cellStyle name="Normal 2 4 3 2 2 2 2 2 5" xfId="29090" xr:uid="{25BAC01C-F21F-435B-8359-681F053F10C7}"/>
    <cellStyle name="Normal 2 4 3 2 2 2 2 3" xfId="29091" xr:uid="{30864FB7-C70A-4C79-B7AC-D9E75620860B}"/>
    <cellStyle name="Normal 2 4 3 2 2 2 2 4" xfId="29092" xr:uid="{E09EEFCE-AC3B-4310-9155-D331B9B0076F}"/>
    <cellStyle name="Normal 2 4 3 2 2 2 2 5" xfId="29093" xr:uid="{28CA8886-B35B-49DB-BEFF-7EF11CA66B6C}"/>
    <cellStyle name="Normal 2 4 3 2 2 2 2 6" xfId="29094" xr:uid="{32FACE44-6723-4CDF-AE80-2D5D61012329}"/>
    <cellStyle name="Normal 2 4 3 2 2 2 3" xfId="29095" xr:uid="{771506A6-1E9C-4DB3-A187-B720DE35FEE4}"/>
    <cellStyle name="Normal 2 4 3 2 2 2 3 2" xfId="29096" xr:uid="{829109E6-5A01-4B98-8E77-223724FFD0B5}"/>
    <cellStyle name="Normal 2 4 3 2 2 2 3 2 2" xfId="29097" xr:uid="{C0DD1EB0-1D5C-4716-B9CF-DE466F6733C2}"/>
    <cellStyle name="Normal 2 4 3 2 2 2 3 2 3" xfId="29098" xr:uid="{2D801677-0DD2-407F-A1C8-4E06D1253D1F}"/>
    <cellStyle name="Normal 2 4 3 2 2 2 3 2 4" xfId="29099" xr:uid="{48D7653B-6CA8-4A21-98B0-F0F340029290}"/>
    <cellStyle name="Normal 2 4 3 2 2 2 3 2 5" xfId="29100" xr:uid="{DA48E3E9-159C-4FFA-AC18-A26103B38B82}"/>
    <cellStyle name="Normal 2 4 3 2 2 2 3 3" xfId="29101" xr:uid="{8669DD8F-78D8-4524-BA6D-CBB8BE56A698}"/>
    <cellStyle name="Normal 2 4 3 2 2 2 3 4" xfId="29102" xr:uid="{7BF211C6-D55D-4809-ACCD-8A53795829B1}"/>
    <cellStyle name="Normal 2 4 3 2 2 2 3 5" xfId="29103" xr:uid="{73691CAC-8FAA-4922-8CF0-50F8C3AD7F20}"/>
    <cellStyle name="Normal 2 4 3 2 2 2 3 6" xfId="29104" xr:uid="{178FDC7A-16D4-4770-8C13-E3A2B93B2736}"/>
    <cellStyle name="Normal 2 4 3 2 2 2 4" xfId="29105" xr:uid="{9EB39926-0B74-4CA3-8986-3E9D74CE6A7F}"/>
    <cellStyle name="Normal 2 4 3 2 2 2 4 2" xfId="29106" xr:uid="{85450738-0D8E-4B3C-B57C-4C1893BEFBC7}"/>
    <cellStyle name="Normal 2 4 3 2 2 2 4 2 2" xfId="29107" xr:uid="{00268B8B-BF53-475B-BE2E-D36C20BE7063}"/>
    <cellStyle name="Normal 2 4 3 2 2 2 4 2 3" xfId="29108" xr:uid="{1628C458-D818-4AEB-A64D-E208F4A5C34E}"/>
    <cellStyle name="Normal 2 4 3 2 2 2 4 2 4" xfId="29109" xr:uid="{AE46AF72-CFF5-4B61-9579-69576A388ACF}"/>
    <cellStyle name="Normal 2 4 3 2 2 2 4 2 5" xfId="29110" xr:uid="{5C7C5DF3-DE11-435B-BF0D-BCA2FDB0EBFC}"/>
    <cellStyle name="Normal 2 4 3 2 2 2 4 3" xfId="29111" xr:uid="{0DFA0F91-39C2-4AAA-8106-20983155EAAF}"/>
    <cellStyle name="Normal 2 4 3 2 2 2 4 4" xfId="29112" xr:uid="{CDB367E2-EB33-407E-9D50-A91FC432E53B}"/>
    <cellStyle name="Normal 2 4 3 2 2 2 4 5" xfId="29113" xr:uid="{7F7E7390-85FE-4ADF-9A9F-437F9879E9F3}"/>
    <cellStyle name="Normal 2 4 3 2 2 2 4 6" xfId="29114" xr:uid="{584C45E2-BB95-4A63-A731-13A51E657B96}"/>
    <cellStyle name="Normal 2 4 3 2 2 2 5" xfId="29115" xr:uid="{587CB972-E2AF-4730-B699-952AF1A5F44F}"/>
    <cellStyle name="Normal 2 4 3 2 2 2 5 2" xfId="29116" xr:uid="{7D7220E5-A74C-4ECB-BBA7-067E7BA66AF3}"/>
    <cellStyle name="Normal 2 4 3 2 2 2 5 3" xfId="29117" xr:uid="{4FB7A75B-D41D-4701-845F-3E3C2BB38150}"/>
    <cellStyle name="Normal 2 4 3 2 2 2 5 4" xfId="29118" xr:uid="{8E4F3973-FC16-4EE8-817D-39C3C13A2D2F}"/>
    <cellStyle name="Normal 2 4 3 2 2 2 5 5" xfId="29119" xr:uid="{66266FCF-7141-421E-9A17-60339A03517E}"/>
    <cellStyle name="Normal 2 4 3 2 2 2 6" xfId="29120" xr:uid="{826A539C-3431-478D-A801-111D65712E72}"/>
    <cellStyle name="Normal 2 4 3 2 2 2 6 2" xfId="29121" xr:uid="{B44C0BE7-0314-4A09-8A1E-AF81A6A6B7D9}"/>
    <cellStyle name="Normal 2 4 3 2 2 2 6 3" xfId="29122" xr:uid="{8D1E4F77-B1F0-4890-AE85-AD1C655436B8}"/>
    <cellStyle name="Normal 2 4 3 2 2 2 6 4" xfId="29123" xr:uid="{8D225B9D-DAC3-40DB-B0F6-C691E065ED53}"/>
    <cellStyle name="Normal 2 4 3 2 2 2 6 5" xfId="29124" xr:uid="{485B269B-7CBC-4A24-9103-27409725D61A}"/>
    <cellStyle name="Normal 2 4 3 2 2 2 7" xfId="29125" xr:uid="{94F0E153-2905-4395-8C7A-D9211FC29017}"/>
    <cellStyle name="Normal 2 4 3 2 2 2 7 2" xfId="29126" xr:uid="{DF4D7DCB-4F65-4677-9206-661396ABABFE}"/>
    <cellStyle name="Normal 2 4 3 2 2 2 7 3" xfId="29127" xr:uid="{D487257C-AD87-4EE2-88DF-8BF877D3DFA8}"/>
    <cellStyle name="Normal 2 4 3 2 2 2 7 4" xfId="29128" xr:uid="{A68E86E8-CBFB-4C00-A836-E2F737D228B6}"/>
    <cellStyle name="Normal 2 4 3 2 2 2 7 5" xfId="29129" xr:uid="{DB578358-353A-478D-BB88-79926FCF620E}"/>
    <cellStyle name="Normal 2 4 3 2 2 2 8" xfId="29130" xr:uid="{6C0B10B8-B439-49C7-B1AA-913A34991946}"/>
    <cellStyle name="Normal 2 4 3 2 2 2 8 2" xfId="29131" xr:uid="{C84009F5-CC56-496E-9265-7B185DFADAD3}"/>
    <cellStyle name="Normal 2 4 3 2 2 2 8 3" xfId="29132" xr:uid="{CFFC1AE2-9B7C-4F01-BCBE-FE5235F8ECCC}"/>
    <cellStyle name="Normal 2 4 3 2 2 2 8 4" xfId="29133" xr:uid="{071D2E56-D2A5-42FB-83DE-6258116BA3EE}"/>
    <cellStyle name="Normal 2 4 3 2 2 2 8 5" xfId="29134" xr:uid="{80E5AA51-494C-4C7F-B8C7-405691C29B87}"/>
    <cellStyle name="Normal 2 4 3 2 2 2 9" xfId="29135" xr:uid="{8122A385-44F5-4DE4-8BE4-CA8AA9E0C6C7}"/>
    <cellStyle name="Normal 2 4 3 2 2 3" xfId="29136" xr:uid="{BDADB3D9-5C7B-4D21-B47E-DC0F8AEB1256}"/>
    <cellStyle name="Normal 2 4 3 2 2 3 2" xfId="29137" xr:uid="{88B73C94-37CE-4446-8717-4028D89C9B14}"/>
    <cellStyle name="Normal 2 4 3 2 2 3 2 2" xfId="29138" xr:uid="{AD702898-813E-4A52-8100-700F1373877E}"/>
    <cellStyle name="Normal 2 4 3 2 2 3 2 3" xfId="29139" xr:uid="{6CA91128-FBC1-4EF5-B639-238546B382A7}"/>
    <cellStyle name="Normal 2 4 3 2 2 3 2 4" xfId="29140" xr:uid="{67D688B1-2DCD-4912-96E1-A65BCC01FCFB}"/>
    <cellStyle name="Normal 2 4 3 2 2 3 2 5" xfId="29141" xr:uid="{73766644-0487-4348-8CD3-485A7B473802}"/>
    <cellStyle name="Normal 2 4 3 2 2 3 3" xfId="29142" xr:uid="{B2A8D380-E781-4699-8089-325928B638FC}"/>
    <cellStyle name="Normal 2 4 3 2 2 3 4" xfId="29143" xr:uid="{2055B919-B0FC-4655-AA85-27D00B433713}"/>
    <cellStyle name="Normal 2 4 3 2 2 3 5" xfId="29144" xr:uid="{58B0A657-A7D6-49FC-93AC-AAB1CF377FBE}"/>
    <cellStyle name="Normal 2 4 3 2 2 3 6" xfId="29145" xr:uid="{D4CA6637-B62C-49F9-B3E1-C65731808A15}"/>
    <cellStyle name="Normal 2 4 3 2 2 4" xfId="29146" xr:uid="{B57EED89-7B8B-49B1-8065-1645B2C20DAC}"/>
    <cellStyle name="Normal 2 4 3 2 2 4 2" xfId="29147" xr:uid="{3E53710D-937B-403F-B5CF-89DB06348BB9}"/>
    <cellStyle name="Normal 2 4 3 2 2 4 2 2" xfId="29148" xr:uid="{1822A629-B52E-4AD9-A8AC-129538C6FD04}"/>
    <cellStyle name="Normal 2 4 3 2 2 4 2 3" xfId="29149" xr:uid="{B79289FF-7E62-45AF-A69C-592647469D04}"/>
    <cellStyle name="Normal 2 4 3 2 2 4 2 4" xfId="29150" xr:uid="{FE445BF0-B0C5-4555-A72D-194CBA3805F9}"/>
    <cellStyle name="Normal 2 4 3 2 2 4 2 5" xfId="29151" xr:uid="{B2B03943-BC80-4ACF-A5CD-4E0012450A24}"/>
    <cellStyle name="Normal 2 4 3 2 2 4 3" xfId="29152" xr:uid="{40DECB6A-7969-43AA-9FE7-1EF6BF27544F}"/>
    <cellStyle name="Normal 2 4 3 2 2 4 4" xfId="29153" xr:uid="{A5950D85-4C21-427C-9BCB-41E9F2FDD855}"/>
    <cellStyle name="Normal 2 4 3 2 2 4 5" xfId="29154" xr:uid="{2B7F4526-6CDB-48D3-AE79-CF5A3F18D835}"/>
    <cellStyle name="Normal 2 4 3 2 2 4 6" xfId="29155" xr:uid="{B1AF6091-4BCC-4827-88A5-6EBFEFF3E6CC}"/>
    <cellStyle name="Normal 2 4 3 2 2 5" xfId="29156" xr:uid="{7932A590-6A30-42EB-A194-54300446551B}"/>
    <cellStyle name="Normal 2 4 3 2 2 5 2" xfId="29157" xr:uid="{FBB440EF-AFBC-4D0F-85B1-83F812FCFB67}"/>
    <cellStyle name="Normal 2 4 3 2 2 5 2 2" xfId="29158" xr:uid="{5CC82404-CFBA-45E3-AFFB-5942CA4ABAE1}"/>
    <cellStyle name="Normal 2 4 3 2 2 5 2 3" xfId="29159" xr:uid="{4AC21977-CA82-452A-9417-0E870D5D4FF4}"/>
    <cellStyle name="Normal 2 4 3 2 2 5 2 4" xfId="29160" xr:uid="{6ACAEC50-7016-4EAB-A38F-5DF845DF0EB6}"/>
    <cellStyle name="Normal 2 4 3 2 2 5 2 5" xfId="29161" xr:uid="{7112D4E1-A20D-458A-B975-99806278CA0D}"/>
    <cellStyle name="Normal 2 4 3 2 2 5 3" xfId="29162" xr:uid="{A0F938B4-5CE3-4A13-BDB5-3A2426A78A4E}"/>
    <cellStyle name="Normal 2 4 3 2 2 5 4" xfId="29163" xr:uid="{9DCB194C-AA1B-44C0-A6D9-F004E46308CB}"/>
    <cellStyle name="Normal 2 4 3 2 2 5 5" xfId="29164" xr:uid="{8681725F-3117-4C4B-8596-CAC6744A99AD}"/>
    <cellStyle name="Normal 2 4 3 2 2 5 6" xfId="29165" xr:uid="{BF1E1D08-78AC-4683-A33E-D42235712369}"/>
    <cellStyle name="Normal 2 4 3 2 2 6" xfId="29166" xr:uid="{BFC0B62A-41AB-49FB-9C20-FEDD08255173}"/>
    <cellStyle name="Normal 2 4 3 2 2 6 2" xfId="29167" xr:uid="{9AC6E6C0-4200-4985-A780-6ED5D71957E7}"/>
    <cellStyle name="Normal 2 4 3 2 2 6 3" xfId="29168" xr:uid="{1F55D1CD-47BB-46F5-A2D3-A02220CE4D68}"/>
    <cellStyle name="Normal 2 4 3 2 2 6 4" xfId="29169" xr:uid="{7BB9F1EB-59EB-41E8-9469-167362329356}"/>
    <cellStyle name="Normal 2 4 3 2 2 6 5" xfId="29170" xr:uid="{C62B95E9-C73C-4650-86DD-4B0157B29C07}"/>
    <cellStyle name="Normal 2 4 3 2 2 7" xfId="29171" xr:uid="{5CB56BBD-A11E-4FDF-AA78-96AAAD28ED29}"/>
    <cellStyle name="Normal 2 4 3 2 2 7 2" xfId="29172" xr:uid="{CC1AFBD0-3B2A-4A7A-A3ED-AC4181FB2CCA}"/>
    <cellStyle name="Normal 2 4 3 2 2 7 3" xfId="29173" xr:uid="{B105220D-83C3-4076-B088-974DD1466CED}"/>
    <cellStyle name="Normal 2 4 3 2 2 7 4" xfId="29174" xr:uid="{A8BBC216-5756-4D05-B80A-EA50EB2D2B69}"/>
    <cellStyle name="Normal 2 4 3 2 2 7 5" xfId="29175" xr:uid="{73558EE7-00A6-41CB-B77C-E062DE1A573D}"/>
    <cellStyle name="Normal 2 4 3 2 2 8" xfId="29176" xr:uid="{6724665F-1939-4494-B08C-BD3C73F89028}"/>
    <cellStyle name="Normal 2 4 3 2 2 8 2" xfId="29177" xr:uid="{EC5B4DFC-9566-442F-8AFA-0156E96562B9}"/>
    <cellStyle name="Normal 2 4 3 2 2 8 3" xfId="29178" xr:uid="{0A45B78F-C900-43C8-BCE3-B490EBF36538}"/>
    <cellStyle name="Normal 2 4 3 2 2 8 4" xfId="29179" xr:uid="{4F58370B-F153-4CD7-AB12-9771CEF23B0A}"/>
    <cellStyle name="Normal 2 4 3 2 2 8 5" xfId="29180" xr:uid="{5CFC6AAA-2D55-4678-8B57-F6CAB9779043}"/>
    <cellStyle name="Normal 2 4 3 2 2 9" xfId="29181" xr:uid="{A75A0AEA-782E-4AF5-A6E0-E2E0E4AF2827}"/>
    <cellStyle name="Normal 2 4 3 2 2 9 2" xfId="29182" xr:uid="{40AD704E-2218-4A3D-BF41-6E10D15F5E52}"/>
    <cellStyle name="Normal 2 4 3 2 2 9 3" xfId="29183" xr:uid="{EECE944E-0566-4598-824F-C0490FFB039C}"/>
    <cellStyle name="Normal 2 4 3 2 2 9 4" xfId="29184" xr:uid="{489A6CEF-5D7B-4FED-99C5-5A0A1EE7C5ED}"/>
    <cellStyle name="Normal 2 4 3 2 2 9 5" xfId="29185" xr:uid="{95A99269-62BF-4DF1-8732-3E80E94A0FD4}"/>
    <cellStyle name="Normal 2 4 3 2 3" xfId="29186" xr:uid="{FF311E95-4FFD-4287-B07D-92530A7BD8FA}"/>
    <cellStyle name="Normal 2 4 3 2 3 10" xfId="29187" xr:uid="{8B1B934A-D9B2-456D-ADA1-CAD97B053782}"/>
    <cellStyle name="Normal 2 4 3 2 3 11" xfId="29188" xr:uid="{BF73DBD6-2126-4DE9-A043-39EA391992E7}"/>
    <cellStyle name="Normal 2 4 3 2 3 12" xfId="29189" xr:uid="{2630BF9F-0A25-4CDE-B760-A80D54557E7B}"/>
    <cellStyle name="Normal 2 4 3 2 3 2" xfId="29190" xr:uid="{63467187-7EDE-47D0-839B-91A93FA0C85A}"/>
    <cellStyle name="Normal 2 4 3 2 3 2 2" xfId="29191" xr:uid="{C0633CB0-D42D-48AA-A7E4-C3FC2752E2F6}"/>
    <cellStyle name="Normal 2 4 3 2 3 2 2 2" xfId="29192" xr:uid="{AFDB97E7-3857-48CC-9E18-8C0C4271C775}"/>
    <cellStyle name="Normal 2 4 3 2 3 2 2 3" xfId="29193" xr:uid="{9A94F379-1BAA-4F14-B8E7-3F0BCE0EFFC0}"/>
    <cellStyle name="Normal 2 4 3 2 3 2 2 4" xfId="29194" xr:uid="{6B52F88B-B212-4BBF-ACFB-332857E4FD6D}"/>
    <cellStyle name="Normal 2 4 3 2 3 2 2 5" xfId="29195" xr:uid="{C6A72CEC-1A29-4B15-A4E7-A1F0E20D2E97}"/>
    <cellStyle name="Normal 2 4 3 2 3 2 3" xfId="29196" xr:uid="{95D6220D-D111-4C4F-AE92-9836FE51F70A}"/>
    <cellStyle name="Normal 2 4 3 2 3 2 4" xfId="29197" xr:uid="{A3A5FD9B-68CE-4E79-B2F0-4CC560B9D153}"/>
    <cellStyle name="Normal 2 4 3 2 3 2 5" xfId="29198" xr:uid="{884A4E31-BE0E-4C07-AC70-F9DC07C5D5FA}"/>
    <cellStyle name="Normal 2 4 3 2 3 2 6" xfId="29199" xr:uid="{3099F537-86CE-4464-BFAB-6F521F5C6D75}"/>
    <cellStyle name="Normal 2 4 3 2 3 3" xfId="29200" xr:uid="{CE63B62B-A25D-4E3A-AEC5-BEFEF833694F}"/>
    <cellStyle name="Normal 2 4 3 2 3 3 2" xfId="29201" xr:uid="{F421F6F8-AD27-4CDE-A2A2-6687F86DA6EB}"/>
    <cellStyle name="Normal 2 4 3 2 3 3 2 2" xfId="29202" xr:uid="{8F1BC128-84F4-4FE2-81C9-E5DFFC4BB4A6}"/>
    <cellStyle name="Normal 2 4 3 2 3 3 2 3" xfId="29203" xr:uid="{0BF4C6B1-0C40-49A3-A575-1007FE35A377}"/>
    <cellStyle name="Normal 2 4 3 2 3 3 2 4" xfId="29204" xr:uid="{455B1DA7-D55A-44A4-89C7-2535FF14BFED}"/>
    <cellStyle name="Normal 2 4 3 2 3 3 2 5" xfId="29205" xr:uid="{46028B65-A351-4A3F-B9D5-4C33977E05E4}"/>
    <cellStyle name="Normal 2 4 3 2 3 3 3" xfId="29206" xr:uid="{05210529-E7F9-47D8-A3FD-3F33C948E04D}"/>
    <cellStyle name="Normal 2 4 3 2 3 3 4" xfId="29207" xr:uid="{0D662EE8-0113-42F3-8755-9656DE45AEAD}"/>
    <cellStyle name="Normal 2 4 3 2 3 3 5" xfId="29208" xr:uid="{0FEAA692-9135-43BA-93AE-116913DA7A8D}"/>
    <cellStyle name="Normal 2 4 3 2 3 3 6" xfId="29209" xr:uid="{72674410-5029-45D2-994F-12E77190013B}"/>
    <cellStyle name="Normal 2 4 3 2 3 4" xfId="29210" xr:uid="{66326841-82F5-4F6A-B4C6-96A8198D9394}"/>
    <cellStyle name="Normal 2 4 3 2 3 4 2" xfId="29211" xr:uid="{43B34DC4-E710-462C-AA69-2001E8646E28}"/>
    <cellStyle name="Normal 2 4 3 2 3 4 2 2" xfId="29212" xr:uid="{C5434BBA-0626-4E91-89B4-EF0EF6C08579}"/>
    <cellStyle name="Normal 2 4 3 2 3 4 2 3" xfId="29213" xr:uid="{D956F86B-0294-4989-909B-580B56DD2079}"/>
    <cellStyle name="Normal 2 4 3 2 3 4 2 4" xfId="29214" xr:uid="{4CACF4EC-BC64-413E-BA52-3CB82A4BD72C}"/>
    <cellStyle name="Normal 2 4 3 2 3 4 2 5" xfId="29215" xr:uid="{EF814253-0B1B-4BC6-A702-E467063937CB}"/>
    <cellStyle name="Normal 2 4 3 2 3 4 3" xfId="29216" xr:uid="{2BB51C93-913D-4A56-951F-D33A8903E812}"/>
    <cellStyle name="Normal 2 4 3 2 3 4 4" xfId="29217" xr:uid="{D91E03DC-882F-4BBD-976F-E668B293DB6F}"/>
    <cellStyle name="Normal 2 4 3 2 3 4 5" xfId="29218" xr:uid="{2DDA9D60-D125-4FAB-876E-F484F3221603}"/>
    <cellStyle name="Normal 2 4 3 2 3 4 6" xfId="29219" xr:uid="{2E8C439C-917A-4C5A-80BC-44B93F823DAF}"/>
    <cellStyle name="Normal 2 4 3 2 3 5" xfId="29220" xr:uid="{5B79962D-CA82-4D95-9AB0-38ECB7A832BA}"/>
    <cellStyle name="Normal 2 4 3 2 3 5 2" xfId="29221" xr:uid="{03E3446B-AD00-4D39-AB1B-BFC7AB9A897F}"/>
    <cellStyle name="Normal 2 4 3 2 3 5 3" xfId="29222" xr:uid="{D0D61542-80EC-4314-A03A-17CB9F08B916}"/>
    <cellStyle name="Normal 2 4 3 2 3 5 4" xfId="29223" xr:uid="{7326C86A-0ABB-4CBB-AF76-2DF1CC0896CE}"/>
    <cellStyle name="Normal 2 4 3 2 3 5 5" xfId="29224" xr:uid="{81827B82-18FC-4592-B332-7B6F7E010DF7}"/>
    <cellStyle name="Normal 2 4 3 2 3 6" xfId="29225" xr:uid="{DD22E46F-36FF-463E-8333-3C69B31C0A4F}"/>
    <cellStyle name="Normal 2 4 3 2 3 6 2" xfId="29226" xr:uid="{1F17BC3D-4D1F-4EF2-A2FD-B51EBD7C8E8E}"/>
    <cellStyle name="Normal 2 4 3 2 3 6 3" xfId="29227" xr:uid="{9DD51340-6793-4B8B-8F0C-871DACE233D5}"/>
    <cellStyle name="Normal 2 4 3 2 3 6 4" xfId="29228" xr:uid="{2367128B-FF78-4C98-9180-039C78E563E4}"/>
    <cellStyle name="Normal 2 4 3 2 3 6 5" xfId="29229" xr:uid="{122B331B-F2F7-4661-802E-C53A5F8E8285}"/>
    <cellStyle name="Normal 2 4 3 2 3 7" xfId="29230" xr:uid="{C8643FEE-F6E3-4F3F-AFB1-504FD7A449BC}"/>
    <cellStyle name="Normal 2 4 3 2 3 7 2" xfId="29231" xr:uid="{40D852E8-E410-4567-91A2-EDEA680C2937}"/>
    <cellStyle name="Normal 2 4 3 2 3 7 3" xfId="29232" xr:uid="{7FF4D61A-C3BE-46BB-950F-60B1AD29AB27}"/>
    <cellStyle name="Normal 2 4 3 2 3 7 4" xfId="29233" xr:uid="{95E82B31-22D1-4B03-8CE0-0D73414CF3B9}"/>
    <cellStyle name="Normal 2 4 3 2 3 7 5" xfId="29234" xr:uid="{213B70BE-495C-423A-A7B3-7B63235AC17A}"/>
    <cellStyle name="Normal 2 4 3 2 3 8" xfId="29235" xr:uid="{0D73EA97-CE1F-464B-AC99-C6B0BC8F0324}"/>
    <cellStyle name="Normal 2 4 3 2 3 8 2" xfId="29236" xr:uid="{10080455-69AA-4B6B-9004-D0C511CD0D01}"/>
    <cellStyle name="Normal 2 4 3 2 3 8 3" xfId="29237" xr:uid="{560FE765-1C8D-4AA0-AA5C-22B3D12DDDB3}"/>
    <cellStyle name="Normal 2 4 3 2 3 8 4" xfId="29238" xr:uid="{553134F2-D241-4542-B3CB-4CB3F3798ED5}"/>
    <cellStyle name="Normal 2 4 3 2 3 8 5" xfId="29239" xr:uid="{19D71A16-EAA3-4AD2-AE3A-1E2D23BE9834}"/>
    <cellStyle name="Normal 2 4 3 2 3 9" xfId="29240" xr:uid="{43D121F8-84F7-4DF6-8DE7-900F865A19DC}"/>
    <cellStyle name="Normal 2 4 3 2 4" xfId="29241" xr:uid="{86A2214D-005B-4961-BFBD-8F52505F20CA}"/>
    <cellStyle name="Normal 2 4 3 2 4 2" xfId="29242" xr:uid="{F5802020-3174-42BD-8256-FD2E85AA953D}"/>
    <cellStyle name="Normal 2 4 3 2 4 2 2" xfId="29243" xr:uid="{24C5BB72-BA69-465F-99D7-7F5E7BDCF577}"/>
    <cellStyle name="Normal 2 4 3 2 4 2 3" xfId="29244" xr:uid="{B1E7253E-05DA-4D43-97E3-3B42A1013F24}"/>
    <cellStyle name="Normal 2 4 3 2 4 2 4" xfId="29245" xr:uid="{360B5262-7A78-47CE-A0AC-A5D89C78F1EA}"/>
    <cellStyle name="Normal 2 4 3 2 4 2 5" xfId="29246" xr:uid="{4AFE8017-30E7-4ACD-83E7-348C2F0A720E}"/>
    <cellStyle name="Normal 2 4 3 2 4 3" xfId="29247" xr:uid="{B2F76082-9623-4A20-819D-DFF26492DADB}"/>
    <cellStyle name="Normal 2 4 3 2 4 4" xfId="29248" xr:uid="{25D98443-185C-4A2A-AB8F-4BBBA912AE75}"/>
    <cellStyle name="Normal 2 4 3 2 4 5" xfId="29249" xr:uid="{B97EBCE4-6F60-4C1B-88B4-90BF1BA2E845}"/>
    <cellStyle name="Normal 2 4 3 2 4 6" xfId="29250" xr:uid="{687899BB-DEF7-4F83-AD01-19749539E792}"/>
    <cellStyle name="Normal 2 4 3 2 5" xfId="29251" xr:uid="{4A365DB5-2CD4-4629-BD2F-BDB0FADCB629}"/>
    <cellStyle name="Normal 2 4 3 2 5 2" xfId="29252" xr:uid="{864DE0F4-3E30-4809-8EB2-FF5484FE9C56}"/>
    <cellStyle name="Normal 2 4 3 2 5 2 2" xfId="29253" xr:uid="{8EEE2916-AAD4-484F-A8C0-AA92C387A0E5}"/>
    <cellStyle name="Normal 2 4 3 2 5 2 3" xfId="29254" xr:uid="{B6ED907F-A278-4D26-AF09-F269D35EF081}"/>
    <cellStyle name="Normal 2 4 3 2 5 2 4" xfId="29255" xr:uid="{6B8BC818-D1F5-4553-8B12-980C7B46D410}"/>
    <cellStyle name="Normal 2 4 3 2 5 2 5" xfId="29256" xr:uid="{2BFDF009-404B-4A48-920D-56E67DD36CC1}"/>
    <cellStyle name="Normal 2 4 3 2 5 3" xfId="29257" xr:uid="{5534AAA0-DA27-4A52-B750-B1E37ACCE18D}"/>
    <cellStyle name="Normal 2 4 3 2 5 4" xfId="29258" xr:uid="{A608D03C-83C0-4DE1-A834-E6178F0E273E}"/>
    <cellStyle name="Normal 2 4 3 2 5 5" xfId="29259" xr:uid="{85C71906-39D1-4F52-A83C-EFEEBB59D11D}"/>
    <cellStyle name="Normal 2 4 3 2 5 6" xfId="29260" xr:uid="{B9C1E1BE-25E0-4DA7-9F51-E962E586E902}"/>
    <cellStyle name="Normal 2 4 3 2 6" xfId="29261" xr:uid="{E1C9077E-2230-4CA5-9968-8D8FF97588EF}"/>
    <cellStyle name="Normal 2 4 3 2 6 2" xfId="29262" xr:uid="{BE6FEFB9-B2B6-49CD-AFD7-93163D69F93A}"/>
    <cellStyle name="Normal 2 4 3 2 6 2 2" xfId="29263" xr:uid="{B3A3421B-5408-4587-ABC0-99F7A156C6B4}"/>
    <cellStyle name="Normal 2 4 3 2 6 2 3" xfId="29264" xr:uid="{57C0862D-5EF5-4491-9AB3-57D07715BDD3}"/>
    <cellStyle name="Normal 2 4 3 2 6 2 4" xfId="29265" xr:uid="{EDEDF36D-1D44-4CF3-9B25-FE26092CC93F}"/>
    <cellStyle name="Normal 2 4 3 2 6 2 5" xfId="29266" xr:uid="{4CC82DAF-1E20-45BA-9B98-650BABEC1DB4}"/>
    <cellStyle name="Normal 2 4 3 2 6 3" xfId="29267" xr:uid="{E8C2E9C3-C0EB-4976-B78E-E0910FA39F1C}"/>
    <cellStyle name="Normal 2 4 3 2 6 4" xfId="29268" xr:uid="{01DCF257-87A7-44FC-B655-951C355DDA72}"/>
    <cellStyle name="Normal 2 4 3 2 6 5" xfId="29269" xr:uid="{2F4C3814-B2C7-4C0C-B480-81F1AF0AF6B7}"/>
    <cellStyle name="Normal 2 4 3 2 6 6" xfId="29270" xr:uid="{9C8BA99F-D81D-41F3-82CE-5174C0078B6B}"/>
    <cellStyle name="Normal 2 4 3 2 7" xfId="29271" xr:uid="{E311E069-0954-4D71-99E5-D61E81206866}"/>
    <cellStyle name="Normal 2 4 3 2 7 2" xfId="29272" xr:uid="{9EABCAA7-5649-4D86-B2C7-1234AD455F68}"/>
    <cellStyle name="Normal 2 4 3 2 7 3" xfId="29273" xr:uid="{B9B515A4-941C-4F11-BB6E-27250A55E730}"/>
    <cellStyle name="Normal 2 4 3 2 7 4" xfId="29274" xr:uid="{BB5E905B-D489-4E10-B88D-0C4051244398}"/>
    <cellStyle name="Normal 2 4 3 2 7 5" xfId="29275" xr:uid="{98BA77C2-016A-4A96-936D-DCC6200E3CCE}"/>
    <cellStyle name="Normal 2 4 3 2 8" xfId="29276" xr:uid="{E810DD9C-4DC4-45CB-B7A5-820A51B436F1}"/>
    <cellStyle name="Normal 2 4 3 2 8 2" xfId="29277" xr:uid="{A1F01990-2D56-49FA-B2CD-FE049CDF16D2}"/>
    <cellStyle name="Normal 2 4 3 2 8 3" xfId="29278" xr:uid="{1550C44B-93DA-4155-A1D8-CC37C1DACAF8}"/>
    <cellStyle name="Normal 2 4 3 2 8 4" xfId="29279" xr:uid="{05EE8B5B-D13D-4B0C-988E-C9A06C9B714D}"/>
    <cellStyle name="Normal 2 4 3 2 8 5" xfId="29280" xr:uid="{6CD9CF87-8DBE-4740-B892-535668533D03}"/>
    <cellStyle name="Normal 2 4 3 2 9" xfId="29281" xr:uid="{8DF6713A-F7DB-4A1E-808F-3031744861CC}"/>
    <cellStyle name="Normal 2 4 3 2 9 2" xfId="29282" xr:uid="{9067E0C8-966B-427C-B1DD-A797B3463EDA}"/>
    <cellStyle name="Normal 2 4 3 2 9 3" xfId="29283" xr:uid="{1127EFD2-C79E-4CB5-AE52-F1F5863757C2}"/>
    <cellStyle name="Normal 2 4 3 2 9 4" xfId="29284" xr:uid="{80FC187F-A26E-42E7-B9F8-564BE882D8BD}"/>
    <cellStyle name="Normal 2 4 3 2 9 5" xfId="29285" xr:uid="{12CDBAC4-2111-42FC-A5D5-A131B1B7F689}"/>
    <cellStyle name="Normal 2 4 3 3" xfId="29286" xr:uid="{7624BAB3-C993-4A1F-9001-D88FE20C78E9}"/>
    <cellStyle name="Normal 2 4 3 3 10" xfId="29287" xr:uid="{15733C12-BEA3-4E65-9C81-5A5E7C230B3A}"/>
    <cellStyle name="Normal 2 4 3 3 11" xfId="29288" xr:uid="{8A4BB8DB-B5D6-4580-BF8D-1A4493FF93A5}"/>
    <cellStyle name="Normal 2 4 3 3 12" xfId="29289" xr:uid="{04130258-0E7A-4B72-B5A9-AB42B42EF9C9}"/>
    <cellStyle name="Normal 2 4 3 3 13" xfId="29290" xr:uid="{992D5D04-12A6-4FF2-B2CF-384FA446554A}"/>
    <cellStyle name="Normal 2 4 3 3 2" xfId="29291" xr:uid="{E9C33CB6-F47C-498D-B582-0FE75FF174CD}"/>
    <cellStyle name="Normal 2 4 3 3 2 10" xfId="29292" xr:uid="{C5AF9EA7-EBA4-4CFF-AAC2-C52A8FE61838}"/>
    <cellStyle name="Normal 2 4 3 3 2 11" xfId="29293" xr:uid="{A9AB15AB-ABDC-47C1-A75D-E0384FAF6333}"/>
    <cellStyle name="Normal 2 4 3 3 2 12" xfId="29294" xr:uid="{59399E67-DFF3-4F56-8719-E4E4438314A4}"/>
    <cellStyle name="Normal 2 4 3 3 2 2" xfId="29295" xr:uid="{318BE464-295B-4EEE-B764-B9B26A281C81}"/>
    <cellStyle name="Normal 2 4 3 3 2 2 2" xfId="29296" xr:uid="{5BD4C741-76A1-4E7D-9823-ECF9D0F07EFB}"/>
    <cellStyle name="Normal 2 4 3 3 2 2 2 2" xfId="29297" xr:uid="{F6957F03-3F31-4263-99B7-F6F37F74DE35}"/>
    <cellStyle name="Normal 2 4 3 3 2 2 2 3" xfId="29298" xr:uid="{01E35915-E8BF-4348-9D75-E23D9807220B}"/>
    <cellStyle name="Normal 2 4 3 3 2 2 2 4" xfId="29299" xr:uid="{9DD34AC7-6899-4983-B800-6A7CFBA1DFCA}"/>
    <cellStyle name="Normal 2 4 3 3 2 2 2 5" xfId="29300" xr:uid="{4034F0D5-FCE5-46FB-B6A1-03F09D61D1AC}"/>
    <cellStyle name="Normal 2 4 3 3 2 2 3" xfId="29301" xr:uid="{EA93EB73-387E-4CD9-848A-389C61933D9B}"/>
    <cellStyle name="Normal 2 4 3 3 2 2 4" xfId="29302" xr:uid="{28336DEE-AC8C-4F2D-B159-9F50918C046E}"/>
    <cellStyle name="Normal 2 4 3 3 2 2 5" xfId="29303" xr:uid="{2A790631-18AB-4A22-8C52-9A729BA0F07C}"/>
    <cellStyle name="Normal 2 4 3 3 2 2 6" xfId="29304" xr:uid="{C09CAA47-2607-41D0-82F3-4F8952D64F18}"/>
    <cellStyle name="Normal 2 4 3 3 2 3" xfId="29305" xr:uid="{68567E7C-CB44-4E37-83D7-F947C059D373}"/>
    <cellStyle name="Normal 2 4 3 3 2 3 2" xfId="29306" xr:uid="{6A48F101-E345-40DA-8260-296BF92F8497}"/>
    <cellStyle name="Normal 2 4 3 3 2 3 2 2" xfId="29307" xr:uid="{F406B980-CD44-405F-B5A5-5EAA94D14524}"/>
    <cellStyle name="Normal 2 4 3 3 2 3 2 3" xfId="29308" xr:uid="{AA21CB2E-8130-43E8-A7A7-8E6A3B08F004}"/>
    <cellStyle name="Normal 2 4 3 3 2 3 2 4" xfId="29309" xr:uid="{8EAA3DA7-061C-4EE5-BE60-652F4CC56301}"/>
    <cellStyle name="Normal 2 4 3 3 2 3 2 5" xfId="29310" xr:uid="{5F79F0CD-6683-4AC5-817F-8003E670FC40}"/>
    <cellStyle name="Normal 2 4 3 3 2 3 3" xfId="29311" xr:uid="{A64B778B-E714-4D32-9018-93C535F25C9D}"/>
    <cellStyle name="Normal 2 4 3 3 2 3 4" xfId="29312" xr:uid="{BFC74180-EBAE-4CE4-8C03-0278B263AC69}"/>
    <cellStyle name="Normal 2 4 3 3 2 3 5" xfId="29313" xr:uid="{42750C51-4FB2-4E3B-B70F-797B9232A9AA}"/>
    <cellStyle name="Normal 2 4 3 3 2 3 6" xfId="29314" xr:uid="{0D45DB09-E1FE-4578-A88F-F739B81E5332}"/>
    <cellStyle name="Normal 2 4 3 3 2 4" xfId="29315" xr:uid="{75676D63-829A-4CF7-9FFE-DF5288197B86}"/>
    <cellStyle name="Normal 2 4 3 3 2 4 2" xfId="29316" xr:uid="{F844A594-05F3-4606-82FE-9AB458E24FE8}"/>
    <cellStyle name="Normal 2 4 3 3 2 4 2 2" xfId="29317" xr:uid="{974C0D08-381A-4459-9782-B3175373655D}"/>
    <cellStyle name="Normal 2 4 3 3 2 4 2 3" xfId="29318" xr:uid="{F25A9A87-EF9B-41F6-9205-26A256134FA3}"/>
    <cellStyle name="Normal 2 4 3 3 2 4 2 4" xfId="29319" xr:uid="{FAF05667-0180-447B-8667-0334510B1703}"/>
    <cellStyle name="Normal 2 4 3 3 2 4 2 5" xfId="29320" xr:uid="{071364DE-1357-4E1F-8B49-E7D6F8086372}"/>
    <cellStyle name="Normal 2 4 3 3 2 4 3" xfId="29321" xr:uid="{64CA1FED-65BA-4F45-A1F4-9BED1EE90C86}"/>
    <cellStyle name="Normal 2 4 3 3 2 4 4" xfId="29322" xr:uid="{780AD53B-1E02-46E6-B967-FC49C8730E38}"/>
    <cellStyle name="Normal 2 4 3 3 2 4 5" xfId="29323" xr:uid="{421DAFCF-64D5-45E7-9AB0-5B15D8BBE442}"/>
    <cellStyle name="Normal 2 4 3 3 2 4 6" xfId="29324" xr:uid="{30B55402-3C6C-45D6-A5CA-4050A7A3CFA7}"/>
    <cellStyle name="Normal 2 4 3 3 2 5" xfId="29325" xr:uid="{DB481230-DC0E-4B32-9335-1B02B2DB9B87}"/>
    <cellStyle name="Normal 2 4 3 3 2 5 2" xfId="29326" xr:uid="{F8007E43-6D10-4303-A0E0-784514BF2E03}"/>
    <cellStyle name="Normal 2 4 3 3 2 5 3" xfId="29327" xr:uid="{89752DF2-95FE-4BEF-B286-81F49EF12074}"/>
    <cellStyle name="Normal 2 4 3 3 2 5 4" xfId="29328" xr:uid="{1CCD7681-96C3-46BE-9029-43BD6547C843}"/>
    <cellStyle name="Normal 2 4 3 3 2 5 5" xfId="29329" xr:uid="{EFC36318-8A1D-45B8-927F-A7656ADF70E8}"/>
    <cellStyle name="Normal 2 4 3 3 2 6" xfId="29330" xr:uid="{F761B2D8-48A3-4174-9E8A-6CB4F2996BEB}"/>
    <cellStyle name="Normal 2 4 3 3 2 6 2" xfId="29331" xr:uid="{635C8C75-30B0-4A63-A5D7-DC7F98CBBA0B}"/>
    <cellStyle name="Normal 2 4 3 3 2 6 3" xfId="29332" xr:uid="{D148E2B6-3BFD-4335-9B26-1B7F737F66BA}"/>
    <cellStyle name="Normal 2 4 3 3 2 6 4" xfId="29333" xr:uid="{2F2820A8-39EC-4722-9691-0C29E213B6F5}"/>
    <cellStyle name="Normal 2 4 3 3 2 6 5" xfId="29334" xr:uid="{6A9220BC-A566-4BAA-9941-45EDFBC7B1BD}"/>
    <cellStyle name="Normal 2 4 3 3 2 7" xfId="29335" xr:uid="{E9738ADE-ED53-4205-89B1-1CFB3A332ED4}"/>
    <cellStyle name="Normal 2 4 3 3 2 7 2" xfId="29336" xr:uid="{193EAA07-A453-4B95-8400-3E6CB765869F}"/>
    <cellStyle name="Normal 2 4 3 3 2 7 3" xfId="29337" xr:uid="{243895BF-E2A4-4593-ABC0-F76500CBE6F5}"/>
    <cellStyle name="Normal 2 4 3 3 2 7 4" xfId="29338" xr:uid="{2FCAD1A7-CE23-4DD6-B649-31BD7724078C}"/>
    <cellStyle name="Normal 2 4 3 3 2 7 5" xfId="29339" xr:uid="{1636470F-728C-437C-BDAB-55B84BB1FAA4}"/>
    <cellStyle name="Normal 2 4 3 3 2 8" xfId="29340" xr:uid="{FCEB5532-2482-47E1-8AFA-1CB642FE369C}"/>
    <cellStyle name="Normal 2 4 3 3 2 8 2" xfId="29341" xr:uid="{FEA02DEF-4E23-4E80-8B16-5B595AC77105}"/>
    <cellStyle name="Normal 2 4 3 3 2 8 3" xfId="29342" xr:uid="{3FD7C2D8-CE4F-404C-8A67-6B3D79150FB4}"/>
    <cellStyle name="Normal 2 4 3 3 2 8 4" xfId="29343" xr:uid="{83D40985-E8A1-4317-AE06-6FDBB35C63B1}"/>
    <cellStyle name="Normal 2 4 3 3 2 8 5" xfId="29344" xr:uid="{11A407BB-332C-44D7-816E-EBC9D7E95272}"/>
    <cellStyle name="Normal 2 4 3 3 2 9" xfId="29345" xr:uid="{3BB4931F-D083-4FBD-9219-0A3EFF96965A}"/>
    <cellStyle name="Normal 2 4 3 3 3" xfId="29346" xr:uid="{D0EC4F21-A85B-46D3-B732-F9F5E527F11C}"/>
    <cellStyle name="Normal 2 4 3 3 3 2" xfId="29347" xr:uid="{D4F5E814-E3EC-4845-9B6C-2ACDE1A221D4}"/>
    <cellStyle name="Normal 2 4 3 3 3 2 2" xfId="29348" xr:uid="{9820C375-F91C-4108-9611-B941E96AD902}"/>
    <cellStyle name="Normal 2 4 3 3 3 2 3" xfId="29349" xr:uid="{01672B63-286D-41CF-80F9-9E7C306C2DDB}"/>
    <cellStyle name="Normal 2 4 3 3 3 2 4" xfId="29350" xr:uid="{32B3CA19-1B8A-4F0A-9A0E-0788D2493FE5}"/>
    <cellStyle name="Normal 2 4 3 3 3 2 5" xfId="29351" xr:uid="{03615DF3-4DB5-45D1-AC7E-464EAC810998}"/>
    <cellStyle name="Normal 2 4 3 3 3 3" xfId="29352" xr:uid="{545B2AD5-EF60-40DC-8651-339281716337}"/>
    <cellStyle name="Normal 2 4 3 3 3 4" xfId="29353" xr:uid="{36E916DF-8856-42F4-9014-2DEEBD91064D}"/>
    <cellStyle name="Normal 2 4 3 3 3 5" xfId="29354" xr:uid="{68799832-AB92-4BE9-AF1D-5213BDB127C6}"/>
    <cellStyle name="Normal 2 4 3 3 3 6" xfId="29355" xr:uid="{663F7D77-814D-4ACC-B676-07D13ED27A00}"/>
    <cellStyle name="Normal 2 4 3 3 4" xfId="29356" xr:uid="{DFD69688-4942-44C7-AB0E-EBF86DFF3F1E}"/>
    <cellStyle name="Normal 2 4 3 3 4 2" xfId="29357" xr:uid="{825266A5-74D4-4A50-B3E5-0300B4D8370D}"/>
    <cellStyle name="Normal 2 4 3 3 4 2 2" xfId="29358" xr:uid="{D8F8C50A-C8CC-4DA5-8AE4-C7719390771A}"/>
    <cellStyle name="Normal 2 4 3 3 4 2 3" xfId="29359" xr:uid="{F368DBE4-EA97-45DF-BBCD-D00A70F68F32}"/>
    <cellStyle name="Normal 2 4 3 3 4 2 4" xfId="29360" xr:uid="{44EDDEDD-321C-4F78-8F56-5A293F2F33C3}"/>
    <cellStyle name="Normal 2 4 3 3 4 2 5" xfId="29361" xr:uid="{331AA062-F889-4A9C-9526-5EC47F6FA890}"/>
    <cellStyle name="Normal 2 4 3 3 4 3" xfId="29362" xr:uid="{71AE9860-77A5-4056-880D-FAF5ABE37025}"/>
    <cellStyle name="Normal 2 4 3 3 4 4" xfId="29363" xr:uid="{09C79BB7-83C1-4961-AF39-21A4A69F0137}"/>
    <cellStyle name="Normal 2 4 3 3 4 5" xfId="29364" xr:uid="{D9272F1A-2A15-4C3D-8DAA-EB9F30766161}"/>
    <cellStyle name="Normal 2 4 3 3 4 6" xfId="29365" xr:uid="{44B61D00-2EBC-4DC8-88A8-6629AB059EDD}"/>
    <cellStyle name="Normal 2 4 3 3 5" xfId="29366" xr:uid="{46BD54E6-9294-4E1B-B15A-9476FD7A4EFB}"/>
    <cellStyle name="Normal 2 4 3 3 5 2" xfId="29367" xr:uid="{0AD3F1FF-158F-428F-8C53-42541A8D76A5}"/>
    <cellStyle name="Normal 2 4 3 3 5 2 2" xfId="29368" xr:uid="{89ABAB47-CEE5-4BA9-9F33-DA87C79B268D}"/>
    <cellStyle name="Normal 2 4 3 3 5 2 3" xfId="29369" xr:uid="{0598A350-4575-46D9-B95E-D4CF860E3FE9}"/>
    <cellStyle name="Normal 2 4 3 3 5 2 4" xfId="29370" xr:uid="{31DCAC80-BCC5-4007-BEB9-012F9738DC11}"/>
    <cellStyle name="Normal 2 4 3 3 5 2 5" xfId="29371" xr:uid="{F9AD3A0E-6A4E-4559-9F62-41F7D4B46F22}"/>
    <cellStyle name="Normal 2 4 3 3 5 3" xfId="29372" xr:uid="{2928E985-D2FE-451F-BCCD-7484293C8514}"/>
    <cellStyle name="Normal 2 4 3 3 5 4" xfId="29373" xr:uid="{0642A39B-5088-439E-ADDF-33DC6E562947}"/>
    <cellStyle name="Normal 2 4 3 3 5 5" xfId="29374" xr:uid="{9A70009D-547E-4DBE-844F-D470FC9236E8}"/>
    <cellStyle name="Normal 2 4 3 3 5 6" xfId="29375" xr:uid="{5648D89A-D371-41D7-AF73-7ED38BA01A58}"/>
    <cellStyle name="Normal 2 4 3 3 6" xfId="29376" xr:uid="{B008F57C-B1A6-4C9B-8F6F-C1627E8BDBCA}"/>
    <cellStyle name="Normal 2 4 3 3 6 2" xfId="29377" xr:uid="{82A2A4E9-DFF8-4880-B353-41F66B205BCD}"/>
    <cellStyle name="Normal 2 4 3 3 6 3" xfId="29378" xr:uid="{49A71CCF-1C02-4E85-9EED-AE233DCFD588}"/>
    <cellStyle name="Normal 2 4 3 3 6 4" xfId="29379" xr:uid="{ACCE62D3-CA57-414C-9642-B7915C96514A}"/>
    <cellStyle name="Normal 2 4 3 3 6 5" xfId="29380" xr:uid="{D1188A7D-2F3A-4698-B2D2-0D6E7CF96558}"/>
    <cellStyle name="Normal 2 4 3 3 7" xfId="29381" xr:uid="{A548C320-22B1-475F-B7DD-B48A833D2D53}"/>
    <cellStyle name="Normal 2 4 3 3 7 2" xfId="29382" xr:uid="{C0F6D116-5ED0-4DC2-B24C-58932FC8AB2D}"/>
    <cellStyle name="Normal 2 4 3 3 7 3" xfId="29383" xr:uid="{C6367B88-B4FA-4EE2-B33A-FD6D12815EBD}"/>
    <cellStyle name="Normal 2 4 3 3 7 4" xfId="29384" xr:uid="{E577961C-7C31-4F5A-89FC-DE623B93D838}"/>
    <cellStyle name="Normal 2 4 3 3 7 5" xfId="29385" xr:uid="{A46A5363-BE36-4382-97D5-085F70EE8748}"/>
    <cellStyle name="Normal 2 4 3 3 8" xfId="29386" xr:uid="{94F04981-AFA7-418D-8B5C-903EE0A8D0AE}"/>
    <cellStyle name="Normal 2 4 3 3 8 2" xfId="29387" xr:uid="{66A479F2-B3D8-4258-8589-EEE07CE4B866}"/>
    <cellStyle name="Normal 2 4 3 3 8 3" xfId="29388" xr:uid="{C7621779-B6F7-467F-8539-BF64351DF0BF}"/>
    <cellStyle name="Normal 2 4 3 3 8 4" xfId="29389" xr:uid="{600802C0-A172-4D88-BF2B-F58BF3708A64}"/>
    <cellStyle name="Normal 2 4 3 3 8 5" xfId="29390" xr:uid="{E84CB60B-1701-47F2-94A8-DA55BC4EC1AD}"/>
    <cellStyle name="Normal 2 4 3 3 9" xfId="29391" xr:uid="{77117910-AB34-4964-ABAF-3C8BE09BA33C}"/>
    <cellStyle name="Normal 2 4 3 3 9 2" xfId="29392" xr:uid="{50B1BD04-7FB3-4C23-A5CA-918FD010CBE6}"/>
    <cellStyle name="Normal 2 4 3 3 9 3" xfId="29393" xr:uid="{8AEE44FD-7A79-48CF-A679-51A365381F60}"/>
    <cellStyle name="Normal 2 4 3 3 9 4" xfId="29394" xr:uid="{AE57FF40-4A4C-4D2C-B0C9-F892759348D3}"/>
    <cellStyle name="Normal 2 4 3 3 9 5" xfId="29395" xr:uid="{8331FC30-DCA0-440B-A7D3-3FCAB5DFCE87}"/>
    <cellStyle name="Normal 2 4 3 4" xfId="29396" xr:uid="{959C9186-768D-41A7-9A0D-5EB8CF3E4530}"/>
    <cellStyle name="Normal 2 4 3 4 10" xfId="29397" xr:uid="{7632E4B5-6453-4850-88ED-1F05073297FE}"/>
    <cellStyle name="Normal 2 4 3 4 11" xfId="29398" xr:uid="{BAC98D7D-40D4-4489-B95D-8AE8034CF0F1}"/>
    <cellStyle name="Normal 2 4 3 4 12" xfId="29399" xr:uid="{DA1396B7-3E7E-4CD0-8704-59C0501DD3FD}"/>
    <cellStyle name="Normal 2 4 3 4 2" xfId="29400" xr:uid="{3D330D66-874C-4AD3-854C-523E274FDC7F}"/>
    <cellStyle name="Normal 2 4 3 4 2 2" xfId="29401" xr:uid="{22FA448F-0873-4EA1-8677-06869ECC0073}"/>
    <cellStyle name="Normal 2 4 3 4 2 2 2" xfId="29402" xr:uid="{51F6CCB7-D37A-48B8-AEE8-0B98C51E633C}"/>
    <cellStyle name="Normal 2 4 3 4 2 2 3" xfId="29403" xr:uid="{2F9AE921-24ED-4517-81AB-9CDD11B0FB20}"/>
    <cellStyle name="Normal 2 4 3 4 2 2 4" xfId="29404" xr:uid="{0BC5B771-4F9D-4F31-9B72-98B887D43E06}"/>
    <cellStyle name="Normal 2 4 3 4 2 2 5" xfId="29405" xr:uid="{DBB87FBA-F4E9-40D6-A8C2-E4DD55307EF1}"/>
    <cellStyle name="Normal 2 4 3 4 2 3" xfId="29406" xr:uid="{640755CC-BAA6-4BD6-8A61-2C5D0B92AFC6}"/>
    <cellStyle name="Normal 2 4 3 4 2 4" xfId="29407" xr:uid="{5BCBA433-FD5B-44A8-AB02-4381D252E5B0}"/>
    <cellStyle name="Normal 2 4 3 4 2 5" xfId="29408" xr:uid="{6E9FCCFA-95CA-4CE7-B6AD-C9375ABA0D3E}"/>
    <cellStyle name="Normal 2 4 3 4 2 6" xfId="29409" xr:uid="{7A351819-20F5-4004-8A5D-BF9947440233}"/>
    <cellStyle name="Normal 2 4 3 4 3" xfId="29410" xr:uid="{A78485FB-85B3-4EA9-83AB-68725F1658BA}"/>
    <cellStyle name="Normal 2 4 3 4 3 2" xfId="29411" xr:uid="{773872C1-3990-47F9-AB4D-C883169D02BC}"/>
    <cellStyle name="Normal 2 4 3 4 3 2 2" xfId="29412" xr:uid="{499FCC03-1A6F-45B5-AFC1-DA66EA312AFB}"/>
    <cellStyle name="Normal 2 4 3 4 3 2 3" xfId="29413" xr:uid="{292957BE-4A20-404E-A197-0CDC09A634D0}"/>
    <cellStyle name="Normal 2 4 3 4 3 2 4" xfId="29414" xr:uid="{B721564D-D7F0-4DCF-AA57-78C306D8AE0F}"/>
    <cellStyle name="Normal 2 4 3 4 3 2 5" xfId="29415" xr:uid="{BD6BEB5D-EA4E-4831-8E23-B48D1AD8CB9A}"/>
    <cellStyle name="Normal 2 4 3 4 3 3" xfId="29416" xr:uid="{4EB58A2A-80E1-4ECE-9316-B0BEA71D4CA3}"/>
    <cellStyle name="Normal 2 4 3 4 3 4" xfId="29417" xr:uid="{138FE1E2-8251-4BDD-9213-FC63FACCB1B0}"/>
    <cellStyle name="Normal 2 4 3 4 3 5" xfId="29418" xr:uid="{8DB3BCA0-DA13-4B00-B037-629F65089715}"/>
    <cellStyle name="Normal 2 4 3 4 3 6" xfId="29419" xr:uid="{8FBFDBC3-3297-48B0-B802-53E77986362F}"/>
    <cellStyle name="Normal 2 4 3 4 4" xfId="29420" xr:uid="{50D1F809-D3E7-4E8D-B4DA-87F3FDAF0B93}"/>
    <cellStyle name="Normal 2 4 3 4 4 2" xfId="29421" xr:uid="{47CEF2AD-8052-49A8-B076-1465C6106ED5}"/>
    <cellStyle name="Normal 2 4 3 4 4 2 2" xfId="29422" xr:uid="{E56BFDAB-E461-416B-80D7-23B71E36ACA0}"/>
    <cellStyle name="Normal 2 4 3 4 4 2 3" xfId="29423" xr:uid="{4516AB3B-FB9F-4C89-9F00-C7F3705F72B0}"/>
    <cellStyle name="Normal 2 4 3 4 4 2 4" xfId="29424" xr:uid="{F8DD9BEB-0B5F-4D98-9F1C-3B5661CB7AE5}"/>
    <cellStyle name="Normal 2 4 3 4 4 2 5" xfId="29425" xr:uid="{48784520-B7B2-4BD9-986E-46AB474E8560}"/>
    <cellStyle name="Normal 2 4 3 4 4 3" xfId="29426" xr:uid="{84FE2201-489B-4861-B126-7D09EAE9DF86}"/>
    <cellStyle name="Normal 2 4 3 4 4 4" xfId="29427" xr:uid="{EDC06277-03D6-4541-9F5F-7D9AE29E146F}"/>
    <cellStyle name="Normal 2 4 3 4 4 5" xfId="29428" xr:uid="{9A842396-614E-405F-84BF-075BA8ADF4E5}"/>
    <cellStyle name="Normal 2 4 3 4 4 6" xfId="29429" xr:uid="{432E0244-D178-46C7-8454-9ECEA91A236F}"/>
    <cellStyle name="Normal 2 4 3 4 5" xfId="29430" xr:uid="{6ACD164B-F6CB-4B30-B8EF-335B3FA02A25}"/>
    <cellStyle name="Normal 2 4 3 4 5 2" xfId="29431" xr:uid="{5D5CFF8E-FA5C-459A-AFD6-F2F6C6885BE3}"/>
    <cellStyle name="Normal 2 4 3 4 5 3" xfId="29432" xr:uid="{3F34D651-BCA1-40A8-B19E-C22484844779}"/>
    <cellStyle name="Normal 2 4 3 4 5 4" xfId="29433" xr:uid="{03F6C2C3-FCC5-4A7D-929E-16E80AC7C2B1}"/>
    <cellStyle name="Normal 2 4 3 4 5 5" xfId="29434" xr:uid="{544607EF-9C10-4AF4-BBDA-4D1941FDF47D}"/>
    <cellStyle name="Normal 2 4 3 4 6" xfId="29435" xr:uid="{0B7BBC34-674A-4501-9A81-9151589B5189}"/>
    <cellStyle name="Normal 2 4 3 4 6 2" xfId="29436" xr:uid="{468D515A-03E8-4623-810C-47DCBEC07E2B}"/>
    <cellStyle name="Normal 2 4 3 4 6 3" xfId="29437" xr:uid="{53A6094E-40AB-411F-98FB-506BFFB1E604}"/>
    <cellStyle name="Normal 2 4 3 4 6 4" xfId="29438" xr:uid="{081C93E4-195B-443E-8CBE-94B2D5180E27}"/>
    <cellStyle name="Normal 2 4 3 4 6 5" xfId="29439" xr:uid="{FF5C1857-1A97-475A-A7F1-F7058A4FAC62}"/>
    <cellStyle name="Normal 2 4 3 4 7" xfId="29440" xr:uid="{04645BAE-C31D-4364-B21A-0CF45487C4A1}"/>
    <cellStyle name="Normal 2 4 3 4 7 2" xfId="29441" xr:uid="{ACB93697-EFA7-429C-B079-188C243CBF02}"/>
    <cellStyle name="Normal 2 4 3 4 7 3" xfId="29442" xr:uid="{231738B5-BFE7-436A-91EF-7FA9C3EB8A3F}"/>
    <cellStyle name="Normal 2 4 3 4 7 4" xfId="29443" xr:uid="{F2FB26CA-8D92-4177-B074-3ACD27C82063}"/>
    <cellStyle name="Normal 2 4 3 4 7 5" xfId="29444" xr:uid="{8BC4BAD4-B0C5-4E5F-9237-4176CEC6E55E}"/>
    <cellStyle name="Normal 2 4 3 4 8" xfId="29445" xr:uid="{CC5FE8D2-5723-4449-9939-997AE021E68E}"/>
    <cellStyle name="Normal 2 4 3 4 8 2" xfId="29446" xr:uid="{F7C783A8-5687-435D-81A0-F5E894CE8BE0}"/>
    <cellStyle name="Normal 2 4 3 4 8 3" xfId="29447" xr:uid="{E58ED80E-86E2-46DD-977F-A2CDA56AE738}"/>
    <cellStyle name="Normal 2 4 3 4 8 4" xfId="29448" xr:uid="{80FFDACC-0A7C-4963-9BC4-3B685A8D2BCA}"/>
    <cellStyle name="Normal 2 4 3 4 8 5" xfId="29449" xr:uid="{BFB7EC8A-7EC4-4C33-A391-B2445BA447B7}"/>
    <cellStyle name="Normal 2 4 3 4 9" xfId="29450" xr:uid="{74DD465E-BBF6-4CE1-A58A-75D06F06172A}"/>
    <cellStyle name="Normal 2 4 3 5" xfId="29451" xr:uid="{1E478D6F-E7A8-46CC-A27C-D7100B07F463}"/>
    <cellStyle name="Normal 2 4 3 5 2" xfId="29452" xr:uid="{1C96A507-5F58-4860-B006-449DEAC93340}"/>
    <cellStyle name="Normal 2 4 3 5 2 2" xfId="29453" xr:uid="{4EC87882-366D-4A16-9909-6170A2E7AEE7}"/>
    <cellStyle name="Normal 2 4 3 5 2 3" xfId="29454" xr:uid="{1869B121-2108-493C-9769-D27C7F1418E3}"/>
    <cellStyle name="Normal 2 4 3 5 2 4" xfId="29455" xr:uid="{58C886AA-CDEF-425E-90AC-02E2BFF28BE2}"/>
    <cellStyle name="Normal 2 4 3 5 2 5" xfId="29456" xr:uid="{865D5E4C-F9D3-4A23-A91D-FC947F7B66B3}"/>
    <cellStyle name="Normal 2 4 3 5 3" xfId="29457" xr:uid="{469C1EEC-22E6-41FC-B254-1AE8FBA280D9}"/>
    <cellStyle name="Normal 2 4 3 5 4" xfId="29458" xr:uid="{064FE0AB-649B-4CDD-BFD2-00D6E0FDD930}"/>
    <cellStyle name="Normal 2 4 3 5 5" xfId="29459" xr:uid="{EEA2A266-06DE-4C6E-864B-048E3D0D67F3}"/>
    <cellStyle name="Normal 2 4 3 5 6" xfId="29460" xr:uid="{1CE33E28-6C9D-483A-81B3-430A60E58661}"/>
    <cellStyle name="Normal 2 4 3 6" xfId="29461" xr:uid="{B7CF0779-829A-40DE-878D-4406992A1BA8}"/>
    <cellStyle name="Normal 2 4 3 6 2" xfId="29462" xr:uid="{63BD64C0-8763-485D-9B1A-50D4D8697628}"/>
    <cellStyle name="Normal 2 4 3 6 2 2" xfId="29463" xr:uid="{73B365B7-7E47-4706-BB4A-4C291D9F9A2E}"/>
    <cellStyle name="Normal 2 4 3 6 2 3" xfId="29464" xr:uid="{A4717052-943B-4764-925C-CB2FEAE4EC14}"/>
    <cellStyle name="Normal 2 4 3 6 2 4" xfId="29465" xr:uid="{983BC99D-9C5C-4473-BFEA-FB71715492AF}"/>
    <cellStyle name="Normal 2 4 3 6 2 5" xfId="29466" xr:uid="{BA5DAC0D-07F4-4E5F-BCB3-ABD6885EF93A}"/>
    <cellStyle name="Normal 2 4 3 6 3" xfId="29467" xr:uid="{8F35C3C1-074A-4B89-9EF5-6146CBF11BF0}"/>
    <cellStyle name="Normal 2 4 3 6 4" xfId="29468" xr:uid="{ADFE303B-9025-4D82-B416-BA89ABD3FC41}"/>
    <cellStyle name="Normal 2 4 3 6 5" xfId="29469" xr:uid="{AFAA0679-90DD-4222-8A27-53C199BB66B0}"/>
    <cellStyle name="Normal 2 4 3 6 6" xfId="29470" xr:uid="{1EE58C6C-3A11-4779-960B-88A4EC861D10}"/>
    <cellStyle name="Normal 2 4 3 7" xfId="29471" xr:uid="{0C8F577D-378F-4054-80E6-D0345C8ABF54}"/>
    <cellStyle name="Normal 2 4 3 7 2" xfId="29472" xr:uid="{D5B17A9C-D54E-43E6-BB91-1028DBBF029C}"/>
    <cellStyle name="Normal 2 4 3 7 2 2" xfId="29473" xr:uid="{C5760759-6F48-4EAE-961B-D5EF23E5D2BA}"/>
    <cellStyle name="Normal 2 4 3 7 2 3" xfId="29474" xr:uid="{607A97E3-4186-499E-AD63-39124F6BC90F}"/>
    <cellStyle name="Normal 2 4 3 7 2 4" xfId="29475" xr:uid="{22EFD4C1-AA21-4668-B47D-96C6AC4FE0C1}"/>
    <cellStyle name="Normal 2 4 3 7 2 5" xfId="29476" xr:uid="{6D19A907-D0ED-464B-9559-50A3496FFA5E}"/>
    <cellStyle name="Normal 2 4 3 7 3" xfId="29477" xr:uid="{83F0A36B-EE00-4CA0-AF59-FC83521B501B}"/>
    <cellStyle name="Normal 2 4 3 7 4" xfId="29478" xr:uid="{615393CC-52A5-4B3E-B9D1-A3F222560DF3}"/>
    <cellStyle name="Normal 2 4 3 7 5" xfId="29479" xr:uid="{CE3A8CC2-9609-4F06-A2FA-3234EDAAE0DB}"/>
    <cellStyle name="Normal 2 4 3 7 6" xfId="29480" xr:uid="{D407CFA4-B3EE-4446-9B99-9FD10B2B266C}"/>
    <cellStyle name="Normal 2 4 3 8" xfId="29481" xr:uid="{00D11C85-2913-47C3-85F3-6384224D011D}"/>
    <cellStyle name="Normal 2 4 3 8 2" xfId="29482" xr:uid="{4DF559F1-04AC-4382-BA0F-DE9C4640D319}"/>
    <cellStyle name="Normal 2 4 3 8 3" xfId="29483" xr:uid="{592A5C84-A367-4278-986A-67FBF0FF990A}"/>
    <cellStyle name="Normal 2 4 3 8 4" xfId="29484" xr:uid="{71AE1F2B-57E0-4DA9-BA3E-96B37B137C04}"/>
    <cellStyle name="Normal 2 4 3 8 5" xfId="29485" xr:uid="{E8150DB1-F377-43DD-8B3F-705EBF70F88A}"/>
    <cellStyle name="Normal 2 4 3 9" xfId="29486" xr:uid="{FC8DFD70-E9E9-485F-AF79-C95569D86670}"/>
    <cellStyle name="Normal 2 4 3 9 2" xfId="29487" xr:uid="{2F2679A3-9618-43DD-9ADE-07B24838B1B4}"/>
    <cellStyle name="Normal 2 4 3 9 3" xfId="29488" xr:uid="{C331F396-2AE6-460E-84F4-1A5EF62E6E07}"/>
    <cellStyle name="Normal 2 4 3 9 4" xfId="29489" xr:uid="{38C3CA87-D788-4B28-AD05-407D20721199}"/>
    <cellStyle name="Normal 2 4 3 9 5" xfId="29490" xr:uid="{94225CEA-763E-466D-A9C0-53D8CCD39C7B}"/>
    <cellStyle name="Normal 2 4 4" xfId="29491" xr:uid="{D1A7B95F-6EFC-495D-8B0E-8268AF19E0DE}"/>
    <cellStyle name="Normal 2 4 4 10" xfId="29492" xr:uid="{C138B857-209B-43DA-A46A-B4E24DCF2262}"/>
    <cellStyle name="Normal 2 4 4 10 2" xfId="29493" xr:uid="{251FBAAC-D15C-4487-846F-0F1AF41FF383}"/>
    <cellStyle name="Normal 2 4 4 10 3" xfId="29494" xr:uid="{35B3096E-AEBD-4809-8A7B-79D98BC0AB49}"/>
    <cellStyle name="Normal 2 4 4 10 4" xfId="29495" xr:uid="{7167C919-325C-49C0-BEAB-34B0831A6232}"/>
    <cellStyle name="Normal 2 4 4 10 5" xfId="29496" xr:uid="{30B2F7A1-7A8A-4104-AAF1-2A23AF8E8B1F}"/>
    <cellStyle name="Normal 2 4 4 11" xfId="29497" xr:uid="{8A74CB45-80D4-4B85-AC92-D583B7F5F256}"/>
    <cellStyle name="Normal 2 4 4 11 2" xfId="29498" xr:uid="{123D7F8F-43F0-4F85-AB55-21045B275E35}"/>
    <cellStyle name="Normal 2 4 4 11 3" xfId="29499" xr:uid="{0711B7CA-245A-4AA7-A15A-CE3CD022E6D6}"/>
    <cellStyle name="Normal 2 4 4 11 4" xfId="29500" xr:uid="{D89DB6FC-BC13-4F01-9E70-BC493083F6B8}"/>
    <cellStyle name="Normal 2 4 4 11 5" xfId="29501" xr:uid="{7F5B68A8-7B85-4E76-9059-996196823323}"/>
    <cellStyle name="Normal 2 4 4 12" xfId="29502" xr:uid="{8DE69A5F-C0DE-4FD5-A9F0-F65917226C8F}"/>
    <cellStyle name="Normal 2 4 4 13" xfId="29503" xr:uid="{14B73886-DEDD-4647-B2B2-FE55C0A36CE1}"/>
    <cellStyle name="Normal 2 4 4 14" xfId="29504" xr:uid="{DF6E4522-5ADD-4FC5-A486-0C07EE76D724}"/>
    <cellStyle name="Normal 2 4 4 15" xfId="29505" xr:uid="{1AA14EA3-BC37-430A-92B0-6DB5411BA5BE}"/>
    <cellStyle name="Normal 2 4 4 2" xfId="29506" xr:uid="{93A68AC1-1418-43BB-8992-33CCF4DB32C6}"/>
    <cellStyle name="Normal 2 4 4 2 10" xfId="29507" xr:uid="{56B77D7F-5973-4E24-82C8-56CB5935294A}"/>
    <cellStyle name="Normal 2 4 4 2 10 2" xfId="29508" xr:uid="{83508EC1-4153-401A-AB00-64396A8A3FFA}"/>
    <cellStyle name="Normal 2 4 4 2 10 3" xfId="29509" xr:uid="{A4DEF2D2-DDAF-4C49-8C81-A707D27A9BDD}"/>
    <cellStyle name="Normal 2 4 4 2 10 4" xfId="29510" xr:uid="{A8174E3D-4BF0-4E47-ABEA-51888C81C4E2}"/>
    <cellStyle name="Normal 2 4 4 2 10 5" xfId="29511" xr:uid="{F336CCF6-745E-4642-8FD4-BB44C3BA6E34}"/>
    <cellStyle name="Normal 2 4 4 2 11" xfId="29512" xr:uid="{5DE2821F-B738-4EFB-80C6-97749268AFF2}"/>
    <cellStyle name="Normal 2 4 4 2 12" xfId="29513" xr:uid="{B6D82532-BD31-443A-B81F-5F1B5AD12902}"/>
    <cellStyle name="Normal 2 4 4 2 13" xfId="29514" xr:uid="{2E945B72-0C62-4D16-998C-12A87AE13F09}"/>
    <cellStyle name="Normal 2 4 4 2 14" xfId="29515" xr:uid="{29E43F92-B450-478A-9AED-9F64440EEC5E}"/>
    <cellStyle name="Normal 2 4 4 2 2" xfId="29516" xr:uid="{1DAB1EE8-6386-48FE-9A19-019F7BB5AE1B}"/>
    <cellStyle name="Normal 2 4 4 2 2 10" xfId="29517" xr:uid="{9ADC7940-E67A-43BD-94E9-18D4205648C1}"/>
    <cellStyle name="Normal 2 4 4 2 2 11" xfId="29518" xr:uid="{139AD8C5-28D1-4330-A400-79BD1C67A953}"/>
    <cellStyle name="Normal 2 4 4 2 2 12" xfId="29519" xr:uid="{DC18E2FB-236B-4612-9338-DEF201FDDE69}"/>
    <cellStyle name="Normal 2 4 4 2 2 13" xfId="29520" xr:uid="{4E830849-0F55-48A0-9B1B-90C7260BF65F}"/>
    <cellStyle name="Normal 2 4 4 2 2 2" xfId="29521" xr:uid="{5C137DC0-9D48-4405-BA54-216D51A48BB0}"/>
    <cellStyle name="Normal 2 4 4 2 2 2 10" xfId="29522" xr:uid="{0C901697-F03B-4D6C-AEEA-2D3FF543A43B}"/>
    <cellStyle name="Normal 2 4 4 2 2 2 11" xfId="29523" xr:uid="{E798264D-F560-4BAA-87CC-D1973B2970D4}"/>
    <cellStyle name="Normal 2 4 4 2 2 2 12" xfId="29524" xr:uid="{F99AD3B6-326D-4AC4-B9D2-770311CD6F42}"/>
    <cellStyle name="Normal 2 4 4 2 2 2 2" xfId="29525" xr:uid="{7D1E696B-481D-4C4E-B1E1-274A22633A46}"/>
    <cellStyle name="Normal 2 4 4 2 2 2 2 2" xfId="29526" xr:uid="{4C3BD657-77A5-46C6-84E2-95F3537E6E37}"/>
    <cellStyle name="Normal 2 4 4 2 2 2 2 2 2" xfId="29527" xr:uid="{90A17243-5340-4E82-BDB0-C1BA61B48C6D}"/>
    <cellStyle name="Normal 2 4 4 2 2 2 2 2 3" xfId="29528" xr:uid="{F81D65F3-F012-4945-A318-A674BE602FB7}"/>
    <cellStyle name="Normal 2 4 4 2 2 2 2 2 4" xfId="29529" xr:uid="{0A31C508-5EDE-4C05-97E7-F590679FC8E0}"/>
    <cellStyle name="Normal 2 4 4 2 2 2 2 2 5" xfId="29530" xr:uid="{AC86E694-621C-4BB2-B7E1-70E19233F1E5}"/>
    <cellStyle name="Normal 2 4 4 2 2 2 2 3" xfId="29531" xr:uid="{9CBF64DC-E8CE-4A11-8984-C50CFE388547}"/>
    <cellStyle name="Normal 2 4 4 2 2 2 2 4" xfId="29532" xr:uid="{46F08E9E-4581-4C87-8B0B-1BB8F7B01924}"/>
    <cellStyle name="Normal 2 4 4 2 2 2 2 5" xfId="29533" xr:uid="{906B6C2A-21E0-422E-B517-A306491AAE62}"/>
    <cellStyle name="Normal 2 4 4 2 2 2 2 6" xfId="29534" xr:uid="{008B2FC5-B441-4C47-BC35-DEB9519B1536}"/>
    <cellStyle name="Normal 2 4 4 2 2 2 3" xfId="29535" xr:uid="{713D9B3C-353E-4AC4-98C2-3D45A8DDD624}"/>
    <cellStyle name="Normal 2 4 4 2 2 2 3 2" xfId="29536" xr:uid="{28CC37E3-0B4B-4E43-ADD2-FB765D89839E}"/>
    <cellStyle name="Normal 2 4 4 2 2 2 3 2 2" xfId="29537" xr:uid="{6614F616-04AC-49FD-99A4-388FB8276DD9}"/>
    <cellStyle name="Normal 2 4 4 2 2 2 3 2 3" xfId="29538" xr:uid="{99F50E0B-A0CA-4E2E-9780-A32367522CE4}"/>
    <cellStyle name="Normal 2 4 4 2 2 2 3 2 4" xfId="29539" xr:uid="{4C956982-BDAB-4838-8413-3FEA6E038020}"/>
    <cellStyle name="Normal 2 4 4 2 2 2 3 2 5" xfId="29540" xr:uid="{F02F954F-1DE8-44AB-B65D-FC81ECCF31B3}"/>
    <cellStyle name="Normal 2 4 4 2 2 2 3 3" xfId="29541" xr:uid="{12A794BB-C8E8-4B6A-AEBE-BF11E56F50DA}"/>
    <cellStyle name="Normal 2 4 4 2 2 2 3 4" xfId="29542" xr:uid="{E92949E3-112E-4CC0-A787-76C119F8FD57}"/>
    <cellStyle name="Normal 2 4 4 2 2 2 3 5" xfId="29543" xr:uid="{90C4CE92-29FD-4758-A102-7C93343EEE85}"/>
    <cellStyle name="Normal 2 4 4 2 2 2 3 6" xfId="29544" xr:uid="{E24FA51F-6117-48F8-B65B-B97D77405F10}"/>
    <cellStyle name="Normal 2 4 4 2 2 2 4" xfId="29545" xr:uid="{4E1B6559-EF21-492D-BD0E-F33AAA5402E8}"/>
    <cellStyle name="Normal 2 4 4 2 2 2 4 2" xfId="29546" xr:uid="{ABAB5A63-92E5-42F4-807C-C710F9FE6896}"/>
    <cellStyle name="Normal 2 4 4 2 2 2 4 2 2" xfId="29547" xr:uid="{25F153B5-5253-4085-A7BC-6EA9AC8D48FF}"/>
    <cellStyle name="Normal 2 4 4 2 2 2 4 2 3" xfId="29548" xr:uid="{21FFFB7A-2D6E-44B2-85A3-6C3622496B8F}"/>
    <cellStyle name="Normal 2 4 4 2 2 2 4 2 4" xfId="29549" xr:uid="{9B6234A1-4BC9-4022-928F-BF4DB6C01E9C}"/>
    <cellStyle name="Normal 2 4 4 2 2 2 4 2 5" xfId="29550" xr:uid="{82BA417E-4EC0-48ED-893F-D1B0070E392F}"/>
    <cellStyle name="Normal 2 4 4 2 2 2 4 3" xfId="29551" xr:uid="{4DF468D1-DFD4-4FA6-B4FF-50FB36E34149}"/>
    <cellStyle name="Normal 2 4 4 2 2 2 4 4" xfId="29552" xr:uid="{19FB7D0A-5A80-4DB3-B1CF-CD5B663C1A6F}"/>
    <cellStyle name="Normal 2 4 4 2 2 2 4 5" xfId="29553" xr:uid="{9FE85EBE-9C1C-446B-AAFA-675AB602F13A}"/>
    <cellStyle name="Normal 2 4 4 2 2 2 4 6" xfId="29554" xr:uid="{E29156AC-DBCF-45F5-9B8C-B3F534DABE10}"/>
    <cellStyle name="Normal 2 4 4 2 2 2 5" xfId="29555" xr:uid="{9B444337-7D05-406A-8F1E-70A5EC2EE124}"/>
    <cellStyle name="Normal 2 4 4 2 2 2 5 2" xfId="29556" xr:uid="{3B0289F0-6656-45F0-9D1F-033E1CC53A77}"/>
    <cellStyle name="Normal 2 4 4 2 2 2 5 3" xfId="29557" xr:uid="{3273F261-0869-437D-8F74-F737087F0ACF}"/>
    <cellStyle name="Normal 2 4 4 2 2 2 5 4" xfId="29558" xr:uid="{114E4DA2-3345-4E19-B771-B1D5DFB11E9E}"/>
    <cellStyle name="Normal 2 4 4 2 2 2 5 5" xfId="29559" xr:uid="{2C134894-E55A-45F2-B7F0-AC2A5F617B5B}"/>
    <cellStyle name="Normal 2 4 4 2 2 2 6" xfId="29560" xr:uid="{3450D4B7-E232-430C-9F49-DE40D00D8155}"/>
    <cellStyle name="Normal 2 4 4 2 2 2 6 2" xfId="29561" xr:uid="{E9367CAB-B6A5-4C54-815F-26FD488BC815}"/>
    <cellStyle name="Normal 2 4 4 2 2 2 6 3" xfId="29562" xr:uid="{7E7DE3DB-4B2E-4A4E-8A1E-B83CC5B3B29A}"/>
    <cellStyle name="Normal 2 4 4 2 2 2 6 4" xfId="29563" xr:uid="{D3DC5A55-6ADD-4FF8-8AAD-8E5CC0CC13B8}"/>
    <cellStyle name="Normal 2 4 4 2 2 2 6 5" xfId="29564" xr:uid="{03972716-2012-4C30-BD12-1E16DE43AB7F}"/>
    <cellStyle name="Normal 2 4 4 2 2 2 7" xfId="29565" xr:uid="{9BC1496B-EA2C-4BD0-8FBA-5E4BB9D57903}"/>
    <cellStyle name="Normal 2 4 4 2 2 2 7 2" xfId="29566" xr:uid="{C875FD02-2521-42B2-B843-A72AA5CB2E6E}"/>
    <cellStyle name="Normal 2 4 4 2 2 2 7 3" xfId="29567" xr:uid="{F58192DC-CFA9-4AEA-808E-1EA08BE8C4AD}"/>
    <cellStyle name="Normal 2 4 4 2 2 2 7 4" xfId="29568" xr:uid="{172CA0AC-F02E-4B78-A3EC-C05F12D468B1}"/>
    <cellStyle name="Normal 2 4 4 2 2 2 7 5" xfId="29569" xr:uid="{557A6975-F690-42CB-862E-33C20B0EBD58}"/>
    <cellStyle name="Normal 2 4 4 2 2 2 8" xfId="29570" xr:uid="{A413F905-8B78-4735-90B6-673AFAE00012}"/>
    <cellStyle name="Normal 2 4 4 2 2 2 8 2" xfId="29571" xr:uid="{B92A65A4-F0E4-4FEB-A8D4-8A0AD60E8A6C}"/>
    <cellStyle name="Normal 2 4 4 2 2 2 8 3" xfId="29572" xr:uid="{7A7F1404-1957-4A6A-9F63-58C53448D9F9}"/>
    <cellStyle name="Normal 2 4 4 2 2 2 8 4" xfId="29573" xr:uid="{4DF09A42-1A55-415F-9B7E-C0FAF39AFC0E}"/>
    <cellStyle name="Normal 2 4 4 2 2 2 8 5" xfId="29574" xr:uid="{14921279-5BD1-4674-936B-188B3B769969}"/>
    <cellStyle name="Normal 2 4 4 2 2 2 9" xfId="29575" xr:uid="{552D7BA3-4D78-4E1F-BDBE-63A67F4BDADD}"/>
    <cellStyle name="Normal 2 4 4 2 2 3" xfId="29576" xr:uid="{5A99155C-F588-4928-80E4-17C44689CAAF}"/>
    <cellStyle name="Normal 2 4 4 2 2 3 2" xfId="29577" xr:uid="{EB1C8BAE-FF7F-4D3E-BF04-DD7DA0E70B5E}"/>
    <cellStyle name="Normal 2 4 4 2 2 3 2 2" xfId="29578" xr:uid="{0232C15A-876B-493A-94BA-8EF44D2E988C}"/>
    <cellStyle name="Normal 2 4 4 2 2 3 2 3" xfId="29579" xr:uid="{6E248A94-07EB-4915-BA50-1B9578177856}"/>
    <cellStyle name="Normal 2 4 4 2 2 3 2 4" xfId="29580" xr:uid="{16EBCBB0-7EB4-4EBB-B36F-9B31776004F5}"/>
    <cellStyle name="Normal 2 4 4 2 2 3 2 5" xfId="29581" xr:uid="{F4AB0E26-34A4-439F-B332-3AA3DEF9BD29}"/>
    <cellStyle name="Normal 2 4 4 2 2 3 3" xfId="29582" xr:uid="{AA941D07-F7D8-4F6E-8C72-75C95CE3F832}"/>
    <cellStyle name="Normal 2 4 4 2 2 3 4" xfId="29583" xr:uid="{6BE92FFA-B2FA-4396-841F-08C2268A7204}"/>
    <cellStyle name="Normal 2 4 4 2 2 3 5" xfId="29584" xr:uid="{6ACA3F01-D818-42EE-93D9-22E4A95A0798}"/>
    <cellStyle name="Normal 2 4 4 2 2 3 6" xfId="29585" xr:uid="{5920B900-08AD-455C-9500-2A4C2BCAFB4D}"/>
    <cellStyle name="Normal 2 4 4 2 2 4" xfId="29586" xr:uid="{900425C9-04FA-42BE-9724-935005CC7DBF}"/>
    <cellStyle name="Normal 2 4 4 2 2 4 2" xfId="29587" xr:uid="{791EA33E-0A97-4015-8C9A-DC1A9DD0FDB7}"/>
    <cellStyle name="Normal 2 4 4 2 2 4 2 2" xfId="29588" xr:uid="{7AC982C3-F42B-4544-8E3C-FB2CC82F66EB}"/>
    <cellStyle name="Normal 2 4 4 2 2 4 2 3" xfId="29589" xr:uid="{4932E8EC-E377-43DD-B0D1-CFF81609AE73}"/>
    <cellStyle name="Normal 2 4 4 2 2 4 2 4" xfId="29590" xr:uid="{FED47826-5C6E-48F8-A455-81B6DD0DB3C3}"/>
    <cellStyle name="Normal 2 4 4 2 2 4 2 5" xfId="29591" xr:uid="{43F2FDF2-1985-4AC3-B649-A20641BD9780}"/>
    <cellStyle name="Normal 2 4 4 2 2 4 3" xfId="29592" xr:uid="{058B1528-5C9A-4D05-B798-FBEE2E151192}"/>
    <cellStyle name="Normal 2 4 4 2 2 4 4" xfId="29593" xr:uid="{195F5FBF-68E1-4F5B-BCF0-875301824E3F}"/>
    <cellStyle name="Normal 2 4 4 2 2 4 5" xfId="29594" xr:uid="{BD355951-5FE9-4C3B-A0BB-0B5B2C83E6EE}"/>
    <cellStyle name="Normal 2 4 4 2 2 4 6" xfId="29595" xr:uid="{98764A33-ADAE-4488-B810-FD786A08AC26}"/>
    <cellStyle name="Normal 2 4 4 2 2 5" xfId="29596" xr:uid="{CABE0525-5D19-4FC1-A626-F22303E046A5}"/>
    <cellStyle name="Normal 2 4 4 2 2 5 2" xfId="29597" xr:uid="{0BC58069-F094-4689-89AC-76BCD9B1CE02}"/>
    <cellStyle name="Normal 2 4 4 2 2 5 2 2" xfId="29598" xr:uid="{C58B0B32-7FD0-4BF7-B41A-55E390C2E759}"/>
    <cellStyle name="Normal 2 4 4 2 2 5 2 3" xfId="29599" xr:uid="{9E1A9207-66EC-4575-A363-C0362C2E5D57}"/>
    <cellStyle name="Normal 2 4 4 2 2 5 2 4" xfId="29600" xr:uid="{39835A5B-4CFB-446B-B1A6-1ED76CDB937A}"/>
    <cellStyle name="Normal 2 4 4 2 2 5 2 5" xfId="29601" xr:uid="{B1B19ABF-4C76-42E9-A6CA-95F9B8E8C361}"/>
    <cellStyle name="Normal 2 4 4 2 2 5 3" xfId="29602" xr:uid="{02AB843E-BC78-4654-9D54-B91C5099D30C}"/>
    <cellStyle name="Normal 2 4 4 2 2 5 4" xfId="29603" xr:uid="{E57DB5C1-2593-4103-B324-4F82D6DE3733}"/>
    <cellStyle name="Normal 2 4 4 2 2 5 5" xfId="29604" xr:uid="{185C31A2-E5D1-4627-BFAC-FAFA85917661}"/>
    <cellStyle name="Normal 2 4 4 2 2 5 6" xfId="29605" xr:uid="{068D7DF4-D47D-4743-B35C-6A1A815BCEFB}"/>
    <cellStyle name="Normal 2 4 4 2 2 6" xfId="29606" xr:uid="{93AB0D0E-049F-40BF-9C6F-49A5418C0AAB}"/>
    <cellStyle name="Normal 2 4 4 2 2 6 2" xfId="29607" xr:uid="{4516CFD3-8C77-4F1F-ABB9-014E4D629F2B}"/>
    <cellStyle name="Normal 2 4 4 2 2 6 3" xfId="29608" xr:uid="{04556C40-B062-4AB5-81CD-81CC7617BBD3}"/>
    <cellStyle name="Normal 2 4 4 2 2 6 4" xfId="29609" xr:uid="{77FBE0D7-6889-4835-BFBE-09E7B0C112C6}"/>
    <cellStyle name="Normal 2 4 4 2 2 6 5" xfId="29610" xr:uid="{B1F1D024-AEFB-4378-897E-1F5C6CB239AE}"/>
    <cellStyle name="Normal 2 4 4 2 2 7" xfId="29611" xr:uid="{4A2D3C8B-45D1-4911-974D-BC6B6A9239D1}"/>
    <cellStyle name="Normal 2 4 4 2 2 7 2" xfId="29612" xr:uid="{5478C9A8-73E5-4767-A167-947E634101EF}"/>
    <cellStyle name="Normal 2 4 4 2 2 7 3" xfId="29613" xr:uid="{6D413B03-9103-4564-A662-FF26091C810B}"/>
    <cellStyle name="Normal 2 4 4 2 2 7 4" xfId="29614" xr:uid="{9A8AAFF4-ED1B-4295-885C-5B0B77F94DC8}"/>
    <cellStyle name="Normal 2 4 4 2 2 7 5" xfId="29615" xr:uid="{305D962A-8571-417B-818E-879EACE3B981}"/>
    <cellStyle name="Normal 2 4 4 2 2 8" xfId="29616" xr:uid="{7A741645-5048-45D6-9119-AB64C510C6FE}"/>
    <cellStyle name="Normal 2 4 4 2 2 8 2" xfId="29617" xr:uid="{9B0EF567-B84F-4BAC-9E6A-35EA6F2696EB}"/>
    <cellStyle name="Normal 2 4 4 2 2 8 3" xfId="29618" xr:uid="{A70B9E48-9258-455A-A783-C4D3BC6F9B91}"/>
    <cellStyle name="Normal 2 4 4 2 2 8 4" xfId="29619" xr:uid="{721FBA41-C09D-4CDE-941D-7A1DEC7E45B1}"/>
    <cellStyle name="Normal 2 4 4 2 2 8 5" xfId="29620" xr:uid="{51CAED1D-4C1B-4BA7-8E91-6098DC70217E}"/>
    <cellStyle name="Normal 2 4 4 2 2 9" xfId="29621" xr:uid="{85646B61-6004-480D-8685-846FE1413602}"/>
    <cellStyle name="Normal 2 4 4 2 2 9 2" xfId="29622" xr:uid="{0801D143-217F-41C8-B8AA-8DB4FEFBE5CB}"/>
    <cellStyle name="Normal 2 4 4 2 2 9 3" xfId="29623" xr:uid="{E1B34DFC-8C74-4161-B2E0-D6FF56B77CD4}"/>
    <cellStyle name="Normal 2 4 4 2 2 9 4" xfId="29624" xr:uid="{E093DC7E-5EB6-4728-AC74-3CABDD121917}"/>
    <cellStyle name="Normal 2 4 4 2 2 9 5" xfId="29625" xr:uid="{5CD42B98-4DBC-4058-AA4B-A4CF4EC415EC}"/>
    <cellStyle name="Normal 2 4 4 2 3" xfId="29626" xr:uid="{D231390F-6225-4BB1-9077-D67A7C9447F2}"/>
    <cellStyle name="Normal 2 4 4 2 3 10" xfId="29627" xr:uid="{73AC8449-EF94-4F5E-B73A-CD0C5647C3DD}"/>
    <cellStyle name="Normal 2 4 4 2 3 11" xfId="29628" xr:uid="{7C566CB0-1CF9-4A33-A56B-AB99F0B67D36}"/>
    <cellStyle name="Normal 2 4 4 2 3 12" xfId="29629" xr:uid="{CD98C6A0-542E-4FAB-BAF4-9472AE469CAB}"/>
    <cellStyle name="Normal 2 4 4 2 3 2" xfId="29630" xr:uid="{B4A78EC6-01BF-4977-A58E-753F2B44BD1F}"/>
    <cellStyle name="Normal 2 4 4 2 3 2 2" xfId="29631" xr:uid="{4C04F0F1-0A74-42F6-ACFA-10BFAFACB792}"/>
    <cellStyle name="Normal 2 4 4 2 3 2 2 2" xfId="29632" xr:uid="{904E7539-F30E-4EA1-9BBA-9E6B43C65BE9}"/>
    <cellStyle name="Normal 2 4 4 2 3 2 2 3" xfId="29633" xr:uid="{4D037B04-B71D-483D-8956-F2A4BFE4BE73}"/>
    <cellStyle name="Normal 2 4 4 2 3 2 2 4" xfId="29634" xr:uid="{3FBF16F8-B1AF-433F-AC2F-23E7BDC7FD94}"/>
    <cellStyle name="Normal 2 4 4 2 3 2 2 5" xfId="29635" xr:uid="{79E28CE6-F1C5-401F-9335-E62B3B049B19}"/>
    <cellStyle name="Normal 2 4 4 2 3 2 3" xfId="29636" xr:uid="{55577822-9C4D-468F-9C25-AF002203E153}"/>
    <cellStyle name="Normal 2 4 4 2 3 2 4" xfId="29637" xr:uid="{22594FFC-0D23-4CCF-9D36-5CBBE138F434}"/>
    <cellStyle name="Normal 2 4 4 2 3 2 5" xfId="29638" xr:uid="{34F2B17C-A27C-4BCB-8A84-5811F466F11C}"/>
    <cellStyle name="Normal 2 4 4 2 3 2 6" xfId="29639" xr:uid="{6C204E9B-EFE4-4686-8B9D-4B4033C046E2}"/>
    <cellStyle name="Normal 2 4 4 2 3 3" xfId="29640" xr:uid="{0A1CCEDB-A089-438F-A21C-A6D950DABE42}"/>
    <cellStyle name="Normal 2 4 4 2 3 3 2" xfId="29641" xr:uid="{B1F69C55-E251-47D2-AFD5-5E812D3C44ED}"/>
    <cellStyle name="Normal 2 4 4 2 3 3 2 2" xfId="29642" xr:uid="{7B1AE0A5-499C-48EE-BFB5-7C56361D1E0A}"/>
    <cellStyle name="Normal 2 4 4 2 3 3 2 3" xfId="29643" xr:uid="{33B84801-D661-4A0A-998E-06489D47BC1F}"/>
    <cellStyle name="Normal 2 4 4 2 3 3 2 4" xfId="29644" xr:uid="{130E9A84-6E48-4616-A512-06BB382A637C}"/>
    <cellStyle name="Normal 2 4 4 2 3 3 2 5" xfId="29645" xr:uid="{92B2AADE-C119-4B8E-9E6F-0DAC594BAB0C}"/>
    <cellStyle name="Normal 2 4 4 2 3 3 3" xfId="29646" xr:uid="{D58FDB66-87F9-467E-A6EB-2172BA8A61D2}"/>
    <cellStyle name="Normal 2 4 4 2 3 3 4" xfId="29647" xr:uid="{8ECCF117-0F5A-40CA-A179-909941AD7060}"/>
    <cellStyle name="Normal 2 4 4 2 3 3 5" xfId="29648" xr:uid="{34082641-0B9A-4E22-8357-EA3B20F509E8}"/>
    <cellStyle name="Normal 2 4 4 2 3 3 6" xfId="29649" xr:uid="{7839B6ED-38CF-43B7-A4E5-287AF6635DA6}"/>
    <cellStyle name="Normal 2 4 4 2 3 4" xfId="29650" xr:uid="{8F2A632B-48A7-48DD-A200-2416A58BFF02}"/>
    <cellStyle name="Normal 2 4 4 2 3 4 2" xfId="29651" xr:uid="{0A250B74-5A3D-4A12-B8DB-5EB99B429B02}"/>
    <cellStyle name="Normal 2 4 4 2 3 4 2 2" xfId="29652" xr:uid="{9C608D32-BF1F-4B62-8241-27AE22A46D9F}"/>
    <cellStyle name="Normal 2 4 4 2 3 4 2 3" xfId="29653" xr:uid="{DE8B52EB-E16D-4A4D-BFB7-440BCFF2EF97}"/>
    <cellStyle name="Normal 2 4 4 2 3 4 2 4" xfId="29654" xr:uid="{C57C7C9F-4356-419F-87DC-7065D475B20A}"/>
    <cellStyle name="Normal 2 4 4 2 3 4 2 5" xfId="29655" xr:uid="{E63C1675-810B-4402-9661-A070026BF9C2}"/>
    <cellStyle name="Normal 2 4 4 2 3 4 3" xfId="29656" xr:uid="{EFCAA4AF-EDB4-4162-8A08-3F46F973B64C}"/>
    <cellStyle name="Normal 2 4 4 2 3 4 4" xfId="29657" xr:uid="{B11879B2-9251-4EA2-A2F4-FABD2B2F0BB6}"/>
    <cellStyle name="Normal 2 4 4 2 3 4 5" xfId="29658" xr:uid="{87EBEFCC-8046-41CB-A1F5-8ED7AB8ED8CD}"/>
    <cellStyle name="Normal 2 4 4 2 3 4 6" xfId="29659" xr:uid="{F84CB3A1-44D0-4C24-9F41-1BAB4B7B3F11}"/>
    <cellStyle name="Normal 2 4 4 2 3 5" xfId="29660" xr:uid="{359F83FC-D9C8-4297-91EC-BADD7897557D}"/>
    <cellStyle name="Normal 2 4 4 2 3 5 2" xfId="29661" xr:uid="{DA117B23-44D5-4C36-AA07-42FFF74DCDF5}"/>
    <cellStyle name="Normal 2 4 4 2 3 5 3" xfId="29662" xr:uid="{2BE62CC6-A68E-488C-BF27-F5CE62CC634E}"/>
    <cellStyle name="Normal 2 4 4 2 3 5 4" xfId="29663" xr:uid="{92830AF5-EDA9-4C26-B34E-098F70411891}"/>
    <cellStyle name="Normal 2 4 4 2 3 5 5" xfId="29664" xr:uid="{D39E9BB7-C142-4F41-AF43-B82FE5600530}"/>
    <cellStyle name="Normal 2 4 4 2 3 6" xfId="29665" xr:uid="{01EC85B7-C7C0-4D75-A2CF-10BA38E750CB}"/>
    <cellStyle name="Normal 2 4 4 2 3 6 2" xfId="29666" xr:uid="{EAC47005-FDF4-4F57-8A26-F183A2A47C82}"/>
    <cellStyle name="Normal 2 4 4 2 3 6 3" xfId="29667" xr:uid="{A143C3D9-6C63-4CAC-8FA8-E339FA5B7D3A}"/>
    <cellStyle name="Normal 2 4 4 2 3 6 4" xfId="29668" xr:uid="{CEEB23CC-8248-4E3D-81B8-13A7113F35B6}"/>
    <cellStyle name="Normal 2 4 4 2 3 6 5" xfId="29669" xr:uid="{40C2D51F-06E3-4FED-925E-14F892858F27}"/>
    <cellStyle name="Normal 2 4 4 2 3 7" xfId="29670" xr:uid="{99B6A96D-B674-4B38-8E04-C87106FE0FC4}"/>
    <cellStyle name="Normal 2 4 4 2 3 7 2" xfId="29671" xr:uid="{75ED2772-AFCE-4CDD-AD3A-EE71433D3C6E}"/>
    <cellStyle name="Normal 2 4 4 2 3 7 3" xfId="29672" xr:uid="{CADB0470-0375-4E7A-9DFC-78D6A1858D23}"/>
    <cellStyle name="Normal 2 4 4 2 3 7 4" xfId="29673" xr:uid="{53245181-CDC3-4A05-AB8B-63E2A6C1ADBF}"/>
    <cellStyle name="Normal 2 4 4 2 3 7 5" xfId="29674" xr:uid="{E49EF552-F6E9-4DDC-A50E-6E38091635CC}"/>
    <cellStyle name="Normal 2 4 4 2 3 8" xfId="29675" xr:uid="{FB52DC7F-C99C-4BA8-A309-B47C61B81060}"/>
    <cellStyle name="Normal 2 4 4 2 3 8 2" xfId="29676" xr:uid="{CBC6C9E9-CF45-42BB-B225-80161B878D45}"/>
    <cellStyle name="Normal 2 4 4 2 3 8 3" xfId="29677" xr:uid="{05C76219-DB5C-4BF6-AE6F-875F9F2A39B8}"/>
    <cellStyle name="Normal 2 4 4 2 3 8 4" xfId="29678" xr:uid="{5A4E529C-DEFF-485C-A03A-6306D3F921FE}"/>
    <cellStyle name="Normal 2 4 4 2 3 8 5" xfId="29679" xr:uid="{09854ED7-B6D5-4A68-AFFA-8BFDAF4D87F1}"/>
    <cellStyle name="Normal 2 4 4 2 3 9" xfId="29680" xr:uid="{6A69E21F-F026-441E-8312-B5D097F293A7}"/>
    <cellStyle name="Normal 2 4 4 2 4" xfId="29681" xr:uid="{0E1A1A3D-63E7-4ECB-B41F-9B2275BB0796}"/>
    <cellStyle name="Normal 2 4 4 2 4 2" xfId="29682" xr:uid="{54FE6D81-856B-41D5-9053-B6DF3C478EEC}"/>
    <cellStyle name="Normal 2 4 4 2 4 2 2" xfId="29683" xr:uid="{2543ECF7-ADB2-46C5-8848-D8B52F50711B}"/>
    <cellStyle name="Normal 2 4 4 2 4 2 3" xfId="29684" xr:uid="{88A46646-CAFD-4A20-8EB9-AC69C1B60C26}"/>
    <cellStyle name="Normal 2 4 4 2 4 2 4" xfId="29685" xr:uid="{E7E50ECA-84FF-49D5-8544-A83A66780D48}"/>
    <cellStyle name="Normal 2 4 4 2 4 2 5" xfId="29686" xr:uid="{211E1896-6EC9-4709-8BCE-E05403DE97FF}"/>
    <cellStyle name="Normal 2 4 4 2 4 3" xfId="29687" xr:uid="{6CCE5D2F-4158-4101-80A3-6C394B8A3824}"/>
    <cellStyle name="Normal 2 4 4 2 4 4" xfId="29688" xr:uid="{B5B51987-0A96-472C-B795-D6D8BC3DF004}"/>
    <cellStyle name="Normal 2 4 4 2 4 5" xfId="29689" xr:uid="{E2B73591-0E96-42C8-B7B8-A4F8AF4BE241}"/>
    <cellStyle name="Normal 2 4 4 2 4 6" xfId="29690" xr:uid="{8CA1D8E9-E92A-44F5-9952-77A2F3FD80B4}"/>
    <cellStyle name="Normal 2 4 4 2 5" xfId="29691" xr:uid="{83904880-A4C3-4DDB-A07B-29D9941E541D}"/>
    <cellStyle name="Normal 2 4 4 2 5 2" xfId="29692" xr:uid="{FD2EB5B7-9C1C-4D8B-87FD-F6F7B7D4ED18}"/>
    <cellStyle name="Normal 2 4 4 2 5 2 2" xfId="29693" xr:uid="{EC07D75E-57A9-4842-AFAE-BE19673D092F}"/>
    <cellStyle name="Normal 2 4 4 2 5 2 3" xfId="29694" xr:uid="{59EEADF8-873A-4035-B329-5E1C9185C350}"/>
    <cellStyle name="Normal 2 4 4 2 5 2 4" xfId="29695" xr:uid="{2C0D58FB-6860-4DBB-8B3E-907E1C90A9D3}"/>
    <cellStyle name="Normal 2 4 4 2 5 2 5" xfId="29696" xr:uid="{5E784A6F-FEA6-47FB-BFC3-FB55B2D85AF2}"/>
    <cellStyle name="Normal 2 4 4 2 5 3" xfId="29697" xr:uid="{C2AD1BA7-FC88-40C9-8B82-8CA941DAD05A}"/>
    <cellStyle name="Normal 2 4 4 2 5 4" xfId="29698" xr:uid="{7D077C8C-097B-47D0-A1E0-AC61118D3091}"/>
    <cellStyle name="Normal 2 4 4 2 5 5" xfId="29699" xr:uid="{D19DC212-7878-41F0-B508-AFFECD2447D4}"/>
    <cellStyle name="Normal 2 4 4 2 5 6" xfId="29700" xr:uid="{5FDB9D81-377C-49B2-945B-393047E82D1D}"/>
    <cellStyle name="Normal 2 4 4 2 6" xfId="29701" xr:uid="{68268528-AD8B-40B3-9F21-212F8E8491AE}"/>
    <cellStyle name="Normal 2 4 4 2 6 2" xfId="29702" xr:uid="{375EBD3D-25EE-4B2C-A0A0-D574CF9D3597}"/>
    <cellStyle name="Normal 2 4 4 2 6 2 2" xfId="29703" xr:uid="{E6154841-328E-4E75-AE73-2267A847481E}"/>
    <cellStyle name="Normal 2 4 4 2 6 2 3" xfId="29704" xr:uid="{23D4254A-BCA7-41DA-BBF7-97AAC5A58D11}"/>
    <cellStyle name="Normal 2 4 4 2 6 2 4" xfId="29705" xr:uid="{DE6AE9FD-2DBF-4350-8EE4-993EACD05084}"/>
    <cellStyle name="Normal 2 4 4 2 6 2 5" xfId="29706" xr:uid="{F37DCA0C-242A-4219-82C5-A6D634501494}"/>
    <cellStyle name="Normal 2 4 4 2 6 3" xfId="29707" xr:uid="{F9ABE82D-A1D4-4FA6-80C2-1DD7DDDC0FAC}"/>
    <cellStyle name="Normal 2 4 4 2 6 4" xfId="29708" xr:uid="{65E09877-8920-4E78-98E9-2145DBB16A8E}"/>
    <cellStyle name="Normal 2 4 4 2 6 5" xfId="29709" xr:uid="{4D0B4614-9FF3-446D-B2A5-863DB7723B78}"/>
    <cellStyle name="Normal 2 4 4 2 6 6" xfId="29710" xr:uid="{8C1A7D81-A8E7-4E84-BA60-CCE845B477FE}"/>
    <cellStyle name="Normal 2 4 4 2 7" xfId="29711" xr:uid="{A982A293-A61D-41FE-9121-9432A3FAB1C3}"/>
    <cellStyle name="Normal 2 4 4 2 7 2" xfId="29712" xr:uid="{6A7FD47C-5C46-48F5-BD7A-F0316EA96695}"/>
    <cellStyle name="Normal 2 4 4 2 7 3" xfId="29713" xr:uid="{37DD5123-B74B-4C17-84DA-4509301358E0}"/>
    <cellStyle name="Normal 2 4 4 2 7 4" xfId="29714" xr:uid="{26FA4CCF-2664-4291-89C3-90F2D27D0BA9}"/>
    <cellStyle name="Normal 2 4 4 2 7 5" xfId="29715" xr:uid="{3AB73D75-5F56-4C58-9890-88F04DBA7D01}"/>
    <cellStyle name="Normal 2 4 4 2 8" xfId="29716" xr:uid="{449F6EE5-ED48-4181-9324-74E9A64598C5}"/>
    <cellStyle name="Normal 2 4 4 2 8 2" xfId="29717" xr:uid="{3B8C68D3-405E-415D-A887-9878C9D49D9E}"/>
    <cellStyle name="Normal 2 4 4 2 8 3" xfId="29718" xr:uid="{8DC3A30A-9624-45AC-BA61-FE9BC8000DBD}"/>
    <cellStyle name="Normal 2 4 4 2 8 4" xfId="29719" xr:uid="{FEEDB94D-C44E-4DC1-A9C3-2FE3DC77C8DD}"/>
    <cellStyle name="Normal 2 4 4 2 8 5" xfId="29720" xr:uid="{CC3E6F55-4E48-4C31-8A5C-350BAA06569E}"/>
    <cellStyle name="Normal 2 4 4 2 9" xfId="29721" xr:uid="{599C6B2B-966F-4251-8FEC-CBDDFF616EC4}"/>
    <cellStyle name="Normal 2 4 4 2 9 2" xfId="29722" xr:uid="{67DFD0EC-A175-4BD3-924B-9A64E6F947A4}"/>
    <cellStyle name="Normal 2 4 4 2 9 3" xfId="29723" xr:uid="{5F17A758-A5C4-40BD-92F9-DD85A9B2A8AB}"/>
    <cellStyle name="Normal 2 4 4 2 9 4" xfId="29724" xr:uid="{A93B10C8-3A55-4280-B466-9CF804A52D89}"/>
    <cellStyle name="Normal 2 4 4 2 9 5" xfId="29725" xr:uid="{B1ACA313-C1C7-42B6-8320-2F7BFB91B199}"/>
    <cellStyle name="Normal 2 4 4 3" xfId="29726" xr:uid="{0E77B656-3447-486B-B8C6-B5F3156EB800}"/>
    <cellStyle name="Normal 2 4 4 3 10" xfId="29727" xr:uid="{865EDC60-6056-48FB-BDBC-9650DA53CFA0}"/>
    <cellStyle name="Normal 2 4 4 3 11" xfId="29728" xr:uid="{FA88E2E8-0E02-4212-ACFF-2E9203D48B99}"/>
    <cellStyle name="Normal 2 4 4 3 12" xfId="29729" xr:uid="{9F9AE565-72AA-418A-B9B8-1537090905AD}"/>
    <cellStyle name="Normal 2 4 4 3 13" xfId="29730" xr:uid="{7E2AA6EE-887D-48D5-8973-8F87FF7F5922}"/>
    <cellStyle name="Normal 2 4 4 3 2" xfId="29731" xr:uid="{F183643A-1758-4278-A986-6362594841D4}"/>
    <cellStyle name="Normal 2 4 4 3 2 10" xfId="29732" xr:uid="{1044FD41-994A-472E-BA85-787CAB631486}"/>
    <cellStyle name="Normal 2 4 4 3 2 11" xfId="29733" xr:uid="{64A673A5-FD59-4DC3-9462-04C67C01A4AF}"/>
    <cellStyle name="Normal 2 4 4 3 2 12" xfId="29734" xr:uid="{4398C9CC-CCCE-4D71-839E-D2974C40F332}"/>
    <cellStyle name="Normal 2 4 4 3 2 2" xfId="29735" xr:uid="{D377CB56-646C-43F7-93D3-D8E85CB6FB9F}"/>
    <cellStyle name="Normal 2 4 4 3 2 2 2" xfId="29736" xr:uid="{AC4C8855-9B27-4700-AB5D-4B95EFD84B0C}"/>
    <cellStyle name="Normal 2 4 4 3 2 2 2 2" xfId="29737" xr:uid="{9E4A3DDB-5588-41D9-A6C7-4CCD41A0C1CA}"/>
    <cellStyle name="Normal 2 4 4 3 2 2 2 3" xfId="29738" xr:uid="{390EC346-4CC7-4D2A-BA7B-2F9E8B924B31}"/>
    <cellStyle name="Normal 2 4 4 3 2 2 2 4" xfId="29739" xr:uid="{D0B7E4BC-F676-4B35-9263-68407B301122}"/>
    <cellStyle name="Normal 2 4 4 3 2 2 2 5" xfId="29740" xr:uid="{E2E40190-8446-449B-9E4E-7FF9F0F1914D}"/>
    <cellStyle name="Normal 2 4 4 3 2 2 3" xfId="29741" xr:uid="{4FAED025-ED2A-4B30-B352-91845C61A8F1}"/>
    <cellStyle name="Normal 2 4 4 3 2 2 4" xfId="29742" xr:uid="{A67307E4-9996-46E7-B004-C88100E01BEB}"/>
    <cellStyle name="Normal 2 4 4 3 2 2 5" xfId="29743" xr:uid="{EB5CFB1B-CEDC-412A-A9AC-578B1CA2CB33}"/>
    <cellStyle name="Normal 2 4 4 3 2 2 6" xfId="29744" xr:uid="{1ECCFD4C-3BC8-47EE-B9B7-F99DA44BCA61}"/>
    <cellStyle name="Normal 2 4 4 3 2 3" xfId="29745" xr:uid="{10AC5B75-88AF-4BF1-8A9F-45CDF1C2DA0F}"/>
    <cellStyle name="Normal 2 4 4 3 2 3 2" xfId="29746" xr:uid="{848B336D-AF57-442A-A4CC-E600E85EACBB}"/>
    <cellStyle name="Normal 2 4 4 3 2 3 2 2" xfId="29747" xr:uid="{66F4F6D2-686A-4FC6-924D-72892B88D8D4}"/>
    <cellStyle name="Normal 2 4 4 3 2 3 2 3" xfId="29748" xr:uid="{5FEE564C-6D15-4CA9-B641-FF568672FBA2}"/>
    <cellStyle name="Normal 2 4 4 3 2 3 2 4" xfId="29749" xr:uid="{8800C195-E2B2-4C44-BED6-012F62A99999}"/>
    <cellStyle name="Normal 2 4 4 3 2 3 2 5" xfId="29750" xr:uid="{B1CB12FE-7664-4A71-A4DE-33A8E34D5889}"/>
    <cellStyle name="Normal 2 4 4 3 2 3 3" xfId="29751" xr:uid="{E4BD8AD6-0415-42D6-9BB8-5007716C8968}"/>
    <cellStyle name="Normal 2 4 4 3 2 3 4" xfId="29752" xr:uid="{F0AC065D-DB69-4F03-945F-7841FA28E3C7}"/>
    <cellStyle name="Normal 2 4 4 3 2 3 5" xfId="29753" xr:uid="{5AFB7715-8F79-461A-BD79-9F1961DDA382}"/>
    <cellStyle name="Normal 2 4 4 3 2 3 6" xfId="29754" xr:uid="{C75C2E6B-8DBC-4358-AEAC-67C04F8EEA4C}"/>
    <cellStyle name="Normal 2 4 4 3 2 4" xfId="29755" xr:uid="{A5F671E3-2F16-42F9-9494-4FBB12558756}"/>
    <cellStyle name="Normal 2 4 4 3 2 4 2" xfId="29756" xr:uid="{CE1BA921-651D-4FCB-AE0C-6AD5B1326582}"/>
    <cellStyle name="Normal 2 4 4 3 2 4 2 2" xfId="29757" xr:uid="{48D912B1-23D7-435A-953C-B668FC60BA0D}"/>
    <cellStyle name="Normal 2 4 4 3 2 4 2 3" xfId="29758" xr:uid="{AC8C469E-4105-4EE9-AE01-6763CA95DB0E}"/>
    <cellStyle name="Normal 2 4 4 3 2 4 2 4" xfId="29759" xr:uid="{2BDCDD4D-0C90-4BCF-8CB9-B51A908D589C}"/>
    <cellStyle name="Normal 2 4 4 3 2 4 2 5" xfId="29760" xr:uid="{3C25F8D9-4135-4FDA-A8AA-1C8AACD89AC5}"/>
    <cellStyle name="Normal 2 4 4 3 2 4 3" xfId="29761" xr:uid="{124D5F72-AACA-4545-AC0C-B4E389979766}"/>
    <cellStyle name="Normal 2 4 4 3 2 4 4" xfId="29762" xr:uid="{512E15C2-1276-4E5C-B84B-95DBB91BA5EC}"/>
    <cellStyle name="Normal 2 4 4 3 2 4 5" xfId="29763" xr:uid="{5002742C-6682-4B49-8FE5-AF9155F2D76F}"/>
    <cellStyle name="Normal 2 4 4 3 2 4 6" xfId="29764" xr:uid="{B1554818-E3BB-423B-B3BB-1DE32DBF6268}"/>
    <cellStyle name="Normal 2 4 4 3 2 5" xfId="29765" xr:uid="{4DDEE891-1AE3-45D9-9419-CF520F79A82D}"/>
    <cellStyle name="Normal 2 4 4 3 2 5 2" xfId="29766" xr:uid="{88467260-AFC4-45AF-AE2C-86DFD18E8FC1}"/>
    <cellStyle name="Normal 2 4 4 3 2 5 3" xfId="29767" xr:uid="{B97D2E33-C9B2-4BB7-8859-5DF4F9187E3F}"/>
    <cellStyle name="Normal 2 4 4 3 2 5 4" xfId="29768" xr:uid="{C129820B-32BB-4CBF-BF15-A8D37735DAB7}"/>
    <cellStyle name="Normal 2 4 4 3 2 5 5" xfId="29769" xr:uid="{FF7D5C94-0679-4391-8F75-99986496CE13}"/>
    <cellStyle name="Normal 2 4 4 3 2 6" xfId="29770" xr:uid="{69DCA48C-B07C-495E-9DCC-2270510284DD}"/>
    <cellStyle name="Normal 2 4 4 3 2 6 2" xfId="29771" xr:uid="{4F61D5A8-35DE-449B-A874-92E944E610D0}"/>
    <cellStyle name="Normal 2 4 4 3 2 6 3" xfId="29772" xr:uid="{8A7C8743-5FCC-4D76-9EE5-814D3C2E76B9}"/>
    <cellStyle name="Normal 2 4 4 3 2 6 4" xfId="29773" xr:uid="{490854C0-5877-4A87-A2A1-E04DA8F66409}"/>
    <cellStyle name="Normal 2 4 4 3 2 6 5" xfId="29774" xr:uid="{6CEED91F-5374-4F37-B51E-CC0918FC5FD4}"/>
    <cellStyle name="Normal 2 4 4 3 2 7" xfId="29775" xr:uid="{B2B3A623-9626-4FBC-A548-CCA687B4C55E}"/>
    <cellStyle name="Normal 2 4 4 3 2 7 2" xfId="29776" xr:uid="{4E886ADD-F505-415C-BA58-07C0BA429337}"/>
    <cellStyle name="Normal 2 4 4 3 2 7 3" xfId="29777" xr:uid="{A9F1ACDE-54E9-4D01-B0A2-0C6B6CF8C749}"/>
    <cellStyle name="Normal 2 4 4 3 2 7 4" xfId="29778" xr:uid="{C26F938C-ADDC-4FFC-8614-60868104F358}"/>
    <cellStyle name="Normal 2 4 4 3 2 7 5" xfId="29779" xr:uid="{E99CA56A-5F77-48C9-8FC8-655C55FD3DC5}"/>
    <cellStyle name="Normal 2 4 4 3 2 8" xfId="29780" xr:uid="{0D1195F2-E412-40C7-805A-9450E7748088}"/>
    <cellStyle name="Normal 2 4 4 3 2 8 2" xfId="29781" xr:uid="{9559E04D-D7D6-41D7-8482-B8A46B716513}"/>
    <cellStyle name="Normal 2 4 4 3 2 8 3" xfId="29782" xr:uid="{CE0619AB-C9AE-49AA-A980-94D0239093E4}"/>
    <cellStyle name="Normal 2 4 4 3 2 8 4" xfId="29783" xr:uid="{8E493441-C787-4A8B-9EF9-385E74D76113}"/>
    <cellStyle name="Normal 2 4 4 3 2 8 5" xfId="29784" xr:uid="{D64DC30D-7124-4840-882E-EA91F17AF5FA}"/>
    <cellStyle name="Normal 2 4 4 3 2 9" xfId="29785" xr:uid="{4038340C-53D2-4E55-AC88-D3ABCD56605B}"/>
    <cellStyle name="Normal 2 4 4 3 3" xfId="29786" xr:uid="{AF5BCF02-9FDC-49D4-94EF-97C56BA21393}"/>
    <cellStyle name="Normal 2 4 4 3 3 2" xfId="29787" xr:uid="{C9721536-2C3E-45C8-89EA-50295D56E924}"/>
    <cellStyle name="Normal 2 4 4 3 3 2 2" xfId="29788" xr:uid="{D94EF222-7C42-4833-8D24-C902BA4A9719}"/>
    <cellStyle name="Normal 2 4 4 3 3 2 3" xfId="29789" xr:uid="{82D63789-86C2-4FD1-8515-E0FD96D28C5D}"/>
    <cellStyle name="Normal 2 4 4 3 3 2 4" xfId="29790" xr:uid="{B8CA7940-8532-4593-A537-00D765D3C424}"/>
    <cellStyle name="Normal 2 4 4 3 3 2 5" xfId="29791" xr:uid="{D0D0684F-C102-41D6-8211-4776F4F1E875}"/>
    <cellStyle name="Normal 2 4 4 3 3 3" xfId="29792" xr:uid="{7DF854F5-C434-471D-AED1-7517459A2B1B}"/>
    <cellStyle name="Normal 2 4 4 3 3 4" xfId="29793" xr:uid="{6C531EA9-090B-494B-A751-3FCD63368825}"/>
    <cellStyle name="Normal 2 4 4 3 3 5" xfId="29794" xr:uid="{94912F83-422D-4072-95D4-BF399FAB8B32}"/>
    <cellStyle name="Normal 2 4 4 3 3 6" xfId="29795" xr:uid="{AAE5DB39-B6E2-47AA-8461-4CAA04878719}"/>
    <cellStyle name="Normal 2 4 4 3 4" xfId="29796" xr:uid="{56EB5748-B2DF-4EFC-80E1-491FF271DCC1}"/>
    <cellStyle name="Normal 2 4 4 3 4 2" xfId="29797" xr:uid="{FEFD61DE-A22D-4A1A-8B7C-DB6F79820700}"/>
    <cellStyle name="Normal 2 4 4 3 4 2 2" xfId="29798" xr:uid="{9BAF5FF1-E4B9-4BEF-A5EE-FBCB0E66C5A1}"/>
    <cellStyle name="Normal 2 4 4 3 4 2 3" xfId="29799" xr:uid="{4BD41D44-D19E-4643-B3D8-DE9EC6981E16}"/>
    <cellStyle name="Normal 2 4 4 3 4 2 4" xfId="29800" xr:uid="{39B696DD-D6D6-4882-91E6-F2272B2A9A77}"/>
    <cellStyle name="Normal 2 4 4 3 4 2 5" xfId="29801" xr:uid="{B3A3B2A1-4565-41A8-AC58-9AA4878B2573}"/>
    <cellStyle name="Normal 2 4 4 3 4 3" xfId="29802" xr:uid="{9A56FF5D-8B3C-4070-8D27-C6B1D0B4BD60}"/>
    <cellStyle name="Normal 2 4 4 3 4 4" xfId="29803" xr:uid="{68DF3D35-18E5-4335-9E02-6D8BFF2C6AB1}"/>
    <cellStyle name="Normal 2 4 4 3 4 5" xfId="29804" xr:uid="{B54439A6-3910-4C14-B3B8-2067ACAAE65A}"/>
    <cellStyle name="Normal 2 4 4 3 4 6" xfId="29805" xr:uid="{EDDAE06C-BB43-4AC0-A84D-116A3D58AEFA}"/>
    <cellStyle name="Normal 2 4 4 3 5" xfId="29806" xr:uid="{44631CEC-F48C-438C-9587-4C0402CCB111}"/>
    <cellStyle name="Normal 2 4 4 3 5 2" xfId="29807" xr:uid="{3DDBC579-E216-442C-B8C2-68F2378B6BE8}"/>
    <cellStyle name="Normal 2 4 4 3 5 2 2" xfId="29808" xr:uid="{778B87D7-F6D5-431E-9638-2D9F58B023DC}"/>
    <cellStyle name="Normal 2 4 4 3 5 2 3" xfId="29809" xr:uid="{E3E2CF03-A955-4373-9994-CF6EFADD23EB}"/>
    <cellStyle name="Normal 2 4 4 3 5 2 4" xfId="29810" xr:uid="{E1D82141-D0CC-4786-B0BA-4CA40B5955F6}"/>
    <cellStyle name="Normal 2 4 4 3 5 2 5" xfId="29811" xr:uid="{FFFFBCE8-1412-48AD-9A93-CF044EF208A7}"/>
    <cellStyle name="Normal 2 4 4 3 5 3" xfId="29812" xr:uid="{B63C2060-B70C-492A-96CF-C03217DF731D}"/>
    <cellStyle name="Normal 2 4 4 3 5 4" xfId="29813" xr:uid="{0B56F247-4CBD-488F-A614-DE765B1C83BD}"/>
    <cellStyle name="Normal 2 4 4 3 5 5" xfId="29814" xr:uid="{7199822B-7B42-4A63-A1C6-9EA2A27F1894}"/>
    <cellStyle name="Normal 2 4 4 3 5 6" xfId="29815" xr:uid="{749BAA0E-7666-46A7-AD25-42E2A4C0A9FE}"/>
    <cellStyle name="Normal 2 4 4 3 6" xfId="29816" xr:uid="{B259CF95-7E03-4FEA-A8A9-C1C0A402DF89}"/>
    <cellStyle name="Normal 2 4 4 3 6 2" xfId="29817" xr:uid="{556C3F9C-C596-4643-BF6B-A26A0C953936}"/>
    <cellStyle name="Normal 2 4 4 3 6 3" xfId="29818" xr:uid="{D05FE663-29F4-4FEE-A00D-1F88FB11796D}"/>
    <cellStyle name="Normal 2 4 4 3 6 4" xfId="29819" xr:uid="{0CE773DF-9355-49DE-87EF-A16745914457}"/>
    <cellStyle name="Normal 2 4 4 3 6 5" xfId="29820" xr:uid="{C026FDC0-EFC0-48C4-89A4-27F1D9BA8C31}"/>
    <cellStyle name="Normal 2 4 4 3 7" xfId="29821" xr:uid="{F78CE412-8262-4686-850A-8F553FC4D27D}"/>
    <cellStyle name="Normal 2 4 4 3 7 2" xfId="29822" xr:uid="{A87EBC4A-7AA3-4BC6-9615-4A31FDEABDD8}"/>
    <cellStyle name="Normal 2 4 4 3 7 3" xfId="29823" xr:uid="{30BB2DF7-2A0A-44D6-BBA3-7800E87FC158}"/>
    <cellStyle name="Normal 2 4 4 3 7 4" xfId="29824" xr:uid="{92B9A00E-3787-4BBE-BED5-8A04D4B1372E}"/>
    <cellStyle name="Normal 2 4 4 3 7 5" xfId="29825" xr:uid="{97B5D70E-7C1A-40BF-B0C9-0CAE13CB807F}"/>
    <cellStyle name="Normal 2 4 4 3 8" xfId="29826" xr:uid="{A9066D7A-C00F-4209-B721-6EC0B727CEF3}"/>
    <cellStyle name="Normal 2 4 4 3 8 2" xfId="29827" xr:uid="{2DFFDB4B-64D3-49EC-B04D-81BE2B6365AA}"/>
    <cellStyle name="Normal 2 4 4 3 8 3" xfId="29828" xr:uid="{804AA07E-4C57-4301-B94C-503870CCEEA3}"/>
    <cellStyle name="Normal 2 4 4 3 8 4" xfId="29829" xr:uid="{A3074D0E-13D3-4102-83D9-CCB190C5469B}"/>
    <cellStyle name="Normal 2 4 4 3 8 5" xfId="29830" xr:uid="{4002B1B8-0E77-446D-9AC1-080896E8D98F}"/>
    <cellStyle name="Normal 2 4 4 3 9" xfId="29831" xr:uid="{0EEADC70-3305-4D0B-B3F5-3B617CB8861B}"/>
    <cellStyle name="Normal 2 4 4 3 9 2" xfId="29832" xr:uid="{39FE6B2E-4ACD-4CC6-92F4-A399DC5578F9}"/>
    <cellStyle name="Normal 2 4 4 3 9 3" xfId="29833" xr:uid="{413DBFA8-ECED-4E6C-959E-158D981B5A68}"/>
    <cellStyle name="Normal 2 4 4 3 9 4" xfId="29834" xr:uid="{9AF4A3E5-4CA6-43C7-9AF6-417943FD5F39}"/>
    <cellStyle name="Normal 2 4 4 3 9 5" xfId="29835" xr:uid="{11C758EA-1BF7-472E-B52A-90F2E5D05E9D}"/>
    <cellStyle name="Normal 2 4 4 4" xfId="29836" xr:uid="{C7CC33EB-A02B-4963-BEFD-16F96F10859D}"/>
    <cellStyle name="Normal 2 4 4 4 10" xfId="29837" xr:uid="{1428CACE-0F68-4D38-92CA-334297DC33E4}"/>
    <cellStyle name="Normal 2 4 4 4 11" xfId="29838" xr:uid="{AC37B2A8-C5AA-499E-AF90-9FB803D95FCF}"/>
    <cellStyle name="Normal 2 4 4 4 12" xfId="29839" xr:uid="{45DD1ECF-F11C-4749-A645-7B7B5F4F16E2}"/>
    <cellStyle name="Normal 2 4 4 4 2" xfId="29840" xr:uid="{771EB127-831B-4DF6-A263-F914E2B32F5C}"/>
    <cellStyle name="Normal 2 4 4 4 2 2" xfId="29841" xr:uid="{DDF2C576-3516-4537-A4A2-B7681E66DB7C}"/>
    <cellStyle name="Normal 2 4 4 4 2 2 2" xfId="29842" xr:uid="{2842EE3C-F79E-4D27-A701-E5C4D5B8A40F}"/>
    <cellStyle name="Normal 2 4 4 4 2 2 3" xfId="29843" xr:uid="{B01F3CA7-F52F-427E-9344-B4EF6D9FA431}"/>
    <cellStyle name="Normal 2 4 4 4 2 2 4" xfId="29844" xr:uid="{4DE9D283-242D-4C74-A121-D3ADAC17C61F}"/>
    <cellStyle name="Normal 2 4 4 4 2 2 5" xfId="29845" xr:uid="{6492BB16-2066-410C-8BB3-817099FC23A6}"/>
    <cellStyle name="Normal 2 4 4 4 2 3" xfId="29846" xr:uid="{69A84B63-FE7D-4D5A-B1DB-B1D3B9481D11}"/>
    <cellStyle name="Normal 2 4 4 4 2 4" xfId="29847" xr:uid="{9B7F6C5A-7EE6-4029-9D73-8EE84D9565EF}"/>
    <cellStyle name="Normal 2 4 4 4 2 5" xfId="29848" xr:uid="{307707A1-BB8E-460C-BBCA-8F0623CE6406}"/>
    <cellStyle name="Normal 2 4 4 4 2 6" xfId="29849" xr:uid="{E3EB6933-7D58-4BC0-8533-B55347116BC7}"/>
    <cellStyle name="Normal 2 4 4 4 3" xfId="29850" xr:uid="{8CD59634-3464-4BE6-986E-642CB6A5A996}"/>
    <cellStyle name="Normal 2 4 4 4 3 2" xfId="29851" xr:uid="{0A9CFB62-91F5-4EBE-B940-9CC0281087A0}"/>
    <cellStyle name="Normal 2 4 4 4 3 2 2" xfId="29852" xr:uid="{F25D7374-B4E1-4623-95F6-197BA40E799B}"/>
    <cellStyle name="Normal 2 4 4 4 3 2 3" xfId="29853" xr:uid="{2DFEAB83-90E6-4736-904B-AADBCA973683}"/>
    <cellStyle name="Normal 2 4 4 4 3 2 4" xfId="29854" xr:uid="{4A98389A-65EF-456D-8DEF-737455C883A4}"/>
    <cellStyle name="Normal 2 4 4 4 3 2 5" xfId="29855" xr:uid="{E6316447-5ABB-4504-88BB-415CA3E20C36}"/>
    <cellStyle name="Normal 2 4 4 4 3 3" xfId="29856" xr:uid="{95902F4B-6162-4C6D-AD03-E21AC814F332}"/>
    <cellStyle name="Normal 2 4 4 4 3 4" xfId="29857" xr:uid="{94D4525A-D485-4AEE-9917-279B17DF74F2}"/>
    <cellStyle name="Normal 2 4 4 4 3 5" xfId="29858" xr:uid="{522B9FB2-06B7-4043-88BE-E1B41847F134}"/>
    <cellStyle name="Normal 2 4 4 4 3 6" xfId="29859" xr:uid="{3AAC1BAC-23E5-41C1-A61E-974D8A9A3597}"/>
    <cellStyle name="Normal 2 4 4 4 4" xfId="29860" xr:uid="{BCC9D0CE-BD48-4199-8B8B-0569AD0C0BFA}"/>
    <cellStyle name="Normal 2 4 4 4 4 2" xfId="29861" xr:uid="{F4EF9AC4-4710-4CE7-9D27-7EE899011453}"/>
    <cellStyle name="Normal 2 4 4 4 4 2 2" xfId="29862" xr:uid="{DD60B62A-5146-4AEE-A92C-0C96E22A645D}"/>
    <cellStyle name="Normal 2 4 4 4 4 2 3" xfId="29863" xr:uid="{1E2A6986-9EF6-410B-99D5-4CB7C75D783E}"/>
    <cellStyle name="Normal 2 4 4 4 4 2 4" xfId="29864" xr:uid="{F7D4C34D-9FF8-43ED-8693-5A08FB1E807C}"/>
    <cellStyle name="Normal 2 4 4 4 4 2 5" xfId="29865" xr:uid="{4B4D002C-C5F8-411E-B3C0-23072E20848F}"/>
    <cellStyle name="Normal 2 4 4 4 4 3" xfId="29866" xr:uid="{D252110F-885A-4D3C-B36C-16D1D5AAC8E7}"/>
    <cellStyle name="Normal 2 4 4 4 4 4" xfId="29867" xr:uid="{9B7B1DC3-721F-4D70-B1F0-B58FC69A1312}"/>
    <cellStyle name="Normal 2 4 4 4 4 5" xfId="29868" xr:uid="{0EF5544F-BDAE-4F2D-ADA6-49382B377D6A}"/>
    <cellStyle name="Normal 2 4 4 4 4 6" xfId="29869" xr:uid="{8EB52B69-581A-4B5E-A846-ED2C3EC682AC}"/>
    <cellStyle name="Normal 2 4 4 4 5" xfId="29870" xr:uid="{62BB6C6A-D92F-4952-A6E8-AD34E821891D}"/>
    <cellStyle name="Normal 2 4 4 4 5 2" xfId="29871" xr:uid="{0199681E-AB6A-4755-994D-9F1FB1788DF0}"/>
    <cellStyle name="Normal 2 4 4 4 5 3" xfId="29872" xr:uid="{0B9C9053-DD53-495A-B144-6BB148E5E136}"/>
    <cellStyle name="Normal 2 4 4 4 5 4" xfId="29873" xr:uid="{FE0C6030-91EC-46B2-AFB7-A55CE08987B4}"/>
    <cellStyle name="Normal 2 4 4 4 5 5" xfId="29874" xr:uid="{93D49941-7D43-43C5-B005-6BA41B4A1D93}"/>
    <cellStyle name="Normal 2 4 4 4 6" xfId="29875" xr:uid="{1EB4CF31-8B25-4C7B-B65B-E9FC0E750714}"/>
    <cellStyle name="Normal 2 4 4 4 6 2" xfId="29876" xr:uid="{B722E891-A15E-459F-A7DF-4D674157B944}"/>
    <cellStyle name="Normal 2 4 4 4 6 3" xfId="29877" xr:uid="{57869AA3-A77A-4C7D-A48C-3FDBD32FD1A0}"/>
    <cellStyle name="Normal 2 4 4 4 6 4" xfId="29878" xr:uid="{CCA44C0E-CC51-448B-881D-2C458C3990DD}"/>
    <cellStyle name="Normal 2 4 4 4 6 5" xfId="29879" xr:uid="{2D490838-E77A-4C30-825F-51B0BCB7E4A8}"/>
    <cellStyle name="Normal 2 4 4 4 7" xfId="29880" xr:uid="{8A820D53-1C44-487F-8E44-0587BA9A1E3D}"/>
    <cellStyle name="Normal 2 4 4 4 7 2" xfId="29881" xr:uid="{31B6CB09-B440-4533-BD55-B2878CF56231}"/>
    <cellStyle name="Normal 2 4 4 4 7 3" xfId="29882" xr:uid="{4CB4C20D-0D46-42E8-9508-B4F10493082E}"/>
    <cellStyle name="Normal 2 4 4 4 7 4" xfId="29883" xr:uid="{29CDBAB1-1CDD-46C1-8E3F-85083462CD3E}"/>
    <cellStyle name="Normal 2 4 4 4 7 5" xfId="29884" xr:uid="{9CAAFA7A-9A63-4332-B7D9-397429F473DC}"/>
    <cellStyle name="Normal 2 4 4 4 8" xfId="29885" xr:uid="{4D1F9A49-9796-422A-B8F3-70B9ECBF5D9C}"/>
    <cellStyle name="Normal 2 4 4 4 8 2" xfId="29886" xr:uid="{2727A7B8-35FC-4484-90CF-CF558D49B940}"/>
    <cellStyle name="Normal 2 4 4 4 8 3" xfId="29887" xr:uid="{88C3E55C-192E-4CF7-A9AB-41442DCACE91}"/>
    <cellStyle name="Normal 2 4 4 4 8 4" xfId="29888" xr:uid="{7863F597-4F6F-4727-B6D1-97B651EEB737}"/>
    <cellStyle name="Normal 2 4 4 4 8 5" xfId="29889" xr:uid="{3277E07A-D009-4956-BCAE-F25BE02A96BE}"/>
    <cellStyle name="Normal 2 4 4 4 9" xfId="29890" xr:uid="{158E942A-473D-4F61-AB5D-D56DEA2644EE}"/>
    <cellStyle name="Normal 2 4 4 5" xfId="29891" xr:uid="{FDDB694B-CB01-4470-81D3-720653FA1C56}"/>
    <cellStyle name="Normal 2 4 4 5 2" xfId="29892" xr:uid="{DB84A611-7DF5-469C-8195-E5E650B6A0E5}"/>
    <cellStyle name="Normal 2 4 4 5 2 2" xfId="29893" xr:uid="{5E3886AB-17EB-4D7B-AF34-CE16C21BA495}"/>
    <cellStyle name="Normal 2 4 4 5 2 3" xfId="29894" xr:uid="{EBDAAAAC-4D1E-4F74-B3CE-DEF048D426B7}"/>
    <cellStyle name="Normal 2 4 4 5 2 4" xfId="29895" xr:uid="{D5D1C3CC-37A9-4A3C-A06D-9688FEBF5238}"/>
    <cellStyle name="Normal 2 4 4 5 2 5" xfId="29896" xr:uid="{EBC9234C-5059-4555-BD35-B7215B3C600D}"/>
    <cellStyle name="Normal 2 4 4 5 3" xfId="29897" xr:uid="{5CC3F20B-6D92-4B7F-8108-C543935D811E}"/>
    <cellStyle name="Normal 2 4 4 5 4" xfId="29898" xr:uid="{28427308-10DF-4C5E-BBC9-6E590A95D33D}"/>
    <cellStyle name="Normal 2 4 4 5 5" xfId="29899" xr:uid="{5BCA05FF-B61A-49B7-82A4-CEB0B6FA3B3C}"/>
    <cellStyle name="Normal 2 4 4 5 6" xfId="29900" xr:uid="{C1C3C806-CD27-4DAD-AA71-2DF497057427}"/>
    <cellStyle name="Normal 2 4 4 6" xfId="29901" xr:uid="{D57BDF51-3943-41D5-ABD8-C54DB96ACBF8}"/>
    <cellStyle name="Normal 2 4 4 6 2" xfId="29902" xr:uid="{6C74C97E-D28F-4CFF-83F2-8FC3906C9F21}"/>
    <cellStyle name="Normal 2 4 4 6 2 2" xfId="29903" xr:uid="{03444E79-6F21-4A56-AD70-1A2A8EF3B3AD}"/>
    <cellStyle name="Normal 2 4 4 6 2 3" xfId="29904" xr:uid="{632B2516-115E-48D0-A576-D260D7D2753A}"/>
    <cellStyle name="Normal 2 4 4 6 2 4" xfId="29905" xr:uid="{B5BB0523-1FC4-41DF-8D67-9DF5E877AEA0}"/>
    <cellStyle name="Normal 2 4 4 6 2 5" xfId="29906" xr:uid="{24880FC2-B14C-4ADC-AA31-BEACCD818650}"/>
    <cellStyle name="Normal 2 4 4 6 3" xfId="29907" xr:uid="{D3FCDE77-B177-4FDE-A53C-150033682E43}"/>
    <cellStyle name="Normal 2 4 4 6 4" xfId="29908" xr:uid="{561000CF-3081-4BFF-B534-15F72E5E018F}"/>
    <cellStyle name="Normal 2 4 4 6 5" xfId="29909" xr:uid="{D2BA0073-BAEA-48FE-8491-8C3E0C65775F}"/>
    <cellStyle name="Normal 2 4 4 6 6" xfId="29910" xr:uid="{83C18FDC-88FB-44EC-9968-47AF60DA4003}"/>
    <cellStyle name="Normal 2 4 4 7" xfId="29911" xr:uid="{C9D5B695-6576-4CE7-845C-3B80B79709D7}"/>
    <cellStyle name="Normal 2 4 4 7 2" xfId="29912" xr:uid="{820C31E8-478F-4F26-83B0-553D86F71457}"/>
    <cellStyle name="Normal 2 4 4 7 2 2" xfId="29913" xr:uid="{47B3FC6D-60EB-4DEF-BA89-FF82104550AB}"/>
    <cellStyle name="Normal 2 4 4 7 2 3" xfId="29914" xr:uid="{FAA00C47-7A1C-43D3-8045-D8368DF88DD7}"/>
    <cellStyle name="Normal 2 4 4 7 2 4" xfId="29915" xr:uid="{7B5477CE-B1B6-4212-B678-0E7053510C9B}"/>
    <cellStyle name="Normal 2 4 4 7 2 5" xfId="29916" xr:uid="{F278791E-5189-4C34-8C78-1827C2D36282}"/>
    <cellStyle name="Normal 2 4 4 7 3" xfId="29917" xr:uid="{66ED4F05-2A9C-476A-9BB3-7FA4A14ED443}"/>
    <cellStyle name="Normal 2 4 4 7 4" xfId="29918" xr:uid="{E8BC7455-46D9-41E7-A37C-AAD066D315BD}"/>
    <cellStyle name="Normal 2 4 4 7 5" xfId="29919" xr:uid="{4134EC9D-D572-4FE0-A806-6C537BC38F34}"/>
    <cellStyle name="Normal 2 4 4 7 6" xfId="29920" xr:uid="{EE2F70CB-E7DF-4C43-B258-419D9619F5EE}"/>
    <cellStyle name="Normal 2 4 4 8" xfId="29921" xr:uid="{E60956BB-3345-4A1B-9974-516C8F6556CC}"/>
    <cellStyle name="Normal 2 4 4 8 2" xfId="29922" xr:uid="{382662B7-FECF-4209-9620-B70504F7646A}"/>
    <cellStyle name="Normal 2 4 4 8 3" xfId="29923" xr:uid="{C431B9DE-5E42-4110-BA00-65F78F4044E5}"/>
    <cellStyle name="Normal 2 4 4 8 4" xfId="29924" xr:uid="{7D1FF97A-1813-44D2-86C3-1E56EB63C736}"/>
    <cellStyle name="Normal 2 4 4 8 5" xfId="29925" xr:uid="{5D696963-5473-49D5-B0D2-DBFF68B075F5}"/>
    <cellStyle name="Normal 2 4 4 9" xfId="29926" xr:uid="{A5138F1F-68F3-4C0F-8F3D-CEA21171C750}"/>
    <cellStyle name="Normal 2 4 4 9 2" xfId="29927" xr:uid="{87A70A48-EC3E-429E-9229-4B8606FBD71B}"/>
    <cellStyle name="Normal 2 4 4 9 3" xfId="29928" xr:uid="{2F4345A8-82C8-4FAB-B367-001E593E92B7}"/>
    <cellStyle name="Normal 2 4 4 9 4" xfId="29929" xr:uid="{1D9B60BA-1205-4F44-9ED5-16600B571E67}"/>
    <cellStyle name="Normal 2 4 4 9 5" xfId="29930" xr:uid="{6AAC8F58-E2D9-4B7F-867D-E8929ADBE652}"/>
    <cellStyle name="Normal 2 4 5" xfId="29931" xr:uid="{090200B6-E74F-4385-8A30-F4619DCADAA2}"/>
    <cellStyle name="Normal 2 4 5 10" xfId="29932" xr:uid="{1A09448F-3733-4309-B4A6-832BA81EC2F1}"/>
    <cellStyle name="Normal 2 4 5 10 2" xfId="29933" xr:uid="{B7C77E0A-CD3E-4BB2-9D13-50322D77919E}"/>
    <cellStyle name="Normal 2 4 5 10 3" xfId="29934" xr:uid="{7BC2B376-62C1-4742-91B2-F860C41D540F}"/>
    <cellStyle name="Normal 2 4 5 10 4" xfId="29935" xr:uid="{94FCAF14-93C8-486F-B4C8-93298E496356}"/>
    <cellStyle name="Normal 2 4 5 10 5" xfId="29936" xr:uid="{C66CFF5D-1A43-4F61-BD39-D5E108243D18}"/>
    <cellStyle name="Normal 2 4 5 11" xfId="29937" xr:uid="{861C2FAA-2B6A-4456-AFEC-2DA381313CDE}"/>
    <cellStyle name="Normal 2 4 5 12" xfId="29938" xr:uid="{CB320B16-B6E0-4357-9586-67AAE248A161}"/>
    <cellStyle name="Normal 2 4 5 13" xfId="29939" xr:uid="{C4B19350-12EC-47A5-B915-3DCBC6C63310}"/>
    <cellStyle name="Normal 2 4 5 14" xfId="29940" xr:uid="{942D468B-168B-4365-9C63-E62496637B41}"/>
    <cellStyle name="Normal 2 4 5 2" xfId="29941" xr:uid="{FC5DA953-D724-46C4-85B0-FC9BAC935427}"/>
    <cellStyle name="Normal 2 4 5 2 10" xfId="29942" xr:uid="{7771221E-3144-4CEB-B720-B889A134FC58}"/>
    <cellStyle name="Normal 2 4 5 2 11" xfId="29943" xr:uid="{8E04870F-3413-4A69-9F99-6C0B9FB839DB}"/>
    <cellStyle name="Normal 2 4 5 2 12" xfId="29944" xr:uid="{D6B64472-C16A-437A-8044-645E9CBBE655}"/>
    <cellStyle name="Normal 2 4 5 2 13" xfId="29945" xr:uid="{0256F48C-C494-4D7C-AD81-2D2FA6BD5834}"/>
    <cellStyle name="Normal 2 4 5 2 2" xfId="29946" xr:uid="{3B30767A-EC41-43A1-AC2B-D600D6535AE7}"/>
    <cellStyle name="Normal 2 4 5 2 2 10" xfId="29947" xr:uid="{37F95C68-EF09-4561-9DB6-147CD3000096}"/>
    <cellStyle name="Normal 2 4 5 2 2 11" xfId="29948" xr:uid="{B0686328-BE40-4C81-8AC3-33A02A215CB6}"/>
    <cellStyle name="Normal 2 4 5 2 2 12" xfId="29949" xr:uid="{3A9F1DF8-EB37-4689-898D-85CDAFAF56F0}"/>
    <cellStyle name="Normal 2 4 5 2 2 2" xfId="29950" xr:uid="{5FFE679C-262A-4D3E-8E37-6F9A2D853FAF}"/>
    <cellStyle name="Normal 2 4 5 2 2 2 2" xfId="29951" xr:uid="{2AD5C1FD-391B-4D39-93D8-2763734FF18A}"/>
    <cellStyle name="Normal 2 4 5 2 2 2 2 2" xfId="29952" xr:uid="{BC1233B3-1431-43C6-BFD6-FD0426696C4A}"/>
    <cellStyle name="Normal 2 4 5 2 2 2 2 3" xfId="29953" xr:uid="{F5CF33D3-D9AE-42D5-A897-3640001C377A}"/>
    <cellStyle name="Normal 2 4 5 2 2 2 2 4" xfId="29954" xr:uid="{55EA0826-D3E2-4B84-A2C4-64954F4A9E20}"/>
    <cellStyle name="Normal 2 4 5 2 2 2 2 5" xfId="29955" xr:uid="{4A70DF31-03FE-41D6-8830-C19F4706FE35}"/>
    <cellStyle name="Normal 2 4 5 2 2 2 3" xfId="29956" xr:uid="{98718CA2-E89A-46AA-95FF-EBED22249D90}"/>
    <cellStyle name="Normal 2 4 5 2 2 2 4" xfId="29957" xr:uid="{5E6B7B57-43C4-42C6-A806-ABD463121E37}"/>
    <cellStyle name="Normal 2 4 5 2 2 2 5" xfId="29958" xr:uid="{59464121-26F9-488D-B982-81B7BDC4DCDC}"/>
    <cellStyle name="Normal 2 4 5 2 2 2 6" xfId="29959" xr:uid="{4A2FD07F-9BD3-4505-A396-926AD703B580}"/>
    <cellStyle name="Normal 2 4 5 2 2 3" xfId="29960" xr:uid="{CCA76FDC-628A-49C3-ADFE-13C1D85F0008}"/>
    <cellStyle name="Normal 2 4 5 2 2 3 2" xfId="29961" xr:uid="{1342BB10-177C-46CC-AB6A-8DD09F92C688}"/>
    <cellStyle name="Normal 2 4 5 2 2 3 2 2" xfId="29962" xr:uid="{480E4677-13A1-4C60-96DA-E47847F3DB3D}"/>
    <cellStyle name="Normal 2 4 5 2 2 3 2 3" xfId="29963" xr:uid="{2B5C55F0-9855-47C9-BDB4-7E4AEF0479B6}"/>
    <cellStyle name="Normal 2 4 5 2 2 3 2 4" xfId="29964" xr:uid="{6EABFB45-874A-41CE-91D0-3DBA16BCD582}"/>
    <cellStyle name="Normal 2 4 5 2 2 3 2 5" xfId="29965" xr:uid="{008CAE1D-8616-4283-A34A-1C1E9D1F146D}"/>
    <cellStyle name="Normal 2 4 5 2 2 3 3" xfId="29966" xr:uid="{4CFD302B-2C30-4219-B14A-D8BCBEF85165}"/>
    <cellStyle name="Normal 2 4 5 2 2 3 4" xfId="29967" xr:uid="{4B233188-8FCA-4D5C-AFE8-EEC78B124DB4}"/>
    <cellStyle name="Normal 2 4 5 2 2 3 5" xfId="29968" xr:uid="{F87BEF4A-5085-4578-9493-2DD08EF85312}"/>
    <cellStyle name="Normal 2 4 5 2 2 3 6" xfId="29969" xr:uid="{54966A24-7185-4678-ACBC-8B9E055D3544}"/>
    <cellStyle name="Normal 2 4 5 2 2 4" xfId="29970" xr:uid="{1326B54E-2C90-4AF5-A02E-535024CBE5B9}"/>
    <cellStyle name="Normal 2 4 5 2 2 4 2" xfId="29971" xr:uid="{F26EDD14-DFB3-44FF-9DE7-42A159F2D740}"/>
    <cellStyle name="Normal 2 4 5 2 2 4 2 2" xfId="29972" xr:uid="{1093FEBC-DAD8-4F9B-B046-33DFB7AC092E}"/>
    <cellStyle name="Normal 2 4 5 2 2 4 2 3" xfId="29973" xr:uid="{CFE93E85-1385-4DCD-8265-30FD9E5A656A}"/>
    <cellStyle name="Normal 2 4 5 2 2 4 2 4" xfId="29974" xr:uid="{B6276302-0CF2-4AD8-85EA-1FA8A6E0A15A}"/>
    <cellStyle name="Normal 2 4 5 2 2 4 2 5" xfId="29975" xr:uid="{9FAEF47A-05C8-48D3-AB54-003C94FD5849}"/>
    <cellStyle name="Normal 2 4 5 2 2 4 3" xfId="29976" xr:uid="{D2296B34-9FC8-43C7-9E24-A36D89F73358}"/>
    <cellStyle name="Normal 2 4 5 2 2 4 4" xfId="29977" xr:uid="{ADC4F2C4-212E-4408-90AC-E2257B261E4F}"/>
    <cellStyle name="Normal 2 4 5 2 2 4 5" xfId="29978" xr:uid="{CDA3F739-AE51-4E19-A94F-5ADF3A3627EC}"/>
    <cellStyle name="Normal 2 4 5 2 2 4 6" xfId="29979" xr:uid="{C1EF0C25-1BDF-4613-8886-2BAC31030ECD}"/>
    <cellStyle name="Normal 2 4 5 2 2 5" xfId="29980" xr:uid="{0E9E5230-FD6A-4788-8645-16464FD038BF}"/>
    <cellStyle name="Normal 2 4 5 2 2 5 2" xfId="29981" xr:uid="{EA98DEB6-599A-4E75-8B26-CA108C87DFDE}"/>
    <cellStyle name="Normal 2 4 5 2 2 5 3" xfId="29982" xr:uid="{96572B2F-B152-437C-B756-67416CE0D4FE}"/>
    <cellStyle name="Normal 2 4 5 2 2 5 4" xfId="29983" xr:uid="{65C2C8AA-9C1E-45FF-ABE3-88C0BBDBBBC5}"/>
    <cellStyle name="Normal 2 4 5 2 2 5 5" xfId="29984" xr:uid="{B1DA0A53-4A50-401E-8F9D-20CFEF97C2AD}"/>
    <cellStyle name="Normal 2 4 5 2 2 6" xfId="29985" xr:uid="{FF035FF2-4596-4C5C-BD26-CBAF2D7D4956}"/>
    <cellStyle name="Normal 2 4 5 2 2 6 2" xfId="29986" xr:uid="{3080E177-1B21-4D02-94CA-9B99C93BFF29}"/>
    <cellStyle name="Normal 2 4 5 2 2 6 3" xfId="29987" xr:uid="{42E6CE2D-6EC5-4A1E-8640-3D8E24C799D0}"/>
    <cellStyle name="Normal 2 4 5 2 2 6 4" xfId="29988" xr:uid="{06B37F2D-0655-4C2D-B81D-A7456FAF604C}"/>
    <cellStyle name="Normal 2 4 5 2 2 6 5" xfId="29989" xr:uid="{A4C902A5-EE15-4D8E-92FE-3259230BACFA}"/>
    <cellStyle name="Normal 2 4 5 2 2 7" xfId="29990" xr:uid="{E396273C-A89B-491A-BA9A-5A7B6E85D4E3}"/>
    <cellStyle name="Normal 2 4 5 2 2 7 2" xfId="29991" xr:uid="{0CDB7533-683B-47E2-84D6-4168C9FEA113}"/>
    <cellStyle name="Normal 2 4 5 2 2 7 3" xfId="29992" xr:uid="{4F595799-EF65-4AEE-AAA2-A4FE62C3FE17}"/>
    <cellStyle name="Normal 2 4 5 2 2 7 4" xfId="29993" xr:uid="{7A49A41A-13EC-405A-AD3A-802465FBDA47}"/>
    <cellStyle name="Normal 2 4 5 2 2 7 5" xfId="29994" xr:uid="{CB35341D-F693-456E-9D6F-C6F141E2F05D}"/>
    <cellStyle name="Normal 2 4 5 2 2 8" xfId="29995" xr:uid="{1D9936FA-6523-4964-8CB2-C48D7AB9CA84}"/>
    <cellStyle name="Normal 2 4 5 2 2 8 2" xfId="29996" xr:uid="{81676D35-B886-4534-94E1-B2E8CE7786FA}"/>
    <cellStyle name="Normal 2 4 5 2 2 8 3" xfId="29997" xr:uid="{51D9F3AD-1547-41B1-AE54-EAFD899B509F}"/>
    <cellStyle name="Normal 2 4 5 2 2 8 4" xfId="29998" xr:uid="{D2E00073-D78C-4ED2-A694-2ED7AAD163A2}"/>
    <cellStyle name="Normal 2 4 5 2 2 8 5" xfId="29999" xr:uid="{B5CEB233-662E-46AB-876A-1D0B01CAF908}"/>
    <cellStyle name="Normal 2 4 5 2 2 9" xfId="30000" xr:uid="{E8A82DCF-C59F-4B99-BB73-C023E539C2BA}"/>
    <cellStyle name="Normal 2 4 5 2 3" xfId="30001" xr:uid="{10E97EE4-D949-42EA-B028-E0991A65EFC5}"/>
    <cellStyle name="Normal 2 4 5 2 3 2" xfId="30002" xr:uid="{9647CBE4-3091-435E-8761-7BF3187743D8}"/>
    <cellStyle name="Normal 2 4 5 2 3 2 2" xfId="30003" xr:uid="{7C4B8713-835C-491F-822B-1BDC920988D1}"/>
    <cellStyle name="Normal 2 4 5 2 3 2 3" xfId="30004" xr:uid="{36D122EF-65BA-4145-AA67-065D2FAB879A}"/>
    <cellStyle name="Normal 2 4 5 2 3 2 4" xfId="30005" xr:uid="{30CAC9A2-DC6C-4873-80BE-162D7879B2D8}"/>
    <cellStyle name="Normal 2 4 5 2 3 2 5" xfId="30006" xr:uid="{330BA2A7-3A1F-42EA-817F-67A203202D0C}"/>
    <cellStyle name="Normal 2 4 5 2 3 3" xfId="30007" xr:uid="{71E81782-110C-4B3C-B99A-89326473417E}"/>
    <cellStyle name="Normal 2 4 5 2 3 4" xfId="30008" xr:uid="{06EB9743-83C4-4365-9BD7-B275E2BD60D0}"/>
    <cellStyle name="Normal 2 4 5 2 3 5" xfId="30009" xr:uid="{8F2984DC-6863-4CAB-BA08-6096D937D46E}"/>
    <cellStyle name="Normal 2 4 5 2 3 6" xfId="30010" xr:uid="{AC367B9C-6493-46E2-920D-396764D7B9B2}"/>
    <cellStyle name="Normal 2 4 5 2 4" xfId="30011" xr:uid="{F5B75556-6F4C-4D1A-AAF0-735E48C2F4B8}"/>
    <cellStyle name="Normal 2 4 5 2 4 2" xfId="30012" xr:uid="{E1C0A69A-F6CB-4398-9758-A421065FD506}"/>
    <cellStyle name="Normal 2 4 5 2 4 2 2" xfId="30013" xr:uid="{1D889215-C87B-4DDC-99A1-0336C8C9B1AD}"/>
    <cellStyle name="Normal 2 4 5 2 4 2 3" xfId="30014" xr:uid="{32BDE549-8369-40C3-AE02-D5A2C4AD3D05}"/>
    <cellStyle name="Normal 2 4 5 2 4 2 4" xfId="30015" xr:uid="{6D9FFE10-524F-4708-BFC3-CC1CF46A44F5}"/>
    <cellStyle name="Normal 2 4 5 2 4 2 5" xfId="30016" xr:uid="{C3303C31-8E90-4797-8B66-182F9636C6AD}"/>
    <cellStyle name="Normal 2 4 5 2 4 3" xfId="30017" xr:uid="{1F8A0D4D-AFE1-425E-A6E7-3F7F64021E66}"/>
    <cellStyle name="Normal 2 4 5 2 4 4" xfId="30018" xr:uid="{A9A18C2A-D34F-4C26-B451-14F17FE4EAC4}"/>
    <cellStyle name="Normal 2 4 5 2 4 5" xfId="30019" xr:uid="{5AF91B72-A89F-4292-B211-C352CE6AC7CC}"/>
    <cellStyle name="Normal 2 4 5 2 4 6" xfId="30020" xr:uid="{A70CD00F-2642-410A-A330-C0F7812837C3}"/>
    <cellStyle name="Normal 2 4 5 2 5" xfId="30021" xr:uid="{53E621D3-9B43-4F11-95C0-4E42239E6ABD}"/>
    <cellStyle name="Normal 2 4 5 2 5 2" xfId="30022" xr:uid="{43269B97-E7B7-474E-A987-FCB3429D7C47}"/>
    <cellStyle name="Normal 2 4 5 2 5 2 2" xfId="30023" xr:uid="{06B564DD-7C4F-4ED9-AA01-B3CEF49E5691}"/>
    <cellStyle name="Normal 2 4 5 2 5 2 3" xfId="30024" xr:uid="{85F03587-E23E-468E-B4C9-B209856BD99F}"/>
    <cellStyle name="Normal 2 4 5 2 5 2 4" xfId="30025" xr:uid="{C89FA4F2-13F0-4C21-9741-E742EF297124}"/>
    <cellStyle name="Normal 2 4 5 2 5 2 5" xfId="30026" xr:uid="{D3FB6743-E646-43B7-B83B-AC6E4B3512C1}"/>
    <cellStyle name="Normal 2 4 5 2 5 3" xfId="30027" xr:uid="{7D2F74FD-372F-41AB-99D6-F56B2C357E93}"/>
    <cellStyle name="Normal 2 4 5 2 5 4" xfId="30028" xr:uid="{78854020-5D94-4E85-9C12-98CE8606FC27}"/>
    <cellStyle name="Normal 2 4 5 2 5 5" xfId="30029" xr:uid="{4A6BCA76-9790-4976-85CA-E2AF15F38BAF}"/>
    <cellStyle name="Normal 2 4 5 2 5 6" xfId="30030" xr:uid="{F06B6D30-461B-43BD-B7DA-C624F251F838}"/>
    <cellStyle name="Normal 2 4 5 2 6" xfId="30031" xr:uid="{C2B06E3B-2234-4793-BB7A-A088992ACFB1}"/>
    <cellStyle name="Normal 2 4 5 2 6 2" xfId="30032" xr:uid="{1F9C7834-0C8B-4B04-B0E4-185BC0CC5A2A}"/>
    <cellStyle name="Normal 2 4 5 2 6 3" xfId="30033" xr:uid="{E6252367-A229-4BED-A160-C0092B132B20}"/>
    <cellStyle name="Normal 2 4 5 2 6 4" xfId="30034" xr:uid="{6BB14F26-2284-4411-A630-0C38941FBB81}"/>
    <cellStyle name="Normal 2 4 5 2 6 5" xfId="30035" xr:uid="{0E205FEC-4D7D-4C06-A267-F640B8972D07}"/>
    <cellStyle name="Normal 2 4 5 2 7" xfId="30036" xr:uid="{F96F972E-14FA-4D1C-B422-9B800F5B11D9}"/>
    <cellStyle name="Normal 2 4 5 2 7 2" xfId="30037" xr:uid="{5412AB29-972B-4586-83B8-A18EE98076EC}"/>
    <cellStyle name="Normal 2 4 5 2 7 3" xfId="30038" xr:uid="{0E084AD6-61B7-41A0-A1A1-FC0BFF127392}"/>
    <cellStyle name="Normal 2 4 5 2 7 4" xfId="30039" xr:uid="{C111D8D5-267F-4002-82EF-7FA56694297E}"/>
    <cellStyle name="Normal 2 4 5 2 7 5" xfId="30040" xr:uid="{5A9FF471-C334-4166-BD4D-87DE9EE0CF30}"/>
    <cellStyle name="Normal 2 4 5 2 8" xfId="30041" xr:uid="{059FC6C3-1492-4752-9442-22B47D16E812}"/>
    <cellStyle name="Normal 2 4 5 2 8 2" xfId="30042" xr:uid="{CF9E8B6A-F583-468F-BBA2-CB1EAFAC29E0}"/>
    <cellStyle name="Normal 2 4 5 2 8 3" xfId="30043" xr:uid="{E6C8C6D7-6F47-4066-B804-756607B75283}"/>
    <cellStyle name="Normal 2 4 5 2 8 4" xfId="30044" xr:uid="{EADDEB94-C046-4EDC-B2AA-3C645FC59E0E}"/>
    <cellStyle name="Normal 2 4 5 2 8 5" xfId="30045" xr:uid="{68CBB6DF-0865-4165-A197-0B08AB35BDA2}"/>
    <cellStyle name="Normal 2 4 5 2 9" xfId="30046" xr:uid="{B652D3EC-8244-4E78-9B8A-739968960E77}"/>
    <cellStyle name="Normal 2 4 5 2 9 2" xfId="30047" xr:uid="{25AD08DE-C2E8-4432-A817-3D03402C8A82}"/>
    <cellStyle name="Normal 2 4 5 2 9 3" xfId="30048" xr:uid="{E8C1A3CC-A5DB-48B6-879B-A0DDDB161126}"/>
    <cellStyle name="Normal 2 4 5 2 9 4" xfId="30049" xr:uid="{57A017E4-5C24-4E95-99CF-4E9E6F0EBE29}"/>
    <cellStyle name="Normal 2 4 5 2 9 5" xfId="30050" xr:uid="{13D8D005-7165-4BC0-817E-A8F38B359D86}"/>
    <cellStyle name="Normal 2 4 5 3" xfId="30051" xr:uid="{F89C16E1-3884-4F01-828C-88343333AF9B}"/>
    <cellStyle name="Normal 2 4 5 3 10" xfId="30052" xr:uid="{4B2E6C98-7D29-4BFD-9C96-4C7E9FB5AF97}"/>
    <cellStyle name="Normal 2 4 5 3 11" xfId="30053" xr:uid="{0BBD541C-D6DB-45D2-8FE0-FDBF6C478C9E}"/>
    <cellStyle name="Normal 2 4 5 3 12" xfId="30054" xr:uid="{BC2E25BF-10EB-4E63-995C-1B685299C30B}"/>
    <cellStyle name="Normal 2 4 5 3 2" xfId="30055" xr:uid="{439584E3-A235-468B-9C58-EADC891AB5FD}"/>
    <cellStyle name="Normal 2 4 5 3 2 2" xfId="30056" xr:uid="{C623EC6C-013C-419B-90C3-D1D7B5D88BAE}"/>
    <cellStyle name="Normal 2 4 5 3 2 2 2" xfId="30057" xr:uid="{239A4A0F-CB90-427D-A227-5DF2D389050D}"/>
    <cellStyle name="Normal 2 4 5 3 2 2 3" xfId="30058" xr:uid="{8B010FF5-A323-4D6A-8B7D-9AE127C35F53}"/>
    <cellStyle name="Normal 2 4 5 3 2 2 4" xfId="30059" xr:uid="{B9B0159B-0930-4093-A982-EE783898405C}"/>
    <cellStyle name="Normal 2 4 5 3 2 2 5" xfId="30060" xr:uid="{7D6A6417-6011-4E6E-B71C-619995CE7CCA}"/>
    <cellStyle name="Normal 2 4 5 3 2 3" xfId="30061" xr:uid="{1C048052-14EA-4D24-8FC8-EBBF4054521E}"/>
    <cellStyle name="Normal 2 4 5 3 2 4" xfId="30062" xr:uid="{1671D6A9-F07E-4EA9-AEBF-B3408D423871}"/>
    <cellStyle name="Normal 2 4 5 3 2 5" xfId="30063" xr:uid="{C3BF3934-B1F7-401F-8C92-CD7F8D77370A}"/>
    <cellStyle name="Normal 2 4 5 3 2 6" xfId="30064" xr:uid="{F27C78E6-7B54-4706-A565-84DDE85F3255}"/>
    <cellStyle name="Normal 2 4 5 3 3" xfId="30065" xr:uid="{DEB31071-2395-47BE-8513-EFB40805036E}"/>
    <cellStyle name="Normal 2 4 5 3 3 2" xfId="30066" xr:uid="{79B8AC95-1643-49FB-90FA-235FEE184684}"/>
    <cellStyle name="Normal 2 4 5 3 3 2 2" xfId="30067" xr:uid="{7843D9F6-CC8F-4229-AFDC-62994E5B8AFB}"/>
    <cellStyle name="Normal 2 4 5 3 3 2 3" xfId="30068" xr:uid="{EF9AAD9C-5A92-454C-9255-8CE3B67B4CE1}"/>
    <cellStyle name="Normal 2 4 5 3 3 2 4" xfId="30069" xr:uid="{D0CC786D-4034-4849-BF26-C367DFD2E10E}"/>
    <cellStyle name="Normal 2 4 5 3 3 2 5" xfId="30070" xr:uid="{68705DCA-AB76-4A57-BEE6-A60AB15CF16C}"/>
    <cellStyle name="Normal 2 4 5 3 3 3" xfId="30071" xr:uid="{8B78353A-333A-4DA1-8DB1-E19B27FF907F}"/>
    <cellStyle name="Normal 2 4 5 3 3 4" xfId="30072" xr:uid="{CF620E2D-0D0E-4A42-99DA-60408CA99A0E}"/>
    <cellStyle name="Normal 2 4 5 3 3 5" xfId="30073" xr:uid="{7E6B7F04-B872-4B3D-8029-31F8272F4D86}"/>
    <cellStyle name="Normal 2 4 5 3 3 6" xfId="30074" xr:uid="{C08A6BD7-5455-4141-8859-87DBB2BD567C}"/>
    <cellStyle name="Normal 2 4 5 3 4" xfId="30075" xr:uid="{8E6524FF-672A-4246-8A8A-3D361C30E5C8}"/>
    <cellStyle name="Normal 2 4 5 3 4 2" xfId="30076" xr:uid="{CBAE518D-71F1-4369-BFA2-315ACE728590}"/>
    <cellStyle name="Normal 2 4 5 3 4 2 2" xfId="30077" xr:uid="{B4626639-1461-4FBA-95EB-2979D2D0C3EA}"/>
    <cellStyle name="Normal 2 4 5 3 4 2 3" xfId="30078" xr:uid="{B9B1E301-0A0F-4D3E-9BFF-B1923AB3CE2F}"/>
    <cellStyle name="Normal 2 4 5 3 4 2 4" xfId="30079" xr:uid="{9430FDBE-9A6A-4265-8078-AE7D856BA73D}"/>
    <cellStyle name="Normal 2 4 5 3 4 2 5" xfId="30080" xr:uid="{9CF80EF0-28F6-48ED-97A4-C7217EDF904A}"/>
    <cellStyle name="Normal 2 4 5 3 4 3" xfId="30081" xr:uid="{057DA490-A183-420B-A208-8C8B76308178}"/>
    <cellStyle name="Normal 2 4 5 3 4 4" xfId="30082" xr:uid="{74A85289-7CC6-4F36-87A7-977D9EB80C99}"/>
    <cellStyle name="Normal 2 4 5 3 4 5" xfId="30083" xr:uid="{00BB390D-DC42-413F-845B-DC3C502C5340}"/>
    <cellStyle name="Normal 2 4 5 3 4 6" xfId="30084" xr:uid="{D81BDBF1-E9EA-4EC6-AE01-283C4442B25C}"/>
    <cellStyle name="Normal 2 4 5 3 5" xfId="30085" xr:uid="{30ADD15E-A388-490D-AC8E-ED307E06A66C}"/>
    <cellStyle name="Normal 2 4 5 3 5 2" xfId="30086" xr:uid="{6B9418D3-FA39-4BD6-BF75-9563E517F098}"/>
    <cellStyle name="Normal 2 4 5 3 5 3" xfId="30087" xr:uid="{7B8B3230-173C-4601-8F05-FA01DF86AA48}"/>
    <cellStyle name="Normal 2 4 5 3 5 4" xfId="30088" xr:uid="{AD158930-D6CE-4F73-9A06-9D48BA8A46E9}"/>
    <cellStyle name="Normal 2 4 5 3 5 5" xfId="30089" xr:uid="{7AAA9CD9-5F60-4A37-8426-9B75F404FF3F}"/>
    <cellStyle name="Normal 2 4 5 3 6" xfId="30090" xr:uid="{F31A8269-22D0-49B3-99E5-850C76579832}"/>
    <cellStyle name="Normal 2 4 5 3 6 2" xfId="30091" xr:uid="{C9B8E154-00A9-4AD2-AC15-C4458BDC8E7F}"/>
    <cellStyle name="Normal 2 4 5 3 6 3" xfId="30092" xr:uid="{5D454A89-F41B-4D0B-9408-FB719C2E16E4}"/>
    <cellStyle name="Normal 2 4 5 3 6 4" xfId="30093" xr:uid="{4EECA754-FC94-412C-AC73-A66F626410A5}"/>
    <cellStyle name="Normal 2 4 5 3 6 5" xfId="30094" xr:uid="{291B31C4-94F8-413D-9114-E8C3C2898D09}"/>
    <cellStyle name="Normal 2 4 5 3 7" xfId="30095" xr:uid="{0E49DE05-59AF-433E-A262-69697972209D}"/>
    <cellStyle name="Normal 2 4 5 3 7 2" xfId="30096" xr:uid="{AA7027F8-AA95-4C1D-B929-EEF4BB9E9F2A}"/>
    <cellStyle name="Normal 2 4 5 3 7 3" xfId="30097" xr:uid="{BADCA217-BFEF-4CE5-9596-B4EA4E116F69}"/>
    <cellStyle name="Normal 2 4 5 3 7 4" xfId="30098" xr:uid="{045928CC-0104-4301-AFA3-FEDC64850E6C}"/>
    <cellStyle name="Normal 2 4 5 3 7 5" xfId="30099" xr:uid="{651CCB91-159C-4EB9-A538-4C31CAF797F8}"/>
    <cellStyle name="Normal 2 4 5 3 8" xfId="30100" xr:uid="{220B57F9-B4A6-41FF-B0D4-610EF5209B69}"/>
    <cellStyle name="Normal 2 4 5 3 8 2" xfId="30101" xr:uid="{9BE79856-391C-4E4A-B3EA-5B71CC7EFB92}"/>
    <cellStyle name="Normal 2 4 5 3 8 3" xfId="30102" xr:uid="{48319BA6-DF70-4100-A74F-F92F6EDFA4E5}"/>
    <cellStyle name="Normal 2 4 5 3 8 4" xfId="30103" xr:uid="{5A15A991-A711-4708-85CB-D0E28F778DA5}"/>
    <cellStyle name="Normal 2 4 5 3 8 5" xfId="30104" xr:uid="{CD1C75EF-2380-4690-9E44-013BC135AE72}"/>
    <cellStyle name="Normal 2 4 5 3 9" xfId="30105" xr:uid="{5BBDA4EC-4547-443A-B493-D2709843BD01}"/>
    <cellStyle name="Normal 2 4 5 4" xfId="30106" xr:uid="{0159BD19-0A15-4062-B545-3E4D599A206D}"/>
    <cellStyle name="Normal 2 4 5 4 2" xfId="30107" xr:uid="{F1E74BC9-58C2-44F7-802A-30F968FB596B}"/>
    <cellStyle name="Normal 2 4 5 4 2 2" xfId="30108" xr:uid="{94308242-EAD1-44C6-9C26-D06A005A9C7D}"/>
    <cellStyle name="Normal 2 4 5 4 2 3" xfId="30109" xr:uid="{4C18582C-4EB4-4A2A-A171-EB3A712D5BD9}"/>
    <cellStyle name="Normal 2 4 5 4 2 4" xfId="30110" xr:uid="{1683497A-8634-436A-B043-C9F76928E6BC}"/>
    <cellStyle name="Normal 2 4 5 4 2 5" xfId="30111" xr:uid="{4EDEFE61-C9FA-4C06-B8FF-8483C1084F4C}"/>
    <cellStyle name="Normal 2 4 5 4 3" xfId="30112" xr:uid="{22B5F9EA-6CF7-4FCB-8064-F38D28FCD263}"/>
    <cellStyle name="Normal 2 4 5 4 4" xfId="30113" xr:uid="{FAFC5879-F554-45BD-ACCB-30CF8267C261}"/>
    <cellStyle name="Normal 2 4 5 4 5" xfId="30114" xr:uid="{590BF0C7-813B-4C13-83D6-9F96E0EFBD9E}"/>
    <cellStyle name="Normal 2 4 5 4 6" xfId="30115" xr:uid="{F4147ED9-B21E-450C-B459-BF334CABF085}"/>
    <cellStyle name="Normal 2 4 5 5" xfId="30116" xr:uid="{A8976C86-8B15-455D-9797-8CDB5604DE92}"/>
    <cellStyle name="Normal 2 4 5 5 2" xfId="30117" xr:uid="{CBCA8997-3741-4E2D-84A0-CFDF01075E26}"/>
    <cellStyle name="Normal 2 4 5 5 2 2" xfId="30118" xr:uid="{40C74CD1-36EB-49FD-B021-A577515E5B68}"/>
    <cellStyle name="Normal 2 4 5 5 2 3" xfId="30119" xr:uid="{579689BF-F1F2-4E97-ACFA-9D4355690594}"/>
    <cellStyle name="Normal 2 4 5 5 2 4" xfId="30120" xr:uid="{4226F75B-4C98-48D2-9B07-C608B5E6CCB1}"/>
    <cellStyle name="Normal 2 4 5 5 2 5" xfId="30121" xr:uid="{F29EF1A4-4CDC-4F5E-A9A5-62C283DB2227}"/>
    <cellStyle name="Normal 2 4 5 5 3" xfId="30122" xr:uid="{AC904899-EC98-4AAC-A1E7-76FCBEC95B1E}"/>
    <cellStyle name="Normal 2 4 5 5 4" xfId="30123" xr:uid="{1F2F31BA-65EA-4E97-B85F-506CC2A3BA17}"/>
    <cellStyle name="Normal 2 4 5 5 5" xfId="30124" xr:uid="{B550A25A-A26C-4E72-90EA-C0E381339244}"/>
    <cellStyle name="Normal 2 4 5 5 6" xfId="30125" xr:uid="{E0CA2844-DED6-446A-89D3-3B38B7823970}"/>
    <cellStyle name="Normal 2 4 5 6" xfId="30126" xr:uid="{4D7F4772-2117-403D-8960-DDB5E183BC9D}"/>
    <cellStyle name="Normal 2 4 5 6 2" xfId="30127" xr:uid="{1E2923E1-6A02-4DA0-A3CB-9C909D0084FC}"/>
    <cellStyle name="Normal 2 4 5 6 2 2" xfId="30128" xr:uid="{ED357447-DF79-47F7-8367-1E052A8D823C}"/>
    <cellStyle name="Normal 2 4 5 6 2 3" xfId="30129" xr:uid="{171C1134-DA51-4B6C-BD6B-7A2D15CC10A2}"/>
    <cellStyle name="Normal 2 4 5 6 2 4" xfId="30130" xr:uid="{4CA2C7AA-29AA-4035-A147-1842C80C072C}"/>
    <cellStyle name="Normal 2 4 5 6 2 5" xfId="30131" xr:uid="{88DDEE49-C3B8-40CE-A8DB-A4A38EE04BD3}"/>
    <cellStyle name="Normal 2 4 5 6 3" xfId="30132" xr:uid="{74D04A18-E337-4B9C-81AC-787B98D46A3E}"/>
    <cellStyle name="Normal 2 4 5 6 4" xfId="30133" xr:uid="{04BAC140-E423-4243-8B3B-58FA955FAF18}"/>
    <cellStyle name="Normal 2 4 5 6 5" xfId="30134" xr:uid="{3C3F8C84-5CEC-4406-A3E2-A01938D8062A}"/>
    <cellStyle name="Normal 2 4 5 6 6" xfId="30135" xr:uid="{3A4A7897-6FC7-4211-8143-34E9D43B8F27}"/>
    <cellStyle name="Normal 2 4 5 7" xfId="30136" xr:uid="{57975CE4-1589-4AE3-8689-F5F34799FA5C}"/>
    <cellStyle name="Normal 2 4 5 7 2" xfId="30137" xr:uid="{8F862FEA-6104-4898-8595-D9214826FF4A}"/>
    <cellStyle name="Normal 2 4 5 7 3" xfId="30138" xr:uid="{A1395EC3-8AB3-4AE8-BF87-F945AD1D5B3D}"/>
    <cellStyle name="Normal 2 4 5 7 4" xfId="30139" xr:uid="{C75C9261-2345-4CB6-9FC6-2C6C4F484C55}"/>
    <cellStyle name="Normal 2 4 5 7 5" xfId="30140" xr:uid="{81611D6E-6ECF-47D4-8B55-F5874F8FE6ED}"/>
    <cellStyle name="Normal 2 4 5 8" xfId="30141" xr:uid="{3C640F1F-040F-42D9-9E1C-0BB50E91E163}"/>
    <cellStyle name="Normal 2 4 5 8 2" xfId="30142" xr:uid="{AEBB49CF-8368-4EA4-A349-DCE00F6080CB}"/>
    <cellStyle name="Normal 2 4 5 8 3" xfId="30143" xr:uid="{0BD37B40-8EF0-4785-947F-0771D7A292CA}"/>
    <cellStyle name="Normal 2 4 5 8 4" xfId="30144" xr:uid="{D4042B78-C0B3-41AF-956C-28AF206A3CEC}"/>
    <cellStyle name="Normal 2 4 5 8 5" xfId="30145" xr:uid="{2CDAAE97-721B-492F-909F-70F4B9B7CEB2}"/>
    <cellStyle name="Normal 2 4 5 9" xfId="30146" xr:uid="{AA1335C7-83FE-4D0E-BE9C-7787BE24C828}"/>
    <cellStyle name="Normal 2 4 5 9 2" xfId="30147" xr:uid="{E81FB614-05F5-494C-8D3E-FDB6D40AD606}"/>
    <cellStyle name="Normal 2 4 5 9 3" xfId="30148" xr:uid="{D12307DB-EA63-4712-9156-C93ECAC1E7DB}"/>
    <cellStyle name="Normal 2 4 5 9 4" xfId="30149" xr:uid="{2F0F2E6B-947B-4B66-99B7-F660DCC08D8B}"/>
    <cellStyle name="Normal 2 4 5 9 5" xfId="30150" xr:uid="{030F53F4-2032-4B59-BB93-58D229F94305}"/>
    <cellStyle name="Normal 2 4 6" xfId="30151" xr:uid="{61D4DC53-8E53-458B-8D8E-0CF440665EE4}"/>
    <cellStyle name="Normal 2 4 6 10" xfId="30152" xr:uid="{D5FFB417-219F-4143-9DC1-B614B0A13E56}"/>
    <cellStyle name="Normal 2 4 6 11" xfId="30153" xr:uid="{D31B3E42-5392-4864-A190-549DF505949A}"/>
    <cellStyle name="Normal 2 4 6 12" xfId="30154" xr:uid="{860D6493-BCE3-45A5-B8A1-9D21C0CA990F}"/>
    <cellStyle name="Normal 2 4 6 13" xfId="30155" xr:uid="{D00E8FAC-04E8-421C-A32F-CC7B226F5C35}"/>
    <cellStyle name="Normal 2 4 6 2" xfId="30156" xr:uid="{B91F121A-494E-44C7-B45D-921AF4EFCBFC}"/>
    <cellStyle name="Normal 2 4 6 2 10" xfId="30157" xr:uid="{0C9B60C7-8412-4788-915C-B56D0255A72A}"/>
    <cellStyle name="Normal 2 4 6 2 11" xfId="30158" xr:uid="{687EDA50-9E84-4074-AFFC-D5DC1EF910F5}"/>
    <cellStyle name="Normal 2 4 6 2 12" xfId="30159" xr:uid="{5A591320-4207-40E4-AF25-EC2E2422E7F3}"/>
    <cellStyle name="Normal 2 4 6 2 2" xfId="30160" xr:uid="{AB523BF1-F375-4FE2-9A13-82CA44D5F720}"/>
    <cellStyle name="Normal 2 4 6 2 2 2" xfId="30161" xr:uid="{F3EA8401-C8A7-43FC-BB81-9F965347ADDC}"/>
    <cellStyle name="Normal 2 4 6 2 2 2 2" xfId="30162" xr:uid="{A8975D38-F275-4D6C-B7E2-5E963F5BAB51}"/>
    <cellStyle name="Normal 2 4 6 2 2 2 3" xfId="30163" xr:uid="{4FE4D5E6-31E4-490F-A124-C674871361B2}"/>
    <cellStyle name="Normal 2 4 6 2 2 2 4" xfId="30164" xr:uid="{7467F0D3-5EB4-4F9A-BC08-E9DBB865CB80}"/>
    <cellStyle name="Normal 2 4 6 2 2 2 5" xfId="30165" xr:uid="{7672BB23-53AD-40AE-A6E4-766289CB24BC}"/>
    <cellStyle name="Normal 2 4 6 2 2 3" xfId="30166" xr:uid="{C3BC5359-1328-43D3-82A1-6E55384917CB}"/>
    <cellStyle name="Normal 2 4 6 2 2 4" xfId="30167" xr:uid="{6BAB8D13-A1DE-47F2-A0A3-223686B1DB16}"/>
    <cellStyle name="Normal 2 4 6 2 2 5" xfId="30168" xr:uid="{EE3C0818-AF97-4469-9C3B-6751BD8193F3}"/>
    <cellStyle name="Normal 2 4 6 2 2 6" xfId="30169" xr:uid="{849FB1EB-854D-494E-9BE4-3AD9BCD54DEE}"/>
    <cellStyle name="Normal 2 4 6 2 3" xfId="30170" xr:uid="{15D5B5DC-735F-4BF4-A3ED-CF4BADE1D862}"/>
    <cellStyle name="Normal 2 4 6 2 3 2" xfId="30171" xr:uid="{96204230-1AB6-4307-8983-097160544ABE}"/>
    <cellStyle name="Normal 2 4 6 2 3 2 2" xfId="30172" xr:uid="{EF8CD50A-D19B-4662-AB4E-F1CBAB6605FA}"/>
    <cellStyle name="Normal 2 4 6 2 3 2 3" xfId="30173" xr:uid="{4B10DF59-D073-4432-A374-12E765D608F1}"/>
    <cellStyle name="Normal 2 4 6 2 3 2 4" xfId="30174" xr:uid="{8D9E7E6B-FBEE-47CE-ADCA-614FCD80C315}"/>
    <cellStyle name="Normal 2 4 6 2 3 2 5" xfId="30175" xr:uid="{F59CD8E8-A464-450F-B086-80C78162F93A}"/>
    <cellStyle name="Normal 2 4 6 2 3 3" xfId="30176" xr:uid="{E6F61D7B-7619-4AAB-AE3F-E6F209BD3EEF}"/>
    <cellStyle name="Normal 2 4 6 2 3 4" xfId="30177" xr:uid="{5299C8A0-B302-4AC8-91E4-26BF592BA309}"/>
    <cellStyle name="Normal 2 4 6 2 3 5" xfId="30178" xr:uid="{CD2967DB-38A5-4FEE-8B36-40A35AC2447A}"/>
    <cellStyle name="Normal 2 4 6 2 3 6" xfId="30179" xr:uid="{70F93CDC-5ACA-4F89-812D-3BD92F6621AB}"/>
    <cellStyle name="Normal 2 4 6 2 4" xfId="30180" xr:uid="{DA195CA8-52E0-46D4-8185-CC2DEB36C8FD}"/>
    <cellStyle name="Normal 2 4 6 2 4 2" xfId="30181" xr:uid="{0B096B07-F20B-47F4-8690-DD875BD8CA53}"/>
    <cellStyle name="Normal 2 4 6 2 4 2 2" xfId="30182" xr:uid="{B4B6868A-E468-481C-B861-9015872DC322}"/>
    <cellStyle name="Normal 2 4 6 2 4 2 3" xfId="30183" xr:uid="{B185E09B-E2FB-4EB2-89B1-069A77B3EE63}"/>
    <cellStyle name="Normal 2 4 6 2 4 2 4" xfId="30184" xr:uid="{98AF57DF-ECE6-485E-BD61-876F1A620075}"/>
    <cellStyle name="Normal 2 4 6 2 4 2 5" xfId="30185" xr:uid="{5A574964-C694-47E1-B99D-4302F5C3C625}"/>
    <cellStyle name="Normal 2 4 6 2 4 3" xfId="30186" xr:uid="{B021269C-4950-4AFC-8793-56A54BF7249C}"/>
    <cellStyle name="Normal 2 4 6 2 4 4" xfId="30187" xr:uid="{9DCB65EC-4C2C-471B-9E4C-4C95F56E99B1}"/>
    <cellStyle name="Normal 2 4 6 2 4 5" xfId="30188" xr:uid="{0DB92919-4C81-45F9-8B53-05D850EA15D9}"/>
    <cellStyle name="Normal 2 4 6 2 4 6" xfId="30189" xr:uid="{85EFB69C-DF5B-4D96-9F3A-E96E704675FB}"/>
    <cellStyle name="Normal 2 4 6 2 5" xfId="30190" xr:uid="{DCBD96B0-A6CF-4685-88BA-7827E11E9E67}"/>
    <cellStyle name="Normal 2 4 6 2 5 2" xfId="30191" xr:uid="{55FEE237-943D-4190-976B-31ACC0F20D0E}"/>
    <cellStyle name="Normal 2 4 6 2 5 3" xfId="30192" xr:uid="{768B7E2A-3636-4307-8116-0CB2D9795117}"/>
    <cellStyle name="Normal 2 4 6 2 5 4" xfId="30193" xr:uid="{9E6C06FD-80E9-484B-9F22-8303A178FCF9}"/>
    <cellStyle name="Normal 2 4 6 2 5 5" xfId="30194" xr:uid="{E9A91E25-9C42-42AD-92DF-6A18099C3AB8}"/>
    <cellStyle name="Normal 2 4 6 2 6" xfId="30195" xr:uid="{7AFD42ED-DF08-4B84-9930-F295E351674B}"/>
    <cellStyle name="Normal 2 4 6 2 6 2" xfId="30196" xr:uid="{0586ADCB-C5D2-4AE9-89F7-AEB8863B498A}"/>
    <cellStyle name="Normal 2 4 6 2 6 3" xfId="30197" xr:uid="{DDCF5E09-B629-4BE5-8EAE-B14F18F5FD4E}"/>
    <cellStyle name="Normal 2 4 6 2 6 4" xfId="30198" xr:uid="{B15CDDA3-4906-482A-9995-3DFA99E0C8B7}"/>
    <cellStyle name="Normal 2 4 6 2 6 5" xfId="30199" xr:uid="{C45987A8-42D0-4F0D-B2BE-1F908C026F67}"/>
    <cellStyle name="Normal 2 4 6 2 7" xfId="30200" xr:uid="{99C4A2C3-E5BB-49BF-89C9-FB151DD9BEA9}"/>
    <cellStyle name="Normal 2 4 6 2 7 2" xfId="30201" xr:uid="{907F3CE5-74D5-433E-827D-EB889E048E8C}"/>
    <cellStyle name="Normal 2 4 6 2 7 3" xfId="30202" xr:uid="{7D30FAC1-715A-441B-8023-CC1AF3D07D65}"/>
    <cellStyle name="Normal 2 4 6 2 7 4" xfId="30203" xr:uid="{3891E1FB-05CD-419F-ADF9-E024EB2DAA68}"/>
    <cellStyle name="Normal 2 4 6 2 7 5" xfId="30204" xr:uid="{6B735A3F-C192-4C23-A34E-2DCDD03D322A}"/>
    <cellStyle name="Normal 2 4 6 2 8" xfId="30205" xr:uid="{32086854-774B-4006-BAB3-7EA4A25FA078}"/>
    <cellStyle name="Normal 2 4 6 2 8 2" xfId="30206" xr:uid="{EB497235-F7A1-4EFC-834B-E57EFEAB76B7}"/>
    <cellStyle name="Normal 2 4 6 2 8 3" xfId="30207" xr:uid="{ABFCC60D-67D7-48D6-B619-24F0F5D95D88}"/>
    <cellStyle name="Normal 2 4 6 2 8 4" xfId="30208" xr:uid="{51567C69-A5EE-4002-9F4B-DE371F5BEDC3}"/>
    <cellStyle name="Normal 2 4 6 2 8 5" xfId="30209" xr:uid="{49638258-AC96-4609-BF7D-4FE539B3E3B4}"/>
    <cellStyle name="Normal 2 4 6 2 9" xfId="30210" xr:uid="{4B5B36D4-8132-4ABF-9E7C-AD90E2A9EB03}"/>
    <cellStyle name="Normal 2 4 6 3" xfId="30211" xr:uid="{0F2951CF-A3B8-4BE5-ACB2-BCA3456D5CD6}"/>
    <cellStyle name="Normal 2 4 6 3 2" xfId="30212" xr:uid="{2211EF99-3D4E-4F4C-AB63-CEA275325705}"/>
    <cellStyle name="Normal 2 4 6 3 2 2" xfId="30213" xr:uid="{0A4B6FEF-7B3A-45E1-8AA1-A2D8EF177FA6}"/>
    <cellStyle name="Normal 2 4 6 3 2 3" xfId="30214" xr:uid="{EF08CE77-D794-4BC0-B0C2-6DC2AD10B876}"/>
    <cellStyle name="Normal 2 4 6 3 2 4" xfId="30215" xr:uid="{A4F6DBAF-FAEF-45AF-8E73-D5FCC4074C6A}"/>
    <cellStyle name="Normal 2 4 6 3 2 5" xfId="30216" xr:uid="{884631A9-FF2A-4C6E-A429-36AAEEACD454}"/>
    <cellStyle name="Normal 2 4 6 3 3" xfId="30217" xr:uid="{5CEF17A4-FF9D-4F62-B94D-C70FE5C985FB}"/>
    <cellStyle name="Normal 2 4 6 3 4" xfId="30218" xr:uid="{E0FAEB95-E7A6-4D40-8A96-C58A6A4C8FEF}"/>
    <cellStyle name="Normal 2 4 6 3 5" xfId="30219" xr:uid="{41E7B446-578C-49E5-8C22-82B07FC77E1A}"/>
    <cellStyle name="Normal 2 4 6 3 6" xfId="30220" xr:uid="{AB07ACCD-8E10-4589-B32D-4CD3086B6C1D}"/>
    <cellStyle name="Normal 2 4 6 4" xfId="30221" xr:uid="{33188989-54FA-4524-8607-07F8CDC0F6BB}"/>
    <cellStyle name="Normal 2 4 6 4 2" xfId="30222" xr:uid="{B505EBE6-E299-4C76-8672-DEB57324B85A}"/>
    <cellStyle name="Normal 2 4 6 4 2 2" xfId="30223" xr:uid="{16F7E2DF-BC80-4EC9-966E-6BAC10D2B3A1}"/>
    <cellStyle name="Normal 2 4 6 4 2 3" xfId="30224" xr:uid="{D4FA4745-62A8-4E2C-B99F-A6716787FF4D}"/>
    <cellStyle name="Normal 2 4 6 4 2 4" xfId="30225" xr:uid="{AFFC7E80-E3C9-4567-B261-5F8305892B8F}"/>
    <cellStyle name="Normal 2 4 6 4 2 5" xfId="30226" xr:uid="{7A5CF8CE-4E15-41BE-AAF5-A8782539987E}"/>
    <cellStyle name="Normal 2 4 6 4 3" xfId="30227" xr:uid="{CDF7310C-BC33-48E4-8B46-A3302730EC6E}"/>
    <cellStyle name="Normal 2 4 6 4 4" xfId="30228" xr:uid="{088FD598-501B-498D-8B5C-882EC994A8E2}"/>
    <cellStyle name="Normal 2 4 6 4 5" xfId="30229" xr:uid="{FCC8B124-4F5A-4E3F-9AFD-704C55EFE696}"/>
    <cellStyle name="Normal 2 4 6 4 6" xfId="30230" xr:uid="{0017014F-07D6-47E7-AA12-B8B1A70CA197}"/>
    <cellStyle name="Normal 2 4 6 5" xfId="30231" xr:uid="{3FBAB674-8AE5-4074-8AA3-B3AD3372FE1A}"/>
    <cellStyle name="Normal 2 4 6 5 2" xfId="30232" xr:uid="{2C4EC949-B5BE-4F96-85C1-9F6F291832A8}"/>
    <cellStyle name="Normal 2 4 6 5 2 2" xfId="30233" xr:uid="{A7DDF75F-1FBF-46F9-895F-86753E2DD8EE}"/>
    <cellStyle name="Normal 2 4 6 5 2 3" xfId="30234" xr:uid="{E214E509-3277-469F-ACDB-A58406515D77}"/>
    <cellStyle name="Normal 2 4 6 5 2 4" xfId="30235" xr:uid="{6CE66FF9-9464-4497-9D7D-C981680D91B7}"/>
    <cellStyle name="Normal 2 4 6 5 2 5" xfId="30236" xr:uid="{FFC4630E-1735-4A62-A490-2DCA62E3835F}"/>
    <cellStyle name="Normal 2 4 6 5 3" xfId="30237" xr:uid="{6192F089-1F8A-469A-9AC3-5C9FFF3C986F}"/>
    <cellStyle name="Normal 2 4 6 5 4" xfId="30238" xr:uid="{79597639-F0ED-4C5E-8349-423136512026}"/>
    <cellStyle name="Normal 2 4 6 5 5" xfId="30239" xr:uid="{6EFE0E50-67C9-4829-9305-6407047EFB95}"/>
    <cellStyle name="Normal 2 4 6 5 6" xfId="30240" xr:uid="{89599259-D695-4737-9C61-9485CB25D659}"/>
    <cellStyle name="Normal 2 4 6 6" xfId="30241" xr:uid="{465A250F-7554-4BD5-AB7F-6B4E5E1DB918}"/>
    <cellStyle name="Normal 2 4 6 6 2" xfId="30242" xr:uid="{FD34C444-02E1-4332-85CA-E974E11E60A6}"/>
    <cellStyle name="Normal 2 4 6 6 3" xfId="30243" xr:uid="{289F7D1A-A11A-4F3F-9C08-48EA06D5AC01}"/>
    <cellStyle name="Normal 2 4 6 6 4" xfId="30244" xr:uid="{4E95656A-19AB-4ABB-95F9-F5EF2B3B964C}"/>
    <cellStyle name="Normal 2 4 6 6 5" xfId="30245" xr:uid="{68C9C0AD-FD6A-4400-9BA3-BAF21B276CC9}"/>
    <cellStyle name="Normal 2 4 6 7" xfId="30246" xr:uid="{190C782E-1D19-4A8B-965B-015F2ACE970B}"/>
    <cellStyle name="Normal 2 4 6 7 2" xfId="30247" xr:uid="{F403357A-8F72-4648-A226-B580D88BF5A5}"/>
    <cellStyle name="Normal 2 4 6 7 3" xfId="30248" xr:uid="{1E3297EA-EA3D-45AA-84A8-5346D5297554}"/>
    <cellStyle name="Normal 2 4 6 7 4" xfId="30249" xr:uid="{3E79E98E-CF3F-427B-976F-32ADBE9FD97C}"/>
    <cellStyle name="Normal 2 4 6 7 5" xfId="30250" xr:uid="{22A08E44-22AC-40DF-A161-0F4751B2310E}"/>
    <cellStyle name="Normal 2 4 6 8" xfId="30251" xr:uid="{E343F0D3-3000-4108-994D-0F24A4008EC4}"/>
    <cellStyle name="Normal 2 4 6 8 2" xfId="30252" xr:uid="{5F46EA73-A107-4839-B997-012DDDA15DCF}"/>
    <cellStyle name="Normal 2 4 6 8 3" xfId="30253" xr:uid="{CF39988C-96E4-449E-B169-6E4286200BAA}"/>
    <cellStyle name="Normal 2 4 6 8 4" xfId="30254" xr:uid="{861E99DF-AFB5-43DF-88ED-F8AB69D3FB78}"/>
    <cellStyle name="Normal 2 4 6 8 5" xfId="30255" xr:uid="{B1A0424F-4EBA-42CF-AFCD-323CACB8C3C6}"/>
    <cellStyle name="Normal 2 4 6 9" xfId="30256" xr:uid="{7B6D1717-A8C0-48C6-8249-68FBAAAD1ECE}"/>
    <cellStyle name="Normal 2 4 6 9 2" xfId="30257" xr:uid="{159E2210-5245-4AC0-9346-961B10A26EB8}"/>
    <cellStyle name="Normal 2 4 6 9 3" xfId="30258" xr:uid="{11F0F50C-873C-4A9A-8214-F422EA006AE0}"/>
    <cellStyle name="Normal 2 4 6 9 4" xfId="30259" xr:uid="{FD61DB1D-E6BC-4FDD-B78D-A4D7DCB29261}"/>
    <cellStyle name="Normal 2 4 6 9 5" xfId="30260" xr:uid="{2C76B725-8469-4149-A224-1101DF6F17B3}"/>
    <cellStyle name="Normal 2 4 7" xfId="30261" xr:uid="{723570BA-DAED-447C-AD25-5A151A386948}"/>
    <cellStyle name="Normal 2 4 7 10" xfId="30262" xr:uid="{EF5AB193-4A32-4C8D-95AD-E17FD0A9F565}"/>
    <cellStyle name="Normal 2 4 7 11" xfId="30263" xr:uid="{3AAA975A-39B9-4EB7-98E2-73E5A121999C}"/>
    <cellStyle name="Normal 2 4 7 12" xfId="30264" xr:uid="{2BC9A441-5937-4469-87A7-DEB312F0820D}"/>
    <cellStyle name="Normal 2 4 7 2" xfId="30265" xr:uid="{8ECBA324-5E9E-414B-96B3-F74DBC3D3608}"/>
    <cellStyle name="Normal 2 4 7 2 2" xfId="30266" xr:uid="{2C08AD96-85E7-46D5-9832-8DAD1A4B053F}"/>
    <cellStyle name="Normal 2 4 7 2 2 2" xfId="30267" xr:uid="{3A2BCE8C-632A-4ED7-94EA-2A15126A5B13}"/>
    <cellStyle name="Normal 2 4 7 2 2 3" xfId="30268" xr:uid="{A5E6BEB0-E818-412C-ACCE-005643470923}"/>
    <cellStyle name="Normal 2 4 7 2 2 4" xfId="30269" xr:uid="{00B682A0-0F3B-47B5-9FB5-3B50C0488EBD}"/>
    <cellStyle name="Normal 2 4 7 2 2 5" xfId="30270" xr:uid="{01E4A664-6CCA-4BDF-AB06-324969151DD7}"/>
    <cellStyle name="Normal 2 4 7 2 3" xfId="30271" xr:uid="{6E3233A7-D863-414E-B4DD-DE5128729385}"/>
    <cellStyle name="Normal 2 4 7 2 4" xfId="30272" xr:uid="{4B2AC6A6-62AF-4C96-9DA7-858B351C1F7B}"/>
    <cellStyle name="Normal 2 4 7 2 5" xfId="30273" xr:uid="{5D186677-28E9-4D39-B866-FD7FB543D491}"/>
    <cellStyle name="Normal 2 4 7 2 6" xfId="30274" xr:uid="{7563CA9D-D87B-4F08-8C59-C9676F1572AA}"/>
    <cellStyle name="Normal 2 4 7 3" xfId="30275" xr:uid="{DCBFFDCA-A359-43DE-A298-23909B3CA944}"/>
    <cellStyle name="Normal 2 4 7 3 2" xfId="30276" xr:uid="{D92033F7-F166-4449-89F6-8B9C39739956}"/>
    <cellStyle name="Normal 2 4 7 3 2 2" xfId="30277" xr:uid="{DA9BABAC-04AA-4112-B311-78F43F0F852D}"/>
    <cellStyle name="Normal 2 4 7 3 2 3" xfId="30278" xr:uid="{6AAC38AF-4B37-4682-84E5-BB624310066F}"/>
    <cellStyle name="Normal 2 4 7 3 2 4" xfId="30279" xr:uid="{7F6258C0-77E0-4991-BF23-A287BC18BA35}"/>
    <cellStyle name="Normal 2 4 7 3 2 5" xfId="30280" xr:uid="{EC28E035-B7F5-4E8D-A2B4-7150A7195B42}"/>
    <cellStyle name="Normal 2 4 7 3 3" xfId="30281" xr:uid="{7B2D12B6-F474-4E92-9FB9-879F21C462E3}"/>
    <cellStyle name="Normal 2 4 7 3 4" xfId="30282" xr:uid="{DC9452D8-1EB2-4509-97B7-9C9D2846242D}"/>
    <cellStyle name="Normal 2 4 7 3 5" xfId="30283" xr:uid="{46A3F321-6764-4E93-B2C5-7A9ADD32244B}"/>
    <cellStyle name="Normal 2 4 7 3 6" xfId="30284" xr:uid="{B8854326-AF6E-46AB-BE7B-A0261C59F791}"/>
    <cellStyle name="Normal 2 4 7 4" xfId="30285" xr:uid="{EC70B129-E580-44B0-9F00-4CEED192B18B}"/>
    <cellStyle name="Normal 2 4 7 4 2" xfId="30286" xr:uid="{4F112AC4-CEE2-46BC-B6FB-AC8A54784E05}"/>
    <cellStyle name="Normal 2 4 7 4 2 2" xfId="30287" xr:uid="{8A0A934E-3368-4FF7-B1EE-AC158EF10A14}"/>
    <cellStyle name="Normal 2 4 7 4 2 3" xfId="30288" xr:uid="{4CCE72BB-CE75-4891-8295-660C888B9FE6}"/>
    <cellStyle name="Normal 2 4 7 4 2 4" xfId="30289" xr:uid="{5B7F302F-6EA7-4158-B500-1B481C685FF9}"/>
    <cellStyle name="Normal 2 4 7 4 2 5" xfId="30290" xr:uid="{3CE5FEA9-97FB-4594-9A40-8D7551E7E1E8}"/>
    <cellStyle name="Normal 2 4 7 4 3" xfId="30291" xr:uid="{F6DC64FB-EA23-4F05-BF1C-982B56FDDF62}"/>
    <cellStyle name="Normal 2 4 7 4 4" xfId="30292" xr:uid="{5A0415DB-E9E6-4849-89A9-9090B473E769}"/>
    <cellStyle name="Normal 2 4 7 4 5" xfId="30293" xr:uid="{992200C4-2387-4952-A8FD-651F7DBA9275}"/>
    <cellStyle name="Normal 2 4 7 4 6" xfId="30294" xr:uid="{05F8D8B3-F249-497E-B4CC-B344979AEED5}"/>
    <cellStyle name="Normal 2 4 7 5" xfId="30295" xr:uid="{2035CAFD-F13F-4D34-88F6-6C38E720DCE2}"/>
    <cellStyle name="Normal 2 4 7 5 2" xfId="30296" xr:uid="{C8D873C3-7B92-40DF-A776-CFB83C061951}"/>
    <cellStyle name="Normal 2 4 7 5 3" xfId="30297" xr:uid="{A17A5D8C-C52E-42FA-AF5F-6D87B6910934}"/>
    <cellStyle name="Normal 2 4 7 5 4" xfId="30298" xr:uid="{C955ED33-FD63-47BA-B1EA-927D1CB82E93}"/>
    <cellStyle name="Normal 2 4 7 5 5" xfId="30299" xr:uid="{3845D8A7-D9A3-418E-BC7C-DAC0FD4F0B59}"/>
    <cellStyle name="Normal 2 4 7 6" xfId="30300" xr:uid="{B941BD22-ED8A-4282-8046-62388A43471A}"/>
    <cellStyle name="Normal 2 4 7 6 2" xfId="30301" xr:uid="{6EA338E7-3581-403A-832E-E2C7B2B785B2}"/>
    <cellStyle name="Normal 2 4 7 6 3" xfId="30302" xr:uid="{35FBEC58-E406-4220-955E-D9386F827D4F}"/>
    <cellStyle name="Normal 2 4 7 6 4" xfId="30303" xr:uid="{CE350C0D-FA0D-4BB8-BF61-2937A6BA07BD}"/>
    <cellStyle name="Normal 2 4 7 6 5" xfId="30304" xr:uid="{7C944193-B90B-4024-B194-7D10A31F761E}"/>
    <cellStyle name="Normal 2 4 7 7" xfId="30305" xr:uid="{4AA7D34A-3B6C-4219-9199-575E9E9E19A1}"/>
    <cellStyle name="Normal 2 4 7 7 2" xfId="30306" xr:uid="{B4EFB3E5-5E25-4435-8A94-49C99F3887D9}"/>
    <cellStyle name="Normal 2 4 7 7 3" xfId="30307" xr:uid="{8FA8C66D-D89A-4F9F-A020-E41B1AF74106}"/>
    <cellStyle name="Normal 2 4 7 7 4" xfId="30308" xr:uid="{AB0C26EF-C847-4607-9B79-0826037E1489}"/>
    <cellStyle name="Normal 2 4 7 7 5" xfId="30309" xr:uid="{5A3961AD-CD57-4A84-93E3-D1F6D431A1B5}"/>
    <cellStyle name="Normal 2 4 7 8" xfId="30310" xr:uid="{20A26B21-4EAE-416F-93CD-525030335AB3}"/>
    <cellStyle name="Normal 2 4 7 8 2" xfId="30311" xr:uid="{119F5A12-7FDA-4F7B-A6FF-4DBD58F8455F}"/>
    <cellStyle name="Normal 2 4 7 8 3" xfId="30312" xr:uid="{BFCB47CF-C7BE-4062-AA3B-4EFE5A84636D}"/>
    <cellStyle name="Normal 2 4 7 8 4" xfId="30313" xr:uid="{EF2D4570-944E-4E8E-8D06-355E07816CC3}"/>
    <cellStyle name="Normal 2 4 7 8 5" xfId="30314" xr:uid="{DE8275BF-EABC-488C-A204-0702F420E3C6}"/>
    <cellStyle name="Normal 2 4 7 9" xfId="30315" xr:uid="{4E7E8D80-3F1E-4D61-8F73-2022D104522C}"/>
    <cellStyle name="Normal 2 4 8" xfId="30316" xr:uid="{B76F0555-C075-472E-8077-F37C2391E260}"/>
    <cellStyle name="Normal 2 4 8 2" xfId="30317" xr:uid="{0D473168-81AD-4F81-816D-667F04A1C925}"/>
    <cellStyle name="Normal 2 4 8 2 2" xfId="30318" xr:uid="{AB00A2AD-3657-403C-9DD5-EA7BF887E70D}"/>
    <cellStyle name="Normal 2 4 8 2 3" xfId="30319" xr:uid="{FCC6F9BB-722A-4454-A056-9254384AF507}"/>
    <cellStyle name="Normal 2 4 8 2 4" xfId="30320" xr:uid="{2BCC337E-5F90-46BD-A789-006A6C2AC939}"/>
    <cellStyle name="Normal 2 4 8 2 5" xfId="30321" xr:uid="{83ED0F1F-21F9-4C1B-8435-2AC607153CD4}"/>
    <cellStyle name="Normal 2 4 8 3" xfId="30322" xr:uid="{7822501A-7D22-4396-96CD-99A2E306297B}"/>
    <cellStyle name="Normal 2 4 8 4" xfId="30323" xr:uid="{3D3914B7-345D-4CC9-829E-366AAE42BD0F}"/>
    <cellStyle name="Normal 2 4 8 5" xfId="30324" xr:uid="{E7B3D00D-1844-4B63-B055-0EBAA8D69952}"/>
    <cellStyle name="Normal 2 4 8 6" xfId="30325" xr:uid="{86D9E737-6DD3-4CA7-9B45-945ABA809009}"/>
    <cellStyle name="Normal 2 4 9" xfId="30326" xr:uid="{2D05D42F-14B9-4098-84F0-0769A78FE0DB}"/>
    <cellStyle name="Normal 2 4 9 2" xfId="30327" xr:uid="{058FAB56-2CDD-445A-8E2F-668B194F268F}"/>
    <cellStyle name="Normal 2 4 9 2 2" xfId="30328" xr:uid="{2438B92B-7F3E-43AB-AEAE-BA564000681D}"/>
    <cellStyle name="Normal 2 4 9 2 3" xfId="30329" xr:uid="{E7843357-3C79-4CDA-ADB5-2E846FE19266}"/>
    <cellStyle name="Normal 2 4 9 2 4" xfId="30330" xr:uid="{B2B9067F-431B-40C3-861E-B8B1416B72AA}"/>
    <cellStyle name="Normal 2 4 9 2 5" xfId="30331" xr:uid="{08097A97-A051-49AE-AD6A-B006A45D41A2}"/>
    <cellStyle name="Normal 2 4 9 3" xfId="30332" xr:uid="{BCB27DAE-74BE-4EB4-9888-9089BC03ED1E}"/>
    <cellStyle name="Normal 2 4 9 4" xfId="30333" xr:uid="{28620BB4-0B60-4324-BB0E-CC45F6CFF284}"/>
    <cellStyle name="Normal 2 4 9 5" xfId="30334" xr:uid="{F516CC65-9E41-4477-8A7D-F8B28DAD2DA9}"/>
    <cellStyle name="Normal 2 4 9 6" xfId="30335" xr:uid="{3B0062BB-1D57-42EA-B7AD-10FA40B5610B}"/>
    <cellStyle name="Normal 2 5" xfId="259" xr:uid="{7BAC08D1-3DA0-4598-A980-4670CA854C65}"/>
    <cellStyle name="Normal 2 5 10" xfId="30336" xr:uid="{EC089EA4-777C-40F6-85A7-1E6CDF006530}"/>
    <cellStyle name="Normal 2 5 10 2" xfId="30337" xr:uid="{6498B748-7835-4554-9F3D-241B54E1CB98}"/>
    <cellStyle name="Normal 2 5 10 2 2" xfId="30338" xr:uid="{13CC9673-130E-454A-9696-379E4ACC3F6F}"/>
    <cellStyle name="Normal 2 5 10 2 3" xfId="30339" xr:uid="{2D9E0F4B-52E9-449B-B0CE-85D4A1918F1F}"/>
    <cellStyle name="Normal 2 5 10 2 4" xfId="30340" xr:uid="{4D5FC892-E100-4A9D-9887-992C24DBE93C}"/>
    <cellStyle name="Normal 2 5 10 2 5" xfId="30341" xr:uid="{E4619104-1BCD-4129-A23A-7283F3E3B4A9}"/>
    <cellStyle name="Normal 2 5 10 3" xfId="30342" xr:uid="{21BFF530-E896-45D0-AA13-18A95FFA77E3}"/>
    <cellStyle name="Normal 2 5 10 4" xfId="30343" xr:uid="{42EFE4A6-1729-45D0-8CD5-D4DB42E2D427}"/>
    <cellStyle name="Normal 2 5 10 5" xfId="30344" xr:uid="{873409A7-21EF-4289-A43E-7EB7AEF74623}"/>
    <cellStyle name="Normal 2 5 10 6" xfId="30345" xr:uid="{46BB2D0B-165E-4646-8AE6-0289224C3004}"/>
    <cellStyle name="Normal 2 5 11" xfId="30346" xr:uid="{8C9060D9-E63E-4FBA-BE9C-8F4F4E3E1DDF}"/>
    <cellStyle name="Normal 2 5 11 2" xfId="30347" xr:uid="{0A478475-4DD4-4B80-84A6-6F4217EDA3F0}"/>
    <cellStyle name="Normal 2 5 11 3" xfId="30348" xr:uid="{3D8B7480-00F9-4E36-9775-712BFA57F7CC}"/>
    <cellStyle name="Normal 2 5 11 4" xfId="30349" xr:uid="{EAC0FC26-6D8A-486B-A2B9-1FACDFEF3E67}"/>
    <cellStyle name="Normal 2 5 11 5" xfId="30350" xr:uid="{DBD42E40-965D-4B90-9921-5DFAE17780DC}"/>
    <cellStyle name="Normal 2 5 12" xfId="30351" xr:uid="{D7834785-4B86-4EA5-9154-1849B0A3F5F0}"/>
    <cellStyle name="Normal 2 5 12 2" xfId="30352" xr:uid="{B6291C61-E845-413D-8992-327BC0B8A316}"/>
    <cellStyle name="Normal 2 5 12 3" xfId="30353" xr:uid="{AAC3C15C-7A65-4352-AC3B-8AB2FED42D1D}"/>
    <cellStyle name="Normal 2 5 12 4" xfId="30354" xr:uid="{92510400-2FF5-4803-ABB3-C15205081677}"/>
    <cellStyle name="Normal 2 5 12 5" xfId="30355" xr:uid="{5EDB37F0-AAAB-4E3B-9F8B-D27848CF332C}"/>
    <cellStyle name="Normal 2 5 13" xfId="30356" xr:uid="{BEAAC06B-5141-46C9-BDB6-8D8F12CF68B0}"/>
    <cellStyle name="Normal 2 5 13 2" xfId="30357" xr:uid="{125DD80C-11EC-4B53-90FC-C2C6856BA2C2}"/>
    <cellStyle name="Normal 2 5 13 3" xfId="30358" xr:uid="{F65A8391-BC64-4157-8499-986A56174255}"/>
    <cellStyle name="Normal 2 5 13 4" xfId="30359" xr:uid="{93221CFD-F6D0-4210-80BD-D0DB31081000}"/>
    <cellStyle name="Normal 2 5 13 5" xfId="30360" xr:uid="{29031D56-2A16-414B-8915-68077AD37F65}"/>
    <cellStyle name="Normal 2 5 14" xfId="30361" xr:uid="{8F5CA8BC-B5B1-445A-94DD-8E7BCBBA99F8}"/>
    <cellStyle name="Normal 2 5 14 2" xfId="30362" xr:uid="{14915735-ECF2-470D-B533-D483090A89F3}"/>
    <cellStyle name="Normal 2 5 14 3" xfId="30363" xr:uid="{36CA292A-5477-4D00-92C6-DA405AEEDD36}"/>
    <cellStyle name="Normal 2 5 14 4" xfId="30364" xr:uid="{56C26F57-083B-4231-B61C-66DF82658D88}"/>
    <cellStyle name="Normal 2 5 14 5" xfId="30365" xr:uid="{3E1EEBF4-933A-4448-9264-9C140C2E9880}"/>
    <cellStyle name="Normal 2 5 15" xfId="30366" xr:uid="{D829BAE3-CFD0-4292-A0F2-BAD72E1597CB}"/>
    <cellStyle name="Normal 2 5 16" xfId="30367" xr:uid="{D80E6C16-5FE8-4C08-B0A2-FBEC2054B6C2}"/>
    <cellStyle name="Normal 2 5 17" xfId="30368" xr:uid="{843497C5-8F5B-41CE-876E-2BCE1B73E0BC}"/>
    <cellStyle name="Normal 2 5 18" xfId="30369" xr:uid="{3C57A02B-0812-4FB1-9AAB-67509E4CA453}"/>
    <cellStyle name="Normal 2 5 19" xfId="44459" xr:uid="{D5AF0AAF-1B9B-4366-843D-2EE7452FC03C}"/>
    <cellStyle name="Normal 2 5 2" xfId="30370" xr:uid="{5FA72783-1868-45C8-84B6-296028D94412}"/>
    <cellStyle name="Normal 2 5 2 10" xfId="30371" xr:uid="{74EE695C-3551-46A1-A7C4-77B4AD21222C}"/>
    <cellStyle name="Normal 2 5 2 10 2" xfId="30372" xr:uid="{B2330CAE-8E17-46F7-8FA6-1BF6C223C00A}"/>
    <cellStyle name="Normal 2 5 2 10 3" xfId="30373" xr:uid="{942A7EC6-9C5F-4EA9-9E9C-3DE0CC6EB7B9}"/>
    <cellStyle name="Normal 2 5 2 10 4" xfId="30374" xr:uid="{2A2229F3-8055-46A3-9459-CBD79A4F6E8A}"/>
    <cellStyle name="Normal 2 5 2 10 5" xfId="30375" xr:uid="{1962AD46-C553-4CED-A911-E14BA78B5B80}"/>
    <cellStyle name="Normal 2 5 2 11" xfId="30376" xr:uid="{860AB145-EB62-46ED-A09B-520BE0B64FD9}"/>
    <cellStyle name="Normal 2 5 2 11 2" xfId="30377" xr:uid="{6C105ACD-02F6-4610-8B47-323556A39C92}"/>
    <cellStyle name="Normal 2 5 2 11 3" xfId="30378" xr:uid="{49E47893-EF52-4BE6-AE78-F02B0A00D447}"/>
    <cellStyle name="Normal 2 5 2 11 4" xfId="30379" xr:uid="{E0B48F0C-291F-4601-97B7-79A9F89BCC0D}"/>
    <cellStyle name="Normal 2 5 2 11 5" xfId="30380" xr:uid="{D8D5744D-DFBC-462E-AA09-808B3ED8C10E}"/>
    <cellStyle name="Normal 2 5 2 12" xfId="30381" xr:uid="{5B3D68AE-C238-473B-BFA8-FB257D306DC2}"/>
    <cellStyle name="Normal 2 5 2 13" xfId="30382" xr:uid="{59F53E78-6F2C-4F30-A419-66A7EB7DDEA6}"/>
    <cellStyle name="Normal 2 5 2 14" xfId="30383" xr:uid="{3446C5B9-925E-4ED2-B358-7B9C566FE6D9}"/>
    <cellStyle name="Normal 2 5 2 15" xfId="30384" xr:uid="{8A8B5F79-A71D-4ED7-A385-EC463F96685A}"/>
    <cellStyle name="Normal 2 5 2 2" xfId="30385" xr:uid="{98E62F0C-6240-4798-836D-346727424BB5}"/>
    <cellStyle name="Normal 2 5 2 2 10" xfId="30386" xr:uid="{9D679160-4CB8-43F6-8DFB-9E9048833BC0}"/>
    <cellStyle name="Normal 2 5 2 2 10 2" xfId="30387" xr:uid="{D3654B79-F574-4231-8D0B-4BF4E6C27828}"/>
    <cellStyle name="Normal 2 5 2 2 10 3" xfId="30388" xr:uid="{C5BF925B-2100-402D-AA3B-A0D7A0A7CA8C}"/>
    <cellStyle name="Normal 2 5 2 2 10 4" xfId="30389" xr:uid="{DBB8B388-04BF-4131-A85C-C35BCE683208}"/>
    <cellStyle name="Normal 2 5 2 2 10 5" xfId="30390" xr:uid="{A9EAB456-8D57-43FB-B366-7BCFC7B42B51}"/>
    <cellStyle name="Normal 2 5 2 2 11" xfId="30391" xr:uid="{1726D82B-6F87-4546-B0EC-799CA7082004}"/>
    <cellStyle name="Normal 2 5 2 2 12" xfId="30392" xr:uid="{A5E83144-F92B-4601-9570-5CA3600DA051}"/>
    <cellStyle name="Normal 2 5 2 2 13" xfId="30393" xr:uid="{4F1B84BD-CF2A-4E78-B17F-DEB5357AFDCC}"/>
    <cellStyle name="Normal 2 5 2 2 14" xfId="30394" xr:uid="{D1A75150-C23C-4715-8105-022438F3F3E7}"/>
    <cellStyle name="Normal 2 5 2 2 2" xfId="30395" xr:uid="{189C4A64-F5C7-4591-8BB7-00E2A90893AD}"/>
    <cellStyle name="Normal 2 5 2 2 2 10" xfId="30396" xr:uid="{5D3D8638-E475-4A07-B8B0-6D5138118B0D}"/>
    <cellStyle name="Normal 2 5 2 2 2 11" xfId="30397" xr:uid="{AAAA4D49-EE90-4394-8338-C8165FC09299}"/>
    <cellStyle name="Normal 2 5 2 2 2 12" xfId="30398" xr:uid="{FD029F34-7BF7-48B4-A242-CE74B63A2B82}"/>
    <cellStyle name="Normal 2 5 2 2 2 13" xfId="30399" xr:uid="{E1E533C8-DEBA-4409-9FEB-0445919B6440}"/>
    <cellStyle name="Normal 2 5 2 2 2 2" xfId="30400" xr:uid="{9C14B2BE-3278-4D90-8F31-3C84AA9CB5C4}"/>
    <cellStyle name="Normal 2 5 2 2 2 2 10" xfId="30401" xr:uid="{55F100A5-6819-4555-859E-1D650AA72A33}"/>
    <cellStyle name="Normal 2 5 2 2 2 2 11" xfId="30402" xr:uid="{1EB18491-2AE9-41F5-82FB-730EDB506C93}"/>
    <cellStyle name="Normal 2 5 2 2 2 2 12" xfId="30403" xr:uid="{C04C8334-E05E-4684-BA47-B885C5CBC255}"/>
    <cellStyle name="Normal 2 5 2 2 2 2 2" xfId="30404" xr:uid="{4BA7ABB0-8BF7-43E6-97C9-FB0340A171B3}"/>
    <cellStyle name="Normal 2 5 2 2 2 2 2 2" xfId="30405" xr:uid="{F2FD27E2-AF15-4980-BB7C-0E3DAF4AEA8A}"/>
    <cellStyle name="Normal 2 5 2 2 2 2 2 2 2" xfId="30406" xr:uid="{C8D9FDAC-A43E-4290-83ED-AA56CA529D80}"/>
    <cellStyle name="Normal 2 5 2 2 2 2 2 2 3" xfId="30407" xr:uid="{371C578F-E33D-4E0E-892E-73C49C91EAC5}"/>
    <cellStyle name="Normal 2 5 2 2 2 2 2 2 4" xfId="30408" xr:uid="{16E48C32-B206-4312-B740-FFF8CCA9CC60}"/>
    <cellStyle name="Normal 2 5 2 2 2 2 2 2 5" xfId="30409" xr:uid="{62BC8ACC-D730-420C-8DC4-CC55F3F7A548}"/>
    <cellStyle name="Normal 2 5 2 2 2 2 2 3" xfId="30410" xr:uid="{8CDE9A2D-9E8C-463D-BE6F-4C822E429491}"/>
    <cellStyle name="Normal 2 5 2 2 2 2 2 4" xfId="30411" xr:uid="{71863423-49A6-44F2-8016-7AA3936278B1}"/>
    <cellStyle name="Normal 2 5 2 2 2 2 2 5" xfId="30412" xr:uid="{CC284B1E-51E7-410C-BF21-2F3ADEC80426}"/>
    <cellStyle name="Normal 2 5 2 2 2 2 2 6" xfId="30413" xr:uid="{0AD46C7A-322B-402D-B2DD-9F3917261DD6}"/>
    <cellStyle name="Normal 2 5 2 2 2 2 3" xfId="30414" xr:uid="{2BD00541-397B-42D2-8A37-DC40F0084234}"/>
    <cellStyle name="Normal 2 5 2 2 2 2 3 2" xfId="30415" xr:uid="{742A3F12-910C-4C8B-B824-725BC259A237}"/>
    <cellStyle name="Normal 2 5 2 2 2 2 3 2 2" xfId="30416" xr:uid="{1433FE7A-F291-4973-B5A2-766429068FC2}"/>
    <cellStyle name="Normal 2 5 2 2 2 2 3 2 3" xfId="30417" xr:uid="{53167E58-36FB-425D-B92C-F8B879AA9DC5}"/>
    <cellStyle name="Normal 2 5 2 2 2 2 3 2 4" xfId="30418" xr:uid="{213E3E5C-1684-479D-B118-557410D822CC}"/>
    <cellStyle name="Normal 2 5 2 2 2 2 3 2 5" xfId="30419" xr:uid="{1E809B25-0477-490C-BDCA-972FA2F4A14D}"/>
    <cellStyle name="Normal 2 5 2 2 2 2 3 3" xfId="30420" xr:uid="{A0C82FC8-CFDD-4E47-940E-D545A3582C7A}"/>
    <cellStyle name="Normal 2 5 2 2 2 2 3 4" xfId="30421" xr:uid="{C4C5F5BC-BA01-45A8-A9EC-EFEF22E5C92C}"/>
    <cellStyle name="Normal 2 5 2 2 2 2 3 5" xfId="30422" xr:uid="{2759177C-9069-4A3F-A096-E3986461052F}"/>
    <cellStyle name="Normal 2 5 2 2 2 2 3 6" xfId="30423" xr:uid="{DB14A266-41D7-4111-AB0A-6969CCD727C9}"/>
    <cellStyle name="Normal 2 5 2 2 2 2 4" xfId="30424" xr:uid="{B137ED0E-02F9-4656-859F-C28F7D504D20}"/>
    <cellStyle name="Normal 2 5 2 2 2 2 4 2" xfId="30425" xr:uid="{23E3D6F4-89C5-42A5-8FF7-C847FA3AE633}"/>
    <cellStyle name="Normal 2 5 2 2 2 2 4 2 2" xfId="30426" xr:uid="{1B990F56-89FC-401B-AB19-1F1EC6411D72}"/>
    <cellStyle name="Normal 2 5 2 2 2 2 4 2 3" xfId="30427" xr:uid="{3F493186-A52D-45AE-88ED-63E6F4027888}"/>
    <cellStyle name="Normal 2 5 2 2 2 2 4 2 4" xfId="30428" xr:uid="{C9622828-84F1-43F2-AF55-D849F053C434}"/>
    <cellStyle name="Normal 2 5 2 2 2 2 4 2 5" xfId="30429" xr:uid="{81B3B45F-2C84-4DCE-BE5C-1A169A5B7D40}"/>
    <cellStyle name="Normal 2 5 2 2 2 2 4 3" xfId="30430" xr:uid="{94D3F454-2DD9-447C-A07A-6F423FAEEEE5}"/>
    <cellStyle name="Normal 2 5 2 2 2 2 4 4" xfId="30431" xr:uid="{2E1D261F-77A6-4D0A-AF28-73215DB8B8D3}"/>
    <cellStyle name="Normal 2 5 2 2 2 2 4 5" xfId="30432" xr:uid="{87D6D5FD-2F13-4FE0-892D-7C0435DA0287}"/>
    <cellStyle name="Normal 2 5 2 2 2 2 4 6" xfId="30433" xr:uid="{F231AF9F-93AC-44C6-8A9A-F189C8A73D40}"/>
    <cellStyle name="Normal 2 5 2 2 2 2 5" xfId="30434" xr:uid="{284B884D-693B-4C10-850A-65A251975504}"/>
    <cellStyle name="Normal 2 5 2 2 2 2 5 2" xfId="30435" xr:uid="{173D438C-BCE9-459A-9605-94C0E0934F37}"/>
    <cellStyle name="Normal 2 5 2 2 2 2 5 3" xfId="30436" xr:uid="{AC0F1245-E420-4C13-8471-F202D8225BCB}"/>
    <cellStyle name="Normal 2 5 2 2 2 2 5 4" xfId="30437" xr:uid="{1B6BF942-7C08-4DCB-B9F1-11632E82A90C}"/>
    <cellStyle name="Normal 2 5 2 2 2 2 5 5" xfId="30438" xr:uid="{6C5C4CA3-495C-40ED-9CB7-4A55F1D9789D}"/>
    <cellStyle name="Normal 2 5 2 2 2 2 6" xfId="30439" xr:uid="{153A2EBA-C6D1-46EB-A4DA-01DCC995A5D4}"/>
    <cellStyle name="Normal 2 5 2 2 2 2 6 2" xfId="30440" xr:uid="{FBD791C3-AD19-4A96-8629-2CF39B4A568E}"/>
    <cellStyle name="Normal 2 5 2 2 2 2 6 3" xfId="30441" xr:uid="{AE1E3B10-87C7-4F51-B6FA-DBC1C57F8D45}"/>
    <cellStyle name="Normal 2 5 2 2 2 2 6 4" xfId="30442" xr:uid="{C9F0F4EE-4FE3-4A29-A874-49EE783CCC4F}"/>
    <cellStyle name="Normal 2 5 2 2 2 2 6 5" xfId="30443" xr:uid="{8BAE20DC-A8A0-4470-BDFE-1E6B0FF195E4}"/>
    <cellStyle name="Normal 2 5 2 2 2 2 7" xfId="30444" xr:uid="{9D20D81C-D1B0-4F0B-AD9E-EB21EBD26CFF}"/>
    <cellStyle name="Normal 2 5 2 2 2 2 7 2" xfId="30445" xr:uid="{3648A8A9-4A66-4B8A-B86F-BC8B8C321EC8}"/>
    <cellStyle name="Normal 2 5 2 2 2 2 7 3" xfId="30446" xr:uid="{B33303D0-131F-459E-B9CB-85A5A2AE0514}"/>
    <cellStyle name="Normal 2 5 2 2 2 2 7 4" xfId="30447" xr:uid="{C815E951-2386-4379-A278-347518459BD3}"/>
    <cellStyle name="Normal 2 5 2 2 2 2 7 5" xfId="30448" xr:uid="{E647333E-F852-4A38-9462-D579B38A3DF5}"/>
    <cellStyle name="Normal 2 5 2 2 2 2 8" xfId="30449" xr:uid="{515D9A99-271C-404C-8DAB-3842FFFD26D1}"/>
    <cellStyle name="Normal 2 5 2 2 2 2 8 2" xfId="30450" xr:uid="{48EE7C25-FCFB-453A-84E4-66A9C5DE3546}"/>
    <cellStyle name="Normal 2 5 2 2 2 2 8 3" xfId="30451" xr:uid="{62CA0405-5ECA-42FD-8978-BAC79E2903D2}"/>
    <cellStyle name="Normal 2 5 2 2 2 2 8 4" xfId="30452" xr:uid="{2A2560A6-8934-4477-B230-CEC4AC39E2D7}"/>
    <cellStyle name="Normal 2 5 2 2 2 2 8 5" xfId="30453" xr:uid="{4E1D4886-EF52-4590-841A-AB1CC9EC5EEC}"/>
    <cellStyle name="Normal 2 5 2 2 2 2 9" xfId="30454" xr:uid="{3229A9F5-E1C9-4610-AFDC-62328285FD97}"/>
    <cellStyle name="Normal 2 5 2 2 2 3" xfId="30455" xr:uid="{CAC335A0-F3A7-4349-BDBD-D1F90147A472}"/>
    <cellStyle name="Normal 2 5 2 2 2 3 2" xfId="30456" xr:uid="{CEDA7FE6-24ED-4B0F-8F78-94BFC91AE6B3}"/>
    <cellStyle name="Normal 2 5 2 2 2 3 2 2" xfId="30457" xr:uid="{3F6BBB26-AA86-4A73-A5B7-825A4A502826}"/>
    <cellStyle name="Normal 2 5 2 2 2 3 2 3" xfId="30458" xr:uid="{64F58E15-EEED-4987-970F-1E1ED902D7A4}"/>
    <cellStyle name="Normal 2 5 2 2 2 3 2 4" xfId="30459" xr:uid="{3CFE53B7-BA4D-484C-82D1-1750AE91B1A7}"/>
    <cellStyle name="Normal 2 5 2 2 2 3 2 5" xfId="30460" xr:uid="{F8108090-D81B-4720-AF71-A41AFEAA6E92}"/>
    <cellStyle name="Normal 2 5 2 2 2 3 3" xfId="30461" xr:uid="{1CE1322A-C2D9-4545-B9A9-BBA8A76F25F5}"/>
    <cellStyle name="Normal 2 5 2 2 2 3 4" xfId="30462" xr:uid="{2EE85FC9-73F2-43B6-8ADE-3357FEA26E38}"/>
    <cellStyle name="Normal 2 5 2 2 2 3 5" xfId="30463" xr:uid="{489E4355-5DD9-4694-8E3C-CCFC714F11E3}"/>
    <cellStyle name="Normal 2 5 2 2 2 3 6" xfId="30464" xr:uid="{0B62D5D7-BB3D-46C2-B94F-41DC08E4D3EF}"/>
    <cellStyle name="Normal 2 5 2 2 2 4" xfId="30465" xr:uid="{7F299886-0222-4D97-9655-BF06F221A3C7}"/>
    <cellStyle name="Normal 2 5 2 2 2 4 2" xfId="30466" xr:uid="{FB698BB6-8800-41A1-837D-074D3F122975}"/>
    <cellStyle name="Normal 2 5 2 2 2 4 2 2" xfId="30467" xr:uid="{310C7B65-AC65-4590-92ED-7B510D1471E6}"/>
    <cellStyle name="Normal 2 5 2 2 2 4 2 3" xfId="30468" xr:uid="{1A2A21DD-346D-4A8A-8052-5AA731332E61}"/>
    <cellStyle name="Normal 2 5 2 2 2 4 2 4" xfId="30469" xr:uid="{66E303FB-A6B1-4247-AF36-3F757D1DE5D0}"/>
    <cellStyle name="Normal 2 5 2 2 2 4 2 5" xfId="30470" xr:uid="{A25A13A1-7CD6-4906-BBC4-FEA340E6BC45}"/>
    <cellStyle name="Normal 2 5 2 2 2 4 3" xfId="30471" xr:uid="{0A97D08D-4FC0-4A52-BFCA-B46BB34E20CE}"/>
    <cellStyle name="Normal 2 5 2 2 2 4 4" xfId="30472" xr:uid="{72D47B04-4A6A-45F4-B4AD-8EE9719C3D60}"/>
    <cellStyle name="Normal 2 5 2 2 2 4 5" xfId="30473" xr:uid="{D379892D-DB84-449F-9927-55442E20C33F}"/>
    <cellStyle name="Normal 2 5 2 2 2 4 6" xfId="30474" xr:uid="{5146EEDC-4707-4FD4-99BA-DCDCC01ACF74}"/>
    <cellStyle name="Normal 2 5 2 2 2 5" xfId="30475" xr:uid="{5634770F-4AEF-4D7D-A65C-4107DD32D122}"/>
    <cellStyle name="Normal 2 5 2 2 2 5 2" xfId="30476" xr:uid="{009C46A9-917E-4051-A259-408FD1403839}"/>
    <cellStyle name="Normal 2 5 2 2 2 5 2 2" xfId="30477" xr:uid="{163FBA24-FAD9-48A3-99E7-A5A99D771C69}"/>
    <cellStyle name="Normal 2 5 2 2 2 5 2 3" xfId="30478" xr:uid="{B2C055CF-F6E1-4F6D-8A58-919185BAD855}"/>
    <cellStyle name="Normal 2 5 2 2 2 5 2 4" xfId="30479" xr:uid="{0F77F2FB-AC8A-4651-9BE7-D0A1B98DEF3C}"/>
    <cellStyle name="Normal 2 5 2 2 2 5 2 5" xfId="30480" xr:uid="{AB8B2FDE-8000-432C-9575-D37D8E1DB28A}"/>
    <cellStyle name="Normal 2 5 2 2 2 5 3" xfId="30481" xr:uid="{AD2385D3-4D58-451B-A870-53F9BF56D4ED}"/>
    <cellStyle name="Normal 2 5 2 2 2 5 4" xfId="30482" xr:uid="{768F7A86-FEB5-42AE-8DC5-FDC57551C87D}"/>
    <cellStyle name="Normal 2 5 2 2 2 5 5" xfId="30483" xr:uid="{D7D17E14-FB0B-4F5E-A163-EA4D0134EA87}"/>
    <cellStyle name="Normal 2 5 2 2 2 5 6" xfId="30484" xr:uid="{09028F36-4995-414C-B302-39CEE2D4D97B}"/>
    <cellStyle name="Normal 2 5 2 2 2 6" xfId="30485" xr:uid="{712E74E8-57A5-4B88-B24A-986D254305AE}"/>
    <cellStyle name="Normal 2 5 2 2 2 6 2" xfId="30486" xr:uid="{6CE5A233-D470-452E-A0FE-5556F6E582FC}"/>
    <cellStyle name="Normal 2 5 2 2 2 6 3" xfId="30487" xr:uid="{7BBFA9B2-3486-4371-99BF-B07011B3E66C}"/>
    <cellStyle name="Normal 2 5 2 2 2 6 4" xfId="30488" xr:uid="{A861B755-7192-44B7-8337-829114EBE513}"/>
    <cellStyle name="Normal 2 5 2 2 2 6 5" xfId="30489" xr:uid="{9AA532D6-ECFC-40B7-9830-F4CA26D3D40F}"/>
    <cellStyle name="Normal 2 5 2 2 2 7" xfId="30490" xr:uid="{6EA6F0FC-FD24-40A5-8BD6-9B2FB08702C9}"/>
    <cellStyle name="Normal 2 5 2 2 2 7 2" xfId="30491" xr:uid="{466272F1-AAEF-474D-A9FF-8DC85DFC668C}"/>
    <cellStyle name="Normal 2 5 2 2 2 7 3" xfId="30492" xr:uid="{35B85605-1B93-4F8C-AB0C-759069A354E7}"/>
    <cellStyle name="Normal 2 5 2 2 2 7 4" xfId="30493" xr:uid="{0010EB58-F994-41A0-9312-52229C94AED8}"/>
    <cellStyle name="Normal 2 5 2 2 2 7 5" xfId="30494" xr:uid="{18DAF32C-790F-4B54-A285-DD51E7E4488B}"/>
    <cellStyle name="Normal 2 5 2 2 2 8" xfId="30495" xr:uid="{52824AD7-55CD-4638-93E1-E0C34BA386D3}"/>
    <cellStyle name="Normal 2 5 2 2 2 8 2" xfId="30496" xr:uid="{4A09E3CB-80CB-4B13-92EE-E5190210711F}"/>
    <cellStyle name="Normal 2 5 2 2 2 8 3" xfId="30497" xr:uid="{B8C9BD9D-3DFC-4E93-90EF-428C537C1C46}"/>
    <cellStyle name="Normal 2 5 2 2 2 8 4" xfId="30498" xr:uid="{4DB516BE-8707-4022-A164-C276F0BE7519}"/>
    <cellStyle name="Normal 2 5 2 2 2 8 5" xfId="30499" xr:uid="{7FDBB41A-9B1A-4AD3-897C-2C6E0EF822FC}"/>
    <cellStyle name="Normal 2 5 2 2 2 9" xfId="30500" xr:uid="{3154F745-35B4-45C5-A1B7-3216EE957347}"/>
    <cellStyle name="Normal 2 5 2 2 2 9 2" xfId="30501" xr:uid="{8D088908-68F1-4188-B917-1F109B067A51}"/>
    <cellStyle name="Normal 2 5 2 2 2 9 3" xfId="30502" xr:uid="{6C99C3D2-FCBB-45B5-8806-5DFF8140144D}"/>
    <cellStyle name="Normal 2 5 2 2 2 9 4" xfId="30503" xr:uid="{46B85047-7202-476C-9FCB-1EA8E73837AD}"/>
    <cellStyle name="Normal 2 5 2 2 2 9 5" xfId="30504" xr:uid="{3232F666-681C-44C1-BB5E-FCEE0FD94BF0}"/>
    <cellStyle name="Normal 2 5 2 2 3" xfId="30505" xr:uid="{8FAFBE32-4D55-4F73-A993-8848F8209428}"/>
    <cellStyle name="Normal 2 5 2 2 3 10" xfId="30506" xr:uid="{546ECFFB-1555-484D-BD22-885C7D407F48}"/>
    <cellStyle name="Normal 2 5 2 2 3 11" xfId="30507" xr:uid="{79AA8C10-80E4-408D-988E-A9A612ABDC33}"/>
    <cellStyle name="Normal 2 5 2 2 3 12" xfId="30508" xr:uid="{6CDFACE8-72CB-4F69-9D3F-FF3B65934A4D}"/>
    <cellStyle name="Normal 2 5 2 2 3 2" xfId="30509" xr:uid="{5F132AF9-086E-46E0-A057-8802C2D6B9CB}"/>
    <cellStyle name="Normal 2 5 2 2 3 2 2" xfId="30510" xr:uid="{DE75E595-0FBC-4ABD-A2D8-EFE71F6F25C7}"/>
    <cellStyle name="Normal 2 5 2 2 3 2 2 2" xfId="30511" xr:uid="{6F47F97F-1DA6-4CDE-B5A3-31AAA1D7E031}"/>
    <cellStyle name="Normal 2 5 2 2 3 2 2 3" xfId="30512" xr:uid="{91A51683-B29F-4090-BBDD-57510A8F9F4F}"/>
    <cellStyle name="Normal 2 5 2 2 3 2 2 4" xfId="30513" xr:uid="{67688706-BDE0-40B3-8824-754C332DA60F}"/>
    <cellStyle name="Normal 2 5 2 2 3 2 2 5" xfId="30514" xr:uid="{AE0EE8F4-2988-4622-9CFF-42F40C03A3E9}"/>
    <cellStyle name="Normal 2 5 2 2 3 2 3" xfId="30515" xr:uid="{8695E39A-568E-4291-86CB-859BB77B1AF5}"/>
    <cellStyle name="Normal 2 5 2 2 3 2 4" xfId="30516" xr:uid="{0D1B2421-3100-428C-B371-A9C6EF0D7773}"/>
    <cellStyle name="Normal 2 5 2 2 3 2 5" xfId="30517" xr:uid="{F264BCE2-EE90-4967-BFA0-DAF0CFB73865}"/>
    <cellStyle name="Normal 2 5 2 2 3 2 6" xfId="30518" xr:uid="{CEF52265-8060-4233-9854-4003580F9DAF}"/>
    <cellStyle name="Normal 2 5 2 2 3 3" xfId="30519" xr:uid="{CEC1E9BD-0A5E-4100-B46E-69CDCA24D640}"/>
    <cellStyle name="Normal 2 5 2 2 3 3 2" xfId="30520" xr:uid="{600C33E3-C7FD-4E7E-B6D4-8E09623FB1DB}"/>
    <cellStyle name="Normal 2 5 2 2 3 3 2 2" xfId="30521" xr:uid="{B052A738-AFF6-435B-B9FD-C9183F992B98}"/>
    <cellStyle name="Normal 2 5 2 2 3 3 2 3" xfId="30522" xr:uid="{4324BF1E-B78B-4D3F-9739-6282377B192C}"/>
    <cellStyle name="Normal 2 5 2 2 3 3 2 4" xfId="30523" xr:uid="{0D03EFBA-D32F-4B6C-BD7F-4D6308E675CD}"/>
    <cellStyle name="Normal 2 5 2 2 3 3 2 5" xfId="30524" xr:uid="{13B1E1AD-960C-46E6-AA9B-8CD255488BBF}"/>
    <cellStyle name="Normal 2 5 2 2 3 3 3" xfId="30525" xr:uid="{C717F581-9058-45D3-B0A3-4F51E5765B47}"/>
    <cellStyle name="Normal 2 5 2 2 3 3 4" xfId="30526" xr:uid="{1FE51AF7-A2F3-4D12-B031-7633C9FF441B}"/>
    <cellStyle name="Normal 2 5 2 2 3 3 5" xfId="30527" xr:uid="{9CEB3076-23DE-47F5-94AD-1E6450126ECC}"/>
    <cellStyle name="Normal 2 5 2 2 3 3 6" xfId="30528" xr:uid="{A179ED0F-AD98-487E-BCC8-5D5166506694}"/>
    <cellStyle name="Normal 2 5 2 2 3 4" xfId="30529" xr:uid="{CBCE0FF0-45C1-438B-A973-C6A2E5906CB3}"/>
    <cellStyle name="Normal 2 5 2 2 3 4 2" xfId="30530" xr:uid="{520BC6FA-4DC8-4EB9-A4F2-75BC5B29D489}"/>
    <cellStyle name="Normal 2 5 2 2 3 4 2 2" xfId="30531" xr:uid="{7E3388A6-F48C-4FF8-976C-B30CAD9762AA}"/>
    <cellStyle name="Normal 2 5 2 2 3 4 2 3" xfId="30532" xr:uid="{8B723511-01F9-4207-9A7E-EACB06497E5B}"/>
    <cellStyle name="Normal 2 5 2 2 3 4 2 4" xfId="30533" xr:uid="{6A2FC413-9889-49AF-B0ED-CBF1399823FE}"/>
    <cellStyle name="Normal 2 5 2 2 3 4 2 5" xfId="30534" xr:uid="{ECDD9532-3503-4C8A-9F62-1A599BB4AB09}"/>
    <cellStyle name="Normal 2 5 2 2 3 4 3" xfId="30535" xr:uid="{317021D0-B256-40E2-BB7B-9833C253C301}"/>
    <cellStyle name="Normal 2 5 2 2 3 4 4" xfId="30536" xr:uid="{70F76050-6AD8-4B6B-80C6-2D9162605873}"/>
    <cellStyle name="Normal 2 5 2 2 3 4 5" xfId="30537" xr:uid="{0A72E126-40BD-4446-AFD9-95707EA5E74C}"/>
    <cellStyle name="Normal 2 5 2 2 3 4 6" xfId="30538" xr:uid="{F50068AD-EEFB-4F06-B145-41810C49FCD9}"/>
    <cellStyle name="Normal 2 5 2 2 3 5" xfId="30539" xr:uid="{4DE9CD58-8254-41F4-82E6-35BFBEFFBD75}"/>
    <cellStyle name="Normal 2 5 2 2 3 5 2" xfId="30540" xr:uid="{81DA9B10-546C-4FD8-B5E7-E92C8626A9DF}"/>
    <cellStyle name="Normal 2 5 2 2 3 5 3" xfId="30541" xr:uid="{26BFF8FF-D159-421A-9C22-A5AE9F1E1C75}"/>
    <cellStyle name="Normal 2 5 2 2 3 5 4" xfId="30542" xr:uid="{FDF2C7E5-AF62-42E8-8777-13F2944D0DC0}"/>
    <cellStyle name="Normal 2 5 2 2 3 5 5" xfId="30543" xr:uid="{0F0A89EA-164D-434F-80CD-22405CC0D610}"/>
    <cellStyle name="Normal 2 5 2 2 3 6" xfId="30544" xr:uid="{7B6BA05D-A194-44A9-981C-A1FA1FC72A03}"/>
    <cellStyle name="Normal 2 5 2 2 3 6 2" xfId="30545" xr:uid="{317516F2-B27C-4F4B-BCE1-6D3D3C5BAA56}"/>
    <cellStyle name="Normal 2 5 2 2 3 6 3" xfId="30546" xr:uid="{8B5F4EC1-A4EB-425B-B1ED-3A7B4CAC20CF}"/>
    <cellStyle name="Normal 2 5 2 2 3 6 4" xfId="30547" xr:uid="{70A99FD1-7DF0-4280-B5E6-072D682A9EB2}"/>
    <cellStyle name="Normal 2 5 2 2 3 6 5" xfId="30548" xr:uid="{45F309D1-CAA6-441C-8D7D-6ACF5A24BA26}"/>
    <cellStyle name="Normal 2 5 2 2 3 7" xfId="30549" xr:uid="{82DB8B60-864A-4825-B1F7-0F5D24BCE759}"/>
    <cellStyle name="Normal 2 5 2 2 3 7 2" xfId="30550" xr:uid="{EB6DBE3B-94DF-4428-A9AD-19ECF4C7EFA7}"/>
    <cellStyle name="Normal 2 5 2 2 3 7 3" xfId="30551" xr:uid="{DA9AE719-9A7B-4529-AD06-58490D9F2F70}"/>
    <cellStyle name="Normal 2 5 2 2 3 7 4" xfId="30552" xr:uid="{FE931AB1-7C1F-4C78-A7D5-04FC588298BC}"/>
    <cellStyle name="Normal 2 5 2 2 3 7 5" xfId="30553" xr:uid="{CE1875CE-EA79-4272-BB46-466799F189C5}"/>
    <cellStyle name="Normal 2 5 2 2 3 8" xfId="30554" xr:uid="{3F32923D-069E-42D5-8E80-EFEE4A1C24C8}"/>
    <cellStyle name="Normal 2 5 2 2 3 8 2" xfId="30555" xr:uid="{02D14F0D-13EC-4BDF-9237-45D9EB64DE7B}"/>
    <cellStyle name="Normal 2 5 2 2 3 8 3" xfId="30556" xr:uid="{5AF10D2A-ABCA-4949-8DA7-9C72236E4F83}"/>
    <cellStyle name="Normal 2 5 2 2 3 8 4" xfId="30557" xr:uid="{D5868703-1EFF-4990-B1F4-52615FD27B93}"/>
    <cellStyle name="Normal 2 5 2 2 3 8 5" xfId="30558" xr:uid="{AE7E155E-F482-46B2-AAC9-E4A69F8CDF0D}"/>
    <cellStyle name="Normal 2 5 2 2 3 9" xfId="30559" xr:uid="{0690E415-C490-424B-A053-3D8B4AE76102}"/>
    <cellStyle name="Normal 2 5 2 2 4" xfId="30560" xr:uid="{C3B49C31-11C1-4176-AF0E-B1777B28B0F8}"/>
    <cellStyle name="Normal 2 5 2 2 4 2" xfId="30561" xr:uid="{B4A41CC5-0621-4EAD-9CC8-7D6AA0AE209F}"/>
    <cellStyle name="Normal 2 5 2 2 4 2 2" xfId="30562" xr:uid="{19A7C843-F799-421A-8C73-FFB804E9198E}"/>
    <cellStyle name="Normal 2 5 2 2 4 2 3" xfId="30563" xr:uid="{DA8F1971-6E4D-47C3-9393-0235EA354985}"/>
    <cellStyle name="Normal 2 5 2 2 4 2 4" xfId="30564" xr:uid="{2CC832CA-9AE3-4F6F-BBF5-DDD2A239E472}"/>
    <cellStyle name="Normal 2 5 2 2 4 2 5" xfId="30565" xr:uid="{F292B77B-0A74-4478-B3FF-6ED32388290E}"/>
    <cellStyle name="Normal 2 5 2 2 4 3" xfId="30566" xr:uid="{8D5B1D7C-BA10-4985-93E7-054B250D4EA7}"/>
    <cellStyle name="Normal 2 5 2 2 4 4" xfId="30567" xr:uid="{AB247EA5-EF49-4AF1-BEE2-979D3253DF5B}"/>
    <cellStyle name="Normal 2 5 2 2 4 5" xfId="30568" xr:uid="{ECD69307-DBF6-4F5E-AB50-0BB53F4ABFD1}"/>
    <cellStyle name="Normal 2 5 2 2 4 6" xfId="30569" xr:uid="{865B9BDD-10C0-44E0-AD37-E877B5DCB1B9}"/>
    <cellStyle name="Normal 2 5 2 2 5" xfId="30570" xr:uid="{08D58FE8-D22A-4987-9A72-F5CDA82631F8}"/>
    <cellStyle name="Normal 2 5 2 2 5 2" xfId="30571" xr:uid="{E2267812-629F-43BB-8499-77B015150A74}"/>
    <cellStyle name="Normal 2 5 2 2 5 2 2" xfId="30572" xr:uid="{5AC35A86-D204-4A60-835D-5BBB1A23DDEB}"/>
    <cellStyle name="Normal 2 5 2 2 5 2 3" xfId="30573" xr:uid="{D2071FDD-182F-4E0A-8273-C7BF0E9AED23}"/>
    <cellStyle name="Normal 2 5 2 2 5 2 4" xfId="30574" xr:uid="{994D886E-C184-469E-8436-C6AF5BF51364}"/>
    <cellStyle name="Normal 2 5 2 2 5 2 5" xfId="30575" xr:uid="{17E66C2D-F514-4FE6-A814-798AB4300C1A}"/>
    <cellStyle name="Normal 2 5 2 2 5 3" xfId="30576" xr:uid="{66AD673B-1377-4113-8E1C-A88362573C06}"/>
    <cellStyle name="Normal 2 5 2 2 5 4" xfId="30577" xr:uid="{A1053456-F4F4-4693-92B0-27A55B8B17CA}"/>
    <cellStyle name="Normal 2 5 2 2 5 5" xfId="30578" xr:uid="{E1739A4F-2FE9-46A6-9A77-2BCE8E83800F}"/>
    <cellStyle name="Normal 2 5 2 2 5 6" xfId="30579" xr:uid="{F3783F9A-FFED-4766-B41C-70D8694666DD}"/>
    <cellStyle name="Normal 2 5 2 2 6" xfId="30580" xr:uid="{3CD7A438-928C-49A1-818F-B3A537AAEE46}"/>
    <cellStyle name="Normal 2 5 2 2 6 2" xfId="30581" xr:uid="{5FC681DF-BAA4-4772-90EA-3B377E1D3AE1}"/>
    <cellStyle name="Normal 2 5 2 2 6 2 2" xfId="30582" xr:uid="{232D23C9-3794-4FA9-A3F8-F4F94C217DDA}"/>
    <cellStyle name="Normal 2 5 2 2 6 2 3" xfId="30583" xr:uid="{66C6BDFE-7BCF-475A-8304-60C77F771CCB}"/>
    <cellStyle name="Normal 2 5 2 2 6 2 4" xfId="30584" xr:uid="{8582199F-29AA-42E4-9E8A-34E968DF92E4}"/>
    <cellStyle name="Normal 2 5 2 2 6 2 5" xfId="30585" xr:uid="{39A45035-E4D6-493B-9170-04DCBD0791BA}"/>
    <cellStyle name="Normal 2 5 2 2 6 3" xfId="30586" xr:uid="{14CA89A2-745B-456F-9154-DD2BFCF2458C}"/>
    <cellStyle name="Normal 2 5 2 2 6 4" xfId="30587" xr:uid="{3A30C9C3-B223-49D0-ACAE-9E35606D7F6E}"/>
    <cellStyle name="Normal 2 5 2 2 6 5" xfId="30588" xr:uid="{05C37386-B58E-4BEF-BB5A-889BB2EEBCFA}"/>
    <cellStyle name="Normal 2 5 2 2 6 6" xfId="30589" xr:uid="{14582264-4CC7-48A6-B1F1-3B24F5E57E85}"/>
    <cellStyle name="Normal 2 5 2 2 7" xfId="30590" xr:uid="{D286BF2A-30BE-48B8-8E44-D40C39C27B99}"/>
    <cellStyle name="Normal 2 5 2 2 7 2" xfId="30591" xr:uid="{4B5C6768-732D-4735-B692-4A7520872A99}"/>
    <cellStyle name="Normal 2 5 2 2 7 3" xfId="30592" xr:uid="{3F22CBD2-10A1-4E9A-A135-FE259DC4A341}"/>
    <cellStyle name="Normal 2 5 2 2 7 4" xfId="30593" xr:uid="{0E262B80-09AD-4CEA-8AF3-54BDFC51E16C}"/>
    <cellStyle name="Normal 2 5 2 2 7 5" xfId="30594" xr:uid="{754B66E4-3B8E-4E9A-A24E-B26F3AF16740}"/>
    <cellStyle name="Normal 2 5 2 2 8" xfId="30595" xr:uid="{7C13EB81-F4C7-47AF-867A-8810DC754F53}"/>
    <cellStyle name="Normal 2 5 2 2 8 2" xfId="30596" xr:uid="{03DBB1CB-0222-4709-B37A-CDBFAF94AAE1}"/>
    <cellStyle name="Normal 2 5 2 2 8 3" xfId="30597" xr:uid="{532331AC-F05A-4936-8ED3-E47504A19F62}"/>
    <cellStyle name="Normal 2 5 2 2 8 4" xfId="30598" xr:uid="{01AB2EE6-E78C-4E44-B881-B1DDB34C4EE2}"/>
    <cellStyle name="Normal 2 5 2 2 8 5" xfId="30599" xr:uid="{6795F11A-6ACF-4A9D-A977-EB548D6921FB}"/>
    <cellStyle name="Normal 2 5 2 2 9" xfId="30600" xr:uid="{C935EFBB-C953-4CCF-BD42-4DB871CCCE4C}"/>
    <cellStyle name="Normal 2 5 2 2 9 2" xfId="30601" xr:uid="{E7690A52-A094-46CE-9A14-0D036A75DC68}"/>
    <cellStyle name="Normal 2 5 2 2 9 3" xfId="30602" xr:uid="{AC6B5CEF-3D99-4231-ADE6-74448404E8C4}"/>
    <cellStyle name="Normal 2 5 2 2 9 4" xfId="30603" xr:uid="{358EE8EA-555C-466B-9C66-CB5B28AC2113}"/>
    <cellStyle name="Normal 2 5 2 2 9 5" xfId="30604" xr:uid="{22B5E968-F99A-4FBE-8D05-E4314B67C837}"/>
    <cellStyle name="Normal 2 5 2 3" xfId="30605" xr:uid="{C51D9D3D-16E1-488B-B0AE-A7A2E41720E5}"/>
    <cellStyle name="Normal 2 5 2 3 10" xfId="30606" xr:uid="{6A9E2C37-09A7-4FB9-8F1D-885333AE2DFC}"/>
    <cellStyle name="Normal 2 5 2 3 11" xfId="30607" xr:uid="{AFF47A9A-585D-45F9-9216-A7342338348A}"/>
    <cellStyle name="Normal 2 5 2 3 12" xfId="30608" xr:uid="{D50A2F39-8350-4296-9EEC-6D5CF95A21D6}"/>
    <cellStyle name="Normal 2 5 2 3 13" xfId="30609" xr:uid="{94184554-D58F-4A79-9B1F-77A524F2BFDB}"/>
    <cellStyle name="Normal 2 5 2 3 2" xfId="30610" xr:uid="{87796C01-18C3-4DA5-839D-D315FB43B464}"/>
    <cellStyle name="Normal 2 5 2 3 2 10" xfId="30611" xr:uid="{41477D32-E76F-4D77-8B52-786EB6C6BA05}"/>
    <cellStyle name="Normal 2 5 2 3 2 11" xfId="30612" xr:uid="{83C9924E-024D-46E7-8BC2-049CF366EB15}"/>
    <cellStyle name="Normal 2 5 2 3 2 12" xfId="30613" xr:uid="{8B0403C3-12EB-4998-B5E9-2F7CA335542C}"/>
    <cellStyle name="Normal 2 5 2 3 2 2" xfId="30614" xr:uid="{0049BF8A-429A-40B3-94D2-F13F9ED9A24D}"/>
    <cellStyle name="Normal 2 5 2 3 2 2 2" xfId="30615" xr:uid="{9485E178-9E9A-48C4-A736-E7F50F10058E}"/>
    <cellStyle name="Normal 2 5 2 3 2 2 2 2" xfId="30616" xr:uid="{0ABBE5B2-40AF-4814-B28F-CD049671EE37}"/>
    <cellStyle name="Normal 2 5 2 3 2 2 2 3" xfId="30617" xr:uid="{4EB6F8C7-EA0E-4DD7-A304-79FDDE331AD3}"/>
    <cellStyle name="Normal 2 5 2 3 2 2 2 4" xfId="30618" xr:uid="{A332743C-D1FC-4FF1-8A6F-35BEFDCF69E5}"/>
    <cellStyle name="Normal 2 5 2 3 2 2 2 5" xfId="30619" xr:uid="{DEB18ED7-1D33-43AC-8B1A-469DD3A5B4E5}"/>
    <cellStyle name="Normal 2 5 2 3 2 2 3" xfId="30620" xr:uid="{B59CA48C-C3DB-4DBB-8E82-7470921595EB}"/>
    <cellStyle name="Normal 2 5 2 3 2 2 4" xfId="30621" xr:uid="{C2A56C07-DD78-4C98-949F-AD2AE67CC216}"/>
    <cellStyle name="Normal 2 5 2 3 2 2 5" xfId="30622" xr:uid="{E4592210-9C2C-4611-84A1-CACFA5E4F220}"/>
    <cellStyle name="Normal 2 5 2 3 2 2 6" xfId="30623" xr:uid="{EABC81E6-74AF-4FC9-A06B-F64A4B37AE41}"/>
    <cellStyle name="Normal 2 5 2 3 2 3" xfId="30624" xr:uid="{CC7AA99E-69FC-4963-BC12-CB95DBAA161A}"/>
    <cellStyle name="Normal 2 5 2 3 2 3 2" xfId="30625" xr:uid="{2D58ADA3-DF88-4811-8B47-F408036DECB3}"/>
    <cellStyle name="Normal 2 5 2 3 2 3 2 2" xfId="30626" xr:uid="{75D20157-62A2-45AB-8CBA-68D13D0CEB51}"/>
    <cellStyle name="Normal 2 5 2 3 2 3 2 3" xfId="30627" xr:uid="{ECA97869-57AE-48A6-8384-F7658B0D253E}"/>
    <cellStyle name="Normal 2 5 2 3 2 3 2 4" xfId="30628" xr:uid="{4908C5D0-9C05-43EB-9521-7E001B0C0C95}"/>
    <cellStyle name="Normal 2 5 2 3 2 3 2 5" xfId="30629" xr:uid="{3B885835-E325-4FED-884F-63DED272C555}"/>
    <cellStyle name="Normal 2 5 2 3 2 3 3" xfId="30630" xr:uid="{1B97BAA8-47C4-4CE1-B6FB-6F0E5F25CADB}"/>
    <cellStyle name="Normal 2 5 2 3 2 3 4" xfId="30631" xr:uid="{3EC59CE5-29C8-424A-AC0D-11A53E6FB014}"/>
    <cellStyle name="Normal 2 5 2 3 2 3 5" xfId="30632" xr:uid="{EF5BBD6D-01D6-49A4-91A8-267E0B9A0D7A}"/>
    <cellStyle name="Normal 2 5 2 3 2 3 6" xfId="30633" xr:uid="{EA6D49FD-4C7D-4B39-B6C2-137623F137FB}"/>
    <cellStyle name="Normal 2 5 2 3 2 4" xfId="30634" xr:uid="{6126CFB2-9AB7-421C-BD03-01DF80E47B21}"/>
    <cellStyle name="Normal 2 5 2 3 2 4 2" xfId="30635" xr:uid="{74723C37-C2BF-423E-BB75-A7D4C25A8EB5}"/>
    <cellStyle name="Normal 2 5 2 3 2 4 2 2" xfId="30636" xr:uid="{F58B55A3-886D-4181-884B-8892D5E4102A}"/>
    <cellStyle name="Normal 2 5 2 3 2 4 2 3" xfId="30637" xr:uid="{AA80A582-6950-40EE-876F-0C90EA92A5D8}"/>
    <cellStyle name="Normal 2 5 2 3 2 4 2 4" xfId="30638" xr:uid="{BFA7DEED-52DF-4896-8491-D639A6152E83}"/>
    <cellStyle name="Normal 2 5 2 3 2 4 2 5" xfId="30639" xr:uid="{46FD1D14-7FC3-46B2-B7CB-3F4CFA74D335}"/>
    <cellStyle name="Normal 2 5 2 3 2 4 3" xfId="30640" xr:uid="{FC974A50-8317-4282-8350-A051B646F9B3}"/>
    <cellStyle name="Normal 2 5 2 3 2 4 4" xfId="30641" xr:uid="{9B745247-272C-4909-9075-6AE987677DC2}"/>
    <cellStyle name="Normal 2 5 2 3 2 4 5" xfId="30642" xr:uid="{EB0AA86B-61F1-4800-9F41-E38D74609C74}"/>
    <cellStyle name="Normal 2 5 2 3 2 4 6" xfId="30643" xr:uid="{457F24EB-1BA6-436E-96C5-DC4947AB84FB}"/>
    <cellStyle name="Normal 2 5 2 3 2 5" xfId="30644" xr:uid="{A672AF5B-D048-4381-A616-022A6807D722}"/>
    <cellStyle name="Normal 2 5 2 3 2 5 2" xfId="30645" xr:uid="{4EDE90EE-8E5E-4F0D-BA3D-F5680F583D1A}"/>
    <cellStyle name="Normal 2 5 2 3 2 5 3" xfId="30646" xr:uid="{590CFAFB-4931-40F9-AAB6-025900D44525}"/>
    <cellStyle name="Normal 2 5 2 3 2 5 4" xfId="30647" xr:uid="{B4D4DA84-1973-495C-8EC7-45A8E644AF0B}"/>
    <cellStyle name="Normal 2 5 2 3 2 5 5" xfId="30648" xr:uid="{0A893E90-8B14-45FB-87D0-3648EF19289F}"/>
    <cellStyle name="Normal 2 5 2 3 2 6" xfId="30649" xr:uid="{4E2A6192-9977-4415-8FB1-4DB08E9BA86C}"/>
    <cellStyle name="Normal 2 5 2 3 2 6 2" xfId="30650" xr:uid="{F1A05BF1-27F5-431A-8DAC-4C5204EE23CC}"/>
    <cellStyle name="Normal 2 5 2 3 2 6 3" xfId="30651" xr:uid="{2D2DB4FA-BBEB-42B2-B4DE-84297C3221A2}"/>
    <cellStyle name="Normal 2 5 2 3 2 6 4" xfId="30652" xr:uid="{A558290F-1193-4473-BBE1-F49269A9A09D}"/>
    <cellStyle name="Normal 2 5 2 3 2 6 5" xfId="30653" xr:uid="{80C24273-4B0B-430E-9796-57112E8606D5}"/>
    <cellStyle name="Normal 2 5 2 3 2 7" xfId="30654" xr:uid="{DDC4F284-9A14-45DF-9F47-578F063892EA}"/>
    <cellStyle name="Normal 2 5 2 3 2 7 2" xfId="30655" xr:uid="{C6F163CD-4DE1-4764-B793-57CFFA8C2238}"/>
    <cellStyle name="Normal 2 5 2 3 2 7 3" xfId="30656" xr:uid="{B302F36D-F9EF-4428-A7ED-65A3AB0515A3}"/>
    <cellStyle name="Normal 2 5 2 3 2 7 4" xfId="30657" xr:uid="{2FE48340-75D4-47CF-881F-C9EFBDDF1363}"/>
    <cellStyle name="Normal 2 5 2 3 2 7 5" xfId="30658" xr:uid="{BB1F2AB6-693A-49D7-98D5-1C48743254A6}"/>
    <cellStyle name="Normal 2 5 2 3 2 8" xfId="30659" xr:uid="{26ED6071-482C-4AB8-A653-980DA82DF2DE}"/>
    <cellStyle name="Normal 2 5 2 3 2 8 2" xfId="30660" xr:uid="{4CEE0DA3-FAA2-49BD-B0A9-E052FFFD4B65}"/>
    <cellStyle name="Normal 2 5 2 3 2 8 3" xfId="30661" xr:uid="{E0D53E1F-AD81-47C6-B912-AC609267C48F}"/>
    <cellStyle name="Normal 2 5 2 3 2 8 4" xfId="30662" xr:uid="{69BFAD51-7240-41E3-BCF3-BCC97BDE570F}"/>
    <cellStyle name="Normal 2 5 2 3 2 8 5" xfId="30663" xr:uid="{38FDACC6-BF98-4C95-B4C3-A7378F818ADB}"/>
    <cellStyle name="Normal 2 5 2 3 2 9" xfId="30664" xr:uid="{38F2A25D-6279-4367-9BBE-7350DFCBA415}"/>
    <cellStyle name="Normal 2 5 2 3 3" xfId="30665" xr:uid="{93176A8B-8708-4F18-A8F7-913C969B3A88}"/>
    <cellStyle name="Normal 2 5 2 3 3 2" xfId="30666" xr:uid="{BCCB487D-6A11-41E1-85CE-08B636FCE9FF}"/>
    <cellStyle name="Normal 2 5 2 3 3 2 2" xfId="30667" xr:uid="{D89ABBA4-3119-4293-9641-600FF14CA637}"/>
    <cellStyle name="Normal 2 5 2 3 3 2 3" xfId="30668" xr:uid="{DBC95E09-99D6-4C00-9F44-73F547591EB7}"/>
    <cellStyle name="Normal 2 5 2 3 3 2 4" xfId="30669" xr:uid="{D5D82FF4-7C92-44BB-BFBC-CDB9CC98CE71}"/>
    <cellStyle name="Normal 2 5 2 3 3 2 5" xfId="30670" xr:uid="{CBE44792-8804-40E4-A518-3211EA86E46A}"/>
    <cellStyle name="Normal 2 5 2 3 3 3" xfId="30671" xr:uid="{7D460EED-485F-4EC7-931A-A5DBFB369232}"/>
    <cellStyle name="Normal 2 5 2 3 3 4" xfId="30672" xr:uid="{2E3FFA55-A4A7-4920-8FED-A44218B39257}"/>
    <cellStyle name="Normal 2 5 2 3 3 5" xfId="30673" xr:uid="{118E305C-2193-4851-A990-9CDA15AC3685}"/>
    <cellStyle name="Normal 2 5 2 3 3 6" xfId="30674" xr:uid="{FFCEDEEE-09E6-4337-9861-C2BD5806A9D7}"/>
    <cellStyle name="Normal 2 5 2 3 4" xfId="30675" xr:uid="{FBF936D2-07CC-400B-AAA3-6F803C433611}"/>
    <cellStyle name="Normal 2 5 2 3 4 2" xfId="30676" xr:uid="{463E506D-523C-49B9-A1C1-83F88F4913AC}"/>
    <cellStyle name="Normal 2 5 2 3 4 2 2" xfId="30677" xr:uid="{7F7D943D-A486-41C1-B7A8-66B45BA0A228}"/>
    <cellStyle name="Normal 2 5 2 3 4 2 3" xfId="30678" xr:uid="{F7FD0D49-C51E-4E18-962A-71EF257309F6}"/>
    <cellStyle name="Normal 2 5 2 3 4 2 4" xfId="30679" xr:uid="{322DCBDC-E9FD-41DC-A3C7-36171D4E80EB}"/>
    <cellStyle name="Normal 2 5 2 3 4 2 5" xfId="30680" xr:uid="{718256CD-5072-4A21-8085-3387CF70B7D2}"/>
    <cellStyle name="Normal 2 5 2 3 4 3" xfId="30681" xr:uid="{AE76ED4D-986A-45E4-9CED-0DBD2D1046B8}"/>
    <cellStyle name="Normal 2 5 2 3 4 4" xfId="30682" xr:uid="{FB1C044E-9701-4C3B-BAA5-621C5600363B}"/>
    <cellStyle name="Normal 2 5 2 3 4 5" xfId="30683" xr:uid="{5B50ACA2-728B-48B7-951F-E0085E07C547}"/>
    <cellStyle name="Normal 2 5 2 3 4 6" xfId="30684" xr:uid="{F1A34E01-3874-4AC5-9BCE-F8360019565C}"/>
    <cellStyle name="Normal 2 5 2 3 5" xfId="30685" xr:uid="{B6D74A36-7B66-475E-B9AF-C2BF94DC42C4}"/>
    <cellStyle name="Normal 2 5 2 3 5 2" xfId="30686" xr:uid="{656117B0-1364-4E0D-9ED5-34746648F26D}"/>
    <cellStyle name="Normal 2 5 2 3 5 2 2" xfId="30687" xr:uid="{1AEFA06D-DC17-44A0-9CAD-F6F176065D31}"/>
    <cellStyle name="Normal 2 5 2 3 5 2 3" xfId="30688" xr:uid="{2D5280B2-680D-4188-A141-3C7D5E4D532A}"/>
    <cellStyle name="Normal 2 5 2 3 5 2 4" xfId="30689" xr:uid="{938F54EE-7AD3-4A6F-BCBC-6212451A692C}"/>
    <cellStyle name="Normal 2 5 2 3 5 2 5" xfId="30690" xr:uid="{C32C5F8F-0BFB-493C-9F9B-0BCBA664B571}"/>
    <cellStyle name="Normal 2 5 2 3 5 3" xfId="30691" xr:uid="{42B0FD0D-F685-49C0-BEFB-41410FD9A9DE}"/>
    <cellStyle name="Normal 2 5 2 3 5 4" xfId="30692" xr:uid="{B0DED6F4-9AEE-43DF-A1B3-00A2B458076F}"/>
    <cellStyle name="Normal 2 5 2 3 5 5" xfId="30693" xr:uid="{5A26E5AF-0A87-48F7-AEE3-3550AAD4EEBA}"/>
    <cellStyle name="Normal 2 5 2 3 5 6" xfId="30694" xr:uid="{E48118FB-2CDC-4111-A169-839B12F250D4}"/>
    <cellStyle name="Normal 2 5 2 3 6" xfId="30695" xr:uid="{69831EFD-970E-4450-968B-0BACF0823170}"/>
    <cellStyle name="Normal 2 5 2 3 6 2" xfId="30696" xr:uid="{AA9286EC-E93B-4FEB-B29E-E0F6A3680136}"/>
    <cellStyle name="Normal 2 5 2 3 6 3" xfId="30697" xr:uid="{A77C2B12-BFA1-4878-910E-9C935056D830}"/>
    <cellStyle name="Normal 2 5 2 3 6 4" xfId="30698" xr:uid="{14BF86C2-1C7C-429C-B793-8A6F7F37F13E}"/>
    <cellStyle name="Normal 2 5 2 3 6 5" xfId="30699" xr:uid="{7C45D84A-386A-4D70-A950-6C60D45968EE}"/>
    <cellStyle name="Normal 2 5 2 3 7" xfId="30700" xr:uid="{0BA23B52-ED13-47F3-A7E6-881C7172D70B}"/>
    <cellStyle name="Normal 2 5 2 3 7 2" xfId="30701" xr:uid="{06AE8C9A-FA7C-4BF2-84CF-1ECB74F381E5}"/>
    <cellStyle name="Normal 2 5 2 3 7 3" xfId="30702" xr:uid="{F337A0E5-E907-4E63-A9EC-C03FF6B8588E}"/>
    <cellStyle name="Normal 2 5 2 3 7 4" xfId="30703" xr:uid="{1F450ADF-5375-4AF5-87D1-D93B978B329A}"/>
    <cellStyle name="Normal 2 5 2 3 7 5" xfId="30704" xr:uid="{473AD771-AD26-439E-A66B-0F3E5AAB7F08}"/>
    <cellStyle name="Normal 2 5 2 3 8" xfId="30705" xr:uid="{BD839C2B-3135-4731-982C-74F70F61748C}"/>
    <cellStyle name="Normal 2 5 2 3 8 2" xfId="30706" xr:uid="{317FADC3-F4C9-47D5-B437-9FC72E0C7D6C}"/>
    <cellStyle name="Normal 2 5 2 3 8 3" xfId="30707" xr:uid="{16B68A30-313E-487F-BD53-0DAFE6CF3CCB}"/>
    <cellStyle name="Normal 2 5 2 3 8 4" xfId="30708" xr:uid="{0432B9B2-46CC-428C-BFC7-7170EDDDA397}"/>
    <cellStyle name="Normal 2 5 2 3 8 5" xfId="30709" xr:uid="{66D6A61E-14BA-40E3-83AE-A9CAB67F5758}"/>
    <cellStyle name="Normal 2 5 2 3 9" xfId="30710" xr:uid="{0E1778CB-E9DA-486C-A4F6-BDFDEDAF5BF0}"/>
    <cellStyle name="Normal 2 5 2 3 9 2" xfId="30711" xr:uid="{BF526BBE-31E7-47A9-806B-ACD8FE877564}"/>
    <cellStyle name="Normal 2 5 2 3 9 3" xfId="30712" xr:uid="{261D5951-B964-4C61-BFFA-5903D7042C6E}"/>
    <cellStyle name="Normal 2 5 2 3 9 4" xfId="30713" xr:uid="{0C8377D4-09D2-4616-8199-8F957F288588}"/>
    <cellStyle name="Normal 2 5 2 3 9 5" xfId="30714" xr:uid="{DF1C5A7D-F60A-4A13-93BD-37E1C35213E6}"/>
    <cellStyle name="Normal 2 5 2 4" xfId="30715" xr:uid="{103948CC-0751-47EF-A2BE-2AB89DDC9B7C}"/>
    <cellStyle name="Normal 2 5 2 4 10" xfId="30716" xr:uid="{F1A76C25-B25C-4519-8D1F-EA22908E7602}"/>
    <cellStyle name="Normal 2 5 2 4 11" xfId="30717" xr:uid="{E20193EB-59ED-452F-A8C7-A2CEA2D8507C}"/>
    <cellStyle name="Normal 2 5 2 4 12" xfId="30718" xr:uid="{292FAF61-6392-453A-9AC4-5CE0935BB373}"/>
    <cellStyle name="Normal 2 5 2 4 2" xfId="30719" xr:uid="{FDE1C342-940F-45F4-9AEB-E341986A232D}"/>
    <cellStyle name="Normal 2 5 2 4 2 2" xfId="30720" xr:uid="{2DB50C18-50CA-408F-B04A-B77E45F0FBEE}"/>
    <cellStyle name="Normal 2 5 2 4 2 2 2" xfId="30721" xr:uid="{ADAEBBC6-D2B8-4FEC-ACB4-D8732F7DB893}"/>
    <cellStyle name="Normal 2 5 2 4 2 2 3" xfId="30722" xr:uid="{08E6CF54-F077-41A3-98B2-7B7F428D8165}"/>
    <cellStyle name="Normal 2 5 2 4 2 2 4" xfId="30723" xr:uid="{9B2E0D3F-8DA6-4594-82C4-2302DB44F834}"/>
    <cellStyle name="Normal 2 5 2 4 2 2 5" xfId="30724" xr:uid="{C75B05CE-B715-49DB-80CE-DB72DE0A8F78}"/>
    <cellStyle name="Normal 2 5 2 4 2 3" xfId="30725" xr:uid="{9247675E-A4CC-4F34-ACA3-82B43806DBAA}"/>
    <cellStyle name="Normal 2 5 2 4 2 4" xfId="30726" xr:uid="{B7542DCB-3CA1-45C3-9E14-3DDE27BEDD60}"/>
    <cellStyle name="Normal 2 5 2 4 2 5" xfId="30727" xr:uid="{F161E1A7-157E-4E2B-9E45-D443F7241737}"/>
    <cellStyle name="Normal 2 5 2 4 2 6" xfId="30728" xr:uid="{47960C80-88BD-4BF6-8858-A5EAEDC7B01D}"/>
    <cellStyle name="Normal 2 5 2 4 3" xfId="30729" xr:uid="{4A9F3CB0-91A0-4B5A-BA58-5CF0BB8EA92E}"/>
    <cellStyle name="Normal 2 5 2 4 3 2" xfId="30730" xr:uid="{8BC02CEF-8A3D-4A1F-8B5D-7421671295B2}"/>
    <cellStyle name="Normal 2 5 2 4 3 2 2" xfId="30731" xr:uid="{BE1F970B-2458-47AF-BCBC-6F5397D190D4}"/>
    <cellStyle name="Normal 2 5 2 4 3 2 3" xfId="30732" xr:uid="{DC70EC27-12C2-404A-BC28-7910B243553D}"/>
    <cellStyle name="Normal 2 5 2 4 3 2 4" xfId="30733" xr:uid="{979C8E49-964D-4C3E-BFBF-B6EEA92BC8CA}"/>
    <cellStyle name="Normal 2 5 2 4 3 2 5" xfId="30734" xr:uid="{10FC48E4-4B55-4FAE-92C7-C5502C99B0D4}"/>
    <cellStyle name="Normal 2 5 2 4 3 3" xfId="30735" xr:uid="{D59558BB-9784-46AB-BAFF-884B91E3D5F6}"/>
    <cellStyle name="Normal 2 5 2 4 3 4" xfId="30736" xr:uid="{E5F998BD-E743-42B8-9EB5-21A8797C3F89}"/>
    <cellStyle name="Normal 2 5 2 4 3 5" xfId="30737" xr:uid="{9BDC8EEB-134B-4FD3-9324-5D5BF8CECB51}"/>
    <cellStyle name="Normal 2 5 2 4 3 6" xfId="30738" xr:uid="{15F6BDFF-2ABB-42A6-9BE3-721BEE5B98C6}"/>
    <cellStyle name="Normal 2 5 2 4 4" xfId="30739" xr:uid="{2A3D2FE4-28CD-46AC-B0F3-7AF23CB604EC}"/>
    <cellStyle name="Normal 2 5 2 4 4 2" xfId="30740" xr:uid="{858E85E5-F04A-407F-9A69-734CDB30B3B5}"/>
    <cellStyle name="Normal 2 5 2 4 4 2 2" xfId="30741" xr:uid="{04E7647C-0011-47AA-80B9-C2479FE087BA}"/>
    <cellStyle name="Normal 2 5 2 4 4 2 3" xfId="30742" xr:uid="{3EDBAB24-8735-46CD-9C20-2EB8593C2498}"/>
    <cellStyle name="Normal 2 5 2 4 4 2 4" xfId="30743" xr:uid="{1A87D95F-207A-427F-98A6-D2890666B4E3}"/>
    <cellStyle name="Normal 2 5 2 4 4 2 5" xfId="30744" xr:uid="{FC1F6EE3-E131-436E-AADF-6FE621B6AE95}"/>
    <cellStyle name="Normal 2 5 2 4 4 3" xfId="30745" xr:uid="{CFB21CF1-D331-4615-81AD-D3943E1081C7}"/>
    <cellStyle name="Normal 2 5 2 4 4 4" xfId="30746" xr:uid="{0224EE50-7981-4633-890D-5DD47DE658DA}"/>
    <cellStyle name="Normal 2 5 2 4 4 5" xfId="30747" xr:uid="{40A6BEFB-D2D8-45AD-9AB9-914B8473AC76}"/>
    <cellStyle name="Normal 2 5 2 4 4 6" xfId="30748" xr:uid="{75A1C244-67DE-4F2C-B480-1D7E9D5A0331}"/>
    <cellStyle name="Normal 2 5 2 4 5" xfId="30749" xr:uid="{2368A90D-DBEA-46C3-ADFE-C14535689FFC}"/>
    <cellStyle name="Normal 2 5 2 4 5 2" xfId="30750" xr:uid="{F83F566F-10EF-41DC-B934-89AAF08B5C72}"/>
    <cellStyle name="Normal 2 5 2 4 5 3" xfId="30751" xr:uid="{DAB5D9F3-3B9E-4D02-BEEC-85CEE573FF0F}"/>
    <cellStyle name="Normal 2 5 2 4 5 4" xfId="30752" xr:uid="{E72CDC60-8831-457B-BA27-CF051D829C5B}"/>
    <cellStyle name="Normal 2 5 2 4 5 5" xfId="30753" xr:uid="{15E186EA-7BB3-4B11-A6B2-562D43878328}"/>
    <cellStyle name="Normal 2 5 2 4 6" xfId="30754" xr:uid="{04E315CE-BDC7-4C25-8166-9563FE2DE98E}"/>
    <cellStyle name="Normal 2 5 2 4 6 2" xfId="30755" xr:uid="{36B54015-406D-46B9-9936-20DE9E9310FD}"/>
    <cellStyle name="Normal 2 5 2 4 6 3" xfId="30756" xr:uid="{D57346E7-41FA-4B80-9C73-4594A9798CBE}"/>
    <cellStyle name="Normal 2 5 2 4 6 4" xfId="30757" xr:uid="{A6476FDF-C0EF-42ED-834B-720F58E01DA0}"/>
    <cellStyle name="Normal 2 5 2 4 6 5" xfId="30758" xr:uid="{BCC66466-55DA-4383-AE51-36E3FFB26626}"/>
    <cellStyle name="Normal 2 5 2 4 7" xfId="30759" xr:uid="{98824681-3438-4473-906C-E482115BF941}"/>
    <cellStyle name="Normal 2 5 2 4 7 2" xfId="30760" xr:uid="{93450C64-DCC0-439F-AD1B-7065B502910C}"/>
    <cellStyle name="Normal 2 5 2 4 7 3" xfId="30761" xr:uid="{3D6AB2A8-64A7-4195-A56E-A9A1C7E66F40}"/>
    <cellStyle name="Normal 2 5 2 4 7 4" xfId="30762" xr:uid="{29CCD896-F04D-4738-9D3C-1ABC1555CEC6}"/>
    <cellStyle name="Normal 2 5 2 4 7 5" xfId="30763" xr:uid="{152133E1-B7E9-4D1E-ACA5-AB8AEEFF9AB8}"/>
    <cellStyle name="Normal 2 5 2 4 8" xfId="30764" xr:uid="{820F0AB6-FD82-433F-9E2E-E8A5867CDE28}"/>
    <cellStyle name="Normal 2 5 2 4 8 2" xfId="30765" xr:uid="{8C19884F-3899-42FF-8FFB-D4B4B5E3F909}"/>
    <cellStyle name="Normal 2 5 2 4 8 3" xfId="30766" xr:uid="{ABCC84B6-6FF7-464C-A49C-3E65E97CE44F}"/>
    <cellStyle name="Normal 2 5 2 4 8 4" xfId="30767" xr:uid="{FF503AC7-B1C4-4E41-8D4A-C93A787A59FF}"/>
    <cellStyle name="Normal 2 5 2 4 8 5" xfId="30768" xr:uid="{0D577A52-19D6-4306-A54D-ABB3F5774545}"/>
    <cellStyle name="Normal 2 5 2 4 9" xfId="30769" xr:uid="{6AEFC1D6-B6A6-4411-B547-8C71DEB7C194}"/>
    <cellStyle name="Normal 2 5 2 5" xfId="30770" xr:uid="{756865F4-DAAD-4536-8D3B-148DAF041B79}"/>
    <cellStyle name="Normal 2 5 2 5 2" xfId="30771" xr:uid="{C1676F1C-C1F5-4EB8-9504-7E0A9C8B3A9E}"/>
    <cellStyle name="Normal 2 5 2 5 2 2" xfId="30772" xr:uid="{55C10042-E564-4308-BB89-8C74A514A425}"/>
    <cellStyle name="Normal 2 5 2 5 2 3" xfId="30773" xr:uid="{5D7767BC-19EC-474F-96C9-BFAA008E7FB2}"/>
    <cellStyle name="Normal 2 5 2 5 2 4" xfId="30774" xr:uid="{A7E17914-4A02-42CE-9000-08FD4F8CEC02}"/>
    <cellStyle name="Normal 2 5 2 5 2 5" xfId="30775" xr:uid="{B2397F4B-6657-4CB6-9479-6919132F55CD}"/>
    <cellStyle name="Normal 2 5 2 5 3" xfId="30776" xr:uid="{FD1145FF-6A97-4F96-9000-431292A63DEA}"/>
    <cellStyle name="Normal 2 5 2 5 4" xfId="30777" xr:uid="{1BB19576-EBE4-4199-B9B2-116CDD373AC2}"/>
    <cellStyle name="Normal 2 5 2 5 5" xfId="30778" xr:uid="{4B511B75-9554-4C5C-8EA1-095F2EFA7CCD}"/>
    <cellStyle name="Normal 2 5 2 5 6" xfId="30779" xr:uid="{B2AAE885-1AFF-4425-A9BB-8055433F3D74}"/>
    <cellStyle name="Normal 2 5 2 6" xfId="30780" xr:uid="{4B16B489-AE02-46AB-9DE5-A60F0D7FBC75}"/>
    <cellStyle name="Normal 2 5 2 6 2" xfId="30781" xr:uid="{9CECE309-2DF3-480D-AB48-030B35CAD796}"/>
    <cellStyle name="Normal 2 5 2 6 2 2" xfId="30782" xr:uid="{C6376CEE-9C85-4E95-B1A7-5B991C5C901E}"/>
    <cellStyle name="Normal 2 5 2 6 2 3" xfId="30783" xr:uid="{EC9E5B53-9A2A-4068-AD27-E1EF34EFE57F}"/>
    <cellStyle name="Normal 2 5 2 6 2 4" xfId="30784" xr:uid="{A4FAC3CC-9106-48F2-82E1-B1890CA211B2}"/>
    <cellStyle name="Normal 2 5 2 6 2 5" xfId="30785" xr:uid="{9F7F108A-0228-463A-A813-C4E0F0FF23BD}"/>
    <cellStyle name="Normal 2 5 2 6 3" xfId="30786" xr:uid="{73F5B2C2-E53A-4AC7-92E8-E84BBEE54DF2}"/>
    <cellStyle name="Normal 2 5 2 6 4" xfId="30787" xr:uid="{84B63261-8C07-449B-B360-DF70F1FB12BB}"/>
    <cellStyle name="Normal 2 5 2 6 5" xfId="30788" xr:uid="{705A71FF-CC05-4C2E-A3DF-178C97645763}"/>
    <cellStyle name="Normal 2 5 2 6 6" xfId="30789" xr:uid="{4C5558F9-77C3-481E-858D-6556C8538685}"/>
    <cellStyle name="Normal 2 5 2 7" xfId="30790" xr:uid="{36E226A7-2953-469E-BE18-63C3FA3CDDFB}"/>
    <cellStyle name="Normal 2 5 2 7 2" xfId="30791" xr:uid="{04493380-172B-4BE3-9F98-35051BEA4AFD}"/>
    <cellStyle name="Normal 2 5 2 7 2 2" xfId="30792" xr:uid="{6478B95F-C75E-403C-AC8D-8F20A4AEA0B7}"/>
    <cellStyle name="Normal 2 5 2 7 2 3" xfId="30793" xr:uid="{AA36F1EE-84D4-41EA-8CCB-FE911E1CC90E}"/>
    <cellStyle name="Normal 2 5 2 7 2 4" xfId="30794" xr:uid="{2F405B4E-04DC-4787-B2D6-6FF839314509}"/>
    <cellStyle name="Normal 2 5 2 7 2 5" xfId="30795" xr:uid="{E2005F9B-419C-4911-BB61-3A479E20AE48}"/>
    <cellStyle name="Normal 2 5 2 7 3" xfId="30796" xr:uid="{301AB89B-A37D-4171-9E67-007909643807}"/>
    <cellStyle name="Normal 2 5 2 7 4" xfId="30797" xr:uid="{7EA02A0A-B461-473C-8763-E02DF4BC09C1}"/>
    <cellStyle name="Normal 2 5 2 7 5" xfId="30798" xr:uid="{0CAC0E21-88BF-4648-ADEA-6D314420002B}"/>
    <cellStyle name="Normal 2 5 2 7 6" xfId="30799" xr:uid="{6CE6677D-862B-4646-96A7-B6A8A0310E27}"/>
    <cellStyle name="Normal 2 5 2 8" xfId="30800" xr:uid="{26407121-586D-426A-B8D2-65B5CB1E47CC}"/>
    <cellStyle name="Normal 2 5 2 8 2" xfId="30801" xr:uid="{5C22B89D-0211-4E81-ABC1-C2DA07F5C1ED}"/>
    <cellStyle name="Normal 2 5 2 8 3" xfId="30802" xr:uid="{AE2918DC-04A7-4311-82C5-66187FABF2E4}"/>
    <cellStyle name="Normal 2 5 2 8 4" xfId="30803" xr:uid="{04FBF17A-C227-4D7B-ACD7-34B37A5A1A31}"/>
    <cellStyle name="Normal 2 5 2 8 5" xfId="30804" xr:uid="{FC9ABFBB-2051-435F-9240-E35BFDF7C56B}"/>
    <cellStyle name="Normal 2 5 2 9" xfId="30805" xr:uid="{3F8FBB50-8B0C-42FC-8809-CB351A517C20}"/>
    <cellStyle name="Normal 2 5 2 9 2" xfId="30806" xr:uid="{43FDBB00-14AC-4EBA-BEAF-441301B6E414}"/>
    <cellStyle name="Normal 2 5 2 9 3" xfId="30807" xr:uid="{6C249B8D-D7D5-41C2-B85D-BBEBE51C1E02}"/>
    <cellStyle name="Normal 2 5 2 9 4" xfId="30808" xr:uid="{14CF3922-00B6-4030-887A-5CBC0DBBA2AA}"/>
    <cellStyle name="Normal 2 5 2 9 5" xfId="30809" xr:uid="{75280CE4-6B18-4CB0-9FC5-8FA1AE44C5DE}"/>
    <cellStyle name="Normal 2 5 3" xfId="30810" xr:uid="{D5F9B272-9470-437D-AE6F-4DB87E45FBF1}"/>
    <cellStyle name="Normal 2 5 3 10" xfId="30811" xr:uid="{7B735CD5-29B2-4F65-A604-D52DD5740D41}"/>
    <cellStyle name="Normal 2 5 3 10 2" xfId="30812" xr:uid="{D3756391-7814-4FB2-8F02-D1FC26AEF4F0}"/>
    <cellStyle name="Normal 2 5 3 10 3" xfId="30813" xr:uid="{0AFA3CB1-6786-4BD6-895C-6DE3829C198C}"/>
    <cellStyle name="Normal 2 5 3 10 4" xfId="30814" xr:uid="{E54D43CC-1BB8-4BB5-A276-61B25E47ADF4}"/>
    <cellStyle name="Normal 2 5 3 10 5" xfId="30815" xr:uid="{5E772043-8C3F-4B51-A7C0-AE017579410F}"/>
    <cellStyle name="Normal 2 5 3 11" xfId="30816" xr:uid="{0E531293-AA08-4AC7-A4D1-C05A281375FD}"/>
    <cellStyle name="Normal 2 5 3 11 2" xfId="30817" xr:uid="{5CD97FAE-16A6-4828-B537-1BC856D066A0}"/>
    <cellStyle name="Normal 2 5 3 11 3" xfId="30818" xr:uid="{832817D9-0B57-43B2-9B61-FA6F0DEAB81F}"/>
    <cellStyle name="Normal 2 5 3 11 4" xfId="30819" xr:uid="{878FBE2C-A3D9-4AA2-83F7-83FE01236382}"/>
    <cellStyle name="Normal 2 5 3 11 5" xfId="30820" xr:uid="{38AEF9E2-6C3F-46F6-B4ED-AB69AA78BABB}"/>
    <cellStyle name="Normal 2 5 3 12" xfId="30821" xr:uid="{EDC0B85C-121A-4CE7-B85B-2F8676E0C2C6}"/>
    <cellStyle name="Normal 2 5 3 13" xfId="30822" xr:uid="{522CDCC5-73B1-4664-A15F-AE524D6CB231}"/>
    <cellStyle name="Normal 2 5 3 14" xfId="30823" xr:uid="{0B9AEE41-D4AE-41EB-AEA8-8C72A04CF4A8}"/>
    <cellStyle name="Normal 2 5 3 15" xfId="30824" xr:uid="{DB6001ED-1F3A-4FCB-B6F4-911F7C7EE1BE}"/>
    <cellStyle name="Normal 2 5 3 2" xfId="30825" xr:uid="{439C68EF-C08C-4F06-B9F7-43D805FC8367}"/>
    <cellStyle name="Normal 2 5 3 2 10" xfId="30826" xr:uid="{4EDF343B-544D-4038-8880-D30D7202AAE3}"/>
    <cellStyle name="Normal 2 5 3 2 10 2" xfId="30827" xr:uid="{75827584-D846-45AE-96E8-DD65C0D68E71}"/>
    <cellStyle name="Normal 2 5 3 2 10 3" xfId="30828" xr:uid="{DA20789C-FFF2-4E82-92D2-E9153FE3B60C}"/>
    <cellStyle name="Normal 2 5 3 2 10 4" xfId="30829" xr:uid="{7FE6B4C0-B7A2-4566-B142-9406C4D32F81}"/>
    <cellStyle name="Normal 2 5 3 2 10 5" xfId="30830" xr:uid="{6209E14E-C207-4FF8-98A0-E2A369A19B1D}"/>
    <cellStyle name="Normal 2 5 3 2 11" xfId="30831" xr:uid="{9BDB12B3-A4A3-4948-8C19-689D0B7001A1}"/>
    <cellStyle name="Normal 2 5 3 2 12" xfId="30832" xr:uid="{BAE49435-F46A-4B5D-BB8F-2C4A9BD4EDFD}"/>
    <cellStyle name="Normal 2 5 3 2 13" xfId="30833" xr:uid="{D950DED0-07AA-494F-A0CE-ECD3C5BFCD93}"/>
    <cellStyle name="Normal 2 5 3 2 14" xfId="30834" xr:uid="{D93ED829-AC75-404F-84F0-81DA9BF7F06B}"/>
    <cellStyle name="Normal 2 5 3 2 2" xfId="30835" xr:uid="{109AFCD4-727A-4AA2-A0CF-011BF8E89855}"/>
    <cellStyle name="Normal 2 5 3 2 2 10" xfId="30836" xr:uid="{E1CB3D30-CF41-4265-B2CE-38065416C69A}"/>
    <cellStyle name="Normal 2 5 3 2 2 11" xfId="30837" xr:uid="{41A45F69-0746-4424-9D50-8E1E812E850D}"/>
    <cellStyle name="Normal 2 5 3 2 2 12" xfId="30838" xr:uid="{8643EF7A-C415-4956-804A-61C43BF71A0E}"/>
    <cellStyle name="Normal 2 5 3 2 2 13" xfId="30839" xr:uid="{15EDEAC3-8EAB-4F56-9C57-3C13BA0DC13D}"/>
    <cellStyle name="Normal 2 5 3 2 2 2" xfId="30840" xr:uid="{CBF972B2-E1E3-40E5-9177-598DA493E6CF}"/>
    <cellStyle name="Normal 2 5 3 2 2 2 10" xfId="30841" xr:uid="{395373C8-7A97-40A7-8231-660BA3D8AEF4}"/>
    <cellStyle name="Normal 2 5 3 2 2 2 11" xfId="30842" xr:uid="{5B346035-DD94-40FA-A8F1-0B058F4992F4}"/>
    <cellStyle name="Normal 2 5 3 2 2 2 12" xfId="30843" xr:uid="{9C901025-E269-4949-81E6-7B52A7118A8C}"/>
    <cellStyle name="Normal 2 5 3 2 2 2 2" xfId="30844" xr:uid="{3CB64E15-599C-47EA-8EE1-32C9E495E854}"/>
    <cellStyle name="Normal 2 5 3 2 2 2 2 2" xfId="30845" xr:uid="{E7F6D811-211B-4F2F-8D1E-29BB31326C8A}"/>
    <cellStyle name="Normal 2 5 3 2 2 2 2 2 2" xfId="30846" xr:uid="{A6F7D31E-23A9-4A15-9A2B-E74EB72055E7}"/>
    <cellStyle name="Normal 2 5 3 2 2 2 2 2 3" xfId="30847" xr:uid="{5AA95EED-1404-4BB0-8F1A-76E6C903986D}"/>
    <cellStyle name="Normal 2 5 3 2 2 2 2 2 4" xfId="30848" xr:uid="{1004A600-FFD2-4BDF-8596-AC4909540954}"/>
    <cellStyle name="Normal 2 5 3 2 2 2 2 2 5" xfId="30849" xr:uid="{751616C1-5FE0-4142-841D-CB2DA1066A68}"/>
    <cellStyle name="Normal 2 5 3 2 2 2 2 3" xfId="30850" xr:uid="{75773670-2B97-48C2-AE4D-AA2997779CDA}"/>
    <cellStyle name="Normal 2 5 3 2 2 2 2 4" xfId="30851" xr:uid="{BA96E260-729B-4FE5-8C64-F68EE6B326AD}"/>
    <cellStyle name="Normal 2 5 3 2 2 2 2 5" xfId="30852" xr:uid="{0A32A683-49E9-40EE-A4EB-1E518724FF20}"/>
    <cellStyle name="Normal 2 5 3 2 2 2 2 6" xfId="30853" xr:uid="{AC606B19-5026-453C-81E8-E4FD5B63B1ED}"/>
    <cellStyle name="Normal 2 5 3 2 2 2 3" xfId="30854" xr:uid="{99B51204-EF16-4CD7-BDBB-82684AA17B64}"/>
    <cellStyle name="Normal 2 5 3 2 2 2 3 2" xfId="30855" xr:uid="{4C4692A8-4038-4925-BAE6-FA631C74F3F7}"/>
    <cellStyle name="Normal 2 5 3 2 2 2 3 2 2" xfId="30856" xr:uid="{99C6C933-5D29-41FB-84D9-727AA027E420}"/>
    <cellStyle name="Normal 2 5 3 2 2 2 3 2 3" xfId="30857" xr:uid="{0EE436A9-A980-4E3B-A595-FBB0C4D4DA0A}"/>
    <cellStyle name="Normal 2 5 3 2 2 2 3 2 4" xfId="30858" xr:uid="{ECD50A54-CDC0-4949-AD46-1CEBD971A0EF}"/>
    <cellStyle name="Normal 2 5 3 2 2 2 3 2 5" xfId="30859" xr:uid="{C0030AA8-93FC-4084-A196-A0A3E97A7DD2}"/>
    <cellStyle name="Normal 2 5 3 2 2 2 3 3" xfId="30860" xr:uid="{0DA839D8-3531-4D48-A81F-74EF6867F713}"/>
    <cellStyle name="Normal 2 5 3 2 2 2 3 4" xfId="30861" xr:uid="{D1A09D9F-9ECF-4C95-BC19-5E7CD7DDEEF8}"/>
    <cellStyle name="Normal 2 5 3 2 2 2 3 5" xfId="30862" xr:uid="{1F67E86A-6098-452C-8F84-FEE61D238C44}"/>
    <cellStyle name="Normal 2 5 3 2 2 2 3 6" xfId="30863" xr:uid="{C9AD4755-27B7-42B2-A144-3E3E886C54AF}"/>
    <cellStyle name="Normal 2 5 3 2 2 2 4" xfId="30864" xr:uid="{CE4A113A-D094-4B5C-A96A-AC3A9DF13A60}"/>
    <cellStyle name="Normal 2 5 3 2 2 2 4 2" xfId="30865" xr:uid="{31A465B5-BC57-49A3-BCA7-0988F9B128A0}"/>
    <cellStyle name="Normal 2 5 3 2 2 2 4 2 2" xfId="30866" xr:uid="{2D3A4871-B2B4-489A-9767-FECEB6C5A778}"/>
    <cellStyle name="Normal 2 5 3 2 2 2 4 2 3" xfId="30867" xr:uid="{1037287A-0E8E-4349-84EA-349CB6C657DF}"/>
    <cellStyle name="Normal 2 5 3 2 2 2 4 2 4" xfId="30868" xr:uid="{38487C92-C786-4113-96CF-9420534225BE}"/>
    <cellStyle name="Normal 2 5 3 2 2 2 4 2 5" xfId="30869" xr:uid="{786A68EA-8512-4811-8E65-D08E8FE176D5}"/>
    <cellStyle name="Normal 2 5 3 2 2 2 4 3" xfId="30870" xr:uid="{94371EFE-792C-458A-A5C0-100F1F5330D8}"/>
    <cellStyle name="Normal 2 5 3 2 2 2 4 4" xfId="30871" xr:uid="{54CE953C-83C2-40B4-B3F6-2C17752D671E}"/>
    <cellStyle name="Normal 2 5 3 2 2 2 4 5" xfId="30872" xr:uid="{B40ADD05-26D6-444C-80D1-68B3DA538E97}"/>
    <cellStyle name="Normal 2 5 3 2 2 2 4 6" xfId="30873" xr:uid="{35EAB5ED-6DEF-477A-AC8D-30773E40FC2E}"/>
    <cellStyle name="Normal 2 5 3 2 2 2 5" xfId="30874" xr:uid="{825E162C-F667-468D-BF50-F9971718EB50}"/>
    <cellStyle name="Normal 2 5 3 2 2 2 5 2" xfId="30875" xr:uid="{9F9697BF-D6FA-4519-953D-AAC52B87CB93}"/>
    <cellStyle name="Normal 2 5 3 2 2 2 5 3" xfId="30876" xr:uid="{6BE707F2-0F49-45DD-A661-BA04EC0F220F}"/>
    <cellStyle name="Normal 2 5 3 2 2 2 5 4" xfId="30877" xr:uid="{B833678E-C29E-4A34-A54D-BBD3E3EE78D4}"/>
    <cellStyle name="Normal 2 5 3 2 2 2 5 5" xfId="30878" xr:uid="{6042C49D-2A4D-452E-ABDB-54819D8276EB}"/>
    <cellStyle name="Normal 2 5 3 2 2 2 6" xfId="30879" xr:uid="{5581817C-F5CB-4731-B618-0E82AEECACEF}"/>
    <cellStyle name="Normal 2 5 3 2 2 2 6 2" xfId="30880" xr:uid="{7ABEEA26-DCF8-4FA9-8615-39907D3922AE}"/>
    <cellStyle name="Normal 2 5 3 2 2 2 6 3" xfId="30881" xr:uid="{E413DD69-5BAE-4FE0-B828-C4BFEF315183}"/>
    <cellStyle name="Normal 2 5 3 2 2 2 6 4" xfId="30882" xr:uid="{7E3F206C-68E5-468E-8D8F-28CE40DDADB5}"/>
    <cellStyle name="Normal 2 5 3 2 2 2 6 5" xfId="30883" xr:uid="{5F513C73-E85E-4BC9-8A8E-37C3813CF99E}"/>
    <cellStyle name="Normal 2 5 3 2 2 2 7" xfId="30884" xr:uid="{18E4D485-E5EE-4601-BC9D-BF688823E242}"/>
    <cellStyle name="Normal 2 5 3 2 2 2 7 2" xfId="30885" xr:uid="{EAA4D66D-4711-4930-8992-96DAB8DA64E5}"/>
    <cellStyle name="Normal 2 5 3 2 2 2 7 3" xfId="30886" xr:uid="{F2B776EB-C8ED-40AB-AC5C-DFFD51ACA24B}"/>
    <cellStyle name="Normal 2 5 3 2 2 2 7 4" xfId="30887" xr:uid="{9E2E4D5A-092A-410C-9346-956F03734015}"/>
    <cellStyle name="Normal 2 5 3 2 2 2 7 5" xfId="30888" xr:uid="{75A0CDC9-745D-4B6C-8FCA-6F8A410A2F4A}"/>
    <cellStyle name="Normal 2 5 3 2 2 2 8" xfId="30889" xr:uid="{00E02684-BDD5-44E9-AE94-A9870DDF3577}"/>
    <cellStyle name="Normal 2 5 3 2 2 2 8 2" xfId="30890" xr:uid="{1A26D6A5-71EA-4F0A-9BF9-38201D701421}"/>
    <cellStyle name="Normal 2 5 3 2 2 2 8 3" xfId="30891" xr:uid="{6A52EB88-B9CC-46FE-95A7-1B95C7480041}"/>
    <cellStyle name="Normal 2 5 3 2 2 2 8 4" xfId="30892" xr:uid="{6BB3BD39-1EA0-47A5-A8EA-E95EEBCB6341}"/>
    <cellStyle name="Normal 2 5 3 2 2 2 8 5" xfId="30893" xr:uid="{4A694570-D281-4952-8F27-27094D99B993}"/>
    <cellStyle name="Normal 2 5 3 2 2 2 9" xfId="30894" xr:uid="{8640940B-0FDD-4134-B7F2-CE0B2E6D8F4D}"/>
    <cellStyle name="Normal 2 5 3 2 2 3" xfId="30895" xr:uid="{CA61E6D0-62E7-415C-8BD2-A52F3670D892}"/>
    <cellStyle name="Normal 2 5 3 2 2 3 2" xfId="30896" xr:uid="{F4CB0677-C6F3-4547-9BB2-4D90EAEE4608}"/>
    <cellStyle name="Normal 2 5 3 2 2 3 2 2" xfId="30897" xr:uid="{9ACDFE94-AA0F-469F-892F-8BA641CACA9D}"/>
    <cellStyle name="Normal 2 5 3 2 2 3 2 3" xfId="30898" xr:uid="{E85DF72D-1C6A-45CE-B897-BC88D1CBB794}"/>
    <cellStyle name="Normal 2 5 3 2 2 3 2 4" xfId="30899" xr:uid="{D35437C1-16D0-4065-A3E6-EED87BA76008}"/>
    <cellStyle name="Normal 2 5 3 2 2 3 2 5" xfId="30900" xr:uid="{5473989C-A370-4983-BFB7-A61772C3DA1D}"/>
    <cellStyle name="Normal 2 5 3 2 2 3 3" xfId="30901" xr:uid="{EA3D9FBD-B2F8-453E-809A-E2D4D3062029}"/>
    <cellStyle name="Normal 2 5 3 2 2 3 4" xfId="30902" xr:uid="{7CBF7755-E922-4B3B-B0BA-83738D0794AA}"/>
    <cellStyle name="Normal 2 5 3 2 2 3 5" xfId="30903" xr:uid="{EEC3D13C-A184-46D0-A21B-E22620FEF29D}"/>
    <cellStyle name="Normal 2 5 3 2 2 3 6" xfId="30904" xr:uid="{35F08321-4E2E-4802-90BD-DACDBCD19653}"/>
    <cellStyle name="Normal 2 5 3 2 2 4" xfId="30905" xr:uid="{A6038AED-D62B-4A7A-B1BD-ED893341E9A5}"/>
    <cellStyle name="Normal 2 5 3 2 2 4 2" xfId="30906" xr:uid="{A034B10F-AB00-4BC8-A57F-4E011088BCBA}"/>
    <cellStyle name="Normal 2 5 3 2 2 4 2 2" xfId="30907" xr:uid="{68D7E5A4-9942-4061-B40B-96512D82C730}"/>
    <cellStyle name="Normal 2 5 3 2 2 4 2 3" xfId="30908" xr:uid="{E843A6C2-77CE-4B8F-A97D-15B989A358A0}"/>
    <cellStyle name="Normal 2 5 3 2 2 4 2 4" xfId="30909" xr:uid="{6B5EB1D0-A00B-42A6-89A0-9CF23B8A413C}"/>
    <cellStyle name="Normal 2 5 3 2 2 4 2 5" xfId="30910" xr:uid="{74336495-07C0-497B-A9DB-A50D0BE2AF7D}"/>
    <cellStyle name="Normal 2 5 3 2 2 4 3" xfId="30911" xr:uid="{C1E126E8-C47D-4D93-9BA5-3D42249F4967}"/>
    <cellStyle name="Normal 2 5 3 2 2 4 4" xfId="30912" xr:uid="{01C7BF71-8ACE-4FFA-B113-B63470F5FB1B}"/>
    <cellStyle name="Normal 2 5 3 2 2 4 5" xfId="30913" xr:uid="{6EBDED3D-AFB1-4983-BF43-3BED9A6C622F}"/>
    <cellStyle name="Normal 2 5 3 2 2 4 6" xfId="30914" xr:uid="{EFBAF51A-EC02-46FC-9AA2-711B84E7E22B}"/>
    <cellStyle name="Normal 2 5 3 2 2 5" xfId="30915" xr:uid="{69D0A82C-179B-40EC-8DAC-7332D4367B35}"/>
    <cellStyle name="Normal 2 5 3 2 2 5 2" xfId="30916" xr:uid="{0510EA05-19E8-42E6-BB5F-43C627939F04}"/>
    <cellStyle name="Normal 2 5 3 2 2 5 2 2" xfId="30917" xr:uid="{ADDB1777-A149-4BCC-BA83-356D51150829}"/>
    <cellStyle name="Normal 2 5 3 2 2 5 2 3" xfId="30918" xr:uid="{2292C090-AC3F-46B1-BEE6-507D44DC51AA}"/>
    <cellStyle name="Normal 2 5 3 2 2 5 2 4" xfId="30919" xr:uid="{39B87855-922D-4037-8C71-4C3DE1FC2B2D}"/>
    <cellStyle name="Normal 2 5 3 2 2 5 2 5" xfId="30920" xr:uid="{287DBADB-1412-4A11-B525-33AF71E31183}"/>
    <cellStyle name="Normal 2 5 3 2 2 5 3" xfId="30921" xr:uid="{B9BC81CF-F138-4B00-A2C0-8BC37865A7D4}"/>
    <cellStyle name="Normal 2 5 3 2 2 5 4" xfId="30922" xr:uid="{DC843611-3D83-4EFD-BB5C-7F96608A3C3A}"/>
    <cellStyle name="Normal 2 5 3 2 2 5 5" xfId="30923" xr:uid="{E47ADA50-137E-4357-A2FD-396C4F3B4AE0}"/>
    <cellStyle name="Normal 2 5 3 2 2 5 6" xfId="30924" xr:uid="{735EAE12-DDAC-4896-9552-FB39832E0F9E}"/>
    <cellStyle name="Normal 2 5 3 2 2 6" xfId="30925" xr:uid="{2414238A-D27A-498B-986E-1C18B765F415}"/>
    <cellStyle name="Normal 2 5 3 2 2 6 2" xfId="30926" xr:uid="{A18D39F7-F543-4966-9568-682852D51E12}"/>
    <cellStyle name="Normal 2 5 3 2 2 6 3" xfId="30927" xr:uid="{4CB1BE06-D5EA-472B-88E6-7CD0FA65B4DA}"/>
    <cellStyle name="Normal 2 5 3 2 2 6 4" xfId="30928" xr:uid="{5A3E4448-2483-4320-80B4-652871BE61B4}"/>
    <cellStyle name="Normal 2 5 3 2 2 6 5" xfId="30929" xr:uid="{7D598060-5108-4A20-831C-96365C698310}"/>
    <cellStyle name="Normal 2 5 3 2 2 7" xfId="30930" xr:uid="{37A71F90-B817-4156-A248-67FCA6291F6D}"/>
    <cellStyle name="Normal 2 5 3 2 2 7 2" xfId="30931" xr:uid="{E81237EE-383D-4980-BA59-39DA7D5A6A64}"/>
    <cellStyle name="Normal 2 5 3 2 2 7 3" xfId="30932" xr:uid="{C69061E7-D743-4AE6-AD7F-A43BD581ADD1}"/>
    <cellStyle name="Normal 2 5 3 2 2 7 4" xfId="30933" xr:uid="{B257AD76-B1B6-4D71-90FE-CCAB7C6260A2}"/>
    <cellStyle name="Normal 2 5 3 2 2 7 5" xfId="30934" xr:uid="{99FE06FA-5AE8-456A-9726-752E9969A1B5}"/>
    <cellStyle name="Normal 2 5 3 2 2 8" xfId="30935" xr:uid="{9D774B63-FB1B-44FF-8E3E-FD5611006432}"/>
    <cellStyle name="Normal 2 5 3 2 2 8 2" xfId="30936" xr:uid="{125E9962-BA05-4F46-A5ED-5A248DDC2590}"/>
    <cellStyle name="Normal 2 5 3 2 2 8 3" xfId="30937" xr:uid="{D26236CE-D0F2-4F7E-A959-185E8ED4D35C}"/>
    <cellStyle name="Normal 2 5 3 2 2 8 4" xfId="30938" xr:uid="{82896B14-7276-4743-8F20-EA89F1FDD1D6}"/>
    <cellStyle name="Normal 2 5 3 2 2 8 5" xfId="30939" xr:uid="{08D3625B-57AB-41BC-967A-96EE291C6DC1}"/>
    <cellStyle name="Normal 2 5 3 2 2 9" xfId="30940" xr:uid="{8FB6D782-12AB-403F-A0B9-5C6FF72328A5}"/>
    <cellStyle name="Normal 2 5 3 2 2 9 2" xfId="30941" xr:uid="{0344E869-2955-4C38-BA8B-20BFC7EB78E4}"/>
    <cellStyle name="Normal 2 5 3 2 2 9 3" xfId="30942" xr:uid="{BB84C098-7259-4F0E-B582-6AE894A124DD}"/>
    <cellStyle name="Normal 2 5 3 2 2 9 4" xfId="30943" xr:uid="{3DE8EC80-D1FC-4939-99AF-4F14AE243759}"/>
    <cellStyle name="Normal 2 5 3 2 2 9 5" xfId="30944" xr:uid="{18D2103B-F618-4D56-9C7A-24F7E835B921}"/>
    <cellStyle name="Normal 2 5 3 2 3" xfId="30945" xr:uid="{EFE789EC-6C03-4B8C-B2B8-A4AC1211E587}"/>
    <cellStyle name="Normal 2 5 3 2 3 10" xfId="30946" xr:uid="{A0616BAC-012F-44BF-BBB4-A8BB3D4C7944}"/>
    <cellStyle name="Normal 2 5 3 2 3 11" xfId="30947" xr:uid="{FC179125-4612-4FCE-B69A-111181D1E915}"/>
    <cellStyle name="Normal 2 5 3 2 3 12" xfId="30948" xr:uid="{9624F31D-92D1-472C-98D3-3609B328BA7B}"/>
    <cellStyle name="Normal 2 5 3 2 3 2" xfId="30949" xr:uid="{955F38CA-5422-4D04-9381-A14727AF5A74}"/>
    <cellStyle name="Normal 2 5 3 2 3 2 2" xfId="30950" xr:uid="{6636E156-602B-4064-AC0A-EA35F0FC8336}"/>
    <cellStyle name="Normal 2 5 3 2 3 2 2 2" xfId="30951" xr:uid="{A8335D79-4DFA-496D-9C79-F23534616169}"/>
    <cellStyle name="Normal 2 5 3 2 3 2 2 3" xfId="30952" xr:uid="{422C0CCA-24FE-43C9-8BAE-79060DF9AB3F}"/>
    <cellStyle name="Normal 2 5 3 2 3 2 2 4" xfId="30953" xr:uid="{88AA526E-4549-4DD9-A423-2298C8AD8CAE}"/>
    <cellStyle name="Normal 2 5 3 2 3 2 2 5" xfId="30954" xr:uid="{A91BC330-D419-4EFC-9108-CA1613796A53}"/>
    <cellStyle name="Normal 2 5 3 2 3 2 3" xfId="30955" xr:uid="{D7173B2D-9D89-492A-8FF0-661343BC9149}"/>
    <cellStyle name="Normal 2 5 3 2 3 2 4" xfId="30956" xr:uid="{D392C37B-6840-47D1-917E-752A8BAF2114}"/>
    <cellStyle name="Normal 2 5 3 2 3 2 5" xfId="30957" xr:uid="{89DE661C-3993-4B69-A8FA-9BB3A43BFC21}"/>
    <cellStyle name="Normal 2 5 3 2 3 2 6" xfId="30958" xr:uid="{9F355E3C-C57F-4A71-B92E-17F6FAB61AE2}"/>
    <cellStyle name="Normal 2 5 3 2 3 3" xfId="30959" xr:uid="{C471FB03-5376-494A-B017-AA58856E0E58}"/>
    <cellStyle name="Normal 2 5 3 2 3 3 2" xfId="30960" xr:uid="{3BF36B69-5B35-4B93-9A86-C79CC9573404}"/>
    <cellStyle name="Normal 2 5 3 2 3 3 2 2" xfId="30961" xr:uid="{EB7FE71D-BD3F-42D8-8073-0ACB20EC3827}"/>
    <cellStyle name="Normal 2 5 3 2 3 3 2 3" xfId="30962" xr:uid="{9FED8179-F773-498C-87D9-871D0AA60C42}"/>
    <cellStyle name="Normal 2 5 3 2 3 3 2 4" xfId="30963" xr:uid="{249321E8-F93C-499C-A97E-DC6CB3FEF319}"/>
    <cellStyle name="Normal 2 5 3 2 3 3 2 5" xfId="30964" xr:uid="{B0401879-3D81-43A7-B5CA-FF9163542F1A}"/>
    <cellStyle name="Normal 2 5 3 2 3 3 3" xfId="30965" xr:uid="{A0646BD0-0D22-4EC5-ADF7-3E036E405E88}"/>
    <cellStyle name="Normal 2 5 3 2 3 3 4" xfId="30966" xr:uid="{E3CB2316-984C-4EEC-AF01-0937FD021040}"/>
    <cellStyle name="Normal 2 5 3 2 3 3 5" xfId="30967" xr:uid="{078B6E09-32E2-46FD-B843-6ADC66215947}"/>
    <cellStyle name="Normal 2 5 3 2 3 3 6" xfId="30968" xr:uid="{863A7D9B-9CD7-46F4-9253-898638D90209}"/>
    <cellStyle name="Normal 2 5 3 2 3 4" xfId="30969" xr:uid="{ECBE2FA2-1850-412D-8A04-EE030E0AD773}"/>
    <cellStyle name="Normal 2 5 3 2 3 4 2" xfId="30970" xr:uid="{9A5E9A52-C622-4BBD-B56E-A1EF981D10FD}"/>
    <cellStyle name="Normal 2 5 3 2 3 4 2 2" xfId="30971" xr:uid="{3FB3CD62-DA56-4636-880F-7754E47BBFA9}"/>
    <cellStyle name="Normal 2 5 3 2 3 4 2 3" xfId="30972" xr:uid="{0CAE62CF-CF38-42D0-BFFD-4BB12108C96C}"/>
    <cellStyle name="Normal 2 5 3 2 3 4 2 4" xfId="30973" xr:uid="{1F908157-9CC3-4CAD-8A6E-F292027C3984}"/>
    <cellStyle name="Normal 2 5 3 2 3 4 2 5" xfId="30974" xr:uid="{1974552E-BDBB-45C5-914F-333AF6E54361}"/>
    <cellStyle name="Normal 2 5 3 2 3 4 3" xfId="30975" xr:uid="{C5F3B724-5621-4EFF-BA81-3060C20C0F46}"/>
    <cellStyle name="Normal 2 5 3 2 3 4 4" xfId="30976" xr:uid="{9DF944E7-D042-4423-8A4B-204F9C42F6F2}"/>
    <cellStyle name="Normal 2 5 3 2 3 4 5" xfId="30977" xr:uid="{9096445C-04A1-4E12-987D-3A5FF6674EA7}"/>
    <cellStyle name="Normal 2 5 3 2 3 4 6" xfId="30978" xr:uid="{C3984738-751A-450D-B88E-46DC0D8799C9}"/>
    <cellStyle name="Normal 2 5 3 2 3 5" xfId="30979" xr:uid="{57A90315-999C-4B0F-82D6-4F775B302714}"/>
    <cellStyle name="Normal 2 5 3 2 3 5 2" xfId="30980" xr:uid="{24A0BBCD-0AE5-4A8A-928E-7FBB82EC28DB}"/>
    <cellStyle name="Normal 2 5 3 2 3 5 3" xfId="30981" xr:uid="{B186FE07-F6C1-45EF-B5C9-45AF2049E0AE}"/>
    <cellStyle name="Normal 2 5 3 2 3 5 4" xfId="30982" xr:uid="{3A3E4C3E-B5DA-4D18-BD42-8F2DEEF10B28}"/>
    <cellStyle name="Normal 2 5 3 2 3 5 5" xfId="30983" xr:uid="{79117352-B420-472A-94D2-6CFFD7F783DE}"/>
    <cellStyle name="Normal 2 5 3 2 3 6" xfId="30984" xr:uid="{A05EF80B-A289-408B-AB16-D33813C15C42}"/>
    <cellStyle name="Normal 2 5 3 2 3 6 2" xfId="30985" xr:uid="{A70F9CEA-9B57-41F0-B4F3-3F10BD8995D3}"/>
    <cellStyle name="Normal 2 5 3 2 3 6 3" xfId="30986" xr:uid="{614B54E6-BCD4-4703-9E3C-9F2F2454930A}"/>
    <cellStyle name="Normal 2 5 3 2 3 6 4" xfId="30987" xr:uid="{B7EF995D-A6FC-402D-8931-6CAEF80A9F77}"/>
    <cellStyle name="Normal 2 5 3 2 3 6 5" xfId="30988" xr:uid="{BFBDF662-338C-47A3-B69E-FF138DC80DD0}"/>
    <cellStyle name="Normal 2 5 3 2 3 7" xfId="30989" xr:uid="{B0A9AADF-CA5A-469F-A7E5-4CB99F058673}"/>
    <cellStyle name="Normal 2 5 3 2 3 7 2" xfId="30990" xr:uid="{EA00C140-934C-4ED1-8285-6BA9C501494A}"/>
    <cellStyle name="Normal 2 5 3 2 3 7 3" xfId="30991" xr:uid="{E4A28D15-D139-40D4-B9BA-A347ED5BC5BB}"/>
    <cellStyle name="Normal 2 5 3 2 3 7 4" xfId="30992" xr:uid="{C8C14E8A-FC9D-46A1-9F19-1AA608FA4052}"/>
    <cellStyle name="Normal 2 5 3 2 3 7 5" xfId="30993" xr:uid="{EDB0E30A-C8C8-4DE9-B095-51FC7841F130}"/>
    <cellStyle name="Normal 2 5 3 2 3 8" xfId="30994" xr:uid="{BBD38800-F94B-4F1E-82B2-F4EB9690FBCC}"/>
    <cellStyle name="Normal 2 5 3 2 3 8 2" xfId="30995" xr:uid="{304C2ACA-188B-45EE-8179-C5940DA33EAE}"/>
    <cellStyle name="Normal 2 5 3 2 3 8 3" xfId="30996" xr:uid="{A142F5C2-1CD5-49DD-AE7D-A2FB82254191}"/>
    <cellStyle name="Normal 2 5 3 2 3 8 4" xfId="30997" xr:uid="{2A4F9E0B-28D5-4880-B586-7DAF6ECA3FC0}"/>
    <cellStyle name="Normal 2 5 3 2 3 8 5" xfId="30998" xr:uid="{5DE8899B-403B-4C2E-92DB-931944421AB7}"/>
    <cellStyle name="Normal 2 5 3 2 3 9" xfId="30999" xr:uid="{D00D04AD-5281-4F37-809B-C28588A895FC}"/>
    <cellStyle name="Normal 2 5 3 2 4" xfId="31000" xr:uid="{1F93BA69-7E4A-4F6E-B622-15E8CBBBFD67}"/>
    <cellStyle name="Normal 2 5 3 2 4 2" xfId="31001" xr:uid="{5F8EDBB9-B9A5-49DF-BF36-B217537E6D30}"/>
    <cellStyle name="Normal 2 5 3 2 4 2 2" xfId="31002" xr:uid="{37F8706E-96D1-46A6-AE18-998A60E90AFA}"/>
    <cellStyle name="Normal 2 5 3 2 4 2 3" xfId="31003" xr:uid="{82F4CA93-335D-41CB-BF64-E1CBAC5F55AC}"/>
    <cellStyle name="Normal 2 5 3 2 4 2 4" xfId="31004" xr:uid="{BEBE5DA8-4941-403B-B4D6-31C71988D291}"/>
    <cellStyle name="Normal 2 5 3 2 4 2 5" xfId="31005" xr:uid="{F8C801B7-DA83-44BB-9E0C-6C5A50504B4A}"/>
    <cellStyle name="Normal 2 5 3 2 4 3" xfId="31006" xr:uid="{2BE54691-5FDB-43E1-9F64-C09A5313A05A}"/>
    <cellStyle name="Normal 2 5 3 2 4 4" xfId="31007" xr:uid="{1D670F46-2C0D-4598-B510-BC3553242508}"/>
    <cellStyle name="Normal 2 5 3 2 4 5" xfId="31008" xr:uid="{BE489B3D-57D4-4BD1-AD0D-DF305B00CB8D}"/>
    <cellStyle name="Normal 2 5 3 2 4 6" xfId="31009" xr:uid="{8B03DAC9-E8E4-4732-8448-C49A039ADCB7}"/>
    <cellStyle name="Normal 2 5 3 2 5" xfId="31010" xr:uid="{E52145C9-095C-4366-85AA-D850D1B77D28}"/>
    <cellStyle name="Normal 2 5 3 2 5 2" xfId="31011" xr:uid="{2D25CF86-A5FC-46CB-843A-567B32B2FC29}"/>
    <cellStyle name="Normal 2 5 3 2 5 2 2" xfId="31012" xr:uid="{5131C4E5-5BB3-40EB-A751-11EDC80FAA7C}"/>
    <cellStyle name="Normal 2 5 3 2 5 2 3" xfId="31013" xr:uid="{A4A5278C-D3D7-485C-8835-171F34EC2FC7}"/>
    <cellStyle name="Normal 2 5 3 2 5 2 4" xfId="31014" xr:uid="{D6826205-63D5-4670-B235-B3219BC99D1B}"/>
    <cellStyle name="Normal 2 5 3 2 5 2 5" xfId="31015" xr:uid="{0B100679-9CC1-43BD-B6B9-032C169D1F0D}"/>
    <cellStyle name="Normal 2 5 3 2 5 3" xfId="31016" xr:uid="{79E35586-4C06-4E0C-A0C2-2335F99AFB06}"/>
    <cellStyle name="Normal 2 5 3 2 5 4" xfId="31017" xr:uid="{69062BB6-E7D6-43DC-9880-B58D885659AF}"/>
    <cellStyle name="Normal 2 5 3 2 5 5" xfId="31018" xr:uid="{21B23CAD-5936-47CE-AE7B-6935FD12136B}"/>
    <cellStyle name="Normal 2 5 3 2 5 6" xfId="31019" xr:uid="{BC4BC177-5A4D-46E7-B4CD-2CB42D1994C9}"/>
    <cellStyle name="Normal 2 5 3 2 6" xfId="31020" xr:uid="{675E6955-96F9-453F-AE5A-413A1F86616D}"/>
    <cellStyle name="Normal 2 5 3 2 6 2" xfId="31021" xr:uid="{481AD289-AAE7-4E1C-92D0-043CC1CC2F34}"/>
    <cellStyle name="Normal 2 5 3 2 6 2 2" xfId="31022" xr:uid="{D3A1055F-6CCF-4064-87C8-C7F3EB52570D}"/>
    <cellStyle name="Normal 2 5 3 2 6 2 3" xfId="31023" xr:uid="{55D128C9-A488-4EE7-8069-268AF535CE14}"/>
    <cellStyle name="Normal 2 5 3 2 6 2 4" xfId="31024" xr:uid="{AD6C1D9C-2009-4EC3-9726-0B655DC2E519}"/>
    <cellStyle name="Normal 2 5 3 2 6 2 5" xfId="31025" xr:uid="{C503AD37-61AC-439E-989C-569C8EFAA314}"/>
    <cellStyle name="Normal 2 5 3 2 6 3" xfId="31026" xr:uid="{F277152A-82C0-4F64-9E7C-70FF4BDAC1AE}"/>
    <cellStyle name="Normal 2 5 3 2 6 4" xfId="31027" xr:uid="{B9183793-3743-4BF9-84D5-92690C64ADAB}"/>
    <cellStyle name="Normal 2 5 3 2 6 5" xfId="31028" xr:uid="{FF6B6AC2-49B0-44AD-BE33-FF42E76FA8AA}"/>
    <cellStyle name="Normal 2 5 3 2 6 6" xfId="31029" xr:uid="{DD121C59-9C07-4919-B928-208E291AAF0C}"/>
    <cellStyle name="Normal 2 5 3 2 7" xfId="31030" xr:uid="{66DDABE5-6FD4-493A-9C76-F6D0B5991941}"/>
    <cellStyle name="Normal 2 5 3 2 7 2" xfId="31031" xr:uid="{027647FC-42EB-478B-89F9-A4FB68820E75}"/>
    <cellStyle name="Normal 2 5 3 2 7 3" xfId="31032" xr:uid="{DDA1E32E-C714-4409-8BD7-6579E7FEF294}"/>
    <cellStyle name="Normal 2 5 3 2 7 4" xfId="31033" xr:uid="{EA60C148-C756-47F3-A2D7-0E8C352561B9}"/>
    <cellStyle name="Normal 2 5 3 2 7 5" xfId="31034" xr:uid="{89B2EA57-275C-4D83-BBC8-4F1F0628C80E}"/>
    <cellStyle name="Normal 2 5 3 2 8" xfId="31035" xr:uid="{C2C44586-E75E-465F-99BF-EDAB1F6ED1E5}"/>
    <cellStyle name="Normal 2 5 3 2 8 2" xfId="31036" xr:uid="{17F93661-AA47-4833-B891-CD81BC331C27}"/>
    <cellStyle name="Normal 2 5 3 2 8 3" xfId="31037" xr:uid="{9DB73533-3B78-4654-990B-2A90254B6FD4}"/>
    <cellStyle name="Normal 2 5 3 2 8 4" xfId="31038" xr:uid="{F2789042-4E10-4DE0-A253-1E4791DDA7FB}"/>
    <cellStyle name="Normal 2 5 3 2 8 5" xfId="31039" xr:uid="{B71F725E-E13B-46A0-95CB-0EB40A0D8869}"/>
    <cellStyle name="Normal 2 5 3 2 9" xfId="31040" xr:uid="{CFBE29FC-90A7-419B-AFBB-B4E93D6A96A1}"/>
    <cellStyle name="Normal 2 5 3 2 9 2" xfId="31041" xr:uid="{1A9E40D8-06C3-4CA2-A248-47A54D1CA060}"/>
    <cellStyle name="Normal 2 5 3 2 9 3" xfId="31042" xr:uid="{705AB2B6-7BBD-4311-8297-F0A5A89B5AA1}"/>
    <cellStyle name="Normal 2 5 3 2 9 4" xfId="31043" xr:uid="{A8767258-1D7A-4159-AB70-CE674BD65EB6}"/>
    <cellStyle name="Normal 2 5 3 2 9 5" xfId="31044" xr:uid="{96A4358A-4DC1-4237-8A75-CB3F883AE93C}"/>
    <cellStyle name="Normal 2 5 3 3" xfId="31045" xr:uid="{4FA74BF6-6816-4D93-8CCA-813BE41885BD}"/>
    <cellStyle name="Normal 2 5 3 3 10" xfId="31046" xr:uid="{84DAF254-ABE8-4EE4-B4AC-06FA0AE1C698}"/>
    <cellStyle name="Normal 2 5 3 3 11" xfId="31047" xr:uid="{06CA015F-FFA8-4F64-98CE-049FF94073A3}"/>
    <cellStyle name="Normal 2 5 3 3 12" xfId="31048" xr:uid="{92B59635-1C50-4AB9-B07D-A995AE472B39}"/>
    <cellStyle name="Normal 2 5 3 3 13" xfId="31049" xr:uid="{6096B26D-5E5B-4D37-8260-A646A557A020}"/>
    <cellStyle name="Normal 2 5 3 3 2" xfId="31050" xr:uid="{C645D7F9-93D8-4CA5-9788-CA81C87CC7E3}"/>
    <cellStyle name="Normal 2 5 3 3 2 10" xfId="31051" xr:uid="{70A5FE6C-E32E-49AC-BC20-2F339DD7E12F}"/>
    <cellStyle name="Normal 2 5 3 3 2 11" xfId="31052" xr:uid="{5B7CC023-F64A-4454-8B06-8C38A755EEE8}"/>
    <cellStyle name="Normal 2 5 3 3 2 12" xfId="31053" xr:uid="{8F848ABF-4BD8-4BC8-A2DD-4F1C10701784}"/>
    <cellStyle name="Normal 2 5 3 3 2 2" xfId="31054" xr:uid="{D43183C1-3915-4EDD-AF48-09F62F32420E}"/>
    <cellStyle name="Normal 2 5 3 3 2 2 2" xfId="31055" xr:uid="{2B9FE488-0A6E-4E21-B7DE-3D4ABF1FA5D9}"/>
    <cellStyle name="Normal 2 5 3 3 2 2 2 2" xfId="31056" xr:uid="{33A037C6-54E2-432A-9624-BE0C1FE061D4}"/>
    <cellStyle name="Normal 2 5 3 3 2 2 2 3" xfId="31057" xr:uid="{DB935911-91D7-4C10-8EAE-31A5B368B6F1}"/>
    <cellStyle name="Normal 2 5 3 3 2 2 2 4" xfId="31058" xr:uid="{48BBE5AD-8FEC-4717-9246-4393C656DEBB}"/>
    <cellStyle name="Normal 2 5 3 3 2 2 2 5" xfId="31059" xr:uid="{42B8ADD1-B5EC-4540-BF61-638F38AB56EC}"/>
    <cellStyle name="Normal 2 5 3 3 2 2 3" xfId="31060" xr:uid="{FD1E6BB1-F1FD-4C28-AD93-0804DECB19C4}"/>
    <cellStyle name="Normal 2 5 3 3 2 2 4" xfId="31061" xr:uid="{E487A49F-9E87-4F92-BED7-067F4895328F}"/>
    <cellStyle name="Normal 2 5 3 3 2 2 5" xfId="31062" xr:uid="{DE2FEC0D-5E68-4BD4-9480-4F804E12124B}"/>
    <cellStyle name="Normal 2 5 3 3 2 2 6" xfId="31063" xr:uid="{4090B538-5212-4EA6-B9C3-0408C3C14527}"/>
    <cellStyle name="Normal 2 5 3 3 2 3" xfId="31064" xr:uid="{CA077EAA-7141-4939-A8F3-97AC1E851894}"/>
    <cellStyle name="Normal 2 5 3 3 2 3 2" xfId="31065" xr:uid="{C2A1FE2B-CE2A-4CF9-927F-040A4F870743}"/>
    <cellStyle name="Normal 2 5 3 3 2 3 2 2" xfId="31066" xr:uid="{E4A39007-2C2A-449E-8534-1A508C623A39}"/>
    <cellStyle name="Normal 2 5 3 3 2 3 2 3" xfId="31067" xr:uid="{8D183BDC-DBE9-4514-8D18-F112FE26AAB6}"/>
    <cellStyle name="Normal 2 5 3 3 2 3 2 4" xfId="31068" xr:uid="{03529EFC-4B3C-42E9-8546-3C6EAA3B9A3E}"/>
    <cellStyle name="Normal 2 5 3 3 2 3 2 5" xfId="31069" xr:uid="{4040F611-3351-4AF0-8C53-E90861A6CF18}"/>
    <cellStyle name="Normal 2 5 3 3 2 3 3" xfId="31070" xr:uid="{BD915716-F863-4F75-8D0A-98C43322B406}"/>
    <cellStyle name="Normal 2 5 3 3 2 3 4" xfId="31071" xr:uid="{72C23B49-CCCD-4B1D-8D9D-5459452B6200}"/>
    <cellStyle name="Normal 2 5 3 3 2 3 5" xfId="31072" xr:uid="{69D5A3DC-941B-4C27-8D10-BA95DB9B36D8}"/>
    <cellStyle name="Normal 2 5 3 3 2 3 6" xfId="31073" xr:uid="{B8CE5B53-2817-455F-BEEA-6FE87B8E4BFA}"/>
    <cellStyle name="Normal 2 5 3 3 2 4" xfId="31074" xr:uid="{7048779D-47EA-48EE-AB0D-8EC6256982B8}"/>
    <cellStyle name="Normal 2 5 3 3 2 4 2" xfId="31075" xr:uid="{1DA18680-4E2A-48FF-8016-855B92C3B1E0}"/>
    <cellStyle name="Normal 2 5 3 3 2 4 2 2" xfId="31076" xr:uid="{7E33E33B-BEBB-4901-92A9-1FBA1F734527}"/>
    <cellStyle name="Normal 2 5 3 3 2 4 2 3" xfId="31077" xr:uid="{6012950A-4ACD-479A-BF6A-E51AABFCF625}"/>
    <cellStyle name="Normal 2 5 3 3 2 4 2 4" xfId="31078" xr:uid="{A9A61336-7C56-45B1-BE1F-578E3FB62CFC}"/>
    <cellStyle name="Normal 2 5 3 3 2 4 2 5" xfId="31079" xr:uid="{9BCF4F3E-7F66-43B5-8A5A-6983DF146774}"/>
    <cellStyle name="Normal 2 5 3 3 2 4 3" xfId="31080" xr:uid="{9B651BCD-BB3C-4CF3-82FF-EA3C40F599DF}"/>
    <cellStyle name="Normal 2 5 3 3 2 4 4" xfId="31081" xr:uid="{FBA5581A-4C5B-4BD2-B978-EF8212AEB52C}"/>
    <cellStyle name="Normal 2 5 3 3 2 4 5" xfId="31082" xr:uid="{F2F28E27-7F0B-4349-96B2-FE803D8CB760}"/>
    <cellStyle name="Normal 2 5 3 3 2 4 6" xfId="31083" xr:uid="{8CC24FDC-2F47-4AD5-B8AA-F40DA4F6E3EA}"/>
    <cellStyle name="Normal 2 5 3 3 2 5" xfId="31084" xr:uid="{65FC0EC7-4559-44C8-ABD7-0C244A8D0141}"/>
    <cellStyle name="Normal 2 5 3 3 2 5 2" xfId="31085" xr:uid="{C07D4524-B0BF-41E9-8641-AB6E6212635B}"/>
    <cellStyle name="Normal 2 5 3 3 2 5 3" xfId="31086" xr:uid="{46AC2548-2E01-4B6A-B911-1593691E58B0}"/>
    <cellStyle name="Normal 2 5 3 3 2 5 4" xfId="31087" xr:uid="{0BEC65FD-3641-4848-991C-0ED507220976}"/>
    <cellStyle name="Normal 2 5 3 3 2 5 5" xfId="31088" xr:uid="{1FD4CC96-6FB0-4663-AB40-175557FA9CCB}"/>
    <cellStyle name="Normal 2 5 3 3 2 6" xfId="31089" xr:uid="{F49EBC75-B46A-4BCB-8605-EBAF4CD2567E}"/>
    <cellStyle name="Normal 2 5 3 3 2 6 2" xfId="31090" xr:uid="{5DE6BAD1-9106-4866-B13E-E8115E7E2785}"/>
    <cellStyle name="Normal 2 5 3 3 2 6 3" xfId="31091" xr:uid="{A164C437-C5FD-4AA7-B3F1-64A92D40D9E4}"/>
    <cellStyle name="Normal 2 5 3 3 2 6 4" xfId="31092" xr:uid="{367653F5-42FA-44D9-9FC2-0C7766904AD7}"/>
    <cellStyle name="Normal 2 5 3 3 2 6 5" xfId="31093" xr:uid="{D8349EBB-B829-4A2E-85D6-6D6D72447214}"/>
    <cellStyle name="Normal 2 5 3 3 2 7" xfId="31094" xr:uid="{4F146DC3-39D7-4279-B9CC-5421A16255BD}"/>
    <cellStyle name="Normal 2 5 3 3 2 7 2" xfId="31095" xr:uid="{05B82583-AA17-457D-880B-5766232C6B74}"/>
    <cellStyle name="Normal 2 5 3 3 2 7 3" xfId="31096" xr:uid="{6B6F5B62-8E1F-45F0-99BF-D64FAB303981}"/>
    <cellStyle name="Normal 2 5 3 3 2 7 4" xfId="31097" xr:uid="{AD91B9D3-B5A8-4263-955F-DF2922747C3C}"/>
    <cellStyle name="Normal 2 5 3 3 2 7 5" xfId="31098" xr:uid="{C5C005FF-90E4-4C97-90BE-2DB9192198D4}"/>
    <cellStyle name="Normal 2 5 3 3 2 8" xfId="31099" xr:uid="{96CC9D8B-DDA1-4DBC-9C01-DB3452B22E1E}"/>
    <cellStyle name="Normal 2 5 3 3 2 8 2" xfId="31100" xr:uid="{35FBCF5F-DE49-40E0-AAF4-61734AE860C7}"/>
    <cellStyle name="Normal 2 5 3 3 2 8 3" xfId="31101" xr:uid="{267B3EB1-08BD-40B5-B160-3F5892FE3C5D}"/>
    <cellStyle name="Normal 2 5 3 3 2 8 4" xfId="31102" xr:uid="{B0DB5CD6-9453-4548-8C76-468198AD6BA1}"/>
    <cellStyle name="Normal 2 5 3 3 2 8 5" xfId="31103" xr:uid="{0F6A6D3D-6638-43DC-B701-973A34953F8C}"/>
    <cellStyle name="Normal 2 5 3 3 2 9" xfId="31104" xr:uid="{600E3E39-1744-494D-ADBF-EE980E48E23A}"/>
    <cellStyle name="Normal 2 5 3 3 3" xfId="31105" xr:uid="{4C003EF8-D6BC-4E46-BBC9-0817AE579B1A}"/>
    <cellStyle name="Normal 2 5 3 3 3 2" xfId="31106" xr:uid="{31F26DE6-3199-4AC0-B86E-70E8EED4094A}"/>
    <cellStyle name="Normal 2 5 3 3 3 2 2" xfId="31107" xr:uid="{1ADAD4CD-C6D1-4F05-87E5-B2BC2D8C5786}"/>
    <cellStyle name="Normal 2 5 3 3 3 2 3" xfId="31108" xr:uid="{44E89469-DDEB-4ECB-A71B-9EA726BD4EA7}"/>
    <cellStyle name="Normal 2 5 3 3 3 2 4" xfId="31109" xr:uid="{E13F5BF3-FCCD-4D6D-98C6-AC159673B4DD}"/>
    <cellStyle name="Normal 2 5 3 3 3 2 5" xfId="31110" xr:uid="{2E0D6021-C07C-42B3-AEAA-7B1C9FD740D7}"/>
    <cellStyle name="Normal 2 5 3 3 3 3" xfId="31111" xr:uid="{DF9182A7-86C0-4CAA-BCD1-EAA04998A0E4}"/>
    <cellStyle name="Normal 2 5 3 3 3 4" xfId="31112" xr:uid="{A8844952-BA80-4F40-9853-DA562A7AE5DC}"/>
    <cellStyle name="Normal 2 5 3 3 3 5" xfId="31113" xr:uid="{F3A250D1-B1E6-4385-938B-A9F8EBCC6AD3}"/>
    <cellStyle name="Normal 2 5 3 3 3 6" xfId="31114" xr:uid="{D9E87153-071D-4E9A-BCDC-5ADB48965D47}"/>
    <cellStyle name="Normal 2 5 3 3 4" xfId="31115" xr:uid="{07BE7801-260F-4412-BE82-DC9396D672E9}"/>
    <cellStyle name="Normal 2 5 3 3 4 2" xfId="31116" xr:uid="{3752EB85-522E-4BDD-892A-D4B82BF9FD95}"/>
    <cellStyle name="Normal 2 5 3 3 4 2 2" xfId="31117" xr:uid="{D4A6453A-7FCC-4F62-BE2A-0E279730115D}"/>
    <cellStyle name="Normal 2 5 3 3 4 2 3" xfId="31118" xr:uid="{8CE79DAB-E110-4027-9325-F56CBB180A75}"/>
    <cellStyle name="Normal 2 5 3 3 4 2 4" xfId="31119" xr:uid="{9BE7A195-7433-4F43-9068-552C506038DC}"/>
    <cellStyle name="Normal 2 5 3 3 4 2 5" xfId="31120" xr:uid="{988BF4BF-7C97-4837-A602-83AC590A4327}"/>
    <cellStyle name="Normal 2 5 3 3 4 3" xfId="31121" xr:uid="{078893BA-089E-4446-92E6-6E746E99ACC9}"/>
    <cellStyle name="Normal 2 5 3 3 4 4" xfId="31122" xr:uid="{333D4C4E-C7AD-4B75-A141-BB5F5EEC7C22}"/>
    <cellStyle name="Normal 2 5 3 3 4 5" xfId="31123" xr:uid="{2059D73B-AACD-4BB6-B925-F82E80E47FC9}"/>
    <cellStyle name="Normal 2 5 3 3 4 6" xfId="31124" xr:uid="{1EDE6B0C-29B7-419D-89FF-ED52CB4F5E40}"/>
    <cellStyle name="Normal 2 5 3 3 5" xfId="31125" xr:uid="{69A84C69-61CF-47BF-8E99-FD557F0CC808}"/>
    <cellStyle name="Normal 2 5 3 3 5 2" xfId="31126" xr:uid="{DB781718-08EB-4F80-846C-AB5EF5CEE51F}"/>
    <cellStyle name="Normal 2 5 3 3 5 2 2" xfId="31127" xr:uid="{72368AAE-7FF5-40F4-90DA-EA33F75335A5}"/>
    <cellStyle name="Normal 2 5 3 3 5 2 3" xfId="31128" xr:uid="{3012CEE7-01BA-4051-8C12-D65841629952}"/>
    <cellStyle name="Normal 2 5 3 3 5 2 4" xfId="31129" xr:uid="{BA2DBC68-BB9C-4386-9403-D68624033F76}"/>
    <cellStyle name="Normal 2 5 3 3 5 2 5" xfId="31130" xr:uid="{17A0692C-E248-4ADB-9059-FE0BD5B149EE}"/>
    <cellStyle name="Normal 2 5 3 3 5 3" xfId="31131" xr:uid="{468BB05D-FC60-48DE-83C7-CA1CD07CD04F}"/>
    <cellStyle name="Normal 2 5 3 3 5 4" xfId="31132" xr:uid="{95C2A021-9E9E-446D-8CD8-DF22B8235247}"/>
    <cellStyle name="Normal 2 5 3 3 5 5" xfId="31133" xr:uid="{E4A2AE98-C5B2-446A-82C6-D147C3B22942}"/>
    <cellStyle name="Normal 2 5 3 3 5 6" xfId="31134" xr:uid="{745EA6DA-BD5B-4712-B618-00682C04C2A2}"/>
    <cellStyle name="Normal 2 5 3 3 6" xfId="31135" xr:uid="{76C304CE-C994-410B-B775-3233EA55CCFE}"/>
    <cellStyle name="Normal 2 5 3 3 6 2" xfId="31136" xr:uid="{7CDC4BF4-4936-43A1-91BB-84A7D2820F40}"/>
    <cellStyle name="Normal 2 5 3 3 6 3" xfId="31137" xr:uid="{B53ECB2B-F1D8-4331-ADAA-9767AE9D7161}"/>
    <cellStyle name="Normal 2 5 3 3 6 4" xfId="31138" xr:uid="{86197ADC-A57A-4840-9123-A3D1B24566E2}"/>
    <cellStyle name="Normal 2 5 3 3 6 5" xfId="31139" xr:uid="{7E6570BB-874E-4A58-8714-338F7B5E4610}"/>
    <cellStyle name="Normal 2 5 3 3 7" xfId="31140" xr:uid="{980B5C9E-27BA-48A5-B763-1FA21EBCC4C9}"/>
    <cellStyle name="Normal 2 5 3 3 7 2" xfId="31141" xr:uid="{421350E6-2AC4-4DB0-AA65-3143748BCE51}"/>
    <cellStyle name="Normal 2 5 3 3 7 3" xfId="31142" xr:uid="{27BC4D55-3A63-4B27-8E44-5E97BDF218AE}"/>
    <cellStyle name="Normal 2 5 3 3 7 4" xfId="31143" xr:uid="{605EE391-6F49-4650-9DA4-5E5059F56408}"/>
    <cellStyle name="Normal 2 5 3 3 7 5" xfId="31144" xr:uid="{7FC9D2BB-0393-4470-B0D7-06BFBFF13B99}"/>
    <cellStyle name="Normal 2 5 3 3 8" xfId="31145" xr:uid="{9D2DE7C4-ABC3-421A-96ED-6CE3F5F311B6}"/>
    <cellStyle name="Normal 2 5 3 3 8 2" xfId="31146" xr:uid="{EC6F47F7-B70E-4CC2-9343-6B747C9373DB}"/>
    <cellStyle name="Normal 2 5 3 3 8 3" xfId="31147" xr:uid="{0DB8A270-F4EE-49C5-BD94-E29471BB019D}"/>
    <cellStyle name="Normal 2 5 3 3 8 4" xfId="31148" xr:uid="{261FC035-2F8D-450A-9DB8-3DA260CE38E8}"/>
    <cellStyle name="Normal 2 5 3 3 8 5" xfId="31149" xr:uid="{94EFFEB5-522D-44EF-AFA2-5CC9873B0C8D}"/>
    <cellStyle name="Normal 2 5 3 3 9" xfId="31150" xr:uid="{9337C61C-9FC3-42A7-9D20-AC6E856BAF3F}"/>
    <cellStyle name="Normal 2 5 3 3 9 2" xfId="31151" xr:uid="{301B0E24-C2A7-4167-9C2C-5A508CE2301E}"/>
    <cellStyle name="Normal 2 5 3 3 9 3" xfId="31152" xr:uid="{0321D16F-CEC0-4258-B87E-D4ED2D39E090}"/>
    <cellStyle name="Normal 2 5 3 3 9 4" xfId="31153" xr:uid="{D5A6CAA2-92C6-424B-AA1D-CFE205DEFF5B}"/>
    <cellStyle name="Normal 2 5 3 3 9 5" xfId="31154" xr:uid="{CFB14814-AF93-4D31-83A2-0446F1DCA5EE}"/>
    <cellStyle name="Normal 2 5 3 4" xfId="31155" xr:uid="{1264CE66-A6FC-45C0-8BDA-E6D6276CB4F7}"/>
    <cellStyle name="Normal 2 5 3 4 10" xfId="31156" xr:uid="{F5DC8EF9-1F8D-4DEB-A60A-7887A00C705C}"/>
    <cellStyle name="Normal 2 5 3 4 11" xfId="31157" xr:uid="{C5D2CF5C-CCB6-4F30-8099-70031C010A49}"/>
    <cellStyle name="Normal 2 5 3 4 12" xfId="31158" xr:uid="{2F42D066-7B33-48E7-8545-2704673EDA23}"/>
    <cellStyle name="Normal 2 5 3 4 2" xfId="31159" xr:uid="{064062C0-B77D-4B1F-8E2C-5DF6F0FDC4DD}"/>
    <cellStyle name="Normal 2 5 3 4 2 2" xfId="31160" xr:uid="{E07BB190-A7D3-433F-9137-66C8ABEA9A83}"/>
    <cellStyle name="Normal 2 5 3 4 2 2 2" xfId="31161" xr:uid="{35BB29AD-2B62-48B9-BF17-7342AEEA0315}"/>
    <cellStyle name="Normal 2 5 3 4 2 2 3" xfId="31162" xr:uid="{047F44D8-019C-40FB-98BF-748EE7E86C38}"/>
    <cellStyle name="Normal 2 5 3 4 2 2 4" xfId="31163" xr:uid="{2BC5151B-1931-472E-AE9F-A799FC8762C6}"/>
    <cellStyle name="Normal 2 5 3 4 2 2 5" xfId="31164" xr:uid="{724EF228-6CD6-4D7B-8FEE-7648828D24F4}"/>
    <cellStyle name="Normal 2 5 3 4 2 3" xfId="31165" xr:uid="{0E3A830C-F89A-4BE4-9BCD-C6C271F26B89}"/>
    <cellStyle name="Normal 2 5 3 4 2 4" xfId="31166" xr:uid="{B5777088-8C51-4562-91A8-08C5926DE1B7}"/>
    <cellStyle name="Normal 2 5 3 4 2 5" xfId="31167" xr:uid="{A6C31F81-0267-4B2F-8AD0-3C0D54C0D69A}"/>
    <cellStyle name="Normal 2 5 3 4 2 6" xfId="31168" xr:uid="{0EAB2FAB-B940-44F7-B56A-B5E3E17B1854}"/>
    <cellStyle name="Normal 2 5 3 4 3" xfId="31169" xr:uid="{B5A83260-A6E4-4CD7-9324-A21FCCBC7BB6}"/>
    <cellStyle name="Normal 2 5 3 4 3 2" xfId="31170" xr:uid="{6B8D78A4-90DB-492E-8524-52C6A5F8644C}"/>
    <cellStyle name="Normal 2 5 3 4 3 2 2" xfId="31171" xr:uid="{292979E2-840C-498D-8F0F-0AB33812E5B8}"/>
    <cellStyle name="Normal 2 5 3 4 3 2 3" xfId="31172" xr:uid="{E265A218-A2FD-4B7E-8627-0F11A79642E2}"/>
    <cellStyle name="Normal 2 5 3 4 3 2 4" xfId="31173" xr:uid="{84DD4A74-4781-4FB5-8F91-A3AA97BBE661}"/>
    <cellStyle name="Normal 2 5 3 4 3 2 5" xfId="31174" xr:uid="{C61FE143-67DD-40C7-8928-77E8DDE997E2}"/>
    <cellStyle name="Normal 2 5 3 4 3 3" xfId="31175" xr:uid="{D01A90DD-8C8A-4F84-A478-E7E65E6C6DE3}"/>
    <cellStyle name="Normal 2 5 3 4 3 4" xfId="31176" xr:uid="{DCD28F62-3FD0-4059-8925-F9C1862FE412}"/>
    <cellStyle name="Normal 2 5 3 4 3 5" xfId="31177" xr:uid="{88198FC0-E816-4888-9E28-79CDDAE60C56}"/>
    <cellStyle name="Normal 2 5 3 4 3 6" xfId="31178" xr:uid="{F79F4055-5849-4BA5-B55E-E629AD54901F}"/>
    <cellStyle name="Normal 2 5 3 4 4" xfId="31179" xr:uid="{5190E708-B84D-44A7-92EC-39339EFF1FFE}"/>
    <cellStyle name="Normal 2 5 3 4 4 2" xfId="31180" xr:uid="{14856FAF-5AA2-4767-ABC9-5DA610E60F3E}"/>
    <cellStyle name="Normal 2 5 3 4 4 2 2" xfId="31181" xr:uid="{FFC59B74-9F5F-40B4-88A9-3E964416EF4F}"/>
    <cellStyle name="Normal 2 5 3 4 4 2 3" xfId="31182" xr:uid="{E6C4641D-055D-49C7-B11F-9FB353E6C3E5}"/>
    <cellStyle name="Normal 2 5 3 4 4 2 4" xfId="31183" xr:uid="{32B35EAC-4593-4DD6-8B16-96213F4AF0B9}"/>
    <cellStyle name="Normal 2 5 3 4 4 2 5" xfId="31184" xr:uid="{7E2AC633-F476-4364-8E75-0635B7516850}"/>
    <cellStyle name="Normal 2 5 3 4 4 3" xfId="31185" xr:uid="{245A5E9A-C81D-4518-8E32-4691B9DD2A1C}"/>
    <cellStyle name="Normal 2 5 3 4 4 4" xfId="31186" xr:uid="{0E706E5A-1B62-4A9A-80D8-C7EA5A5A4759}"/>
    <cellStyle name="Normal 2 5 3 4 4 5" xfId="31187" xr:uid="{125553B9-2DD0-4FF0-89EC-08AC1ADF121D}"/>
    <cellStyle name="Normal 2 5 3 4 4 6" xfId="31188" xr:uid="{32403DD1-861D-446A-8431-CF0F0D253B80}"/>
    <cellStyle name="Normal 2 5 3 4 5" xfId="31189" xr:uid="{741781D8-4F53-4202-BCB9-EEB7F14DA113}"/>
    <cellStyle name="Normal 2 5 3 4 5 2" xfId="31190" xr:uid="{9626A256-A99E-4140-97DF-4BBD5565B36D}"/>
    <cellStyle name="Normal 2 5 3 4 5 3" xfId="31191" xr:uid="{1BC7C6D4-5B42-4EFA-91B9-60A2AF1334CC}"/>
    <cellStyle name="Normal 2 5 3 4 5 4" xfId="31192" xr:uid="{D6085DC7-C6C1-4F27-A49F-A1BCF631D5DD}"/>
    <cellStyle name="Normal 2 5 3 4 5 5" xfId="31193" xr:uid="{6711E58C-7FDC-4B09-83C8-4FE7FC5741AE}"/>
    <cellStyle name="Normal 2 5 3 4 6" xfId="31194" xr:uid="{A86FDDA5-D4A4-4F21-A324-7394F97559B1}"/>
    <cellStyle name="Normal 2 5 3 4 6 2" xfId="31195" xr:uid="{6E01B237-2745-41AF-B394-D37391BA4F8B}"/>
    <cellStyle name="Normal 2 5 3 4 6 3" xfId="31196" xr:uid="{63FA0101-914D-4D91-BAE9-EFC60D423D6D}"/>
    <cellStyle name="Normal 2 5 3 4 6 4" xfId="31197" xr:uid="{564B6439-D9DD-449E-9AA0-497C7A825AD3}"/>
    <cellStyle name="Normal 2 5 3 4 6 5" xfId="31198" xr:uid="{B0E2AD92-593E-4A33-A27B-4BB896FA5C1D}"/>
    <cellStyle name="Normal 2 5 3 4 7" xfId="31199" xr:uid="{23DDE370-44BD-4E73-A1E3-B468E7FA8990}"/>
    <cellStyle name="Normal 2 5 3 4 7 2" xfId="31200" xr:uid="{816FD7B3-D02F-4BA4-95FD-079BBAF6F21B}"/>
    <cellStyle name="Normal 2 5 3 4 7 3" xfId="31201" xr:uid="{6F696538-BB59-4C65-9AFF-3AD24BBFF4C8}"/>
    <cellStyle name="Normal 2 5 3 4 7 4" xfId="31202" xr:uid="{77A883B2-88B2-4EC4-A029-880AFE4C9A24}"/>
    <cellStyle name="Normal 2 5 3 4 7 5" xfId="31203" xr:uid="{44BF9F0A-98B9-4163-AB61-D61D22BDF63A}"/>
    <cellStyle name="Normal 2 5 3 4 8" xfId="31204" xr:uid="{96EFFFE9-DF9A-4D40-A11D-777725ADA929}"/>
    <cellStyle name="Normal 2 5 3 4 8 2" xfId="31205" xr:uid="{E6F35275-B22F-489E-BF4A-B6FEECCDCD04}"/>
    <cellStyle name="Normal 2 5 3 4 8 3" xfId="31206" xr:uid="{EE0A8B8E-84A9-404B-B25E-5F56550CA379}"/>
    <cellStyle name="Normal 2 5 3 4 8 4" xfId="31207" xr:uid="{2DD2CE22-20BA-48FD-8FAD-FF81182FA4B3}"/>
    <cellStyle name="Normal 2 5 3 4 8 5" xfId="31208" xr:uid="{C0161624-1798-4884-893E-721E579C10F8}"/>
    <cellStyle name="Normal 2 5 3 4 9" xfId="31209" xr:uid="{F3390DD6-0E8B-449E-9916-B33B3B8516E0}"/>
    <cellStyle name="Normal 2 5 3 5" xfId="31210" xr:uid="{9CA41FE0-A55D-48AF-829E-7BA3F6AC4716}"/>
    <cellStyle name="Normal 2 5 3 5 2" xfId="31211" xr:uid="{9EA5FB42-D880-49F7-976B-FED6E9ED53D3}"/>
    <cellStyle name="Normal 2 5 3 5 2 2" xfId="31212" xr:uid="{DFAF4BE0-26D2-4BB3-84EF-A4AE53F0ECB3}"/>
    <cellStyle name="Normal 2 5 3 5 2 3" xfId="31213" xr:uid="{8491D8A6-F8FC-490D-A49E-CB75F16915DC}"/>
    <cellStyle name="Normal 2 5 3 5 2 4" xfId="31214" xr:uid="{98EDDADB-BA07-4BE1-9A40-316FC1D7E097}"/>
    <cellStyle name="Normal 2 5 3 5 2 5" xfId="31215" xr:uid="{43D9E4E5-AF89-4CC0-B5E4-594B81FBA46B}"/>
    <cellStyle name="Normal 2 5 3 5 3" xfId="31216" xr:uid="{A9B5FB99-79D2-411E-A82C-4253C3730A3D}"/>
    <cellStyle name="Normal 2 5 3 5 4" xfId="31217" xr:uid="{D34215F8-901F-48C4-BC48-CCD68AE1421E}"/>
    <cellStyle name="Normal 2 5 3 5 5" xfId="31218" xr:uid="{6311041F-4DEB-4DBD-8E6F-144FB90AB62D}"/>
    <cellStyle name="Normal 2 5 3 5 6" xfId="31219" xr:uid="{AF9EF174-DAA4-42DA-8E5B-65368A6EB7F5}"/>
    <cellStyle name="Normal 2 5 3 6" xfId="31220" xr:uid="{66941AC3-82F2-4855-BA2A-78E18154DF44}"/>
    <cellStyle name="Normal 2 5 3 6 2" xfId="31221" xr:uid="{AEC9FE2D-6DA0-4FF6-A272-F2B86AD7C7F6}"/>
    <cellStyle name="Normal 2 5 3 6 2 2" xfId="31222" xr:uid="{CB48A393-CEAB-47DA-9729-813335EF6CFA}"/>
    <cellStyle name="Normal 2 5 3 6 2 3" xfId="31223" xr:uid="{658D700E-F617-4CA4-BED7-E789FEB9867B}"/>
    <cellStyle name="Normal 2 5 3 6 2 4" xfId="31224" xr:uid="{7926F023-A68E-4FCC-9813-4818D0558911}"/>
    <cellStyle name="Normal 2 5 3 6 2 5" xfId="31225" xr:uid="{62438771-D188-4AAB-96AC-E557B20583AD}"/>
    <cellStyle name="Normal 2 5 3 6 3" xfId="31226" xr:uid="{69B9DA04-6E7D-4FA8-B62F-0D35233862AA}"/>
    <cellStyle name="Normal 2 5 3 6 4" xfId="31227" xr:uid="{5E3CA96F-DE71-4122-8415-05AF59D50465}"/>
    <cellStyle name="Normal 2 5 3 6 5" xfId="31228" xr:uid="{930E2828-1EE5-491F-8C1C-74F3C665E01B}"/>
    <cellStyle name="Normal 2 5 3 6 6" xfId="31229" xr:uid="{0F187EDD-D600-4F32-AC15-367ED322A3BE}"/>
    <cellStyle name="Normal 2 5 3 7" xfId="31230" xr:uid="{0BC355D6-7778-43B8-B010-76B950B28813}"/>
    <cellStyle name="Normal 2 5 3 7 2" xfId="31231" xr:uid="{D4754BE2-F806-4E26-B4BD-B35C34EE9AC7}"/>
    <cellStyle name="Normal 2 5 3 7 2 2" xfId="31232" xr:uid="{99B8EE87-5B6B-4685-9E55-75F27A95F231}"/>
    <cellStyle name="Normal 2 5 3 7 2 3" xfId="31233" xr:uid="{BFAAA348-D4E2-446F-9C9A-E229CCF9F515}"/>
    <cellStyle name="Normal 2 5 3 7 2 4" xfId="31234" xr:uid="{F050FD1B-7871-4400-808B-F5C95DAD862B}"/>
    <cellStyle name="Normal 2 5 3 7 2 5" xfId="31235" xr:uid="{831A51FD-15AD-41A0-9A56-6EECB074AB0A}"/>
    <cellStyle name="Normal 2 5 3 7 3" xfId="31236" xr:uid="{9CAB262B-FE6F-4204-8368-59EA53C3DF42}"/>
    <cellStyle name="Normal 2 5 3 7 4" xfId="31237" xr:uid="{4B331835-0A18-4D1F-9852-512FBF31E4CB}"/>
    <cellStyle name="Normal 2 5 3 7 5" xfId="31238" xr:uid="{A2B9D5CF-20EA-4D19-BC79-D499D76B250E}"/>
    <cellStyle name="Normal 2 5 3 7 6" xfId="31239" xr:uid="{25D35D68-BB04-4714-B613-22DEAF391568}"/>
    <cellStyle name="Normal 2 5 3 8" xfId="31240" xr:uid="{BCAE8E5C-01B0-4DE1-AB02-2D2638784402}"/>
    <cellStyle name="Normal 2 5 3 8 2" xfId="31241" xr:uid="{AC08668F-1C28-40D3-B680-C040C8B5E2C0}"/>
    <cellStyle name="Normal 2 5 3 8 3" xfId="31242" xr:uid="{0200E26F-1248-4FB7-BB96-5A1B18283B0E}"/>
    <cellStyle name="Normal 2 5 3 8 4" xfId="31243" xr:uid="{2A79F52B-F020-488F-A485-CE7495E9EDCB}"/>
    <cellStyle name="Normal 2 5 3 8 5" xfId="31244" xr:uid="{039DCEAC-50D6-4979-B5A7-2B04F53EEF63}"/>
    <cellStyle name="Normal 2 5 3 9" xfId="31245" xr:uid="{7B36968B-7D3A-40E4-8A73-954D84C73908}"/>
    <cellStyle name="Normal 2 5 3 9 2" xfId="31246" xr:uid="{B534B4DF-33A2-4436-827A-F58230528108}"/>
    <cellStyle name="Normal 2 5 3 9 3" xfId="31247" xr:uid="{653382D0-5635-4E12-B4B2-02ED19CFEFF7}"/>
    <cellStyle name="Normal 2 5 3 9 4" xfId="31248" xr:uid="{AE1ADDDC-ABC7-4E13-BAA5-323DE54C7E7A}"/>
    <cellStyle name="Normal 2 5 3 9 5" xfId="31249" xr:uid="{4688588F-58D7-4594-9012-68EB3E9A7FB0}"/>
    <cellStyle name="Normal 2 5 4" xfId="31250" xr:uid="{6A1D0756-765C-45FD-B962-3091A22CB803}"/>
    <cellStyle name="Normal 2 5 4 10" xfId="31251" xr:uid="{022E17AF-BF3C-49AB-9111-B6378930E7B8}"/>
    <cellStyle name="Normal 2 5 4 10 2" xfId="31252" xr:uid="{CDAEEFA8-BCF9-4340-B3DB-B38D467E7DFA}"/>
    <cellStyle name="Normal 2 5 4 10 3" xfId="31253" xr:uid="{76E54F58-CF65-4A22-8EAD-04010292FE7C}"/>
    <cellStyle name="Normal 2 5 4 10 4" xfId="31254" xr:uid="{79EEA4AA-D70C-468C-AB6C-D58B925E8F77}"/>
    <cellStyle name="Normal 2 5 4 10 5" xfId="31255" xr:uid="{66C13CAF-2785-4D60-B057-9986987E77A9}"/>
    <cellStyle name="Normal 2 5 4 11" xfId="31256" xr:uid="{25B5EC1B-67C7-4B24-8BCC-CF93050BE9B6}"/>
    <cellStyle name="Normal 2 5 4 11 2" xfId="31257" xr:uid="{650DAE7A-60DE-4634-A0ED-D4B07DCE2DD7}"/>
    <cellStyle name="Normal 2 5 4 11 3" xfId="31258" xr:uid="{D4CDC898-691C-4C31-9658-2FD11CC50C63}"/>
    <cellStyle name="Normal 2 5 4 11 4" xfId="31259" xr:uid="{85AFA057-A2BD-48FE-8E22-17E3B5848DAA}"/>
    <cellStyle name="Normal 2 5 4 11 5" xfId="31260" xr:uid="{EE7F4EE2-E085-40FF-8412-D48E272522A4}"/>
    <cellStyle name="Normal 2 5 4 12" xfId="31261" xr:uid="{9B0C6AE0-FE44-4DB5-9651-79C9DC27BC07}"/>
    <cellStyle name="Normal 2 5 4 13" xfId="31262" xr:uid="{43D71717-7BD4-466A-A77C-9F5AC0DFF6CD}"/>
    <cellStyle name="Normal 2 5 4 14" xfId="31263" xr:uid="{B613CAAC-2CA7-4EDB-9B74-938E657416C4}"/>
    <cellStyle name="Normal 2 5 4 15" xfId="31264" xr:uid="{46973137-5E71-43CB-8A84-E979856D271D}"/>
    <cellStyle name="Normal 2 5 4 2" xfId="31265" xr:uid="{795DB5C0-06D4-4728-AF01-3D17AC8371E1}"/>
    <cellStyle name="Normal 2 5 4 2 10" xfId="31266" xr:uid="{28D73CFD-E198-4588-99A6-F9B39D90E0A8}"/>
    <cellStyle name="Normal 2 5 4 2 10 2" xfId="31267" xr:uid="{4710F1D4-19D1-43FC-B2DF-E860FC9A967C}"/>
    <cellStyle name="Normal 2 5 4 2 10 3" xfId="31268" xr:uid="{F8654E4C-18CF-402D-88DA-AB3703D6F3F8}"/>
    <cellStyle name="Normal 2 5 4 2 10 4" xfId="31269" xr:uid="{CC27CC2B-FABB-48F8-A959-2DD933C2F2C1}"/>
    <cellStyle name="Normal 2 5 4 2 10 5" xfId="31270" xr:uid="{5B1591AD-B9B1-45EB-A8A9-22AA9F9C17C0}"/>
    <cellStyle name="Normal 2 5 4 2 11" xfId="31271" xr:uid="{9847A6CB-3D34-4644-A0E6-1118870C4DCE}"/>
    <cellStyle name="Normal 2 5 4 2 12" xfId="31272" xr:uid="{C6C81200-3049-40CF-BCDA-14DC7DDB8B49}"/>
    <cellStyle name="Normal 2 5 4 2 13" xfId="31273" xr:uid="{1E2D497E-642A-4619-A0F0-E8A63B0705B3}"/>
    <cellStyle name="Normal 2 5 4 2 14" xfId="31274" xr:uid="{168E4A68-DE18-43D1-8892-5AB32248ECA3}"/>
    <cellStyle name="Normal 2 5 4 2 2" xfId="31275" xr:uid="{77EB4A6F-2778-40BD-8E80-4CE05A1111F2}"/>
    <cellStyle name="Normal 2 5 4 2 2 10" xfId="31276" xr:uid="{94C97BCF-E73D-41C4-8405-C93B7A7EFB78}"/>
    <cellStyle name="Normal 2 5 4 2 2 11" xfId="31277" xr:uid="{4C08CA76-933F-4695-A508-2AB059474861}"/>
    <cellStyle name="Normal 2 5 4 2 2 12" xfId="31278" xr:uid="{5FEB370E-CFEC-44A1-81EA-DE3996DACEDC}"/>
    <cellStyle name="Normal 2 5 4 2 2 13" xfId="31279" xr:uid="{ABB4843A-84E7-4755-88C7-F31510C2AFBA}"/>
    <cellStyle name="Normal 2 5 4 2 2 2" xfId="31280" xr:uid="{44664598-C54E-43A5-9435-340F661DF281}"/>
    <cellStyle name="Normal 2 5 4 2 2 2 10" xfId="31281" xr:uid="{66427C17-6000-47A4-AD7E-6A0AA0BE8B1A}"/>
    <cellStyle name="Normal 2 5 4 2 2 2 11" xfId="31282" xr:uid="{1D65175A-E297-45E4-9072-C6CD055A3AB1}"/>
    <cellStyle name="Normal 2 5 4 2 2 2 12" xfId="31283" xr:uid="{D9B998C9-A664-4280-8479-A2012DAA9C54}"/>
    <cellStyle name="Normal 2 5 4 2 2 2 2" xfId="31284" xr:uid="{790A9554-6F2C-4F57-B4D0-4ABC1905085C}"/>
    <cellStyle name="Normal 2 5 4 2 2 2 2 2" xfId="31285" xr:uid="{359873F7-52FC-4E15-B75A-02DDDEA7FDE9}"/>
    <cellStyle name="Normal 2 5 4 2 2 2 2 2 2" xfId="31286" xr:uid="{E9FEEA67-4F8A-46D8-B4F7-5C2C9CD1DE0E}"/>
    <cellStyle name="Normal 2 5 4 2 2 2 2 2 3" xfId="31287" xr:uid="{66DE2086-0795-4E11-9D3C-EA90D222D915}"/>
    <cellStyle name="Normal 2 5 4 2 2 2 2 2 4" xfId="31288" xr:uid="{B01175D6-4E4F-4B12-A08E-5924FAFB37BA}"/>
    <cellStyle name="Normal 2 5 4 2 2 2 2 2 5" xfId="31289" xr:uid="{14F61A9E-DAFF-440B-B3F7-9F0E4B335F2B}"/>
    <cellStyle name="Normal 2 5 4 2 2 2 2 3" xfId="31290" xr:uid="{8B286EED-4902-4B74-8AAE-5DE762298F67}"/>
    <cellStyle name="Normal 2 5 4 2 2 2 2 4" xfId="31291" xr:uid="{CA921198-AE31-45B5-B340-9682D381386B}"/>
    <cellStyle name="Normal 2 5 4 2 2 2 2 5" xfId="31292" xr:uid="{08A0A3CC-C3FD-4660-BA55-10499FC8C5EE}"/>
    <cellStyle name="Normal 2 5 4 2 2 2 2 6" xfId="31293" xr:uid="{5657F3C1-5504-4C1D-90E7-D38041E9471D}"/>
    <cellStyle name="Normal 2 5 4 2 2 2 3" xfId="31294" xr:uid="{3D1FC697-3028-4DBE-825C-22A883D1D83A}"/>
    <cellStyle name="Normal 2 5 4 2 2 2 3 2" xfId="31295" xr:uid="{C368B37B-CC30-49EE-A302-E0B3C6A410C9}"/>
    <cellStyle name="Normal 2 5 4 2 2 2 3 2 2" xfId="31296" xr:uid="{665034C4-5EED-4C90-B2AA-97BBE4EDDFD9}"/>
    <cellStyle name="Normal 2 5 4 2 2 2 3 2 3" xfId="31297" xr:uid="{933D0F0F-70DB-4E5D-B0F9-138385196BA7}"/>
    <cellStyle name="Normal 2 5 4 2 2 2 3 2 4" xfId="31298" xr:uid="{C660640E-B45C-4934-96C7-68B494AF67A0}"/>
    <cellStyle name="Normal 2 5 4 2 2 2 3 2 5" xfId="31299" xr:uid="{D2ABDA73-A942-41E0-9FC0-9EDDCAD7A692}"/>
    <cellStyle name="Normal 2 5 4 2 2 2 3 3" xfId="31300" xr:uid="{F0BB2B05-C06B-4159-90B9-FC146FED1A9D}"/>
    <cellStyle name="Normal 2 5 4 2 2 2 3 4" xfId="31301" xr:uid="{E976FDAB-4BAC-46FD-993A-6EFFB259E905}"/>
    <cellStyle name="Normal 2 5 4 2 2 2 3 5" xfId="31302" xr:uid="{7627097D-5B3B-47CE-8EDB-07E64292A7CA}"/>
    <cellStyle name="Normal 2 5 4 2 2 2 3 6" xfId="31303" xr:uid="{393D4297-1581-4D08-A5DE-8FEDB5BA0F63}"/>
    <cellStyle name="Normal 2 5 4 2 2 2 4" xfId="31304" xr:uid="{22090FA4-1A56-46FE-BAE0-57ECAAB5DD95}"/>
    <cellStyle name="Normal 2 5 4 2 2 2 4 2" xfId="31305" xr:uid="{81809C7A-58E7-4DEC-8FBD-E49533FD63A1}"/>
    <cellStyle name="Normal 2 5 4 2 2 2 4 2 2" xfId="31306" xr:uid="{9252A1F7-B56D-47C8-AFD5-02EB59399D83}"/>
    <cellStyle name="Normal 2 5 4 2 2 2 4 2 3" xfId="31307" xr:uid="{24DDF4A1-66A6-4D2C-B4C1-C1BFFC47C486}"/>
    <cellStyle name="Normal 2 5 4 2 2 2 4 2 4" xfId="31308" xr:uid="{8E14F467-667C-4CD6-8299-B3F1586FCE24}"/>
    <cellStyle name="Normal 2 5 4 2 2 2 4 2 5" xfId="31309" xr:uid="{65ED66FB-95B2-4EF7-A13D-6D6F96584372}"/>
    <cellStyle name="Normal 2 5 4 2 2 2 4 3" xfId="31310" xr:uid="{42071744-D31D-4C63-8A45-FC8670C6A4CD}"/>
    <cellStyle name="Normal 2 5 4 2 2 2 4 4" xfId="31311" xr:uid="{99C233FD-3910-4DDF-9F49-D25051DC756C}"/>
    <cellStyle name="Normal 2 5 4 2 2 2 4 5" xfId="31312" xr:uid="{F7F46864-1E59-4383-A097-872DE5793FDE}"/>
    <cellStyle name="Normal 2 5 4 2 2 2 4 6" xfId="31313" xr:uid="{EAA9890C-1200-4131-A57C-8AE424EB6AF7}"/>
    <cellStyle name="Normal 2 5 4 2 2 2 5" xfId="31314" xr:uid="{218A3B91-98D0-47C2-A55E-4EF4CCEC0B9D}"/>
    <cellStyle name="Normal 2 5 4 2 2 2 5 2" xfId="31315" xr:uid="{89D7F1D5-1F3D-42A9-8CCB-6737847BD01A}"/>
    <cellStyle name="Normal 2 5 4 2 2 2 5 3" xfId="31316" xr:uid="{1C749A10-444D-474F-AEF7-AA93A2A7870F}"/>
    <cellStyle name="Normal 2 5 4 2 2 2 5 4" xfId="31317" xr:uid="{CC3DC29F-A15F-42E1-B86F-ADA02DCE55B9}"/>
    <cellStyle name="Normal 2 5 4 2 2 2 5 5" xfId="31318" xr:uid="{5BE4EB12-65F3-45A3-9A6B-6431044F3760}"/>
    <cellStyle name="Normal 2 5 4 2 2 2 6" xfId="31319" xr:uid="{6A0F72E0-DA59-4F84-9485-E158D0F932A5}"/>
    <cellStyle name="Normal 2 5 4 2 2 2 6 2" xfId="31320" xr:uid="{8D42AE45-94F0-44E7-94E0-63855F9E3DF0}"/>
    <cellStyle name="Normal 2 5 4 2 2 2 6 3" xfId="31321" xr:uid="{E5BF800A-01BF-4276-BFE1-282C75014FD6}"/>
    <cellStyle name="Normal 2 5 4 2 2 2 6 4" xfId="31322" xr:uid="{726B2365-EE89-4F81-B6F0-BBB285FF555E}"/>
    <cellStyle name="Normal 2 5 4 2 2 2 6 5" xfId="31323" xr:uid="{2A670125-C54F-4477-9FBC-5F43976EFFD5}"/>
    <cellStyle name="Normal 2 5 4 2 2 2 7" xfId="31324" xr:uid="{3DA18D8F-EE3B-47CD-85A4-1E5A441F549E}"/>
    <cellStyle name="Normal 2 5 4 2 2 2 7 2" xfId="31325" xr:uid="{A2150451-F85E-4621-BE86-525825520C6A}"/>
    <cellStyle name="Normal 2 5 4 2 2 2 7 3" xfId="31326" xr:uid="{16224919-862B-45B6-AE84-12C0DC03DE33}"/>
    <cellStyle name="Normal 2 5 4 2 2 2 7 4" xfId="31327" xr:uid="{936499D2-77CC-4AB4-BE8B-3816E4F12709}"/>
    <cellStyle name="Normal 2 5 4 2 2 2 7 5" xfId="31328" xr:uid="{327EBA97-0913-4AC5-8C4C-AB6EAFDF12DA}"/>
    <cellStyle name="Normal 2 5 4 2 2 2 8" xfId="31329" xr:uid="{B8F13B0C-F7D8-4949-93BB-96D4999BCFA4}"/>
    <cellStyle name="Normal 2 5 4 2 2 2 8 2" xfId="31330" xr:uid="{34A41250-9808-4F3A-B34E-F5F4CCF2EDC0}"/>
    <cellStyle name="Normal 2 5 4 2 2 2 8 3" xfId="31331" xr:uid="{73329397-A9FD-4345-8C0E-07C852319EFD}"/>
    <cellStyle name="Normal 2 5 4 2 2 2 8 4" xfId="31332" xr:uid="{D3510299-CAB3-41EF-A162-D395C74F9DB3}"/>
    <cellStyle name="Normal 2 5 4 2 2 2 8 5" xfId="31333" xr:uid="{28C61826-96D7-456A-BFA0-2FD57453B1A4}"/>
    <cellStyle name="Normal 2 5 4 2 2 2 9" xfId="31334" xr:uid="{BC4B39FE-8A2D-4E50-BF1D-E80DCD8E2B28}"/>
    <cellStyle name="Normal 2 5 4 2 2 3" xfId="31335" xr:uid="{D495D8F3-E951-4EC9-ABF7-87CA8E2F83E5}"/>
    <cellStyle name="Normal 2 5 4 2 2 3 2" xfId="31336" xr:uid="{3C0B5B68-94E3-47CC-AD0E-9D7446244282}"/>
    <cellStyle name="Normal 2 5 4 2 2 3 2 2" xfId="31337" xr:uid="{39309D0A-A625-401F-8238-08CFDB0E2DDE}"/>
    <cellStyle name="Normal 2 5 4 2 2 3 2 3" xfId="31338" xr:uid="{68C21C02-EB1C-4F9D-9B35-F350113BD08E}"/>
    <cellStyle name="Normal 2 5 4 2 2 3 2 4" xfId="31339" xr:uid="{EF58556C-8D71-485F-BE7C-5C29B8836591}"/>
    <cellStyle name="Normal 2 5 4 2 2 3 2 5" xfId="31340" xr:uid="{C61FC3AA-3719-44DA-B31C-3963F0A4C281}"/>
    <cellStyle name="Normal 2 5 4 2 2 3 3" xfId="31341" xr:uid="{4BA67D3F-D5DF-458A-81BC-ABF66ADCC6D8}"/>
    <cellStyle name="Normal 2 5 4 2 2 3 4" xfId="31342" xr:uid="{5612F1D1-4A4B-4208-9757-0781F818BB41}"/>
    <cellStyle name="Normal 2 5 4 2 2 3 5" xfId="31343" xr:uid="{88031E33-35DC-409C-99B5-1F655BBB0D62}"/>
    <cellStyle name="Normal 2 5 4 2 2 3 6" xfId="31344" xr:uid="{748990C0-9D1A-4E54-B908-77F59AE7F270}"/>
    <cellStyle name="Normal 2 5 4 2 2 4" xfId="31345" xr:uid="{A610067A-62D3-43F6-BF7B-30CBD11C0BDE}"/>
    <cellStyle name="Normal 2 5 4 2 2 4 2" xfId="31346" xr:uid="{450A5722-2182-474A-926D-BAEC831E4D5F}"/>
    <cellStyle name="Normal 2 5 4 2 2 4 2 2" xfId="31347" xr:uid="{003A227C-32E9-47E6-AB7C-29A921FD9593}"/>
    <cellStyle name="Normal 2 5 4 2 2 4 2 3" xfId="31348" xr:uid="{D88CE3B0-BEA5-4FA1-B4CF-878DD83A6CDF}"/>
    <cellStyle name="Normal 2 5 4 2 2 4 2 4" xfId="31349" xr:uid="{36C93AE3-99C0-4C0D-A77F-B6CD23EDDE78}"/>
    <cellStyle name="Normal 2 5 4 2 2 4 2 5" xfId="31350" xr:uid="{3FD2D241-71EB-4C82-ABB3-4EFF3AA5CEE9}"/>
    <cellStyle name="Normal 2 5 4 2 2 4 3" xfId="31351" xr:uid="{B12E0463-FA1B-47DB-9609-E2057FB7627E}"/>
    <cellStyle name="Normal 2 5 4 2 2 4 4" xfId="31352" xr:uid="{81FD24D3-4209-4955-BE90-5C16E75F5A7F}"/>
    <cellStyle name="Normal 2 5 4 2 2 4 5" xfId="31353" xr:uid="{DE9FD137-5A1F-4B70-88BF-72E773FA506C}"/>
    <cellStyle name="Normal 2 5 4 2 2 4 6" xfId="31354" xr:uid="{CBF2120F-87A2-4B45-97DE-73F5F7B8CB69}"/>
    <cellStyle name="Normal 2 5 4 2 2 5" xfId="31355" xr:uid="{772E69B7-CBFC-4684-846F-6885AE08320B}"/>
    <cellStyle name="Normal 2 5 4 2 2 5 2" xfId="31356" xr:uid="{B69B8FB4-DDCA-4D0E-8705-03B085D72840}"/>
    <cellStyle name="Normal 2 5 4 2 2 5 2 2" xfId="31357" xr:uid="{19489821-9C1E-4745-B2EC-B0472EE0D71E}"/>
    <cellStyle name="Normal 2 5 4 2 2 5 2 3" xfId="31358" xr:uid="{DB679DC4-1B70-41A8-80E5-64D4487CB376}"/>
    <cellStyle name="Normal 2 5 4 2 2 5 2 4" xfId="31359" xr:uid="{5E3FD48C-3E39-4ABF-9BC5-AA865C6A5F2B}"/>
    <cellStyle name="Normal 2 5 4 2 2 5 2 5" xfId="31360" xr:uid="{4A1C9315-7C29-4437-9782-ADBFBB91B339}"/>
    <cellStyle name="Normal 2 5 4 2 2 5 3" xfId="31361" xr:uid="{5C4CE53D-C6A9-4B9D-BC69-ADAF3106039E}"/>
    <cellStyle name="Normal 2 5 4 2 2 5 4" xfId="31362" xr:uid="{1FE236F9-C85C-4FF6-B58A-45F94131AEBF}"/>
    <cellStyle name="Normal 2 5 4 2 2 5 5" xfId="31363" xr:uid="{8867B080-7241-48AE-9035-16D8F750B8BC}"/>
    <cellStyle name="Normal 2 5 4 2 2 5 6" xfId="31364" xr:uid="{FFE05E83-96DB-4EAC-A794-C167DD976175}"/>
    <cellStyle name="Normal 2 5 4 2 2 6" xfId="31365" xr:uid="{0BAC99C0-348C-46A8-A278-53E214D2C3CC}"/>
    <cellStyle name="Normal 2 5 4 2 2 6 2" xfId="31366" xr:uid="{FEFCF9F7-CDC1-4B32-BE99-FEACC6034A7C}"/>
    <cellStyle name="Normal 2 5 4 2 2 6 3" xfId="31367" xr:uid="{5C8CAA1D-DD29-46D9-A095-E45666994AB7}"/>
    <cellStyle name="Normal 2 5 4 2 2 6 4" xfId="31368" xr:uid="{FF3D85E6-DE7E-4126-BBB3-5B5B0376500A}"/>
    <cellStyle name="Normal 2 5 4 2 2 6 5" xfId="31369" xr:uid="{B9DABFE3-3D57-4C66-BA93-12570C0FCA55}"/>
    <cellStyle name="Normal 2 5 4 2 2 7" xfId="31370" xr:uid="{BAA076C7-9FE5-446E-AB3B-F974276DA539}"/>
    <cellStyle name="Normal 2 5 4 2 2 7 2" xfId="31371" xr:uid="{BEEAB3BC-E336-4431-98AC-A1FF0C78F39D}"/>
    <cellStyle name="Normal 2 5 4 2 2 7 3" xfId="31372" xr:uid="{4C537172-2E5C-4FC1-A3D8-82497CBC4DB7}"/>
    <cellStyle name="Normal 2 5 4 2 2 7 4" xfId="31373" xr:uid="{A541734B-247A-490A-9B46-8F82069E5EDF}"/>
    <cellStyle name="Normal 2 5 4 2 2 7 5" xfId="31374" xr:uid="{F3C4D17C-07F0-4031-BED9-A75A03550A09}"/>
    <cellStyle name="Normal 2 5 4 2 2 8" xfId="31375" xr:uid="{47AAF0B2-73F4-413E-BCAD-20DC7E51CE92}"/>
    <cellStyle name="Normal 2 5 4 2 2 8 2" xfId="31376" xr:uid="{6682042D-8E46-4EF4-BA79-6FA6D9B40F4C}"/>
    <cellStyle name="Normal 2 5 4 2 2 8 3" xfId="31377" xr:uid="{E255E0A8-A9CA-4940-AC29-1AB70D906DCC}"/>
    <cellStyle name="Normal 2 5 4 2 2 8 4" xfId="31378" xr:uid="{E3BBDE4F-4BCD-42DB-AA74-C28DA32C509D}"/>
    <cellStyle name="Normal 2 5 4 2 2 8 5" xfId="31379" xr:uid="{A501F723-DD89-4B64-ADE2-FCDB31946B89}"/>
    <cellStyle name="Normal 2 5 4 2 2 9" xfId="31380" xr:uid="{6A6EF4FB-3616-4BEC-969E-4C33350F2933}"/>
    <cellStyle name="Normal 2 5 4 2 2 9 2" xfId="31381" xr:uid="{2E41A0CC-2AB1-444A-A8B8-B54B7931E978}"/>
    <cellStyle name="Normal 2 5 4 2 2 9 3" xfId="31382" xr:uid="{EA7C2467-AC01-4BD4-8AD6-7183AD5142B1}"/>
    <cellStyle name="Normal 2 5 4 2 2 9 4" xfId="31383" xr:uid="{11ADD91D-7381-4478-93B9-15C1386FC171}"/>
    <cellStyle name="Normal 2 5 4 2 2 9 5" xfId="31384" xr:uid="{ECF2CFE8-B12B-4BF2-97F8-47FB55E0E750}"/>
    <cellStyle name="Normal 2 5 4 2 3" xfId="31385" xr:uid="{E526F64C-0788-42F8-AB92-18A6EEF16A46}"/>
    <cellStyle name="Normal 2 5 4 2 3 10" xfId="31386" xr:uid="{A1F79C8D-30D0-4DFE-A0B4-E61EC298F50B}"/>
    <cellStyle name="Normal 2 5 4 2 3 11" xfId="31387" xr:uid="{E6092146-919E-45DF-BA8C-79021E59DB3D}"/>
    <cellStyle name="Normal 2 5 4 2 3 12" xfId="31388" xr:uid="{36CDCC75-03FB-45D5-AD6E-20E905CF3B93}"/>
    <cellStyle name="Normal 2 5 4 2 3 2" xfId="31389" xr:uid="{EB730A82-C9F7-4FF7-85E4-587CD3E00944}"/>
    <cellStyle name="Normal 2 5 4 2 3 2 2" xfId="31390" xr:uid="{F79BD705-7F80-4C99-9D79-731ED3A70BE1}"/>
    <cellStyle name="Normal 2 5 4 2 3 2 2 2" xfId="31391" xr:uid="{B420D457-53B7-46E6-B2A0-5F047D3E6F11}"/>
    <cellStyle name="Normal 2 5 4 2 3 2 2 3" xfId="31392" xr:uid="{A6F80470-6A1B-4763-B4BA-9308AD411AF5}"/>
    <cellStyle name="Normal 2 5 4 2 3 2 2 4" xfId="31393" xr:uid="{BE83F108-CCC1-45C4-80A1-19C693E91ED7}"/>
    <cellStyle name="Normal 2 5 4 2 3 2 2 5" xfId="31394" xr:uid="{446206AE-5842-46E7-8ABC-BE0E320274DA}"/>
    <cellStyle name="Normal 2 5 4 2 3 2 3" xfId="31395" xr:uid="{1184F88F-0E9A-4525-AB52-8413709C1A9F}"/>
    <cellStyle name="Normal 2 5 4 2 3 2 4" xfId="31396" xr:uid="{067D52F0-EB48-42D3-984D-574EE68F894B}"/>
    <cellStyle name="Normal 2 5 4 2 3 2 5" xfId="31397" xr:uid="{B312EE29-B9B7-4C1E-818E-67D92EDA756D}"/>
    <cellStyle name="Normal 2 5 4 2 3 2 6" xfId="31398" xr:uid="{40C0BE4A-90EE-46EF-A484-7DE4F2860C7A}"/>
    <cellStyle name="Normal 2 5 4 2 3 3" xfId="31399" xr:uid="{9D326366-CEEE-4196-89CD-8EBF688C7C59}"/>
    <cellStyle name="Normal 2 5 4 2 3 3 2" xfId="31400" xr:uid="{5014E06E-8D94-44C8-8622-E437CC8BE03C}"/>
    <cellStyle name="Normal 2 5 4 2 3 3 2 2" xfId="31401" xr:uid="{EB3C62D8-823F-4F09-9EFD-782349976918}"/>
    <cellStyle name="Normal 2 5 4 2 3 3 2 3" xfId="31402" xr:uid="{2B742457-FE13-4E93-9C11-BE6E1C1AF733}"/>
    <cellStyle name="Normal 2 5 4 2 3 3 2 4" xfId="31403" xr:uid="{A88BC87B-35F5-455C-9E3F-0428ED547005}"/>
    <cellStyle name="Normal 2 5 4 2 3 3 2 5" xfId="31404" xr:uid="{753E8CBF-61BE-42F8-8EDF-A7886D453EEF}"/>
    <cellStyle name="Normal 2 5 4 2 3 3 3" xfId="31405" xr:uid="{F2EC3B1D-3CA8-48CE-8796-78BBB4A1BCC6}"/>
    <cellStyle name="Normal 2 5 4 2 3 3 4" xfId="31406" xr:uid="{E0C020FB-F9C1-4714-A10D-237AA608BF4B}"/>
    <cellStyle name="Normal 2 5 4 2 3 3 5" xfId="31407" xr:uid="{CB61357B-A133-4904-B51B-E8988C2EEFF9}"/>
    <cellStyle name="Normal 2 5 4 2 3 3 6" xfId="31408" xr:uid="{D9514254-5D53-4AE2-A20B-BCF5C777FB4D}"/>
    <cellStyle name="Normal 2 5 4 2 3 4" xfId="31409" xr:uid="{2E4830CD-84E5-4F81-8F30-B7785CFF953F}"/>
    <cellStyle name="Normal 2 5 4 2 3 4 2" xfId="31410" xr:uid="{9408EAAE-E7CA-4BFD-91B4-4D9755C0C73C}"/>
    <cellStyle name="Normal 2 5 4 2 3 4 2 2" xfId="31411" xr:uid="{A2B42B25-D1B6-4764-AEE0-825C8E1FD696}"/>
    <cellStyle name="Normal 2 5 4 2 3 4 2 3" xfId="31412" xr:uid="{857B8965-0242-4E96-8BE3-D7EC275AE9D2}"/>
    <cellStyle name="Normal 2 5 4 2 3 4 2 4" xfId="31413" xr:uid="{088F92A0-DEA2-4FDD-8D19-EFA5310085E9}"/>
    <cellStyle name="Normal 2 5 4 2 3 4 2 5" xfId="31414" xr:uid="{C77F88C4-C1C9-4005-A9EF-6D9D1D05E116}"/>
    <cellStyle name="Normal 2 5 4 2 3 4 3" xfId="31415" xr:uid="{991B61F3-4405-4E47-AD51-08DD541114D7}"/>
    <cellStyle name="Normal 2 5 4 2 3 4 4" xfId="31416" xr:uid="{83B91EE5-879E-4A74-BC57-C656D1A115E7}"/>
    <cellStyle name="Normal 2 5 4 2 3 4 5" xfId="31417" xr:uid="{D8847112-328C-4D2D-A9C3-05C2DC75625C}"/>
    <cellStyle name="Normal 2 5 4 2 3 4 6" xfId="31418" xr:uid="{F43244AC-2692-405D-B0CD-D91BD4F4351E}"/>
    <cellStyle name="Normal 2 5 4 2 3 5" xfId="31419" xr:uid="{3E256376-BE69-49B7-A78B-7FD0268EA743}"/>
    <cellStyle name="Normal 2 5 4 2 3 5 2" xfId="31420" xr:uid="{6D958030-DF78-4BEF-9EAD-3BAB66D84503}"/>
    <cellStyle name="Normal 2 5 4 2 3 5 3" xfId="31421" xr:uid="{B35A750F-5639-427D-AD44-F62224497CF7}"/>
    <cellStyle name="Normal 2 5 4 2 3 5 4" xfId="31422" xr:uid="{96D74D86-6443-4222-A61A-6BE74CF92F16}"/>
    <cellStyle name="Normal 2 5 4 2 3 5 5" xfId="31423" xr:uid="{1B2BCCC3-7C1E-4525-B36D-7BEA18B40291}"/>
    <cellStyle name="Normal 2 5 4 2 3 6" xfId="31424" xr:uid="{F25C376D-AA73-42B3-98A8-B3D808632155}"/>
    <cellStyle name="Normal 2 5 4 2 3 6 2" xfId="31425" xr:uid="{608AF115-B822-44F2-A0C7-3103F482CA43}"/>
    <cellStyle name="Normal 2 5 4 2 3 6 3" xfId="31426" xr:uid="{17F560BC-C209-4FB4-9BBC-BA5250390D28}"/>
    <cellStyle name="Normal 2 5 4 2 3 6 4" xfId="31427" xr:uid="{93D3C49C-5E90-450F-9E91-155E1428C994}"/>
    <cellStyle name="Normal 2 5 4 2 3 6 5" xfId="31428" xr:uid="{8D85765F-D182-40B9-A059-0EF28FB0FC15}"/>
    <cellStyle name="Normal 2 5 4 2 3 7" xfId="31429" xr:uid="{7F146280-E585-457E-A285-4C0546FB992A}"/>
    <cellStyle name="Normal 2 5 4 2 3 7 2" xfId="31430" xr:uid="{A6BC827C-E926-4FFB-B1D3-80E3A32B3B40}"/>
    <cellStyle name="Normal 2 5 4 2 3 7 3" xfId="31431" xr:uid="{CF89D1ED-9258-4CDD-9FD4-0156E2634964}"/>
    <cellStyle name="Normal 2 5 4 2 3 7 4" xfId="31432" xr:uid="{1F8ADE80-A283-450A-AEF4-A289106D01CC}"/>
    <cellStyle name="Normal 2 5 4 2 3 7 5" xfId="31433" xr:uid="{AB0B9623-FCBD-4229-91F9-50A6003D94FD}"/>
    <cellStyle name="Normal 2 5 4 2 3 8" xfId="31434" xr:uid="{D7B51332-0D1C-4D92-8418-50F0272A3913}"/>
    <cellStyle name="Normal 2 5 4 2 3 8 2" xfId="31435" xr:uid="{F88E62F4-CC3E-462F-88A5-402FB528D745}"/>
    <cellStyle name="Normal 2 5 4 2 3 8 3" xfId="31436" xr:uid="{A41C2D80-850E-4010-999B-8C33AF7FFEAD}"/>
    <cellStyle name="Normal 2 5 4 2 3 8 4" xfId="31437" xr:uid="{D550A68C-DD06-4CA7-A2A7-61A344E9B2C0}"/>
    <cellStyle name="Normal 2 5 4 2 3 8 5" xfId="31438" xr:uid="{7958AA5B-3EB0-42D0-95AB-9FC35517455F}"/>
    <cellStyle name="Normal 2 5 4 2 3 9" xfId="31439" xr:uid="{241F22A8-9454-4488-A881-7411B4B1495A}"/>
    <cellStyle name="Normal 2 5 4 2 4" xfId="31440" xr:uid="{EA25D666-9417-4265-9CCB-6BCB37D3A9C2}"/>
    <cellStyle name="Normal 2 5 4 2 4 2" xfId="31441" xr:uid="{1C417A5F-6009-4997-934F-5E50E1BC0ED5}"/>
    <cellStyle name="Normal 2 5 4 2 4 2 2" xfId="31442" xr:uid="{C49ACEC0-2762-466B-911E-26AAF2098A03}"/>
    <cellStyle name="Normal 2 5 4 2 4 2 3" xfId="31443" xr:uid="{1456EA34-29C4-4807-8423-2F4528865762}"/>
    <cellStyle name="Normal 2 5 4 2 4 2 4" xfId="31444" xr:uid="{F7886D30-F895-4FA4-9239-023A987E1312}"/>
    <cellStyle name="Normal 2 5 4 2 4 2 5" xfId="31445" xr:uid="{F6A701B8-DA3E-4253-87C1-9C3AE550B62E}"/>
    <cellStyle name="Normal 2 5 4 2 4 3" xfId="31446" xr:uid="{ECB7B900-7962-4CE2-9CA9-51DC782F9EEF}"/>
    <cellStyle name="Normal 2 5 4 2 4 4" xfId="31447" xr:uid="{0D117B14-3FD3-490D-9CDD-5CB89DE7E62D}"/>
    <cellStyle name="Normal 2 5 4 2 4 5" xfId="31448" xr:uid="{4B80206E-4840-4FB9-9D3A-168FD86E1807}"/>
    <cellStyle name="Normal 2 5 4 2 4 6" xfId="31449" xr:uid="{0F0688AB-A4C4-466E-99FD-0B1CE30293D8}"/>
    <cellStyle name="Normal 2 5 4 2 5" xfId="31450" xr:uid="{E0EE4205-1EB1-4C04-BF97-374762868BD5}"/>
    <cellStyle name="Normal 2 5 4 2 5 2" xfId="31451" xr:uid="{C888046A-EF1E-4772-AF8A-31DC821F37A8}"/>
    <cellStyle name="Normal 2 5 4 2 5 2 2" xfId="31452" xr:uid="{7025489D-2487-4463-8A17-0776D7801B75}"/>
    <cellStyle name="Normal 2 5 4 2 5 2 3" xfId="31453" xr:uid="{B66C6C35-37CD-434C-B223-F45D65555399}"/>
    <cellStyle name="Normal 2 5 4 2 5 2 4" xfId="31454" xr:uid="{E1014AAC-C0BC-445C-A4C5-55D0FD659B64}"/>
    <cellStyle name="Normal 2 5 4 2 5 2 5" xfId="31455" xr:uid="{3785C27E-7597-4199-A97A-32F8BA1A9B8A}"/>
    <cellStyle name="Normal 2 5 4 2 5 3" xfId="31456" xr:uid="{7FB44AC7-2B72-4F8A-AE7E-B56423D4F2DF}"/>
    <cellStyle name="Normal 2 5 4 2 5 4" xfId="31457" xr:uid="{F9934332-E4A5-4A2B-95CD-308AFCE9F09B}"/>
    <cellStyle name="Normal 2 5 4 2 5 5" xfId="31458" xr:uid="{7244928F-0643-4986-BB63-1B8ACB8586B7}"/>
    <cellStyle name="Normal 2 5 4 2 5 6" xfId="31459" xr:uid="{17E5A49B-04C6-4BAB-9B48-3902AB24F038}"/>
    <cellStyle name="Normal 2 5 4 2 6" xfId="31460" xr:uid="{9585FCEF-52C8-4798-BE07-D05E47893C0F}"/>
    <cellStyle name="Normal 2 5 4 2 6 2" xfId="31461" xr:uid="{3A647D9D-2D2C-426F-B2E1-C77CD910A8D0}"/>
    <cellStyle name="Normal 2 5 4 2 6 2 2" xfId="31462" xr:uid="{3C94A45E-E46C-4BCD-9053-C91350C93039}"/>
    <cellStyle name="Normal 2 5 4 2 6 2 3" xfId="31463" xr:uid="{F7D63D23-978E-4696-9E03-1EEB6B59A1BE}"/>
    <cellStyle name="Normal 2 5 4 2 6 2 4" xfId="31464" xr:uid="{7EEF54C3-B417-4D22-B036-BAD2AF1E9869}"/>
    <cellStyle name="Normal 2 5 4 2 6 2 5" xfId="31465" xr:uid="{642E1EEA-CA50-439C-835F-538D52F950E1}"/>
    <cellStyle name="Normal 2 5 4 2 6 3" xfId="31466" xr:uid="{28236CCB-F180-4689-95B6-C117FAFB664A}"/>
    <cellStyle name="Normal 2 5 4 2 6 4" xfId="31467" xr:uid="{774A16F1-A5B6-4C34-9EA1-EBDE20368DF5}"/>
    <cellStyle name="Normal 2 5 4 2 6 5" xfId="31468" xr:uid="{6C2AC8B0-2046-42A4-B3CE-EB2150A58C85}"/>
    <cellStyle name="Normal 2 5 4 2 6 6" xfId="31469" xr:uid="{4701100B-4300-414A-8A1D-33710EEF26D2}"/>
    <cellStyle name="Normal 2 5 4 2 7" xfId="31470" xr:uid="{D796FB3F-30ED-476C-A578-A3702563DB77}"/>
    <cellStyle name="Normal 2 5 4 2 7 2" xfId="31471" xr:uid="{10A6007D-830C-4CE9-9766-C30D63811353}"/>
    <cellStyle name="Normal 2 5 4 2 7 3" xfId="31472" xr:uid="{7601599D-5D39-47B3-A78E-F73E6A784B69}"/>
    <cellStyle name="Normal 2 5 4 2 7 4" xfId="31473" xr:uid="{4064446A-09D5-44E2-9D4D-D1E6502FEB96}"/>
    <cellStyle name="Normal 2 5 4 2 7 5" xfId="31474" xr:uid="{E6E4B59A-E0A0-4C8A-A193-599B52D3BEE6}"/>
    <cellStyle name="Normal 2 5 4 2 8" xfId="31475" xr:uid="{0DAF4439-E03D-4C54-A6BC-F7023B299788}"/>
    <cellStyle name="Normal 2 5 4 2 8 2" xfId="31476" xr:uid="{7D0FEAFB-9676-462B-87D9-6245116A62D5}"/>
    <cellStyle name="Normal 2 5 4 2 8 3" xfId="31477" xr:uid="{AC02B374-E9E8-4B40-99AA-6404D249E8CA}"/>
    <cellStyle name="Normal 2 5 4 2 8 4" xfId="31478" xr:uid="{D02939A7-6BAF-46A6-AC22-5C5D373362C0}"/>
    <cellStyle name="Normal 2 5 4 2 8 5" xfId="31479" xr:uid="{15CFA914-A42E-46C8-8958-8D5F5EF1F44D}"/>
    <cellStyle name="Normal 2 5 4 2 9" xfId="31480" xr:uid="{2BC53FD5-735A-42CE-BC42-548E7F40EA0F}"/>
    <cellStyle name="Normal 2 5 4 2 9 2" xfId="31481" xr:uid="{36DACD09-78B5-4FF1-85B5-9A75A37AC8BF}"/>
    <cellStyle name="Normal 2 5 4 2 9 3" xfId="31482" xr:uid="{74593372-E6C6-40BE-8D75-C8AC6504AE37}"/>
    <cellStyle name="Normal 2 5 4 2 9 4" xfId="31483" xr:uid="{4184A481-659B-4A5A-89CD-127B4EFFCC2B}"/>
    <cellStyle name="Normal 2 5 4 2 9 5" xfId="31484" xr:uid="{B4BC87A0-7D37-434B-A73C-1B4DBEABAC4E}"/>
    <cellStyle name="Normal 2 5 4 3" xfId="31485" xr:uid="{5FCB6614-99FA-4584-BF1A-403F311FA445}"/>
    <cellStyle name="Normal 2 5 4 3 10" xfId="31486" xr:uid="{DD217DE1-32F2-43F3-8FB8-71CB97FC63E6}"/>
    <cellStyle name="Normal 2 5 4 3 11" xfId="31487" xr:uid="{45BF0276-5363-4C16-9020-4D5E8CCC48ED}"/>
    <cellStyle name="Normal 2 5 4 3 12" xfId="31488" xr:uid="{C9A8EC2D-7FB8-414C-BDF1-5613D1AFD6DB}"/>
    <cellStyle name="Normal 2 5 4 3 13" xfId="31489" xr:uid="{A252ACD7-03B5-48F6-8399-C653A5ADAF00}"/>
    <cellStyle name="Normal 2 5 4 3 2" xfId="31490" xr:uid="{A8E4B734-4986-48DB-B30C-F65202D9DA45}"/>
    <cellStyle name="Normal 2 5 4 3 2 10" xfId="31491" xr:uid="{B5C49381-7244-44B5-BE1B-0DBFB33B049E}"/>
    <cellStyle name="Normal 2 5 4 3 2 11" xfId="31492" xr:uid="{FF6FE3B2-6C08-4178-A156-661FC71CB65F}"/>
    <cellStyle name="Normal 2 5 4 3 2 12" xfId="31493" xr:uid="{8C7C6894-CB80-44C1-A04F-9D6A74E27240}"/>
    <cellStyle name="Normal 2 5 4 3 2 2" xfId="31494" xr:uid="{F4220560-4816-4EC5-BF7F-67C70077801E}"/>
    <cellStyle name="Normal 2 5 4 3 2 2 2" xfId="31495" xr:uid="{D4D22244-53DC-4DC2-A57B-C107CFDFFC25}"/>
    <cellStyle name="Normal 2 5 4 3 2 2 2 2" xfId="31496" xr:uid="{D6520A37-43A6-421D-A3CF-C6B692F52A0B}"/>
    <cellStyle name="Normal 2 5 4 3 2 2 2 3" xfId="31497" xr:uid="{351280FC-7A2B-4C74-AFDA-D3C6B8077050}"/>
    <cellStyle name="Normal 2 5 4 3 2 2 2 4" xfId="31498" xr:uid="{660061D8-4FED-47FB-8DD0-145A16F9684B}"/>
    <cellStyle name="Normal 2 5 4 3 2 2 2 5" xfId="31499" xr:uid="{57F53081-A801-493B-8C4E-249F628644C4}"/>
    <cellStyle name="Normal 2 5 4 3 2 2 3" xfId="31500" xr:uid="{CBF8DA1E-8BEE-40F8-AFEB-4FF590FD7B6D}"/>
    <cellStyle name="Normal 2 5 4 3 2 2 4" xfId="31501" xr:uid="{E699DF2B-89A2-41AA-83F7-B72E329AE95B}"/>
    <cellStyle name="Normal 2 5 4 3 2 2 5" xfId="31502" xr:uid="{E90C7A64-1177-4EF2-987E-272EB8B50B14}"/>
    <cellStyle name="Normal 2 5 4 3 2 2 6" xfId="31503" xr:uid="{60ADF491-91BA-4DD2-8BA7-1144D645423F}"/>
    <cellStyle name="Normal 2 5 4 3 2 3" xfId="31504" xr:uid="{B58FEDA6-2A7C-4BB2-BB88-22630E20E3C8}"/>
    <cellStyle name="Normal 2 5 4 3 2 3 2" xfId="31505" xr:uid="{FB0E9668-E44D-4000-B29B-DEB51EB790E1}"/>
    <cellStyle name="Normal 2 5 4 3 2 3 2 2" xfId="31506" xr:uid="{075EBC2A-43D4-40F5-9792-D671C0EA929C}"/>
    <cellStyle name="Normal 2 5 4 3 2 3 2 3" xfId="31507" xr:uid="{FD81F4AE-3950-4C16-B195-676373F94D35}"/>
    <cellStyle name="Normal 2 5 4 3 2 3 2 4" xfId="31508" xr:uid="{19D70EE5-573A-4C72-8819-357F7A0888AA}"/>
    <cellStyle name="Normal 2 5 4 3 2 3 2 5" xfId="31509" xr:uid="{4AA35A06-4E49-487D-B464-2F9766AEC31A}"/>
    <cellStyle name="Normal 2 5 4 3 2 3 3" xfId="31510" xr:uid="{848233E1-FD97-4E78-A376-1C7F193D57FC}"/>
    <cellStyle name="Normal 2 5 4 3 2 3 4" xfId="31511" xr:uid="{7826789D-CF6E-4E79-8B0C-9A9BFBF5CF3F}"/>
    <cellStyle name="Normal 2 5 4 3 2 3 5" xfId="31512" xr:uid="{D22C1884-BF88-4DB4-8465-E6DFBDE746CB}"/>
    <cellStyle name="Normal 2 5 4 3 2 3 6" xfId="31513" xr:uid="{2280591A-1F04-49AC-980F-AFA3437C01D0}"/>
    <cellStyle name="Normal 2 5 4 3 2 4" xfId="31514" xr:uid="{4639669A-EB50-45DD-95AF-22180FBD5CD1}"/>
    <cellStyle name="Normal 2 5 4 3 2 4 2" xfId="31515" xr:uid="{006279A2-010F-45B4-9FF3-715AA3BA10B9}"/>
    <cellStyle name="Normal 2 5 4 3 2 4 2 2" xfId="31516" xr:uid="{80D0EFDF-0D95-468E-9F5C-6BA9E4A9BD50}"/>
    <cellStyle name="Normal 2 5 4 3 2 4 2 3" xfId="31517" xr:uid="{0BCDDCB9-C20A-4CDE-AD76-B18FBCC13188}"/>
    <cellStyle name="Normal 2 5 4 3 2 4 2 4" xfId="31518" xr:uid="{69E18CD1-06DB-40AB-858C-DEB1B4885C7A}"/>
    <cellStyle name="Normal 2 5 4 3 2 4 2 5" xfId="31519" xr:uid="{CC479701-EE5E-4AD9-98FE-DFEB81B3996F}"/>
    <cellStyle name="Normal 2 5 4 3 2 4 3" xfId="31520" xr:uid="{D8FBC302-C03D-427A-AF71-9FEBFE8CB428}"/>
    <cellStyle name="Normal 2 5 4 3 2 4 4" xfId="31521" xr:uid="{DE1F5052-6B9E-4FFA-B573-79EF20D7B525}"/>
    <cellStyle name="Normal 2 5 4 3 2 4 5" xfId="31522" xr:uid="{9DBE9848-6EEA-44E0-A301-3954FFBB1116}"/>
    <cellStyle name="Normal 2 5 4 3 2 4 6" xfId="31523" xr:uid="{94DE7299-90F7-413F-A3C6-E7DBC41454B8}"/>
    <cellStyle name="Normal 2 5 4 3 2 5" xfId="31524" xr:uid="{38AAA653-CC65-44F9-8E52-B93C2B15B930}"/>
    <cellStyle name="Normal 2 5 4 3 2 5 2" xfId="31525" xr:uid="{5C0E9281-8F5C-4297-A45A-395B55A1F787}"/>
    <cellStyle name="Normal 2 5 4 3 2 5 3" xfId="31526" xr:uid="{B2628C77-AD2E-4FFA-AB52-7B3539A1F03E}"/>
    <cellStyle name="Normal 2 5 4 3 2 5 4" xfId="31527" xr:uid="{DC9D2CA7-D83D-4DA1-96F4-5E4E519EB623}"/>
    <cellStyle name="Normal 2 5 4 3 2 5 5" xfId="31528" xr:uid="{F122A95F-49F4-4BBD-9495-EE2CE06CF903}"/>
    <cellStyle name="Normal 2 5 4 3 2 6" xfId="31529" xr:uid="{B22AA67C-5B75-42AB-8149-7E677595CAD3}"/>
    <cellStyle name="Normal 2 5 4 3 2 6 2" xfId="31530" xr:uid="{E72C446E-6559-41BE-8FE9-DF42527C8C89}"/>
    <cellStyle name="Normal 2 5 4 3 2 6 3" xfId="31531" xr:uid="{61923640-9BA7-4763-B098-1FFE9AECF6EB}"/>
    <cellStyle name="Normal 2 5 4 3 2 6 4" xfId="31532" xr:uid="{F7AA72FD-85FF-481E-82B8-7E3B098DF5DA}"/>
    <cellStyle name="Normal 2 5 4 3 2 6 5" xfId="31533" xr:uid="{CAC69E2C-0670-4ED2-9B61-F1C4FE82660A}"/>
    <cellStyle name="Normal 2 5 4 3 2 7" xfId="31534" xr:uid="{49884C6C-D00F-4DC7-AD15-A586204E3117}"/>
    <cellStyle name="Normal 2 5 4 3 2 7 2" xfId="31535" xr:uid="{46A61FAE-3F00-4056-B765-FB4229B2E1D7}"/>
    <cellStyle name="Normal 2 5 4 3 2 7 3" xfId="31536" xr:uid="{815E38CF-4654-4740-9D44-6FBDCBFF6136}"/>
    <cellStyle name="Normal 2 5 4 3 2 7 4" xfId="31537" xr:uid="{2D1FC548-02C9-4BE7-BB77-3249B2D0D49B}"/>
    <cellStyle name="Normal 2 5 4 3 2 7 5" xfId="31538" xr:uid="{78590B39-0118-4641-B469-0EB2DEEEA82C}"/>
    <cellStyle name="Normal 2 5 4 3 2 8" xfId="31539" xr:uid="{22A44038-B0A3-46B9-B88B-3A2A758AB3BB}"/>
    <cellStyle name="Normal 2 5 4 3 2 8 2" xfId="31540" xr:uid="{666013E6-E23E-4573-87DD-901FBE5A8ABE}"/>
    <cellStyle name="Normal 2 5 4 3 2 8 3" xfId="31541" xr:uid="{DC164149-C59E-41A1-AB7D-89A673605DF8}"/>
    <cellStyle name="Normal 2 5 4 3 2 8 4" xfId="31542" xr:uid="{B0812EB2-F72C-411F-BAB2-284CF68AF721}"/>
    <cellStyle name="Normal 2 5 4 3 2 8 5" xfId="31543" xr:uid="{D8D36910-E616-4DFB-A2C2-684FB12D6849}"/>
    <cellStyle name="Normal 2 5 4 3 2 9" xfId="31544" xr:uid="{152E3994-4410-4D88-9890-771D6FDA98EA}"/>
    <cellStyle name="Normal 2 5 4 3 3" xfId="31545" xr:uid="{9F9AE156-7386-4E8B-92E8-A6A869A1708A}"/>
    <cellStyle name="Normal 2 5 4 3 3 2" xfId="31546" xr:uid="{14FAF6D7-8252-4971-BC09-D60DF5397DA9}"/>
    <cellStyle name="Normal 2 5 4 3 3 2 2" xfId="31547" xr:uid="{3D6ED712-632E-436E-AC4D-A3BBDF05C9AE}"/>
    <cellStyle name="Normal 2 5 4 3 3 2 3" xfId="31548" xr:uid="{4C58BFC4-AC91-4BF7-9449-AED377BD5940}"/>
    <cellStyle name="Normal 2 5 4 3 3 2 4" xfId="31549" xr:uid="{15510DD0-6D30-4B13-BAFB-AB1AD4F0DB93}"/>
    <cellStyle name="Normal 2 5 4 3 3 2 5" xfId="31550" xr:uid="{67722EA8-8D3B-4430-9C3B-608D2A37D28F}"/>
    <cellStyle name="Normal 2 5 4 3 3 3" xfId="31551" xr:uid="{DF131218-9F0C-4573-A851-336445707EC7}"/>
    <cellStyle name="Normal 2 5 4 3 3 4" xfId="31552" xr:uid="{EE9D211E-3DE6-4323-8485-4A05A3327224}"/>
    <cellStyle name="Normal 2 5 4 3 3 5" xfId="31553" xr:uid="{B75228FE-5168-4661-AC07-C75E475CB266}"/>
    <cellStyle name="Normal 2 5 4 3 3 6" xfId="31554" xr:uid="{9B22C3DD-C891-4A47-8FBF-FFDAEAA7BF0C}"/>
    <cellStyle name="Normal 2 5 4 3 4" xfId="31555" xr:uid="{9C973376-D18C-4EC5-AE74-52DE8619FF30}"/>
    <cellStyle name="Normal 2 5 4 3 4 2" xfId="31556" xr:uid="{69C9F01D-1580-41CB-B5A6-893E7050120F}"/>
    <cellStyle name="Normal 2 5 4 3 4 2 2" xfId="31557" xr:uid="{3E0C4BE4-3A82-44CB-A105-738B97B24216}"/>
    <cellStyle name="Normal 2 5 4 3 4 2 3" xfId="31558" xr:uid="{353A7582-5C37-4EA8-B1F6-4223CB41D818}"/>
    <cellStyle name="Normal 2 5 4 3 4 2 4" xfId="31559" xr:uid="{3CF72B98-BDD0-4581-BF11-B6125AE1808D}"/>
    <cellStyle name="Normal 2 5 4 3 4 2 5" xfId="31560" xr:uid="{D4554E78-0AC0-4D21-B1CF-07CEEE58ADC1}"/>
    <cellStyle name="Normal 2 5 4 3 4 3" xfId="31561" xr:uid="{9B4E2A20-812F-4840-A5C0-038CA99E9D98}"/>
    <cellStyle name="Normal 2 5 4 3 4 4" xfId="31562" xr:uid="{7820DA55-20A4-48C3-99FD-BB08620707A3}"/>
    <cellStyle name="Normal 2 5 4 3 4 5" xfId="31563" xr:uid="{42949D6B-7A70-4E49-BF28-95A568E92BC8}"/>
    <cellStyle name="Normal 2 5 4 3 4 6" xfId="31564" xr:uid="{FF52B831-59D9-45FA-8375-1CBE172355AE}"/>
    <cellStyle name="Normal 2 5 4 3 5" xfId="31565" xr:uid="{6989AA60-8CA0-40E1-ACF3-C4A50133FCDB}"/>
    <cellStyle name="Normal 2 5 4 3 5 2" xfId="31566" xr:uid="{6D9C3AAB-5B0B-4D10-8CBB-1E3B94CAEE36}"/>
    <cellStyle name="Normal 2 5 4 3 5 2 2" xfId="31567" xr:uid="{2A331D77-6A2D-4220-B71C-D13A2D98F803}"/>
    <cellStyle name="Normal 2 5 4 3 5 2 3" xfId="31568" xr:uid="{CB16E486-AC99-4342-8541-F8F5823AA37D}"/>
    <cellStyle name="Normal 2 5 4 3 5 2 4" xfId="31569" xr:uid="{38C2CDE3-94B7-4AAA-B683-9143626D458F}"/>
    <cellStyle name="Normal 2 5 4 3 5 2 5" xfId="31570" xr:uid="{BDD6D460-D576-4E7E-B36C-193E1A1D25D3}"/>
    <cellStyle name="Normal 2 5 4 3 5 3" xfId="31571" xr:uid="{46D5697A-5280-47C1-9D9C-18768AE35654}"/>
    <cellStyle name="Normal 2 5 4 3 5 4" xfId="31572" xr:uid="{C503D169-9123-4949-9AF6-6CE578EC1E9D}"/>
    <cellStyle name="Normal 2 5 4 3 5 5" xfId="31573" xr:uid="{A1B3AFCB-5785-487D-B4DF-DB03E93C46FB}"/>
    <cellStyle name="Normal 2 5 4 3 5 6" xfId="31574" xr:uid="{AEDA7C91-69DA-44B4-8CF1-EBFDCB9E0550}"/>
    <cellStyle name="Normal 2 5 4 3 6" xfId="31575" xr:uid="{3F562805-6E6A-450F-BAE7-204F2E42BD45}"/>
    <cellStyle name="Normal 2 5 4 3 6 2" xfId="31576" xr:uid="{FA26ADDB-1771-4173-ACD0-E874C605E664}"/>
    <cellStyle name="Normal 2 5 4 3 6 3" xfId="31577" xr:uid="{F3CC490C-C45D-4EAF-8B12-F6F4A6CDC538}"/>
    <cellStyle name="Normal 2 5 4 3 6 4" xfId="31578" xr:uid="{8F39BF60-FC82-41CA-90CB-DCE0856B7B34}"/>
    <cellStyle name="Normal 2 5 4 3 6 5" xfId="31579" xr:uid="{E45E58FA-6F5B-41A6-89F0-6A9257A12161}"/>
    <cellStyle name="Normal 2 5 4 3 7" xfId="31580" xr:uid="{1E92A447-F350-4685-B6DF-0F19E72FB671}"/>
    <cellStyle name="Normal 2 5 4 3 7 2" xfId="31581" xr:uid="{CAE2E9E6-909E-4B67-8860-198E52DB3BE2}"/>
    <cellStyle name="Normal 2 5 4 3 7 3" xfId="31582" xr:uid="{8200CA19-3B5A-4EF2-8817-F5CCE17FAB45}"/>
    <cellStyle name="Normal 2 5 4 3 7 4" xfId="31583" xr:uid="{32A8B047-AF31-41D0-89D2-FD80373C9908}"/>
    <cellStyle name="Normal 2 5 4 3 7 5" xfId="31584" xr:uid="{DD81DCEA-DCE4-47DF-9761-C72DA4D4CA48}"/>
    <cellStyle name="Normal 2 5 4 3 8" xfId="31585" xr:uid="{9043A159-B5E6-46DB-9BBE-5C6698C9B07C}"/>
    <cellStyle name="Normal 2 5 4 3 8 2" xfId="31586" xr:uid="{1A7A6BA1-A4EB-45E4-9CB2-ECC120088A42}"/>
    <cellStyle name="Normal 2 5 4 3 8 3" xfId="31587" xr:uid="{27F97188-304B-4B3C-9981-C7A456B1BB13}"/>
    <cellStyle name="Normal 2 5 4 3 8 4" xfId="31588" xr:uid="{EF80DDC7-4D79-42E6-8F64-D6FDE4F18AD1}"/>
    <cellStyle name="Normal 2 5 4 3 8 5" xfId="31589" xr:uid="{E7AEFB3E-28AA-4899-B7FC-4F723A48CAF9}"/>
    <cellStyle name="Normal 2 5 4 3 9" xfId="31590" xr:uid="{B5FE0422-71AC-43D6-ADC8-002B1BDF10C0}"/>
    <cellStyle name="Normal 2 5 4 3 9 2" xfId="31591" xr:uid="{9F2ACB0A-0BC9-4739-980C-6C6BFFCA430D}"/>
    <cellStyle name="Normal 2 5 4 3 9 3" xfId="31592" xr:uid="{06870C7D-97B2-40C5-8E5E-C3A39F6CB83C}"/>
    <cellStyle name="Normal 2 5 4 3 9 4" xfId="31593" xr:uid="{55C934C3-6E69-484C-9825-F64BBAE50FDC}"/>
    <cellStyle name="Normal 2 5 4 3 9 5" xfId="31594" xr:uid="{3C4CA008-2102-42A6-A69E-BAFF315705EA}"/>
    <cellStyle name="Normal 2 5 4 4" xfId="31595" xr:uid="{CC2CAC77-6567-4892-9C22-B21F070FD1F0}"/>
    <cellStyle name="Normal 2 5 4 4 10" xfId="31596" xr:uid="{C45FED2A-D84F-48E2-A037-EBC40DB693B2}"/>
    <cellStyle name="Normal 2 5 4 4 11" xfId="31597" xr:uid="{FF9F3C11-D2EE-4FAA-AAC0-9D1E838651BE}"/>
    <cellStyle name="Normal 2 5 4 4 12" xfId="31598" xr:uid="{87C9278E-5F02-4423-BC93-28DDA6D10D3F}"/>
    <cellStyle name="Normal 2 5 4 4 2" xfId="31599" xr:uid="{D82A0EB7-766D-440B-9C92-364BE8ED48FE}"/>
    <cellStyle name="Normal 2 5 4 4 2 2" xfId="31600" xr:uid="{C75A8AA6-762C-4EDD-BBAB-05C668708183}"/>
    <cellStyle name="Normal 2 5 4 4 2 2 2" xfId="31601" xr:uid="{389AF77F-A963-43B8-9A90-286E0DFF98BA}"/>
    <cellStyle name="Normal 2 5 4 4 2 2 3" xfId="31602" xr:uid="{A212F91D-B3EE-4359-9F51-CC2F0494726B}"/>
    <cellStyle name="Normal 2 5 4 4 2 2 4" xfId="31603" xr:uid="{EE793974-B7FF-4817-B60C-06DA2CD8ED3F}"/>
    <cellStyle name="Normal 2 5 4 4 2 2 5" xfId="31604" xr:uid="{C8721064-9C1B-4AFD-9811-A4EE8A8DCB38}"/>
    <cellStyle name="Normal 2 5 4 4 2 3" xfId="31605" xr:uid="{59D611BA-F22C-4584-93E5-9F14F4FC8938}"/>
    <cellStyle name="Normal 2 5 4 4 2 4" xfId="31606" xr:uid="{1DD70C6F-A745-4F9C-94F3-057F38E47951}"/>
    <cellStyle name="Normal 2 5 4 4 2 5" xfId="31607" xr:uid="{7BC5D93E-6364-43AA-9F0D-B54E6ADFDAA3}"/>
    <cellStyle name="Normal 2 5 4 4 2 6" xfId="31608" xr:uid="{FB8184B6-1A95-4297-97BB-4841EB2F067B}"/>
    <cellStyle name="Normal 2 5 4 4 3" xfId="31609" xr:uid="{B67A3F58-FD91-425F-8564-F9A8F0AD6BFF}"/>
    <cellStyle name="Normal 2 5 4 4 3 2" xfId="31610" xr:uid="{D7E80CB1-E0CA-4BB6-9912-DE53C6AD6061}"/>
    <cellStyle name="Normal 2 5 4 4 3 2 2" xfId="31611" xr:uid="{DB3C230A-2BF7-4A12-80CF-E93D4AE07A4D}"/>
    <cellStyle name="Normal 2 5 4 4 3 2 3" xfId="31612" xr:uid="{57DA184B-7E86-4ACE-8A0B-1C3FC6F0B5D4}"/>
    <cellStyle name="Normal 2 5 4 4 3 2 4" xfId="31613" xr:uid="{6FD0EE32-2FE5-4610-9DB8-89F49EC3F256}"/>
    <cellStyle name="Normal 2 5 4 4 3 2 5" xfId="31614" xr:uid="{7016B2BD-173F-4E66-8DD5-2B287DE078D9}"/>
    <cellStyle name="Normal 2 5 4 4 3 3" xfId="31615" xr:uid="{691509C1-A618-4110-B49F-B1A6B39D7D62}"/>
    <cellStyle name="Normal 2 5 4 4 3 4" xfId="31616" xr:uid="{6F2B0045-B991-47B8-B8FF-4CBAA81EF86A}"/>
    <cellStyle name="Normal 2 5 4 4 3 5" xfId="31617" xr:uid="{6213D997-CB7E-48A2-92EA-530F6F9D0BE8}"/>
    <cellStyle name="Normal 2 5 4 4 3 6" xfId="31618" xr:uid="{E70496B3-A3EF-4292-AD52-A5DBAE698E8C}"/>
    <cellStyle name="Normal 2 5 4 4 4" xfId="31619" xr:uid="{4A9ED0D6-7253-480B-9EE1-A413974019D7}"/>
    <cellStyle name="Normal 2 5 4 4 4 2" xfId="31620" xr:uid="{11CD3390-C7A0-4D0C-8974-F30F947A360B}"/>
    <cellStyle name="Normal 2 5 4 4 4 2 2" xfId="31621" xr:uid="{9D662B74-00CD-42BC-87D0-8D546A6680D3}"/>
    <cellStyle name="Normal 2 5 4 4 4 2 3" xfId="31622" xr:uid="{39FE3953-A534-46DD-AEB3-7526DEDE914F}"/>
    <cellStyle name="Normal 2 5 4 4 4 2 4" xfId="31623" xr:uid="{54D48476-C6C3-477F-87D6-9264A209A3AE}"/>
    <cellStyle name="Normal 2 5 4 4 4 2 5" xfId="31624" xr:uid="{3873B345-B92C-4737-B835-5BCD3BB4061D}"/>
    <cellStyle name="Normal 2 5 4 4 4 3" xfId="31625" xr:uid="{9E78920F-3066-4E83-B0A5-935E523E2A7A}"/>
    <cellStyle name="Normal 2 5 4 4 4 4" xfId="31626" xr:uid="{570545A3-4DD7-4FF7-BAC9-AC438AFFED34}"/>
    <cellStyle name="Normal 2 5 4 4 4 5" xfId="31627" xr:uid="{15776340-125A-4557-8C43-DE02F5B1067D}"/>
    <cellStyle name="Normal 2 5 4 4 4 6" xfId="31628" xr:uid="{458C3F7B-6D69-4E4B-ACC4-988F8F390801}"/>
    <cellStyle name="Normal 2 5 4 4 5" xfId="31629" xr:uid="{2F32DF0D-0690-4022-9AB8-DD7922990E06}"/>
    <cellStyle name="Normal 2 5 4 4 5 2" xfId="31630" xr:uid="{989D3087-BF7A-4AED-B808-772DBD308677}"/>
    <cellStyle name="Normal 2 5 4 4 5 3" xfId="31631" xr:uid="{F7C2A651-8F8A-4F59-BEDD-71D0F2B94046}"/>
    <cellStyle name="Normal 2 5 4 4 5 4" xfId="31632" xr:uid="{121A5223-A54E-40F8-9494-3CD34ED145A2}"/>
    <cellStyle name="Normal 2 5 4 4 5 5" xfId="31633" xr:uid="{80F20CCF-45FA-4C97-A5C1-4CC3788D6477}"/>
    <cellStyle name="Normal 2 5 4 4 6" xfId="31634" xr:uid="{7273AB3C-B214-4382-B1C8-27EADE6BB3BC}"/>
    <cellStyle name="Normal 2 5 4 4 6 2" xfId="31635" xr:uid="{7C6E9AE9-A54A-4095-9E2B-8274DA6CFE40}"/>
    <cellStyle name="Normal 2 5 4 4 6 3" xfId="31636" xr:uid="{0C1C4903-782A-4D6F-8186-472CF675473C}"/>
    <cellStyle name="Normal 2 5 4 4 6 4" xfId="31637" xr:uid="{23CA036E-096B-49F4-B0DB-CFDBB421F678}"/>
    <cellStyle name="Normal 2 5 4 4 6 5" xfId="31638" xr:uid="{FA9328DD-CEBA-4FEC-8AAA-AFE36A093C33}"/>
    <cellStyle name="Normal 2 5 4 4 7" xfId="31639" xr:uid="{B2825E99-3A70-4B56-AFC2-25A31449ACDE}"/>
    <cellStyle name="Normal 2 5 4 4 7 2" xfId="31640" xr:uid="{4EC739DB-2C43-46DD-A316-67FB6C1397CC}"/>
    <cellStyle name="Normal 2 5 4 4 7 3" xfId="31641" xr:uid="{6CB4EAF2-DD81-44AC-9101-3822DDBD4C6B}"/>
    <cellStyle name="Normal 2 5 4 4 7 4" xfId="31642" xr:uid="{CBD81BDE-19CA-4C86-8303-C12B6E989224}"/>
    <cellStyle name="Normal 2 5 4 4 7 5" xfId="31643" xr:uid="{D7D9EB92-53AF-4981-B5F2-294C5E232FCC}"/>
    <cellStyle name="Normal 2 5 4 4 8" xfId="31644" xr:uid="{9ECFADD2-A347-4252-AF81-00297E2087D4}"/>
    <cellStyle name="Normal 2 5 4 4 8 2" xfId="31645" xr:uid="{F4F84B76-DB43-496B-B9A3-EF07D965D530}"/>
    <cellStyle name="Normal 2 5 4 4 8 3" xfId="31646" xr:uid="{E0B3C2A2-0002-4C82-94F7-A83FA0D37B27}"/>
    <cellStyle name="Normal 2 5 4 4 8 4" xfId="31647" xr:uid="{B9378D3B-9DD7-4251-96BF-CBABCF56A7E8}"/>
    <cellStyle name="Normal 2 5 4 4 8 5" xfId="31648" xr:uid="{F2987B1C-9553-4BA4-812E-CB9D5F209674}"/>
    <cellStyle name="Normal 2 5 4 4 9" xfId="31649" xr:uid="{C2D13862-C650-48BF-8623-FB37CE376CC4}"/>
    <cellStyle name="Normal 2 5 4 5" xfId="31650" xr:uid="{B7572F5C-DCCA-42BF-9F8F-60504B853B5C}"/>
    <cellStyle name="Normal 2 5 4 5 2" xfId="31651" xr:uid="{0C4D5905-4349-4CBB-84E9-88B7E93D1CD0}"/>
    <cellStyle name="Normal 2 5 4 5 2 2" xfId="31652" xr:uid="{AD412FD9-486B-474B-9850-B05BBB7461A3}"/>
    <cellStyle name="Normal 2 5 4 5 2 3" xfId="31653" xr:uid="{E2E253CC-A50C-4861-BA8F-9DFC31864801}"/>
    <cellStyle name="Normal 2 5 4 5 2 4" xfId="31654" xr:uid="{FD19490C-0804-46E0-91AF-566F226A9EEF}"/>
    <cellStyle name="Normal 2 5 4 5 2 5" xfId="31655" xr:uid="{22FACAB2-7C33-4426-B63A-4326661A9AF6}"/>
    <cellStyle name="Normal 2 5 4 5 3" xfId="31656" xr:uid="{C2996B30-0A67-49FB-99AB-DD76E0FD6944}"/>
    <cellStyle name="Normal 2 5 4 5 4" xfId="31657" xr:uid="{B4384B8D-5ECD-4870-964F-27A1025DAD3A}"/>
    <cellStyle name="Normal 2 5 4 5 5" xfId="31658" xr:uid="{246DE9E7-68D6-45C4-AB19-93C4D508C25E}"/>
    <cellStyle name="Normal 2 5 4 5 6" xfId="31659" xr:uid="{10BC9E24-0926-4D34-B3A5-5E7E062A80B2}"/>
    <cellStyle name="Normal 2 5 4 6" xfId="31660" xr:uid="{DC160DE4-F0F9-4E9F-ADDB-E684FEC937FE}"/>
    <cellStyle name="Normal 2 5 4 6 2" xfId="31661" xr:uid="{E8381870-2CBD-4853-BF69-3C84FAF37D29}"/>
    <cellStyle name="Normal 2 5 4 6 2 2" xfId="31662" xr:uid="{9372A20C-40E9-4DA9-91DD-97CA7E283800}"/>
    <cellStyle name="Normal 2 5 4 6 2 3" xfId="31663" xr:uid="{063446D1-B5C5-4FDB-AA01-6F7982286B93}"/>
    <cellStyle name="Normal 2 5 4 6 2 4" xfId="31664" xr:uid="{F388AED8-2E05-4968-96E4-73FB8EE7C13C}"/>
    <cellStyle name="Normal 2 5 4 6 2 5" xfId="31665" xr:uid="{2444D3C1-6EC9-4011-917C-73F542E8F45E}"/>
    <cellStyle name="Normal 2 5 4 6 3" xfId="31666" xr:uid="{FAA0E129-4CCC-4720-9E83-8AD37D9A37DD}"/>
    <cellStyle name="Normal 2 5 4 6 4" xfId="31667" xr:uid="{C21E29DB-D43E-4BB1-94CD-FDFC7039C878}"/>
    <cellStyle name="Normal 2 5 4 6 5" xfId="31668" xr:uid="{4A031890-3B5C-4166-8FE5-E1FDF211EC3C}"/>
    <cellStyle name="Normal 2 5 4 6 6" xfId="31669" xr:uid="{585BF2CA-80F4-410A-9AC3-4F7E4340FA55}"/>
    <cellStyle name="Normal 2 5 4 7" xfId="31670" xr:uid="{65A7CB22-57DE-4C19-88CC-E894D4B7908D}"/>
    <cellStyle name="Normal 2 5 4 7 2" xfId="31671" xr:uid="{23B5B0DB-DDE7-4509-85E4-14FAAD718A50}"/>
    <cellStyle name="Normal 2 5 4 7 2 2" xfId="31672" xr:uid="{48B4E720-CE5B-49EB-81F0-42AEF0F6FDC3}"/>
    <cellStyle name="Normal 2 5 4 7 2 3" xfId="31673" xr:uid="{DCE6F40A-F1FB-41E3-BB94-1486571A0944}"/>
    <cellStyle name="Normal 2 5 4 7 2 4" xfId="31674" xr:uid="{58C1CEDD-678B-4650-8E8A-FD1419F142EC}"/>
    <cellStyle name="Normal 2 5 4 7 2 5" xfId="31675" xr:uid="{52344E5A-D2C4-4147-BF47-59258B6B1333}"/>
    <cellStyle name="Normal 2 5 4 7 3" xfId="31676" xr:uid="{935CFF3E-A846-48FC-A403-D2E2E2CB2C93}"/>
    <cellStyle name="Normal 2 5 4 7 4" xfId="31677" xr:uid="{CFCE9FBF-90CD-4DF3-8A27-CA820D68C08A}"/>
    <cellStyle name="Normal 2 5 4 7 5" xfId="31678" xr:uid="{A7D54423-8CC7-4DF5-A543-ED0443B633BE}"/>
    <cellStyle name="Normal 2 5 4 7 6" xfId="31679" xr:uid="{75F124F7-752E-4390-8B1A-78177819E3F5}"/>
    <cellStyle name="Normal 2 5 4 8" xfId="31680" xr:uid="{DC3D151C-37E8-4093-B1A7-7109F31670DA}"/>
    <cellStyle name="Normal 2 5 4 8 2" xfId="31681" xr:uid="{5A033686-E2D8-4F84-942B-D41B97C5C85A}"/>
    <cellStyle name="Normal 2 5 4 8 3" xfId="31682" xr:uid="{6D1F3A41-D85E-427D-9530-470A493D3772}"/>
    <cellStyle name="Normal 2 5 4 8 4" xfId="31683" xr:uid="{112A2311-D92C-46D4-8D7E-18C3F97A2F8D}"/>
    <cellStyle name="Normal 2 5 4 8 5" xfId="31684" xr:uid="{F50224A1-ED72-4146-A0A0-6C27BC2919D9}"/>
    <cellStyle name="Normal 2 5 4 9" xfId="31685" xr:uid="{1C017C7C-CC33-4B35-A649-D895D827715A}"/>
    <cellStyle name="Normal 2 5 4 9 2" xfId="31686" xr:uid="{05404600-FE02-433D-A8ED-7F18858928F9}"/>
    <cellStyle name="Normal 2 5 4 9 3" xfId="31687" xr:uid="{77301A88-8837-4C96-AA78-6F0EBEA112A9}"/>
    <cellStyle name="Normal 2 5 4 9 4" xfId="31688" xr:uid="{FE1E01EC-8314-4CB0-B344-384A6E797B72}"/>
    <cellStyle name="Normal 2 5 4 9 5" xfId="31689" xr:uid="{721BD515-E657-42A4-BB18-CFEE844C606D}"/>
    <cellStyle name="Normal 2 5 5" xfId="31690" xr:uid="{E130C019-FEF7-481B-969E-D1FE28EAB948}"/>
    <cellStyle name="Normal 2 5 5 10" xfId="31691" xr:uid="{86FDCC11-D297-4D70-BF2F-F5503B34E0E5}"/>
    <cellStyle name="Normal 2 5 5 10 2" xfId="31692" xr:uid="{1359263C-6407-419E-BD9C-BF8E31C70D36}"/>
    <cellStyle name="Normal 2 5 5 10 3" xfId="31693" xr:uid="{84099728-C687-49A2-8E39-BE4CC2C87BB5}"/>
    <cellStyle name="Normal 2 5 5 10 4" xfId="31694" xr:uid="{0AD9098D-5835-4567-8817-4F036B468F9A}"/>
    <cellStyle name="Normal 2 5 5 10 5" xfId="31695" xr:uid="{4F3D87D8-797C-41B1-94B9-244DF50ABB12}"/>
    <cellStyle name="Normal 2 5 5 11" xfId="31696" xr:uid="{81E66C46-17F3-486A-BDB8-F818874A73D0}"/>
    <cellStyle name="Normal 2 5 5 12" xfId="31697" xr:uid="{AF6D8D6A-23E4-4ADF-BF2E-7C94FF3B4008}"/>
    <cellStyle name="Normal 2 5 5 13" xfId="31698" xr:uid="{D1B1D9F6-343A-48F2-A013-1B710C52CB11}"/>
    <cellStyle name="Normal 2 5 5 14" xfId="31699" xr:uid="{BF1797BE-D85D-486A-827A-602A1ECA2E50}"/>
    <cellStyle name="Normal 2 5 5 2" xfId="31700" xr:uid="{68307644-86B5-424A-BD8E-06D1C2D6F181}"/>
    <cellStyle name="Normal 2 5 5 2 10" xfId="31701" xr:uid="{BC22B2EB-2CDD-4888-97E7-07504A00065E}"/>
    <cellStyle name="Normal 2 5 5 2 11" xfId="31702" xr:uid="{8FEAB5C8-2584-45EF-806C-F30EFC21BAF7}"/>
    <cellStyle name="Normal 2 5 5 2 12" xfId="31703" xr:uid="{B61F36B8-8B73-4C5D-BE0B-CF2E87707D7A}"/>
    <cellStyle name="Normal 2 5 5 2 13" xfId="31704" xr:uid="{3B5AA689-5AEA-469C-8B59-946C6A148CF3}"/>
    <cellStyle name="Normal 2 5 5 2 2" xfId="31705" xr:uid="{CB3AD537-0062-4EF3-AEA5-FC2CCC51088C}"/>
    <cellStyle name="Normal 2 5 5 2 2 10" xfId="31706" xr:uid="{6F080DCA-0100-498A-980C-488651984B77}"/>
    <cellStyle name="Normal 2 5 5 2 2 11" xfId="31707" xr:uid="{83270F3C-743D-4942-B28E-C894F67F6B69}"/>
    <cellStyle name="Normal 2 5 5 2 2 12" xfId="31708" xr:uid="{59292805-0249-42F5-8A60-972024918AA0}"/>
    <cellStyle name="Normal 2 5 5 2 2 2" xfId="31709" xr:uid="{5341C54C-D692-45F5-97A0-F0B7A96CA9F3}"/>
    <cellStyle name="Normal 2 5 5 2 2 2 2" xfId="31710" xr:uid="{1EFDD17F-039D-400E-ABF7-0D28D05534CF}"/>
    <cellStyle name="Normal 2 5 5 2 2 2 2 2" xfId="31711" xr:uid="{C8010E25-24B2-424F-9AFE-A2D48DBBD77C}"/>
    <cellStyle name="Normal 2 5 5 2 2 2 2 3" xfId="31712" xr:uid="{91CFF747-CD38-4766-85AC-29C85A2620F8}"/>
    <cellStyle name="Normal 2 5 5 2 2 2 2 4" xfId="31713" xr:uid="{A0C8F017-3C0B-47AE-A80A-41A661F2DDCC}"/>
    <cellStyle name="Normal 2 5 5 2 2 2 2 5" xfId="31714" xr:uid="{3F14EECB-1094-4AD8-B533-06E8F0B412E6}"/>
    <cellStyle name="Normal 2 5 5 2 2 2 3" xfId="31715" xr:uid="{8C469C1B-D712-4913-A75A-27C101FD08EC}"/>
    <cellStyle name="Normal 2 5 5 2 2 2 4" xfId="31716" xr:uid="{37BED730-1287-4343-A8AF-427BD85D8088}"/>
    <cellStyle name="Normal 2 5 5 2 2 2 5" xfId="31717" xr:uid="{0B164D01-FDD7-485D-9542-C88ECF61B491}"/>
    <cellStyle name="Normal 2 5 5 2 2 2 6" xfId="31718" xr:uid="{A60FF291-BB07-46CF-8B04-3972120B0F96}"/>
    <cellStyle name="Normal 2 5 5 2 2 3" xfId="31719" xr:uid="{D73425A1-5DC7-47C0-B7C4-7430C506A37F}"/>
    <cellStyle name="Normal 2 5 5 2 2 3 2" xfId="31720" xr:uid="{6466509F-4E6D-448B-96BD-8E26158E1CB7}"/>
    <cellStyle name="Normal 2 5 5 2 2 3 2 2" xfId="31721" xr:uid="{BAA1D7C8-2B3D-48EE-935C-8AFD89138F7E}"/>
    <cellStyle name="Normal 2 5 5 2 2 3 2 3" xfId="31722" xr:uid="{51E8E573-948C-4507-9EC7-B53F77666BD3}"/>
    <cellStyle name="Normal 2 5 5 2 2 3 2 4" xfId="31723" xr:uid="{D58DBB2D-4BE0-41A8-9EEE-788FB2CFFFED}"/>
    <cellStyle name="Normal 2 5 5 2 2 3 2 5" xfId="31724" xr:uid="{8EF259A1-0B26-447D-8A49-B577529FFB71}"/>
    <cellStyle name="Normal 2 5 5 2 2 3 3" xfId="31725" xr:uid="{9DAD6461-5384-4100-BAAF-5FEB52786341}"/>
    <cellStyle name="Normal 2 5 5 2 2 3 4" xfId="31726" xr:uid="{83D13B06-FC46-4287-9AEF-4F8DE525A612}"/>
    <cellStyle name="Normal 2 5 5 2 2 3 5" xfId="31727" xr:uid="{B3C582C0-D1BE-4A6B-8B77-FAE3167F165F}"/>
    <cellStyle name="Normal 2 5 5 2 2 3 6" xfId="31728" xr:uid="{1972CC98-0A44-496C-A159-A87FC45A338A}"/>
    <cellStyle name="Normal 2 5 5 2 2 4" xfId="31729" xr:uid="{BD0F9366-E458-4B93-9C8D-E6B05F365D1E}"/>
    <cellStyle name="Normal 2 5 5 2 2 4 2" xfId="31730" xr:uid="{C4366B51-2419-4927-BA6E-7EA916C718EE}"/>
    <cellStyle name="Normal 2 5 5 2 2 4 2 2" xfId="31731" xr:uid="{DD742087-2C65-4298-AEC1-965D96F4CEDD}"/>
    <cellStyle name="Normal 2 5 5 2 2 4 2 3" xfId="31732" xr:uid="{ED4F061C-8924-4D1D-986C-F8A447BC8D45}"/>
    <cellStyle name="Normal 2 5 5 2 2 4 2 4" xfId="31733" xr:uid="{609B4F59-6173-4C25-B22E-C1582D2F59F9}"/>
    <cellStyle name="Normal 2 5 5 2 2 4 2 5" xfId="31734" xr:uid="{D2F9CE0C-E1FC-4814-A8F9-40E2BECB4AF6}"/>
    <cellStyle name="Normal 2 5 5 2 2 4 3" xfId="31735" xr:uid="{73A05AC6-BC1C-4D8C-B2F0-362274505816}"/>
    <cellStyle name="Normal 2 5 5 2 2 4 4" xfId="31736" xr:uid="{E38B431E-8664-4922-84D6-B90705942A5D}"/>
    <cellStyle name="Normal 2 5 5 2 2 4 5" xfId="31737" xr:uid="{45FE7578-0217-4DEE-AB48-F097F322A5CE}"/>
    <cellStyle name="Normal 2 5 5 2 2 4 6" xfId="31738" xr:uid="{B947A83E-1005-42F3-A9A0-40932EC432C9}"/>
    <cellStyle name="Normal 2 5 5 2 2 5" xfId="31739" xr:uid="{B0E54ACD-AB7F-4E62-8FCC-FE261C8E00F0}"/>
    <cellStyle name="Normal 2 5 5 2 2 5 2" xfId="31740" xr:uid="{01F96BB8-4909-440B-ADA5-869AA864F554}"/>
    <cellStyle name="Normal 2 5 5 2 2 5 3" xfId="31741" xr:uid="{3AF2E39D-5A26-41EE-98EB-BBE81299E0E3}"/>
    <cellStyle name="Normal 2 5 5 2 2 5 4" xfId="31742" xr:uid="{D6687B72-9A8C-440D-893C-2496CDCBAC66}"/>
    <cellStyle name="Normal 2 5 5 2 2 5 5" xfId="31743" xr:uid="{246AB0EE-D3AB-4AB6-923A-095A2009E535}"/>
    <cellStyle name="Normal 2 5 5 2 2 6" xfId="31744" xr:uid="{DE58C5DE-6662-4F98-ABA9-86F3BD00DF1E}"/>
    <cellStyle name="Normal 2 5 5 2 2 6 2" xfId="31745" xr:uid="{C91D71DF-34FC-44AB-914A-663D305714D6}"/>
    <cellStyle name="Normal 2 5 5 2 2 6 3" xfId="31746" xr:uid="{285D531A-F731-4CFD-816B-983701098E0E}"/>
    <cellStyle name="Normal 2 5 5 2 2 6 4" xfId="31747" xr:uid="{A864B337-DD70-451F-ABCF-F58E87DD6FEE}"/>
    <cellStyle name="Normal 2 5 5 2 2 6 5" xfId="31748" xr:uid="{E2B8F728-02D2-4853-B339-04FD28F255B8}"/>
    <cellStyle name="Normal 2 5 5 2 2 7" xfId="31749" xr:uid="{89127C51-AC2F-4D06-8887-0BEC37D73510}"/>
    <cellStyle name="Normal 2 5 5 2 2 7 2" xfId="31750" xr:uid="{E431C4A8-748F-4E6F-BCF7-37BAA5FB4282}"/>
    <cellStyle name="Normal 2 5 5 2 2 7 3" xfId="31751" xr:uid="{DC0A9599-F70B-4168-A299-416BA2F3C23F}"/>
    <cellStyle name="Normal 2 5 5 2 2 7 4" xfId="31752" xr:uid="{5B20B845-DE47-4C7E-984B-44860E647706}"/>
    <cellStyle name="Normal 2 5 5 2 2 7 5" xfId="31753" xr:uid="{DCEA7A62-D03D-457A-AF60-4EEDE3F56A8E}"/>
    <cellStyle name="Normal 2 5 5 2 2 8" xfId="31754" xr:uid="{2240AFBC-E8D2-488C-9CE1-422041BF1815}"/>
    <cellStyle name="Normal 2 5 5 2 2 8 2" xfId="31755" xr:uid="{663926B4-ACE4-4728-BE10-BA7BCD834153}"/>
    <cellStyle name="Normal 2 5 5 2 2 8 3" xfId="31756" xr:uid="{E2E4EFC4-E7BA-4866-B75D-0E3D530E182C}"/>
    <cellStyle name="Normal 2 5 5 2 2 8 4" xfId="31757" xr:uid="{EC8726F3-6C0A-433B-9405-1E39CAB5D99A}"/>
    <cellStyle name="Normal 2 5 5 2 2 8 5" xfId="31758" xr:uid="{AB8CB2B4-920D-4CB9-8CC0-2FEB86D38638}"/>
    <cellStyle name="Normal 2 5 5 2 2 9" xfId="31759" xr:uid="{DD5CDE16-984B-4B6C-8953-C1F6511C17BA}"/>
    <cellStyle name="Normal 2 5 5 2 3" xfId="31760" xr:uid="{7A9BB018-8C00-4BFB-BE64-0AE61FC8DCB3}"/>
    <cellStyle name="Normal 2 5 5 2 3 2" xfId="31761" xr:uid="{1A9B5A98-0F7F-4992-8B92-D8C65E290B1E}"/>
    <cellStyle name="Normal 2 5 5 2 3 2 2" xfId="31762" xr:uid="{6CE94FCB-6EAF-4163-BADA-444041EB0B7D}"/>
    <cellStyle name="Normal 2 5 5 2 3 2 3" xfId="31763" xr:uid="{B92DF864-C9AC-41FC-B8D0-86DB849C83CE}"/>
    <cellStyle name="Normal 2 5 5 2 3 2 4" xfId="31764" xr:uid="{E638E7F7-B9D7-465E-915A-B84055B9BE69}"/>
    <cellStyle name="Normal 2 5 5 2 3 2 5" xfId="31765" xr:uid="{5E2F7010-EE00-4440-A92D-548BC6F89F40}"/>
    <cellStyle name="Normal 2 5 5 2 3 3" xfId="31766" xr:uid="{9F612170-EC3D-49CE-95D5-8652100732D5}"/>
    <cellStyle name="Normal 2 5 5 2 3 4" xfId="31767" xr:uid="{4DA5D30E-3AA1-40D5-AA19-F7C958717BCA}"/>
    <cellStyle name="Normal 2 5 5 2 3 5" xfId="31768" xr:uid="{96A0F7F7-9A92-4134-AE4C-52B9D4B583A2}"/>
    <cellStyle name="Normal 2 5 5 2 3 6" xfId="31769" xr:uid="{994A286B-FE52-4B47-937D-49BAE3A32C7C}"/>
    <cellStyle name="Normal 2 5 5 2 4" xfId="31770" xr:uid="{A38269C4-B001-4B5D-AC12-85D3D2159118}"/>
    <cellStyle name="Normal 2 5 5 2 4 2" xfId="31771" xr:uid="{1B7832A2-F439-4737-92F9-31332F393C3C}"/>
    <cellStyle name="Normal 2 5 5 2 4 2 2" xfId="31772" xr:uid="{50F23753-DD18-4B0A-89E6-9F3CCB6BC8B9}"/>
    <cellStyle name="Normal 2 5 5 2 4 2 3" xfId="31773" xr:uid="{FE32C216-041A-4A69-BB37-DC794253205B}"/>
    <cellStyle name="Normal 2 5 5 2 4 2 4" xfId="31774" xr:uid="{66DEA3B3-A48A-4026-BD84-37E01EF9229E}"/>
    <cellStyle name="Normal 2 5 5 2 4 2 5" xfId="31775" xr:uid="{E12858B3-3F62-4F22-BA21-A66D3B1186C7}"/>
    <cellStyle name="Normal 2 5 5 2 4 3" xfId="31776" xr:uid="{DF23F4CE-78EA-4DC4-B24E-2A1F62B6D989}"/>
    <cellStyle name="Normal 2 5 5 2 4 4" xfId="31777" xr:uid="{38F9D06A-DA62-4E95-8A56-77CA81037F5B}"/>
    <cellStyle name="Normal 2 5 5 2 4 5" xfId="31778" xr:uid="{67A44197-9259-4BC9-B1A1-6C08B6766B97}"/>
    <cellStyle name="Normal 2 5 5 2 4 6" xfId="31779" xr:uid="{FEF57AFC-CB91-4869-8E19-2E2DDA381C65}"/>
    <cellStyle name="Normal 2 5 5 2 5" xfId="31780" xr:uid="{B6368217-2943-439D-A984-287680B40C8C}"/>
    <cellStyle name="Normal 2 5 5 2 5 2" xfId="31781" xr:uid="{C7DB7313-590F-4875-9D7A-53B4441F8263}"/>
    <cellStyle name="Normal 2 5 5 2 5 2 2" xfId="31782" xr:uid="{B133ED2C-6B53-4C25-8163-4B09652B4078}"/>
    <cellStyle name="Normal 2 5 5 2 5 2 3" xfId="31783" xr:uid="{FDB1C696-7230-462A-821F-97524005C397}"/>
    <cellStyle name="Normal 2 5 5 2 5 2 4" xfId="31784" xr:uid="{DFBA6060-874D-4C64-BF2B-4B9E7EE62747}"/>
    <cellStyle name="Normal 2 5 5 2 5 2 5" xfId="31785" xr:uid="{0375B36E-32A0-4601-ABA3-6FE68D545F9D}"/>
    <cellStyle name="Normal 2 5 5 2 5 3" xfId="31786" xr:uid="{F83EC5B6-1D3F-497A-8292-5261B5CE2739}"/>
    <cellStyle name="Normal 2 5 5 2 5 4" xfId="31787" xr:uid="{8149259B-E01D-4106-831F-EB4168DFF1D4}"/>
    <cellStyle name="Normal 2 5 5 2 5 5" xfId="31788" xr:uid="{8A82019B-2381-479C-92B9-FB81F6518190}"/>
    <cellStyle name="Normal 2 5 5 2 5 6" xfId="31789" xr:uid="{6E1C81E1-757A-4379-8180-1A08CD6B6E40}"/>
    <cellStyle name="Normal 2 5 5 2 6" xfId="31790" xr:uid="{386E5BC8-931C-4735-A94D-FFBA0F601537}"/>
    <cellStyle name="Normal 2 5 5 2 6 2" xfId="31791" xr:uid="{4F38E821-E8ED-4092-ABC9-BC26DCAD92EA}"/>
    <cellStyle name="Normal 2 5 5 2 6 3" xfId="31792" xr:uid="{565BADB2-ADED-4A49-8C61-392D85C6B6DC}"/>
    <cellStyle name="Normal 2 5 5 2 6 4" xfId="31793" xr:uid="{24BCCBF1-711F-4F02-82D0-8E482610DF2E}"/>
    <cellStyle name="Normal 2 5 5 2 6 5" xfId="31794" xr:uid="{A187F4DE-C2AE-4EA9-B203-AB8FA5826AC4}"/>
    <cellStyle name="Normal 2 5 5 2 7" xfId="31795" xr:uid="{00A0D850-96B5-4A10-A178-44AA46764D72}"/>
    <cellStyle name="Normal 2 5 5 2 7 2" xfId="31796" xr:uid="{424C90A5-97F9-4774-9D26-DA5317801AB7}"/>
    <cellStyle name="Normal 2 5 5 2 7 3" xfId="31797" xr:uid="{D4E6F83A-EC9C-4DA2-B323-84BD13CB4CC0}"/>
    <cellStyle name="Normal 2 5 5 2 7 4" xfId="31798" xr:uid="{B623A5A5-0F88-4685-92C3-53EEA009B2C4}"/>
    <cellStyle name="Normal 2 5 5 2 7 5" xfId="31799" xr:uid="{204F87FA-E337-4A13-8F54-B807D5A3B9CE}"/>
    <cellStyle name="Normal 2 5 5 2 8" xfId="31800" xr:uid="{90F8B5CA-0F58-4A7C-983F-D78DC6EFD213}"/>
    <cellStyle name="Normal 2 5 5 2 8 2" xfId="31801" xr:uid="{EEB5434A-1FF0-4D1A-B21F-B81AECFD1055}"/>
    <cellStyle name="Normal 2 5 5 2 8 3" xfId="31802" xr:uid="{B9FE51BA-2684-4D00-870A-F8A4ADAED938}"/>
    <cellStyle name="Normal 2 5 5 2 8 4" xfId="31803" xr:uid="{29C0B08F-5A64-4FCB-8C16-2B0A08028FD0}"/>
    <cellStyle name="Normal 2 5 5 2 8 5" xfId="31804" xr:uid="{66AF2992-91B1-4645-878D-0A0370FA8219}"/>
    <cellStyle name="Normal 2 5 5 2 9" xfId="31805" xr:uid="{9A86106C-7D82-4574-8873-02035E5CA646}"/>
    <cellStyle name="Normal 2 5 5 2 9 2" xfId="31806" xr:uid="{BEB84AC7-D922-4D22-ACD8-9466E68BB63C}"/>
    <cellStyle name="Normal 2 5 5 2 9 3" xfId="31807" xr:uid="{3DA61031-DDF3-48A4-82D7-8D19CE05FB15}"/>
    <cellStyle name="Normal 2 5 5 2 9 4" xfId="31808" xr:uid="{F8B0BBFF-F3FC-43D2-9F57-142BDC2AAF45}"/>
    <cellStyle name="Normal 2 5 5 2 9 5" xfId="31809" xr:uid="{B865819C-406F-4C08-934F-5F2F69331B8A}"/>
    <cellStyle name="Normal 2 5 5 3" xfId="31810" xr:uid="{D5096E9F-0091-4A64-BC8B-30F3F375C5ED}"/>
    <cellStyle name="Normal 2 5 5 3 10" xfId="31811" xr:uid="{64A4A104-B0D9-4C84-A7CA-CCDCB8791FF8}"/>
    <cellStyle name="Normal 2 5 5 3 11" xfId="31812" xr:uid="{A50838DC-AF76-4175-A33E-A78281F31630}"/>
    <cellStyle name="Normal 2 5 5 3 12" xfId="31813" xr:uid="{FD31CAA6-173E-4EAA-B6CC-9BECB9587B61}"/>
    <cellStyle name="Normal 2 5 5 3 2" xfId="31814" xr:uid="{08E3B3BD-0F8B-462E-9DAF-609DB5F5116F}"/>
    <cellStyle name="Normal 2 5 5 3 2 2" xfId="31815" xr:uid="{BED8CD90-0445-4273-A771-CCE632007692}"/>
    <cellStyle name="Normal 2 5 5 3 2 2 2" xfId="31816" xr:uid="{1611CDEA-E3B1-4C6C-9A49-46A20B2A2263}"/>
    <cellStyle name="Normal 2 5 5 3 2 2 3" xfId="31817" xr:uid="{E2C7FD6A-CA70-452A-8BE5-424528DF3887}"/>
    <cellStyle name="Normal 2 5 5 3 2 2 4" xfId="31818" xr:uid="{0B4194CA-904A-4D02-9F70-2EB1E9ABF3B0}"/>
    <cellStyle name="Normal 2 5 5 3 2 2 5" xfId="31819" xr:uid="{A08903B4-33AF-4996-9819-620E8F1DE8A1}"/>
    <cellStyle name="Normal 2 5 5 3 2 3" xfId="31820" xr:uid="{0A95A82C-D7D0-49BD-AE35-BE9D9CE05B25}"/>
    <cellStyle name="Normal 2 5 5 3 2 4" xfId="31821" xr:uid="{041C2E4D-039E-4947-88A1-7A03E9F7B8C9}"/>
    <cellStyle name="Normal 2 5 5 3 2 5" xfId="31822" xr:uid="{066EA5F0-1D3C-4C51-B2EE-FB50A7C80426}"/>
    <cellStyle name="Normal 2 5 5 3 2 6" xfId="31823" xr:uid="{74304242-3D8D-487C-978D-9A7ADEF0798E}"/>
    <cellStyle name="Normal 2 5 5 3 3" xfId="31824" xr:uid="{4E18E1D9-63AF-4E1F-879F-13C1FF729337}"/>
    <cellStyle name="Normal 2 5 5 3 3 2" xfId="31825" xr:uid="{6193143A-355C-4E70-B7C8-8D8692CC8202}"/>
    <cellStyle name="Normal 2 5 5 3 3 2 2" xfId="31826" xr:uid="{F4107985-71AF-4C83-8C38-555F946C7EB1}"/>
    <cellStyle name="Normal 2 5 5 3 3 2 3" xfId="31827" xr:uid="{3D8FB129-4B69-4774-A2DB-663CAC5C2FDE}"/>
    <cellStyle name="Normal 2 5 5 3 3 2 4" xfId="31828" xr:uid="{7C4E6C2E-81C7-4239-9363-2F189F00598E}"/>
    <cellStyle name="Normal 2 5 5 3 3 2 5" xfId="31829" xr:uid="{F7A944DE-D8FB-475F-92E4-BB8E55600CC7}"/>
    <cellStyle name="Normal 2 5 5 3 3 3" xfId="31830" xr:uid="{923CBB48-BD57-4D91-B6FA-DFB204F6158D}"/>
    <cellStyle name="Normal 2 5 5 3 3 4" xfId="31831" xr:uid="{24D31C35-D973-45FF-BB69-DD81DB71D28C}"/>
    <cellStyle name="Normal 2 5 5 3 3 5" xfId="31832" xr:uid="{FD5B8317-00D2-4F17-9AD4-5E94A68A5322}"/>
    <cellStyle name="Normal 2 5 5 3 3 6" xfId="31833" xr:uid="{18B7E2EA-A037-4382-B314-872DA2633CEE}"/>
    <cellStyle name="Normal 2 5 5 3 4" xfId="31834" xr:uid="{9483F195-A6AF-4CAB-9188-7E1CAE758798}"/>
    <cellStyle name="Normal 2 5 5 3 4 2" xfId="31835" xr:uid="{CB22FD9C-0DAD-41C7-8069-CA3AB1B5C527}"/>
    <cellStyle name="Normal 2 5 5 3 4 2 2" xfId="31836" xr:uid="{74491036-8867-4583-B8B2-E05821773805}"/>
    <cellStyle name="Normal 2 5 5 3 4 2 3" xfId="31837" xr:uid="{CADE2337-F070-4078-9204-0C98903EF0E6}"/>
    <cellStyle name="Normal 2 5 5 3 4 2 4" xfId="31838" xr:uid="{CB21D078-9614-40AB-A242-87B1D70BEA1D}"/>
    <cellStyle name="Normal 2 5 5 3 4 2 5" xfId="31839" xr:uid="{292444B3-05D2-4F28-9611-72E2B74831C7}"/>
    <cellStyle name="Normal 2 5 5 3 4 3" xfId="31840" xr:uid="{D8ACB994-A867-4BF2-B927-B85E9D82FDB9}"/>
    <cellStyle name="Normal 2 5 5 3 4 4" xfId="31841" xr:uid="{127F03FE-1C60-4163-98C0-B30E333EC376}"/>
    <cellStyle name="Normal 2 5 5 3 4 5" xfId="31842" xr:uid="{F930E95D-63F4-423D-A55A-4EBD5C767AE5}"/>
    <cellStyle name="Normal 2 5 5 3 4 6" xfId="31843" xr:uid="{5F364799-4380-415C-9BEE-E32FD2177622}"/>
    <cellStyle name="Normal 2 5 5 3 5" xfId="31844" xr:uid="{DC50807A-C217-49AF-ADBB-DB331D9CAE21}"/>
    <cellStyle name="Normal 2 5 5 3 5 2" xfId="31845" xr:uid="{1EFD5B66-3641-4547-9A83-59C56D44E9F4}"/>
    <cellStyle name="Normal 2 5 5 3 5 3" xfId="31846" xr:uid="{D55C51BB-F98E-40B6-8FF3-B7CADBBFC3B3}"/>
    <cellStyle name="Normal 2 5 5 3 5 4" xfId="31847" xr:uid="{626EB41E-273B-4633-81BF-2768AEB94D3B}"/>
    <cellStyle name="Normal 2 5 5 3 5 5" xfId="31848" xr:uid="{D0EC5272-291E-4133-BF61-E7704F0C06CF}"/>
    <cellStyle name="Normal 2 5 5 3 6" xfId="31849" xr:uid="{DF4D0841-1D7C-46C5-9A05-FE9EE00994FE}"/>
    <cellStyle name="Normal 2 5 5 3 6 2" xfId="31850" xr:uid="{11D6229C-B9C6-4FE3-9756-676C8F6AB7B5}"/>
    <cellStyle name="Normal 2 5 5 3 6 3" xfId="31851" xr:uid="{15B890AC-28B2-4341-B0A5-8E1312561B43}"/>
    <cellStyle name="Normal 2 5 5 3 6 4" xfId="31852" xr:uid="{937DBA73-AEFD-4C13-A706-569C0893469A}"/>
    <cellStyle name="Normal 2 5 5 3 6 5" xfId="31853" xr:uid="{72BB5C83-EB10-4E59-8288-E4219F368E97}"/>
    <cellStyle name="Normal 2 5 5 3 7" xfId="31854" xr:uid="{D610FA4B-BC4F-4B89-8569-9B2BAC1D1589}"/>
    <cellStyle name="Normal 2 5 5 3 7 2" xfId="31855" xr:uid="{390F17B0-9117-4909-A671-EB1DA6050978}"/>
    <cellStyle name="Normal 2 5 5 3 7 3" xfId="31856" xr:uid="{DBD96649-CA35-4B74-9C87-E493DA182C21}"/>
    <cellStyle name="Normal 2 5 5 3 7 4" xfId="31857" xr:uid="{88656B59-CEFF-4E14-9855-061BA7A22FB3}"/>
    <cellStyle name="Normal 2 5 5 3 7 5" xfId="31858" xr:uid="{F3BF34DA-3669-49F6-8068-5932CE229CF6}"/>
    <cellStyle name="Normal 2 5 5 3 8" xfId="31859" xr:uid="{2C3C7CFC-A58F-4843-BAE2-1B72FF1E8245}"/>
    <cellStyle name="Normal 2 5 5 3 8 2" xfId="31860" xr:uid="{60CB4C8A-4688-4DCD-AEA3-D48E41D0C340}"/>
    <cellStyle name="Normal 2 5 5 3 8 3" xfId="31861" xr:uid="{AE18555A-3602-4D79-9A92-C8AF93C7F5EF}"/>
    <cellStyle name="Normal 2 5 5 3 8 4" xfId="31862" xr:uid="{DE316E62-DB00-42B4-B467-E0C7BC87A3D2}"/>
    <cellStyle name="Normal 2 5 5 3 8 5" xfId="31863" xr:uid="{BEE5F88D-556C-4683-8C47-C75C530AAA16}"/>
    <cellStyle name="Normal 2 5 5 3 9" xfId="31864" xr:uid="{5C85F758-BE9E-41A5-8C89-4A879AF41819}"/>
    <cellStyle name="Normal 2 5 5 4" xfId="31865" xr:uid="{BBC920F6-545F-4AF7-AE93-AB3A7C8ECE0B}"/>
    <cellStyle name="Normal 2 5 5 4 2" xfId="31866" xr:uid="{7B533E62-93FF-4264-B4A3-75F87DC2925E}"/>
    <cellStyle name="Normal 2 5 5 4 2 2" xfId="31867" xr:uid="{49605B77-B0DF-4AC8-99C8-F1E017C5D810}"/>
    <cellStyle name="Normal 2 5 5 4 2 3" xfId="31868" xr:uid="{0D4B603F-52AF-48AF-AC43-7A47113E95EF}"/>
    <cellStyle name="Normal 2 5 5 4 2 4" xfId="31869" xr:uid="{A18D0DB6-21FB-4582-918C-5C5297CA1DEE}"/>
    <cellStyle name="Normal 2 5 5 4 2 5" xfId="31870" xr:uid="{BF4C0866-EBB1-44ED-9424-6CECCBFECEAE}"/>
    <cellStyle name="Normal 2 5 5 4 3" xfId="31871" xr:uid="{DAC597DE-FC3C-47D5-8D1E-B3DB5077999A}"/>
    <cellStyle name="Normal 2 5 5 4 4" xfId="31872" xr:uid="{EA88DDB5-4BEB-416E-BF9B-8516EFB8CF24}"/>
    <cellStyle name="Normal 2 5 5 4 5" xfId="31873" xr:uid="{F6A0D41E-5154-4BE7-8F77-7036D6EA47F5}"/>
    <cellStyle name="Normal 2 5 5 4 6" xfId="31874" xr:uid="{0781BF24-6AEE-49BB-A6C4-5A86BDD65303}"/>
    <cellStyle name="Normal 2 5 5 5" xfId="31875" xr:uid="{F7C51026-30C4-45D1-A819-D5F75C43257A}"/>
    <cellStyle name="Normal 2 5 5 5 2" xfId="31876" xr:uid="{63050A7D-B22E-4EC3-B343-C9F42C7B9A5D}"/>
    <cellStyle name="Normal 2 5 5 5 2 2" xfId="31877" xr:uid="{E4835076-1158-413D-8C2F-2CE91C815BC1}"/>
    <cellStyle name="Normal 2 5 5 5 2 3" xfId="31878" xr:uid="{80979C6D-9A86-4BC2-ABA4-D117813DF13D}"/>
    <cellStyle name="Normal 2 5 5 5 2 4" xfId="31879" xr:uid="{2F2D1251-D8B0-4E39-8264-CC2BECCBECF5}"/>
    <cellStyle name="Normal 2 5 5 5 2 5" xfId="31880" xr:uid="{94CE00C0-B58D-4E24-A7D4-2F2893A71FB8}"/>
    <cellStyle name="Normal 2 5 5 5 3" xfId="31881" xr:uid="{DC509DAE-6CC2-42EC-B6B7-A0E9ACA80269}"/>
    <cellStyle name="Normal 2 5 5 5 4" xfId="31882" xr:uid="{B66425EB-F020-47D9-BC46-CEA0191F4826}"/>
    <cellStyle name="Normal 2 5 5 5 5" xfId="31883" xr:uid="{83256E06-12AD-4278-959E-F6F5CC7C2D29}"/>
    <cellStyle name="Normal 2 5 5 5 6" xfId="31884" xr:uid="{62BD0A06-DC31-4FD6-B014-E49308C2C6F1}"/>
    <cellStyle name="Normal 2 5 5 6" xfId="31885" xr:uid="{DDBC2E5C-4364-45B5-AB63-8BE8A8233299}"/>
    <cellStyle name="Normal 2 5 5 6 2" xfId="31886" xr:uid="{0E56E77C-C692-4CC2-9D1A-39F51EDE29E1}"/>
    <cellStyle name="Normal 2 5 5 6 2 2" xfId="31887" xr:uid="{6ED3129B-687C-4F34-A0E6-0FE44091B286}"/>
    <cellStyle name="Normal 2 5 5 6 2 3" xfId="31888" xr:uid="{4E0E14CF-5E24-4444-84CC-B95ABBB21E84}"/>
    <cellStyle name="Normal 2 5 5 6 2 4" xfId="31889" xr:uid="{DE174147-EC8D-48CF-A1C1-44DDEFEFEE7B}"/>
    <cellStyle name="Normal 2 5 5 6 2 5" xfId="31890" xr:uid="{85FD8FD2-53AB-47E0-85AD-0699F7AC5CEA}"/>
    <cellStyle name="Normal 2 5 5 6 3" xfId="31891" xr:uid="{4C8A10E5-39B5-463B-B98A-24D3C55744D8}"/>
    <cellStyle name="Normal 2 5 5 6 4" xfId="31892" xr:uid="{DC1101D1-038A-4C4D-9FF9-F70E119FD0DD}"/>
    <cellStyle name="Normal 2 5 5 6 5" xfId="31893" xr:uid="{552DF684-2A92-415D-B0DF-2A4CC8530A46}"/>
    <cellStyle name="Normal 2 5 5 6 6" xfId="31894" xr:uid="{59F5EAD6-0CEA-4EDD-9451-4957D3A87ED7}"/>
    <cellStyle name="Normal 2 5 5 7" xfId="31895" xr:uid="{1449EAC3-A5CC-495A-949A-7AFA61C27F3D}"/>
    <cellStyle name="Normal 2 5 5 7 2" xfId="31896" xr:uid="{E7CF5C5E-CE9B-41FB-AB6A-96119E9C766A}"/>
    <cellStyle name="Normal 2 5 5 7 3" xfId="31897" xr:uid="{C50A1A4F-5F5E-4612-AD61-61B1E5BD0BC3}"/>
    <cellStyle name="Normal 2 5 5 7 4" xfId="31898" xr:uid="{59F80588-6349-4B00-A6FC-6210F59CCD02}"/>
    <cellStyle name="Normal 2 5 5 7 5" xfId="31899" xr:uid="{B739B6D7-E25A-4D9B-8AB2-64DA1DA2D060}"/>
    <cellStyle name="Normal 2 5 5 8" xfId="31900" xr:uid="{669B9DA1-B27C-4963-982F-1F06785B5012}"/>
    <cellStyle name="Normal 2 5 5 8 2" xfId="31901" xr:uid="{FA75210D-F46D-4EA1-B68D-AD5608EAE554}"/>
    <cellStyle name="Normal 2 5 5 8 3" xfId="31902" xr:uid="{6160211F-7599-4729-8E75-07E6E6875216}"/>
    <cellStyle name="Normal 2 5 5 8 4" xfId="31903" xr:uid="{30C5729B-0C0B-444F-86D0-52E6A02001FB}"/>
    <cellStyle name="Normal 2 5 5 8 5" xfId="31904" xr:uid="{DEFA0EEF-20AD-4097-85BB-5F30455A489E}"/>
    <cellStyle name="Normal 2 5 5 9" xfId="31905" xr:uid="{5F509AFC-1CF1-4C6B-B9A8-243208F60E74}"/>
    <cellStyle name="Normal 2 5 5 9 2" xfId="31906" xr:uid="{CBD15A71-628E-4C1D-B501-B4109405A158}"/>
    <cellStyle name="Normal 2 5 5 9 3" xfId="31907" xr:uid="{A2A9C694-A0AF-44F0-AC83-F61625CC325C}"/>
    <cellStyle name="Normal 2 5 5 9 4" xfId="31908" xr:uid="{51209C22-1737-46FF-BBF1-5C2449A240A2}"/>
    <cellStyle name="Normal 2 5 5 9 5" xfId="31909" xr:uid="{DC4D86B8-7815-4D34-A81A-EE83C11E5623}"/>
    <cellStyle name="Normal 2 5 6" xfId="31910" xr:uid="{19EF3238-CFE9-4789-B85C-01BFB46C4C4A}"/>
    <cellStyle name="Normal 2 5 6 10" xfId="31911" xr:uid="{0CDC81CA-125D-4E8F-91BB-AC05D413C1CE}"/>
    <cellStyle name="Normal 2 5 6 11" xfId="31912" xr:uid="{FD849C29-6510-48AF-A7FF-2304D275B4C4}"/>
    <cellStyle name="Normal 2 5 6 12" xfId="31913" xr:uid="{82724001-4EF5-4B9B-9F3A-F36FC82784C0}"/>
    <cellStyle name="Normal 2 5 6 13" xfId="31914" xr:uid="{E2C688BE-B158-4F63-A01D-EFFD0057F793}"/>
    <cellStyle name="Normal 2 5 6 2" xfId="31915" xr:uid="{6256B529-4739-4B13-B39E-D6395D5AF64A}"/>
    <cellStyle name="Normal 2 5 6 2 10" xfId="31916" xr:uid="{1FDD8A7B-2DF8-48F7-BA62-7C3A5362F307}"/>
    <cellStyle name="Normal 2 5 6 2 11" xfId="31917" xr:uid="{31EC0656-D5E1-49A9-9667-D59E98B87028}"/>
    <cellStyle name="Normal 2 5 6 2 12" xfId="31918" xr:uid="{9239BE66-8347-4234-803D-58AAC5F80419}"/>
    <cellStyle name="Normal 2 5 6 2 2" xfId="31919" xr:uid="{9A1D0F5F-5675-4B32-84E7-8D9B8FED9312}"/>
    <cellStyle name="Normal 2 5 6 2 2 2" xfId="31920" xr:uid="{73EB54E7-6AD8-4D30-9EA9-948CB495E15E}"/>
    <cellStyle name="Normal 2 5 6 2 2 2 2" xfId="31921" xr:uid="{04A98639-157A-496C-8FB2-7AA28B1B4736}"/>
    <cellStyle name="Normal 2 5 6 2 2 2 3" xfId="31922" xr:uid="{AE72C68B-DD81-460C-B3D6-79D96F5B8624}"/>
    <cellStyle name="Normal 2 5 6 2 2 2 4" xfId="31923" xr:uid="{74A92BF3-3E54-45C2-B637-89F9CD54233D}"/>
    <cellStyle name="Normal 2 5 6 2 2 2 5" xfId="31924" xr:uid="{9CDC9ED6-CA98-451A-96DA-B1E96E4400E4}"/>
    <cellStyle name="Normal 2 5 6 2 2 3" xfId="31925" xr:uid="{039E0F24-43EC-4415-B05B-35CD2261FBED}"/>
    <cellStyle name="Normal 2 5 6 2 2 4" xfId="31926" xr:uid="{FDA03942-2A8D-4951-8EDD-B97F55079423}"/>
    <cellStyle name="Normal 2 5 6 2 2 5" xfId="31927" xr:uid="{C2FE7101-82CB-47F6-9C60-B6F3FDA16369}"/>
    <cellStyle name="Normal 2 5 6 2 2 6" xfId="31928" xr:uid="{CF23EBA7-403D-4B28-B9F8-CFF32B0E2BE9}"/>
    <cellStyle name="Normal 2 5 6 2 3" xfId="31929" xr:uid="{CDE6C66C-B220-4497-9DCE-D6F17FBE602A}"/>
    <cellStyle name="Normal 2 5 6 2 3 2" xfId="31930" xr:uid="{5014B8E8-80E3-45A5-9D4D-9BA35667CA71}"/>
    <cellStyle name="Normal 2 5 6 2 3 2 2" xfId="31931" xr:uid="{E8BF21B1-B3E2-4D7F-8D19-F76EB39A1BB8}"/>
    <cellStyle name="Normal 2 5 6 2 3 2 3" xfId="31932" xr:uid="{0B16AA91-89B2-4435-A9FA-E4E02E97ADC7}"/>
    <cellStyle name="Normal 2 5 6 2 3 2 4" xfId="31933" xr:uid="{14C5086F-8553-41DD-9252-8994A67C1A91}"/>
    <cellStyle name="Normal 2 5 6 2 3 2 5" xfId="31934" xr:uid="{F52BD87F-CFC1-4FA2-A4DA-2472EB532465}"/>
    <cellStyle name="Normal 2 5 6 2 3 3" xfId="31935" xr:uid="{AB154645-6A5F-43FE-BF48-637A53B6E1B0}"/>
    <cellStyle name="Normal 2 5 6 2 3 4" xfId="31936" xr:uid="{B52786C7-7F91-4CE0-8083-327BBB83D731}"/>
    <cellStyle name="Normal 2 5 6 2 3 5" xfId="31937" xr:uid="{679F3B4E-0CD7-42A4-AB83-F5678514FC47}"/>
    <cellStyle name="Normal 2 5 6 2 3 6" xfId="31938" xr:uid="{5A81599E-460A-49DF-B7D6-3BE8B76EE16C}"/>
    <cellStyle name="Normal 2 5 6 2 4" xfId="31939" xr:uid="{4045A284-4E20-4EC1-8CEB-2B44AE30001C}"/>
    <cellStyle name="Normal 2 5 6 2 4 2" xfId="31940" xr:uid="{2DC93B12-E942-4800-BD21-7C5A9820BC19}"/>
    <cellStyle name="Normal 2 5 6 2 4 2 2" xfId="31941" xr:uid="{AAB281C6-2535-4664-AA48-89F1D76877E5}"/>
    <cellStyle name="Normal 2 5 6 2 4 2 3" xfId="31942" xr:uid="{1CFC6CB9-F081-4138-A113-986AD85FD199}"/>
    <cellStyle name="Normal 2 5 6 2 4 2 4" xfId="31943" xr:uid="{F5B4D2E0-8F6E-47C7-8DD7-EC079518DAD9}"/>
    <cellStyle name="Normal 2 5 6 2 4 2 5" xfId="31944" xr:uid="{F6F07563-FDD9-4CD1-A4AD-57CF8FD366E4}"/>
    <cellStyle name="Normal 2 5 6 2 4 3" xfId="31945" xr:uid="{7E90F16B-D249-4783-9969-D86F70F0B1FB}"/>
    <cellStyle name="Normal 2 5 6 2 4 4" xfId="31946" xr:uid="{66C56CF4-EB3D-4C6D-A65B-2FEFE0A47FFC}"/>
    <cellStyle name="Normal 2 5 6 2 4 5" xfId="31947" xr:uid="{E12C0DCD-A090-4B46-9126-4654CBAED89E}"/>
    <cellStyle name="Normal 2 5 6 2 4 6" xfId="31948" xr:uid="{85176467-8BBD-4D68-AF1F-770D639B0E01}"/>
    <cellStyle name="Normal 2 5 6 2 5" xfId="31949" xr:uid="{9AC1596B-B9D2-4B03-835E-38AB3A57F8B1}"/>
    <cellStyle name="Normal 2 5 6 2 5 2" xfId="31950" xr:uid="{1C23E939-AA20-4F7A-878F-75799CE69A68}"/>
    <cellStyle name="Normal 2 5 6 2 5 3" xfId="31951" xr:uid="{0348B19C-B68D-4F9C-B244-E563B50C26EE}"/>
    <cellStyle name="Normal 2 5 6 2 5 4" xfId="31952" xr:uid="{A6FFDE06-6BD8-40A3-A935-C1FB7C77A426}"/>
    <cellStyle name="Normal 2 5 6 2 5 5" xfId="31953" xr:uid="{9F41D687-4CAC-4823-B119-C0E28AB357D9}"/>
    <cellStyle name="Normal 2 5 6 2 6" xfId="31954" xr:uid="{2E081CEA-1A01-4EF3-8300-BE79D5341CAA}"/>
    <cellStyle name="Normal 2 5 6 2 6 2" xfId="31955" xr:uid="{7098AEE6-5D9F-4974-9685-95D54C273CA0}"/>
    <cellStyle name="Normal 2 5 6 2 6 3" xfId="31956" xr:uid="{D080ECA0-42E5-4689-9D13-70238EE0F889}"/>
    <cellStyle name="Normal 2 5 6 2 6 4" xfId="31957" xr:uid="{1A17E1E7-0EC2-4E7A-A59A-518D27BDBB6F}"/>
    <cellStyle name="Normal 2 5 6 2 6 5" xfId="31958" xr:uid="{D5029643-0535-42F7-B2EF-E7C9705BFC9C}"/>
    <cellStyle name="Normal 2 5 6 2 7" xfId="31959" xr:uid="{1B41112D-D090-494A-AEF0-3A5965238746}"/>
    <cellStyle name="Normal 2 5 6 2 7 2" xfId="31960" xr:uid="{C01A4168-DA5A-42D1-B5DC-037F8A9C897C}"/>
    <cellStyle name="Normal 2 5 6 2 7 3" xfId="31961" xr:uid="{CCF6E414-5492-4887-9375-1976613727B5}"/>
    <cellStyle name="Normal 2 5 6 2 7 4" xfId="31962" xr:uid="{779F45CE-5317-410F-A86D-D1605152118B}"/>
    <cellStyle name="Normal 2 5 6 2 7 5" xfId="31963" xr:uid="{683C823C-CF2F-425B-A10E-71F8846D2032}"/>
    <cellStyle name="Normal 2 5 6 2 8" xfId="31964" xr:uid="{B2C5C173-D612-4ADE-BCE4-AA1A430FD901}"/>
    <cellStyle name="Normal 2 5 6 2 8 2" xfId="31965" xr:uid="{D708ABA2-37EF-450D-BA5C-838D83A6B857}"/>
    <cellStyle name="Normal 2 5 6 2 8 3" xfId="31966" xr:uid="{F8AB8357-A375-4346-B423-27F8F52DED98}"/>
    <cellStyle name="Normal 2 5 6 2 8 4" xfId="31967" xr:uid="{23C543D7-5590-4D91-BA21-04D49E2A4BA4}"/>
    <cellStyle name="Normal 2 5 6 2 8 5" xfId="31968" xr:uid="{29AD4B5A-89D4-470D-A931-2F5AE22AC01B}"/>
    <cellStyle name="Normal 2 5 6 2 9" xfId="31969" xr:uid="{6320CD5C-73AC-4746-A9DA-123EC7F17CFC}"/>
    <cellStyle name="Normal 2 5 6 3" xfId="31970" xr:uid="{2FC8A1B6-F2BF-40B1-88D2-8C3583A8DD90}"/>
    <cellStyle name="Normal 2 5 6 3 2" xfId="31971" xr:uid="{E60C64D3-1F1E-4940-B58F-F300A7125353}"/>
    <cellStyle name="Normal 2 5 6 3 2 2" xfId="31972" xr:uid="{E85FDB90-EF61-410A-A70A-EE9BC97FA45D}"/>
    <cellStyle name="Normal 2 5 6 3 2 3" xfId="31973" xr:uid="{07AFE21C-036D-4972-A104-861F3931796F}"/>
    <cellStyle name="Normal 2 5 6 3 2 4" xfId="31974" xr:uid="{6946DB08-73E5-45F2-A551-559107C04ED0}"/>
    <cellStyle name="Normal 2 5 6 3 2 5" xfId="31975" xr:uid="{3E39D027-CE33-4E95-83A2-EEC9C171D6A1}"/>
    <cellStyle name="Normal 2 5 6 3 3" xfId="31976" xr:uid="{967BA14C-01FE-4979-AA95-9E87808E9CA2}"/>
    <cellStyle name="Normal 2 5 6 3 4" xfId="31977" xr:uid="{D4B5F806-9442-4B59-BABD-A86E03B030C9}"/>
    <cellStyle name="Normal 2 5 6 3 5" xfId="31978" xr:uid="{47D48C31-2BEF-4624-AE82-4B11411702AC}"/>
    <cellStyle name="Normal 2 5 6 3 6" xfId="31979" xr:uid="{AD69CA86-8242-467A-9C50-FCFA9E32F1D3}"/>
    <cellStyle name="Normal 2 5 6 4" xfId="31980" xr:uid="{DB770A54-C45E-49FD-83E9-AA67E0D76308}"/>
    <cellStyle name="Normal 2 5 6 4 2" xfId="31981" xr:uid="{6070360E-2B0B-4EB6-8CB5-5EF44F39FE54}"/>
    <cellStyle name="Normal 2 5 6 4 2 2" xfId="31982" xr:uid="{9835591C-1F6A-47B9-8565-D90266054478}"/>
    <cellStyle name="Normal 2 5 6 4 2 3" xfId="31983" xr:uid="{E88E1BB8-558D-4D89-BBC7-44D5E326310A}"/>
    <cellStyle name="Normal 2 5 6 4 2 4" xfId="31984" xr:uid="{EA5C1211-195C-45A3-8345-6F592919D8C0}"/>
    <cellStyle name="Normal 2 5 6 4 2 5" xfId="31985" xr:uid="{EBE0113A-8A35-408F-931C-4FB8BBAE8053}"/>
    <cellStyle name="Normal 2 5 6 4 3" xfId="31986" xr:uid="{9FFB5733-B04C-46CB-BE9C-E74AD1A2A28B}"/>
    <cellStyle name="Normal 2 5 6 4 4" xfId="31987" xr:uid="{BB3EF123-40B6-47A9-8486-E3372DDD0F1F}"/>
    <cellStyle name="Normal 2 5 6 4 5" xfId="31988" xr:uid="{7BDA3DBC-3E1F-478B-BAA0-42ACD91E79C0}"/>
    <cellStyle name="Normal 2 5 6 4 6" xfId="31989" xr:uid="{D448749C-A5B4-4094-AEFB-8C3B87843FC4}"/>
    <cellStyle name="Normal 2 5 6 5" xfId="31990" xr:uid="{5E1CF2AC-787C-4BCA-939D-6E0616FB567D}"/>
    <cellStyle name="Normal 2 5 6 5 2" xfId="31991" xr:uid="{D70C7926-3909-44D8-9845-A6D20411C875}"/>
    <cellStyle name="Normal 2 5 6 5 2 2" xfId="31992" xr:uid="{6BE8D78E-F634-4F8A-8CBC-6AAFCAF9ED1A}"/>
    <cellStyle name="Normal 2 5 6 5 2 3" xfId="31993" xr:uid="{9BD111BF-E56D-431F-AF40-40380831AD4B}"/>
    <cellStyle name="Normal 2 5 6 5 2 4" xfId="31994" xr:uid="{318297E0-EE3A-4D02-9089-92241FAF84E9}"/>
    <cellStyle name="Normal 2 5 6 5 2 5" xfId="31995" xr:uid="{75E8AB70-0B25-481F-8B13-7CA2EA5912FE}"/>
    <cellStyle name="Normal 2 5 6 5 3" xfId="31996" xr:uid="{B7937685-9ECC-45DB-B121-3D3B68A6E133}"/>
    <cellStyle name="Normal 2 5 6 5 4" xfId="31997" xr:uid="{CE6ECD05-1B88-4D56-AB84-0621CDB69530}"/>
    <cellStyle name="Normal 2 5 6 5 5" xfId="31998" xr:uid="{7A22A81A-7E2E-478A-84C9-D64F71A63C45}"/>
    <cellStyle name="Normal 2 5 6 5 6" xfId="31999" xr:uid="{A51C0709-D7D9-4F21-B7DD-14A9624FDAD1}"/>
    <cellStyle name="Normal 2 5 6 6" xfId="32000" xr:uid="{AB6BEDD4-D2BE-4026-8F86-B9AF2443E73F}"/>
    <cellStyle name="Normal 2 5 6 6 2" xfId="32001" xr:uid="{F97BFF5F-F076-48F9-8D39-51ADB7074C16}"/>
    <cellStyle name="Normal 2 5 6 6 3" xfId="32002" xr:uid="{1EACF878-CA89-49D6-98BD-DD03ABEC1076}"/>
    <cellStyle name="Normal 2 5 6 6 4" xfId="32003" xr:uid="{77837A39-FA62-4232-8C9A-A4046E27703D}"/>
    <cellStyle name="Normal 2 5 6 6 5" xfId="32004" xr:uid="{3F81D013-65D5-4358-8CD4-F2FF498DE88B}"/>
    <cellStyle name="Normal 2 5 6 7" xfId="32005" xr:uid="{D9EF3BD3-17D9-47A8-B076-E3591361858C}"/>
    <cellStyle name="Normal 2 5 6 7 2" xfId="32006" xr:uid="{8E45F743-A8D0-4161-AA48-E31AE32C8844}"/>
    <cellStyle name="Normal 2 5 6 7 3" xfId="32007" xr:uid="{16EF1E92-1BB7-4ABE-A460-2763A3AD6B55}"/>
    <cellStyle name="Normal 2 5 6 7 4" xfId="32008" xr:uid="{D42E390B-DCC0-4EDE-8F19-183D8DA194B5}"/>
    <cellStyle name="Normal 2 5 6 7 5" xfId="32009" xr:uid="{CE1690D3-D737-488D-B1FD-E3C6C1B96F88}"/>
    <cellStyle name="Normal 2 5 6 8" xfId="32010" xr:uid="{D1678AC4-6DB6-4B39-ABF4-D2212C3A98B0}"/>
    <cellStyle name="Normal 2 5 6 8 2" xfId="32011" xr:uid="{7A049BC5-2070-45DE-BAFD-C19F4CDD8613}"/>
    <cellStyle name="Normal 2 5 6 8 3" xfId="32012" xr:uid="{057E240F-2C55-4582-A732-E8E1B06D291E}"/>
    <cellStyle name="Normal 2 5 6 8 4" xfId="32013" xr:uid="{EE1FB3A9-82B4-42AE-89C0-EAF45AAD5D0C}"/>
    <cellStyle name="Normal 2 5 6 8 5" xfId="32014" xr:uid="{1D84B846-7189-425C-8EAA-B7C16C9B0CFB}"/>
    <cellStyle name="Normal 2 5 6 9" xfId="32015" xr:uid="{9415FA11-0DB1-4F79-914C-A53F91DEAE92}"/>
    <cellStyle name="Normal 2 5 6 9 2" xfId="32016" xr:uid="{47AD9AB1-3DAF-4107-B426-D288AB911589}"/>
    <cellStyle name="Normal 2 5 6 9 3" xfId="32017" xr:uid="{F99B448E-D1D8-423B-8721-48F228AA8D86}"/>
    <cellStyle name="Normal 2 5 6 9 4" xfId="32018" xr:uid="{AD09652C-FA82-4C34-BDBE-81B8F71E5741}"/>
    <cellStyle name="Normal 2 5 6 9 5" xfId="32019" xr:uid="{03A88539-23AF-4965-81EB-1865EE26B03E}"/>
    <cellStyle name="Normal 2 5 7" xfId="32020" xr:uid="{E536AEDB-9A54-44FE-8BF6-D6A416160038}"/>
    <cellStyle name="Normal 2 5 7 10" xfId="32021" xr:uid="{C29EAFDC-65F1-436F-A262-37CF109E121A}"/>
    <cellStyle name="Normal 2 5 7 11" xfId="32022" xr:uid="{2EB8B739-3E06-4A00-90A8-A03A2F79475E}"/>
    <cellStyle name="Normal 2 5 7 12" xfId="32023" xr:uid="{CEFABBA6-A92C-4157-ABB3-8D3127C97481}"/>
    <cellStyle name="Normal 2 5 7 2" xfId="32024" xr:uid="{8180C57F-758A-4534-BEAD-C3C2DF8C9920}"/>
    <cellStyle name="Normal 2 5 7 2 2" xfId="32025" xr:uid="{E9CC01BB-4844-4EA5-9241-D5D92B385934}"/>
    <cellStyle name="Normal 2 5 7 2 2 2" xfId="32026" xr:uid="{3C36019D-F430-4A65-8242-B2B2DE0CEB84}"/>
    <cellStyle name="Normal 2 5 7 2 2 3" xfId="32027" xr:uid="{C3B5AD2E-6CB3-405D-9CD0-A45708EA909E}"/>
    <cellStyle name="Normal 2 5 7 2 2 4" xfId="32028" xr:uid="{9424588E-C63D-4E81-916F-B08E1F129467}"/>
    <cellStyle name="Normal 2 5 7 2 2 5" xfId="32029" xr:uid="{5DAF34FB-F3EE-4F38-8BB6-70B7C7AADE8D}"/>
    <cellStyle name="Normal 2 5 7 2 3" xfId="32030" xr:uid="{9F666815-539A-4B48-9B11-8F5022E5E091}"/>
    <cellStyle name="Normal 2 5 7 2 4" xfId="32031" xr:uid="{9B30530C-AB6E-496C-9DA4-9D58ADC1108C}"/>
    <cellStyle name="Normal 2 5 7 2 5" xfId="32032" xr:uid="{460335F0-C733-45DC-A110-ACB0F20D75C5}"/>
    <cellStyle name="Normal 2 5 7 2 6" xfId="32033" xr:uid="{5132A62F-59B8-4ED5-9C4A-08060940E3CA}"/>
    <cellStyle name="Normal 2 5 7 3" xfId="32034" xr:uid="{53585945-E20D-4740-A4F1-8F7691784E5C}"/>
    <cellStyle name="Normal 2 5 7 3 2" xfId="32035" xr:uid="{D2C296F8-C51A-4E85-8E75-096D84F5E40D}"/>
    <cellStyle name="Normal 2 5 7 3 2 2" xfId="32036" xr:uid="{2B0741A4-555C-4B20-A36B-17A5AB1A0364}"/>
    <cellStyle name="Normal 2 5 7 3 2 3" xfId="32037" xr:uid="{52C83D93-F777-486D-AB78-BEE0E405EDD5}"/>
    <cellStyle name="Normal 2 5 7 3 2 4" xfId="32038" xr:uid="{3CDAEF7B-2C92-49A6-AA4D-552245EBBE13}"/>
    <cellStyle name="Normal 2 5 7 3 2 5" xfId="32039" xr:uid="{C6595A06-4FD5-436A-920F-12EC86744C01}"/>
    <cellStyle name="Normal 2 5 7 3 3" xfId="32040" xr:uid="{FE139ADA-AFDD-42D9-B0E7-ADAA0BD2986D}"/>
    <cellStyle name="Normal 2 5 7 3 4" xfId="32041" xr:uid="{6B1A8BD4-5604-4DB9-B816-23612B223632}"/>
    <cellStyle name="Normal 2 5 7 3 5" xfId="32042" xr:uid="{7517F607-D398-4EFC-BA72-6500118B7FA0}"/>
    <cellStyle name="Normal 2 5 7 3 6" xfId="32043" xr:uid="{36D49EE4-B565-4A5D-8D8D-7788257F9E3D}"/>
    <cellStyle name="Normal 2 5 7 4" xfId="32044" xr:uid="{A80047FE-65B2-41AB-B29D-32F628B3ED65}"/>
    <cellStyle name="Normal 2 5 7 4 2" xfId="32045" xr:uid="{A5DC59D0-E40B-4635-A08A-57CEE47320F4}"/>
    <cellStyle name="Normal 2 5 7 4 2 2" xfId="32046" xr:uid="{D7881AA5-569F-4F1D-87F1-E5FF6F371960}"/>
    <cellStyle name="Normal 2 5 7 4 2 3" xfId="32047" xr:uid="{DFAD5084-F5CE-4F5C-8D99-C679BF0067B1}"/>
    <cellStyle name="Normal 2 5 7 4 2 4" xfId="32048" xr:uid="{8F8ADBB1-7823-4B1C-A7F9-35E9CB44A364}"/>
    <cellStyle name="Normal 2 5 7 4 2 5" xfId="32049" xr:uid="{67CDEDD1-C912-414C-8A81-FC647997F9F8}"/>
    <cellStyle name="Normal 2 5 7 4 3" xfId="32050" xr:uid="{B4400CBF-79CA-44FD-8B9C-777CAF1AEFD8}"/>
    <cellStyle name="Normal 2 5 7 4 4" xfId="32051" xr:uid="{E6BF7269-95D1-4F02-995A-94B633C35EDD}"/>
    <cellStyle name="Normal 2 5 7 4 5" xfId="32052" xr:uid="{67FAA0E0-50E1-44A9-B2F5-31433F9B3BDA}"/>
    <cellStyle name="Normal 2 5 7 4 6" xfId="32053" xr:uid="{D5BA075A-8850-42E7-A0CB-A0E1C4A4E918}"/>
    <cellStyle name="Normal 2 5 7 5" xfId="32054" xr:uid="{D2AEF6B0-84A5-4A27-98D3-E508F77D2BF1}"/>
    <cellStyle name="Normal 2 5 7 5 2" xfId="32055" xr:uid="{48CA9465-5AED-49DE-9FD6-F2C98F1F3C13}"/>
    <cellStyle name="Normal 2 5 7 5 3" xfId="32056" xr:uid="{AED7A08F-EA46-4846-987C-4D28A998F134}"/>
    <cellStyle name="Normal 2 5 7 5 4" xfId="32057" xr:uid="{3D304016-C829-44C6-BCEC-5E7AECAA6F65}"/>
    <cellStyle name="Normal 2 5 7 5 5" xfId="32058" xr:uid="{67204FB0-68E7-480B-A455-2952484E48C5}"/>
    <cellStyle name="Normal 2 5 7 6" xfId="32059" xr:uid="{331F4355-B61B-468D-A391-18ABAEC3A59B}"/>
    <cellStyle name="Normal 2 5 7 6 2" xfId="32060" xr:uid="{0F1AD801-5BA7-466C-ADBD-AA0332D645AB}"/>
    <cellStyle name="Normal 2 5 7 6 3" xfId="32061" xr:uid="{7DC14D5F-FD24-4641-9ECC-A266FFB2C19F}"/>
    <cellStyle name="Normal 2 5 7 6 4" xfId="32062" xr:uid="{1E454A20-046D-4BD3-9126-89893A6470BE}"/>
    <cellStyle name="Normal 2 5 7 6 5" xfId="32063" xr:uid="{FA63877A-A51C-4F70-903C-93315062A6BD}"/>
    <cellStyle name="Normal 2 5 7 7" xfId="32064" xr:uid="{DC52174E-804E-4B92-9696-CB8029B0022E}"/>
    <cellStyle name="Normal 2 5 7 7 2" xfId="32065" xr:uid="{6BF7F81D-C69E-460E-BF69-7DD0FEEFE7FF}"/>
    <cellStyle name="Normal 2 5 7 7 3" xfId="32066" xr:uid="{7AE284BF-038E-44D4-81AC-23B7514F2368}"/>
    <cellStyle name="Normal 2 5 7 7 4" xfId="32067" xr:uid="{F9CD874E-72E0-4866-AD24-FB2C178DF18B}"/>
    <cellStyle name="Normal 2 5 7 7 5" xfId="32068" xr:uid="{417FE67E-614C-4037-A27C-63F8B2B65844}"/>
    <cellStyle name="Normal 2 5 7 8" xfId="32069" xr:uid="{D32DACB1-902B-412D-A777-7A7AC2DFB6D7}"/>
    <cellStyle name="Normal 2 5 7 8 2" xfId="32070" xr:uid="{F89227F7-DF6E-49D4-9789-FBA8B6D64B13}"/>
    <cellStyle name="Normal 2 5 7 8 3" xfId="32071" xr:uid="{9230D057-67A9-4403-AA1D-609742DF1D33}"/>
    <cellStyle name="Normal 2 5 7 8 4" xfId="32072" xr:uid="{9C7BC2A8-74D6-4223-8B4D-D4004FAAF8BE}"/>
    <cellStyle name="Normal 2 5 7 8 5" xfId="32073" xr:uid="{4906A78F-C553-4192-AC9D-2926C5482773}"/>
    <cellStyle name="Normal 2 5 7 9" xfId="32074" xr:uid="{EE64A937-31EE-45D2-9B69-1D1323543D64}"/>
    <cellStyle name="Normal 2 5 8" xfId="32075" xr:uid="{21013254-0204-4534-A3B5-0E12CE5D6180}"/>
    <cellStyle name="Normal 2 5 8 2" xfId="32076" xr:uid="{23CEC2C4-D91C-4569-90E1-AD737A149139}"/>
    <cellStyle name="Normal 2 5 8 2 2" xfId="32077" xr:uid="{D5A5D585-626D-47EB-9F67-959055EAC417}"/>
    <cellStyle name="Normal 2 5 8 2 3" xfId="32078" xr:uid="{5FE49E7D-08DF-4F8D-9381-818E007DCE1E}"/>
    <cellStyle name="Normal 2 5 8 2 4" xfId="32079" xr:uid="{492EDE4D-A175-4743-BDF2-CAC9DC85E20C}"/>
    <cellStyle name="Normal 2 5 8 2 5" xfId="32080" xr:uid="{5E50B01F-9346-4669-A106-822FD70EABC2}"/>
    <cellStyle name="Normal 2 5 8 3" xfId="32081" xr:uid="{2D0C9418-1F03-4164-A804-1A62242EDD78}"/>
    <cellStyle name="Normal 2 5 8 4" xfId="32082" xr:uid="{51933F68-2DAB-429D-ABAE-DC856E5D9B3E}"/>
    <cellStyle name="Normal 2 5 8 5" xfId="32083" xr:uid="{777F8060-31C2-49E7-B38A-4F3E982F0439}"/>
    <cellStyle name="Normal 2 5 8 6" xfId="32084" xr:uid="{D451F3EC-8E62-481E-8AD4-25F9824F347B}"/>
    <cellStyle name="Normal 2 5 9" xfId="32085" xr:uid="{E706F38E-073A-466F-B76A-31A52F5D1FD0}"/>
    <cellStyle name="Normal 2 5 9 2" xfId="32086" xr:uid="{6E5DDE3F-453E-49E0-81D7-3E72727EF058}"/>
    <cellStyle name="Normal 2 5 9 2 2" xfId="32087" xr:uid="{B3843E65-E5DA-4307-89EF-51D179B932E8}"/>
    <cellStyle name="Normal 2 5 9 2 3" xfId="32088" xr:uid="{90D7B776-075F-4A87-B015-83A93BC7F2FF}"/>
    <cellStyle name="Normal 2 5 9 2 4" xfId="32089" xr:uid="{D29069FA-1B33-482D-AE28-E71024FEC9DF}"/>
    <cellStyle name="Normal 2 5 9 2 5" xfId="32090" xr:uid="{7FE3A8B6-D6E4-4439-A2F8-5D41330A6187}"/>
    <cellStyle name="Normal 2 5 9 3" xfId="32091" xr:uid="{D927ECA7-B565-4C76-8F53-3630434A13EA}"/>
    <cellStyle name="Normal 2 5 9 4" xfId="32092" xr:uid="{31CCBD89-F266-4D9A-B2E2-9294BE0A1367}"/>
    <cellStyle name="Normal 2 5 9 5" xfId="32093" xr:uid="{68EFA1C9-E96F-4A2B-85AE-ACD876233F74}"/>
    <cellStyle name="Normal 2 5 9 6" xfId="32094" xr:uid="{6C68F10B-A974-4C89-8F4E-9EA4B0EC6A0B}"/>
    <cellStyle name="Normal 2 6" xfId="260" xr:uid="{3054BE1A-DA6A-41B5-B24E-C10AFD7EBCEA}"/>
    <cellStyle name="Normal 2 6 10" xfId="32095" xr:uid="{0AD99235-B050-4F6F-AD3B-81096FD76767}"/>
    <cellStyle name="Normal 2 6 10 2" xfId="32096" xr:uid="{16E53DB4-5D85-490C-947B-D6A628315EC4}"/>
    <cellStyle name="Normal 2 6 10 2 2" xfId="32097" xr:uid="{0E59F566-81C7-4DE5-BA2F-1C1C24BC4B3F}"/>
    <cellStyle name="Normal 2 6 10 2 3" xfId="32098" xr:uid="{3FE1F5FB-F526-413E-A640-D52E052E05F5}"/>
    <cellStyle name="Normal 2 6 10 2 4" xfId="32099" xr:uid="{ABB1D4B3-6DC8-4C3C-B4C6-A9B0BED07DD2}"/>
    <cellStyle name="Normal 2 6 10 2 5" xfId="32100" xr:uid="{89EC24FB-A8F2-4EED-85FA-541D604DE39D}"/>
    <cellStyle name="Normal 2 6 10 3" xfId="32101" xr:uid="{B63F1064-98A4-4B59-8322-1286C786E0C2}"/>
    <cellStyle name="Normal 2 6 10 4" xfId="32102" xr:uid="{990FE859-CDFA-4302-8A35-7227DDC4488A}"/>
    <cellStyle name="Normal 2 6 10 5" xfId="32103" xr:uid="{2AE00F84-DCF5-49D3-9A78-B129EECCBBDF}"/>
    <cellStyle name="Normal 2 6 10 6" xfId="32104" xr:uid="{6D6DD6DB-E912-449B-9E22-48DE689C343D}"/>
    <cellStyle name="Normal 2 6 11" xfId="32105" xr:uid="{39A5DEFB-A350-4976-BB00-EE7A59545CEA}"/>
    <cellStyle name="Normal 2 6 11 2" xfId="32106" xr:uid="{E6A27DDA-9AD9-4F1B-A4E1-34E1030E4640}"/>
    <cellStyle name="Normal 2 6 11 3" xfId="32107" xr:uid="{A92ABB49-585C-4EA3-8577-A09EC2177F89}"/>
    <cellStyle name="Normal 2 6 11 4" xfId="32108" xr:uid="{D1E9B6AB-631E-4C32-A4AD-826B62219B2E}"/>
    <cellStyle name="Normal 2 6 11 5" xfId="32109" xr:uid="{37B8E652-1C01-4A54-9FD8-E3058B7BF4F0}"/>
    <cellStyle name="Normal 2 6 12" xfId="32110" xr:uid="{2C097E7D-98A5-4668-8E97-C9F3E3E5B44D}"/>
    <cellStyle name="Normal 2 6 12 2" xfId="32111" xr:uid="{0F7DD672-7C25-4DE8-80B8-CEF0862B12A6}"/>
    <cellStyle name="Normal 2 6 12 3" xfId="32112" xr:uid="{98E66014-16E2-4944-9274-F16750D8C546}"/>
    <cellStyle name="Normal 2 6 12 4" xfId="32113" xr:uid="{F15E523D-067C-4066-BB63-2DEC1CF31C2E}"/>
    <cellStyle name="Normal 2 6 12 5" xfId="32114" xr:uid="{7AFF9277-6E5D-41A1-A225-735073A68044}"/>
    <cellStyle name="Normal 2 6 13" xfId="32115" xr:uid="{E2AE5DFE-4EE7-467F-B417-78AEC3537A2B}"/>
    <cellStyle name="Normal 2 6 13 2" xfId="32116" xr:uid="{5585630E-616B-429D-BA14-6EEC95A87795}"/>
    <cellStyle name="Normal 2 6 13 3" xfId="32117" xr:uid="{AE92E940-F07D-4EDF-9EEC-7CA6BC0689D8}"/>
    <cellStyle name="Normal 2 6 13 4" xfId="32118" xr:uid="{E7A3F445-B221-4ACF-8570-6A8E8BBD7716}"/>
    <cellStyle name="Normal 2 6 13 5" xfId="32119" xr:uid="{C98A029A-0D83-42CB-82D3-1E5FE334E340}"/>
    <cellStyle name="Normal 2 6 14" xfId="32120" xr:uid="{8388CF5F-B05C-4E2D-8E8F-DE7CEF9E2C39}"/>
    <cellStyle name="Normal 2 6 14 2" xfId="32121" xr:uid="{9313C0E1-D97A-4F22-A619-F7FFD79565AE}"/>
    <cellStyle name="Normal 2 6 14 3" xfId="32122" xr:uid="{AB5513DB-D7EC-45DE-B976-1280BA550494}"/>
    <cellStyle name="Normal 2 6 14 4" xfId="32123" xr:uid="{2FB224A4-C54D-4086-A6E9-046450D2EBD6}"/>
    <cellStyle name="Normal 2 6 14 5" xfId="32124" xr:uid="{D5408278-D16D-4BBD-B93F-E76EDF0F07A7}"/>
    <cellStyle name="Normal 2 6 15" xfId="32125" xr:uid="{77C8C470-655F-42BE-BDB4-51C6C5D43967}"/>
    <cellStyle name="Normal 2 6 16" xfId="32126" xr:uid="{8DB52464-AB3A-45A2-91F3-982E2F345FD3}"/>
    <cellStyle name="Normal 2 6 17" xfId="32127" xr:uid="{61ACA404-E81C-49B1-B336-25D9051B7DE4}"/>
    <cellStyle name="Normal 2 6 18" xfId="32128" xr:uid="{58787262-D681-4328-9A5E-7EC5E4B5C8DE}"/>
    <cellStyle name="Normal 2 6 19" xfId="43564" xr:uid="{35D83B32-472E-4F26-A688-55592D9CD5F1}"/>
    <cellStyle name="Normal 2 6 2" xfId="32129" xr:uid="{F1D47473-B44E-44E1-B66B-049573835977}"/>
    <cellStyle name="Normal 2 6 2 10" xfId="32130" xr:uid="{66609D60-4F61-4CE8-BD56-F8E30CF8A8B4}"/>
    <cellStyle name="Normal 2 6 2 10 2" xfId="32131" xr:uid="{6CC04795-A12B-4231-9E6D-7FDCE87CC067}"/>
    <cellStyle name="Normal 2 6 2 10 3" xfId="32132" xr:uid="{24610899-49CE-4362-B77A-587484B09431}"/>
    <cellStyle name="Normal 2 6 2 10 4" xfId="32133" xr:uid="{CF26FC7A-72D9-4AA3-B9C8-B1D439319A62}"/>
    <cellStyle name="Normal 2 6 2 10 5" xfId="32134" xr:uid="{40CA7144-0C70-49F8-A25C-D39ED991140E}"/>
    <cellStyle name="Normal 2 6 2 11" xfId="32135" xr:uid="{5EA342E4-520A-48D0-BF1D-9A538218DE09}"/>
    <cellStyle name="Normal 2 6 2 11 2" xfId="32136" xr:uid="{7CF32B43-FF9A-4E3D-A7F3-D9656D0BD348}"/>
    <cellStyle name="Normal 2 6 2 11 3" xfId="32137" xr:uid="{1ACC8346-63FB-4B04-8D27-525142EE141B}"/>
    <cellStyle name="Normal 2 6 2 11 4" xfId="32138" xr:uid="{007C0600-7BE3-4CA8-AE0E-08848FAAC47D}"/>
    <cellStyle name="Normal 2 6 2 11 5" xfId="32139" xr:uid="{3AEDB88D-EF2D-416C-B843-628C599A4FCF}"/>
    <cellStyle name="Normal 2 6 2 12" xfId="32140" xr:uid="{CE5D946C-908D-4B87-B6DA-4795767416F1}"/>
    <cellStyle name="Normal 2 6 2 13" xfId="32141" xr:uid="{74F5B29C-DD77-4AF7-9CEF-55279E2B7A53}"/>
    <cellStyle name="Normal 2 6 2 14" xfId="32142" xr:uid="{A818B5C5-FFB1-4183-8F40-1CC01E835AB5}"/>
    <cellStyle name="Normal 2 6 2 15" xfId="32143" xr:uid="{994D9462-F6CE-4C9C-AA7D-9A452DAB63AC}"/>
    <cellStyle name="Normal 2 6 2 2" xfId="32144" xr:uid="{4166E4BE-D6E2-4B81-B8C3-4A946C54FED1}"/>
    <cellStyle name="Normal 2 6 2 2 10" xfId="32145" xr:uid="{79005BB5-2556-4DE7-AAE1-884949B8E1D8}"/>
    <cellStyle name="Normal 2 6 2 2 10 2" xfId="32146" xr:uid="{48B32046-D5FC-4978-B934-7FFDE44C739A}"/>
    <cellStyle name="Normal 2 6 2 2 10 3" xfId="32147" xr:uid="{FF0DCCF9-FA85-499D-866A-9A6A448C2712}"/>
    <cellStyle name="Normal 2 6 2 2 10 4" xfId="32148" xr:uid="{696F0F5C-4E9A-44BA-B525-19BCB0459C8B}"/>
    <cellStyle name="Normal 2 6 2 2 10 5" xfId="32149" xr:uid="{9703342C-5BE1-4DCF-BEC1-7B997452067B}"/>
    <cellStyle name="Normal 2 6 2 2 11" xfId="32150" xr:uid="{941A21E6-A686-40E5-819F-4559EE8988F8}"/>
    <cellStyle name="Normal 2 6 2 2 12" xfId="32151" xr:uid="{DED01A7C-55C0-48FD-8D86-00E6B55A399C}"/>
    <cellStyle name="Normal 2 6 2 2 13" xfId="32152" xr:uid="{F4D03392-8901-40CA-BD8E-09BA6FF630CA}"/>
    <cellStyle name="Normal 2 6 2 2 14" xfId="32153" xr:uid="{ED8C8270-E424-4F83-9DCF-8E17CEB07B62}"/>
    <cellStyle name="Normal 2 6 2 2 2" xfId="32154" xr:uid="{ACB12DCC-92E6-4A93-A891-8C32381B3708}"/>
    <cellStyle name="Normal 2 6 2 2 2 10" xfId="32155" xr:uid="{B5463EB7-0A0F-45F8-B6CC-9AAA9ABDB5F5}"/>
    <cellStyle name="Normal 2 6 2 2 2 11" xfId="32156" xr:uid="{3342256C-2208-4772-B7F7-8CD124F989E2}"/>
    <cellStyle name="Normal 2 6 2 2 2 12" xfId="32157" xr:uid="{D86580BF-E84F-47B8-9668-7313D00E676B}"/>
    <cellStyle name="Normal 2 6 2 2 2 13" xfId="32158" xr:uid="{DA43DEA1-D058-4752-B895-FA287447CDE5}"/>
    <cellStyle name="Normal 2 6 2 2 2 2" xfId="32159" xr:uid="{7425B55F-4156-46C5-ABE0-DBF852C39BB7}"/>
    <cellStyle name="Normal 2 6 2 2 2 2 10" xfId="32160" xr:uid="{D37556E1-7894-47AE-92C8-75127DA29E92}"/>
    <cellStyle name="Normal 2 6 2 2 2 2 11" xfId="32161" xr:uid="{AD08694E-AF27-499E-811B-FD7536CF2135}"/>
    <cellStyle name="Normal 2 6 2 2 2 2 12" xfId="32162" xr:uid="{13974387-7E47-40AE-A575-134F0D7D5B6F}"/>
    <cellStyle name="Normal 2 6 2 2 2 2 2" xfId="32163" xr:uid="{D442AE6D-DC9A-4754-A3B5-43246D17ADED}"/>
    <cellStyle name="Normal 2 6 2 2 2 2 2 2" xfId="32164" xr:uid="{2C5902CD-C1D3-4FC2-A499-B95DA182D27A}"/>
    <cellStyle name="Normal 2 6 2 2 2 2 2 2 2" xfId="32165" xr:uid="{F24DED73-535D-4C74-B7DD-70D1D1CB5EB5}"/>
    <cellStyle name="Normal 2 6 2 2 2 2 2 2 3" xfId="32166" xr:uid="{C0E81E85-A647-4E54-8D05-60C3E978D1D3}"/>
    <cellStyle name="Normal 2 6 2 2 2 2 2 2 4" xfId="32167" xr:uid="{EF289BD9-4868-45CF-8A77-35C0B9813EE2}"/>
    <cellStyle name="Normal 2 6 2 2 2 2 2 2 5" xfId="32168" xr:uid="{A8C3BB02-2FE8-4A1F-9BC9-0D47DE2CD69A}"/>
    <cellStyle name="Normal 2 6 2 2 2 2 2 3" xfId="32169" xr:uid="{1B12E395-04DA-4C40-AE10-43552AEA0CDC}"/>
    <cellStyle name="Normal 2 6 2 2 2 2 2 4" xfId="32170" xr:uid="{E90B0692-6C93-4DC8-A775-45983F3C5765}"/>
    <cellStyle name="Normal 2 6 2 2 2 2 2 5" xfId="32171" xr:uid="{2A8D086E-EE6A-464A-8CEC-28DDC7048F62}"/>
    <cellStyle name="Normal 2 6 2 2 2 2 2 6" xfId="32172" xr:uid="{A82904AB-D23C-419D-ACED-6406BD088547}"/>
    <cellStyle name="Normal 2 6 2 2 2 2 3" xfId="32173" xr:uid="{F8FFCF8B-C3D1-4C9D-9B67-7387369B9214}"/>
    <cellStyle name="Normal 2 6 2 2 2 2 3 2" xfId="32174" xr:uid="{A813F8BF-C89A-4D2A-BD00-772F0D806810}"/>
    <cellStyle name="Normal 2 6 2 2 2 2 3 2 2" xfId="32175" xr:uid="{DCEE8684-E364-4AE4-AF66-DB9A1F4924F4}"/>
    <cellStyle name="Normal 2 6 2 2 2 2 3 2 3" xfId="32176" xr:uid="{B9F8B5F1-B40F-446B-A7EB-5F427A334156}"/>
    <cellStyle name="Normal 2 6 2 2 2 2 3 2 4" xfId="32177" xr:uid="{368010C8-83EB-4B90-B30D-6201B196E5AE}"/>
    <cellStyle name="Normal 2 6 2 2 2 2 3 2 5" xfId="32178" xr:uid="{05DA7C8F-C262-4865-9598-70B25659CDB5}"/>
    <cellStyle name="Normal 2 6 2 2 2 2 3 3" xfId="32179" xr:uid="{2B685A65-FFDE-4C03-978A-A9F9AC7A3C4C}"/>
    <cellStyle name="Normal 2 6 2 2 2 2 3 4" xfId="32180" xr:uid="{10D0CCD6-5CA1-4748-937B-6CC24E7ABBC4}"/>
    <cellStyle name="Normal 2 6 2 2 2 2 3 5" xfId="32181" xr:uid="{60145D0B-3A74-40AF-9494-65511275199D}"/>
    <cellStyle name="Normal 2 6 2 2 2 2 3 6" xfId="32182" xr:uid="{DDA06F8B-FD20-47B4-8BC7-1500293A28DA}"/>
    <cellStyle name="Normal 2 6 2 2 2 2 4" xfId="32183" xr:uid="{BA2F6BFC-40D6-46E9-9E7C-5ECB92FC761C}"/>
    <cellStyle name="Normal 2 6 2 2 2 2 4 2" xfId="32184" xr:uid="{5C9124A2-B7E1-4A38-86DD-B4173E266798}"/>
    <cellStyle name="Normal 2 6 2 2 2 2 4 2 2" xfId="32185" xr:uid="{BB435C0F-ED3E-4925-AE50-A5A077A2568C}"/>
    <cellStyle name="Normal 2 6 2 2 2 2 4 2 3" xfId="32186" xr:uid="{DD1B17DE-6385-4FD7-A02A-9F91A2EBDA1B}"/>
    <cellStyle name="Normal 2 6 2 2 2 2 4 2 4" xfId="32187" xr:uid="{B868D0AE-ECB9-44FD-967B-77DCF9FBBAE2}"/>
    <cellStyle name="Normal 2 6 2 2 2 2 4 2 5" xfId="32188" xr:uid="{42354663-A34E-4B85-A49E-5AAAA164E9D7}"/>
    <cellStyle name="Normal 2 6 2 2 2 2 4 3" xfId="32189" xr:uid="{BE4CDA2D-18CE-42FB-81F8-14AE245B2E63}"/>
    <cellStyle name="Normal 2 6 2 2 2 2 4 4" xfId="32190" xr:uid="{11B439B5-EFB0-4D07-B7B2-2969784C674F}"/>
    <cellStyle name="Normal 2 6 2 2 2 2 4 5" xfId="32191" xr:uid="{F8A74999-40D9-4097-88C4-C8BD1E2C8589}"/>
    <cellStyle name="Normal 2 6 2 2 2 2 4 6" xfId="32192" xr:uid="{F4AD1A78-1E32-4A62-9A39-C342C971372F}"/>
    <cellStyle name="Normal 2 6 2 2 2 2 5" xfId="32193" xr:uid="{7D8EF000-1A32-46FE-84BE-89431C98A6E5}"/>
    <cellStyle name="Normal 2 6 2 2 2 2 5 2" xfId="32194" xr:uid="{26906BCF-3BEA-4F5C-A323-08C0D7EBFA9F}"/>
    <cellStyle name="Normal 2 6 2 2 2 2 5 3" xfId="32195" xr:uid="{DFF2156C-8EC6-4ABA-A1DC-BCFF79C36251}"/>
    <cellStyle name="Normal 2 6 2 2 2 2 5 4" xfId="32196" xr:uid="{4CE2A8D9-32EB-44BD-BCAD-D62683D8BF72}"/>
    <cellStyle name="Normal 2 6 2 2 2 2 5 5" xfId="32197" xr:uid="{90254A60-B5D6-49D5-B017-9814932CE783}"/>
    <cellStyle name="Normal 2 6 2 2 2 2 6" xfId="32198" xr:uid="{6D057672-DA71-41AA-91F3-5378691B12D6}"/>
    <cellStyle name="Normal 2 6 2 2 2 2 6 2" xfId="32199" xr:uid="{3FF9E872-DADD-401B-BF61-96AA9E56C98F}"/>
    <cellStyle name="Normal 2 6 2 2 2 2 6 3" xfId="32200" xr:uid="{6F1F40F4-5B4C-458C-8976-C51F93EE9AF4}"/>
    <cellStyle name="Normal 2 6 2 2 2 2 6 4" xfId="32201" xr:uid="{5BD7E464-9682-4E86-9353-F885C8A73448}"/>
    <cellStyle name="Normal 2 6 2 2 2 2 6 5" xfId="32202" xr:uid="{D7C67A7E-B225-4C52-A68A-0E2AE82A0173}"/>
    <cellStyle name="Normal 2 6 2 2 2 2 7" xfId="32203" xr:uid="{CAE9485D-470B-47C9-B4AC-9E884FCA37B2}"/>
    <cellStyle name="Normal 2 6 2 2 2 2 7 2" xfId="32204" xr:uid="{DDD65174-D2BD-467B-ABE6-5FA3966A12E2}"/>
    <cellStyle name="Normal 2 6 2 2 2 2 7 3" xfId="32205" xr:uid="{3D3CF3B6-0B82-4845-8992-5B039D209E25}"/>
    <cellStyle name="Normal 2 6 2 2 2 2 7 4" xfId="32206" xr:uid="{93FF5900-6427-4806-8182-FB1C6EBE8170}"/>
    <cellStyle name="Normal 2 6 2 2 2 2 7 5" xfId="32207" xr:uid="{B2A9EFF9-F603-4BA1-89AA-7052576B4B62}"/>
    <cellStyle name="Normal 2 6 2 2 2 2 8" xfId="32208" xr:uid="{EDEC8A8C-28EB-4E8D-851B-7A9FDCA15E0E}"/>
    <cellStyle name="Normal 2 6 2 2 2 2 8 2" xfId="32209" xr:uid="{3459DEA6-4388-40F8-B014-05EA92D88FD7}"/>
    <cellStyle name="Normal 2 6 2 2 2 2 8 3" xfId="32210" xr:uid="{47010807-DA92-44B7-AEA5-2FA4E36EB3A4}"/>
    <cellStyle name="Normal 2 6 2 2 2 2 8 4" xfId="32211" xr:uid="{A6FCC6AE-6A40-4598-86CD-C3A625EC79E8}"/>
    <cellStyle name="Normal 2 6 2 2 2 2 8 5" xfId="32212" xr:uid="{BE6FA43A-0BCA-4CEC-804C-C8661D87FCD7}"/>
    <cellStyle name="Normal 2 6 2 2 2 2 9" xfId="32213" xr:uid="{5EF96F6C-66FE-46D5-831D-7E32CA6C76DD}"/>
    <cellStyle name="Normal 2 6 2 2 2 3" xfId="32214" xr:uid="{99EAAC20-6546-4347-A5F1-868F6AEF082B}"/>
    <cellStyle name="Normal 2 6 2 2 2 3 2" xfId="32215" xr:uid="{7F3C5CB0-6A28-45F3-84B9-CE2FFD61C9DE}"/>
    <cellStyle name="Normal 2 6 2 2 2 3 2 2" xfId="32216" xr:uid="{7E96D628-F217-4650-8DA2-A945567D8054}"/>
    <cellStyle name="Normal 2 6 2 2 2 3 2 3" xfId="32217" xr:uid="{5DFA63D1-22DD-4205-873D-370937A471A0}"/>
    <cellStyle name="Normal 2 6 2 2 2 3 2 4" xfId="32218" xr:uid="{3669F0D0-9E6B-41B8-9BE6-5D8C589B78E1}"/>
    <cellStyle name="Normal 2 6 2 2 2 3 2 5" xfId="32219" xr:uid="{848F1E35-64E0-4303-A123-F5D3112F3D71}"/>
    <cellStyle name="Normal 2 6 2 2 2 3 3" xfId="32220" xr:uid="{BBE771B2-F505-4F08-9A0D-FF359F469A89}"/>
    <cellStyle name="Normal 2 6 2 2 2 3 4" xfId="32221" xr:uid="{CED937A1-F19E-49C1-A13B-E05A32D18EC0}"/>
    <cellStyle name="Normal 2 6 2 2 2 3 5" xfId="32222" xr:uid="{B5FEB047-F327-4C6C-9EC0-DE60A46AD42D}"/>
    <cellStyle name="Normal 2 6 2 2 2 3 6" xfId="32223" xr:uid="{B865AF35-4EF0-4804-B107-3AFE90135871}"/>
    <cellStyle name="Normal 2 6 2 2 2 4" xfId="32224" xr:uid="{D119F8C7-6B6E-406E-9AFF-FB5EAEA4B451}"/>
    <cellStyle name="Normal 2 6 2 2 2 4 2" xfId="32225" xr:uid="{B8ABF582-6C2A-43AA-AD82-8F9C84854817}"/>
    <cellStyle name="Normal 2 6 2 2 2 4 2 2" xfId="32226" xr:uid="{E88B793E-762B-4990-AB80-9D6212A1B14F}"/>
    <cellStyle name="Normal 2 6 2 2 2 4 2 3" xfId="32227" xr:uid="{A6E3721F-8006-4DA7-86DC-566BAC3DC81E}"/>
    <cellStyle name="Normal 2 6 2 2 2 4 2 4" xfId="32228" xr:uid="{7D1A5D67-EA97-4AD1-94BA-FA949450A773}"/>
    <cellStyle name="Normal 2 6 2 2 2 4 2 5" xfId="32229" xr:uid="{86F0E134-03C3-44DF-86D5-5347F24A5304}"/>
    <cellStyle name="Normal 2 6 2 2 2 4 3" xfId="32230" xr:uid="{BE4454BA-AA87-43DF-AE78-95868D07157B}"/>
    <cellStyle name="Normal 2 6 2 2 2 4 4" xfId="32231" xr:uid="{88F33B49-67B5-4CF5-A3EA-9403E1285A72}"/>
    <cellStyle name="Normal 2 6 2 2 2 4 5" xfId="32232" xr:uid="{1FD3934C-C1A2-4DC5-8A5B-121177F13F8F}"/>
    <cellStyle name="Normal 2 6 2 2 2 4 6" xfId="32233" xr:uid="{6BBB7E2B-8C07-4BA3-8721-8FF42794D1CD}"/>
    <cellStyle name="Normal 2 6 2 2 2 5" xfId="32234" xr:uid="{06D4DE89-2A07-4AE8-87EE-8C74DE5275D2}"/>
    <cellStyle name="Normal 2 6 2 2 2 5 2" xfId="32235" xr:uid="{EF215753-EB05-453F-8339-14CD94F59828}"/>
    <cellStyle name="Normal 2 6 2 2 2 5 2 2" xfId="32236" xr:uid="{733C292D-5073-4DDF-9D3A-4861885BEA06}"/>
    <cellStyle name="Normal 2 6 2 2 2 5 2 3" xfId="32237" xr:uid="{D7B5A879-675A-4146-B629-FB23905C083A}"/>
    <cellStyle name="Normal 2 6 2 2 2 5 2 4" xfId="32238" xr:uid="{BE73B342-595C-455C-852A-99275C08D286}"/>
    <cellStyle name="Normal 2 6 2 2 2 5 2 5" xfId="32239" xr:uid="{C3C1112E-D542-4B58-80E6-2A54D94435C5}"/>
    <cellStyle name="Normal 2 6 2 2 2 5 3" xfId="32240" xr:uid="{EBC45517-8067-47BE-BFEB-A15C9C8705F8}"/>
    <cellStyle name="Normal 2 6 2 2 2 5 4" xfId="32241" xr:uid="{368A698A-8B37-450A-8C30-5027CBD5EC9D}"/>
    <cellStyle name="Normal 2 6 2 2 2 5 5" xfId="32242" xr:uid="{6C88DAA2-423E-4C09-86BD-0B83F6EC4A05}"/>
    <cellStyle name="Normal 2 6 2 2 2 5 6" xfId="32243" xr:uid="{BA7B895E-4867-45C1-B54C-46D96B8EB784}"/>
    <cellStyle name="Normal 2 6 2 2 2 6" xfId="32244" xr:uid="{6E132B5B-ECA9-4ADB-A1DC-E0746F2CD84F}"/>
    <cellStyle name="Normal 2 6 2 2 2 6 2" xfId="32245" xr:uid="{833B511B-0EB5-4B21-AE34-3B27DA5B3F84}"/>
    <cellStyle name="Normal 2 6 2 2 2 6 3" xfId="32246" xr:uid="{C748AFEF-10AE-470B-AF08-6FEDE0359ED7}"/>
    <cellStyle name="Normal 2 6 2 2 2 6 4" xfId="32247" xr:uid="{77751F93-B01C-4870-A91F-729E3DC508CD}"/>
    <cellStyle name="Normal 2 6 2 2 2 6 5" xfId="32248" xr:uid="{ED96ADE5-2960-4E6F-A013-5A4A2FB3A7D9}"/>
    <cellStyle name="Normal 2 6 2 2 2 7" xfId="32249" xr:uid="{06B04000-E53B-4310-8FC1-01D09111D21A}"/>
    <cellStyle name="Normal 2 6 2 2 2 7 2" xfId="32250" xr:uid="{CC35BEE7-978A-4649-AC77-B323932F7B04}"/>
    <cellStyle name="Normal 2 6 2 2 2 7 3" xfId="32251" xr:uid="{FDA8EA03-8FB0-4BDC-AF06-56B2D41B8224}"/>
    <cellStyle name="Normal 2 6 2 2 2 7 4" xfId="32252" xr:uid="{B43B7A47-01C0-4A48-B115-73D35269F1FC}"/>
    <cellStyle name="Normal 2 6 2 2 2 7 5" xfId="32253" xr:uid="{A49C9378-4D1E-4B10-A75A-068C16CD5EC0}"/>
    <cellStyle name="Normal 2 6 2 2 2 8" xfId="32254" xr:uid="{6E26D285-E6FE-40A8-9B44-77C74D332FF7}"/>
    <cellStyle name="Normal 2 6 2 2 2 8 2" xfId="32255" xr:uid="{BC102EB4-B7E8-4F8D-B075-205056E134DA}"/>
    <cellStyle name="Normal 2 6 2 2 2 8 3" xfId="32256" xr:uid="{D61C6BAB-CB21-4B47-B9AB-F6FEC55BAD56}"/>
    <cellStyle name="Normal 2 6 2 2 2 8 4" xfId="32257" xr:uid="{4EC5AD85-6C08-4240-8CF2-02C72B5A15BB}"/>
    <cellStyle name="Normal 2 6 2 2 2 8 5" xfId="32258" xr:uid="{5F212AE8-EF84-4A91-932B-CCCE23D7A7A0}"/>
    <cellStyle name="Normal 2 6 2 2 2 9" xfId="32259" xr:uid="{4AB760C0-938E-4A84-8D7E-34A34ED9656F}"/>
    <cellStyle name="Normal 2 6 2 2 2 9 2" xfId="32260" xr:uid="{A55A9444-FE23-4C5B-BCB3-2A4E0604D39B}"/>
    <cellStyle name="Normal 2 6 2 2 2 9 3" xfId="32261" xr:uid="{7A5F15B5-73AC-476F-A4E5-ED356627233F}"/>
    <cellStyle name="Normal 2 6 2 2 2 9 4" xfId="32262" xr:uid="{9709D502-861D-402D-8C04-2C5601B834DA}"/>
    <cellStyle name="Normal 2 6 2 2 2 9 5" xfId="32263" xr:uid="{06AAA7F9-1336-4FB1-BA25-557AD243CA31}"/>
    <cellStyle name="Normal 2 6 2 2 3" xfId="32264" xr:uid="{550FCA87-1E39-4C7C-8B3C-4DDF49663D4D}"/>
    <cellStyle name="Normal 2 6 2 2 3 10" xfId="32265" xr:uid="{4ABD8FBB-43AE-4051-B239-E2AB383F2BB1}"/>
    <cellStyle name="Normal 2 6 2 2 3 11" xfId="32266" xr:uid="{7766E80D-A3E4-436A-B165-004AB52D0AE3}"/>
    <cellStyle name="Normal 2 6 2 2 3 12" xfId="32267" xr:uid="{69E46D1D-86DA-4EC2-A4B9-67C6648E6211}"/>
    <cellStyle name="Normal 2 6 2 2 3 2" xfId="32268" xr:uid="{A7E2F370-329B-4B5E-9F00-091F8C6AD266}"/>
    <cellStyle name="Normal 2 6 2 2 3 2 2" xfId="32269" xr:uid="{C6F06DE5-F87E-48D8-8B39-C8329E73680D}"/>
    <cellStyle name="Normal 2 6 2 2 3 2 2 2" xfId="32270" xr:uid="{38707696-9865-4E08-AC20-A1C6903349C8}"/>
    <cellStyle name="Normal 2 6 2 2 3 2 2 3" xfId="32271" xr:uid="{EBE0FFEF-F9B4-441E-9936-B40E49E6D52C}"/>
    <cellStyle name="Normal 2 6 2 2 3 2 2 4" xfId="32272" xr:uid="{89332BE1-6687-4C99-A8BD-B26446324A79}"/>
    <cellStyle name="Normal 2 6 2 2 3 2 2 5" xfId="32273" xr:uid="{E843D7B4-6329-4460-9A5C-43116AD88043}"/>
    <cellStyle name="Normal 2 6 2 2 3 2 3" xfId="32274" xr:uid="{8D59D427-588C-4234-AC8A-571986989D7B}"/>
    <cellStyle name="Normal 2 6 2 2 3 2 4" xfId="32275" xr:uid="{641E95B2-E6C4-444B-9384-6298244DD246}"/>
    <cellStyle name="Normal 2 6 2 2 3 2 5" xfId="32276" xr:uid="{83FEFB27-E051-4EB5-8987-5316574483EC}"/>
    <cellStyle name="Normal 2 6 2 2 3 2 6" xfId="32277" xr:uid="{FFBCA446-6E18-4F8A-BAFB-80D8DFD458AE}"/>
    <cellStyle name="Normal 2 6 2 2 3 3" xfId="32278" xr:uid="{64B3E812-2C88-49BB-89B0-4D6A517B6357}"/>
    <cellStyle name="Normal 2 6 2 2 3 3 2" xfId="32279" xr:uid="{B27258F8-3508-48A4-B025-AFD1A859CB36}"/>
    <cellStyle name="Normal 2 6 2 2 3 3 2 2" xfId="32280" xr:uid="{7FD434DD-F932-4520-910F-101BDDAE682D}"/>
    <cellStyle name="Normal 2 6 2 2 3 3 2 3" xfId="32281" xr:uid="{4E2CBE56-FE49-420C-BC09-ADEC96426AFD}"/>
    <cellStyle name="Normal 2 6 2 2 3 3 2 4" xfId="32282" xr:uid="{BD7EFC0F-D969-427F-9F18-44E39A8D97AA}"/>
    <cellStyle name="Normal 2 6 2 2 3 3 2 5" xfId="32283" xr:uid="{AE251193-3C53-4427-9692-11B1651B4115}"/>
    <cellStyle name="Normal 2 6 2 2 3 3 3" xfId="32284" xr:uid="{3A552E16-49C9-438E-ADDD-97901B2D36D9}"/>
    <cellStyle name="Normal 2 6 2 2 3 3 4" xfId="32285" xr:uid="{708E190E-072A-4DAF-8BBE-16272266FC00}"/>
    <cellStyle name="Normal 2 6 2 2 3 3 5" xfId="32286" xr:uid="{EA4C5FC3-524B-4014-9E24-7C61E257DBEC}"/>
    <cellStyle name="Normal 2 6 2 2 3 3 6" xfId="32287" xr:uid="{D58DC920-7755-49D6-91CB-A42CFB59DF33}"/>
    <cellStyle name="Normal 2 6 2 2 3 4" xfId="32288" xr:uid="{89C2170A-0D0D-4B9B-9C83-A7EBB59E08AF}"/>
    <cellStyle name="Normal 2 6 2 2 3 4 2" xfId="32289" xr:uid="{E5357722-4F56-43AA-AE3D-9F2B142BB8D3}"/>
    <cellStyle name="Normal 2 6 2 2 3 4 2 2" xfId="32290" xr:uid="{6A034E60-55E9-4C9E-A555-A031D946EE9B}"/>
    <cellStyle name="Normal 2 6 2 2 3 4 2 3" xfId="32291" xr:uid="{26CA22E1-331A-482F-B754-44D1FDC018B4}"/>
    <cellStyle name="Normal 2 6 2 2 3 4 2 4" xfId="32292" xr:uid="{97003D90-F724-441B-B194-D5CB1FCFF572}"/>
    <cellStyle name="Normal 2 6 2 2 3 4 2 5" xfId="32293" xr:uid="{B8EDC0FE-975A-4A81-BB40-3C8810CD2B86}"/>
    <cellStyle name="Normal 2 6 2 2 3 4 3" xfId="32294" xr:uid="{A9B6FFD6-9E98-455F-804A-E4206746E0CD}"/>
    <cellStyle name="Normal 2 6 2 2 3 4 4" xfId="32295" xr:uid="{14E65BD0-351A-42DA-AAEA-2605A64636C3}"/>
    <cellStyle name="Normal 2 6 2 2 3 4 5" xfId="32296" xr:uid="{E7235992-6965-4435-9445-B6ADCA8B7335}"/>
    <cellStyle name="Normal 2 6 2 2 3 4 6" xfId="32297" xr:uid="{AC32A9D1-3204-498A-A342-A7CD9E1985F5}"/>
    <cellStyle name="Normal 2 6 2 2 3 5" xfId="32298" xr:uid="{B23BA657-CDEF-4D81-8DAA-079ECAB01CA1}"/>
    <cellStyle name="Normal 2 6 2 2 3 5 2" xfId="32299" xr:uid="{E722EECB-18A9-4307-B1B3-D4E1FEAD3227}"/>
    <cellStyle name="Normal 2 6 2 2 3 5 3" xfId="32300" xr:uid="{C5DA5FCA-4E5D-43A5-862D-5F6254150B32}"/>
    <cellStyle name="Normal 2 6 2 2 3 5 4" xfId="32301" xr:uid="{1DFECCE9-D0A2-44A2-941A-BBBF85DD7F84}"/>
    <cellStyle name="Normal 2 6 2 2 3 5 5" xfId="32302" xr:uid="{E572A891-08CD-4D88-8151-62CCEF9C032B}"/>
    <cellStyle name="Normal 2 6 2 2 3 6" xfId="32303" xr:uid="{47CB9D60-D914-432C-BB09-B64F660F3E15}"/>
    <cellStyle name="Normal 2 6 2 2 3 6 2" xfId="32304" xr:uid="{70189E6F-11D2-4381-AFBB-02A95649AF4C}"/>
    <cellStyle name="Normal 2 6 2 2 3 6 3" xfId="32305" xr:uid="{875201AE-5C9F-4C32-8382-688C65962EA6}"/>
    <cellStyle name="Normal 2 6 2 2 3 6 4" xfId="32306" xr:uid="{61FF6D85-5FC2-4D28-A7FD-5C560D3CA4F1}"/>
    <cellStyle name="Normal 2 6 2 2 3 6 5" xfId="32307" xr:uid="{6B296D1A-18AB-47C7-89CD-B925DA65B495}"/>
    <cellStyle name="Normal 2 6 2 2 3 7" xfId="32308" xr:uid="{5B5458A7-15F2-4BB0-AD6D-50301DDDF68C}"/>
    <cellStyle name="Normal 2 6 2 2 3 7 2" xfId="32309" xr:uid="{4AC68F36-9647-44B6-84BF-C8BDC3F3382B}"/>
    <cellStyle name="Normal 2 6 2 2 3 7 3" xfId="32310" xr:uid="{3CBAE240-EA34-4A03-B000-B3632CC4CDBA}"/>
    <cellStyle name="Normal 2 6 2 2 3 7 4" xfId="32311" xr:uid="{13FB59B1-CF88-400D-BAA3-C5346CD06FD8}"/>
    <cellStyle name="Normal 2 6 2 2 3 7 5" xfId="32312" xr:uid="{8735912E-A88E-4EA3-B96D-5DB2F9B6EE19}"/>
    <cellStyle name="Normal 2 6 2 2 3 8" xfId="32313" xr:uid="{E1B50574-ED3D-4C05-8820-1F5E712EE33F}"/>
    <cellStyle name="Normal 2 6 2 2 3 8 2" xfId="32314" xr:uid="{530CECE6-FC51-470E-92B0-9D8286484B41}"/>
    <cellStyle name="Normal 2 6 2 2 3 8 3" xfId="32315" xr:uid="{08F9B1B2-C1FB-448B-8A01-A989CA36717E}"/>
    <cellStyle name="Normal 2 6 2 2 3 8 4" xfId="32316" xr:uid="{2DBB47AB-06BB-45E9-B484-2F824B8F02E4}"/>
    <cellStyle name="Normal 2 6 2 2 3 8 5" xfId="32317" xr:uid="{BDDEC87B-54FA-4A70-9F1A-BC643077C95D}"/>
    <cellStyle name="Normal 2 6 2 2 3 9" xfId="32318" xr:uid="{678AEBE6-6299-4184-88E5-B304329E3247}"/>
    <cellStyle name="Normal 2 6 2 2 4" xfId="32319" xr:uid="{9A338F57-1238-4EEC-BF08-C00E8EE00453}"/>
    <cellStyle name="Normal 2 6 2 2 4 2" xfId="32320" xr:uid="{D23D38A7-B92B-4AD3-A0B4-31A898AAC95F}"/>
    <cellStyle name="Normal 2 6 2 2 4 2 2" xfId="32321" xr:uid="{290CAEB2-4465-42C3-8602-A0A6C27F49EB}"/>
    <cellStyle name="Normal 2 6 2 2 4 2 3" xfId="32322" xr:uid="{AFF7A0EF-1240-45FE-AD34-47163C5FCFFB}"/>
    <cellStyle name="Normal 2 6 2 2 4 2 4" xfId="32323" xr:uid="{2BC7650E-C9E2-4767-8455-A8708D0DF52F}"/>
    <cellStyle name="Normal 2 6 2 2 4 2 5" xfId="32324" xr:uid="{EEA11646-B3DC-430D-819B-63D76EDF97A6}"/>
    <cellStyle name="Normal 2 6 2 2 4 3" xfId="32325" xr:uid="{F3E2DF54-2CC4-43A9-BDFE-FB6797A82EFC}"/>
    <cellStyle name="Normal 2 6 2 2 4 4" xfId="32326" xr:uid="{4F7DA94C-5DB6-45A0-AA5F-0BA9A48E9305}"/>
    <cellStyle name="Normal 2 6 2 2 4 5" xfId="32327" xr:uid="{359F4C6D-43F7-4326-9AD1-2135DAD70593}"/>
    <cellStyle name="Normal 2 6 2 2 4 6" xfId="32328" xr:uid="{70AE67D4-3DBD-4C88-8D54-2798C0E17482}"/>
    <cellStyle name="Normal 2 6 2 2 5" xfId="32329" xr:uid="{BFCBB696-C65C-4085-9397-EC3512B7929B}"/>
    <cellStyle name="Normal 2 6 2 2 5 2" xfId="32330" xr:uid="{CBFF4525-14E7-4584-BA6C-CC7899A557FF}"/>
    <cellStyle name="Normal 2 6 2 2 5 2 2" xfId="32331" xr:uid="{F06BF692-9DDD-4BD5-BE0C-4705F548893B}"/>
    <cellStyle name="Normal 2 6 2 2 5 2 3" xfId="32332" xr:uid="{9CF8A746-F6EF-420F-BDC2-CCAC7849A612}"/>
    <cellStyle name="Normal 2 6 2 2 5 2 4" xfId="32333" xr:uid="{A2BD8F54-91B4-4F7C-85CA-F27F041A86EF}"/>
    <cellStyle name="Normal 2 6 2 2 5 2 5" xfId="32334" xr:uid="{98E48134-F409-4A00-B66C-4E5507BD4AF8}"/>
    <cellStyle name="Normal 2 6 2 2 5 3" xfId="32335" xr:uid="{CEFD8346-92FA-4F82-AC23-75BDB4CDD15A}"/>
    <cellStyle name="Normal 2 6 2 2 5 4" xfId="32336" xr:uid="{AEEA76C3-FAF1-4E25-8122-13E8B7D9CC76}"/>
    <cellStyle name="Normal 2 6 2 2 5 5" xfId="32337" xr:uid="{8F495C03-D700-4E8E-BF3A-CABF04B7E162}"/>
    <cellStyle name="Normal 2 6 2 2 5 6" xfId="32338" xr:uid="{9EEAA949-34B0-4F62-9235-26E656F4B4A6}"/>
    <cellStyle name="Normal 2 6 2 2 6" xfId="32339" xr:uid="{E512ACB8-15F7-46FC-A987-AD316FBDB42B}"/>
    <cellStyle name="Normal 2 6 2 2 6 2" xfId="32340" xr:uid="{1A53443D-BA1B-445B-BF9C-A9E2BEF72B86}"/>
    <cellStyle name="Normal 2 6 2 2 6 2 2" xfId="32341" xr:uid="{341350AB-F3AF-465F-AB06-75C8C42D027F}"/>
    <cellStyle name="Normal 2 6 2 2 6 2 3" xfId="32342" xr:uid="{73BDA6AA-9212-41DD-861D-9C345AF50C0E}"/>
    <cellStyle name="Normal 2 6 2 2 6 2 4" xfId="32343" xr:uid="{FF292953-04A8-4CDA-8B9A-A066A3B57F8F}"/>
    <cellStyle name="Normal 2 6 2 2 6 2 5" xfId="32344" xr:uid="{199B7605-FF7A-4084-AE4B-CD2F5F5EE026}"/>
    <cellStyle name="Normal 2 6 2 2 6 3" xfId="32345" xr:uid="{F683F68C-3186-4D74-8868-36892D650A02}"/>
    <cellStyle name="Normal 2 6 2 2 6 4" xfId="32346" xr:uid="{A2319855-F60D-462D-9706-CE8204E9E756}"/>
    <cellStyle name="Normal 2 6 2 2 6 5" xfId="32347" xr:uid="{B0239F66-B88F-4F4A-B2C6-53C557DC4686}"/>
    <cellStyle name="Normal 2 6 2 2 6 6" xfId="32348" xr:uid="{7E5262C8-FA47-4D01-AE48-9EF0B1EFC7BF}"/>
    <cellStyle name="Normal 2 6 2 2 7" xfId="32349" xr:uid="{BDAFA626-97AC-4C5C-B5A8-9D974F6D9284}"/>
    <cellStyle name="Normal 2 6 2 2 7 2" xfId="32350" xr:uid="{4A8D73F2-8250-4858-9669-BE2815BC23CC}"/>
    <cellStyle name="Normal 2 6 2 2 7 3" xfId="32351" xr:uid="{B031C914-8AC2-4C2F-85C8-8B59BD3527D6}"/>
    <cellStyle name="Normal 2 6 2 2 7 4" xfId="32352" xr:uid="{2DBE61F3-A3D9-4202-A857-753B3A2203FB}"/>
    <cellStyle name="Normal 2 6 2 2 7 5" xfId="32353" xr:uid="{970C258E-894D-40E7-8B3B-3FC1253E9B6D}"/>
    <cellStyle name="Normal 2 6 2 2 8" xfId="32354" xr:uid="{0DE3E342-8D9E-4DFE-B7AE-A1C2CFA44D2D}"/>
    <cellStyle name="Normal 2 6 2 2 8 2" xfId="32355" xr:uid="{853A3FD0-CB08-421B-B934-7DF6A8C28B63}"/>
    <cellStyle name="Normal 2 6 2 2 8 3" xfId="32356" xr:uid="{19106731-3F9E-4745-B369-F968B23D71EC}"/>
    <cellStyle name="Normal 2 6 2 2 8 4" xfId="32357" xr:uid="{5204E61E-C9DD-4E46-A8E1-85863EAC1BE2}"/>
    <cellStyle name="Normal 2 6 2 2 8 5" xfId="32358" xr:uid="{D0DC503D-DB7F-4CF8-9340-1E9A2DD9FF32}"/>
    <cellStyle name="Normal 2 6 2 2 9" xfId="32359" xr:uid="{D5414492-C38E-460F-A918-1225A29211D2}"/>
    <cellStyle name="Normal 2 6 2 2 9 2" xfId="32360" xr:uid="{9B59DEA1-612E-490F-A5B7-0D4C6381FE11}"/>
    <cellStyle name="Normal 2 6 2 2 9 3" xfId="32361" xr:uid="{B04BA1F3-E12A-4A68-8859-583A6350FBA1}"/>
    <cellStyle name="Normal 2 6 2 2 9 4" xfId="32362" xr:uid="{7129C48B-B778-43F8-BFEA-E86AE3E66F93}"/>
    <cellStyle name="Normal 2 6 2 2 9 5" xfId="32363" xr:uid="{7949C97C-3839-4ABC-BE21-AB8CB5DE0A90}"/>
    <cellStyle name="Normal 2 6 2 3" xfId="32364" xr:uid="{3725F000-3C0E-4709-B9A9-F55C6F906EC4}"/>
    <cellStyle name="Normal 2 6 2 3 10" xfId="32365" xr:uid="{77F75DFF-1276-4AA3-8245-AEEA974FF6FD}"/>
    <cellStyle name="Normal 2 6 2 3 11" xfId="32366" xr:uid="{B288707A-D45B-4440-BFA1-2791BC7F8A9C}"/>
    <cellStyle name="Normal 2 6 2 3 12" xfId="32367" xr:uid="{6CD65E53-C83C-40EF-AAB5-10C0A317DEA3}"/>
    <cellStyle name="Normal 2 6 2 3 13" xfId="32368" xr:uid="{9DD42350-9B69-48EB-B63D-DFC68D5A52F1}"/>
    <cellStyle name="Normal 2 6 2 3 2" xfId="32369" xr:uid="{89706769-1097-4C2C-AF6A-D01921E2B46C}"/>
    <cellStyle name="Normal 2 6 2 3 2 10" xfId="32370" xr:uid="{655DE803-ADA8-4BAE-9986-8785BC1CF9BA}"/>
    <cellStyle name="Normal 2 6 2 3 2 11" xfId="32371" xr:uid="{30579005-25FD-446C-AC17-457F3FCDD68D}"/>
    <cellStyle name="Normal 2 6 2 3 2 12" xfId="32372" xr:uid="{21CA9C04-92AD-4161-BCD3-3E1E499F026E}"/>
    <cellStyle name="Normal 2 6 2 3 2 2" xfId="32373" xr:uid="{D958ED74-4BDA-4558-B124-E95986254672}"/>
    <cellStyle name="Normal 2 6 2 3 2 2 2" xfId="32374" xr:uid="{9C24B4E5-5AD9-4FD8-9AEC-8530F8B215C8}"/>
    <cellStyle name="Normal 2 6 2 3 2 2 2 2" xfId="32375" xr:uid="{4E066A8E-8917-47C3-A190-03FA1AA7F8B5}"/>
    <cellStyle name="Normal 2 6 2 3 2 2 2 3" xfId="32376" xr:uid="{EF576543-9423-4807-8521-B5F4578CE0A9}"/>
    <cellStyle name="Normal 2 6 2 3 2 2 2 4" xfId="32377" xr:uid="{4FD5F32C-CCE4-47E4-B5FA-60D0FC113732}"/>
    <cellStyle name="Normal 2 6 2 3 2 2 2 5" xfId="32378" xr:uid="{A729B11B-0206-459A-8B5A-9AE1F4260F7A}"/>
    <cellStyle name="Normal 2 6 2 3 2 2 3" xfId="32379" xr:uid="{10C842A9-C457-40B2-9B25-880604990804}"/>
    <cellStyle name="Normal 2 6 2 3 2 2 4" xfId="32380" xr:uid="{798CBE34-197F-4A38-B6DC-1E23B5BD5CAB}"/>
    <cellStyle name="Normal 2 6 2 3 2 2 5" xfId="32381" xr:uid="{140D17C8-2FA3-4CB1-97B1-142FDCDD552F}"/>
    <cellStyle name="Normal 2 6 2 3 2 2 6" xfId="32382" xr:uid="{BC81E64E-647B-42FF-BFD6-2341D24D1755}"/>
    <cellStyle name="Normal 2 6 2 3 2 3" xfId="32383" xr:uid="{E60AA5F6-8F6E-4A4B-AA2F-4E6BCBA5BA41}"/>
    <cellStyle name="Normal 2 6 2 3 2 3 2" xfId="32384" xr:uid="{80232A36-280E-4D49-B8FD-CEC4419CA189}"/>
    <cellStyle name="Normal 2 6 2 3 2 3 2 2" xfId="32385" xr:uid="{5824A8AB-B65B-4CC2-8BB3-05E2532CD4D0}"/>
    <cellStyle name="Normal 2 6 2 3 2 3 2 3" xfId="32386" xr:uid="{8DF142A9-B8A0-4E50-AEEF-EA8455CB3E71}"/>
    <cellStyle name="Normal 2 6 2 3 2 3 2 4" xfId="32387" xr:uid="{BFA7E19D-2CEC-47C2-A520-DA257DC50BA5}"/>
    <cellStyle name="Normal 2 6 2 3 2 3 2 5" xfId="32388" xr:uid="{18A6EB3A-0917-46EA-85CB-B8B3D2A24D87}"/>
    <cellStyle name="Normal 2 6 2 3 2 3 3" xfId="32389" xr:uid="{9C2F3778-74AB-45E7-A091-E4D5070F195C}"/>
    <cellStyle name="Normal 2 6 2 3 2 3 4" xfId="32390" xr:uid="{62B5C8F2-A52D-4172-85CB-2208C58AF139}"/>
    <cellStyle name="Normal 2 6 2 3 2 3 5" xfId="32391" xr:uid="{568B416F-585B-4B9E-9917-CB3C68DC4DAE}"/>
    <cellStyle name="Normal 2 6 2 3 2 3 6" xfId="32392" xr:uid="{21F160C9-B58D-4265-94DD-104CD0D1877B}"/>
    <cellStyle name="Normal 2 6 2 3 2 4" xfId="32393" xr:uid="{9DE9C130-FE23-4D6A-B581-2A4F30723569}"/>
    <cellStyle name="Normal 2 6 2 3 2 4 2" xfId="32394" xr:uid="{30CA1E8C-E76D-4CF0-9996-9A6DA0EE59DD}"/>
    <cellStyle name="Normal 2 6 2 3 2 4 2 2" xfId="32395" xr:uid="{ACD8EDBF-AB5F-42CD-893C-1530C1C9A39A}"/>
    <cellStyle name="Normal 2 6 2 3 2 4 2 3" xfId="32396" xr:uid="{1DF29ED0-DBBE-4983-BF27-A92E994DCC75}"/>
    <cellStyle name="Normal 2 6 2 3 2 4 2 4" xfId="32397" xr:uid="{169D2E82-EE30-4B74-A68D-EADB27B1EB96}"/>
    <cellStyle name="Normal 2 6 2 3 2 4 2 5" xfId="32398" xr:uid="{18AADA48-46C8-483C-9766-2235AD1B24E3}"/>
    <cellStyle name="Normal 2 6 2 3 2 4 3" xfId="32399" xr:uid="{B462306E-4B7B-422E-B4CB-267D9C8E88B3}"/>
    <cellStyle name="Normal 2 6 2 3 2 4 4" xfId="32400" xr:uid="{824C52EC-6D3B-4CAB-B306-FD8DB4B32839}"/>
    <cellStyle name="Normal 2 6 2 3 2 4 5" xfId="32401" xr:uid="{7B5736EB-8668-4985-A904-8C1E45578BF0}"/>
    <cellStyle name="Normal 2 6 2 3 2 4 6" xfId="32402" xr:uid="{E89E4226-0580-42BE-BB62-3092F2460081}"/>
    <cellStyle name="Normal 2 6 2 3 2 5" xfId="32403" xr:uid="{D54E45AB-AA28-455A-9648-254EFA210D3A}"/>
    <cellStyle name="Normal 2 6 2 3 2 5 2" xfId="32404" xr:uid="{0FCD4102-7181-446F-B796-D49BD85D736F}"/>
    <cellStyle name="Normal 2 6 2 3 2 5 3" xfId="32405" xr:uid="{21CA5915-B8F6-454D-94FA-AF06164548C2}"/>
    <cellStyle name="Normal 2 6 2 3 2 5 4" xfId="32406" xr:uid="{56EC9FAD-F6CB-4AA4-81DD-09454C1EE87C}"/>
    <cellStyle name="Normal 2 6 2 3 2 5 5" xfId="32407" xr:uid="{AE719A65-513E-40D6-8B85-07FDA2529649}"/>
    <cellStyle name="Normal 2 6 2 3 2 6" xfId="32408" xr:uid="{AA6BD067-B843-462B-812E-04024DDCA88E}"/>
    <cellStyle name="Normal 2 6 2 3 2 6 2" xfId="32409" xr:uid="{D50E99C3-B41F-464A-A1A4-9106A623E3B0}"/>
    <cellStyle name="Normal 2 6 2 3 2 6 3" xfId="32410" xr:uid="{766BC84C-9A36-44E5-8A1E-91FE79A8F139}"/>
    <cellStyle name="Normal 2 6 2 3 2 6 4" xfId="32411" xr:uid="{D823000E-E5BB-4664-9065-00C33B0E736D}"/>
    <cellStyle name="Normal 2 6 2 3 2 6 5" xfId="32412" xr:uid="{8E08A68B-F6B9-4727-8D5D-938391CE756A}"/>
    <cellStyle name="Normal 2 6 2 3 2 7" xfId="32413" xr:uid="{F70B7450-5F75-4DF3-9CAC-C18346B0406F}"/>
    <cellStyle name="Normal 2 6 2 3 2 7 2" xfId="32414" xr:uid="{D2D62938-48C2-49F2-A3EB-C0441BE64514}"/>
    <cellStyle name="Normal 2 6 2 3 2 7 3" xfId="32415" xr:uid="{3A9EFB79-3C68-4BBC-9B5C-015319ED0849}"/>
    <cellStyle name="Normal 2 6 2 3 2 7 4" xfId="32416" xr:uid="{4710546F-7408-4671-86C9-673B3C8124F3}"/>
    <cellStyle name="Normal 2 6 2 3 2 7 5" xfId="32417" xr:uid="{DF78EEB4-E0AF-4C2B-8738-2C88EAD3FFD8}"/>
    <cellStyle name="Normal 2 6 2 3 2 8" xfId="32418" xr:uid="{FC169EE5-04BA-441C-AABC-2EA357039887}"/>
    <cellStyle name="Normal 2 6 2 3 2 8 2" xfId="32419" xr:uid="{389AE03D-EC2F-488A-A1C2-9F9D1E9342B7}"/>
    <cellStyle name="Normal 2 6 2 3 2 8 3" xfId="32420" xr:uid="{FE203F17-728D-4025-A5B1-3D300F742A38}"/>
    <cellStyle name="Normal 2 6 2 3 2 8 4" xfId="32421" xr:uid="{013ABAB8-D460-4532-86D4-9B9B19460A64}"/>
    <cellStyle name="Normal 2 6 2 3 2 8 5" xfId="32422" xr:uid="{C69776E6-5B14-4DB2-BC5D-91B28131105F}"/>
    <cellStyle name="Normal 2 6 2 3 2 9" xfId="32423" xr:uid="{93BB85FC-2486-4B3C-94A5-57D4CED36E3B}"/>
    <cellStyle name="Normal 2 6 2 3 3" xfId="32424" xr:uid="{32F1DEFA-0E74-4EEF-8FCA-716F45394FC8}"/>
    <cellStyle name="Normal 2 6 2 3 3 2" xfId="32425" xr:uid="{7787C0B6-FA96-41AF-91EB-F066F2D01E67}"/>
    <cellStyle name="Normal 2 6 2 3 3 2 2" xfId="32426" xr:uid="{860B8045-D8A2-41E9-8B98-4A5223A02D57}"/>
    <cellStyle name="Normal 2 6 2 3 3 2 3" xfId="32427" xr:uid="{F0093D9E-EDC8-488F-8127-66878432B04B}"/>
    <cellStyle name="Normal 2 6 2 3 3 2 4" xfId="32428" xr:uid="{E64AF1C9-EEB5-4192-9F22-A8A0BA657182}"/>
    <cellStyle name="Normal 2 6 2 3 3 2 5" xfId="32429" xr:uid="{DEE41576-F6E2-4CEC-819A-D8298F5D0119}"/>
    <cellStyle name="Normal 2 6 2 3 3 3" xfId="32430" xr:uid="{70443254-3F43-4C2E-B3C2-203FAAB61FBC}"/>
    <cellStyle name="Normal 2 6 2 3 3 4" xfId="32431" xr:uid="{4DE8A3B2-E7BC-41B6-91C9-93C554AAB652}"/>
    <cellStyle name="Normal 2 6 2 3 3 5" xfId="32432" xr:uid="{152B4496-14EE-423E-B7B5-D4D8880AEC82}"/>
    <cellStyle name="Normal 2 6 2 3 3 6" xfId="32433" xr:uid="{21A9B7A9-BACB-461A-9FC5-9458ADEEC754}"/>
    <cellStyle name="Normal 2 6 2 3 4" xfId="32434" xr:uid="{7116D9E9-65E4-45D8-9746-B3D50C2EC549}"/>
    <cellStyle name="Normal 2 6 2 3 4 2" xfId="32435" xr:uid="{5FD6913F-C48E-4745-965D-1AA8F9706C03}"/>
    <cellStyle name="Normal 2 6 2 3 4 2 2" xfId="32436" xr:uid="{E22CBF49-3845-479C-89CB-A9D67D8817BC}"/>
    <cellStyle name="Normal 2 6 2 3 4 2 3" xfId="32437" xr:uid="{A01CE5FF-4DCD-4C29-BA34-5ABDAE646DEF}"/>
    <cellStyle name="Normal 2 6 2 3 4 2 4" xfId="32438" xr:uid="{25922A7B-A15D-46DB-BA80-49BE4A44C365}"/>
    <cellStyle name="Normal 2 6 2 3 4 2 5" xfId="32439" xr:uid="{B088C41B-EBB2-426B-AD52-34C0644A2C3A}"/>
    <cellStyle name="Normal 2 6 2 3 4 3" xfId="32440" xr:uid="{18A21FC4-194F-4892-A9C5-1903E9217F20}"/>
    <cellStyle name="Normal 2 6 2 3 4 4" xfId="32441" xr:uid="{76EBE193-3C8D-486B-9DE3-64EE5C4D939E}"/>
    <cellStyle name="Normal 2 6 2 3 4 5" xfId="32442" xr:uid="{406E7B20-463D-4630-A75F-07FC437B5208}"/>
    <cellStyle name="Normal 2 6 2 3 4 6" xfId="32443" xr:uid="{74EA3727-18C4-47B3-8FAD-D8462A5D0536}"/>
    <cellStyle name="Normal 2 6 2 3 5" xfId="32444" xr:uid="{F57B6BC2-163B-4025-9ADE-8CB2CAB2C0C5}"/>
    <cellStyle name="Normal 2 6 2 3 5 2" xfId="32445" xr:uid="{643FDB59-33A4-4EB3-A869-687C9C0CFE34}"/>
    <cellStyle name="Normal 2 6 2 3 5 2 2" xfId="32446" xr:uid="{49D88E2A-3AD5-47B9-BECB-63766CAE062D}"/>
    <cellStyle name="Normal 2 6 2 3 5 2 3" xfId="32447" xr:uid="{F06C1B85-5C20-4FEE-871C-9E9CEEFDEDA6}"/>
    <cellStyle name="Normal 2 6 2 3 5 2 4" xfId="32448" xr:uid="{11D3499B-ACFE-4043-8BD2-53B39C7718E4}"/>
    <cellStyle name="Normal 2 6 2 3 5 2 5" xfId="32449" xr:uid="{F706EE28-40F1-4141-8825-0F2AF0294C4B}"/>
    <cellStyle name="Normal 2 6 2 3 5 3" xfId="32450" xr:uid="{AE50A692-11D9-48A4-8056-D0A80B39D525}"/>
    <cellStyle name="Normal 2 6 2 3 5 4" xfId="32451" xr:uid="{23BA1341-8D71-47B5-97FB-D30A6B207FBD}"/>
    <cellStyle name="Normal 2 6 2 3 5 5" xfId="32452" xr:uid="{3074893D-266A-4080-B8E3-A672D099B608}"/>
    <cellStyle name="Normal 2 6 2 3 5 6" xfId="32453" xr:uid="{88EC9BFE-A58A-449F-B03E-11E2D0F441C3}"/>
    <cellStyle name="Normal 2 6 2 3 6" xfId="32454" xr:uid="{612FF511-3A70-4E41-87A8-8F1F612B1ADE}"/>
    <cellStyle name="Normal 2 6 2 3 6 2" xfId="32455" xr:uid="{A5C53C7B-7958-454B-A341-80629791D54D}"/>
    <cellStyle name="Normal 2 6 2 3 6 3" xfId="32456" xr:uid="{3C4442B8-7019-417E-8A91-EC61F19DEF13}"/>
    <cellStyle name="Normal 2 6 2 3 6 4" xfId="32457" xr:uid="{11FD525D-BBBB-458A-BC4C-A1845DDB08C5}"/>
    <cellStyle name="Normal 2 6 2 3 6 5" xfId="32458" xr:uid="{212F16FB-842E-48CF-9331-8CF3244BDCE2}"/>
    <cellStyle name="Normal 2 6 2 3 7" xfId="32459" xr:uid="{A37441F6-B984-4880-BC20-67F5583801A5}"/>
    <cellStyle name="Normal 2 6 2 3 7 2" xfId="32460" xr:uid="{A4AD91C3-8F8E-4C59-816E-3280928F006A}"/>
    <cellStyle name="Normal 2 6 2 3 7 3" xfId="32461" xr:uid="{4B70C553-595A-4C72-A97E-E25DEA218310}"/>
    <cellStyle name="Normal 2 6 2 3 7 4" xfId="32462" xr:uid="{46275F59-B618-4224-A28F-A9C51CBEF194}"/>
    <cellStyle name="Normal 2 6 2 3 7 5" xfId="32463" xr:uid="{8D5B4635-7F8E-49B9-9FDF-26BCC330E765}"/>
    <cellStyle name="Normal 2 6 2 3 8" xfId="32464" xr:uid="{AB6C56B8-0019-47D6-967A-D838854E5BFE}"/>
    <cellStyle name="Normal 2 6 2 3 8 2" xfId="32465" xr:uid="{3F34215B-C6EF-4293-A408-194E007FF515}"/>
    <cellStyle name="Normal 2 6 2 3 8 3" xfId="32466" xr:uid="{63E2AB57-6BC8-4036-A05C-8D475049B35B}"/>
    <cellStyle name="Normal 2 6 2 3 8 4" xfId="32467" xr:uid="{2B1B215A-8BBC-422C-AA80-1FA5EE14A8BC}"/>
    <cellStyle name="Normal 2 6 2 3 8 5" xfId="32468" xr:uid="{6B25F752-6226-4950-878F-CA17D1B7F146}"/>
    <cellStyle name="Normal 2 6 2 3 9" xfId="32469" xr:uid="{C5FAF5E5-DA0E-4E0A-BA76-8C119AB68F97}"/>
    <cellStyle name="Normal 2 6 2 3 9 2" xfId="32470" xr:uid="{DEE1E52C-831F-44B5-A213-F50AA354F43B}"/>
    <cellStyle name="Normal 2 6 2 3 9 3" xfId="32471" xr:uid="{6E7BD234-7888-421F-BCED-2A9895838FA6}"/>
    <cellStyle name="Normal 2 6 2 3 9 4" xfId="32472" xr:uid="{FC6190A1-FA0C-4F57-8D1B-E85AD24005E3}"/>
    <cellStyle name="Normal 2 6 2 3 9 5" xfId="32473" xr:uid="{9666AFBF-9EF5-4D99-8024-565BC8F64BB4}"/>
    <cellStyle name="Normal 2 6 2 4" xfId="32474" xr:uid="{D388A815-518E-4541-B13E-3509792D2C5E}"/>
    <cellStyle name="Normal 2 6 2 4 10" xfId="32475" xr:uid="{EDFA44F8-38B7-4259-B8A3-D49330A3CA7B}"/>
    <cellStyle name="Normal 2 6 2 4 11" xfId="32476" xr:uid="{382623FD-F2BC-4B49-A006-039721987332}"/>
    <cellStyle name="Normal 2 6 2 4 12" xfId="32477" xr:uid="{2F1EE6D2-4282-4351-B806-619F9A793508}"/>
    <cellStyle name="Normal 2 6 2 4 2" xfId="32478" xr:uid="{1E0CC30D-A5EC-446E-9EA1-30A9DD74114A}"/>
    <cellStyle name="Normal 2 6 2 4 2 2" xfId="32479" xr:uid="{A08CD40B-613A-4D45-B1C9-62B25BF4E4B0}"/>
    <cellStyle name="Normal 2 6 2 4 2 2 2" xfId="32480" xr:uid="{0939CE96-19FA-4588-B14B-5D4B272946DC}"/>
    <cellStyle name="Normal 2 6 2 4 2 2 3" xfId="32481" xr:uid="{9C34FBD9-BF63-4099-8552-6D971CF523E5}"/>
    <cellStyle name="Normal 2 6 2 4 2 2 4" xfId="32482" xr:uid="{E3757C84-9545-4629-9D5C-6893AE4C1959}"/>
    <cellStyle name="Normal 2 6 2 4 2 2 5" xfId="32483" xr:uid="{9EBC28EA-8CA2-4636-9C02-A32633748ADE}"/>
    <cellStyle name="Normal 2 6 2 4 2 3" xfId="32484" xr:uid="{FD832078-9323-4975-A85C-55D5E74B098E}"/>
    <cellStyle name="Normal 2 6 2 4 2 4" xfId="32485" xr:uid="{8FD95A8E-93C3-470D-8F9B-96D01CFCDC30}"/>
    <cellStyle name="Normal 2 6 2 4 2 5" xfId="32486" xr:uid="{6A773CEA-228C-45F7-A56E-7A5D1ACDC046}"/>
    <cellStyle name="Normal 2 6 2 4 2 6" xfId="32487" xr:uid="{690279A9-3BD9-45A8-85EC-589B4D588597}"/>
    <cellStyle name="Normal 2 6 2 4 3" xfId="32488" xr:uid="{300B9973-B1DE-403D-A4A7-ADD3C66FF3C3}"/>
    <cellStyle name="Normal 2 6 2 4 3 2" xfId="32489" xr:uid="{BDB2C323-DBE5-4E9F-8C42-1782836CD49D}"/>
    <cellStyle name="Normal 2 6 2 4 3 2 2" xfId="32490" xr:uid="{C0CFEFEF-8B81-47F5-B506-FEBF4000479D}"/>
    <cellStyle name="Normal 2 6 2 4 3 2 3" xfId="32491" xr:uid="{D1C065F9-D8CA-40BF-8984-61718BAD0DC6}"/>
    <cellStyle name="Normal 2 6 2 4 3 2 4" xfId="32492" xr:uid="{1D3C8C84-F6CB-4155-AAEA-8BEB6B0285A3}"/>
    <cellStyle name="Normal 2 6 2 4 3 2 5" xfId="32493" xr:uid="{C13555DF-5863-4375-BAAE-5DC12577CA53}"/>
    <cellStyle name="Normal 2 6 2 4 3 3" xfId="32494" xr:uid="{6AD6DA3B-D654-461B-985C-E087D7845CFA}"/>
    <cellStyle name="Normal 2 6 2 4 3 4" xfId="32495" xr:uid="{4E18A3EE-844A-48BD-93FC-10F9182F34AF}"/>
    <cellStyle name="Normal 2 6 2 4 3 5" xfId="32496" xr:uid="{E1ABF883-AF52-4592-9C8F-1E29E4EE6589}"/>
    <cellStyle name="Normal 2 6 2 4 3 6" xfId="32497" xr:uid="{8792B72E-88AD-47ED-8F6A-C2B2C57D5BC9}"/>
    <cellStyle name="Normal 2 6 2 4 4" xfId="32498" xr:uid="{157B5308-7316-4718-8BAF-421852486F2A}"/>
    <cellStyle name="Normal 2 6 2 4 4 2" xfId="32499" xr:uid="{E2563925-A0C4-4C33-A263-3AC8D3140886}"/>
    <cellStyle name="Normal 2 6 2 4 4 2 2" xfId="32500" xr:uid="{F25DD519-2D4D-4330-AFE8-C5C92C548F67}"/>
    <cellStyle name="Normal 2 6 2 4 4 2 3" xfId="32501" xr:uid="{64AC2FAB-4FFC-461E-82F8-A35680A5C77F}"/>
    <cellStyle name="Normal 2 6 2 4 4 2 4" xfId="32502" xr:uid="{526EAD9E-6BB6-4A4E-871F-A6FDFEAC8632}"/>
    <cellStyle name="Normal 2 6 2 4 4 2 5" xfId="32503" xr:uid="{A8167E70-78FA-4F03-A697-33CBD4D45902}"/>
    <cellStyle name="Normal 2 6 2 4 4 3" xfId="32504" xr:uid="{7193C45B-3829-46EB-AA33-85D04AB8A797}"/>
    <cellStyle name="Normal 2 6 2 4 4 4" xfId="32505" xr:uid="{B68107A0-886B-489B-B974-32924F6FCDCB}"/>
    <cellStyle name="Normal 2 6 2 4 4 5" xfId="32506" xr:uid="{4988C46C-C2FB-4EE1-9ACA-46E48D57C9C8}"/>
    <cellStyle name="Normal 2 6 2 4 4 6" xfId="32507" xr:uid="{0CBC16E3-829D-40B3-A49F-C4A6A754078F}"/>
    <cellStyle name="Normal 2 6 2 4 5" xfId="32508" xr:uid="{FBAD8D51-57FD-4816-B4D4-091875FF3A9F}"/>
    <cellStyle name="Normal 2 6 2 4 5 2" xfId="32509" xr:uid="{1DC003ED-D1C0-4913-9774-8497FE3DBC2E}"/>
    <cellStyle name="Normal 2 6 2 4 5 3" xfId="32510" xr:uid="{E173EEE5-7286-4247-A233-7FB805973DD1}"/>
    <cellStyle name="Normal 2 6 2 4 5 4" xfId="32511" xr:uid="{362D0B4A-DD98-4B96-8604-089DC5576FA1}"/>
    <cellStyle name="Normal 2 6 2 4 5 5" xfId="32512" xr:uid="{E223177D-1134-49FA-9CFA-8D843F4D68CD}"/>
    <cellStyle name="Normal 2 6 2 4 6" xfId="32513" xr:uid="{A5E79939-D2D8-4D1E-B92E-FA5877A6D643}"/>
    <cellStyle name="Normal 2 6 2 4 6 2" xfId="32514" xr:uid="{6FC07239-6FCD-41FC-BB97-5837AD61E6CE}"/>
    <cellStyle name="Normal 2 6 2 4 6 3" xfId="32515" xr:uid="{67B8F132-7171-4116-8F50-0EF4D63FE7F4}"/>
    <cellStyle name="Normal 2 6 2 4 6 4" xfId="32516" xr:uid="{CC1E1172-B5C1-4AA0-BC66-A8E192E03112}"/>
    <cellStyle name="Normal 2 6 2 4 6 5" xfId="32517" xr:uid="{24607830-9D6D-4C21-8AB1-FD0052578E04}"/>
    <cellStyle name="Normal 2 6 2 4 7" xfId="32518" xr:uid="{B0E77D84-7A91-4B65-909F-EF5D206C8EDE}"/>
    <cellStyle name="Normal 2 6 2 4 7 2" xfId="32519" xr:uid="{DDC645BA-DED0-4AE9-A7CC-220B01633187}"/>
    <cellStyle name="Normal 2 6 2 4 7 3" xfId="32520" xr:uid="{C9B35A37-B99E-427B-85F9-D56299DAD18E}"/>
    <cellStyle name="Normal 2 6 2 4 7 4" xfId="32521" xr:uid="{E7CC4014-DB80-407C-987B-61E99214ED10}"/>
    <cellStyle name="Normal 2 6 2 4 7 5" xfId="32522" xr:uid="{CF419806-6022-423D-8750-6562632C5BEA}"/>
    <cellStyle name="Normal 2 6 2 4 8" xfId="32523" xr:uid="{8C611D64-D14A-414D-BD8A-D54A4FCB5D15}"/>
    <cellStyle name="Normal 2 6 2 4 8 2" xfId="32524" xr:uid="{784CD4E9-5242-4466-A3A3-BFC193E3B555}"/>
    <cellStyle name="Normal 2 6 2 4 8 3" xfId="32525" xr:uid="{3A6CD3B2-B9FB-412B-813E-85502E41C378}"/>
    <cellStyle name="Normal 2 6 2 4 8 4" xfId="32526" xr:uid="{2A24469F-FBC1-4FA6-ACE2-B46B3E67B0E0}"/>
    <cellStyle name="Normal 2 6 2 4 8 5" xfId="32527" xr:uid="{9B43059B-F4DD-4E21-B16C-45DF65BEA4A6}"/>
    <cellStyle name="Normal 2 6 2 4 9" xfId="32528" xr:uid="{BEB7E471-0B3C-4335-84BD-699E18D05A43}"/>
    <cellStyle name="Normal 2 6 2 5" xfId="32529" xr:uid="{622DC469-560F-47AF-809B-4FC374BA27DC}"/>
    <cellStyle name="Normal 2 6 2 5 2" xfId="32530" xr:uid="{A83181BD-5B96-4F1E-B190-84578F631C88}"/>
    <cellStyle name="Normal 2 6 2 5 2 2" xfId="32531" xr:uid="{424015D4-1661-4142-B5FE-1B1A0B447F8B}"/>
    <cellStyle name="Normal 2 6 2 5 2 3" xfId="32532" xr:uid="{35FAF5A1-DA1B-4B4F-8D89-7CD404A93CA1}"/>
    <cellStyle name="Normal 2 6 2 5 2 4" xfId="32533" xr:uid="{E575FFA9-E73A-433C-AA0B-EB5D52F6B8CF}"/>
    <cellStyle name="Normal 2 6 2 5 2 5" xfId="32534" xr:uid="{C6B7EAA9-57B8-4FD7-85BC-9F9383F7F7A3}"/>
    <cellStyle name="Normal 2 6 2 5 3" xfId="32535" xr:uid="{477BC53D-868C-4EA3-8B7D-AF7988917B22}"/>
    <cellStyle name="Normal 2 6 2 5 4" xfId="32536" xr:uid="{2F9144E9-D674-4566-A3EB-DD3FFE19A4E0}"/>
    <cellStyle name="Normal 2 6 2 5 5" xfId="32537" xr:uid="{F90B5892-02E4-4B48-AD2B-CDCA59C337D5}"/>
    <cellStyle name="Normal 2 6 2 5 6" xfId="32538" xr:uid="{D2C74E84-21BA-49AB-AEEE-C3A32D809853}"/>
    <cellStyle name="Normal 2 6 2 6" xfId="32539" xr:uid="{AF9F413E-4412-4A4E-970D-BD31EC4A68F3}"/>
    <cellStyle name="Normal 2 6 2 6 2" xfId="32540" xr:uid="{54F16942-D745-4C8A-8432-7BB9D21C4B43}"/>
    <cellStyle name="Normal 2 6 2 6 2 2" xfId="32541" xr:uid="{059D1977-03CC-4838-A8E8-759DD5D58EFA}"/>
    <cellStyle name="Normal 2 6 2 6 2 3" xfId="32542" xr:uid="{4080B010-008C-4ACF-B00B-D8A46BF0E12E}"/>
    <cellStyle name="Normal 2 6 2 6 2 4" xfId="32543" xr:uid="{08775417-3FF7-42A0-A689-614E910F50E8}"/>
    <cellStyle name="Normal 2 6 2 6 2 5" xfId="32544" xr:uid="{76E73DE0-0050-4067-BDCC-56664D726B80}"/>
    <cellStyle name="Normal 2 6 2 6 3" xfId="32545" xr:uid="{938DEB3E-1A59-4A05-A8C3-A8A58E3109B0}"/>
    <cellStyle name="Normal 2 6 2 6 4" xfId="32546" xr:uid="{31C5FA47-AA7C-48AD-8CD9-17007DFE840D}"/>
    <cellStyle name="Normal 2 6 2 6 5" xfId="32547" xr:uid="{3D1A4EDA-1596-4631-96AE-3B1DE7BA59EC}"/>
    <cellStyle name="Normal 2 6 2 6 6" xfId="32548" xr:uid="{F59BD725-9645-44A2-92F0-8E5DB142F4D0}"/>
    <cellStyle name="Normal 2 6 2 7" xfId="32549" xr:uid="{E5E28365-45F5-46DE-AAF6-4584913CFECD}"/>
    <cellStyle name="Normal 2 6 2 7 2" xfId="32550" xr:uid="{03D03456-A281-4559-8948-55934F25C6E6}"/>
    <cellStyle name="Normal 2 6 2 7 2 2" xfId="32551" xr:uid="{D3CFDBA2-AF7C-4ADC-BC9D-9DF087278D17}"/>
    <cellStyle name="Normal 2 6 2 7 2 3" xfId="32552" xr:uid="{37A7534C-302B-4282-9CD8-41CF9BBA0AE7}"/>
    <cellStyle name="Normal 2 6 2 7 2 4" xfId="32553" xr:uid="{7F2F41A9-C2FA-45DB-A96A-E6D534113E00}"/>
    <cellStyle name="Normal 2 6 2 7 2 5" xfId="32554" xr:uid="{6BBDBAB3-E751-492B-A508-E640354DCB30}"/>
    <cellStyle name="Normal 2 6 2 7 3" xfId="32555" xr:uid="{5B9D9EC1-B584-4B2A-A046-2EB1149311E2}"/>
    <cellStyle name="Normal 2 6 2 7 4" xfId="32556" xr:uid="{DD8F229D-420E-4E52-9270-B603986E9D95}"/>
    <cellStyle name="Normal 2 6 2 7 5" xfId="32557" xr:uid="{06AAA0C4-DC1F-429D-9F24-6749BA290DDC}"/>
    <cellStyle name="Normal 2 6 2 7 6" xfId="32558" xr:uid="{80F2E615-19C8-429F-BEB4-41062EA60C36}"/>
    <cellStyle name="Normal 2 6 2 8" xfId="32559" xr:uid="{0792B6CC-D5D4-4367-9C34-317B574F4C76}"/>
    <cellStyle name="Normal 2 6 2 8 2" xfId="32560" xr:uid="{3E877BDF-1B12-41DB-9A52-C67D761DCB81}"/>
    <cellStyle name="Normal 2 6 2 8 3" xfId="32561" xr:uid="{ABDD0F5A-0404-436B-B906-DABD4A03B0EE}"/>
    <cellStyle name="Normal 2 6 2 8 4" xfId="32562" xr:uid="{37FC8F6D-D5A3-4A8C-A41C-C2E36D5F4757}"/>
    <cellStyle name="Normal 2 6 2 8 5" xfId="32563" xr:uid="{CAD50350-D292-4E4E-B7BC-2DDBFB9F5AF0}"/>
    <cellStyle name="Normal 2 6 2 9" xfId="32564" xr:uid="{CF21B09A-EE65-41E4-BE51-AC474E6F70CD}"/>
    <cellStyle name="Normal 2 6 2 9 2" xfId="32565" xr:uid="{44E0D6AD-1919-4C33-BFBB-007F7AAF90BC}"/>
    <cellStyle name="Normal 2 6 2 9 3" xfId="32566" xr:uid="{34098A53-7289-4C66-9056-D024E665902B}"/>
    <cellStyle name="Normal 2 6 2 9 4" xfId="32567" xr:uid="{76AC9504-2E77-4C5C-91A0-C38EA11F7FDC}"/>
    <cellStyle name="Normal 2 6 2 9 5" xfId="32568" xr:uid="{0C1FFFC8-4C4F-42CE-BA05-C21A309AE3B1}"/>
    <cellStyle name="Normal 2 6 3" xfId="32569" xr:uid="{CD653213-0E36-40AD-9E4F-91D85E3D04A7}"/>
    <cellStyle name="Normal 2 6 3 10" xfId="32570" xr:uid="{FA5F6371-EACC-455B-BCC9-E205A3B2F42F}"/>
    <cellStyle name="Normal 2 6 3 10 2" xfId="32571" xr:uid="{744C5659-A9B1-4B2F-A546-393FFD839C86}"/>
    <cellStyle name="Normal 2 6 3 10 3" xfId="32572" xr:uid="{8F394EFA-C53E-4ED3-B9E9-E1888D0139DD}"/>
    <cellStyle name="Normal 2 6 3 10 4" xfId="32573" xr:uid="{29B8299C-7EBF-4122-A338-A1C5B8D33AB7}"/>
    <cellStyle name="Normal 2 6 3 10 5" xfId="32574" xr:uid="{B4AC6959-B07D-41D7-B21C-DD3BA05E9AB4}"/>
    <cellStyle name="Normal 2 6 3 11" xfId="32575" xr:uid="{C5702DA8-4657-43D6-96F7-4EDE28F7DA62}"/>
    <cellStyle name="Normal 2 6 3 11 2" xfId="32576" xr:uid="{B0B76EF1-6204-4D3B-9C65-AD43FC4B736F}"/>
    <cellStyle name="Normal 2 6 3 11 3" xfId="32577" xr:uid="{073AEF10-9E7E-474B-866F-31960CC4564B}"/>
    <cellStyle name="Normal 2 6 3 11 4" xfId="32578" xr:uid="{17FB3D9D-2018-435D-A9B1-4BA9B2905AC9}"/>
    <cellStyle name="Normal 2 6 3 11 5" xfId="32579" xr:uid="{47EE9D76-1283-4FD7-B610-9E644DE05392}"/>
    <cellStyle name="Normal 2 6 3 12" xfId="32580" xr:uid="{38DBDCBA-1DD6-44F5-B92F-99BB31BDABC2}"/>
    <cellStyle name="Normal 2 6 3 13" xfId="32581" xr:uid="{328FFA05-8398-4CAC-BDCE-09DF2EA20C94}"/>
    <cellStyle name="Normal 2 6 3 14" xfId="32582" xr:uid="{86E08781-F416-45B1-A4E0-0A003A3B7B9E}"/>
    <cellStyle name="Normal 2 6 3 15" xfId="32583" xr:uid="{60128D0F-3845-481F-8684-F1322CF2336B}"/>
    <cellStyle name="Normal 2 6 3 2" xfId="32584" xr:uid="{4235CC15-1F27-459B-B947-DCC780B22CEF}"/>
    <cellStyle name="Normal 2 6 3 2 10" xfId="32585" xr:uid="{F4746659-46B0-49D3-99BF-50DA627018D3}"/>
    <cellStyle name="Normal 2 6 3 2 10 2" xfId="32586" xr:uid="{16BACC49-BDBA-4677-B718-B56834E2809F}"/>
    <cellStyle name="Normal 2 6 3 2 10 3" xfId="32587" xr:uid="{317C0A09-F92C-43A7-ABD7-D33AB1735185}"/>
    <cellStyle name="Normal 2 6 3 2 10 4" xfId="32588" xr:uid="{F9CB896D-512D-4D7C-9417-9551996A1A4E}"/>
    <cellStyle name="Normal 2 6 3 2 10 5" xfId="32589" xr:uid="{F53B2E0A-F9E3-4DFC-A48C-BD8809298A18}"/>
    <cellStyle name="Normal 2 6 3 2 11" xfId="32590" xr:uid="{AF9DCCFE-E99A-422D-AC0C-3D5A48DE52A5}"/>
    <cellStyle name="Normal 2 6 3 2 12" xfId="32591" xr:uid="{462DD790-7693-4E74-B8B1-A58ED65FE956}"/>
    <cellStyle name="Normal 2 6 3 2 13" xfId="32592" xr:uid="{7B38AA53-36DA-40A2-8E2D-1023B8B97DCD}"/>
    <cellStyle name="Normal 2 6 3 2 14" xfId="32593" xr:uid="{76EB9A5F-12D9-4868-9F48-4F4CAF86958B}"/>
    <cellStyle name="Normal 2 6 3 2 2" xfId="32594" xr:uid="{66399896-FAF4-4577-AF48-5D691CFD8948}"/>
    <cellStyle name="Normal 2 6 3 2 2 10" xfId="32595" xr:uid="{64D0C476-1214-49F6-8CD0-951092687709}"/>
    <cellStyle name="Normal 2 6 3 2 2 11" xfId="32596" xr:uid="{1618E0D7-5E51-4904-B0E6-CAFE0F99D8D9}"/>
    <cellStyle name="Normal 2 6 3 2 2 12" xfId="32597" xr:uid="{A6FEE113-5C45-4C85-BB38-C7462C339DAB}"/>
    <cellStyle name="Normal 2 6 3 2 2 13" xfId="32598" xr:uid="{1F4F041A-BB8F-40B3-BF7E-C069DD943079}"/>
    <cellStyle name="Normal 2 6 3 2 2 2" xfId="32599" xr:uid="{EF042D0D-2F6C-4794-AF7E-0D7CC5E9B06C}"/>
    <cellStyle name="Normal 2 6 3 2 2 2 10" xfId="32600" xr:uid="{31D7768A-73AD-4406-AB0B-25BA5937D202}"/>
    <cellStyle name="Normal 2 6 3 2 2 2 11" xfId="32601" xr:uid="{11B86640-1DC8-40F2-B364-23F6C66E46FF}"/>
    <cellStyle name="Normal 2 6 3 2 2 2 12" xfId="32602" xr:uid="{9CD06A39-4520-454E-81BD-52FF4B05A6FE}"/>
    <cellStyle name="Normal 2 6 3 2 2 2 2" xfId="32603" xr:uid="{DB0C0BF5-598E-4319-8D37-3D93D56B8BB5}"/>
    <cellStyle name="Normal 2 6 3 2 2 2 2 2" xfId="32604" xr:uid="{9A99DE02-F217-4295-A582-5CC1B5595114}"/>
    <cellStyle name="Normal 2 6 3 2 2 2 2 2 2" xfId="32605" xr:uid="{6E571719-1E26-4518-9D35-D527BBCAF91C}"/>
    <cellStyle name="Normal 2 6 3 2 2 2 2 2 3" xfId="32606" xr:uid="{FA81A4B2-3BED-4CAD-AFCF-D4DC1C749BD2}"/>
    <cellStyle name="Normal 2 6 3 2 2 2 2 2 4" xfId="32607" xr:uid="{3AB4B3A7-0508-4028-BEB5-72CA2DD8CED3}"/>
    <cellStyle name="Normal 2 6 3 2 2 2 2 2 5" xfId="32608" xr:uid="{57403946-B6F9-4CE7-AE47-1B5E0B78B2D5}"/>
    <cellStyle name="Normal 2 6 3 2 2 2 2 3" xfId="32609" xr:uid="{986EB0AE-4976-49F4-B12E-4FE7A7C06790}"/>
    <cellStyle name="Normal 2 6 3 2 2 2 2 4" xfId="32610" xr:uid="{EC0D76C5-B075-492D-B347-93C4D109E6D2}"/>
    <cellStyle name="Normal 2 6 3 2 2 2 2 5" xfId="32611" xr:uid="{99975713-38CE-4035-8EBF-4D554D28D7A3}"/>
    <cellStyle name="Normal 2 6 3 2 2 2 2 6" xfId="32612" xr:uid="{A5F95645-D19B-45D4-BE8A-F5B77B5A5732}"/>
    <cellStyle name="Normal 2 6 3 2 2 2 3" xfId="32613" xr:uid="{4B1905F9-76A5-4B20-B45D-DC536E215C7F}"/>
    <cellStyle name="Normal 2 6 3 2 2 2 3 2" xfId="32614" xr:uid="{E16DEE82-A118-4541-AFED-62B0341F5EFC}"/>
    <cellStyle name="Normal 2 6 3 2 2 2 3 2 2" xfId="32615" xr:uid="{3A8AD6B5-B542-4602-A485-401C9F37044C}"/>
    <cellStyle name="Normal 2 6 3 2 2 2 3 2 3" xfId="32616" xr:uid="{14F2E26B-CB1F-4531-A6D0-0CA29F141E5A}"/>
    <cellStyle name="Normal 2 6 3 2 2 2 3 2 4" xfId="32617" xr:uid="{7DA33D38-B2D3-41D5-8655-11074EF561BE}"/>
    <cellStyle name="Normal 2 6 3 2 2 2 3 2 5" xfId="32618" xr:uid="{94B20B75-C457-4E1A-AF14-3A2A146B018F}"/>
    <cellStyle name="Normal 2 6 3 2 2 2 3 3" xfId="32619" xr:uid="{918CFFA0-1CF4-4EB0-BD61-A210AB5B2FD6}"/>
    <cellStyle name="Normal 2 6 3 2 2 2 3 4" xfId="32620" xr:uid="{56878535-ED6E-4689-8813-BF194FCC8E62}"/>
    <cellStyle name="Normal 2 6 3 2 2 2 3 5" xfId="32621" xr:uid="{806FDE14-5F67-4F65-B77A-C4852C0D87C4}"/>
    <cellStyle name="Normal 2 6 3 2 2 2 3 6" xfId="32622" xr:uid="{B2C2F2C5-3EB2-48F4-8B57-A1A6691E22DB}"/>
    <cellStyle name="Normal 2 6 3 2 2 2 4" xfId="32623" xr:uid="{1C1B645E-85D4-44F3-9528-0018CF818AA6}"/>
    <cellStyle name="Normal 2 6 3 2 2 2 4 2" xfId="32624" xr:uid="{DA7569A3-9DAD-4849-AE92-E750C46EA75A}"/>
    <cellStyle name="Normal 2 6 3 2 2 2 4 2 2" xfId="32625" xr:uid="{FC315D6E-A2AD-411B-B0FF-8FC5AEA8A984}"/>
    <cellStyle name="Normal 2 6 3 2 2 2 4 2 3" xfId="32626" xr:uid="{AB1FE244-EE64-42CE-AB25-95E5BD23B8D2}"/>
    <cellStyle name="Normal 2 6 3 2 2 2 4 2 4" xfId="32627" xr:uid="{353516C6-F33E-42DD-B38B-51225E64971D}"/>
    <cellStyle name="Normal 2 6 3 2 2 2 4 2 5" xfId="32628" xr:uid="{A6F16FCE-3DF7-489F-8579-2060DD71F58D}"/>
    <cellStyle name="Normal 2 6 3 2 2 2 4 3" xfId="32629" xr:uid="{8BA0A777-72A9-4DE2-AD33-C1D3C3FF2114}"/>
    <cellStyle name="Normal 2 6 3 2 2 2 4 4" xfId="32630" xr:uid="{CC1E9744-36D6-48F8-A6BF-6EC43017B54E}"/>
    <cellStyle name="Normal 2 6 3 2 2 2 4 5" xfId="32631" xr:uid="{198CEA85-F4E5-473D-9EF5-4CE8FCF3528D}"/>
    <cellStyle name="Normal 2 6 3 2 2 2 4 6" xfId="32632" xr:uid="{CCB62D93-7F80-40E0-99FE-D1D4FEB98CE3}"/>
    <cellStyle name="Normal 2 6 3 2 2 2 5" xfId="32633" xr:uid="{9FFA58D7-0B54-452F-8939-6915BC111AF0}"/>
    <cellStyle name="Normal 2 6 3 2 2 2 5 2" xfId="32634" xr:uid="{08D43FCF-FFB7-4551-8E8F-EAD9094F56E8}"/>
    <cellStyle name="Normal 2 6 3 2 2 2 5 3" xfId="32635" xr:uid="{77C1DD65-8E64-4E58-AE3F-FC2B2B24E1F4}"/>
    <cellStyle name="Normal 2 6 3 2 2 2 5 4" xfId="32636" xr:uid="{A26339BF-04E4-44A0-A498-BBF9D9F6B8C9}"/>
    <cellStyle name="Normal 2 6 3 2 2 2 5 5" xfId="32637" xr:uid="{52F28442-20DF-4412-A270-0B9E459B2C69}"/>
    <cellStyle name="Normal 2 6 3 2 2 2 6" xfId="32638" xr:uid="{431AFC89-7BFF-4944-AFED-9A4AFD15E6E2}"/>
    <cellStyle name="Normal 2 6 3 2 2 2 6 2" xfId="32639" xr:uid="{25EA1D0C-56C8-4CED-9951-C1857EDE58BF}"/>
    <cellStyle name="Normal 2 6 3 2 2 2 6 3" xfId="32640" xr:uid="{C4863CF8-3437-4C61-A11C-C1E362E95C11}"/>
    <cellStyle name="Normal 2 6 3 2 2 2 6 4" xfId="32641" xr:uid="{F72AEF06-AF29-4B8B-931A-519D30D348AC}"/>
    <cellStyle name="Normal 2 6 3 2 2 2 6 5" xfId="32642" xr:uid="{D1C8FF7E-04D6-45C3-89FE-D716890C6B5F}"/>
    <cellStyle name="Normal 2 6 3 2 2 2 7" xfId="32643" xr:uid="{DEAAECF8-5AAE-49F3-9587-5D5BD95AA175}"/>
    <cellStyle name="Normal 2 6 3 2 2 2 7 2" xfId="32644" xr:uid="{56C47CC7-545E-4B5B-A863-6395D0B9DF7B}"/>
    <cellStyle name="Normal 2 6 3 2 2 2 7 3" xfId="32645" xr:uid="{8695ACD1-CA69-4E0D-943F-89B02384EA88}"/>
    <cellStyle name="Normal 2 6 3 2 2 2 7 4" xfId="32646" xr:uid="{62703A5E-8DEB-4B72-B81B-9AD2AA7B6184}"/>
    <cellStyle name="Normal 2 6 3 2 2 2 7 5" xfId="32647" xr:uid="{64E54F16-90E5-4EE3-A2B8-D4C326FCE9B4}"/>
    <cellStyle name="Normal 2 6 3 2 2 2 8" xfId="32648" xr:uid="{10B91242-7122-4E54-8428-0566A84DE5B6}"/>
    <cellStyle name="Normal 2 6 3 2 2 2 8 2" xfId="32649" xr:uid="{E3006A1E-F1E1-452F-B43A-F8F50831DB32}"/>
    <cellStyle name="Normal 2 6 3 2 2 2 8 3" xfId="32650" xr:uid="{B764A5C8-CD8C-4676-B527-4CEEF44D757C}"/>
    <cellStyle name="Normal 2 6 3 2 2 2 8 4" xfId="32651" xr:uid="{F012D3D9-C0AF-4F2B-A450-92C9C4C4E6B6}"/>
    <cellStyle name="Normal 2 6 3 2 2 2 8 5" xfId="32652" xr:uid="{B07E9296-837E-4532-BDE9-76CF82DE4E66}"/>
    <cellStyle name="Normal 2 6 3 2 2 2 9" xfId="32653" xr:uid="{807A96B3-6C7A-4660-8EB8-6096DCE37E3E}"/>
    <cellStyle name="Normal 2 6 3 2 2 3" xfId="32654" xr:uid="{99930106-0216-49DA-B0CB-0B72DD343ACD}"/>
    <cellStyle name="Normal 2 6 3 2 2 3 2" xfId="32655" xr:uid="{061F68B9-4AF3-405B-A042-CF1D79972F49}"/>
    <cellStyle name="Normal 2 6 3 2 2 3 2 2" xfId="32656" xr:uid="{DAA971EA-DB8E-4BF5-AAC5-E86377242FC5}"/>
    <cellStyle name="Normal 2 6 3 2 2 3 2 3" xfId="32657" xr:uid="{EC2A5094-062B-474F-BB62-A2E6C99D0DED}"/>
    <cellStyle name="Normal 2 6 3 2 2 3 2 4" xfId="32658" xr:uid="{3A7BC1E9-B0D4-4778-9C8D-30E41E867F7C}"/>
    <cellStyle name="Normal 2 6 3 2 2 3 2 5" xfId="32659" xr:uid="{C243B858-02EC-4316-BD9D-354BEFBE8B8B}"/>
    <cellStyle name="Normal 2 6 3 2 2 3 3" xfId="32660" xr:uid="{E65CE965-E0C3-4A88-B2D2-3C4ACE87B4F6}"/>
    <cellStyle name="Normal 2 6 3 2 2 3 4" xfId="32661" xr:uid="{F109C6B6-6148-4EFD-A0CE-390BDC55E9FE}"/>
    <cellStyle name="Normal 2 6 3 2 2 3 5" xfId="32662" xr:uid="{D27AD103-3809-41C4-B58C-1676B083449A}"/>
    <cellStyle name="Normal 2 6 3 2 2 3 6" xfId="32663" xr:uid="{C08CB49A-1EA4-4837-B247-4DE16CEA8877}"/>
    <cellStyle name="Normal 2 6 3 2 2 4" xfId="32664" xr:uid="{A1FAC615-A14D-46FE-9F5B-5C788FB42384}"/>
    <cellStyle name="Normal 2 6 3 2 2 4 2" xfId="32665" xr:uid="{AAD2451C-95BB-411A-AEC8-2F3F472D6A02}"/>
    <cellStyle name="Normal 2 6 3 2 2 4 2 2" xfId="32666" xr:uid="{A6D8D09B-650F-41AA-9FAA-2A7E0182483C}"/>
    <cellStyle name="Normal 2 6 3 2 2 4 2 3" xfId="32667" xr:uid="{1B72293F-1EBA-4A35-9F85-E25B9A6E3483}"/>
    <cellStyle name="Normal 2 6 3 2 2 4 2 4" xfId="32668" xr:uid="{9DE64530-377E-47A0-8FD3-482B3D9D7229}"/>
    <cellStyle name="Normal 2 6 3 2 2 4 2 5" xfId="32669" xr:uid="{1DFDD29A-4EC1-45E3-BEE3-820A0DD36D6D}"/>
    <cellStyle name="Normal 2 6 3 2 2 4 3" xfId="32670" xr:uid="{FD9E1B8E-DEB6-4617-A3CE-F7A6213B59CF}"/>
    <cellStyle name="Normal 2 6 3 2 2 4 4" xfId="32671" xr:uid="{28865D89-88DE-4B07-BD13-9518C223FCCB}"/>
    <cellStyle name="Normal 2 6 3 2 2 4 5" xfId="32672" xr:uid="{30580DB6-D13C-4FBA-A427-DE40EE62D00C}"/>
    <cellStyle name="Normal 2 6 3 2 2 4 6" xfId="32673" xr:uid="{5C3895FB-B1E9-4D13-8740-20B0D7CE22EE}"/>
    <cellStyle name="Normal 2 6 3 2 2 5" xfId="32674" xr:uid="{DA97014F-D7F7-4766-89BA-22EFDC0D8331}"/>
    <cellStyle name="Normal 2 6 3 2 2 5 2" xfId="32675" xr:uid="{CFA860C7-1CD5-4432-92F1-EC5C5C6F303B}"/>
    <cellStyle name="Normal 2 6 3 2 2 5 2 2" xfId="32676" xr:uid="{6D90ACF2-6FF8-4683-89E1-B529E755F765}"/>
    <cellStyle name="Normal 2 6 3 2 2 5 2 3" xfId="32677" xr:uid="{57073A75-A805-4154-A9CB-FEEF409C0D51}"/>
    <cellStyle name="Normal 2 6 3 2 2 5 2 4" xfId="32678" xr:uid="{99224357-07E0-4F64-B0E2-B1C2A02334F1}"/>
    <cellStyle name="Normal 2 6 3 2 2 5 2 5" xfId="32679" xr:uid="{34FB4D09-9777-4E3C-A9E0-B47269D45A87}"/>
    <cellStyle name="Normal 2 6 3 2 2 5 3" xfId="32680" xr:uid="{453831C1-1420-4BDB-9076-158F22E85507}"/>
    <cellStyle name="Normal 2 6 3 2 2 5 4" xfId="32681" xr:uid="{02381E9B-D520-457A-B881-2C1F5481CDAD}"/>
    <cellStyle name="Normal 2 6 3 2 2 5 5" xfId="32682" xr:uid="{4DA6377A-86A4-4A1C-8572-C01039470147}"/>
    <cellStyle name="Normal 2 6 3 2 2 5 6" xfId="32683" xr:uid="{CE8BD1FE-A291-4C7F-8A70-CE867D57B1A7}"/>
    <cellStyle name="Normal 2 6 3 2 2 6" xfId="32684" xr:uid="{79F1ADAB-023E-402C-90B6-1149F56D4AC7}"/>
    <cellStyle name="Normal 2 6 3 2 2 6 2" xfId="32685" xr:uid="{DD5D0D61-11CB-4B02-96F1-686487EB0D82}"/>
    <cellStyle name="Normal 2 6 3 2 2 6 3" xfId="32686" xr:uid="{8BD7A483-0A94-4F0E-AD02-263FA743A8F6}"/>
    <cellStyle name="Normal 2 6 3 2 2 6 4" xfId="32687" xr:uid="{6AE8D926-027B-4578-9616-BDAAFD150DBF}"/>
    <cellStyle name="Normal 2 6 3 2 2 6 5" xfId="32688" xr:uid="{C69D1573-EC2F-4731-A674-9B8A0A28F9AF}"/>
    <cellStyle name="Normal 2 6 3 2 2 7" xfId="32689" xr:uid="{38C1E78D-683D-41FB-BC70-CC3A6FEAE711}"/>
    <cellStyle name="Normal 2 6 3 2 2 7 2" xfId="32690" xr:uid="{680133C5-D2D7-450F-BE27-4D8E6B4AC408}"/>
    <cellStyle name="Normal 2 6 3 2 2 7 3" xfId="32691" xr:uid="{F9C6782A-A2E0-4C53-8434-1972258BC04B}"/>
    <cellStyle name="Normal 2 6 3 2 2 7 4" xfId="32692" xr:uid="{7295EF67-A504-47BB-A327-8A6B4B48E5B5}"/>
    <cellStyle name="Normal 2 6 3 2 2 7 5" xfId="32693" xr:uid="{775F9FB6-A93C-4FD1-9B23-598F2DD7F51E}"/>
    <cellStyle name="Normal 2 6 3 2 2 8" xfId="32694" xr:uid="{64E8B60C-E980-4FCD-A6C3-20D0CD0EC12D}"/>
    <cellStyle name="Normal 2 6 3 2 2 8 2" xfId="32695" xr:uid="{5C9273B9-FC24-4AC2-BD1B-A9720D546BE6}"/>
    <cellStyle name="Normal 2 6 3 2 2 8 3" xfId="32696" xr:uid="{1EC1370D-4E43-42CF-B148-C969AD4CEBC9}"/>
    <cellStyle name="Normal 2 6 3 2 2 8 4" xfId="32697" xr:uid="{7BE8076F-DF3E-416D-B33E-6BB5B846F698}"/>
    <cellStyle name="Normal 2 6 3 2 2 8 5" xfId="32698" xr:uid="{40CC2B60-DC93-4792-AEAA-C3978872BD71}"/>
    <cellStyle name="Normal 2 6 3 2 2 9" xfId="32699" xr:uid="{87B90E79-8CA3-4725-AEC3-F293DF95D905}"/>
    <cellStyle name="Normal 2 6 3 2 2 9 2" xfId="32700" xr:uid="{58D657BF-9D0E-4CF8-9997-9B75EB4915D6}"/>
    <cellStyle name="Normal 2 6 3 2 2 9 3" xfId="32701" xr:uid="{26E31A36-67D5-4489-9D15-3419E3FB7644}"/>
    <cellStyle name="Normal 2 6 3 2 2 9 4" xfId="32702" xr:uid="{4EBAEDE7-270A-433B-BD78-C46FE2DBB30C}"/>
    <cellStyle name="Normal 2 6 3 2 2 9 5" xfId="32703" xr:uid="{97CF2512-2F24-4314-B94E-133DEF476029}"/>
    <cellStyle name="Normal 2 6 3 2 3" xfId="32704" xr:uid="{59E12E5B-2687-4BD5-AECA-AE33DBE8DA8D}"/>
    <cellStyle name="Normal 2 6 3 2 3 10" xfId="32705" xr:uid="{0A502ADA-6436-4281-9808-8B33D24BE3B5}"/>
    <cellStyle name="Normal 2 6 3 2 3 11" xfId="32706" xr:uid="{4C6D0ECB-38AE-484D-AC3B-8104CC56994F}"/>
    <cellStyle name="Normal 2 6 3 2 3 12" xfId="32707" xr:uid="{F0922234-1617-4845-B450-A69AF1DBD07D}"/>
    <cellStyle name="Normal 2 6 3 2 3 2" xfId="32708" xr:uid="{BC94FEF3-D242-4F0F-BDFD-888B98E85B6D}"/>
    <cellStyle name="Normal 2 6 3 2 3 2 2" xfId="32709" xr:uid="{452BF7DC-9037-4D11-A21C-8D948F9B35D9}"/>
    <cellStyle name="Normal 2 6 3 2 3 2 2 2" xfId="32710" xr:uid="{86850A5E-D5EF-4F38-B3AD-ED4703CF2F7A}"/>
    <cellStyle name="Normal 2 6 3 2 3 2 2 3" xfId="32711" xr:uid="{9F173FA2-D8DA-4A20-ADC5-1C37EF377A1F}"/>
    <cellStyle name="Normal 2 6 3 2 3 2 2 4" xfId="32712" xr:uid="{1AAB5AAC-0532-409B-BE69-0B5BCF2591FD}"/>
    <cellStyle name="Normal 2 6 3 2 3 2 2 5" xfId="32713" xr:uid="{9F14AEDD-4463-4CD9-B76B-18BB7AC31FED}"/>
    <cellStyle name="Normal 2 6 3 2 3 2 3" xfId="32714" xr:uid="{E8AD9F9E-E8C7-400B-BDF7-E1E090B60BC8}"/>
    <cellStyle name="Normal 2 6 3 2 3 2 4" xfId="32715" xr:uid="{096FC616-C155-432D-B525-A7DAE3A4BF32}"/>
    <cellStyle name="Normal 2 6 3 2 3 2 5" xfId="32716" xr:uid="{58BFD316-3741-4F14-ACD5-9EF481386CBA}"/>
    <cellStyle name="Normal 2 6 3 2 3 2 6" xfId="32717" xr:uid="{EBC65ACC-9832-44D7-8888-B7FEDA8A9FFE}"/>
    <cellStyle name="Normal 2 6 3 2 3 3" xfId="32718" xr:uid="{B9541113-AC33-41AE-8136-FA92EB3EFE2E}"/>
    <cellStyle name="Normal 2 6 3 2 3 3 2" xfId="32719" xr:uid="{EBBFF0BB-077D-4310-A719-BB2FBACEDF7C}"/>
    <cellStyle name="Normal 2 6 3 2 3 3 2 2" xfId="32720" xr:uid="{17444131-9E03-444B-BA24-6502328D742B}"/>
    <cellStyle name="Normal 2 6 3 2 3 3 2 3" xfId="32721" xr:uid="{6B4C0FDF-C454-4A9A-8FAD-CE93D3B1B14C}"/>
    <cellStyle name="Normal 2 6 3 2 3 3 2 4" xfId="32722" xr:uid="{93542671-CA2A-4C5D-987C-78AAA766C151}"/>
    <cellStyle name="Normal 2 6 3 2 3 3 2 5" xfId="32723" xr:uid="{C1DE44F4-B2D4-4FB0-A986-319A257B1FB8}"/>
    <cellStyle name="Normal 2 6 3 2 3 3 3" xfId="32724" xr:uid="{B357E31D-9203-490E-BDA7-9741738F64ED}"/>
    <cellStyle name="Normal 2 6 3 2 3 3 4" xfId="32725" xr:uid="{F2136BE9-9F6A-4202-BD17-DA26B379ABBA}"/>
    <cellStyle name="Normal 2 6 3 2 3 3 5" xfId="32726" xr:uid="{3C040165-BD0A-4EE5-9C96-7CD6BAB653C4}"/>
    <cellStyle name="Normal 2 6 3 2 3 3 6" xfId="32727" xr:uid="{B2E456B3-0056-4D54-989C-48610EFC1499}"/>
    <cellStyle name="Normal 2 6 3 2 3 4" xfId="32728" xr:uid="{23AB73CD-8B67-46D6-8933-55DC94D85B43}"/>
    <cellStyle name="Normal 2 6 3 2 3 4 2" xfId="32729" xr:uid="{7F634291-F1FF-4B95-8AFB-2C5D8FC63F1B}"/>
    <cellStyle name="Normal 2 6 3 2 3 4 2 2" xfId="32730" xr:uid="{38D42B3D-1070-4395-A2FD-69CE4E64DBF8}"/>
    <cellStyle name="Normal 2 6 3 2 3 4 2 3" xfId="32731" xr:uid="{B6CA9A60-340D-4DD5-B68D-84B1319F022B}"/>
    <cellStyle name="Normal 2 6 3 2 3 4 2 4" xfId="32732" xr:uid="{2C046471-6F0E-4391-AEBB-5AEB494198FB}"/>
    <cellStyle name="Normal 2 6 3 2 3 4 2 5" xfId="32733" xr:uid="{1205B95B-D851-4936-B908-C89FE1038B40}"/>
    <cellStyle name="Normal 2 6 3 2 3 4 3" xfId="32734" xr:uid="{667C96BF-FB99-4C2D-BFA9-6778C4CF2F08}"/>
    <cellStyle name="Normal 2 6 3 2 3 4 4" xfId="32735" xr:uid="{507F95AC-3B70-4726-8DA6-4AB3C642F23D}"/>
    <cellStyle name="Normal 2 6 3 2 3 4 5" xfId="32736" xr:uid="{A968DE9A-BAAA-4585-8943-BBC62689B2E8}"/>
    <cellStyle name="Normal 2 6 3 2 3 4 6" xfId="32737" xr:uid="{51DC6E0F-CF15-4AC1-9121-202728260F08}"/>
    <cellStyle name="Normal 2 6 3 2 3 5" xfId="32738" xr:uid="{767E2488-24B8-4010-8DD5-92904B55A7D5}"/>
    <cellStyle name="Normal 2 6 3 2 3 5 2" xfId="32739" xr:uid="{93A238DD-1395-4B83-8C42-8E8FA7C0A8D2}"/>
    <cellStyle name="Normal 2 6 3 2 3 5 3" xfId="32740" xr:uid="{4F552CEB-B924-41FE-A346-B6CB6BE9EC6E}"/>
    <cellStyle name="Normal 2 6 3 2 3 5 4" xfId="32741" xr:uid="{043CDF61-F7CF-424A-A4D1-430E0D3C93E7}"/>
    <cellStyle name="Normal 2 6 3 2 3 5 5" xfId="32742" xr:uid="{E748DBFC-A541-48D5-8A5E-C2C3068ECD77}"/>
    <cellStyle name="Normal 2 6 3 2 3 6" xfId="32743" xr:uid="{E5FF1E2D-FA09-42AF-8483-E75CA8229D8A}"/>
    <cellStyle name="Normal 2 6 3 2 3 6 2" xfId="32744" xr:uid="{0F2BCF3C-A00C-42C0-95FD-3A280808CC78}"/>
    <cellStyle name="Normal 2 6 3 2 3 6 3" xfId="32745" xr:uid="{4994E74B-B7AB-43CF-A6B2-DDCD004134A4}"/>
    <cellStyle name="Normal 2 6 3 2 3 6 4" xfId="32746" xr:uid="{9F8E33D4-48CD-443A-BB03-797A3E71F5C6}"/>
    <cellStyle name="Normal 2 6 3 2 3 6 5" xfId="32747" xr:uid="{1A40A3CE-0726-4E5E-88B7-88733B536AB6}"/>
    <cellStyle name="Normal 2 6 3 2 3 7" xfId="32748" xr:uid="{2A5B7DAB-8FBE-455C-8A2E-720BFAE7114C}"/>
    <cellStyle name="Normal 2 6 3 2 3 7 2" xfId="32749" xr:uid="{FD8BFAE2-A11D-4A8E-9D21-F8FB92DDDEB4}"/>
    <cellStyle name="Normal 2 6 3 2 3 7 3" xfId="32750" xr:uid="{1E60D791-B143-4499-A18E-9AD8177C11E7}"/>
    <cellStyle name="Normal 2 6 3 2 3 7 4" xfId="32751" xr:uid="{4446CEDA-98DF-4DAA-930B-0FF7D539F3D0}"/>
    <cellStyle name="Normal 2 6 3 2 3 7 5" xfId="32752" xr:uid="{BE631161-883D-4F29-B71B-00C48AC4AB64}"/>
    <cellStyle name="Normal 2 6 3 2 3 8" xfId="32753" xr:uid="{DAB087FD-9881-486E-B1DC-44C4F0C9E405}"/>
    <cellStyle name="Normal 2 6 3 2 3 8 2" xfId="32754" xr:uid="{6347CE39-B114-4A30-ACC4-9CF8AF113AB5}"/>
    <cellStyle name="Normal 2 6 3 2 3 8 3" xfId="32755" xr:uid="{D96FEDA3-AE0A-4027-993F-690CDE638CAF}"/>
    <cellStyle name="Normal 2 6 3 2 3 8 4" xfId="32756" xr:uid="{86EA6890-CCDC-424B-9DF9-5F2293F066BE}"/>
    <cellStyle name="Normal 2 6 3 2 3 8 5" xfId="32757" xr:uid="{D3CDE118-349C-4A62-B966-EEDFC4A959AC}"/>
    <cellStyle name="Normal 2 6 3 2 3 9" xfId="32758" xr:uid="{0C4A59F6-D1FC-40C6-8B19-3E2B27245415}"/>
    <cellStyle name="Normal 2 6 3 2 4" xfId="32759" xr:uid="{318E68FA-1099-4277-A99E-06C888A2782F}"/>
    <cellStyle name="Normal 2 6 3 2 4 2" xfId="32760" xr:uid="{17A5B8E6-2290-48CA-9BE9-6BAE22200433}"/>
    <cellStyle name="Normal 2 6 3 2 4 2 2" xfId="32761" xr:uid="{9CEFDF29-2CDE-4CF5-BCE5-72D7BB0F43F5}"/>
    <cellStyle name="Normal 2 6 3 2 4 2 3" xfId="32762" xr:uid="{F08F5AA9-1BEA-44AB-882F-0A44A0C22D9F}"/>
    <cellStyle name="Normal 2 6 3 2 4 2 4" xfId="32763" xr:uid="{F53B7CC9-2097-4B40-9B4C-A217597FB7DD}"/>
    <cellStyle name="Normal 2 6 3 2 4 2 5" xfId="32764" xr:uid="{FE4C9410-238B-436F-B674-A43B14F4E33D}"/>
    <cellStyle name="Normal 2 6 3 2 4 3" xfId="32765" xr:uid="{6D109F9B-20E6-4CF6-B87E-38B1E5B39F07}"/>
    <cellStyle name="Normal 2 6 3 2 4 4" xfId="32766" xr:uid="{9A569DB5-2FDD-4EBC-BA48-62427B811F24}"/>
    <cellStyle name="Normal 2 6 3 2 4 5" xfId="32767" xr:uid="{4F94D59C-43A1-438D-AD4E-B84E3A274DD9}"/>
    <cellStyle name="Normal 2 6 3 2 4 6" xfId="32768" xr:uid="{FBBE6A29-786C-4817-BA62-B190BF748D8D}"/>
    <cellStyle name="Normal 2 6 3 2 5" xfId="32769" xr:uid="{055C91B3-C27D-4DC1-BA7E-6B086CEBED03}"/>
    <cellStyle name="Normal 2 6 3 2 5 2" xfId="32770" xr:uid="{4B175466-F0EF-4694-96D3-3BC0CB9A17BE}"/>
    <cellStyle name="Normal 2 6 3 2 5 2 2" xfId="32771" xr:uid="{31670E8F-2119-4F61-AF5B-1AA64817CE8A}"/>
    <cellStyle name="Normal 2 6 3 2 5 2 3" xfId="32772" xr:uid="{1B3EBED6-4AE2-41A1-B119-2D0F1EF0EC38}"/>
    <cellStyle name="Normal 2 6 3 2 5 2 4" xfId="32773" xr:uid="{29FBD28A-F81B-4BDA-824B-B9E799F10BC9}"/>
    <cellStyle name="Normal 2 6 3 2 5 2 5" xfId="32774" xr:uid="{F00B5F47-C124-4313-9641-E9879B2CD12C}"/>
    <cellStyle name="Normal 2 6 3 2 5 3" xfId="32775" xr:uid="{C3054166-50E9-47FF-9F2A-0764B56F5D4A}"/>
    <cellStyle name="Normal 2 6 3 2 5 4" xfId="32776" xr:uid="{F5E8551C-CFC8-469B-8726-246D38452216}"/>
    <cellStyle name="Normal 2 6 3 2 5 5" xfId="32777" xr:uid="{FF312F56-8D78-48D6-96D1-DDD7338A5D85}"/>
    <cellStyle name="Normal 2 6 3 2 5 6" xfId="32778" xr:uid="{4D8FE1A7-A914-4FF1-867B-28DA7A4786BD}"/>
    <cellStyle name="Normal 2 6 3 2 6" xfId="32779" xr:uid="{BE30B02A-7DAF-481E-80E3-4EA2C4185B75}"/>
    <cellStyle name="Normal 2 6 3 2 6 2" xfId="32780" xr:uid="{B6DF556F-7F3B-4DDD-883D-1EDE28EDA68E}"/>
    <cellStyle name="Normal 2 6 3 2 6 2 2" xfId="32781" xr:uid="{72D8D886-161B-4484-9C52-F0D425B762B6}"/>
    <cellStyle name="Normal 2 6 3 2 6 2 3" xfId="32782" xr:uid="{B45CA863-E264-4418-80C7-C6C971FC40E0}"/>
    <cellStyle name="Normal 2 6 3 2 6 2 4" xfId="32783" xr:uid="{70170545-5C86-4EBC-AB97-F315D9949AAE}"/>
    <cellStyle name="Normal 2 6 3 2 6 2 5" xfId="32784" xr:uid="{23DD0E9D-37A3-44DE-AAC8-9FFBB0429BEA}"/>
    <cellStyle name="Normal 2 6 3 2 6 3" xfId="32785" xr:uid="{FD7D01F3-B32F-4B23-A743-5869B0D08297}"/>
    <cellStyle name="Normal 2 6 3 2 6 4" xfId="32786" xr:uid="{AE742605-F1F7-4119-8755-9860C9067464}"/>
    <cellStyle name="Normal 2 6 3 2 6 5" xfId="32787" xr:uid="{2B4D4D0D-3EBE-43BC-BA1C-C2D8F47F3644}"/>
    <cellStyle name="Normal 2 6 3 2 6 6" xfId="32788" xr:uid="{C669E9AB-96A8-4FD1-9E28-46F7F5955837}"/>
    <cellStyle name="Normal 2 6 3 2 7" xfId="32789" xr:uid="{8E7CB170-C348-4091-8562-3D842832F001}"/>
    <cellStyle name="Normal 2 6 3 2 7 2" xfId="32790" xr:uid="{6AFB678A-D52C-45BB-9941-D0664F398925}"/>
    <cellStyle name="Normal 2 6 3 2 7 3" xfId="32791" xr:uid="{D4EEA298-99E3-48DF-8F8D-D60D66267E35}"/>
    <cellStyle name="Normal 2 6 3 2 7 4" xfId="32792" xr:uid="{13DFF3DA-55C3-4F46-B37A-810D2932F60A}"/>
    <cellStyle name="Normal 2 6 3 2 7 5" xfId="32793" xr:uid="{E06889C4-5581-47FE-9636-2D0D6F75EC99}"/>
    <cellStyle name="Normal 2 6 3 2 8" xfId="32794" xr:uid="{32878B2E-F5E5-40D8-86F7-C25A970E5795}"/>
    <cellStyle name="Normal 2 6 3 2 8 2" xfId="32795" xr:uid="{FEA6F095-1E06-4E65-8E17-F1221D8480D6}"/>
    <cellStyle name="Normal 2 6 3 2 8 3" xfId="32796" xr:uid="{4FC1DA81-BF0F-4734-B2DE-188940CD4856}"/>
    <cellStyle name="Normal 2 6 3 2 8 4" xfId="32797" xr:uid="{F68C3A35-C17F-4DBF-8730-ED0E2AA3A0EF}"/>
    <cellStyle name="Normal 2 6 3 2 8 5" xfId="32798" xr:uid="{44A6CC67-3B24-4B0F-980B-3F2B61B0060D}"/>
    <cellStyle name="Normal 2 6 3 2 9" xfId="32799" xr:uid="{1BA1F2BE-32B7-4C04-AE1B-2EB5469C564A}"/>
    <cellStyle name="Normal 2 6 3 2 9 2" xfId="32800" xr:uid="{9F59A3AD-7D8A-4BE6-8818-F405E12BDDC2}"/>
    <cellStyle name="Normal 2 6 3 2 9 3" xfId="32801" xr:uid="{B0001AA8-F166-463B-ACE2-5F3C2A9FC99F}"/>
    <cellStyle name="Normal 2 6 3 2 9 4" xfId="32802" xr:uid="{85D0384C-D03A-4609-83F4-B26AB10EB9CF}"/>
    <cellStyle name="Normal 2 6 3 2 9 5" xfId="32803" xr:uid="{EBACA0A9-BE47-478B-A658-2CCA0888322D}"/>
    <cellStyle name="Normal 2 6 3 3" xfId="32804" xr:uid="{DC49D1CF-CA2E-4377-B93F-295AB639C57A}"/>
    <cellStyle name="Normal 2 6 3 3 10" xfId="32805" xr:uid="{4BCC9763-7DE8-44EC-A0B3-E3F4C0B44EBA}"/>
    <cellStyle name="Normal 2 6 3 3 11" xfId="32806" xr:uid="{D22989DE-8AD4-4D33-A2EE-AFCD3EEC1608}"/>
    <cellStyle name="Normal 2 6 3 3 12" xfId="32807" xr:uid="{0832583E-695C-4F5E-8AB0-591C9449F325}"/>
    <cellStyle name="Normal 2 6 3 3 13" xfId="32808" xr:uid="{382C7AB9-EA19-4D28-A584-1FF69C722702}"/>
    <cellStyle name="Normal 2 6 3 3 2" xfId="32809" xr:uid="{6D68DD6E-B8C4-408C-8638-4F07DB508F0A}"/>
    <cellStyle name="Normal 2 6 3 3 2 10" xfId="32810" xr:uid="{BA04EB0C-9891-4F92-B8A2-09AF131F0758}"/>
    <cellStyle name="Normal 2 6 3 3 2 11" xfId="32811" xr:uid="{654DDCBD-3AE2-4915-B1DD-41FB0F382B51}"/>
    <cellStyle name="Normal 2 6 3 3 2 12" xfId="32812" xr:uid="{FA318B88-0A9A-4468-9215-D7EB208FA7D6}"/>
    <cellStyle name="Normal 2 6 3 3 2 2" xfId="32813" xr:uid="{F82772E9-3BE5-41BA-ADF0-4B1AAEB7A42F}"/>
    <cellStyle name="Normal 2 6 3 3 2 2 2" xfId="32814" xr:uid="{2C42D76D-20CF-4160-A285-65749BBD22DF}"/>
    <cellStyle name="Normal 2 6 3 3 2 2 2 2" xfId="32815" xr:uid="{7E71BBE3-65B5-4F50-8BB4-129819F77BE1}"/>
    <cellStyle name="Normal 2 6 3 3 2 2 2 3" xfId="32816" xr:uid="{637A799B-3EAF-46BF-BCE7-63E3DD55896C}"/>
    <cellStyle name="Normal 2 6 3 3 2 2 2 4" xfId="32817" xr:uid="{4FF375D0-1BA3-4EA1-90D2-82461B9880A0}"/>
    <cellStyle name="Normal 2 6 3 3 2 2 2 5" xfId="32818" xr:uid="{E3026C4F-9C03-4933-BACE-59377FF3FC96}"/>
    <cellStyle name="Normal 2 6 3 3 2 2 3" xfId="32819" xr:uid="{A703BE06-93B5-4351-8BFE-876E5FBC83F8}"/>
    <cellStyle name="Normal 2 6 3 3 2 2 4" xfId="32820" xr:uid="{BD634A37-F856-4BBD-96D8-33C07CD34619}"/>
    <cellStyle name="Normal 2 6 3 3 2 2 5" xfId="32821" xr:uid="{95BD5916-6DA8-4646-BE8C-255DF75A77E0}"/>
    <cellStyle name="Normal 2 6 3 3 2 2 6" xfId="32822" xr:uid="{E99FB4D9-82FC-4C91-B245-F49A0B24E6F9}"/>
    <cellStyle name="Normal 2 6 3 3 2 3" xfId="32823" xr:uid="{35F49A15-D537-4646-84FE-CD7FD528ED66}"/>
    <cellStyle name="Normal 2 6 3 3 2 3 2" xfId="32824" xr:uid="{B4F53AF0-65FF-4A12-B406-88E4CE6D204E}"/>
    <cellStyle name="Normal 2 6 3 3 2 3 2 2" xfId="32825" xr:uid="{11A4DF84-65D9-4286-83D4-D23C2132882C}"/>
    <cellStyle name="Normal 2 6 3 3 2 3 2 3" xfId="32826" xr:uid="{EE1F9CFA-6631-4168-8090-8E38E39FE6FF}"/>
    <cellStyle name="Normal 2 6 3 3 2 3 2 4" xfId="32827" xr:uid="{EBA764E0-97F9-4802-89B2-840A5010C93A}"/>
    <cellStyle name="Normal 2 6 3 3 2 3 2 5" xfId="32828" xr:uid="{463B893A-C21C-45A6-A7D2-B9C6B95607AD}"/>
    <cellStyle name="Normal 2 6 3 3 2 3 3" xfId="32829" xr:uid="{9AF3C59B-7324-4C1C-97E1-CEC6F1FD753D}"/>
    <cellStyle name="Normal 2 6 3 3 2 3 4" xfId="32830" xr:uid="{915A7DF8-B415-4415-BB37-555DC214F912}"/>
    <cellStyle name="Normal 2 6 3 3 2 3 5" xfId="32831" xr:uid="{D39F0516-34D3-4B3B-B3E4-78D6EED3D189}"/>
    <cellStyle name="Normal 2 6 3 3 2 3 6" xfId="32832" xr:uid="{05CFAC0D-BF00-46C4-9362-72D62B7F7E55}"/>
    <cellStyle name="Normal 2 6 3 3 2 4" xfId="32833" xr:uid="{DB914203-9A6F-4190-AB20-6C7061FED9A7}"/>
    <cellStyle name="Normal 2 6 3 3 2 4 2" xfId="32834" xr:uid="{A5595F56-BC48-4298-BB17-9AC8756AC08A}"/>
    <cellStyle name="Normal 2 6 3 3 2 4 2 2" xfId="32835" xr:uid="{D3EA4D4B-06FA-43EA-BC67-59BD25328697}"/>
    <cellStyle name="Normal 2 6 3 3 2 4 2 3" xfId="32836" xr:uid="{22D34DBB-BE0A-4490-8D5B-679B0EF04D5D}"/>
    <cellStyle name="Normal 2 6 3 3 2 4 2 4" xfId="32837" xr:uid="{D7E11C04-6F58-4715-8443-B3EF1DFBC574}"/>
    <cellStyle name="Normal 2 6 3 3 2 4 2 5" xfId="32838" xr:uid="{4257D485-00C7-47DB-B708-8E5BF04B7E26}"/>
    <cellStyle name="Normal 2 6 3 3 2 4 3" xfId="32839" xr:uid="{EF2D05F9-D7CD-41D8-81B6-0989A331916A}"/>
    <cellStyle name="Normal 2 6 3 3 2 4 4" xfId="32840" xr:uid="{00EB74EB-AEEE-42F2-BCE0-7CAB18DD5B5A}"/>
    <cellStyle name="Normal 2 6 3 3 2 4 5" xfId="32841" xr:uid="{2B608717-8963-4ABE-9831-1760D05F78F7}"/>
    <cellStyle name="Normal 2 6 3 3 2 4 6" xfId="32842" xr:uid="{E0F60994-0139-4887-AFA6-FE03CCE07E84}"/>
    <cellStyle name="Normal 2 6 3 3 2 5" xfId="32843" xr:uid="{618CB93E-E26F-4F9A-B44D-8DEBF6E4FCA8}"/>
    <cellStyle name="Normal 2 6 3 3 2 5 2" xfId="32844" xr:uid="{10F5584D-E2B4-4FF6-A8CB-5F89DF79A935}"/>
    <cellStyle name="Normal 2 6 3 3 2 5 3" xfId="32845" xr:uid="{8E1B6058-898E-40C2-A195-4D3D23A0B14F}"/>
    <cellStyle name="Normal 2 6 3 3 2 5 4" xfId="32846" xr:uid="{996FD958-EE2C-4F49-8783-888552B02001}"/>
    <cellStyle name="Normal 2 6 3 3 2 5 5" xfId="32847" xr:uid="{B665A1B8-2BB6-440D-9729-D2A9D0F2CAF4}"/>
    <cellStyle name="Normal 2 6 3 3 2 6" xfId="32848" xr:uid="{33105329-2A23-4166-A97B-94F16E944BB2}"/>
    <cellStyle name="Normal 2 6 3 3 2 6 2" xfId="32849" xr:uid="{E28CE0D5-D6FE-4527-AF8F-5499EB70EDFE}"/>
    <cellStyle name="Normal 2 6 3 3 2 6 3" xfId="32850" xr:uid="{C49A0836-96F3-463F-A9D3-E980DED96CC7}"/>
    <cellStyle name="Normal 2 6 3 3 2 6 4" xfId="32851" xr:uid="{EF6BF759-BA22-41CE-A991-B5C64F70EA72}"/>
    <cellStyle name="Normal 2 6 3 3 2 6 5" xfId="32852" xr:uid="{0CDBA239-AB4B-45C2-962F-8514D7115C79}"/>
    <cellStyle name="Normal 2 6 3 3 2 7" xfId="32853" xr:uid="{DA59254F-547A-4C44-A2B4-F714E4D6563F}"/>
    <cellStyle name="Normal 2 6 3 3 2 7 2" xfId="32854" xr:uid="{895CA4A0-02AD-48B6-9DEB-1F94925E1942}"/>
    <cellStyle name="Normal 2 6 3 3 2 7 3" xfId="32855" xr:uid="{EC9C845B-88C2-4EA2-85BA-3B5FF9CA254C}"/>
    <cellStyle name="Normal 2 6 3 3 2 7 4" xfId="32856" xr:uid="{9A16CB3F-A2EE-4AC7-8180-408F5833611D}"/>
    <cellStyle name="Normal 2 6 3 3 2 7 5" xfId="32857" xr:uid="{0A60CBE0-1E2F-461E-867C-01DC737D9C97}"/>
    <cellStyle name="Normal 2 6 3 3 2 8" xfId="32858" xr:uid="{5C65A1D8-4A85-40DC-B4A7-E9022D1B5838}"/>
    <cellStyle name="Normal 2 6 3 3 2 8 2" xfId="32859" xr:uid="{16D655B8-4948-4EBD-B88F-AA2F61B1D323}"/>
    <cellStyle name="Normal 2 6 3 3 2 8 3" xfId="32860" xr:uid="{5992A6D0-59ED-4CB8-A263-E475BED6002B}"/>
    <cellStyle name="Normal 2 6 3 3 2 8 4" xfId="32861" xr:uid="{9B370128-282E-484B-939E-48F801E88B83}"/>
    <cellStyle name="Normal 2 6 3 3 2 8 5" xfId="32862" xr:uid="{D78CDA7C-ACFA-46F0-95CC-BC739393770F}"/>
    <cellStyle name="Normal 2 6 3 3 2 9" xfId="32863" xr:uid="{2619BDAE-5E97-4DC6-A52E-2D21AC074F57}"/>
    <cellStyle name="Normal 2 6 3 3 3" xfId="32864" xr:uid="{9D1C87D3-55F5-4F7E-ACFD-EAF29731AD8B}"/>
    <cellStyle name="Normal 2 6 3 3 3 2" xfId="32865" xr:uid="{FA20D352-22D7-432D-9BEF-EC18349CC4C7}"/>
    <cellStyle name="Normal 2 6 3 3 3 2 2" xfId="32866" xr:uid="{73E8F46A-3163-4C64-A66A-06B91A5010B1}"/>
    <cellStyle name="Normal 2 6 3 3 3 2 3" xfId="32867" xr:uid="{EA00DE43-CF73-4BC7-9505-CE9B4B4B2D80}"/>
    <cellStyle name="Normal 2 6 3 3 3 2 4" xfId="32868" xr:uid="{82662428-9777-4F31-B838-821B4FDE8E01}"/>
    <cellStyle name="Normal 2 6 3 3 3 2 5" xfId="32869" xr:uid="{F760AC79-CAF7-4AAC-A560-DB62F9076822}"/>
    <cellStyle name="Normal 2 6 3 3 3 3" xfId="32870" xr:uid="{6DB371CC-3C7C-4928-A0B4-6C069288EB93}"/>
    <cellStyle name="Normal 2 6 3 3 3 4" xfId="32871" xr:uid="{612FCD0D-DEAE-4F0B-8067-C79826EACEEA}"/>
    <cellStyle name="Normal 2 6 3 3 3 5" xfId="32872" xr:uid="{D9BDDBB7-C022-4D00-B498-986A4A48E32E}"/>
    <cellStyle name="Normal 2 6 3 3 3 6" xfId="32873" xr:uid="{70170173-D8D3-47A0-ACE0-DC761EDD35B0}"/>
    <cellStyle name="Normal 2 6 3 3 4" xfId="32874" xr:uid="{1F130D3F-5D7D-4071-8312-9505371E0686}"/>
    <cellStyle name="Normal 2 6 3 3 4 2" xfId="32875" xr:uid="{12AEE945-A7F5-4EC3-8067-6DCDB6B43AFB}"/>
    <cellStyle name="Normal 2 6 3 3 4 2 2" xfId="32876" xr:uid="{386A2692-4010-46B3-AB09-1EFF90580F7A}"/>
    <cellStyle name="Normal 2 6 3 3 4 2 3" xfId="32877" xr:uid="{B5911CD3-9571-4922-9FC5-1B605F47CAE4}"/>
    <cellStyle name="Normal 2 6 3 3 4 2 4" xfId="32878" xr:uid="{BE5E51B7-70B0-4BB2-BB98-3D06BDA40116}"/>
    <cellStyle name="Normal 2 6 3 3 4 2 5" xfId="32879" xr:uid="{48362FA9-F764-49C7-9C41-98D2F12BF651}"/>
    <cellStyle name="Normal 2 6 3 3 4 3" xfId="32880" xr:uid="{8CC8E191-0664-491B-BD58-482C4DE1A668}"/>
    <cellStyle name="Normal 2 6 3 3 4 4" xfId="32881" xr:uid="{315E3727-6F9D-47DD-ADD2-04BEB0050AC8}"/>
    <cellStyle name="Normal 2 6 3 3 4 5" xfId="32882" xr:uid="{5FA73393-2082-4516-9E22-8C35237A4B98}"/>
    <cellStyle name="Normal 2 6 3 3 4 6" xfId="32883" xr:uid="{756C2E65-1F37-40DD-92DD-5AE59A36B359}"/>
    <cellStyle name="Normal 2 6 3 3 5" xfId="32884" xr:uid="{CE0044DB-D66C-44D8-929B-5A79BA33CF07}"/>
    <cellStyle name="Normal 2 6 3 3 5 2" xfId="32885" xr:uid="{6C200026-D4CB-4CE2-A9EC-CDF75C42D31C}"/>
    <cellStyle name="Normal 2 6 3 3 5 2 2" xfId="32886" xr:uid="{BF1F21AB-A03B-44D1-AEEB-D5A81834AB86}"/>
    <cellStyle name="Normal 2 6 3 3 5 2 3" xfId="32887" xr:uid="{4DD177FB-3907-429D-BEB7-1B34B6E39399}"/>
    <cellStyle name="Normal 2 6 3 3 5 2 4" xfId="32888" xr:uid="{65B267E0-388B-4D42-B403-05B064D5F873}"/>
    <cellStyle name="Normal 2 6 3 3 5 2 5" xfId="32889" xr:uid="{45D9B143-2465-4233-A3A5-710BC04BD4E4}"/>
    <cellStyle name="Normal 2 6 3 3 5 3" xfId="32890" xr:uid="{89EADD9F-2691-4EA0-8A70-3456CB3EE7A1}"/>
    <cellStyle name="Normal 2 6 3 3 5 4" xfId="32891" xr:uid="{8C87288C-82CF-48E6-A828-8EBC3E3E2D6C}"/>
    <cellStyle name="Normal 2 6 3 3 5 5" xfId="32892" xr:uid="{EB53757C-0A9C-4E4B-8907-29E8D57680F7}"/>
    <cellStyle name="Normal 2 6 3 3 5 6" xfId="32893" xr:uid="{2E6CB036-6F7D-46F4-A05B-550AE232F7ED}"/>
    <cellStyle name="Normal 2 6 3 3 6" xfId="32894" xr:uid="{AFB6D531-A6BF-47F0-AB00-3A52AC817D00}"/>
    <cellStyle name="Normal 2 6 3 3 6 2" xfId="32895" xr:uid="{1E2943FE-288E-4A06-A0CE-D243AC63A46E}"/>
    <cellStyle name="Normal 2 6 3 3 6 3" xfId="32896" xr:uid="{655201C5-F693-4A61-ACDD-3ED3A8665EEA}"/>
    <cellStyle name="Normal 2 6 3 3 6 4" xfId="32897" xr:uid="{571F3F8F-A909-4CF9-BFE1-824AED735339}"/>
    <cellStyle name="Normal 2 6 3 3 6 5" xfId="32898" xr:uid="{4F34C258-CA2C-4592-911D-6D9A2C5CB829}"/>
    <cellStyle name="Normal 2 6 3 3 7" xfId="32899" xr:uid="{AF2201D4-CE37-42B1-B2BA-9E64E9D34F21}"/>
    <cellStyle name="Normal 2 6 3 3 7 2" xfId="32900" xr:uid="{9D8EB60A-8475-4EBF-B39D-38102072D5DC}"/>
    <cellStyle name="Normal 2 6 3 3 7 3" xfId="32901" xr:uid="{867108E2-4004-4848-B165-ADED3B944CFB}"/>
    <cellStyle name="Normal 2 6 3 3 7 4" xfId="32902" xr:uid="{D72FF0CA-A106-4758-BCC8-DB6D43384AE5}"/>
    <cellStyle name="Normal 2 6 3 3 7 5" xfId="32903" xr:uid="{65BE30FB-AAE6-404D-84D0-7F513839EB0C}"/>
    <cellStyle name="Normal 2 6 3 3 8" xfId="32904" xr:uid="{93403D72-9D6F-4D6C-BFE2-68D1BF97C94C}"/>
    <cellStyle name="Normal 2 6 3 3 8 2" xfId="32905" xr:uid="{52F2F461-196B-40E8-A360-BB213F959423}"/>
    <cellStyle name="Normal 2 6 3 3 8 3" xfId="32906" xr:uid="{345D4EE0-7B54-4F2E-A996-F3907A854364}"/>
    <cellStyle name="Normal 2 6 3 3 8 4" xfId="32907" xr:uid="{2439FE9B-078F-43F1-86D4-1F64569AE370}"/>
    <cellStyle name="Normal 2 6 3 3 8 5" xfId="32908" xr:uid="{BD1C8EE1-C384-4AA6-A18E-E3F25E469064}"/>
    <cellStyle name="Normal 2 6 3 3 9" xfId="32909" xr:uid="{D54C10C2-074E-493C-A8D8-13F5E360D362}"/>
    <cellStyle name="Normal 2 6 3 3 9 2" xfId="32910" xr:uid="{277C11AA-812F-4244-AB07-FCCD56EC145A}"/>
    <cellStyle name="Normal 2 6 3 3 9 3" xfId="32911" xr:uid="{587D7150-21AA-4F44-8215-C0118A62584E}"/>
    <cellStyle name="Normal 2 6 3 3 9 4" xfId="32912" xr:uid="{0C9B5338-E634-48E8-B456-02393CE983D5}"/>
    <cellStyle name="Normal 2 6 3 3 9 5" xfId="32913" xr:uid="{64C952A5-F666-4F4D-9562-5CA794E03118}"/>
    <cellStyle name="Normal 2 6 3 4" xfId="32914" xr:uid="{11C49783-CFDD-463E-A42D-AB4245C3EA39}"/>
    <cellStyle name="Normal 2 6 3 4 10" xfId="32915" xr:uid="{16D31182-1E0B-4842-B9BD-9E68B2E955A4}"/>
    <cellStyle name="Normal 2 6 3 4 11" xfId="32916" xr:uid="{A5FC5C24-D791-47CE-8DB5-D532627381AA}"/>
    <cellStyle name="Normal 2 6 3 4 12" xfId="32917" xr:uid="{1A28C20D-E86B-449D-87DE-2AFE326EB617}"/>
    <cellStyle name="Normal 2 6 3 4 2" xfId="32918" xr:uid="{91EF341C-5829-48A5-945F-9B39D349D83C}"/>
    <cellStyle name="Normal 2 6 3 4 2 2" xfId="32919" xr:uid="{23E58CE9-CBA4-468A-B09C-F49B775D9D2B}"/>
    <cellStyle name="Normal 2 6 3 4 2 2 2" xfId="32920" xr:uid="{8F6F6E50-BAE8-49FB-8CCB-3FF2695E7C4B}"/>
    <cellStyle name="Normal 2 6 3 4 2 2 3" xfId="32921" xr:uid="{F5FDE23B-B26C-4248-86BF-35392784652B}"/>
    <cellStyle name="Normal 2 6 3 4 2 2 4" xfId="32922" xr:uid="{3BADAEF7-AE6B-4295-918D-A402000D83B4}"/>
    <cellStyle name="Normal 2 6 3 4 2 2 5" xfId="32923" xr:uid="{B5F1D0CE-EA0F-43B9-B5BD-D1106DA1AB8A}"/>
    <cellStyle name="Normal 2 6 3 4 2 3" xfId="32924" xr:uid="{03817F54-482A-468C-8528-1147CA13CC40}"/>
    <cellStyle name="Normal 2 6 3 4 2 4" xfId="32925" xr:uid="{2A285CCB-BA33-4EE7-8550-A7433A50712D}"/>
    <cellStyle name="Normal 2 6 3 4 2 5" xfId="32926" xr:uid="{9E82A90D-E4D9-4604-BD88-5926B0D50140}"/>
    <cellStyle name="Normal 2 6 3 4 2 6" xfId="32927" xr:uid="{C6D30BE0-AE57-431D-95D3-4896E98882AF}"/>
    <cellStyle name="Normal 2 6 3 4 3" xfId="32928" xr:uid="{14389046-5092-4846-BBDA-848D2BBD3F86}"/>
    <cellStyle name="Normal 2 6 3 4 3 2" xfId="32929" xr:uid="{73E7BE58-FEB3-4CFA-9C8C-F7306A2E2742}"/>
    <cellStyle name="Normal 2 6 3 4 3 2 2" xfId="32930" xr:uid="{F2AEA813-EAB9-4F48-9577-134A2F6B7BFB}"/>
    <cellStyle name="Normal 2 6 3 4 3 2 3" xfId="32931" xr:uid="{0C8FC5DF-F70A-4A53-9B12-1749AD2D4DC0}"/>
    <cellStyle name="Normal 2 6 3 4 3 2 4" xfId="32932" xr:uid="{3838E97A-F285-4A88-9A91-FA047E843182}"/>
    <cellStyle name="Normal 2 6 3 4 3 2 5" xfId="32933" xr:uid="{1E2CC8AE-3D00-458A-9465-AF73EB00A6C5}"/>
    <cellStyle name="Normal 2 6 3 4 3 3" xfId="32934" xr:uid="{A465C9F4-5F18-4F64-897F-AD948275BCEA}"/>
    <cellStyle name="Normal 2 6 3 4 3 4" xfId="32935" xr:uid="{A34D9B16-9C19-44D4-9101-717B28E36EF3}"/>
    <cellStyle name="Normal 2 6 3 4 3 5" xfId="32936" xr:uid="{167CE4B2-6256-4C51-9E0B-00ED5BB1B1D2}"/>
    <cellStyle name="Normal 2 6 3 4 3 6" xfId="32937" xr:uid="{8E7AE88F-74EA-4EF4-8241-6EB0E1257B1D}"/>
    <cellStyle name="Normal 2 6 3 4 4" xfId="32938" xr:uid="{A1D9CC28-DA4E-43EA-996C-C684AB94D677}"/>
    <cellStyle name="Normal 2 6 3 4 4 2" xfId="32939" xr:uid="{36CCFA2A-99FB-4D99-9F9D-7F94D65D808E}"/>
    <cellStyle name="Normal 2 6 3 4 4 2 2" xfId="32940" xr:uid="{22910743-BA9E-4640-92A6-7B44A8A63672}"/>
    <cellStyle name="Normal 2 6 3 4 4 2 3" xfId="32941" xr:uid="{CC6CA764-3CBF-4E21-B7E9-E413E4D1692D}"/>
    <cellStyle name="Normal 2 6 3 4 4 2 4" xfId="32942" xr:uid="{C5FD3A80-5E2D-45F3-A13A-3FDEC3A754B4}"/>
    <cellStyle name="Normal 2 6 3 4 4 2 5" xfId="32943" xr:uid="{E1D1A646-84B3-48BD-B14B-DD84B4D3A5BD}"/>
    <cellStyle name="Normal 2 6 3 4 4 3" xfId="32944" xr:uid="{5E53BC30-BD92-4A59-A904-E8C573B722F3}"/>
    <cellStyle name="Normal 2 6 3 4 4 4" xfId="32945" xr:uid="{AF28CFA2-715D-470C-BDA1-744CBC711D82}"/>
    <cellStyle name="Normal 2 6 3 4 4 5" xfId="32946" xr:uid="{2FB2CFCA-BB26-40F7-9F73-895A10B07308}"/>
    <cellStyle name="Normal 2 6 3 4 4 6" xfId="32947" xr:uid="{B064E918-859D-42D1-A304-D18244A23B71}"/>
    <cellStyle name="Normal 2 6 3 4 5" xfId="32948" xr:uid="{B25A66C5-504A-4B3C-A99E-5CA677AB1F4A}"/>
    <cellStyle name="Normal 2 6 3 4 5 2" xfId="32949" xr:uid="{B8A0A102-B233-4C37-B141-B4BEC0F62FEA}"/>
    <cellStyle name="Normal 2 6 3 4 5 3" xfId="32950" xr:uid="{A8A25621-4AB8-4463-9491-CFBC48F5CC75}"/>
    <cellStyle name="Normal 2 6 3 4 5 4" xfId="32951" xr:uid="{02B780D7-8577-4F2A-AEED-FE687CE9FF11}"/>
    <cellStyle name="Normal 2 6 3 4 5 5" xfId="32952" xr:uid="{538D9560-2E6A-4688-A035-4A701811082F}"/>
    <cellStyle name="Normal 2 6 3 4 6" xfId="32953" xr:uid="{8CC3FC0B-43A1-4509-9066-E3BC812E02B3}"/>
    <cellStyle name="Normal 2 6 3 4 6 2" xfId="32954" xr:uid="{C0FCD68B-D366-4C61-A88D-487C311B47D5}"/>
    <cellStyle name="Normal 2 6 3 4 6 3" xfId="32955" xr:uid="{A034BACB-F312-47C2-BF7F-1D0077A531B6}"/>
    <cellStyle name="Normal 2 6 3 4 6 4" xfId="32956" xr:uid="{3BF808C6-928B-420D-8B31-71F795787183}"/>
    <cellStyle name="Normal 2 6 3 4 6 5" xfId="32957" xr:uid="{A220361F-C904-44D8-AA1B-EBB1819880AF}"/>
    <cellStyle name="Normal 2 6 3 4 7" xfId="32958" xr:uid="{888047EF-3BDC-4817-BD50-7E40C55D0F77}"/>
    <cellStyle name="Normal 2 6 3 4 7 2" xfId="32959" xr:uid="{D9008D5E-B4B4-432F-881D-908C6D32A57D}"/>
    <cellStyle name="Normal 2 6 3 4 7 3" xfId="32960" xr:uid="{AA72D031-F021-4FE1-88DC-1E447877F4ED}"/>
    <cellStyle name="Normal 2 6 3 4 7 4" xfId="32961" xr:uid="{D72BF81E-6259-41F8-B2D5-CF1BCE921519}"/>
    <cellStyle name="Normal 2 6 3 4 7 5" xfId="32962" xr:uid="{CB6C7F00-EA8F-4F28-8A29-2F8997129DC0}"/>
    <cellStyle name="Normal 2 6 3 4 8" xfId="32963" xr:uid="{B2F5E919-D669-4807-806E-56CDF008733E}"/>
    <cellStyle name="Normal 2 6 3 4 8 2" xfId="32964" xr:uid="{7B8671E0-8848-4CC3-B7D7-B9925384F013}"/>
    <cellStyle name="Normal 2 6 3 4 8 3" xfId="32965" xr:uid="{08FAD72E-8514-4332-BABE-E566DBF25F76}"/>
    <cellStyle name="Normal 2 6 3 4 8 4" xfId="32966" xr:uid="{D4321A25-04F7-425B-B8E2-57D501C9ADC5}"/>
    <cellStyle name="Normal 2 6 3 4 8 5" xfId="32967" xr:uid="{7809F8B7-57C2-4C84-8D93-DE2EF47347CE}"/>
    <cellStyle name="Normal 2 6 3 4 9" xfId="32968" xr:uid="{7DB0D56F-0F2A-42D3-B82B-16AF6925A116}"/>
    <cellStyle name="Normal 2 6 3 5" xfId="32969" xr:uid="{7ACF2035-EA78-488A-BAB6-F655C6BE9FC3}"/>
    <cellStyle name="Normal 2 6 3 5 2" xfId="32970" xr:uid="{4C0D8310-E743-41A1-91B2-E67DC0522CB1}"/>
    <cellStyle name="Normal 2 6 3 5 2 2" xfId="32971" xr:uid="{A4D2BFC9-6852-4A95-9807-F5B5D8250810}"/>
    <cellStyle name="Normal 2 6 3 5 2 3" xfId="32972" xr:uid="{35848C12-EEED-4011-ADA5-65DA85AD05EE}"/>
    <cellStyle name="Normal 2 6 3 5 2 4" xfId="32973" xr:uid="{F17E3891-37FD-4260-BA3B-887FD61781D4}"/>
    <cellStyle name="Normal 2 6 3 5 2 5" xfId="32974" xr:uid="{1AB9811A-10EA-4A6E-8F7A-0995F270F638}"/>
    <cellStyle name="Normal 2 6 3 5 3" xfId="32975" xr:uid="{338AA631-21FD-4676-B093-60C55A84D97C}"/>
    <cellStyle name="Normal 2 6 3 5 4" xfId="32976" xr:uid="{1FB246F8-6E6E-4615-8D41-901199348995}"/>
    <cellStyle name="Normal 2 6 3 5 5" xfId="32977" xr:uid="{221A5513-C96A-45DE-B830-BDFCA43639BA}"/>
    <cellStyle name="Normal 2 6 3 5 6" xfId="32978" xr:uid="{47B97219-9FE3-4FC4-A19F-74232E8E046E}"/>
    <cellStyle name="Normal 2 6 3 6" xfId="32979" xr:uid="{1DC38811-5D17-4D92-AC22-32D1040CCAF5}"/>
    <cellStyle name="Normal 2 6 3 6 2" xfId="32980" xr:uid="{DE4BD8CD-0BD0-4EA2-88C9-65848DACDAD1}"/>
    <cellStyle name="Normal 2 6 3 6 2 2" xfId="32981" xr:uid="{779A5E11-414B-4EA2-BDB9-A3EA39DDFC00}"/>
    <cellStyle name="Normal 2 6 3 6 2 3" xfId="32982" xr:uid="{0D8611C0-5D78-49A8-9B6A-9F81B58992FB}"/>
    <cellStyle name="Normal 2 6 3 6 2 4" xfId="32983" xr:uid="{CF0004D4-47E7-4191-BA63-32156CD799CF}"/>
    <cellStyle name="Normal 2 6 3 6 2 5" xfId="32984" xr:uid="{1AD1E270-BEA2-4A14-A7D3-02FC390D1194}"/>
    <cellStyle name="Normal 2 6 3 6 3" xfId="32985" xr:uid="{261B6DF7-43BC-46FE-8961-1DC1C36E9A97}"/>
    <cellStyle name="Normal 2 6 3 6 4" xfId="32986" xr:uid="{E1871F9C-5BD8-4884-BF23-E9CDCE6070E6}"/>
    <cellStyle name="Normal 2 6 3 6 5" xfId="32987" xr:uid="{324C00D0-1ADE-4EAA-B84D-129A0DDEE6C2}"/>
    <cellStyle name="Normal 2 6 3 6 6" xfId="32988" xr:uid="{057BBF42-6E70-4AC4-B2F2-D8AC90207477}"/>
    <cellStyle name="Normal 2 6 3 7" xfId="32989" xr:uid="{0CEA99DB-D76E-45E0-8609-0DF1D6C03D08}"/>
    <cellStyle name="Normal 2 6 3 7 2" xfId="32990" xr:uid="{330C8FDD-9B18-4E0B-A93B-B2B6C6BF4591}"/>
    <cellStyle name="Normal 2 6 3 7 2 2" xfId="32991" xr:uid="{B8AE11E3-ED6F-469F-8C54-415D16E0F38E}"/>
    <cellStyle name="Normal 2 6 3 7 2 3" xfId="32992" xr:uid="{E0C0F57C-3A3D-40FB-8506-F6751BD01D59}"/>
    <cellStyle name="Normal 2 6 3 7 2 4" xfId="32993" xr:uid="{B1897884-2672-44FF-968F-129D2D14B150}"/>
    <cellStyle name="Normal 2 6 3 7 2 5" xfId="32994" xr:uid="{505EC97E-B4B0-4AB6-BC03-5E01D909E7C2}"/>
    <cellStyle name="Normal 2 6 3 7 3" xfId="32995" xr:uid="{8809C505-C647-458C-B7FA-52459972183B}"/>
    <cellStyle name="Normal 2 6 3 7 4" xfId="32996" xr:uid="{4FB2D5B4-5CD7-4085-8721-4D47F362C4AE}"/>
    <cellStyle name="Normal 2 6 3 7 5" xfId="32997" xr:uid="{28A03660-AF42-4609-82FA-C35177D33B7B}"/>
    <cellStyle name="Normal 2 6 3 7 6" xfId="32998" xr:uid="{0391A7FE-AE57-4A1B-AF57-10259776113F}"/>
    <cellStyle name="Normal 2 6 3 8" xfId="32999" xr:uid="{DA57DAEA-4DEF-4DA9-9590-A64997340D3F}"/>
    <cellStyle name="Normal 2 6 3 8 2" xfId="33000" xr:uid="{C75FD479-5B14-40BD-B859-4F11A9E2B1EF}"/>
    <cellStyle name="Normal 2 6 3 8 3" xfId="33001" xr:uid="{F90281E9-32A7-440C-8E35-036F22437A79}"/>
    <cellStyle name="Normal 2 6 3 8 4" xfId="33002" xr:uid="{F2774150-1901-4309-8DA7-8E88D0AD6BEF}"/>
    <cellStyle name="Normal 2 6 3 8 5" xfId="33003" xr:uid="{68B28175-B3AD-45D4-9EE5-760496691E39}"/>
    <cellStyle name="Normal 2 6 3 9" xfId="33004" xr:uid="{C426A191-D5AF-43E0-953F-B13B8B0A9969}"/>
    <cellStyle name="Normal 2 6 3 9 2" xfId="33005" xr:uid="{2FB9E57F-CD3F-4C32-B269-397EA935A3BA}"/>
    <cellStyle name="Normal 2 6 3 9 3" xfId="33006" xr:uid="{4A6B2966-1A95-48D8-8C2C-9A1474D4DDDF}"/>
    <cellStyle name="Normal 2 6 3 9 4" xfId="33007" xr:uid="{1D97C255-9AFE-4697-B2F5-D236705EE688}"/>
    <cellStyle name="Normal 2 6 3 9 5" xfId="33008" xr:uid="{192E4CF1-7DF5-45BD-BF31-06D11D0112AD}"/>
    <cellStyle name="Normal 2 6 4" xfId="33009" xr:uid="{9834216C-B444-43D1-901C-DF2214AD0931}"/>
    <cellStyle name="Normal 2 6 4 10" xfId="33010" xr:uid="{EF3CAF3F-D014-4162-88E8-960D41EDF64B}"/>
    <cellStyle name="Normal 2 6 4 10 2" xfId="33011" xr:uid="{A9501EFD-6C9C-402C-BA9E-B951220157EE}"/>
    <cellStyle name="Normal 2 6 4 10 3" xfId="33012" xr:uid="{831CB0BC-298F-4003-94D4-1879A8C7D88B}"/>
    <cellStyle name="Normal 2 6 4 10 4" xfId="33013" xr:uid="{608E4FA5-A7CA-4BCE-AD49-CA3781ED096E}"/>
    <cellStyle name="Normal 2 6 4 10 5" xfId="33014" xr:uid="{89D13B8D-32C6-4557-B4C8-31253B0AD4FE}"/>
    <cellStyle name="Normal 2 6 4 11" xfId="33015" xr:uid="{B55BE5FE-E387-4407-8002-87C533921214}"/>
    <cellStyle name="Normal 2 6 4 11 2" xfId="33016" xr:uid="{825BC296-0819-4D2D-9C61-A01B241F8BEB}"/>
    <cellStyle name="Normal 2 6 4 11 3" xfId="33017" xr:uid="{CECF0E6C-A676-4BC0-98E9-018599E29777}"/>
    <cellStyle name="Normal 2 6 4 11 4" xfId="33018" xr:uid="{42B56D1B-2A12-45EA-AEFE-881F3E02D263}"/>
    <cellStyle name="Normal 2 6 4 11 5" xfId="33019" xr:uid="{1FDEE1D1-2522-44D0-A36E-69B680F5E20C}"/>
    <cellStyle name="Normal 2 6 4 12" xfId="33020" xr:uid="{1F534A25-9E65-4387-84F7-4BA7BEDE3848}"/>
    <cellStyle name="Normal 2 6 4 13" xfId="33021" xr:uid="{AA03CB56-8638-4BEB-ACDE-DD962BB299D4}"/>
    <cellStyle name="Normal 2 6 4 14" xfId="33022" xr:uid="{E5EDAAD9-D1A7-4988-82F1-E46CBBBD4B19}"/>
    <cellStyle name="Normal 2 6 4 15" xfId="33023" xr:uid="{E3316833-7C4E-4211-B8D5-F3F5ECCA35A7}"/>
    <cellStyle name="Normal 2 6 4 2" xfId="33024" xr:uid="{556FB68D-91FE-4B49-9C6F-1F6F02529A84}"/>
    <cellStyle name="Normal 2 6 4 2 10" xfId="33025" xr:uid="{130D1B02-FB47-4F47-997D-201B18761F2A}"/>
    <cellStyle name="Normal 2 6 4 2 10 2" xfId="33026" xr:uid="{31275267-5240-45AE-802A-0F1E896A1143}"/>
    <cellStyle name="Normal 2 6 4 2 10 3" xfId="33027" xr:uid="{7190AD0F-704F-4E39-A789-E0F201C75762}"/>
    <cellStyle name="Normal 2 6 4 2 10 4" xfId="33028" xr:uid="{03CD6ED3-3573-4E32-A343-02B43522BBE9}"/>
    <cellStyle name="Normal 2 6 4 2 10 5" xfId="33029" xr:uid="{D0F92A0E-B1FC-4114-806F-7D73D9957D27}"/>
    <cellStyle name="Normal 2 6 4 2 11" xfId="33030" xr:uid="{FEC46EE1-2D2E-4924-8579-58CC5024267F}"/>
    <cellStyle name="Normal 2 6 4 2 12" xfId="33031" xr:uid="{C9FC5496-319D-4142-AF75-62DE8642BAAA}"/>
    <cellStyle name="Normal 2 6 4 2 13" xfId="33032" xr:uid="{0CC64D2A-DFE9-46FF-BF48-31AA54169C5C}"/>
    <cellStyle name="Normal 2 6 4 2 14" xfId="33033" xr:uid="{CFCFB17B-2A1A-4A4C-AC1A-4EF059CCBB33}"/>
    <cellStyle name="Normal 2 6 4 2 2" xfId="33034" xr:uid="{3FC5CD77-F918-4706-8DDE-170EFB9F64E0}"/>
    <cellStyle name="Normal 2 6 4 2 2 10" xfId="33035" xr:uid="{8F013E4D-4F71-4F95-9083-A562018EB2CA}"/>
    <cellStyle name="Normal 2 6 4 2 2 11" xfId="33036" xr:uid="{BA8877BC-1C45-41F3-AC79-D236635F0402}"/>
    <cellStyle name="Normal 2 6 4 2 2 12" xfId="33037" xr:uid="{103D57E3-03DD-4DCD-93CF-2A3EBA7AFCB5}"/>
    <cellStyle name="Normal 2 6 4 2 2 13" xfId="33038" xr:uid="{168FC51F-B62C-4FBF-8276-B958515720E8}"/>
    <cellStyle name="Normal 2 6 4 2 2 2" xfId="33039" xr:uid="{B0799FEB-2B90-43AA-AB5A-DBD85050F0F7}"/>
    <cellStyle name="Normal 2 6 4 2 2 2 10" xfId="33040" xr:uid="{4289C923-4780-4843-BAFF-28ACB8142FF4}"/>
    <cellStyle name="Normal 2 6 4 2 2 2 11" xfId="33041" xr:uid="{9066D9C3-B15D-4FC1-B1D2-86DEE7852423}"/>
    <cellStyle name="Normal 2 6 4 2 2 2 12" xfId="33042" xr:uid="{7FF8047B-9041-4D5B-A17F-3B9A6D2E238F}"/>
    <cellStyle name="Normal 2 6 4 2 2 2 2" xfId="33043" xr:uid="{FCCC366C-0BD8-475A-996B-692EFB13B7AB}"/>
    <cellStyle name="Normal 2 6 4 2 2 2 2 2" xfId="33044" xr:uid="{4262AC27-5A07-472F-926A-08A2CA97EBCE}"/>
    <cellStyle name="Normal 2 6 4 2 2 2 2 2 2" xfId="33045" xr:uid="{25657E2D-C079-4775-990E-E583D3CCAC03}"/>
    <cellStyle name="Normal 2 6 4 2 2 2 2 2 3" xfId="33046" xr:uid="{CBBB7341-FEB5-47CD-8F0C-412C1993F9EF}"/>
    <cellStyle name="Normal 2 6 4 2 2 2 2 2 4" xfId="33047" xr:uid="{A4210388-5CB4-4778-82F7-7E6687771945}"/>
    <cellStyle name="Normal 2 6 4 2 2 2 2 2 5" xfId="33048" xr:uid="{599DD42D-05CF-449B-8BEF-37C7CC78521A}"/>
    <cellStyle name="Normal 2 6 4 2 2 2 2 3" xfId="33049" xr:uid="{5D4D014F-DED1-4C70-8B13-A69703C0F3FA}"/>
    <cellStyle name="Normal 2 6 4 2 2 2 2 4" xfId="33050" xr:uid="{C29301A3-9E47-4534-8AA9-A488B6C36501}"/>
    <cellStyle name="Normal 2 6 4 2 2 2 2 5" xfId="33051" xr:uid="{54900B4B-C5BA-475B-A829-7E1EE31D2094}"/>
    <cellStyle name="Normal 2 6 4 2 2 2 2 6" xfId="33052" xr:uid="{D4EEA814-BB4A-42B8-876D-158E16CBDC9E}"/>
    <cellStyle name="Normal 2 6 4 2 2 2 3" xfId="33053" xr:uid="{F4942528-07DE-4F36-9374-1DB00A4BE3FD}"/>
    <cellStyle name="Normal 2 6 4 2 2 2 3 2" xfId="33054" xr:uid="{70BFF9B1-0341-48B3-BAFD-D6EB197D889A}"/>
    <cellStyle name="Normal 2 6 4 2 2 2 3 2 2" xfId="33055" xr:uid="{60C33FC1-0F65-4DE8-8DB4-2B8E295842BC}"/>
    <cellStyle name="Normal 2 6 4 2 2 2 3 2 3" xfId="33056" xr:uid="{EBDF5FE8-3E07-4E66-B37C-73F20FE7DAF3}"/>
    <cellStyle name="Normal 2 6 4 2 2 2 3 2 4" xfId="33057" xr:uid="{CC22740A-3E2F-46DE-B6CE-EDCB29180566}"/>
    <cellStyle name="Normal 2 6 4 2 2 2 3 2 5" xfId="33058" xr:uid="{FCB6D3EC-33BE-4473-8735-5F1870901238}"/>
    <cellStyle name="Normal 2 6 4 2 2 2 3 3" xfId="33059" xr:uid="{2BA703A9-B85D-42E7-BBC1-6AB43B287CB4}"/>
    <cellStyle name="Normal 2 6 4 2 2 2 3 4" xfId="33060" xr:uid="{D07D43DC-B1D9-4659-9B4B-3D01847249B2}"/>
    <cellStyle name="Normal 2 6 4 2 2 2 3 5" xfId="33061" xr:uid="{2267A6E3-38EF-46C0-BE9D-E1031F80CA1A}"/>
    <cellStyle name="Normal 2 6 4 2 2 2 3 6" xfId="33062" xr:uid="{EABE3824-5A95-4252-A498-CF8BE2F65EA0}"/>
    <cellStyle name="Normal 2 6 4 2 2 2 4" xfId="33063" xr:uid="{2EEC7BE4-517C-4B36-9620-187A61E78FC6}"/>
    <cellStyle name="Normal 2 6 4 2 2 2 4 2" xfId="33064" xr:uid="{496446F8-8C73-4048-88FA-B338B8971097}"/>
    <cellStyle name="Normal 2 6 4 2 2 2 4 2 2" xfId="33065" xr:uid="{AAE9688C-62D5-462D-A697-C562531D2AED}"/>
    <cellStyle name="Normal 2 6 4 2 2 2 4 2 3" xfId="33066" xr:uid="{52F2E31C-ED64-4600-8D24-3C8657E3DECF}"/>
    <cellStyle name="Normal 2 6 4 2 2 2 4 2 4" xfId="33067" xr:uid="{8CDB725E-55AB-4054-A792-660AB2C6446C}"/>
    <cellStyle name="Normal 2 6 4 2 2 2 4 2 5" xfId="33068" xr:uid="{BBF8576D-373D-4CFC-B243-35F782C55221}"/>
    <cellStyle name="Normal 2 6 4 2 2 2 4 3" xfId="33069" xr:uid="{7133B8D8-CB6E-4203-98B3-261E15166292}"/>
    <cellStyle name="Normal 2 6 4 2 2 2 4 4" xfId="33070" xr:uid="{2B04937E-DFCC-4D4D-A501-0565B0DD7F28}"/>
    <cellStyle name="Normal 2 6 4 2 2 2 4 5" xfId="33071" xr:uid="{61746C08-A6F7-47C3-93AF-64208F007FCE}"/>
    <cellStyle name="Normal 2 6 4 2 2 2 4 6" xfId="33072" xr:uid="{FE5D0FA1-0BE3-4C3B-BC63-001D749F325A}"/>
    <cellStyle name="Normal 2 6 4 2 2 2 5" xfId="33073" xr:uid="{4D1DF21C-80A4-4247-9882-1A72A4D62E30}"/>
    <cellStyle name="Normal 2 6 4 2 2 2 5 2" xfId="33074" xr:uid="{EBA4E7DF-4339-4448-8CC8-9683F0B1F63F}"/>
    <cellStyle name="Normal 2 6 4 2 2 2 5 3" xfId="33075" xr:uid="{D38106DC-82C0-43A7-95CA-F5FD06BB311D}"/>
    <cellStyle name="Normal 2 6 4 2 2 2 5 4" xfId="33076" xr:uid="{51DAA79B-D3AA-42D1-8EF5-B050910FA385}"/>
    <cellStyle name="Normal 2 6 4 2 2 2 5 5" xfId="33077" xr:uid="{AE56DD07-2E93-4891-A588-2D3EAEDF5F55}"/>
    <cellStyle name="Normal 2 6 4 2 2 2 6" xfId="33078" xr:uid="{D0C9A531-B993-43B9-99B3-09B63E6B83EB}"/>
    <cellStyle name="Normal 2 6 4 2 2 2 6 2" xfId="33079" xr:uid="{BE756292-68DC-4EB5-AB56-08B7AB618301}"/>
    <cellStyle name="Normal 2 6 4 2 2 2 6 3" xfId="33080" xr:uid="{D0091B53-6BDB-4D96-A757-9E219C088992}"/>
    <cellStyle name="Normal 2 6 4 2 2 2 6 4" xfId="33081" xr:uid="{B6EB505B-541A-4A47-9BE8-06B608EC7ADF}"/>
    <cellStyle name="Normal 2 6 4 2 2 2 6 5" xfId="33082" xr:uid="{64A9CC87-028D-436D-950F-53841166D7F6}"/>
    <cellStyle name="Normal 2 6 4 2 2 2 7" xfId="33083" xr:uid="{464A5800-A9C4-4E58-90BF-3FB6A3793815}"/>
    <cellStyle name="Normal 2 6 4 2 2 2 7 2" xfId="33084" xr:uid="{1A87B770-AB88-4A99-9197-D98EFC532FFD}"/>
    <cellStyle name="Normal 2 6 4 2 2 2 7 3" xfId="33085" xr:uid="{2834C2CE-4060-4E3B-8AB1-160AAA431048}"/>
    <cellStyle name="Normal 2 6 4 2 2 2 7 4" xfId="33086" xr:uid="{5946183D-1FA5-4C17-BA66-CE92D1062505}"/>
    <cellStyle name="Normal 2 6 4 2 2 2 7 5" xfId="33087" xr:uid="{48671826-33B7-4BDD-868D-6E1148798AD5}"/>
    <cellStyle name="Normal 2 6 4 2 2 2 8" xfId="33088" xr:uid="{36B3B1CC-7037-48BA-9AF3-F04503CCBBB6}"/>
    <cellStyle name="Normal 2 6 4 2 2 2 8 2" xfId="33089" xr:uid="{C8F71A5F-73BE-46D3-AA4B-EA62F53E798A}"/>
    <cellStyle name="Normal 2 6 4 2 2 2 8 3" xfId="33090" xr:uid="{73AC418C-8C55-465B-A65A-074118FA6F6B}"/>
    <cellStyle name="Normal 2 6 4 2 2 2 8 4" xfId="33091" xr:uid="{F0DAD43E-C397-43BE-AC43-06DD4D5FA3EA}"/>
    <cellStyle name="Normal 2 6 4 2 2 2 8 5" xfId="33092" xr:uid="{85EBCA29-D4B4-490E-8694-75CE84419B8A}"/>
    <cellStyle name="Normal 2 6 4 2 2 2 9" xfId="33093" xr:uid="{09FF7FA0-B3FD-429E-AF3B-BFABD5F0956B}"/>
    <cellStyle name="Normal 2 6 4 2 2 3" xfId="33094" xr:uid="{F9F5B569-B691-46D0-B5B8-CEA290FF2DCF}"/>
    <cellStyle name="Normal 2 6 4 2 2 3 2" xfId="33095" xr:uid="{6810CE04-40B1-480E-9E7D-83EEC8178134}"/>
    <cellStyle name="Normal 2 6 4 2 2 3 2 2" xfId="33096" xr:uid="{3DDBAAE1-6F91-4258-83B4-6AFB284D5D8E}"/>
    <cellStyle name="Normal 2 6 4 2 2 3 2 3" xfId="33097" xr:uid="{25472B63-BFCD-448F-853D-263BB7974A28}"/>
    <cellStyle name="Normal 2 6 4 2 2 3 2 4" xfId="33098" xr:uid="{67D1A6D3-D751-4D96-AF7F-3507B50F20AC}"/>
    <cellStyle name="Normal 2 6 4 2 2 3 2 5" xfId="33099" xr:uid="{DB9CE496-54C3-4383-B374-97443B1DA5EB}"/>
    <cellStyle name="Normal 2 6 4 2 2 3 3" xfId="33100" xr:uid="{0EDF1F45-B104-46F3-99CE-D568EB06859D}"/>
    <cellStyle name="Normal 2 6 4 2 2 3 4" xfId="33101" xr:uid="{3E282FF3-DB48-47B1-B0CE-757EBD23E004}"/>
    <cellStyle name="Normal 2 6 4 2 2 3 5" xfId="33102" xr:uid="{4DA82B32-1FA1-4A64-8DF2-9D7A9E4B4D24}"/>
    <cellStyle name="Normal 2 6 4 2 2 3 6" xfId="33103" xr:uid="{E2E127FA-45F3-498A-A8D5-0764724B7403}"/>
    <cellStyle name="Normal 2 6 4 2 2 4" xfId="33104" xr:uid="{154B73C7-7C4E-4B93-8BA2-CECE6AE38088}"/>
    <cellStyle name="Normal 2 6 4 2 2 4 2" xfId="33105" xr:uid="{CD12A819-9E31-4EC8-BE9F-6099CB8F8995}"/>
    <cellStyle name="Normal 2 6 4 2 2 4 2 2" xfId="33106" xr:uid="{1D05CEB8-CAFB-445A-9332-425376506B19}"/>
    <cellStyle name="Normal 2 6 4 2 2 4 2 3" xfId="33107" xr:uid="{3E956F8C-335D-4561-B2FF-A982249462BE}"/>
    <cellStyle name="Normal 2 6 4 2 2 4 2 4" xfId="33108" xr:uid="{8BC8D807-071F-4CC7-9E0C-4A4A28F11B94}"/>
    <cellStyle name="Normal 2 6 4 2 2 4 2 5" xfId="33109" xr:uid="{51293E06-F770-4C0E-9510-78F5CF837F6F}"/>
    <cellStyle name="Normal 2 6 4 2 2 4 3" xfId="33110" xr:uid="{2591A898-E77C-43FD-81C6-E66084BA58B8}"/>
    <cellStyle name="Normal 2 6 4 2 2 4 4" xfId="33111" xr:uid="{77DCB7F1-A0EF-4EE6-A0A0-9F4B4B1C98C6}"/>
    <cellStyle name="Normal 2 6 4 2 2 4 5" xfId="33112" xr:uid="{400E9F6C-1D91-433F-B084-2FB81F5FFE48}"/>
    <cellStyle name="Normal 2 6 4 2 2 4 6" xfId="33113" xr:uid="{EF0608AC-5CC4-4B15-877D-C1D81F060107}"/>
    <cellStyle name="Normal 2 6 4 2 2 5" xfId="33114" xr:uid="{71D775C3-BD54-4FDD-AB09-608EFE42F696}"/>
    <cellStyle name="Normal 2 6 4 2 2 5 2" xfId="33115" xr:uid="{98C25299-9F20-4D06-9B15-9B7F6AA861DE}"/>
    <cellStyle name="Normal 2 6 4 2 2 5 2 2" xfId="33116" xr:uid="{E7034098-97E0-40FD-9909-B1FFCCA2F02E}"/>
    <cellStyle name="Normal 2 6 4 2 2 5 2 3" xfId="33117" xr:uid="{351510BB-CA01-4380-9D93-428A81F061BF}"/>
    <cellStyle name="Normal 2 6 4 2 2 5 2 4" xfId="33118" xr:uid="{39652E79-D314-4201-9703-674A48411D99}"/>
    <cellStyle name="Normal 2 6 4 2 2 5 2 5" xfId="33119" xr:uid="{4A183D2A-E4D5-44BD-B11D-01EBC0FFFBAB}"/>
    <cellStyle name="Normal 2 6 4 2 2 5 3" xfId="33120" xr:uid="{BAC1107D-BCEE-447A-A0DB-17F383402DB6}"/>
    <cellStyle name="Normal 2 6 4 2 2 5 4" xfId="33121" xr:uid="{42B5DD30-5108-4273-9319-EA04502F01A2}"/>
    <cellStyle name="Normal 2 6 4 2 2 5 5" xfId="33122" xr:uid="{C86468E7-628C-4F1D-879B-5D65C4465A36}"/>
    <cellStyle name="Normal 2 6 4 2 2 5 6" xfId="33123" xr:uid="{96DBE44A-2A38-4777-815D-A8FB2BEE0A70}"/>
    <cellStyle name="Normal 2 6 4 2 2 6" xfId="33124" xr:uid="{B75568A9-08DB-46F0-B894-2FCDECDD0E4B}"/>
    <cellStyle name="Normal 2 6 4 2 2 6 2" xfId="33125" xr:uid="{E589C238-0153-46FB-B835-DCE552AEA701}"/>
    <cellStyle name="Normal 2 6 4 2 2 6 3" xfId="33126" xr:uid="{A013F653-BC33-4D3C-9A44-E5BCE34DDF2A}"/>
    <cellStyle name="Normal 2 6 4 2 2 6 4" xfId="33127" xr:uid="{78E4A91D-6FF9-4EC7-AD4B-4E76A8DF1BC8}"/>
    <cellStyle name="Normal 2 6 4 2 2 6 5" xfId="33128" xr:uid="{E172E6CD-25A1-45B3-B507-591E4562D981}"/>
    <cellStyle name="Normal 2 6 4 2 2 7" xfId="33129" xr:uid="{0A77D55D-66B0-4D41-8966-CA152322D10D}"/>
    <cellStyle name="Normal 2 6 4 2 2 7 2" xfId="33130" xr:uid="{EC9705D2-F7F8-4218-AD34-D808832D11C1}"/>
    <cellStyle name="Normal 2 6 4 2 2 7 3" xfId="33131" xr:uid="{A485F2B9-DE09-4168-A879-9ABC5D1473D6}"/>
    <cellStyle name="Normal 2 6 4 2 2 7 4" xfId="33132" xr:uid="{DC880A66-677A-4784-A882-990A8F170BBC}"/>
    <cellStyle name="Normal 2 6 4 2 2 7 5" xfId="33133" xr:uid="{75100437-EB5A-4927-9228-12D7F6871FDF}"/>
    <cellStyle name="Normal 2 6 4 2 2 8" xfId="33134" xr:uid="{AC153147-1586-4DAA-977D-737229553DFB}"/>
    <cellStyle name="Normal 2 6 4 2 2 8 2" xfId="33135" xr:uid="{3DBFA57C-46F7-456D-86E6-30D684CA1A37}"/>
    <cellStyle name="Normal 2 6 4 2 2 8 3" xfId="33136" xr:uid="{371CDE6E-ADE3-4134-ACB7-99F271480354}"/>
    <cellStyle name="Normal 2 6 4 2 2 8 4" xfId="33137" xr:uid="{FB0BC612-8C15-43B1-9437-E3DDB4F1E65D}"/>
    <cellStyle name="Normal 2 6 4 2 2 8 5" xfId="33138" xr:uid="{8250D160-0102-48CC-B73B-41A354F40448}"/>
    <cellStyle name="Normal 2 6 4 2 2 9" xfId="33139" xr:uid="{BBB28987-2398-419B-9407-97523ADC6F29}"/>
    <cellStyle name="Normal 2 6 4 2 2 9 2" xfId="33140" xr:uid="{DEA4D25C-2AC2-4F43-B924-DA2FB1138A37}"/>
    <cellStyle name="Normal 2 6 4 2 2 9 3" xfId="33141" xr:uid="{A21F7086-F34B-423E-B090-D2A8A8E82864}"/>
    <cellStyle name="Normal 2 6 4 2 2 9 4" xfId="33142" xr:uid="{F7F26DFB-17E6-46FB-84D2-6F6DD548C3D4}"/>
    <cellStyle name="Normal 2 6 4 2 2 9 5" xfId="33143" xr:uid="{B2CE3E37-E1BD-477C-88E7-5048770BE321}"/>
    <cellStyle name="Normal 2 6 4 2 3" xfId="33144" xr:uid="{52109C78-A86D-4D04-98A9-8A1516B65C6A}"/>
    <cellStyle name="Normal 2 6 4 2 3 10" xfId="33145" xr:uid="{4B38C4D5-EE25-4019-8336-0F254C8867FF}"/>
    <cellStyle name="Normal 2 6 4 2 3 11" xfId="33146" xr:uid="{2BC914DA-A798-41E5-96C0-F46E1993F0D8}"/>
    <cellStyle name="Normal 2 6 4 2 3 12" xfId="33147" xr:uid="{9B2EEC91-CAA1-4CE2-B45F-F34084815801}"/>
    <cellStyle name="Normal 2 6 4 2 3 2" xfId="33148" xr:uid="{31E838D6-B29F-4356-8530-380ADE700F45}"/>
    <cellStyle name="Normal 2 6 4 2 3 2 2" xfId="33149" xr:uid="{0B1C9367-471B-4D41-A77C-CDB29F4AA6BA}"/>
    <cellStyle name="Normal 2 6 4 2 3 2 2 2" xfId="33150" xr:uid="{29AF62FE-14D5-4EB5-AF39-BB6F5A489238}"/>
    <cellStyle name="Normal 2 6 4 2 3 2 2 3" xfId="33151" xr:uid="{38815BCC-D002-457F-9DBE-30A3872C2700}"/>
    <cellStyle name="Normal 2 6 4 2 3 2 2 4" xfId="33152" xr:uid="{8D1CBDF8-1778-4E2B-B876-04CD59B15F65}"/>
    <cellStyle name="Normal 2 6 4 2 3 2 2 5" xfId="33153" xr:uid="{CFCCD3E4-4F0D-497E-ACF6-20BCC95E0063}"/>
    <cellStyle name="Normal 2 6 4 2 3 2 3" xfId="33154" xr:uid="{75A3D3CA-DBB4-41D2-A1B9-2A4A30EAB2CB}"/>
    <cellStyle name="Normal 2 6 4 2 3 2 4" xfId="33155" xr:uid="{4544305A-8823-488E-9E8C-C38EA0001C1C}"/>
    <cellStyle name="Normal 2 6 4 2 3 2 5" xfId="33156" xr:uid="{404AEC8B-602A-4A3E-AD9C-CA0207FBF3AC}"/>
    <cellStyle name="Normal 2 6 4 2 3 2 6" xfId="33157" xr:uid="{FE884308-0E51-4511-B7A8-384E0CC427D1}"/>
    <cellStyle name="Normal 2 6 4 2 3 3" xfId="33158" xr:uid="{1D17CC72-6F28-4FEA-B6E0-EAC9C418907D}"/>
    <cellStyle name="Normal 2 6 4 2 3 3 2" xfId="33159" xr:uid="{4E6700C1-3691-46DF-BB74-9DAC5D693B53}"/>
    <cellStyle name="Normal 2 6 4 2 3 3 2 2" xfId="33160" xr:uid="{6F6B5EB2-8F14-4910-A832-6AE497952537}"/>
    <cellStyle name="Normal 2 6 4 2 3 3 2 3" xfId="33161" xr:uid="{E4841ED9-D216-4811-8FE4-7C772DCB2D06}"/>
    <cellStyle name="Normal 2 6 4 2 3 3 2 4" xfId="33162" xr:uid="{03B66584-D0E7-4A68-8129-E6EA60BEABE9}"/>
    <cellStyle name="Normal 2 6 4 2 3 3 2 5" xfId="33163" xr:uid="{54BB6CBA-CD76-4910-A110-4C8D7D851CE7}"/>
    <cellStyle name="Normal 2 6 4 2 3 3 3" xfId="33164" xr:uid="{7E71A455-B913-49AB-937E-189CC41AB404}"/>
    <cellStyle name="Normal 2 6 4 2 3 3 4" xfId="33165" xr:uid="{7924BF1C-A5F6-482C-9B98-F118BB637284}"/>
    <cellStyle name="Normal 2 6 4 2 3 3 5" xfId="33166" xr:uid="{052C3570-E40E-4096-9DBF-3C9B8B32748B}"/>
    <cellStyle name="Normal 2 6 4 2 3 3 6" xfId="33167" xr:uid="{180AB5F4-7FD8-4D85-998F-83E8AFA779CF}"/>
    <cellStyle name="Normal 2 6 4 2 3 4" xfId="33168" xr:uid="{BB79D8E1-6D16-4329-A367-4BF0BACAB490}"/>
    <cellStyle name="Normal 2 6 4 2 3 4 2" xfId="33169" xr:uid="{1E8223FA-0E4B-455D-8493-D6244F8E7C47}"/>
    <cellStyle name="Normal 2 6 4 2 3 4 2 2" xfId="33170" xr:uid="{A308BFB4-D74A-4586-8951-377C985042A8}"/>
    <cellStyle name="Normal 2 6 4 2 3 4 2 3" xfId="33171" xr:uid="{DDC04599-E2FC-49B0-BC9F-CB1F686C808B}"/>
    <cellStyle name="Normal 2 6 4 2 3 4 2 4" xfId="33172" xr:uid="{141330B9-0B9A-4A08-A4A0-35B987A128E9}"/>
    <cellStyle name="Normal 2 6 4 2 3 4 2 5" xfId="33173" xr:uid="{FD433940-BD62-407E-8314-CB72798F5A95}"/>
    <cellStyle name="Normal 2 6 4 2 3 4 3" xfId="33174" xr:uid="{BCB2F1A0-538B-4306-B0AD-C6C04334B090}"/>
    <cellStyle name="Normal 2 6 4 2 3 4 4" xfId="33175" xr:uid="{B186BAD7-F1D1-4600-8E91-D9D292AA3BF9}"/>
    <cellStyle name="Normal 2 6 4 2 3 4 5" xfId="33176" xr:uid="{7DE758B0-3C69-492E-A41A-BA9FCA22EB97}"/>
    <cellStyle name="Normal 2 6 4 2 3 4 6" xfId="33177" xr:uid="{3F609DC3-D54F-4D81-AD3A-AB4343A6DEAE}"/>
    <cellStyle name="Normal 2 6 4 2 3 5" xfId="33178" xr:uid="{DCEEA0C1-867B-43E8-822C-E44907267F82}"/>
    <cellStyle name="Normal 2 6 4 2 3 5 2" xfId="33179" xr:uid="{4819829B-A76B-48C3-ADC2-30EDD1A9A188}"/>
    <cellStyle name="Normal 2 6 4 2 3 5 3" xfId="33180" xr:uid="{E3EF44A2-0B4A-47E7-8C68-C4F894B69415}"/>
    <cellStyle name="Normal 2 6 4 2 3 5 4" xfId="33181" xr:uid="{D8867B6A-5B73-4604-93D7-25248C6D9F44}"/>
    <cellStyle name="Normal 2 6 4 2 3 5 5" xfId="33182" xr:uid="{78734888-8AB1-4D28-998B-815A679C7652}"/>
    <cellStyle name="Normal 2 6 4 2 3 6" xfId="33183" xr:uid="{55F14F96-5EC0-4F3D-9AE2-46BDBFB4A689}"/>
    <cellStyle name="Normal 2 6 4 2 3 6 2" xfId="33184" xr:uid="{BA7551D0-504D-447A-8611-19709DC71C12}"/>
    <cellStyle name="Normal 2 6 4 2 3 6 3" xfId="33185" xr:uid="{3D08BC8A-1566-4EEE-8CAE-3D57616ED774}"/>
    <cellStyle name="Normal 2 6 4 2 3 6 4" xfId="33186" xr:uid="{40EC78DD-9415-46AF-95D2-B15019700C0E}"/>
    <cellStyle name="Normal 2 6 4 2 3 6 5" xfId="33187" xr:uid="{E9C08A52-0B71-4A6F-8349-7260AD872756}"/>
    <cellStyle name="Normal 2 6 4 2 3 7" xfId="33188" xr:uid="{E035DC43-D9D9-45AC-BE92-BE90E0C70F54}"/>
    <cellStyle name="Normal 2 6 4 2 3 7 2" xfId="33189" xr:uid="{15F92219-3E57-4C9D-9233-83C854EF71BC}"/>
    <cellStyle name="Normal 2 6 4 2 3 7 3" xfId="33190" xr:uid="{C0332F27-EA74-45A8-935E-B045CEB6AA77}"/>
    <cellStyle name="Normal 2 6 4 2 3 7 4" xfId="33191" xr:uid="{F9F67CF0-0141-47DD-A14F-13D55F89A6ED}"/>
    <cellStyle name="Normal 2 6 4 2 3 7 5" xfId="33192" xr:uid="{8A7C2AFE-1F8D-49F8-BDA8-9D2C92753620}"/>
    <cellStyle name="Normal 2 6 4 2 3 8" xfId="33193" xr:uid="{49E1C24C-884E-48AA-895F-CC7051E036F1}"/>
    <cellStyle name="Normal 2 6 4 2 3 8 2" xfId="33194" xr:uid="{13CA576F-C245-429A-9ACB-D3C21D83C20C}"/>
    <cellStyle name="Normal 2 6 4 2 3 8 3" xfId="33195" xr:uid="{7901D48B-0183-496B-80A4-CB4A33476770}"/>
    <cellStyle name="Normal 2 6 4 2 3 8 4" xfId="33196" xr:uid="{1897186B-20C2-4344-982D-1595E3725BA3}"/>
    <cellStyle name="Normal 2 6 4 2 3 8 5" xfId="33197" xr:uid="{55E9D2D3-3F29-4E22-9503-257D0ABBCE62}"/>
    <cellStyle name="Normal 2 6 4 2 3 9" xfId="33198" xr:uid="{0900A49C-8514-4AB5-AECE-5530FF6ABF1E}"/>
    <cellStyle name="Normal 2 6 4 2 4" xfId="33199" xr:uid="{7A1FAA58-3D24-4166-AEF4-8B79C543B63C}"/>
    <cellStyle name="Normal 2 6 4 2 4 2" xfId="33200" xr:uid="{2C6474EF-4EBE-4E2B-B12C-DE2BB6EF0DDA}"/>
    <cellStyle name="Normal 2 6 4 2 4 2 2" xfId="33201" xr:uid="{BBA1E4AC-8C51-4B73-BEEB-6F2384065FE1}"/>
    <cellStyle name="Normal 2 6 4 2 4 2 3" xfId="33202" xr:uid="{C91C2E5F-0F00-4DAA-B68F-F0DE8458B90E}"/>
    <cellStyle name="Normal 2 6 4 2 4 2 4" xfId="33203" xr:uid="{5C7D1A9D-29E6-41BC-AF55-200E6EFABF77}"/>
    <cellStyle name="Normal 2 6 4 2 4 2 5" xfId="33204" xr:uid="{B660F02E-D832-4A19-A577-2332DB846A5E}"/>
    <cellStyle name="Normal 2 6 4 2 4 3" xfId="33205" xr:uid="{8450F744-4AC0-41D7-A9B6-E1D8C5E5A71B}"/>
    <cellStyle name="Normal 2 6 4 2 4 4" xfId="33206" xr:uid="{450E3CEF-E22A-4D9B-B407-BDB44841D552}"/>
    <cellStyle name="Normal 2 6 4 2 4 5" xfId="33207" xr:uid="{AE5DEC1A-E460-43CE-9B4F-7E9C948A110E}"/>
    <cellStyle name="Normal 2 6 4 2 4 6" xfId="33208" xr:uid="{EB3C9A1A-DF3D-4B25-8C6E-6B22E5A9CAFA}"/>
    <cellStyle name="Normal 2 6 4 2 5" xfId="33209" xr:uid="{509C3B61-FBA7-417B-9A53-786363F0BF77}"/>
    <cellStyle name="Normal 2 6 4 2 5 2" xfId="33210" xr:uid="{0E5FDF6B-E637-481D-ADB3-D6FEC0B5650E}"/>
    <cellStyle name="Normal 2 6 4 2 5 2 2" xfId="33211" xr:uid="{9052DFA6-C3DD-415C-895C-3D3F822CDE66}"/>
    <cellStyle name="Normal 2 6 4 2 5 2 3" xfId="33212" xr:uid="{0465DF16-7F36-4011-8067-BB61F2D27667}"/>
    <cellStyle name="Normal 2 6 4 2 5 2 4" xfId="33213" xr:uid="{C2DE750D-0D7A-45F1-BE72-E70D71DFE632}"/>
    <cellStyle name="Normal 2 6 4 2 5 2 5" xfId="33214" xr:uid="{491DA7B4-4D43-4EBA-AEFF-3F69D3B69097}"/>
    <cellStyle name="Normal 2 6 4 2 5 3" xfId="33215" xr:uid="{88E676EF-6167-4684-B369-452488A6282E}"/>
    <cellStyle name="Normal 2 6 4 2 5 4" xfId="33216" xr:uid="{5D6CC72A-9208-430F-A337-170E875DA03E}"/>
    <cellStyle name="Normal 2 6 4 2 5 5" xfId="33217" xr:uid="{DEC92263-5F76-4E31-8FCC-78C7042637BE}"/>
    <cellStyle name="Normal 2 6 4 2 5 6" xfId="33218" xr:uid="{82AF10F5-EEF3-4C0A-8391-D909FDFA412E}"/>
    <cellStyle name="Normal 2 6 4 2 6" xfId="33219" xr:uid="{6333D7B4-B7F6-40BB-BC58-6020457AD0CF}"/>
    <cellStyle name="Normal 2 6 4 2 6 2" xfId="33220" xr:uid="{AC9CB2AF-25B2-49BB-8630-77435A48114D}"/>
    <cellStyle name="Normal 2 6 4 2 6 2 2" xfId="33221" xr:uid="{CB856C83-8BAA-44D8-9494-D922A8B87351}"/>
    <cellStyle name="Normal 2 6 4 2 6 2 3" xfId="33222" xr:uid="{C2BEF1EC-0F84-45D2-BF25-CF8E1A6E028B}"/>
    <cellStyle name="Normal 2 6 4 2 6 2 4" xfId="33223" xr:uid="{6BAAB40E-DCD3-4F62-8DE6-885B05FEC4AC}"/>
    <cellStyle name="Normal 2 6 4 2 6 2 5" xfId="33224" xr:uid="{17B7EE76-476B-4376-9749-7AAA37FA6628}"/>
    <cellStyle name="Normal 2 6 4 2 6 3" xfId="33225" xr:uid="{596E1562-D3AF-4BD6-9FDB-54FDE3675A38}"/>
    <cellStyle name="Normal 2 6 4 2 6 4" xfId="33226" xr:uid="{683B7A02-C20F-4D31-A414-7A56DD535D53}"/>
    <cellStyle name="Normal 2 6 4 2 6 5" xfId="33227" xr:uid="{A39AA5D1-3978-4F5A-BFE6-5FA824DA512B}"/>
    <cellStyle name="Normal 2 6 4 2 6 6" xfId="33228" xr:uid="{A84A0925-734F-400F-A2D9-B36E320E67BD}"/>
    <cellStyle name="Normal 2 6 4 2 7" xfId="33229" xr:uid="{8F066B73-0C91-483E-9C40-5495C3CA8963}"/>
    <cellStyle name="Normal 2 6 4 2 7 2" xfId="33230" xr:uid="{920A1556-4171-4B61-8272-95ADCDEBCDD2}"/>
    <cellStyle name="Normal 2 6 4 2 7 3" xfId="33231" xr:uid="{5FF265E5-DA9E-4418-90AF-324EB2553EAC}"/>
    <cellStyle name="Normal 2 6 4 2 7 4" xfId="33232" xr:uid="{30890FD5-5AA8-449B-AF44-E2ACE28F69AE}"/>
    <cellStyle name="Normal 2 6 4 2 7 5" xfId="33233" xr:uid="{913ADF6F-3C5F-444F-92A8-5D1DA6A2950F}"/>
    <cellStyle name="Normal 2 6 4 2 8" xfId="33234" xr:uid="{9ECBA3C2-3819-474F-9035-463E5BE702B5}"/>
    <cellStyle name="Normal 2 6 4 2 8 2" xfId="33235" xr:uid="{071E11C2-9FBB-4A21-BA1B-6CF41BE6C6DA}"/>
    <cellStyle name="Normal 2 6 4 2 8 3" xfId="33236" xr:uid="{CEECF0E3-9A48-417C-ABD0-015FAB6732EF}"/>
    <cellStyle name="Normal 2 6 4 2 8 4" xfId="33237" xr:uid="{B9D496E8-F89C-4E07-8D9D-C8E6C8DA6E93}"/>
    <cellStyle name="Normal 2 6 4 2 8 5" xfId="33238" xr:uid="{7A16800A-519A-47EB-9814-04E1B648AD15}"/>
    <cellStyle name="Normal 2 6 4 2 9" xfId="33239" xr:uid="{B0302386-3823-47C3-977E-E3CA57C9EB4E}"/>
    <cellStyle name="Normal 2 6 4 2 9 2" xfId="33240" xr:uid="{54052454-0CE8-44C9-A1D2-0BEC52E03202}"/>
    <cellStyle name="Normal 2 6 4 2 9 3" xfId="33241" xr:uid="{2CBD5380-EB18-4C8A-A2D8-5213E0C3F64D}"/>
    <cellStyle name="Normal 2 6 4 2 9 4" xfId="33242" xr:uid="{2B764C77-1EC7-4A5A-938A-7167C5D5B114}"/>
    <cellStyle name="Normal 2 6 4 2 9 5" xfId="33243" xr:uid="{BB346E2F-4C69-4338-B288-B7ED10E28F5A}"/>
    <cellStyle name="Normal 2 6 4 3" xfId="33244" xr:uid="{09A7629D-9AF3-4796-B413-9219C4BB197C}"/>
    <cellStyle name="Normal 2 6 4 3 10" xfId="33245" xr:uid="{82ADE334-185C-4F1D-8FA0-26F5A45948D6}"/>
    <cellStyle name="Normal 2 6 4 3 11" xfId="33246" xr:uid="{3935A82B-E9E5-4FF4-BA92-48721887EBEE}"/>
    <cellStyle name="Normal 2 6 4 3 12" xfId="33247" xr:uid="{F2919D6A-1F98-4337-8D96-AE7D6C4B9933}"/>
    <cellStyle name="Normal 2 6 4 3 13" xfId="33248" xr:uid="{E361A23D-93A2-4191-8712-58AD03814F48}"/>
    <cellStyle name="Normal 2 6 4 3 2" xfId="33249" xr:uid="{8CAD5460-D778-40F5-9B10-0D2178661FD4}"/>
    <cellStyle name="Normal 2 6 4 3 2 10" xfId="33250" xr:uid="{1C9FA05C-38FE-4E3A-9B25-EB0C77813E58}"/>
    <cellStyle name="Normal 2 6 4 3 2 11" xfId="33251" xr:uid="{27311644-4E34-4467-9B1E-D3E1BCCF7EE7}"/>
    <cellStyle name="Normal 2 6 4 3 2 12" xfId="33252" xr:uid="{9DBECE07-85F7-45A3-9611-C3C2D5B63C43}"/>
    <cellStyle name="Normal 2 6 4 3 2 2" xfId="33253" xr:uid="{54847A4E-01C6-4D22-95A7-190E87017E76}"/>
    <cellStyle name="Normal 2 6 4 3 2 2 2" xfId="33254" xr:uid="{887CB2E5-1463-439E-BE12-5D9AEF7666B8}"/>
    <cellStyle name="Normal 2 6 4 3 2 2 2 2" xfId="33255" xr:uid="{C22CF7B3-4B46-41F7-AE29-2E73FB9F5EA8}"/>
    <cellStyle name="Normal 2 6 4 3 2 2 2 3" xfId="33256" xr:uid="{4D089FAB-8484-478E-B2A2-97085968E235}"/>
    <cellStyle name="Normal 2 6 4 3 2 2 2 4" xfId="33257" xr:uid="{DB0B738C-8C1F-4776-ABEA-A7F51BE51390}"/>
    <cellStyle name="Normal 2 6 4 3 2 2 2 5" xfId="33258" xr:uid="{08556958-D6A4-4FCB-8B10-D6D966652BAF}"/>
    <cellStyle name="Normal 2 6 4 3 2 2 3" xfId="33259" xr:uid="{6E0FB818-D0B1-4455-85BC-F30D0CC20D9D}"/>
    <cellStyle name="Normal 2 6 4 3 2 2 4" xfId="33260" xr:uid="{1291CAEB-97C8-4BD1-90D6-EF3840F2C2AC}"/>
    <cellStyle name="Normal 2 6 4 3 2 2 5" xfId="33261" xr:uid="{1500526E-E882-4B24-99CE-ED6B7AD1A37C}"/>
    <cellStyle name="Normal 2 6 4 3 2 2 6" xfId="33262" xr:uid="{36B4FD88-7C44-49CA-8786-55F7B9ED9D7C}"/>
    <cellStyle name="Normal 2 6 4 3 2 3" xfId="33263" xr:uid="{EA6082AE-CA72-48BA-9E49-0D43097E0C59}"/>
    <cellStyle name="Normal 2 6 4 3 2 3 2" xfId="33264" xr:uid="{6AD7D973-5F1C-4748-A986-ED34A9A3A07D}"/>
    <cellStyle name="Normal 2 6 4 3 2 3 2 2" xfId="33265" xr:uid="{92F6BC54-2C64-4C57-B35E-F1934C6BCD0A}"/>
    <cellStyle name="Normal 2 6 4 3 2 3 2 3" xfId="33266" xr:uid="{6B146FA8-4209-45A3-B63B-60E3CEDB860B}"/>
    <cellStyle name="Normal 2 6 4 3 2 3 2 4" xfId="33267" xr:uid="{100C4FB9-C398-40B8-9F35-F0A5A89B2D29}"/>
    <cellStyle name="Normal 2 6 4 3 2 3 2 5" xfId="33268" xr:uid="{9813A799-EAA0-45DA-8648-B64623B262AF}"/>
    <cellStyle name="Normal 2 6 4 3 2 3 3" xfId="33269" xr:uid="{9E0E2164-03B5-4DEF-812D-21CB95AF4B0F}"/>
    <cellStyle name="Normal 2 6 4 3 2 3 4" xfId="33270" xr:uid="{B6256D49-B4DC-4A17-8288-E885FE85F6B3}"/>
    <cellStyle name="Normal 2 6 4 3 2 3 5" xfId="33271" xr:uid="{FA581B3E-C4CC-478A-8271-9D4D6015E8A0}"/>
    <cellStyle name="Normal 2 6 4 3 2 3 6" xfId="33272" xr:uid="{1BF1E71A-670B-4381-82FB-78E55CF15077}"/>
    <cellStyle name="Normal 2 6 4 3 2 4" xfId="33273" xr:uid="{70F0DE2B-AAA8-43E1-88B2-99E6059C132F}"/>
    <cellStyle name="Normal 2 6 4 3 2 4 2" xfId="33274" xr:uid="{36702739-9FAC-4C62-BE12-733F9469C399}"/>
    <cellStyle name="Normal 2 6 4 3 2 4 2 2" xfId="33275" xr:uid="{3C1E16DC-EA99-4DE6-92CC-3367E4413D70}"/>
    <cellStyle name="Normal 2 6 4 3 2 4 2 3" xfId="33276" xr:uid="{1D0577A5-EB02-449B-A5E7-05D1C79DFB5E}"/>
    <cellStyle name="Normal 2 6 4 3 2 4 2 4" xfId="33277" xr:uid="{6A34D66C-4564-47DB-912D-7FAFC4D4F4B2}"/>
    <cellStyle name="Normal 2 6 4 3 2 4 2 5" xfId="33278" xr:uid="{A245D786-E2E5-4579-8616-7306FFA794BE}"/>
    <cellStyle name="Normal 2 6 4 3 2 4 3" xfId="33279" xr:uid="{9AA1570C-93AD-4B19-9FBE-DC30A12E76F1}"/>
    <cellStyle name="Normal 2 6 4 3 2 4 4" xfId="33280" xr:uid="{B003B407-9CD0-4CA7-9B62-C6F6FCC54AF8}"/>
    <cellStyle name="Normal 2 6 4 3 2 4 5" xfId="33281" xr:uid="{90B2B8E3-2D87-48D7-881C-2A4B7137D0BB}"/>
    <cellStyle name="Normal 2 6 4 3 2 4 6" xfId="33282" xr:uid="{9CA3C01A-8391-4A07-B5B7-0DC142DB2AE4}"/>
    <cellStyle name="Normal 2 6 4 3 2 5" xfId="33283" xr:uid="{81083527-567C-4B09-BF11-23F09349E855}"/>
    <cellStyle name="Normal 2 6 4 3 2 5 2" xfId="33284" xr:uid="{167C8A63-F7FA-42FB-A0B4-1ECD517A7EFA}"/>
    <cellStyle name="Normal 2 6 4 3 2 5 3" xfId="33285" xr:uid="{24A299B1-A3E0-48C8-8C66-2A6563E2D0A4}"/>
    <cellStyle name="Normal 2 6 4 3 2 5 4" xfId="33286" xr:uid="{7A425237-BCBC-4A74-8E7C-68E1D97B47FB}"/>
    <cellStyle name="Normal 2 6 4 3 2 5 5" xfId="33287" xr:uid="{8DEEEAC2-9BD9-4D1D-88DC-7E33B4D40A3A}"/>
    <cellStyle name="Normal 2 6 4 3 2 6" xfId="33288" xr:uid="{C5EF380F-5C36-406E-9C86-5E13E478122C}"/>
    <cellStyle name="Normal 2 6 4 3 2 6 2" xfId="33289" xr:uid="{730C64B4-88F4-4A0B-A124-4473819B9F75}"/>
    <cellStyle name="Normal 2 6 4 3 2 6 3" xfId="33290" xr:uid="{0B0779DD-2CD5-455E-A5A2-90809111F7B2}"/>
    <cellStyle name="Normal 2 6 4 3 2 6 4" xfId="33291" xr:uid="{DB94F055-1163-4371-9455-1A09C7E62AD6}"/>
    <cellStyle name="Normal 2 6 4 3 2 6 5" xfId="33292" xr:uid="{9DD0E78A-DFDD-4AC2-9A74-A7B7C8BB1D25}"/>
    <cellStyle name="Normal 2 6 4 3 2 7" xfId="33293" xr:uid="{D8B1EB51-3259-44FF-ADA3-07B4B2CFB708}"/>
    <cellStyle name="Normal 2 6 4 3 2 7 2" xfId="33294" xr:uid="{B294CE68-64BB-4CED-A425-7F142EBE80F4}"/>
    <cellStyle name="Normal 2 6 4 3 2 7 3" xfId="33295" xr:uid="{E9E19383-D259-4C52-B0D2-1AA5D075413F}"/>
    <cellStyle name="Normal 2 6 4 3 2 7 4" xfId="33296" xr:uid="{EEE712C7-8429-4037-8DB6-1CD672F134F0}"/>
    <cellStyle name="Normal 2 6 4 3 2 7 5" xfId="33297" xr:uid="{1A40566A-430C-464A-A280-B9C50151C8CD}"/>
    <cellStyle name="Normal 2 6 4 3 2 8" xfId="33298" xr:uid="{D6620AAA-16EE-40E0-9614-3ED5BAA801E6}"/>
    <cellStyle name="Normal 2 6 4 3 2 8 2" xfId="33299" xr:uid="{FCED3E0D-A5E0-4A96-B7D1-B11232DA46D3}"/>
    <cellStyle name="Normal 2 6 4 3 2 8 3" xfId="33300" xr:uid="{96B73259-85FF-4815-B00C-9F30233599FA}"/>
    <cellStyle name="Normal 2 6 4 3 2 8 4" xfId="33301" xr:uid="{72AC32B5-46E6-4D8C-BB2C-68F8C281F3C0}"/>
    <cellStyle name="Normal 2 6 4 3 2 8 5" xfId="33302" xr:uid="{624AC441-97DD-4333-A73F-DB0DFBFBFCB5}"/>
    <cellStyle name="Normal 2 6 4 3 2 9" xfId="33303" xr:uid="{C87326F2-2C24-4071-998D-6CAF3DB746DF}"/>
    <cellStyle name="Normal 2 6 4 3 3" xfId="33304" xr:uid="{32E08F2E-18BD-4F0B-8E19-A8E2545510CD}"/>
    <cellStyle name="Normal 2 6 4 3 3 2" xfId="33305" xr:uid="{0E0AC26E-5BAF-49E2-89F0-BB68AB0C22FD}"/>
    <cellStyle name="Normal 2 6 4 3 3 2 2" xfId="33306" xr:uid="{E081E5B8-B0CE-4ACE-BDF0-B3009C8EDD4F}"/>
    <cellStyle name="Normal 2 6 4 3 3 2 3" xfId="33307" xr:uid="{F4F938A1-92E0-4225-8C5E-AD82169B67C6}"/>
    <cellStyle name="Normal 2 6 4 3 3 2 4" xfId="33308" xr:uid="{E1FC64ED-48AF-4A9E-BF94-E841B3BD4BD4}"/>
    <cellStyle name="Normal 2 6 4 3 3 2 5" xfId="33309" xr:uid="{894779A5-C466-4CA7-9AB1-FEDF56D8B4BA}"/>
    <cellStyle name="Normal 2 6 4 3 3 3" xfId="33310" xr:uid="{53B859AC-8EE4-4506-A7B6-881D60DD8FC8}"/>
    <cellStyle name="Normal 2 6 4 3 3 4" xfId="33311" xr:uid="{08B3A28F-2710-4EBC-998C-63BE1AE68A13}"/>
    <cellStyle name="Normal 2 6 4 3 3 5" xfId="33312" xr:uid="{093CC024-E65D-426E-90AA-DA21C670012D}"/>
    <cellStyle name="Normal 2 6 4 3 3 6" xfId="33313" xr:uid="{8ED71698-E022-4141-B5B1-33D0B5036F24}"/>
    <cellStyle name="Normal 2 6 4 3 4" xfId="33314" xr:uid="{21F7B9FB-B6C4-4FAE-A626-FDB814ABCD9F}"/>
    <cellStyle name="Normal 2 6 4 3 4 2" xfId="33315" xr:uid="{C9D01FA0-9FEA-4BAD-B2A8-11C0DA4EEB58}"/>
    <cellStyle name="Normal 2 6 4 3 4 2 2" xfId="33316" xr:uid="{44F553C7-6ABD-4C52-976C-6F302A007B57}"/>
    <cellStyle name="Normal 2 6 4 3 4 2 3" xfId="33317" xr:uid="{F35FEE9B-AF53-40FF-8B4E-C5A970280615}"/>
    <cellStyle name="Normal 2 6 4 3 4 2 4" xfId="33318" xr:uid="{86D33072-5FBD-4D8D-9CD5-283C245EA397}"/>
    <cellStyle name="Normal 2 6 4 3 4 2 5" xfId="33319" xr:uid="{7CE4B95F-10AE-4F63-BF3E-AA1479AEF2B5}"/>
    <cellStyle name="Normal 2 6 4 3 4 3" xfId="33320" xr:uid="{E4C8D2C4-9523-44FB-9631-EE36C7829163}"/>
    <cellStyle name="Normal 2 6 4 3 4 4" xfId="33321" xr:uid="{7992579E-4C70-46D7-9CE3-8B3F48742513}"/>
    <cellStyle name="Normal 2 6 4 3 4 5" xfId="33322" xr:uid="{21412963-0CA2-41A1-ACF5-7AD5EF917D9F}"/>
    <cellStyle name="Normal 2 6 4 3 4 6" xfId="33323" xr:uid="{0600C9B3-DE1B-429B-AD9C-0BA6D1852391}"/>
    <cellStyle name="Normal 2 6 4 3 5" xfId="33324" xr:uid="{B2588FD0-EB62-4AE5-9F7F-0F2E777186FA}"/>
    <cellStyle name="Normal 2 6 4 3 5 2" xfId="33325" xr:uid="{3511F064-92AE-45E8-AB18-3BF9E46BD095}"/>
    <cellStyle name="Normal 2 6 4 3 5 2 2" xfId="33326" xr:uid="{28E1D371-1CB5-4C99-8902-769596E0597F}"/>
    <cellStyle name="Normal 2 6 4 3 5 2 3" xfId="33327" xr:uid="{ACDC31D7-4F0F-42FE-82C9-04B4C1B1D3BC}"/>
    <cellStyle name="Normal 2 6 4 3 5 2 4" xfId="33328" xr:uid="{F080FFA7-C76C-4DEB-83F9-4A6809705364}"/>
    <cellStyle name="Normal 2 6 4 3 5 2 5" xfId="33329" xr:uid="{17B94C52-EC3F-47F8-8816-3CCCD92A4D6C}"/>
    <cellStyle name="Normal 2 6 4 3 5 3" xfId="33330" xr:uid="{27E5D74B-CFB9-4105-94E5-95A5255998B8}"/>
    <cellStyle name="Normal 2 6 4 3 5 4" xfId="33331" xr:uid="{49371061-AF1D-43B0-A680-3AD29561DAD5}"/>
    <cellStyle name="Normal 2 6 4 3 5 5" xfId="33332" xr:uid="{6567E49E-261E-4A8E-8EB9-3330383914CC}"/>
    <cellStyle name="Normal 2 6 4 3 5 6" xfId="33333" xr:uid="{4314FC6E-3D10-4160-8D40-BE527A5BCD2B}"/>
    <cellStyle name="Normal 2 6 4 3 6" xfId="33334" xr:uid="{A1D9CFEB-AFA4-4111-B937-CC99DBB7A60E}"/>
    <cellStyle name="Normal 2 6 4 3 6 2" xfId="33335" xr:uid="{51C97FB0-2525-457D-A5A5-0F0C4E903AFE}"/>
    <cellStyle name="Normal 2 6 4 3 6 3" xfId="33336" xr:uid="{9A1BF65D-3B49-4DFB-A918-BAD7E65FDFA4}"/>
    <cellStyle name="Normal 2 6 4 3 6 4" xfId="33337" xr:uid="{28D9FFA2-55EB-43B8-8671-D437569EED0C}"/>
    <cellStyle name="Normal 2 6 4 3 6 5" xfId="33338" xr:uid="{698D01C5-D354-4084-AF41-C2720CEEC931}"/>
    <cellStyle name="Normal 2 6 4 3 7" xfId="33339" xr:uid="{15286E4D-3556-45F1-999D-F55B8BE47E9F}"/>
    <cellStyle name="Normal 2 6 4 3 7 2" xfId="33340" xr:uid="{BE38AE4E-219B-4D92-B70B-EECCAC9C35A2}"/>
    <cellStyle name="Normal 2 6 4 3 7 3" xfId="33341" xr:uid="{042D8104-4B1E-4739-BEB0-945B81690BE0}"/>
    <cellStyle name="Normal 2 6 4 3 7 4" xfId="33342" xr:uid="{CE7E9B93-82EA-4A7C-9084-3A1ED0D1BB51}"/>
    <cellStyle name="Normal 2 6 4 3 7 5" xfId="33343" xr:uid="{AC901582-1CDA-4353-9E6F-53D52A6ECACF}"/>
    <cellStyle name="Normal 2 6 4 3 8" xfId="33344" xr:uid="{3000D483-112B-4B73-B582-3BFFD3431EFE}"/>
    <cellStyle name="Normal 2 6 4 3 8 2" xfId="33345" xr:uid="{E8CCFF8E-8292-4738-9F06-D4DEA925CBAD}"/>
    <cellStyle name="Normal 2 6 4 3 8 3" xfId="33346" xr:uid="{A9894C26-BE3F-4464-9784-B7C6012A1920}"/>
    <cellStyle name="Normal 2 6 4 3 8 4" xfId="33347" xr:uid="{8FF6D7EC-A6A4-4742-A3BF-6CA46B5E0E7C}"/>
    <cellStyle name="Normal 2 6 4 3 8 5" xfId="33348" xr:uid="{6F5790B8-39FB-40B0-9FB4-789B8D474E58}"/>
    <cellStyle name="Normal 2 6 4 3 9" xfId="33349" xr:uid="{B14B2BEF-FAAA-4280-A5FF-E14704C3EC46}"/>
    <cellStyle name="Normal 2 6 4 3 9 2" xfId="33350" xr:uid="{B5150FB5-E7CB-4EE3-8B96-D154C1D7B42F}"/>
    <cellStyle name="Normal 2 6 4 3 9 3" xfId="33351" xr:uid="{5C3BE5E0-F566-4F88-BD67-F52042CC751F}"/>
    <cellStyle name="Normal 2 6 4 3 9 4" xfId="33352" xr:uid="{3B2F1601-B237-4419-8A7A-CFE70A23C9DC}"/>
    <cellStyle name="Normal 2 6 4 3 9 5" xfId="33353" xr:uid="{4FA23DCB-185B-49E3-8BCC-83624700DB12}"/>
    <cellStyle name="Normal 2 6 4 4" xfId="33354" xr:uid="{448F6258-55AC-4508-B394-A73B139EB695}"/>
    <cellStyle name="Normal 2 6 4 4 10" xfId="33355" xr:uid="{88BA2277-BCF9-46F2-B37E-93BCFAEA658E}"/>
    <cellStyle name="Normal 2 6 4 4 11" xfId="33356" xr:uid="{191B70CB-C53A-421C-AC9C-2098B1490CDA}"/>
    <cellStyle name="Normal 2 6 4 4 12" xfId="33357" xr:uid="{B7B00910-5B68-4AD0-9930-2FE991B07FA4}"/>
    <cellStyle name="Normal 2 6 4 4 2" xfId="33358" xr:uid="{83B0ACBD-F818-4682-8301-B8C98A6697DE}"/>
    <cellStyle name="Normal 2 6 4 4 2 2" xfId="33359" xr:uid="{9725817C-9E2E-4033-8BC1-4DA0A73AA2BC}"/>
    <cellStyle name="Normal 2 6 4 4 2 2 2" xfId="33360" xr:uid="{17AABB5A-495E-4AE3-A169-0768A899D6A5}"/>
    <cellStyle name="Normal 2 6 4 4 2 2 3" xfId="33361" xr:uid="{4F8C1A52-5641-494A-A92A-C764F982E610}"/>
    <cellStyle name="Normal 2 6 4 4 2 2 4" xfId="33362" xr:uid="{439658C6-8429-44E9-B51D-0537956E710F}"/>
    <cellStyle name="Normal 2 6 4 4 2 2 5" xfId="33363" xr:uid="{3D8FEEAC-BBB7-439D-AF66-9DA0C5A57C20}"/>
    <cellStyle name="Normal 2 6 4 4 2 3" xfId="33364" xr:uid="{B3DA79A2-C1EB-47C2-BBF8-0A6249266EC6}"/>
    <cellStyle name="Normal 2 6 4 4 2 4" xfId="33365" xr:uid="{97353170-5B02-4D7E-A810-083E10702FF0}"/>
    <cellStyle name="Normal 2 6 4 4 2 5" xfId="33366" xr:uid="{0C01D9B0-2DFB-4874-B054-CCDE3738DE2C}"/>
    <cellStyle name="Normal 2 6 4 4 2 6" xfId="33367" xr:uid="{47788BF6-0833-44BA-A212-EB3CED941B33}"/>
    <cellStyle name="Normal 2 6 4 4 3" xfId="33368" xr:uid="{42D6A47E-FD4D-4F50-897B-F0AF9BB88689}"/>
    <cellStyle name="Normal 2 6 4 4 3 2" xfId="33369" xr:uid="{5C037276-96E8-407E-88DD-241F3C2716A2}"/>
    <cellStyle name="Normal 2 6 4 4 3 2 2" xfId="33370" xr:uid="{5286194E-820F-4170-AB47-26BC4C3E7F7A}"/>
    <cellStyle name="Normal 2 6 4 4 3 2 3" xfId="33371" xr:uid="{5EBCCAFE-1A62-4926-ACC7-A3440152D151}"/>
    <cellStyle name="Normal 2 6 4 4 3 2 4" xfId="33372" xr:uid="{9E235415-D2C4-4DF2-B477-5189A76798CD}"/>
    <cellStyle name="Normal 2 6 4 4 3 2 5" xfId="33373" xr:uid="{BBAC0398-DAA3-4096-A380-991CA5FD2B9F}"/>
    <cellStyle name="Normal 2 6 4 4 3 3" xfId="33374" xr:uid="{75DB4934-B047-470B-82D0-C5B2C7EEC3A5}"/>
    <cellStyle name="Normal 2 6 4 4 3 4" xfId="33375" xr:uid="{CF629645-6D19-4A98-95A9-CA5BA2B4CD16}"/>
    <cellStyle name="Normal 2 6 4 4 3 5" xfId="33376" xr:uid="{936C9E8B-5D6A-4C24-B228-FA55EC35226B}"/>
    <cellStyle name="Normal 2 6 4 4 3 6" xfId="33377" xr:uid="{278EBDAA-3CEC-4932-91A8-299658937841}"/>
    <cellStyle name="Normal 2 6 4 4 4" xfId="33378" xr:uid="{68ADFB27-6E6D-4EFA-9B4C-80BB8C8B7AD5}"/>
    <cellStyle name="Normal 2 6 4 4 4 2" xfId="33379" xr:uid="{49157394-8A0D-4984-9957-7FC9778EF0BD}"/>
    <cellStyle name="Normal 2 6 4 4 4 2 2" xfId="33380" xr:uid="{CAAA8EF8-B9DC-4C26-A446-E6BBC583DAF0}"/>
    <cellStyle name="Normal 2 6 4 4 4 2 3" xfId="33381" xr:uid="{07752E18-69EB-43E2-B652-72C0EA8892DD}"/>
    <cellStyle name="Normal 2 6 4 4 4 2 4" xfId="33382" xr:uid="{29C2C6BE-1F07-4401-AE82-A0E773933A80}"/>
    <cellStyle name="Normal 2 6 4 4 4 2 5" xfId="33383" xr:uid="{FB8098A0-7EFB-40B2-8659-C6CB66EABFE9}"/>
    <cellStyle name="Normal 2 6 4 4 4 3" xfId="33384" xr:uid="{256978AE-7584-4766-BBF0-F103F43F58E1}"/>
    <cellStyle name="Normal 2 6 4 4 4 4" xfId="33385" xr:uid="{20C9A25E-65E0-492B-A2C0-B9D1CF7D7531}"/>
    <cellStyle name="Normal 2 6 4 4 4 5" xfId="33386" xr:uid="{0E335BBE-F2B3-49FA-A0C4-5E0CD28AFF96}"/>
    <cellStyle name="Normal 2 6 4 4 4 6" xfId="33387" xr:uid="{0881DAB1-B806-478E-B568-063FE3EDB8C6}"/>
    <cellStyle name="Normal 2 6 4 4 5" xfId="33388" xr:uid="{747CA1AE-9049-435D-9DC0-12F5E9D49B7B}"/>
    <cellStyle name="Normal 2 6 4 4 5 2" xfId="33389" xr:uid="{4B31428B-0FBC-42CA-82DF-A3EA2277E1C3}"/>
    <cellStyle name="Normal 2 6 4 4 5 3" xfId="33390" xr:uid="{948876C9-890D-4180-A999-E5FBEE8F78BC}"/>
    <cellStyle name="Normal 2 6 4 4 5 4" xfId="33391" xr:uid="{94459BE7-7F7B-4CD2-9DFA-2AD2AD6950E9}"/>
    <cellStyle name="Normal 2 6 4 4 5 5" xfId="33392" xr:uid="{741F05E0-2520-4A22-B96F-BAF17BFA7832}"/>
    <cellStyle name="Normal 2 6 4 4 6" xfId="33393" xr:uid="{A341899D-B505-454D-932C-911FDC76E47F}"/>
    <cellStyle name="Normal 2 6 4 4 6 2" xfId="33394" xr:uid="{0554588E-242D-44DA-B589-BF637CA9FED8}"/>
    <cellStyle name="Normal 2 6 4 4 6 3" xfId="33395" xr:uid="{44439D8A-EBD2-4122-BA44-56C43496CCF2}"/>
    <cellStyle name="Normal 2 6 4 4 6 4" xfId="33396" xr:uid="{70CE44B2-96AA-478D-99C4-139D6A0802F3}"/>
    <cellStyle name="Normal 2 6 4 4 6 5" xfId="33397" xr:uid="{D5C82253-DCD9-41CA-8C06-744EC67CA34F}"/>
    <cellStyle name="Normal 2 6 4 4 7" xfId="33398" xr:uid="{9A1A37F2-B54F-4A2C-A652-65B50A294F89}"/>
    <cellStyle name="Normal 2 6 4 4 7 2" xfId="33399" xr:uid="{2C1D8184-8BF5-4135-9FAF-3991577C50EC}"/>
    <cellStyle name="Normal 2 6 4 4 7 3" xfId="33400" xr:uid="{FB89C74B-A600-490E-94E6-5EFD74F9CC64}"/>
    <cellStyle name="Normal 2 6 4 4 7 4" xfId="33401" xr:uid="{39D19CEB-799A-4D03-8702-C515535DD5E1}"/>
    <cellStyle name="Normal 2 6 4 4 7 5" xfId="33402" xr:uid="{AAB078A0-0B24-4552-9E98-F79D39D24787}"/>
    <cellStyle name="Normal 2 6 4 4 8" xfId="33403" xr:uid="{2E66CDE6-46F6-4A33-A36C-44D910428E04}"/>
    <cellStyle name="Normal 2 6 4 4 8 2" xfId="33404" xr:uid="{FA4A66C3-3A1C-474A-8BCE-40396F6406AE}"/>
    <cellStyle name="Normal 2 6 4 4 8 3" xfId="33405" xr:uid="{10269312-D843-4EE0-9B53-0B346C2AEE43}"/>
    <cellStyle name="Normal 2 6 4 4 8 4" xfId="33406" xr:uid="{D3822220-5371-4682-A338-BA6708D94A76}"/>
    <cellStyle name="Normal 2 6 4 4 8 5" xfId="33407" xr:uid="{12789E64-9A89-4D64-BB4F-9A241DE0A0FA}"/>
    <cellStyle name="Normal 2 6 4 4 9" xfId="33408" xr:uid="{F734625B-7DA1-44D4-AD0D-DDB28084AB34}"/>
    <cellStyle name="Normal 2 6 4 5" xfId="33409" xr:uid="{A6A2DC78-0585-49F7-87AC-4035A5B1E260}"/>
    <cellStyle name="Normal 2 6 4 5 2" xfId="33410" xr:uid="{CFFDFDB8-26DF-48D4-8488-D89501AF9440}"/>
    <cellStyle name="Normal 2 6 4 5 2 2" xfId="33411" xr:uid="{47B27106-C10E-40F2-A5D1-B3058A9290D8}"/>
    <cellStyle name="Normal 2 6 4 5 2 3" xfId="33412" xr:uid="{11F537C9-4627-49E2-AE96-C33D60BCC1F4}"/>
    <cellStyle name="Normal 2 6 4 5 2 4" xfId="33413" xr:uid="{E2E89AB8-215A-4F0C-8F31-575DDCEB4AD8}"/>
    <cellStyle name="Normal 2 6 4 5 2 5" xfId="33414" xr:uid="{C4040325-544A-4056-BB23-FBA9B50C048A}"/>
    <cellStyle name="Normal 2 6 4 5 3" xfId="33415" xr:uid="{4AFEF015-88B3-4211-97EC-1D58242D0BE7}"/>
    <cellStyle name="Normal 2 6 4 5 4" xfId="33416" xr:uid="{689D6C46-B218-4495-8F3D-1E5D370FB09A}"/>
    <cellStyle name="Normal 2 6 4 5 5" xfId="33417" xr:uid="{9EB148AE-771F-415E-ADDA-CAF13103699B}"/>
    <cellStyle name="Normal 2 6 4 5 6" xfId="33418" xr:uid="{9D134AB5-3FEF-4545-AF69-E1156DD28487}"/>
    <cellStyle name="Normal 2 6 4 6" xfId="33419" xr:uid="{F11291D6-5148-43F5-AFB0-AC948C0C3205}"/>
    <cellStyle name="Normal 2 6 4 6 2" xfId="33420" xr:uid="{3CFDB6B7-6C9A-4592-99AD-9A5C07F7EED2}"/>
    <cellStyle name="Normal 2 6 4 6 2 2" xfId="33421" xr:uid="{909FE294-17AC-4B3A-B935-457D6A1A5FF4}"/>
    <cellStyle name="Normal 2 6 4 6 2 3" xfId="33422" xr:uid="{2C5875BA-592D-4B3D-A524-1D285A399E0D}"/>
    <cellStyle name="Normal 2 6 4 6 2 4" xfId="33423" xr:uid="{0A55CFEA-34BC-4841-BBE5-DF396B721333}"/>
    <cellStyle name="Normal 2 6 4 6 2 5" xfId="33424" xr:uid="{809711D2-B67D-4055-A455-EA3867D85293}"/>
    <cellStyle name="Normal 2 6 4 6 3" xfId="33425" xr:uid="{7255F387-FCEF-4336-8B5C-75E7D00FF913}"/>
    <cellStyle name="Normal 2 6 4 6 4" xfId="33426" xr:uid="{8F6EB56B-2CB8-4AD4-9690-54861F1C3F15}"/>
    <cellStyle name="Normal 2 6 4 6 5" xfId="33427" xr:uid="{5E896DF7-9001-4F85-B375-6B061C149CF5}"/>
    <cellStyle name="Normal 2 6 4 6 6" xfId="33428" xr:uid="{47B804D8-0B69-4838-AC75-BA05F45760E9}"/>
    <cellStyle name="Normal 2 6 4 7" xfId="33429" xr:uid="{62CA4F02-5FE7-493C-8473-5158DB1692CE}"/>
    <cellStyle name="Normal 2 6 4 7 2" xfId="33430" xr:uid="{B89D34A2-1E84-45FE-A667-743145CCEC55}"/>
    <cellStyle name="Normal 2 6 4 7 2 2" xfId="33431" xr:uid="{4B07D794-F844-4874-9710-00C30B8079A8}"/>
    <cellStyle name="Normal 2 6 4 7 2 3" xfId="33432" xr:uid="{D485952C-052B-47A9-8DC7-4D07E4C66D0F}"/>
    <cellStyle name="Normal 2 6 4 7 2 4" xfId="33433" xr:uid="{28136A1D-5C64-40AD-A549-5195BF9CA8E5}"/>
    <cellStyle name="Normal 2 6 4 7 2 5" xfId="33434" xr:uid="{915E2932-8467-4992-92B9-B758D163EFA5}"/>
    <cellStyle name="Normal 2 6 4 7 3" xfId="33435" xr:uid="{12F6197C-DA39-43A9-9A29-A1ECE54C3119}"/>
    <cellStyle name="Normal 2 6 4 7 4" xfId="33436" xr:uid="{57B7526C-6DD4-42CD-80C1-098FB3885F7D}"/>
    <cellStyle name="Normal 2 6 4 7 5" xfId="33437" xr:uid="{BE9174E8-9735-4BD0-86DE-5DBAE18D45FA}"/>
    <cellStyle name="Normal 2 6 4 7 6" xfId="33438" xr:uid="{BD589F9C-F668-4C63-A5EE-1A8FCF45A142}"/>
    <cellStyle name="Normal 2 6 4 8" xfId="33439" xr:uid="{1D983E02-9409-49BA-8AE4-BFCA47DB6D04}"/>
    <cellStyle name="Normal 2 6 4 8 2" xfId="33440" xr:uid="{886885EA-4823-4640-878C-17FF6316911E}"/>
    <cellStyle name="Normal 2 6 4 8 3" xfId="33441" xr:uid="{BAA3B432-B607-4EC2-9ECD-295C445A3027}"/>
    <cellStyle name="Normal 2 6 4 8 4" xfId="33442" xr:uid="{55FDB2FB-CDF6-49DD-BC56-FE42DB8BA4C0}"/>
    <cellStyle name="Normal 2 6 4 8 5" xfId="33443" xr:uid="{0E71B973-3038-4482-B962-190563DA0451}"/>
    <cellStyle name="Normal 2 6 4 9" xfId="33444" xr:uid="{2F089FD6-D619-46B5-A69E-90188DFC9AFE}"/>
    <cellStyle name="Normal 2 6 4 9 2" xfId="33445" xr:uid="{31A1903B-C27B-4D33-BEC3-E1B9E4158AA2}"/>
    <cellStyle name="Normal 2 6 4 9 3" xfId="33446" xr:uid="{7BEBD64A-BD52-4083-A85E-D5F9CF3A9D0B}"/>
    <cellStyle name="Normal 2 6 4 9 4" xfId="33447" xr:uid="{CEAE15E8-17D2-4D9C-BFBE-270943A8778A}"/>
    <cellStyle name="Normal 2 6 4 9 5" xfId="33448" xr:uid="{38993486-36C4-4879-9A72-C1FC0683FED0}"/>
    <cellStyle name="Normal 2 6 5" xfId="33449" xr:uid="{96E8D61F-1F52-494D-ABB8-AE628E9DE8BB}"/>
    <cellStyle name="Normal 2 6 5 10" xfId="33450" xr:uid="{983D93F6-82FE-416C-95A6-AED362105A46}"/>
    <cellStyle name="Normal 2 6 5 10 2" xfId="33451" xr:uid="{C8EAF0CC-3A3C-4E2F-AC56-91AE9E153EA6}"/>
    <cellStyle name="Normal 2 6 5 10 3" xfId="33452" xr:uid="{233211F6-D480-464A-A73A-E328CBB97128}"/>
    <cellStyle name="Normal 2 6 5 10 4" xfId="33453" xr:uid="{45641C0A-6F56-467F-A26C-B5F68BE128C5}"/>
    <cellStyle name="Normal 2 6 5 10 5" xfId="33454" xr:uid="{5E961FAC-84C3-45C0-BE2A-4F1A11D29EF2}"/>
    <cellStyle name="Normal 2 6 5 11" xfId="33455" xr:uid="{19A49052-290C-4A5F-839B-BF171D54463A}"/>
    <cellStyle name="Normal 2 6 5 12" xfId="33456" xr:uid="{98AEAE88-5F9F-4BC2-9661-924614AD6066}"/>
    <cellStyle name="Normal 2 6 5 13" xfId="33457" xr:uid="{1675C231-F3A4-421F-A43B-DC31E0F403D5}"/>
    <cellStyle name="Normal 2 6 5 14" xfId="33458" xr:uid="{D8CE3D63-5080-45C0-913B-515A10474D52}"/>
    <cellStyle name="Normal 2 6 5 2" xfId="33459" xr:uid="{C481547A-E15A-4434-B3C3-58F1D4DDFDA8}"/>
    <cellStyle name="Normal 2 6 5 2 10" xfId="33460" xr:uid="{38B42825-D776-4AA2-84BB-3E57A7E1BEAB}"/>
    <cellStyle name="Normal 2 6 5 2 11" xfId="33461" xr:uid="{5165508E-9B67-49FC-94BF-ED33566E6178}"/>
    <cellStyle name="Normal 2 6 5 2 12" xfId="33462" xr:uid="{7150D129-8479-4536-9578-0F9B6AC1DE8F}"/>
    <cellStyle name="Normal 2 6 5 2 13" xfId="33463" xr:uid="{612280A2-5C6C-4148-B12B-3CBB4B1B834C}"/>
    <cellStyle name="Normal 2 6 5 2 2" xfId="33464" xr:uid="{E41093A5-C5D2-4033-A4D1-ABE26ADEDC9B}"/>
    <cellStyle name="Normal 2 6 5 2 2 10" xfId="33465" xr:uid="{61BEAAD7-E71B-4611-8AD8-E8D820B53134}"/>
    <cellStyle name="Normal 2 6 5 2 2 11" xfId="33466" xr:uid="{87E33074-2C81-4F0F-88C2-6FA6BC5422E3}"/>
    <cellStyle name="Normal 2 6 5 2 2 12" xfId="33467" xr:uid="{E9170DBE-1B5E-4D58-97AD-5366C763B282}"/>
    <cellStyle name="Normal 2 6 5 2 2 2" xfId="33468" xr:uid="{DAD1D003-F005-4DC8-A377-3A312D12E2EE}"/>
    <cellStyle name="Normal 2 6 5 2 2 2 2" xfId="33469" xr:uid="{72854092-8EB6-4A35-BEC1-952BAF05A491}"/>
    <cellStyle name="Normal 2 6 5 2 2 2 2 2" xfId="33470" xr:uid="{6E893318-C6BE-403D-8C91-AA56DAFA0384}"/>
    <cellStyle name="Normal 2 6 5 2 2 2 2 3" xfId="33471" xr:uid="{5B9F7BEF-6B2C-4FA2-82E9-9369425622D0}"/>
    <cellStyle name="Normal 2 6 5 2 2 2 2 4" xfId="33472" xr:uid="{FEA55343-4F70-4344-991E-9FB3CC540F4D}"/>
    <cellStyle name="Normal 2 6 5 2 2 2 2 5" xfId="33473" xr:uid="{AE8B9ADA-FB8B-408A-9226-F87C1377AFE0}"/>
    <cellStyle name="Normal 2 6 5 2 2 2 3" xfId="33474" xr:uid="{77765BCA-3133-4042-88E2-FF5158EA9646}"/>
    <cellStyle name="Normal 2 6 5 2 2 2 4" xfId="33475" xr:uid="{9A791696-BE97-49D5-AA0A-5811D6C42897}"/>
    <cellStyle name="Normal 2 6 5 2 2 2 5" xfId="33476" xr:uid="{E0EC81CB-A09E-4234-8902-E22822A75A1F}"/>
    <cellStyle name="Normal 2 6 5 2 2 2 6" xfId="33477" xr:uid="{16B66874-DD1D-494F-B0B8-5D61CA263656}"/>
    <cellStyle name="Normal 2 6 5 2 2 3" xfId="33478" xr:uid="{513BF352-688B-468F-ACBE-092A4EFD4FFE}"/>
    <cellStyle name="Normal 2 6 5 2 2 3 2" xfId="33479" xr:uid="{D5AC44F3-D644-408D-B48C-C634AAE4F023}"/>
    <cellStyle name="Normal 2 6 5 2 2 3 2 2" xfId="33480" xr:uid="{885B6041-E9CF-4089-9941-1C7D2F9C7826}"/>
    <cellStyle name="Normal 2 6 5 2 2 3 2 3" xfId="33481" xr:uid="{C9198922-E0AD-4AD3-BEC7-0C88B35B355A}"/>
    <cellStyle name="Normal 2 6 5 2 2 3 2 4" xfId="33482" xr:uid="{C828C593-A9D5-4DD2-845D-A03EDAD7AD89}"/>
    <cellStyle name="Normal 2 6 5 2 2 3 2 5" xfId="33483" xr:uid="{506D070E-785D-4815-A286-AD29EF689D9B}"/>
    <cellStyle name="Normal 2 6 5 2 2 3 3" xfId="33484" xr:uid="{A2E2B5E9-5962-4732-8231-56D4C6E3D09C}"/>
    <cellStyle name="Normal 2 6 5 2 2 3 4" xfId="33485" xr:uid="{1A5BA4D7-0BCF-4D42-984A-525448E810F0}"/>
    <cellStyle name="Normal 2 6 5 2 2 3 5" xfId="33486" xr:uid="{A5CACE26-626C-4B9D-B4C1-F4FFFC6C779B}"/>
    <cellStyle name="Normal 2 6 5 2 2 3 6" xfId="33487" xr:uid="{CCBF33AB-58D1-4548-8449-E5936015FAED}"/>
    <cellStyle name="Normal 2 6 5 2 2 4" xfId="33488" xr:uid="{6661390A-7CB4-4E6E-B28B-353EC76C0862}"/>
    <cellStyle name="Normal 2 6 5 2 2 4 2" xfId="33489" xr:uid="{68E3E3B9-F74B-414B-ABD9-DFA0A8336160}"/>
    <cellStyle name="Normal 2 6 5 2 2 4 2 2" xfId="33490" xr:uid="{A034F71A-A553-40FF-8583-790A29F01E65}"/>
    <cellStyle name="Normal 2 6 5 2 2 4 2 3" xfId="33491" xr:uid="{4BD605EF-31F5-4028-939F-6F7048CD883A}"/>
    <cellStyle name="Normal 2 6 5 2 2 4 2 4" xfId="33492" xr:uid="{E6CD4DD5-8D2A-4D4C-8FBB-4E041F4E3426}"/>
    <cellStyle name="Normal 2 6 5 2 2 4 2 5" xfId="33493" xr:uid="{B30181B7-A977-4070-9BD3-09798D80EF2D}"/>
    <cellStyle name="Normal 2 6 5 2 2 4 3" xfId="33494" xr:uid="{FAC511AF-123C-4FE1-B7E4-7128592940A4}"/>
    <cellStyle name="Normal 2 6 5 2 2 4 4" xfId="33495" xr:uid="{7E5860C8-4F61-4C87-AF75-1F5AD23D38BB}"/>
    <cellStyle name="Normal 2 6 5 2 2 4 5" xfId="33496" xr:uid="{B7B9AC89-8F8F-446E-8ECE-EC67A7282B3D}"/>
    <cellStyle name="Normal 2 6 5 2 2 4 6" xfId="33497" xr:uid="{6B29B8AD-4616-4DCD-B8BE-D53B48E25889}"/>
    <cellStyle name="Normal 2 6 5 2 2 5" xfId="33498" xr:uid="{4C94AC54-0CEA-4164-99F4-E2412E8C63FF}"/>
    <cellStyle name="Normal 2 6 5 2 2 5 2" xfId="33499" xr:uid="{D1031FB9-49AE-4DE1-9FF3-926C601A3328}"/>
    <cellStyle name="Normal 2 6 5 2 2 5 3" xfId="33500" xr:uid="{9850C23E-6CC7-4140-8D4E-F540067CF175}"/>
    <cellStyle name="Normal 2 6 5 2 2 5 4" xfId="33501" xr:uid="{648016A3-05B0-4CCA-AE8E-E2CF1CC74A60}"/>
    <cellStyle name="Normal 2 6 5 2 2 5 5" xfId="33502" xr:uid="{8B25F914-FF36-45FC-880A-68559CC692DB}"/>
    <cellStyle name="Normal 2 6 5 2 2 6" xfId="33503" xr:uid="{762FC635-F0A6-490B-B2D4-A8F3F8618820}"/>
    <cellStyle name="Normal 2 6 5 2 2 6 2" xfId="33504" xr:uid="{97E7ADA8-F42E-4C31-8AFE-1B015522B616}"/>
    <cellStyle name="Normal 2 6 5 2 2 6 3" xfId="33505" xr:uid="{99F8D1E0-5D83-460D-BA9F-BE2E1AB3FD3C}"/>
    <cellStyle name="Normal 2 6 5 2 2 6 4" xfId="33506" xr:uid="{D4127174-70E6-4A74-AFCE-EB61115AA5E4}"/>
    <cellStyle name="Normal 2 6 5 2 2 6 5" xfId="33507" xr:uid="{37B0C95D-25EF-4F62-99E3-258B57BBB46C}"/>
    <cellStyle name="Normal 2 6 5 2 2 7" xfId="33508" xr:uid="{C584E6FC-6FF5-4EE6-8483-F3AF45E10A9B}"/>
    <cellStyle name="Normal 2 6 5 2 2 7 2" xfId="33509" xr:uid="{C0FD16A9-2114-4E5F-9EFC-FB1E5EDA5C84}"/>
    <cellStyle name="Normal 2 6 5 2 2 7 3" xfId="33510" xr:uid="{FA1D6EFF-7A2C-49B2-825D-FCC50D40A308}"/>
    <cellStyle name="Normal 2 6 5 2 2 7 4" xfId="33511" xr:uid="{CCCEABAE-F2E4-4C6D-8F05-107F530B6FEC}"/>
    <cellStyle name="Normal 2 6 5 2 2 7 5" xfId="33512" xr:uid="{7D860D6C-201A-4B7B-BD61-003AA52872BC}"/>
    <cellStyle name="Normal 2 6 5 2 2 8" xfId="33513" xr:uid="{C77525DC-EB54-4055-9E45-5222C5166428}"/>
    <cellStyle name="Normal 2 6 5 2 2 8 2" xfId="33514" xr:uid="{C89E3F97-F4D5-4767-A112-2F308BD3ED3F}"/>
    <cellStyle name="Normal 2 6 5 2 2 8 3" xfId="33515" xr:uid="{18114C99-B06F-49B2-8327-F3A24F56905D}"/>
    <cellStyle name="Normal 2 6 5 2 2 8 4" xfId="33516" xr:uid="{FDC90FF1-B40D-445D-88C3-16D123522F88}"/>
    <cellStyle name="Normal 2 6 5 2 2 8 5" xfId="33517" xr:uid="{AAB220B8-CB3C-44B6-912C-3B03A8415B03}"/>
    <cellStyle name="Normal 2 6 5 2 2 9" xfId="33518" xr:uid="{49FEF23D-2D63-4D76-9EC4-142F31343F7A}"/>
    <cellStyle name="Normal 2 6 5 2 3" xfId="33519" xr:uid="{E7E869B3-37E2-452D-8B2A-C203438EFD8B}"/>
    <cellStyle name="Normal 2 6 5 2 3 2" xfId="33520" xr:uid="{A83E300C-D456-4794-AEE0-7619BB742867}"/>
    <cellStyle name="Normal 2 6 5 2 3 2 2" xfId="33521" xr:uid="{F70E9432-CAAB-487A-A163-28A72423B5D8}"/>
    <cellStyle name="Normal 2 6 5 2 3 2 3" xfId="33522" xr:uid="{6AE66ADC-DA30-4C8F-86CD-1CB1746A7B33}"/>
    <cellStyle name="Normal 2 6 5 2 3 2 4" xfId="33523" xr:uid="{BA2E94FB-851D-4D67-B20B-E657DB0C4203}"/>
    <cellStyle name="Normal 2 6 5 2 3 2 5" xfId="33524" xr:uid="{FC60F7A0-8B9F-4D61-9C89-394CC6FF1EB4}"/>
    <cellStyle name="Normal 2 6 5 2 3 3" xfId="33525" xr:uid="{27F1F3FA-1FF6-47BE-86A8-038B71B93A11}"/>
    <cellStyle name="Normal 2 6 5 2 3 4" xfId="33526" xr:uid="{05E679D9-8CC7-4EDD-AB24-E0365FB08117}"/>
    <cellStyle name="Normal 2 6 5 2 3 5" xfId="33527" xr:uid="{7840E1A3-B910-4520-BCD2-7A0AF909FDED}"/>
    <cellStyle name="Normal 2 6 5 2 3 6" xfId="33528" xr:uid="{1E4B57E7-DAB8-4DD8-BB0C-94C3AFB1B0C4}"/>
    <cellStyle name="Normal 2 6 5 2 4" xfId="33529" xr:uid="{938F27FB-85CF-4BE7-A4DE-339F57B4CED8}"/>
    <cellStyle name="Normal 2 6 5 2 4 2" xfId="33530" xr:uid="{DAF97AF0-8218-4AF9-B41D-7436BD8F218F}"/>
    <cellStyle name="Normal 2 6 5 2 4 2 2" xfId="33531" xr:uid="{36EF1EA2-69BE-4F57-ADCA-120E8CCCEF3E}"/>
    <cellStyle name="Normal 2 6 5 2 4 2 3" xfId="33532" xr:uid="{83C0BD72-08A6-4008-8776-B75B673FFA75}"/>
    <cellStyle name="Normal 2 6 5 2 4 2 4" xfId="33533" xr:uid="{C726D66E-FE2B-4803-B35B-B6D4CB6D06C0}"/>
    <cellStyle name="Normal 2 6 5 2 4 2 5" xfId="33534" xr:uid="{9BF2892C-8C54-4949-BFDF-6764B0BFD257}"/>
    <cellStyle name="Normal 2 6 5 2 4 3" xfId="33535" xr:uid="{A88A0283-6D8C-46BE-BEBB-557A268C82EC}"/>
    <cellStyle name="Normal 2 6 5 2 4 4" xfId="33536" xr:uid="{2C8B9DD1-7D02-4E64-B28B-8D4992F83CB3}"/>
    <cellStyle name="Normal 2 6 5 2 4 5" xfId="33537" xr:uid="{F20B88FA-C483-42F2-9AB7-7D6683D44EEF}"/>
    <cellStyle name="Normal 2 6 5 2 4 6" xfId="33538" xr:uid="{AE857220-EC09-40EE-8696-1B54BEF59F07}"/>
    <cellStyle name="Normal 2 6 5 2 5" xfId="33539" xr:uid="{94CAFA56-4B77-4B24-97C7-FC3EEA2FB5BF}"/>
    <cellStyle name="Normal 2 6 5 2 5 2" xfId="33540" xr:uid="{017D97F4-CB3C-4C83-BE20-2239FC51EE6F}"/>
    <cellStyle name="Normal 2 6 5 2 5 2 2" xfId="33541" xr:uid="{1AF2C159-FFBD-47DB-B533-0365A0D1C7D8}"/>
    <cellStyle name="Normal 2 6 5 2 5 2 3" xfId="33542" xr:uid="{F0D4D31D-A6DD-46D0-956D-7344DBF3272D}"/>
    <cellStyle name="Normal 2 6 5 2 5 2 4" xfId="33543" xr:uid="{CEC0773F-2F06-4469-A5BF-E9C90A7A0EE9}"/>
    <cellStyle name="Normal 2 6 5 2 5 2 5" xfId="33544" xr:uid="{F29062E3-0971-4E5B-8A51-FEE6805C4AF8}"/>
    <cellStyle name="Normal 2 6 5 2 5 3" xfId="33545" xr:uid="{1AC90FE1-D00C-4202-909F-E16099E74A86}"/>
    <cellStyle name="Normal 2 6 5 2 5 4" xfId="33546" xr:uid="{643988A7-89FD-4819-8E38-63033A1E46D2}"/>
    <cellStyle name="Normal 2 6 5 2 5 5" xfId="33547" xr:uid="{D384BB88-7F03-4E2F-AAFA-C94B4FAA4F69}"/>
    <cellStyle name="Normal 2 6 5 2 5 6" xfId="33548" xr:uid="{F9630C3C-8B66-482E-BA1A-596F78E68F1C}"/>
    <cellStyle name="Normal 2 6 5 2 6" xfId="33549" xr:uid="{C007CA21-7158-4AB6-8881-A16555F589B6}"/>
    <cellStyle name="Normal 2 6 5 2 6 2" xfId="33550" xr:uid="{B480CB3B-6F45-43DB-B66A-EA06DA02832D}"/>
    <cellStyle name="Normal 2 6 5 2 6 3" xfId="33551" xr:uid="{50797626-66DB-4106-8D3D-522FE5FD69A4}"/>
    <cellStyle name="Normal 2 6 5 2 6 4" xfId="33552" xr:uid="{39C192C2-137C-46E8-B632-069348E31458}"/>
    <cellStyle name="Normal 2 6 5 2 6 5" xfId="33553" xr:uid="{4292DFF5-A03A-4A09-BFE1-46D584E56470}"/>
    <cellStyle name="Normal 2 6 5 2 7" xfId="33554" xr:uid="{2A2AA9E0-E9F6-410D-88DD-A1980821072C}"/>
    <cellStyle name="Normal 2 6 5 2 7 2" xfId="33555" xr:uid="{87270E8D-2031-4519-A32E-F57E5FE346C8}"/>
    <cellStyle name="Normal 2 6 5 2 7 3" xfId="33556" xr:uid="{34BC9DC6-7456-4C03-99A1-12DEB4E88927}"/>
    <cellStyle name="Normal 2 6 5 2 7 4" xfId="33557" xr:uid="{B28D80EB-DC9F-4D70-B031-F74AC054E335}"/>
    <cellStyle name="Normal 2 6 5 2 7 5" xfId="33558" xr:uid="{0848E4A9-68B0-42B8-A7B0-DC2AD021CE2E}"/>
    <cellStyle name="Normal 2 6 5 2 8" xfId="33559" xr:uid="{B31668FF-136F-4D86-9CE3-2C68A422F43C}"/>
    <cellStyle name="Normal 2 6 5 2 8 2" xfId="33560" xr:uid="{BEE9382F-B741-4B36-86EB-329AA9356CA1}"/>
    <cellStyle name="Normal 2 6 5 2 8 3" xfId="33561" xr:uid="{8124BCE7-3AEF-4113-9552-7F9C265994F1}"/>
    <cellStyle name="Normal 2 6 5 2 8 4" xfId="33562" xr:uid="{BC547D2D-4841-4779-8681-B7DAA25211AF}"/>
    <cellStyle name="Normal 2 6 5 2 8 5" xfId="33563" xr:uid="{FCB41EA1-4B46-4D58-9221-3844FF4A83AE}"/>
    <cellStyle name="Normal 2 6 5 2 9" xfId="33564" xr:uid="{F37D6D18-1950-4C5F-B339-4BC82084C8FD}"/>
    <cellStyle name="Normal 2 6 5 2 9 2" xfId="33565" xr:uid="{F9ECD129-A0E8-42BD-A5BC-A8F68C8C74A3}"/>
    <cellStyle name="Normal 2 6 5 2 9 3" xfId="33566" xr:uid="{1679B0C4-2F82-430B-90E0-65E3B766E275}"/>
    <cellStyle name="Normal 2 6 5 2 9 4" xfId="33567" xr:uid="{36BBAFBD-3540-4333-BD2B-F9C58E02A796}"/>
    <cellStyle name="Normal 2 6 5 2 9 5" xfId="33568" xr:uid="{F640BE3E-FDE6-4E25-B9C4-330D3D2A4355}"/>
    <cellStyle name="Normal 2 6 5 3" xfId="33569" xr:uid="{C81DB013-254E-4E94-B2A3-C370EEE6A81A}"/>
    <cellStyle name="Normal 2 6 5 3 10" xfId="33570" xr:uid="{65E2F2BE-CBEC-410B-A8C1-88FB61659B2C}"/>
    <cellStyle name="Normal 2 6 5 3 11" xfId="33571" xr:uid="{5FF2BEFE-34EE-4139-81C0-A6095F3B5DDF}"/>
    <cellStyle name="Normal 2 6 5 3 12" xfId="33572" xr:uid="{324FC4D7-4455-47DC-84B3-14AF0D2DDE8E}"/>
    <cellStyle name="Normal 2 6 5 3 2" xfId="33573" xr:uid="{7D0EE98F-49C8-4B10-ADB9-EE783E086BD2}"/>
    <cellStyle name="Normal 2 6 5 3 2 2" xfId="33574" xr:uid="{0A50D91C-F660-42B8-BBA4-19E8D11B6C5A}"/>
    <cellStyle name="Normal 2 6 5 3 2 2 2" xfId="33575" xr:uid="{54B92D5F-9608-410C-833E-5E582F367CBE}"/>
    <cellStyle name="Normal 2 6 5 3 2 2 3" xfId="33576" xr:uid="{62D2616B-4256-47FD-B6D5-C28A4FCFE706}"/>
    <cellStyle name="Normal 2 6 5 3 2 2 4" xfId="33577" xr:uid="{37230C8D-9789-4551-9BEF-B67C9385012A}"/>
    <cellStyle name="Normal 2 6 5 3 2 2 5" xfId="33578" xr:uid="{4CCB358E-5575-4263-B301-FE66D7CE1527}"/>
    <cellStyle name="Normal 2 6 5 3 2 3" xfId="33579" xr:uid="{89EDED50-07E4-4836-BECF-1998818735FD}"/>
    <cellStyle name="Normal 2 6 5 3 2 4" xfId="33580" xr:uid="{21496546-362A-484B-987D-34A1BAA1A617}"/>
    <cellStyle name="Normal 2 6 5 3 2 5" xfId="33581" xr:uid="{464D61A3-452D-45BB-9827-389CF48C6302}"/>
    <cellStyle name="Normal 2 6 5 3 2 6" xfId="33582" xr:uid="{33FB3ED2-1636-49C7-8D51-EC90CD25D621}"/>
    <cellStyle name="Normal 2 6 5 3 3" xfId="33583" xr:uid="{5F46774F-9956-4346-8625-548AA46E1C49}"/>
    <cellStyle name="Normal 2 6 5 3 3 2" xfId="33584" xr:uid="{CCE83EC4-852D-4DA0-9D58-12300D58F2D5}"/>
    <cellStyle name="Normal 2 6 5 3 3 2 2" xfId="33585" xr:uid="{7EEEAFDA-CEC3-408B-8AD9-BFDBA0F891F5}"/>
    <cellStyle name="Normal 2 6 5 3 3 2 3" xfId="33586" xr:uid="{10047A6D-E296-45FA-A6AF-4A5A5FEABF4A}"/>
    <cellStyle name="Normal 2 6 5 3 3 2 4" xfId="33587" xr:uid="{CC10D3CF-D1CF-4A94-8E56-96F45054EEF1}"/>
    <cellStyle name="Normal 2 6 5 3 3 2 5" xfId="33588" xr:uid="{8B717E16-1828-4CE8-BA57-DBCF7DD72992}"/>
    <cellStyle name="Normal 2 6 5 3 3 3" xfId="33589" xr:uid="{7B61B367-DD68-41B5-B5AF-022F5D9754D9}"/>
    <cellStyle name="Normal 2 6 5 3 3 4" xfId="33590" xr:uid="{48C96DC0-2F93-42B2-ACD5-40B93CE9FD0E}"/>
    <cellStyle name="Normal 2 6 5 3 3 5" xfId="33591" xr:uid="{18521391-54E0-4F86-AFA9-C41EC6531324}"/>
    <cellStyle name="Normal 2 6 5 3 3 6" xfId="33592" xr:uid="{6E2FADEE-EE6C-4E2C-8A12-336932CB01F2}"/>
    <cellStyle name="Normal 2 6 5 3 4" xfId="33593" xr:uid="{7DF863D6-1BC4-420C-BCE4-14A540F58D77}"/>
    <cellStyle name="Normal 2 6 5 3 4 2" xfId="33594" xr:uid="{10286189-C352-4B34-AB95-7F37E0F1AE2B}"/>
    <cellStyle name="Normal 2 6 5 3 4 2 2" xfId="33595" xr:uid="{F505678C-2489-4475-A2DD-620E39E789E0}"/>
    <cellStyle name="Normal 2 6 5 3 4 2 3" xfId="33596" xr:uid="{B1A000D6-B096-49C8-8D33-2EC96FE12ACB}"/>
    <cellStyle name="Normal 2 6 5 3 4 2 4" xfId="33597" xr:uid="{88F7D46F-3941-4AC0-B00C-A485EDD9B7DD}"/>
    <cellStyle name="Normal 2 6 5 3 4 2 5" xfId="33598" xr:uid="{0CDAD8DE-9ED2-4FB8-BCAF-3697E4337198}"/>
    <cellStyle name="Normal 2 6 5 3 4 3" xfId="33599" xr:uid="{78EA820E-B6F6-4225-8172-13AEE5B480F1}"/>
    <cellStyle name="Normal 2 6 5 3 4 4" xfId="33600" xr:uid="{6D24D7A3-E569-4588-A491-FF90B5EF0802}"/>
    <cellStyle name="Normal 2 6 5 3 4 5" xfId="33601" xr:uid="{8203FD33-6FB1-4CD9-AC21-5CC5BD0A2932}"/>
    <cellStyle name="Normal 2 6 5 3 4 6" xfId="33602" xr:uid="{D83363AB-DEF5-470B-B45E-7D542B7DA060}"/>
    <cellStyle name="Normal 2 6 5 3 5" xfId="33603" xr:uid="{CEE18E06-93A5-459D-95AD-B1E7736A1903}"/>
    <cellStyle name="Normal 2 6 5 3 5 2" xfId="33604" xr:uid="{AA94ACCD-921B-449B-A0D7-75A6151D4E86}"/>
    <cellStyle name="Normal 2 6 5 3 5 3" xfId="33605" xr:uid="{4F38BB5F-C073-4F9B-B9A6-CFA2093BA0BD}"/>
    <cellStyle name="Normal 2 6 5 3 5 4" xfId="33606" xr:uid="{E74D9019-1BBA-4A34-87BA-968260A5306E}"/>
    <cellStyle name="Normal 2 6 5 3 5 5" xfId="33607" xr:uid="{A462343C-FE2E-4D3C-8160-E1387C1B804A}"/>
    <cellStyle name="Normal 2 6 5 3 6" xfId="33608" xr:uid="{32260084-CDB6-4102-93E4-B2E4950D2C5C}"/>
    <cellStyle name="Normal 2 6 5 3 6 2" xfId="33609" xr:uid="{F2A19B0A-FFE9-4288-81C3-EE1CA64FBD40}"/>
    <cellStyle name="Normal 2 6 5 3 6 3" xfId="33610" xr:uid="{061AF3B0-2E8F-4771-BD59-3E10C5305990}"/>
    <cellStyle name="Normal 2 6 5 3 6 4" xfId="33611" xr:uid="{6E93DEF0-A657-4223-BDA2-DA3A750476CC}"/>
    <cellStyle name="Normal 2 6 5 3 6 5" xfId="33612" xr:uid="{410489D6-A5CE-419B-B538-F0250DA39696}"/>
    <cellStyle name="Normal 2 6 5 3 7" xfId="33613" xr:uid="{701DA9A1-E9A5-4812-ACFB-871AA6865404}"/>
    <cellStyle name="Normal 2 6 5 3 7 2" xfId="33614" xr:uid="{FF3DB348-D565-47E3-B1F1-3C1059147BC6}"/>
    <cellStyle name="Normal 2 6 5 3 7 3" xfId="33615" xr:uid="{5832BACF-6FAE-4A71-A317-BE9932F64B2B}"/>
    <cellStyle name="Normal 2 6 5 3 7 4" xfId="33616" xr:uid="{321FF2F3-0F42-4300-A8D3-9BADB9B8AEAC}"/>
    <cellStyle name="Normal 2 6 5 3 7 5" xfId="33617" xr:uid="{EAD55C75-90EC-4D19-B4EC-5DC40C397A3F}"/>
    <cellStyle name="Normal 2 6 5 3 8" xfId="33618" xr:uid="{612D0A61-5F7D-4BAB-94D6-D6FC396ECDEC}"/>
    <cellStyle name="Normal 2 6 5 3 8 2" xfId="33619" xr:uid="{90356225-D995-4478-8CF1-A111818CEB7D}"/>
    <cellStyle name="Normal 2 6 5 3 8 3" xfId="33620" xr:uid="{71B0B441-56FA-4CDF-A718-08D53A9260A5}"/>
    <cellStyle name="Normal 2 6 5 3 8 4" xfId="33621" xr:uid="{A40CC5BA-018B-41A8-A6B1-3F338B6B88DC}"/>
    <cellStyle name="Normal 2 6 5 3 8 5" xfId="33622" xr:uid="{0817BB83-D5CE-4F6D-8161-0FD812AB5003}"/>
    <cellStyle name="Normal 2 6 5 3 9" xfId="33623" xr:uid="{7B08E805-FF66-4628-B94E-0916EE50B041}"/>
    <cellStyle name="Normal 2 6 5 4" xfId="33624" xr:uid="{15997DE1-82D2-4928-B1BD-A2CE766AB22C}"/>
    <cellStyle name="Normal 2 6 5 4 2" xfId="33625" xr:uid="{C62AAD02-A0B8-4B77-94A5-D6335ABD2ED7}"/>
    <cellStyle name="Normal 2 6 5 4 2 2" xfId="33626" xr:uid="{CEC5B70F-79E8-41B1-B412-91D91945CFC2}"/>
    <cellStyle name="Normal 2 6 5 4 2 3" xfId="33627" xr:uid="{38F52950-64D6-4DA4-BDBE-8A9814DDDEE1}"/>
    <cellStyle name="Normal 2 6 5 4 2 4" xfId="33628" xr:uid="{45A595EC-C2B0-4703-B5EE-E0E21F49EA7E}"/>
    <cellStyle name="Normal 2 6 5 4 2 5" xfId="33629" xr:uid="{085E589E-3224-432F-9EB3-B409890A1B53}"/>
    <cellStyle name="Normal 2 6 5 4 3" xfId="33630" xr:uid="{9B054922-549B-43E2-B644-8290A131621E}"/>
    <cellStyle name="Normal 2 6 5 4 4" xfId="33631" xr:uid="{9AEA4472-7FDE-4C5B-AA53-9F73D46AAF53}"/>
    <cellStyle name="Normal 2 6 5 4 5" xfId="33632" xr:uid="{0A2E852E-C6EB-47CB-B081-53DD9D614EF9}"/>
    <cellStyle name="Normal 2 6 5 4 6" xfId="33633" xr:uid="{424F2C35-8CD7-438C-B90B-FB0C8154DF50}"/>
    <cellStyle name="Normal 2 6 5 5" xfId="33634" xr:uid="{68D5BCF4-0997-4927-8D9C-C6F95E24C302}"/>
    <cellStyle name="Normal 2 6 5 5 2" xfId="33635" xr:uid="{9E5C5C38-6DE0-471B-B9B8-0A46F4F98BA1}"/>
    <cellStyle name="Normal 2 6 5 5 2 2" xfId="33636" xr:uid="{B3DFB320-BC56-4525-87DC-2E0118E9EACE}"/>
    <cellStyle name="Normal 2 6 5 5 2 3" xfId="33637" xr:uid="{FC233F97-4C02-479E-A405-E1A55807A6D2}"/>
    <cellStyle name="Normal 2 6 5 5 2 4" xfId="33638" xr:uid="{CB152787-A6B4-4070-B55F-65B05D94FA78}"/>
    <cellStyle name="Normal 2 6 5 5 2 5" xfId="33639" xr:uid="{38089788-57CE-4AAA-99F7-E4C19A247FD4}"/>
    <cellStyle name="Normal 2 6 5 5 3" xfId="33640" xr:uid="{B9032E7E-569A-4FD9-A299-B14EC4DC1FD2}"/>
    <cellStyle name="Normal 2 6 5 5 4" xfId="33641" xr:uid="{8D9DCB8F-A7A1-4A4F-97D1-670763E75108}"/>
    <cellStyle name="Normal 2 6 5 5 5" xfId="33642" xr:uid="{6E9F0C52-775B-4303-8280-FE245847920F}"/>
    <cellStyle name="Normal 2 6 5 5 6" xfId="33643" xr:uid="{614B8EE6-4B40-495F-8696-813E5A1235DD}"/>
    <cellStyle name="Normal 2 6 5 6" xfId="33644" xr:uid="{5364C134-C193-4AA2-9430-63CAFCDEB733}"/>
    <cellStyle name="Normal 2 6 5 6 2" xfId="33645" xr:uid="{AD3AAF25-51E3-455A-9787-DC59595E44A6}"/>
    <cellStyle name="Normal 2 6 5 6 2 2" xfId="33646" xr:uid="{A89A9FC0-BECC-4132-8AB6-96D96BAC1661}"/>
    <cellStyle name="Normal 2 6 5 6 2 3" xfId="33647" xr:uid="{846174B6-7744-468E-B77A-76F55ED2CEF0}"/>
    <cellStyle name="Normal 2 6 5 6 2 4" xfId="33648" xr:uid="{1DA2AB08-091D-4685-8787-A89AFC657F7B}"/>
    <cellStyle name="Normal 2 6 5 6 2 5" xfId="33649" xr:uid="{D19F3098-30B4-478D-B9D7-AE19772849CD}"/>
    <cellStyle name="Normal 2 6 5 6 3" xfId="33650" xr:uid="{129D8888-0123-48A6-92CB-940CCD743F28}"/>
    <cellStyle name="Normal 2 6 5 6 4" xfId="33651" xr:uid="{00069DCF-B6DF-431B-A336-547C8C5F45A8}"/>
    <cellStyle name="Normal 2 6 5 6 5" xfId="33652" xr:uid="{4B5914FC-8823-4247-9BD9-8E7D223EFF06}"/>
    <cellStyle name="Normal 2 6 5 6 6" xfId="33653" xr:uid="{FD758602-42A7-4B4C-A50C-18D5D19AEE21}"/>
    <cellStyle name="Normal 2 6 5 7" xfId="33654" xr:uid="{27E0F5B3-5D3C-4AE7-900D-526FDBF4C5EB}"/>
    <cellStyle name="Normal 2 6 5 7 2" xfId="33655" xr:uid="{59B4FE92-825D-4A63-B98E-D6652D6CA516}"/>
    <cellStyle name="Normal 2 6 5 7 3" xfId="33656" xr:uid="{0CD4F0ED-0776-4DA7-92C9-84F35750AE23}"/>
    <cellStyle name="Normal 2 6 5 7 4" xfId="33657" xr:uid="{77EE8B04-EFD5-4E47-9974-2C0AD71CECBA}"/>
    <cellStyle name="Normal 2 6 5 7 5" xfId="33658" xr:uid="{6A5E9E09-7D29-4B8E-B234-F9A997495C36}"/>
    <cellStyle name="Normal 2 6 5 8" xfId="33659" xr:uid="{96492891-61F7-4540-863D-589C22F1C21F}"/>
    <cellStyle name="Normal 2 6 5 8 2" xfId="33660" xr:uid="{7F8E0BE9-65B0-4915-833C-BE3ED6865A6F}"/>
    <cellStyle name="Normal 2 6 5 8 3" xfId="33661" xr:uid="{A4BF846B-7F93-4A6B-A70A-590764623D49}"/>
    <cellStyle name="Normal 2 6 5 8 4" xfId="33662" xr:uid="{A01B3A60-DDF4-4AB9-A951-EFBDAF2B2082}"/>
    <cellStyle name="Normal 2 6 5 8 5" xfId="33663" xr:uid="{EE53D70B-90B7-466F-B439-E36C633586E5}"/>
    <cellStyle name="Normal 2 6 5 9" xfId="33664" xr:uid="{FF5DE027-CB3C-42F5-8D0D-20861CDB3E46}"/>
    <cellStyle name="Normal 2 6 5 9 2" xfId="33665" xr:uid="{BAD33471-E231-4B75-A52E-FDFFAC3FFC7F}"/>
    <cellStyle name="Normal 2 6 5 9 3" xfId="33666" xr:uid="{32745E2D-142E-4A59-9B89-6CC4D48B568E}"/>
    <cellStyle name="Normal 2 6 5 9 4" xfId="33667" xr:uid="{54962A86-4E61-447A-B8F6-CC28B6A13F68}"/>
    <cellStyle name="Normal 2 6 5 9 5" xfId="33668" xr:uid="{3B5A27EA-6FCE-4274-8D3B-A0B331A680BA}"/>
    <cellStyle name="Normal 2 6 6" xfId="33669" xr:uid="{ED29551C-C020-422C-9D66-FFE2C71FB789}"/>
    <cellStyle name="Normal 2 6 6 10" xfId="33670" xr:uid="{0466A127-6FF6-41F9-AF1C-65A6DE67C4E0}"/>
    <cellStyle name="Normal 2 6 6 11" xfId="33671" xr:uid="{3375AFDC-2AB4-467B-8DDE-1673B63F1C68}"/>
    <cellStyle name="Normal 2 6 6 12" xfId="33672" xr:uid="{0D9D3212-D9F1-4E5F-A86D-9434B48F04AC}"/>
    <cellStyle name="Normal 2 6 6 13" xfId="33673" xr:uid="{3C762100-440F-47CB-9FBC-5E282FAB9CE3}"/>
    <cellStyle name="Normal 2 6 6 2" xfId="33674" xr:uid="{FFB8EB99-082E-44A2-BCE3-9F60D2D7506E}"/>
    <cellStyle name="Normal 2 6 6 2 10" xfId="33675" xr:uid="{A8A82578-9127-455F-AED5-38EFFB0F57AE}"/>
    <cellStyle name="Normal 2 6 6 2 11" xfId="33676" xr:uid="{19A88C57-9285-41CC-98DB-B9AB8E35C15D}"/>
    <cellStyle name="Normal 2 6 6 2 12" xfId="33677" xr:uid="{07767F62-5A66-4AC8-A426-466E28BC7042}"/>
    <cellStyle name="Normal 2 6 6 2 2" xfId="33678" xr:uid="{5297EE33-88B5-43BB-9F37-858E52E7C0DA}"/>
    <cellStyle name="Normal 2 6 6 2 2 2" xfId="33679" xr:uid="{305AE313-852F-4D64-9A5B-490C0A1DCE11}"/>
    <cellStyle name="Normal 2 6 6 2 2 2 2" xfId="33680" xr:uid="{75038BA9-DF2C-46F1-AADD-5DFC8A1A542E}"/>
    <cellStyle name="Normal 2 6 6 2 2 2 3" xfId="33681" xr:uid="{9604BA1B-CC8A-43B1-B942-BA2BF1C1F5D5}"/>
    <cellStyle name="Normal 2 6 6 2 2 2 4" xfId="33682" xr:uid="{AC215AB4-C88D-44DC-B56A-F7F80701A2A1}"/>
    <cellStyle name="Normal 2 6 6 2 2 2 5" xfId="33683" xr:uid="{F86A86CA-86FC-4520-A5B7-3A74724CDACE}"/>
    <cellStyle name="Normal 2 6 6 2 2 3" xfId="33684" xr:uid="{5E9028BF-2FE1-4070-87C6-0D7F32129223}"/>
    <cellStyle name="Normal 2 6 6 2 2 4" xfId="33685" xr:uid="{6D7E87B9-BA62-43AF-96EB-E64A7EDB394B}"/>
    <cellStyle name="Normal 2 6 6 2 2 5" xfId="33686" xr:uid="{61445DAF-40AC-4B5B-9032-7D005EDD187F}"/>
    <cellStyle name="Normal 2 6 6 2 2 6" xfId="33687" xr:uid="{16C02C8E-EA1F-46DF-81DA-360476FDBF5A}"/>
    <cellStyle name="Normal 2 6 6 2 3" xfId="33688" xr:uid="{4AA6EDB5-840C-4DCF-A2CB-7B1AACCFE416}"/>
    <cellStyle name="Normal 2 6 6 2 3 2" xfId="33689" xr:uid="{2291A527-E556-421D-864D-61DBBC5096C5}"/>
    <cellStyle name="Normal 2 6 6 2 3 2 2" xfId="33690" xr:uid="{280BFE28-3588-4035-A78A-1B839379BD7A}"/>
    <cellStyle name="Normal 2 6 6 2 3 2 3" xfId="33691" xr:uid="{0A61088F-947F-4B03-859F-03EB9E06FC61}"/>
    <cellStyle name="Normal 2 6 6 2 3 2 4" xfId="33692" xr:uid="{060365A6-13F1-4DBA-9A97-E868E9C879F2}"/>
    <cellStyle name="Normal 2 6 6 2 3 2 5" xfId="33693" xr:uid="{D2375AC8-41DA-4302-B636-7A66D8A6B031}"/>
    <cellStyle name="Normal 2 6 6 2 3 3" xfId="33694" xr:uid="{B2CED0A6-0CBA-4503-B76E-214702837793}"/>
    <cellStyle name="Normal 2 6 6 2 3 4" xfId="33695" xr:uid="{2F27694A-5FEB-446D-B6C8-3CFC79E7CF42}"/>
    <cellStyle name="Normal 2 6 6 2 3 5" xfId="33696" xr:uid="{742E0B3A-7107-4281-AB33-59243F65F75A}"/>
    <cellStyle name="Normal 2 6 6 2 3 6" xfId="33697" xr:uid="{76F446F7-AC8D-4585-82F4-7F175A824A54}"/>
    <cellStyle name="Normal 2 6 6 2 4" xfId="33698" xr:uid="{088631C0-7986-4C8C-BAD8-E35AAA103BF6}"/>
    <cellStyle name="Normal 2 6 6 2 4 2" xfId="33699" xr:uid="{3D24DBEC-21AC-47A3-A629-C665E0213EEE}"/>
    <cellStyle name="Normal 2 6 6 2 4 2 2" xfId="33700" xr:uid="{8D4DA02E-0C12-4C30-841B-DF8B2B719C1A}"/>
    <cellStyle name="Normal 2 6 6 2 4 2 3" xfId="33701" xr:uid="{0A3B4FAA-CD32-43BE-892A-90A55878859D}"/>
    <cellStyle name="Normal 2 6 6 2 4 2 4" xfId="33702" xr:uid="{1F7AA6A4-4010-4BC2-A192-B3C06B4372FC}"/>
    <cellStyle name="Normal 2 6 6 2 4 2 5" xfId="33703" xr:uid="{C53B2DA5-84DB-4AE0-A4F4-0EB426C3431F}"/>
    <cellStyle name="Normal 2 6 6 2 4 3" xfId="33704" xr:uid="{301512DB-0C8E-45A2-BFDF-E5518FAE72BE}"/>
    <cellStyle name="Normal 2 6 6 2 4 4" xfId="33705" xr:uid="{92EA8957-95C0-4102-8041-55DEF568D8CE}"/>
    <cellStyle name="Normal 2 6 6 2 4 5" xfId="33706" xr:uid="{5047F0D0-0F4C-4439-B8B6-F16D0DFE7716}"/>
    <cellStyle name="Normal 2 6 6 2 4 6" xfId="33707" xr:uid="{59D82291-1719-4018-9E5B-86D7B819BC27}"/>
    <cellStyle name="Normal 2 6 6 2 5" xfId="33708" xr:uid="{8AE7480E-94E4-4447-A276-889C220833B3}"/>
    <cellStyle name="Normal 2 6 6 2 5 2" xfId="33709" xr:uid="{CBEFA112-A839-4253-AB07-FE60C06B42FB}"/>
    <cellStyle name="Normal 2 6 6 2 5 3" xfId="33710" xr:uid="{D7711EAC-F442-4890-B906-002E6DCE7AE5}"/>
    <cellStyle name="Normal 2 6 6 2 5 4" xfId="33711" xr:uid="{04D73E5D-CCB3-439D-A771-7AE1556C9732}"/>
    <cellStyle name="Normal 2 6 6 2 5 5" xfId="33712" xr:uid="{378B4D0F-9B0E-4953-8BF4-2B3EF381988F}"/>
    <cellStyle name="Normal 2 6 6 2 6" xfId="33713" xr:uid="{1DDB2018-6795-404A-8DA7-9E9319E6E299}"/>
    <cellStyle name="Normal 2 6 6 2 6 2" xfId="33714" xr:uid="{0D00D164-BD4D-4241-B3B2-71B7F95EA460}"/>
    <cellStyle name="Normal 2 6 6 2 6 3" xfId="33715" xr:uid="{89259C11-6574-4E2B-A0DD-5AEF96E7B51E}"/>
    <cellStyle name="Normal 2 6 6 2 6 4" xfId="33716" xr:uid="{0F36A921-9CD7-48E1-8523-4E500C1705F9}"/>
    <cellStyle name="Normal 2 6 6 2 6 5" xfId="33717" xr:uid="{9D75BA4E-0719-4D6D-938A-54665D350038}"/>
    <cellStyle name="Normal 2 6 6 2 7" xfId="33718" xr:uid="{894DB42C-AAE6-4FB9-B3AD-B30359825641}"/>
    <cellStyle name="Normal 2 6 6 2 7 2" xfId="33719" xr:uid="{0450E021-362A-4E79-9AA6-E8EDBBEE5F98}"/>
    <cellStyle name="Normal 2 6 6 2 7 3" xfId="33720" xr:uid="{0598F4AF-A4F7-4FD6-8D02-3F02B375E077}"/>
    <cellStyle name="Normal 2 6 6 2 7 4" xfId="33721" xr:uid="{985DA4C2-0DF4-494A-8C01-115357FCDB00}"/>
    <cellStyle name="Normal 2 6 6 2 7 5" xfId="33722" xr:uid="{CCEE72E3-C3C9-4AEE-8866-19EA7C99330C}"/>
    <cellStyle name="Normal 2 6 6 2 8" xfId="33723" xr:uid="{34703BA3-9896-4EDB-A873-CABAC03F5219}"/>
    <cellStyle name="Normal 2 6 6 2 8 2" xfId="33724" xr:uid="{781C51DC-3C28-42DE-85EB-C5696075125D}"/>
    <cellStyle name="Normal 2 6 6 2 8 3" xfId="33725" xr:uid="{81FB49EB-77EA-47EB-A7E8-3613BEC9BBE8}"/>
    <cellStyle name="Normal 2 6 6 2 8 4" xfId="33726" xr:uid="{2400D124-8FEB-48E0-817B-58220D211CAE}"/>
    <cellStyle name="Normal 2 6 6 2 8 5" xfId="33727" xr:uid="{330B2F9D-4649-4278-8FCE-F7CAF24A75C5}"/>
    <cellStyle name="Normal 2 6 6 2 9" xfId="33728" xr:uid="{615C327C-8019-4D13-9211-159B9445C4E1}"/>
    <cellStyle name="Normal 2 6 6 3" xfId="33729" xr:uid="{0BD1C2F2-561A-4E3C-B43A-DD1E8416B573}"/>
    <cellStyle name="Normal 2 6 6 3 2" xfId="33730" xr:uid="{0767AB24-91DD-4825-B069-24E34666D95E}"/>
    <cellStyle name="Normal 2 6 6 3 2 2" xfId="33731" xr:uid="{274F060E-5933-449F-83CE-8CB022C364CF}"/>
    <cellStyle name="Normal 2 6 6 3 2 3" xfId="33732" xr:uid="{896EDD8C-6946-4C99-B3D3-522AD9830785}"/>
    <cellStyle name="Normal 2 6 6 3 2 4" xfId="33733" xr:uid="{7E8F7679-5745-4EA3-925A-6FBBDB7BF65E}"/>
    <cellStyle name="Normal 2 6 6 3 2 5" xfId="33734" xr:uid="{8C0748E5-FA55-4375-A5EB-AB067BDFD722}"/>
    <cellStyle name="Normal 2 6 6 3 3" xfId="33735" xr:uid="{CC603EEF-62C8-41E9-90EA-C5440B5AC0DB}"/>
    <cellStyle name="Normal 2 6 6 3 4" xfId="33736" xr:uid="{1C07944F-1A5D-42E2-B7A5-5543AD5CBACE}"/>
    <cellStyle name="Normal 2 6 6 3 5" xfId="33737" xr:uid="{A7A78168-C6A2-4478-BB29-9DABFA4B46C6}"/>
    <cellStyle name="Normal 2 6 6 3 6" xfId="33738" xr:uid="{4442E6E3-9624-47AF-9B1F-9D34E12435F4}"/>
    <cellStyle name="Normal 2 6 6 4" xfId="33739" xr:uid="{2C8733EC-27A3-462C-BABC-04B81B5C840B}"/>
    <cellStyle name="Normal 2 6 6 4 2" xfId="33740" xr:uid="{005BBF39-DB75-4718-9F1A-EDB555CF8204}"/>
    <cellStyle name="Normal 2 6 6 4 2 2" xfId="33741" xr:uid="{A0DE530C-9891-47DD-9E66-4B2E24E18A92}"/>
    <cellStyle name="Normal 2 6 6 4 2 3" xfId="33742" xr:uid="{30470787-7459-46F6-B8BD-316E372D7004}"/>
    <cellStyle name="Normal 2 6 6 4 2 4" xfId="33743" xr:uid="{77B77E17-8FBB-45D1-B836-AA1C54F7401A}"/>
    <cellStyle name="Normal 2 6 6 4 2 5" xfId="33744" xr:uid="{46C53EE4-DFD2-4A0F-9520-98C3F607DCDC}"/>
    <cellStyle name="Normal 2 6 6 4 3" xfId="33745" xr:uid="{94567A54-7C35-4387-8DA5-40E4D1E20B73}"/>
    <cellStyle name="Normal 2 6 6 4 4" xfId="33746" xr:uid="{9B85BB63-BDB6-4185-8092-C40D97FC4ADE}"/>
    <cellStyle name="Normal 2 6 6 4 5" xfId="33747" xr:uid="{1466182F-4526-49F4-A000-2B51A4BE79D7}"/>
    <cellStyle name="Normal 2 6 6 4 6" xfId="33748" xr:uid="{C217EFA2-A359-4FDB-B1E6-C6B21C51402D}"/>
    <cellStyle name="Normal 2 6 6 5" xfId="33749" xr:uid="{F168D493-AEAA-43D3-AD2D-F21892566A4D}"/>
    <cellStyle name="Normal 2 6 6 5 2" xfId="33750" xr:uid="{A6341E71-31C6-40EA-9494-3106DCCB37E7}"/>
    <cellStyle name="Normal 2 6 6 5 2 2" xfId="33751" xr:uid="{546B60DE-AC5B-47CF-A02B-8686ACBF5155}"/>
    <cellStyle name="Normal 2 6 6 5 2 3" xfId="33752" xr:uid="{5134FE2B-5A58-4850-A157-0B65A8DAC491}"/>
    <cellStyle name="Normal 2 6 6 5 2 4" xfId="33753" xr:uid="{865DB988-E169-4632-B33E-BA26EF435ED0}"/>
    <cellStyle name="Normal 2 6 6 5 2 5" xfId="33754" xr:uid="{B2E0716A-6369-4014-B104-EE9E8F681566}"/>
    <cellStyle name="Normal 2 6 6 5 3" xfId="33755" xr:uid="{973B957D-57FA-4633-B7CD-8EDB39AA602B}"/>
    <cellStyle name="Normal 2 6 6 5 4" xfId="33756" xr:uid="{EF606939-538B-4400-80F1-6FCFE5BB3C07}"/>
    <cellStyle name="Normal 2 6 6 5 5" xfId="33757" xr:uid="{9BF61A3D-2104-45BC-9C04-FE2CE3AA0944}"/>
    <cellStyle name="Normal 2 6 6 5 6" xfId="33758" xr:uid="{503EA4AA-BB32-4FA0-80F9-171E622A4AC4}"/>
    <cellStyle name="Normal 2 6 6 6" xfId="33759" xr:uid="{4FA65943-3DA3-4B37-88C2-4132D490E68A}"/>
    <cellStyle name="Normal 2 6 6 6 2" xfId="33760" xr:uid="{CE31557A-3995-4921-A258-CA65C95F771D}"/>
    <cellStyle name="Normal 2 6 6 6 3" xfId="33761" xr:uid="{84F7B421-FA63-4BEA-B012-0951230DCF82}"/>
    <cellStyle name="Normal 2 6 6 6 4" xfId="33762" xr:uid="{D392F989-E6C7-450B-88C5-2B4BE70912ED}"/>
    <cellStyle name="Normal 2 6 6 6 5" xfId="33763" xr:uid="{97A76D91-2A9A-48EE-8DEC-FCADA2554AC0}"/>
    <cellStyle name="Normal 2 6 6 7" xfId="33764" xr:uid="{71E494F6-EC2E-4241-AE99-D2F9358AEC86}"/>
    <cellStyle name="Normal 2 6 6 7 2" xfId="33765" xr:uid="{949A082A-9A4E-4319-A5CC-988F48C2A45D}"/>
    <cellStyle name="Normal 2 6 6 7 3" xfId="33766" xr:uid="{E84FA775-7C39-411A-B5D5-BB49B618BC51}"/>
    <cellStyle name="Normal 2 6 6 7 4" xfId="33767" xr:uid="{9CB81872-425C-4F77-A0BA-C9F464A0149F}"/>
    <cellStyle name="Normal 2 6 6 7 5" xfId="33768" xr:uid="{9D7A88AF-1C95-4A00-9D5C-2C803E12319B}"/>
    <cellStyle name="Normal 2 6 6 8" xfId="33769" xr:uid="{DC6BA79D-F64D-46FA-9C9D-250E4C211045}"/>
    <cellStyle name="Normal 2 6 6 8 2" xfId="33770" xr:uid="{82DA9D46-9140-4874-979E-DBCAA6047265}"/>
    <cellStyle name="Normal 2 6 6 8 3" xfId="33771" xr:uid="{1896AFDA-F52C-4BA0-8F4B-8E74A07436F1}"/>
    <cellStyle name="Normal 2 6 6 8 4" xfId="33772" xr:uid="{0D5E4CAD-DCBC-4654-825C-E9300FE26885}"/>
    <cellStyle name="Normal 2 6 6 8 5" xfId="33773" xr:uid="{8AA362AF-5F0F-46CA-ABCB-F608585DCA56}"/>
    <cellStyle name="Normal 2 6 6 9" xfId="33774" xr:uid="{AFF463EA-A219-4404-A85E-ACD88F000DD4}"/>
    <cellStyle name="Normal 2 6 6 9 2" xfId="33775" xr:uid="{1756DC01-4219-4CD5-8BB8-86D3F36703FD}"/>
    <cellStyle name="Normal 2 6 6 9 3" xfId="33776" xr:uid="{8B1B2661-5BCA-4F2D-9BB6-B94EBDE8E255}"/>
    <cellStyle name="Normal 2 6 6 9 4" xfId="33777" xr:uid="{7316B32A-41A1-4F3B-9046-FC7A54D7D936}"/>
    <cellStyle name="Normal 2 6 6 9 5" xfId="33778" xr:uid="{736EEDBF-2DA5-472C-A161-AED2B698507E}"/>
    <cellStyle name="Normal 2 6 7" xfId="33779" xr:uid="{0BD388AD-7C37-467D-86BB-F6924C80FC40}"/>
    <cellStyle name="Normal 2 6 7 10" xfId="33780" xr:uid="{7A6B772E-8FA6-446F-A21E-F388304142B3}"/>
    <cellStyle name="Normal 2 6 7 11" xfId="33781" xr:uid="{188ACADD-15E0-4D10-9BE7-307AC1BC9477}"/>
    <cellStyle name="Normal 2 6 7 12" xfId="33782" xr:uid="{21F8BD22-F8D0-4A96-BD26-F5786D895AD6}"/>
    <cellStyle name="Normal 2 6 7 2" xfId="33783" xr:uid="{FDE82821-CE99-4740-AA59-08C2A0DD215E}"/>
    <cellStyle name="Normal 2 6 7 2 2" xfId="33784" xr:uid="{513C08D3-B2F8-4382-9CE3-9DB0B463AF6F}"/>
    <cellStyle name="Normal 2 6 7 2 2 2" xfId="33785" xr:uid="{4C5D16E5-F0CA-44F0-9CD8-45FB8B90D037}"/>
    <cellStyle name="Normal 2 6 7 2 2 3" xfId="33786" xr:uid="{FE44A97E-0384-4886-AFBC-407B5410754E}"/>
    <cellStyle name="Normal 2 6 7 2 2 4" xfId="33787" xr:uid="{896DE9C6-8340-401D-9EA8-9E1DAB8F1481}"/>
    <cellStyle name="Normal 2 6 7 2 2 5" xfId="33788" xr:uid="{344A90AD-78D9-47B5-9533-905C13E57606}"/>
    <cellStyle name="Normal 2 6 7 2 3" xfId="33789" xr:uid="{DD713343-BB41-47B8-8DEF-3956B1A2F467}"/>
    <cellStyle name="Normal 2 6 7 2 4" xfId="33790" xr:uid="{BA413D06-FC3A-44F2-A5F1-5DE931BEA527}"/>
    <cellStyle name="Normal 2 6 7 2 5" xfId="33791" xr:uid="{960D2CEB-6DD6-4262-9458-9CF17A7643A6}"/>
    <cellStyle name="Normal 2 6 7 2 6" xfId="33792" xr:uid="{A202D9D8-34A4-4809-BE5F-8CFB0BDA03D3}"/>
    <cellStyle name="Normal 2 6 7 3" xfId="33793" xr:uid="{CAE21D7D-FDAF-40E9-9699-C3F2056AC429}"/>
    <cellStyle name="Normal 2 6 7 3 2" xfId="33794" xr:uid="{9A320A73-BD4A-4C33-A750-278FADC64E60}"/>
    <cellStyle name="Normal 2 6 7 3 2 2" xfId="33795" xr:uid="{E8432CFF-1C24-497E-A95D-0D5191393FDE}"/>
    <cellStyle name="Normal 2 6 7 3 2 3" xfId="33796" xr:uid="{94661283-6940-4440-96A6-F7A23B134882}"/>
    <cellStyle name="Normal 2 6 7 3 2 4" xfId="33797" xr:uid="{1DCD3413-EE10-4D6E-A6D1-F83B68E012BD}"/>
    <cellStyle name="Normal 2 6 7 3 2 5" xfId="33798" xr:uid="{206868F0-E2BC-44E5-809E-7B433AB0A80C}"/>
    <cellStyle name="Normal 2 6 7 3 3" xfId="33799" xr:uid="{04282E92-96F3-460C-A27D-091FAB0401D0}"/>
    <cellStyle name="Normal 2 6 7 3 4" xfId="33800" xr:uid="{4A79984C-67D3-4D1C-8969-3DA1C451571D}"/>
    <cellStyle name="Normal 2 6 7 3 5" xfId="33801" xr:uid="{6FFC7C05-1B0E-4F4D-9CF6-355817C7095C}"/>
    <cellStyle name="Normal 2 6 7 3 6" xfId="33802" xr:uid="{6D35C4DF-3A3A-4CE9-B872-8043D25259FB}"/>
    <cellStyle name="Normal 2 6 7 4" xfId="33803" xr:uid="{AC4F67D5-7F77-4998-AD16-7B7BDBE3804A}"/>
    <cellStyle name="Normal 2 6 7 4 2" xfId="33804" xr:uid="{D74D9E97-D2A8-4408-81FC-27BC395473F8}"/>
    <cellStyle name="Normal 2 6 7 4 2 2" xfId="33805" xr:uid="{4619E667-91FE-4287-A669-8F5D88728916}"/>
    <cellStyle name="Normal 2 6 7 4 2 3" xfId="33806" xr:uid="{7A4C2B2B-7381-4069-BB01-9D6E6F1400A7}"/>
    <cellStyle name="Normal 2 6 7 4 2 4" xfId="33807" xr:uid="{8D2CCF72-819D-4BB9-80B2-505B4DCA8B55}"/>
    <cellStyle name="Normal 2 6 7 4 2 5" xfId="33808" xr:uid="{0A5E6B4C-0724-410E-B671-9A2E04E3287E}"/>
    <cellStyle name="Normal 2 6 7 4 3" xfId="33809" xr:uid="{78DB0843-D7F8-48A6-B915-EC1D990115E6}"/>
    <cellStyle name="Normal 2 6 7 4 4" xfId="33810" xr:uid="{645883E6-FBCE-43F3-B338-FB056EABEAFE}"/>
    <cellStyle name="Normal 2 6 7 4 5" xfId="33811" xr:uid="{6CCB90AA-6CCB-4AC3-8C8B-6049767CA560}"/>
    <cellStyle name="Normal 2 6 7 4 6" xfId="33812" xr:uid="{435C2F35-E167-434A-95E9-01FD91013834}"/>
    <cellStyle name="Normal 2 6 7 5" xfId="33813" xr:uid="{FC4AC058-7A55-4885-AB52-7F07DAE5C53C}"/>
    <cellStyle name="Normal 2 6 7 5 2" xfId="33814" xr:uid="{B60BDFFB-FF79-411E-BB80-10FDE676BCEB}"/>
    <cellStyle name="Normal 2 6 7 5 3" xfId="33815" xr:uid="{FFA34F91-41A9-46B0-92D0-366B55B4F271}"/>
    <cellStyle name="Normal 2 6 7 5 4" xfId="33816" xr:uid="{A775D46C-F0E0-4039-ADBB-C59D91CE1AA7}"/>
    <cellStyle name="Normal 2 6 7 5 5" xfId="33817" xr:uid="{2B6B39C3-37F3-4CD7-8C3C-2F0C492F6E9F}"/>
    <cellStyle name="Normal 2 6 7 6" xfId="33818" xr:uid="{1CB7CCC4-F1F0-4677-AA3F-B12D3AF0DC6F}"/>
    <cellStyle name="Normal 2 6 7 6 2" xfId="33819" xr:uid="{AA6F207B-5EC3-4A53-8220-9D3AA7377FC1}"/>
    <cellStyle name="Normal 2 6 7 6 3" xfId="33820" xr:uid="{AB856686-34C3-4607-8CD3-94BA72F7E1E3}"/>
    <cellStyle name="Normal 2 6 7 6 4" xfId="33821" xr:uid="{1779042F-4A0D-4E35-8863-10A84C2EAF6A}"/>
    <cellStyle name="Normal 2 6 7 6 5" xfId="33822" xr:uid="{C217B052-850C-4647-A22D-A9A6EB31DF69}"/>
    <cellStyle name="Normal 2 6 7 7" xfId="33823" xr:uid="{89C6C032-A33F-49E1-9474-099E059EF941}"/>
    <cellStyle name="Normal 2 6 7 7 2" xfId="33824" xr:uid="{B91EE427-7CF9-4AA0-BF65-504E47A9018D}"/>
    <cellStyle name="Normal 2 6 7 7 3" xfId="33825" xr:uid="{95BBAA0F-DFB6-411F-8272-DCCBFC9ADC44}"/>
    <cellStyle name="Normal 2 6 7 7 4" xfId="33826" xr:uid="{9D6EC5A2-16FC-401C-BE51-504A77CC0433}"/>
    <cellStyle name="Normal 2 6 7 7 5" xfId="33827" xr:uid="{15885AC3-C504-4B64-895B-397A9AB5EA20}"/>
    <cellStyle name="Normal 2 6 7 8" xfId="33828" xr:uid="{E8D44A46-BF33-45E3-B6BD-F4E992433D32}"/>
    <cellStyle name="Normal 2 6 7 8 2" xfId="33829" xr:uid="{2E7BBD02-A2A4-423A-BA50-EBEF559CD306}"/>
    <cellStyle name="Normal 2 6 7 8 3" xfId="33830" xr:uid="{A45B5C75-9CDE-4740-9015-079E19C710E2}"/>
    <cellStyle name="Normal 2 6 7 8 4" xfId="33831" xr:uid="{C346507B-9A01-475F-836B-DDCFD03108DB}"/>
    <cellStyle name="Normal 2 6 7 8 5" xfId="33832" xr:uid="{F7629FA7-D90D-4B71-95F3-83D583F9B418}"/>
    <cellStyle name="Normal 2 6 7 9" xfId="33833" xr:uid="{36F80251-7AAC-4422-82B9-97EC0C13543F}"/>
    <cellStyle name="Normal 2 6 8" xfId="33834" xr:uid="{C833B62C-6F07-467D-9F4D-965D109D540C}"/>
    <cellStyle name="Normal 2 6 8 2" xfId="33835" xr:uid="{CCDAF0FE-2087-404F-9E58-5B235D712B3D}"/>
    <cellStyle name="Normal 2 6 8 2 2" xfId="33836" xr:uid="{DFF83FAC-E4CA-4D77-87C9-2B7EB6822CF1}"/>
    <cellStyle name="Normal 2 6 8 2 3" xfId="33837" xr:uid="{961FD8DF-A1CA-406F-9F94-F6D9FAE8D8ED}"/>
    <cellStyle name="Normal 2 6 8 2 4" xfId="33838" xr:uid="{6A1CD0EA-A250-4B26-B4C1-DDC106A47CBA}"/>
    <cellStyle name="Normal 2 6 8 2 5" xfId="33839" xr:uid="{95BA39BD-BE6A-4F6A-AB2E-66CFD683C79A}"/>
    <cellStyle name="Normal 2 6 8 3" xfId="33840" xr:uid="{92282FD5-BDDF-4FCB-AA90-FBA760615498}"/>
    <cellStyle name="Normal 2 6 8 4" xfId="33841" xr:uid="{69BA8AD4-1A0A-4170-85DA-41EC9A0B8847}"/>
    <cellStyle name="Normal 2 6 8 5" xfId="33842" xr:uid="{FAE01D1A-BB82-4BDE-9012-0CAB7FDEC015}"/>
    <cellStyle name="Normal 2 6 8 6" xfId="33843" xr:uid="{BF85BADE-CB27-4AC5-BD38-72998AAE3058}"/>
    <cellStyle name="Normal 2 6 9" xfId="33844" xr:uid="{B2E0EAFD-B268-4C8E-9AF5-82A81C3A1027}"/>
    <cellStyle name="Normal 2 6 9 2" xfId="33845" xr:uid="{451F692B-6631-439C-B070-D3367BD367B4}"/>
    <cellStyle name="Normal 2 6 9 2 2" xfId="33846" xr:uid="{418C6D52-FB80-4556-B385-04A37B25A2FB}"/>
    <cellStyle name="Normal 2 6 9 2 3" xfId="33847" xr:uid="{39891D7A-6E5D-4A14-8DAF-9DFAB563E550}"/>
    <cellStyle name="Normal 2 6 9 2 4" xfId="33848" xr:uid="{9A19DE6B-1833-4A23-A332-5D887E0F5A1A}"/>
    <cellStyle name="Normal 2 6 9 2 5" xfId="33849" xr:uid="{6071BB9B-424A-4ACA-AB57-B4973FF222BD}"/>
    <cellStyle name="Normal 2 6 9 3" xfId="33850" xr:uid="{2B002DAE-B60A-4CD4-9167-488CDBCED492}"/>
    <cellStyle name="Normal 2 6 9 4" xfId="33851" xr:uid="{8C2CC4EB-8FCD-46E8-8714-DB833F2E67F7}"/>
    <cellStyle name="Normal 2 6 9 5" xfId="33852" xr:uid="{0A84B3D7-92BB-4CBF-87DD-6A36744651E9}"/>
    <cellStyle name="Normal 2 6 9 6" xfId="33853" xr:uid="{C2DF5DFA-AD02-418B-A8A4-09E5FFAC5942}"/>
    <cellStyle name="Normal 2 7" xfId="261" xr:uid="{9604549A-1D58-4B96-A72F-830AD2916A52}"/>
    <cellStyle name="Normal 2 7 10" xfId="33854" xr:uid="{00F4E0D1-52BF-4326-922D-08979AB5B139}"/>
    <cellStyle name="Normal 2 7 10 2" xfId="33855" xr:uid="{E546B4BA-A892-4C31-B42A-CAAA1AD23AFB}"/>
    <cellStyle name="Normal 2 7 10 2 2" xfId="33856" xr:uid="{34CEB117-7F52-436C-B7B6-E88E2E4D46A2}"/>
    <cellStyle name="Normal 2 7 10 2 3" xfId="33857" xr:uid="{294F1B0A-121D-40E8-A369-C94A3D4C3B58}"/>
    <cellStyle name="Normal 2 7 10 2 4" xfId="33858" xr:uid="{5853B5CA-08BD-413E-A21F-1DE3BA08AB18}"/>
    <cellStyle name="Normal 2 7 10 2 5" xfId="33859" xr:uid="{24298807-CDDB-43D5-8241-F201A2ED02AF}"/>
    <cellStyle name="Normal 2 7 10 3" xfId="33860" xr:uid="{D3746159-892B-4585-A8BC-9CA833D22E47}"/>
    <cellStyle name="Normal 2 7 10 4" xfId="33861" xr:uid="{2DB6A483-A17E-457F-8B9C-085AB9C9B9E5}"/>
    <cellStyle name="Normal 2 7 10 5" xfId="33862" xr:uid="{F90D4499-CF72-4AF7-9557-69E5E410D3E1}"/>
    <cellStyle name="Normal 2 7 10 6" xfId="33863" xr:uid="{BC5C70FA-8D13-401F-96B6-87112BF15458}"/>
    <cellStyle name="Normal 2 7 11" xfId="33864" xr:uid="{9BBE4D05-7C2A-4B77-9A7D-E9E683055AA9}"/>
    <cellStyle name="Normal 2 7 11 2" xfId="33865" xr:uid="{4D61DB5C-556B-4516-AD81-1E45BC4E1D06}"/>
    <cellStyle name="Normal 2 7 11 3" xfId="33866" xr:uid="{739367B5-2664-4517-B8FF-8323C6505197}"/>
    <cellStyle name="Normal 2 7 11 4" xfId="33867" xr:uid="{E7E41DEB-4435-49F5-998C-719B800C6EE4}"/>
    <cellStyle name="Normal 2 7 11 5" xfId="33868" xr:uid="{18DD233A-7512-4B80-8517-484AB9A5C345}"/>
    <cellStyle name="Normal 2 7 12" xfId="33869" xr:uid="{0790FEE8-240A-4AD6-BF70-D8934489033E}"/>
    <cellStyle name="Normal 2 7 12 2" xfId="33870" xr:uid="{8A23A602-EC1A-4C1D-8AF4-ED2A6F7FBE5D}"/>
    <cellStyle name="Normal 2 7 12 3" xfId="33871" xr:uid="{3FE13DB6-F512-457C-800B-ACC9055011E6}"/>
    <cellStyle name="Normal 2 7 12 4" xfId="33872" xr:uid="{43EA9F51-7B9C-435A-A8FD-F80E25BF7876}"/>
    <cellStyle name="Normal 2 7 12 5" xfId="33873" xr:uid="{394EE69F-BC6D-4582-AC73-86455548F5E6}"/>
    <cellStyle name="Normal 2 7 13" xfId="33874" xr:uid="{450BE6FF-403B-4FBA-8FB1-25135321B6EB}"/>
    <cellStyle name="Normal 2 7 13 2" xfId="33875" xr:uid="{89C40542-9F9B-47FE-B5FD-54A3862D3CF3}"/>
    <cellStyle name="Normal 2 7 13 3" xfId="33876" xr:uid="{9B42628C-55F3-4F15-8B58-A50658C6B9E9}"/>
    <cellStyle name="Normal 2 7 13 4" xfId="33877" xr:uid="{EC0A4869-6A61-4AF8-BBF9-B25C5D8AAB13}"/>
    <cellStyle name="Normal 2 7 13 5" xfId="33878" xr:uid="{78F4838F-1E73-401C-851E-7F0D0DC8F93C}"/>
    <cellStyle name="Normal 2 7 14" xfId="33879" xr:uid="{2C8C6C79-EF0A-4BBD-96CC-CC1367813EF1}"/>
    <cellStyle name="Normal 2 7 14 2" xfId="33880" xr:uid="{0C2E6AB1-7589-4D38-A24E-AB55973FE452}"/>
    <cellStyle name="Normal 2 7 14 3" xfId="33881" xr:uid="{A346D27C-AF93-41E7-9062-6C33F0DAC627}"/>
    <cellStyle name="Normal 2 7 14 4" xfId="33882" xr:uid="{C387AED2-89C0-41F8-8F42-96A3285370AA}"/>
    <cellStyle name="Normal 2 7 14 5" xfId="33883" xr:uid="{9A33CD93-F530-4981-94A5-83374596BE10}"/>
    <cellStyle name="Normal 2 7 15" xfId="33884" xr:uid="{9D952177-609F-48C1-8244-42A314029D89}"/>
    <cellStyle name="Normal 2 7 16" xfId="33885" xr:uid="{8E425548-618B-405D-BA45-0384598BE026}"/>
    <cellStyle name="Normal 2 7 17" xfId="33886" xr:uid="{D7755934-54C4-4739-BCBA-F0E3E9B7A50A}"/>
    <cellStyle name="Normal 2 7 18" xfId="33887" xr:uid="{D3F0F26C-F1A5-4C30-B7A0-717A6107744D}"/>
    <cellStyle name="Normal 2 7 2" xfId="33888" xr:uid="{925BC708-3234-4C02-A2BE-5DB0E73F02B8}"/>
    <cellStyle name="Normal 2 7 2 10" xfId="33889" xr:uid="{EEBB5D39-E680-4B66-A8CB-A624165B4393}"/>
    <cellStyle name="Normal 2 7 2 10 2" xfId="33890" xr:uid="{E949889D-9E26-4E06-A65A-903A6FB43AB7}"/>
    <cellStyle name="Normal 2 7 2 10 3" xfId="33891" xr:uid="{26A6355A-D825-4777-82E9-0FEA8EFDC2BC}"/>
    <cellStyle name="Normal 2 7 2 10 4" xfId="33892" xr:uid="{DCC86261-31DA-4276-91F5-A7ADC9203F80}"/>
    <cellStyle name="Normal 2 7 2 10 5" xfId="33893" xr:uid="{09F6F56C-22EB-4A84-A1C5-052CBC0BCFD3}"/>
    <cellStyle name="Normal 2 7 2 11" xfId="33894" xr:uid="{3E173971-DC1C-4385-94A8-42C582EB0560}"/>
    <cellStyle name="Normal 2 7 2 11 2" xfId="33895" xr:uid="{B2D545E5-E710-4AB5-AF16-9D8F4C43A9B2}"/>
    <cellStyle name="Normal 2 7 2 11 3" xfId="33896" xr:uid="{1A00CD54-B124-4929-BECA-A8415017424B}"/>
    <cellStyle name="Normal 2 7 2 11 4" xfId="33897" xr:uid="{BABA6C2D-FB79-484E-954F-2CB4143D0C5E}"/>
    <cellStyle name="Normal 2 7 2 11 5" xfId="33898" xr:uid="{0DB0BB62-DB88-4B4C-AD1C-5521AA82FB9B}"/>
    <cellStyle name="Normal 2 7 2 12" xfId="33899" xr:uid="{B938D290-2666-4F3F-96A9-C40618962D28}"/>
    <cellStyle name="Normal 2 7 2 13" xfId="33900" xr:uid="{C5E388C5-0B91-4723-8FCA-CFC7F78D291C}"/>
    <cellStyle name="Normal 2 7 2 14" xfId="33901" xr:uid="{778B6729-CB39-4FCE-9662-314653655489}"/>
    <cellStyle name="Normal 2 7 2 15" xfId="33902" xr:uid="{55A54DC2-88D2-4DD0-AAF0-8755A793AE6F}"/>
    <cellStyle name="Normal 2 7 2 2" xfId="33903" xr:uid="{E6DCD6AE-54F9-437E-A76E-981D7552C050}"/>
    <cellStyle name="Normal 2 7 2 2 10" xfId="33904" xr:uid="{65DF4C8E-2834-4ED8-8278-E51F87A9C2D2}"/>
    <cellStyle name="Normal 2 7 2 2 10 2" xfId="33905" xr:uid="{88F32FDF-F766-4EE7-9B32-57B4ACB6089A}"/>
    <cellStyle name="Normal 2 7 2 2 10 3" xfId="33906" xr:uid="{0690A085-DBC6-4F64-8C18-2F355539CB75}"/>
    <cellStyle name="Normal 2 7 2 2 10 4" xfId="33907" xr:uid="{C59266C8-2217-4C9B-A408-D0B411ED7901}"/>
    <cellStyle name="Normal 2 7 2 2 10 5" xfId="33908" xr:uid="{F9CBB629-20DA-4BDE-8760-604EE77CC145}"/>
    <cellStyle name="Normal 2 7 2 2 11" xfId="33909" xr:uid="{23E9C823-352C-4373-A2AE-F23A006A88E9}"/>
    <cellStyle name="Normal 2 7 2 2 12" xfId="33910" xr:uid="{0E879B74-EA91-49D6-AB3A-BE3B016CF680}"/>
    <cellStyle name="Normal 2 7 2 2 13" xfId="33911" xr:uid="{7ACEFEDE-B22D-4C6C-9EA7-5E627B58DF38}"/>
    <cellStyle name="Normal 2 7 2 2 14" xfId="33912" xr:uid="{AB014D99-E4CB-4D59-8D08-C88D06817249}"/>
    <cellStyle name="Normal 2 7 2 2 2" xfId="33913" xr:uid="{37640024-8538-4F14-984A-17025DAB10D4}"/>
    <cellStyle name="Normal 2 7 2 2 2 10" xfId="33914" xr:uid="{664BB545-6A7F-4EF2-8111-E906681208F7}"/>
    <cellStyle name="Normal 2 7 2 2 2 11" xfId="33915" xr:uid="{66EB9430-4409-4B38-BFA3-9658E96954F2}"/>
    <cellStyle name="Normal 2 7 2 2 2 12" xfId="33916" xr:uid="{D2A5A8ED-8252-4232-8D08-BE319EF4FB34}"/>
    <cellStyle name="Normal 2 7 2 2 2 13" xfId="33917" xr:uid="{91C10B65-FB9D-4815-BBC2-6A2F64A2DDA8}"/>
    <cellStyle name="Normal 2 7 2 2 2 2" xfId="33918" xr:uid="{6C5FE458-F3C3-4BF9-ACA8-B37EF5AACF60}"/>
    <cellStyle name="Normal 2 7 2 2 2 2 10" xfId="33919" xr:uid="{424D884F-D1D2-41FA-A87B-B53AC4A89FED}"/>
    <cellStyle name="Normal 2 7 2 2 2 2 11" xfId="33920" xr:uid="{05F0E10E-D131-45CA-B94B-235C693C0D19}"/>
    <cellStyle name="Normal 2 7 2 2 2 2 12" xfId="33921" xr:uid="{0A60F167-82F6-48BF-95EC-99BB141E24C9}"/>
    <cellStyle name="Normal 2 7 2 2 2 2 2" xfId="33922" xr:uid="{E8F22C4A-666B-4E0C-B4C9-2B37DCD16752}"/>
    <cellStyle name="Normal 2 7 2 2 2 2 2 2" xfId="33923" xr:uid="{390E7CBA-2083-48EC-BBDC-59B671C617E3}"/>
    <cellStyle name="Normal 2 7 2 2 2 2 2 2 2" xfId="33924" xr:uid="{C7386C64-651A-418E-A08D-9A9965AB81E1}"/>
    <cellStyle name="Normal 2 7 2 2 2 2 2 2 3" xfId="33925" xr:uid="{6245D41B-92FE-4EE4-9234-9665A9CD1055}"/>
    <cellStyle name="Normal 2 7 2 2 2 2 2 2 4" xfId="33926" xr:uid="{AB3FB1D3-DBEF-40E1-A855-9CE35B8EDDF9}"/>
    <cellStyle name="Normal 2 7 2 2 2 2 2 2 5" xfId="33927" xr:uid="{B67A6A92-00D5-4681-B016-7740DDC1F59D}"/>
    <cellStyle name="Normal 2 7 2 2 2 2 2 3" xfId="33928" xr:uid="{9BAB8663-D7A7-411C-A984-C039A9FEDBC3}"/>
    <cellStyle name="Normal 2 7 2 2 2 2 2 4" xfId="33929" xr:uid="{16625A3F-24CD-4BCE-A09C-3D7EE662ED5E}"/>
    <cellStyle name="Normal 2 7 2 2 2 2 2 5" xfId="33930" xr:uid="{B9583EB7-56B6-4606-B49B-223F60C00AD8}"/>
    <cellStyle name="Normal 2 7 2 2 2 2 2 6" xfId="33931" xr:uid="{EFEB5013-9260-4700-93EA-AF480F4B6621}"/>
    <cellStyle name="Normal 2 7 2 2 2 2 3" xfId="33932" xr:uid="{269079E1-B504-44ED-9CF8-FE19A68C1CD8}"/>
    <cellStyle name="Normal 2 7 2 2 2 2 3 2" xfId="33933" xr:uid="{DB4159C9-1ED0-4680-AAC7-304DDCD9C67A}"/>
    <cellStyle name="Normal 2 7 2 2 2 2 3 2 2" xfId="33934" xr:uid="{F25FCFC1-99FE-444E-8CD1-00F4A87C7F6E}"/>
    <cellStyle name="Normal 2 7 2 2 2 2 3 2 3" xfId="33935" xr:uid="{DB41706A-E313-4054-A793-9DA7A7C3BEC3}"/>
    <cellStyle name="Normal 2 7 2 2 2 2 3 2 4" xfId="33936" xr:uid="{D7B2B995-1F92-4A8C-AE29-BCCA2B861014}"/>
    <cellStyle name="Normal 2 7 2 2 2 2 3 2 5" xfId="33937" xr:uid="{BE2FE1F9-26A4-435F-9E7D-CE2445DA8C56}"/>
    <cellStyle name="Normal 2 7 2 2 2 2 3 3" xfId="33938" xr:uid="{2B616290-7CDD-4677-B1F9-CBC5D4DAC894}"/>
    <cellStyle name="Normal 2 7 2 2 2 2 3 4" xfId="33939" xr:uid="{27373B82-7F11-4BFE-BF7A-5F41A6099214}"/>
    <cellStyle name="Normal 2 7 2 2 2 2 3 5" xfId="33940" xr:uid="{B371B47E-F77C-4B62-8106-C7ED72125D6C}"/>
    <cellStyle name="Normal 2 7 2 2 2 2 3 6" xfId="33941" xr:uid="{1677CA98-C452-4EBE-8586-70CDFE71CFB5}"/>
    <cellStyle name="Normal 2 7 2 2 2 2 4" xfId="33942" xr:uid="{2942E737-6179-45F9-9711-A1D7016E53E7}"/>
    <cellStyle name="Normal 2 7 2 2 2 2 4 2" xfId="33943" xr:uid="{88ED9B0E-ED67-4391-8907-67CC3CE038CD}"/>
    <cellStyle name="Normal 2 7 2 2 2 2 4 2 2" xfId="33944" xr:uid="{99088918-5CA8-48DE-9678-1C46864E5646}"/>
    <cellStyle name="Normal 2 7 2 2 2 2 4 2 3" xfId="33945" xr:uid="{29FDBA09-3058-4E45-8381-98F06A507C89}"/>
    <cellStyle name="Normal 2 7 2 2 2 2 4 2 4" xfId="33946" xr:uid="{FD2F372B-1F6C-4B32-A56B-1BECE0D4D97D}"/>
    <cellStyle name="Normal 2 7 2 2 2 2 4 2 5" xfId="33947" xr:uid="{0D37D9B6-2A46-4C6E-9CF1-B4D1E1E389E7}"/>
    <cellStyle name="Normal 2 7 2 2 2 2 4 3" xfId="33948" xr:uid="{A0A7AAE9-E722-4714-8FA8-84240DEBC944}"/>
    <cellStyle name="Normal 2 7 2 2 2 2 4 4" xfId="33949" xr:uid="{E5981F25-D848-4C0E-86DB-33072C149678}"/>
    <cellStyle name="Normal 2 7 2 2 2 2 4 5" xfId="33950" xr:uid="{3ED68BB9-C948-43A4-A6BF-2A99F6055434}"/>
    <cellStyle name="Normal 2 7 2 2 2 2 4 6" xfId="33951" xr:uid="{5C5059F3-9428-45CC-8F46-EFC4062FFF29}"/>
    <cellStyle name="Normal 2 7 2 2 2 2 5" xfId="33952" xr:uid="{DF235D0E-BAA1-46E5-8F27-9B436F711207}"/>
    <cellStyle name="Normal 2 7 2 2 2 2 5 2" xfId="33953" xr:uid="{5D23823F-3359-4D14-8086-0AD0FFF43559}"/>
    <cellStyle name="Normal 2 7 2 2 2 2 5 3" xfId="33954" xr:uid="{3B665D6C-5D40-4F84-A2D6-AD315D195B07}"/>
    <cellStyle name="Normal 2 7 2 2 2 2 5 4" xfId="33955" xr:uid="{BA264951-2394-49CF-B246-CA430BAEE1B5}"/>
    <cellStyle name="Normal 2 7 2 2 2 2 5 5" xfId="33956" xr:uid="{4DFBE162-C618-4D2F-A820-9A6113E21235}"/>
    <cellStyle name="Normal 2 7 2 2 2 2 6" xfId="33957" xr:uid="{76B793E1-74CD-4E52-878C-9CCE52101502}"/>
    <cellStyle name="Normal 2 7 2 2 2 2 6 2" xfId="33958" xr:uid="{885F3AF2-5342-40A9-804D-4EA38046A19E}"/>
    <cellStyle name="Normal 2 7 2 2 2 2 6 3" xfId="33959" xr:uid="{4FFCBC60-43F8-43AB-BD4B-29FE10EF1E3D}"/>
    <cellStyle name="Normal 2 7 2 2 2 2 6 4" xfId="33960" xr:uid="{C21707FC-0A0E-4F27-AA86-DEA7FC837636}"/>
    <cellStyle name="Normal 2 7 2 2 2 2 6 5" xfId="33961" xr:uid="{8618E45A-3025-4AC7-BFFB-C0A1A259F9FD}"/>
    <cellStyle name="Normal 2 7 2 2 2 2 7" xfId="33962" xr:uid="{4CF0AB4D-2DEA-4CC0-840A-24A209B26A16}"/>
    <cellStyle name="Normal 2 7 2 2 2 2 7 2" xfId="33963" xr:uid="{C9053009-CD4F-4916-BE96-E2942C9580DE}"/>
    <cellStyle name="Normal 2 7 2 2 2 2 7 3" xfId="33964" xr:uid="{1D8C7ABA-AA68-4CB2-9C93-7D4F3723687C}"/>
    <cellStyle name="Normal 2 7 2 2 2 2 7 4" xfId="33965" xr:uid="{68823CC6-FBFD-4203-8F06-AF4B8329BAD7}"/>
    <cellStyle name="Normal 2 7 2 2 2 2 7 5" xfId="33966" xr:uid="{F131ECAC-67BD-4A03-91C1-D9FE04D738A8}"/>
    <cellStyle name="Normal 2 7 2 2 2 2 8" xfId="33967" xr:uid="{B5D60D95-DE60-48CC-88AE-65CFF8FA2FC3}"/>
    <cellStyle name="Normal 2 7 2 2 2 2 8 2" xfId="33968" xr:uid="{CFA1033B-9D51-4CD0-BC2A-1A34BA495F8E}"/>
    <cellStyle name="Normal 2 7 2 2 2 2 8 3" xfId="33969" xr:uid="{063B6972-DB4F-4905-AB81-FA932A4E3972}"/>
    <cellStyle name="Normal 2 7 2 2 2 2 8 4" xfId="33970" xr:uid="{E2D29F03-C6E8-41F1-BF18-BAB4E2049ECF}"/>
    <cellStyle name="Normal 2 7 2 2 2 2 8 5" xfId="33971" xr:uid="{4B7119CD-9AA6-454E-9110-96F54479256E}"/>
    <cellStyle name="Normal 2 7 2 2 2 2 9" xfId="33972" xr:uid="{3950E88E-C279-4C04-AC22-79838F4F5DAF}"/>
    <cellStyle name="Normal 2 7 2 2 2 3" xfId="33973" xr:uid="{F99476E9-E233-4D75-8DF8-424BB3170237}"/>
    <cellStyle name="Normal 2 7 2 2 2 3 2" xfId="33974" xr:uid="{CC7EA3BA-201F-4B93-874A-D0A8E79B8222}"/>
    <cellStyle name="Normal 2 7 2 2 2 3 2 2" xfId="33975" xr:uid="{F97CA3A9-28E8-4DC5-AEEA-EEE645864408}"/>
    <cellStyle name="Normal 2 7 2 2 2 3 2 3" xfId="33976" xr:uid="{9478BE69-4FEF-43B5-BB0F-C7A4EE8C36FD}"/>
    <cellStyle name="Normal 2 7 2 2 2 3 2 4" xfId="33977" xr:uid="{B7FDC108-8B4F-4C02-B638-BAB10D73933D}"/>
    <cellStyle name="Normal 2 7 2 2 2 3 2 5" xfId="33978" xr:uid="{A80E16A9-74CF-4D57-8AFA-262AEE87D9CC}"/>
    <cellStyle name="Normal 2 7 2 2 2 3 3" xfId="33979" xr:uid="{FF0781A0-99BA-4C87-9DD2-6A53A58B0C08}"/>
    <cellStyle name="Normal 2 7 2 2 2 3 4" xfId="33980" xr:uid="{FAB6BC61-C8C3-42A1-B705-B589BDAEF3DC}"/>
    <cellStyle name="Normal 2 7 2 2 2 3 5" xfId="33981" xr:uid="{75EA08D8-56C9-4AC7-9CAA-356735586FBC}"/>
    <cellStyle name="Normal 2 7 2 2 2 3 6" xfId="33982" xr:uid="{45426C85-D814-45B0-B69C-66AB42EE9DCC}"/>
    <cellStyle name="Normal 2 7 2 2 2 4" xfId="33983" xr:uid="{B5FA591C-449A-452D-A1F2-64E7B88A8D38}"/>
    <cellStyle name="Normal 2 7 2 2 2 4 2" xfId="33984" xr:uid="{107837F0-D0C3-4D3C-9C5B-F70C7D686E6B}"/>
    <cellStyle name="Normal 2 7 2 2 2 4 2 2" xfId="33985" xr:uid="{7B52B323-DB3F-433B-921E-D58E8EB00A01}"/>
    <cellStyle name="Normal 2 7 2 2 2 4 2 3" xfId="33986" xr:uid="{A786C5D8-B9D3-4179-A42E-982BBCE1B63B}"/>
    <cellStyle name="Normal 2 7 2 2 2 4 2 4" xfId="33987" xr:uid="{E0EC640A-C470-483D-91EA-AAC43DFAD903}"/>
    <cellStyle name="Normal 2 7 2 2 2 4 2 5" xfId="33988" xr:uid="{A9D91F7F-CFA8-43EF-9489-5FDA370F0DED}"/>
    <cellStyle name="Normal 2 7 2 2 2 4 3" xfId="33989" xr:uid="{7081536F-FE3A-4CE1-AD8A-A1DF42A1AAD7}"/>
    <cellStyle name="Normal 2 7 2 2 2 4 4" xfId="33990" xr:uid="{8B4C0EFE-B355-4A86-B159-5240951316BD}"/>
    <cellStyle name="Normal 2 7 2 2 2 4 5" xfId="33991" xr:uid="{895B9DA8-1703-4B65-A8C7-8C67B4B2D0EE}"/>
    <cellStyle name="Normal 2 7 2 2 2 4 6" xfId="33992" xr:uid="{1AC0580C-5A9E-43CE-BA78-2224A2B930C4}"/>
    <cellStyle name="Normal 2 7 2 2 2 5" xfId="33993" xr:uid="{E97F2469-E131-45BA-81B3-E1CB9FC9399C}"/>
    <cellStyle name="Normal 2 7 2 2 2 5 2" xfId="33994" xr:uid="{A9BF131E-E12D-4DBF-9B75-E46DD47A55FC}"/>
    <cellStyle name="Normal 2 7 2 2 2 5 2 2" xfId="33995" xr:uid="{F2CA0319-AB09-49AF-AA70-A327A1EB4A39}"/>
    <cellStyle name="Normal 2 7 2 2 2 5 2 3" xfId="33996" xr:uid="{61FDD934-1020-4417-9ECD-E9CED21DDF54}"/>
    <cellStyle name="Normal 2 7 2 2 2 5 2 4" xfId="33997" xr:uid="{5A8596B3-4E68-43FC-ACBD-07A589FFD8F8}"/>
    <cellStyle name="Normal 2 7 2 2 2 5 2 5" xfId="33998" xr:uid="{BFC4B8BF-BEE9-426D-B065-5FE9396C8289}"/>
    <cellStyle name="Normal 2 7 2 2 2 5 3" xfId="33999" xr:uid="{B670B7E9-BED4-4010-9A8A-A59264FE7E35}"/>
    <cellStyle name="Normal 2 7 2 2 2 5 4" xfId="34000" xr:uid="{9AED42B3-1D57-4E20-812E-E553BF5FB9C0}"/>
    <cellStyle name="Normal 2 7 2 2 2 5 5" xfId="34001" xr:uid="{173AD116-DFF7-41E9-8C5B-419E1B86FF47}"/>
    <cellStyle name="Normal 2 7 2 2 2 5 6" xfId="34002" xr:uid="{6AACA326-1A53-4D9C-89E3-E87B4C1F2301}"/>
    <cellStyle name="Normal 2 7 2 2 2 6" xfId="34003" xr:uid="{850F9E45-AE51-4095-BDFD-A50F907EE4B5}"/>
    <cellStyle name="Normal 2 7 2 2 2 6 2" xfId="34004" xr:uid="{9193BE46-88E7-49DF-A6C3-8AC6B5E81CBB}"/>
    <cellStyle name="Normal 2 7 2 2 2 6 3" xfId="34005" xr:uid="{CBD9AF77-7780-4329-A233-42C14834D3A6}"/>
    <cellStyle name="Normal 2 7 2 2 2 6 4" xfId="34006" xr:uid="{2026D19A-4921-4BCF-A9A7-EAB964B24DBB}"/>
    <cellStyle name="Normal 2 7 2 2 2 6 5" xfId="34007" xr:uid="{687F42AE-6336-4E16-A96C-1BF7964617EB}"/>
    <cellStyle name="Normal 2 7 2 2 2 7" xfId="34008" xr:uid="{14240277-5886-47BB-8AFC-ED6368C17F20}"/>
    <cellStyle name="Normal 2 7 2 2 2 7 2" xfId="34009" xr:uid="{D9B6A9F7-6AE6-48FC-B7C5-DFA0E120D1CF}"/>
    <cellStyle name="Normal 2 7 2 2 2 7 3" xfId="34010" xr:uid="{2EF1FFE1-73A6-4F58-9B8E-8029C92B1302}"/>
    <cellStyle name="Normal 2 7 2 2 2 7 4" xfId="34011" xr:uid="{DE40F637-AF62-4A33-AC86-7EC56AA7F7E6}"/>
    <cellStyle name="Normal 2 7 2 2 2 7 5" xfId="34012" xr:uid="{E605A23A-C517-48D7-B254-1D1AA4B25EC5}"/>
    <cellStyle name="Normal 2 7 2 2 2 8" xfId="34013" xr:uid="{20C563D7-FA7A-4B23-8974-41CBCD1D059E}"/>
    <cellStyle name="Normal 2 7 2 2 2 8 2" xfId="34014" xr:uid="{192077AB-5CFA-4BAC-BB24-310AF2257D4D}"/>
    <cellStyle name="Normal 2 7 2 2 2 8 3" xfId="34015" xr:uid="{A24BC847-79A6-4182-9E12-FAB17EF59FA3}"/>
    <cellStyle name="Normal 2 7 2 2 2 8 4" xfId="34016" xr:uid="{E339772F-F6B2-4D09-937A-40BA7AA4F6EF}"/>
    <cellStyle name="Normal 2 7 2 2 2 8 5" xfId="34017" xr:uid="{D143014E-B7B7-471B-8D00-B3E165E635A5}"/>
    <cellStyle name="Normal 2 7 2 2 2 9" xfId="34018" xr:uid="{0DD2F928-5416-4588-AACB-7D82C5EAE3ED}"/>
    <cellStyle name="Normal 2 7 2 2 2 9 2" xfId="34019" xr:uid="{53134847-75A5-4332-A5A9-19E8C183D071}"/>
    <cellStyle name="Normal 2 7 2 2 2 9 3" xfId="34020" xr:uid="{FDAC817D-153B-4CF3-AD2D-AEBA228382A6}"/>
    <cellStyle name="Normal 2 7 2 2 2 9 4" xfId="34021" xr:uid="{C6E5E27E-3A7F-40C7-B129-197702D2C7CE}"/>
    <cellStyle name="Normal 2 7 2 2 2 9 5" xfId="34022" xr:uid="{CE540EFB-C248-4B2B-836C-D6FB0F305A11}"/>
    <cellStyle name="Normal 2 7 2 2 3" xfId="34023" xr:uid="{6CCA645B-ACEF-41DE-A40A-721E63287DEA}"/>
    <cellStyle name="Normal 2 7 2 2 3 10" xfId="34024" xr:uid="{34DE0A50-017C-4B0E-940E-5097AFFDCEC4}"/>
    <cellStyle name="Normal 2 7 2 2 3 11" xfId="34025" xr:uid="{88082A8C-FDAB-4561-BB6F-F56494471236}"/>
    <cellStyle name="Normal 2 7 2 2 3 12" xfId="34026" xr:uid="{77C1C9A9-1061-4E8B-9C53-87F0A20E9994}"/>
    <cellStyle name="Normal 2 7 2 2 3 2" xfId="34027" xr:uid="{69438504-4F8F-4F51-8F3D-54AF6AB34B4B}"/>
    <cellStyle name="Normal 2 7 2 2 3 2 2" xfId="34028" xr:uid="{5E3B2412-6582-4353-BCE4-CFD7EC509619}"/>
    <cellStyle name="Normal 2 7 2 2 3 2 2 2" xfId="34029" xr:uid="{018541B6-37D9-45E8-A9C7-444CC8B12C0D}"/>
    <cellStyle name="Normal 2 7 2 2 3 2 2 3" xfId="34030" xr:uid="{0DB8F449-9B18-423B-B929-E69CE2AA450E}"/>
    <cellStyle name="Normal 2 7 2 2 3 2 2 4" xfId="34031" xr:uid="{434C3029-AB05-4182-A791-BD5637D3634A}"/>
    <cellStyle name="Normal 2 7 2 2 3 2 2 5" xfId="34032" xr:uid="{A95FC809-1C6A-4C70-A3BD-481100C5240B}"/>
    <cellStyle name="Normal 2 7 2 2 3 2 3" xfId="34033" xr:uid="{C1A76DCE-BB57-4D37-8A45-1B5D4EE01DA6}"/>
    <cellStyle name="Normal 2 7 2 2 3 2 4" xfId="34034" xr:uid="{B8A3C6E1-6081-4782-B7BC-2A3CB1FB6272}"/>
    <cellStyle name="Normal 2 7 2 2 3 2 5" xfId="34035" xr:uid="{7A97F70C-0A00-4222-94FB-355CC969C86A}"/>
    <cellStyle name="Normal 2 7 2 2 3 2 6" xfId="34036" xr:uid="{F0049071-0A17-4A5A-BBB8-5EFDF0A8D301}"/>
    <cellStyle name="Normal 2 7 2 2 3 3" xfId="34037" xr:uid="{742F91CB-B069-4C0E-BD41-02202B3ACA8B}"/>
    <cellStyle name="Normal 2 7 2 2 3 3 2" xfId="34038" xr:uid="{CBC5518F-11AF-411A-9C04-CA552EF1BAFE}"/>
    <cellStyle name="Normal 2 7 2 2 3 3 2 2" xfId="34039" xr:uid="{7ACD92C1-1A68-4782-9D60-558017C9B817}"/>
    <cellStyle name="Normal 2 7 2 2 3 3 2 3" xfId="34040" xr:uid="{7395FC96-6D1A-4D5D-A407-48382FAD21AF}"/>
    <cellStyle name="Normal 2 7 2 2 3 3 2 4" xfId="34041" xr:uid="{C4F60FBE-F487-4336-B06C-500B62D6556D}"/>
    <cellStyle name="Normal 2 7 2 2 3 3 2 5" xfId="34042" xr:uid="{4FE6BE40-CA12-44E2-88C9-0FD5C0E22ED7}"/>
    <cellStyle name="Normal 2 7 2 2 3 3 3" xfId="34043" xr:uid="{09CB98C8-734C-43C6-B9D6-B80C062D27E5}"/>
    <cellStyle name="Normal 2 7 2 2 3 3 4" xfId="34044" xr:uid="{A51DC35E-775B-46B1-8C26-31ACBC5125FF}"/>
    <cellStyle name="Normal 2 7 2 2 3 3 5" xfId="34045" xr:uid="{0483C9B7-25DE-445D-A081-55F93A7BEBC2}"/>
    <cellStyle name="Normal 2 7 2 2 3 3 6" xfId="34046" xr:uid="{BEA5ABFC-B61A-467E-B848-D20D15CB53A6}"/>
    <cellStyle name="Normal 2 7 2 2 3 4" xfId="34047" xr:uid="{A1DAF645-0AA7-4A5F-9B6D-B1C0C2296956}"/>
    <cellStyle name="Normal 2 7 2 2 3 4 2" xfId="34048" xr:uid="{A73D28CD-3A6E-4785-9CF1-ABB1661C9DD9}"/>
    <cellStyle name="Normal 2 7 2 2 3 4 2 2" xfId="34049" xr:uid="{3D619998-5310-4C87-B773-81743EB667F7}"/>
    <cellStyle name="Normal 2 7 2 2 3 4 2 3" xfId="34050" xr:uid="{B3DE3170-6DEF-477B-A11D-CE922D5855CC}"/>
    <cellStyle name="Normal 2 7 2 2 3 4 2 4" xfId="34051" xr:uid="{95867F99-9E38-48E3-9FBC-15226E8E4A4D}"/>
    <cellStyle name="Normal 2 7 2 2 3 4 2 5" xfId="34052" xr:uid="{7D28FB84-7705-4C79-879D-43D9D0AF9E16}"/>
    <cellStyle name="Normal 2 7 2 2 3 4 3" xfId="34053" xr:uid="{F226F91D-DE84-4267-81D5-958BF06F8995}"/>
    <cellStyle name="Normal 2 7 2 2 3 4 4" xfId="34054" xr:uid="{FEB2943F-9C11-4D7E-A829-935FBB307296}"/>
    <cellStyle name="Normal 2 7 2 2 3 4 5" xfId="34055" xr:uid="{0A1D195D-17D6-4CC1-A031-7ABE296338C0}"/>
    <cellStyle name="Normal 2 7 2 2 3 4 6" xfId="34056" xr:uid="{758346D3-20CD-490F-8581-F84618299CC0}"/>
    <cellStyle name="Normal 2 7 2 2 3 5" xfId="34057" xr:uid="{A3D80821-CDDF-4A0B-B26B-01D4030FCD43}"/>
    <cellStyle name="Normal 2 7 2 2 3 5 2" xfId="34058" xr:uid="{C857A959-7BEC-47BD-B294-1D5888B8E70B}"/>
    <cellStyle name="Normal 2 7 2 2 3 5 3" xfId="34059" xr:uid="{B18A2CA1-9885-4431-82B1-F3AD05E231B3}"/>
    <cellStyle name="Normal 2 7 2 2 3 5 4" xfId="34060" xr:uid="{91E27A58-8B64-44FE-BB8D-4407B461359C}"/>
    <cellStyle name="Normal 2 7 2 2 3 5 5" xfId="34061" xr:uid="{3D52B507-CC5C-40ED-B62D-2FA881A2E58F}"/>
    <cellStyle name="Normal 2 7 2 2 3 6" xfId="34062" xr:uid="{00FC0FB9-71DC-42B9-A3E2-C643C380B8F6}"/>
    <cellStyle name="Normal 2 7 2 2 3 6 2" xfId="34063" xr:uid="{A5224F99-5730-4E93-95D9-D33EC929B477}"/>
    <cellStyle name="Normal 2 7 2 2 3 6 3" xfId="34064" xr:uid="{50287ED5-CDE3-44EC-8B1E-3EE2E3F95E77}"/>
    <cellStyle name="Normal 2 7 2 2 3 6 4" xfId="34065" xr:uid="{F0C729F7-55AF-4438-BF28-695139D02F53}"/>
    <cellStyle name="Normal 2 7 2 2 3 6 5" xfId="34066" xr:uid="{85500140-D80C-408D-BAC1-698B13409E09}"/>
    <cellStyle name="Normal 2 7 2 2 3 7" xfId="34067" xr:uid="{95B59ED0-0778-4D02-BB3D-FD9A5BB2061F}"/>
    <cellStyle name="Normal 2 7 2 2 3 7 2" xfId="34068" xr:uid="{341FF34C-A511-44B1-996B-08330ABB0F25}"/>
    <cellStyle name="Normal 2 7 2 2 3 7 3" xfId="34069" xr:uid="{1E8F12BF-E3DB-42E7-AC45-94AB8ACDD84A}"/>
    <cellStyle name="Normal 2 7 2 2 3 7 4" xfId="34070" xr:uid="{4F977014-3E32-4FE6-848B-9E856D6B1149}"/>
    <cellStyle name="Normal 2 7 2 2 3 7 5" xfId="34071" xr:uid="{B4B07F9E-3974-4805-9901-A0562CA4FCD6}"/>
    <cellStyle name="Normal 2 7 2 2 3 8" xfId="34072" xr:uid="{20B46D2C-A9BE-4C39-94C9-D28FFA8C09B9}"/>
    <cellStyle name="Normal 2 7 2 2 3 8 2" xfId="34073" xr:uid="{67248338-5A54-4921-A54C-49BC4EDDB574}"/>
    <cellStyle name="Normal 2 7 2 2 3 8 3" xfId="34074" xr:uid="{E5874BC5-291C-4B86-B3FD-EA91265FA8BF}"/>
    <cellStyle name="Normal 2 7 2 2 3 8 4" xfId="34075" xr:uid="{B218BD7E-D24B-4033-B199-6716404AF2CD}"/>
    <cellStyle name="Normal 2 7 2 2 3 8 5" xfId="34076" xr:uid="{A7744E42-22B4-4543-9778-77C1B06651E7}"/>
    <cellStyle name="Normal 2 7 2 2 3 9" xfId="34077" xr:uid="{378AF8DF-B5E9-4941-A381-F89DE3AB6415}"/>
    <cellStyle name="Normal 2 7 2 2 4" xfId="34078" xr:uid="{EB7FD516-E779-46A6-9D6E-7FD7D7DCE13B}"/>
    <cellStyle name="Normal 2 7 2 2 4 2" xfId="34079" xr:uid="{E7E025C7-6233-4198-B01B-EFB79849423D}"/>
    <cellStyle name="Normal 2 7 2 2 4 2 2" xfId="34080" xr:uid="{0365359A-7DE7-4BEC-9F60-0DDF5F0A3FC5}"/>
    <cellStyle name="Normal 2 7 2 2 4 2 3" xfId="34081" xr:uid="{D6DA428E-0296-4C88-BF99-DA126F332A00}"/>
    <cellStyle name="Normal 2 7 2 2 4 2 4" xfId="34082" xr:uid="{BA3A902F-A531-44BC-8969-62282DD46766}"/>
    <cellStyle name="Normal 2 7 2 2 4 2 5" xfId="34083" xr:uid="{28C9AE32-7779-4F02-83E7-3E5A7063DB48}"/>
    <cellStyle name="Normal 2 7 2 2 4 3" xfId="34084" xr:uid="{72A59AE5-D88E-4681-8627-D1CAE2C030A4}"/>
    <cellStyle name="Normal 2 7 2 2 4 4" xfId="34085" xr:uid="{FC491670-B1AE-49F8-B614-82CE17C1DF1C}"/>
    <cellStyle name="Normal 2 7 2 2 4 5" xfId="34086" xr:uid="{A584B41F-12B2-473F-B01C-16C96870FFD4}"/>
    <cellStyle name="Normal 2 7 2 2 4 6" xfId="34087" xr:uid="{BD765D38-7AB7-4145-9388-DE6EE3CE57F9}"/>
    <cellStyle name="Normal 2 7 2 2 5" xfId="34088" xr:uid="{C230A0B5-820A-43A6-9BAE-A0752312CABC}"/>
    <cellStyle name="Normal 2 7 2 2 5 2" xfId="34089" xr:uid="{6CA1E58E-7DBD-427C-8413-DBC5FFB2023D}"/>
    <cellStyle name="Normal 2 7 2 2 5 2 2" xfId="34090" xr:uid="{786AC422-50BD-4D07-9453-361E014E050B}"/>
    <cellStyle name="Normal 2 7 2 2 5 2 3" xfId="34091" xr:uid="{E4CB1AB8-FC05-4D5B-AD75-067B89B4068E}"/>
    <cellStyle name="Normal 2 7 2 2 5 2 4" xfId="34092" xr:uid="{2C87F9AF-0F69-4C32-A780-1D4C6922B916}"/>
    <cellStyle name="Normal 2 7 2 2 5 2 5" xfId="34093" xr:uid="{5C0B075C-E046-408C-989C-49EBCFFF61FE}"/>
    <cellStyle name="Normal 2 7 2 2 5 3" xfId="34094" xr:uid="{B04B923D-0856-4D9D-B6FA-1F6C8D6385DA}"/>
    <cellStyle name="Normal 2 7 2 2 5 4" xfId="34095" xr:uid="{9705C28E-64AF-48FA-B7EB-428CC7B9D319}"/>
    <cellStyle name="Normal 2 7 2 2 5 5" xfId="34096" xr:uid="{2A653E03-B519-4A05-979E-8AB2FF7D2A29}"/>
    <cellStyle name="Normal 2 7 2 2 5 6" xfId="34097" xr:uid="{A0B8BBAE-8BBB-4751-BC55-9C0E0CF40516}"/>
    <cellStyle name="Normal 2 7 2 2 6" xfId="34098" xr:uid="{EBCC44BD-FAE5-4470-9810-BF4260571713}"/>
    <cellStyle name="Normal 2 7 2 2 6 2" xfId="34099" xr:uid="{4845C619-4F09-414C-9D1D-13C0E7D4F79A}"/>
    <cellStyle name="Normal 2 7 2 2 6 2 2" xfId="34100" xr:uid="{C3873CDB-CE24-43B3-8DB6-E04CB145B742}"/>
    <cellStyle name="Normal 2 7 2 2 6 2 3" xfId="34101" xr:uid="{6963779C-98BB-42ED-AF75-54B8A980F9FD}"/>
    <cellStyle name="Normal 2 7 2 2 6 2 4" xfId="34102" xr:uid="{85FBE75F-2FD4-4CED-B49F-F5B1A79DCD5C}"/>
    <cellStyle name="Normal 2 7 2 2 6 2 5" xfId="34103" xr:uid="{50E04544-11FA-40C6-A428-5F9E63E39D8C}"/>
    <cellStyle name="Normal 2 7 2 2 6 3" xfId="34104" xr:uid="{A618D73D-4AE1-4E9C-816C-669621672F10}"/>
    <cellStyle name="Normal 2 7 2 2 6 4" xfId="34105" xr:uid="{CCA53A83-EFF9-4E2C-ABD2-E14B844C02A2}"/>
    <cellStyle name="Normal 2 7 2 2 6 5" xfId="34106" xr:uid="{C1589173-2B11-463F-B503-0DF64372A45A}"/>
    <cellStyle name="Normal 2 7 2 2 6 6" xfId="34107" xr:uid="{70DDFCFF-191F-4DDA-887B-2A219C56BD93}"/>
    <cellStyle name="Normal 2 7 2 2 7" xfId="34108" xr:uid="{3B53523F-8A34-479D-BBC2-C4A44243E19B}"/>
    <cellStyle name="Normal 2 7 2 2 7 2" xfId="34109" xr:uid="{470AAF27-9983-4E84-929F-69326251F8A0}"/>
    <cellStyle name="Normal 2 7 2 2 7 3" xfId="34110" xr:uid="{FD3B7122-9C64-4F1F-8747-C54C6F961986}"/>
    <cellStyle name="Normal 2 7 2 2 7 4" xfId="34111" xr:uid="{162BC9FC-8794-4B01-854E-B8E52A2D7AD8}"/>
    <cellStyle name="Normal 2 7 2 2 7 5" xfId="34112" xr:uid="{7F9A6F5B-0E71-407C-8675-D00B1C07A67C}"/>
    <cellStyle name="Normal 2 7 2 2 8" xfId="34113" xr:uid="{900AFDAF-CDFB-4200-B6AE-7B20B854CA5D}"/>
    <cellStyle name="Normal 2 7 2 2 8 2" xfId="34114" xr:uid="{FF117410-04F4-476B-AA4F-6EA3BC80A1CC}"/>
    <cellStyle name="Normal 2 7 2 2 8 3" xfId="34115" xr:uid="{9E55FA41-C312-4B6F-BD85-D37FFEC411F9}"/>
    <cellStyle name="Normal 2 7 2 2 8 4" xfId="34116" xr:uid="{B1BDCBFC-E9EE-4AC0-ACB5-1E3FAAEA1121}"/>
    <cellStyle name="Normal 2 7 2 2 8 5" xfId="34117" xr:uid="{978B881B-7461-41DC-B5AD-1889C6715E9B}"/>
    <cellStyle name="Normal 2 7 2 2 9" xfId="34118" xr:uid="{CC5EE7AA-3FD6-4A2E-9940-EABA8B0E8839}"/>
    <cellStyle name="Normal 2 7 2 2 9 2" xfId="34119" xr:uid="{9D089A24-6A1B-4BE5-8279-7F9084318B5E}"/>
    <cellStyle name="Normal 2 7 2 2 9 3" xfId="34120" xr:uid="{7277A393-3E78-46FE-B6D7-5757723C46A4}"/>
    <cellStyle name="Normal 2 7 2 2 9 4" xfId="34121" xr:uid="{17F43B3E-999E-4AEB-9F52-EB5B55CC8182}"/>
    <cellStyle name="Normal 2 7 2 2 9 5" xfId="34122" xr:uid="{BC3534AA-DDFC-4E01-9379-03DED1404351}"/>
    <cellStyle name="Normal 2 7 2 3" xfId="34123" xr:uid="{6FEA15E7-0B39-4D24-98C7-A07D45D31B93}"/>
    <cellStyle name="Normal 2 7 2 3 10" xfId="34124" xr:uid="{B0F31A46-5994-4DAA-839B-E90E62881040}"/>
    <cellStyle name="Normal 2 7 2 3 11" xfId="34125" xr:uid="{C29BBABE-8CE6-41DE-A4AA-918391604D5D}"/>
    <cellStyle name="Normal 2 7 2 3 12" xfId="34126" xr:uid="{7C74F595-DAB2-4D58-A1E1-4D229789D0F6}"/>
    <cellStyle name="Normal 2 7 2 3 13" xfId="34127" xr:uid="{89F3FD51-0846-4CB0-8744-2CD6537E4990}"/>
    <cellStyle name="Normal 2 7 2 3 2" xfId="34128" xr:uid="{1B1CB255-6CE0-433B-89C1-F03BAF44A1E6}"/>
    <cellStyle name="Normal 2 7 2 3 2 10" xfId="34129" xr:uid="{2A894C75-180A-459B-A041-1B45C7820297}"/>
    <cellStyle name="Normal 2 7 2 3 2 11" xfId="34130" xr:uid="{8CC33747-257A-4F8F-9F64-A596719975C9}"/>
    <cellStyle name="Normal 2 7 2 3 2 12" xfId="34131" xr:uid="{6E557AA9-A3F3-4FD1-818E-99CDBD30A18E}"/>
    <cellStyle name="Normal 2 7 2 3 2 2" xfId="34132" xr:uid="{6C2AE600-F02E-49FC-B4B9-E59AC169F00C}"/>
    <cellStyle name="Normal 2 7 2 3 2 2 2" xfId="34133" xr:uid="{F2E0E38C-FFB0-45C8-87EC-DB439884972C}"/>
    <cellStyle name="Normal 2 7 2 3 2 2 2 2" xfId="34134" xr:uid="{3E7B94BC-2F53-40AD-A8A2-1CD3D456D9FF}"/>
    <cellStyle name="Normal 2 7 2 3 2 2 2 3" xfId="34135" xr:uid="{9624787B-21F1-41AF-B371-CD78F2078683}"/>
    <cellStyle name="Normal 2 7 2 3 2 2 2 4" xfId="34136" xr:uid="{FBBA7644-3384-435C-9BA9-AA9853DE6675}"/>
    <cellStyle name="Normal 2 7 2 3 2 2 2 5" xfId="34137" xr:uid="{776D717E-253F-4108-9044-EFFE33A4C464}"/>
    <cellStyle name="Normal 2 7 2 3 2 2 3" xfId="34138" xr:uid="{D7245238-1246-438A-853F-4C7AA031C334}"/>
    <cellStyle name="Normal 2 7 2 3 2 2 4" xfId="34139" xr:uid="{8F5F701D-5221-4D99-B759-F6628AA0A52C}"/>
    <cellStyle name="Normal 2 7 2 3 2 2 5" xfId="34140" xr:uid="{6A42712F-75E6-41D7-8B89-5BDCD525E162}"/>
    <cellStyle name="Normal 2 7 2 3 2 2 6" xfId="34141" xr:uid="{2481608E-B47C-423C-A77D-65325DEB65EF}"/>
    <cellStyle name="Normal 2 7 2 3 2 3" xfId="34142" xr:uid="{B5F846EA-D015-4D54-AFC8-F988B377E715}"/>
    <cellStyle name="Normal 2 7 2 3 2 3 2" xfId="34143" xr:uid="{95D5BBE3-53D0-4873-A78D-3FB73B709555}"/>
    <cellStyle name="Normal 2 7 2 3 2 3 2 2" xfId="34144" xr:uid="{16EF1416-218E-4C2D-8134-A176EF9ADEEE}"/>
    <cellStyle name="Normal 2 7 2 3 2 3 2 3" xfId="34145" xr:uid="{5015F6E4-1839-44D8-ABE5-C1996C911EC9}"/>
    <cellStyle name="Normal 2 7 2 3 2 3 2 4" xfId="34146" xr:uid="{1275D4B3-9C25-4F37-AA5E-BC7BD61187B1}"/>
    <cellStyle name="Normal 2 7 2 3 2 3 2 5" xfId="34147" xr:uid="{B9797451-6845-4769-A7FE-6351AD8CCA1A}"/>
    <cellStyle name="Normal 2 7 2 3 2 3 3" xfId="34148" xr:uid="{83416C07-1B36-4686-A6D8-5E25E1434910}"/>
    <cellStyle name="Normal 2 7 2 3 2 3 4" xfId="34149" xr:uid="{2A716580-BD81-4B31-8704-18A3468BC7D3}"/>
    <cellStyle name="Normal 2 7 2 3 2 3 5" xfId="34150" xr:uid="{1380516A-1E1D-4ED8-B79A-C0454C38EA18}"/>
    <cellStyle name="Normal 2 7 2 3 2 3 6" xfId="34151" xr:uid="{0748C39B-01DE-48F1-A22F-7C24ADAFD896}"/>
    <cellStyle name="Normal 2 7 2 3 2 4" xfId="34152" xr:uid="{2533487C-DAB6-4D29-8EF9-59A65E7736F2}"/>
    <cellStyle name="Normal 2 7 2 3 2 4 2" xfId="34153" xr:uid="{0B54C3D6-44E5-49FF-B8CD-A86D1AA7F9F9}"/>
    <cellStyle name="Normal 2 7 2 3 2 4 2 2" xfId="34154" xr:uid="{07C9029E-08F9-42B8-A060-6960C4A4FB80}"/>
    <cellStyle name="Normal 2 7 2 3 2 4 2 3" xfId="34155" xr:uid="{940A521E-0DE1-4928-9395-F37F392BB529}"/>
    <cellStyle name="Normal 2 7 2 3 2 4 2 4" xfId="34156" xr:uid="{ECD0EC21-3DED-4F21-93F8-5EAC3E077709}"/>
    <cellStyle name="Normal 2 7 2 3 2 4 2 5" xfId="34157" xr:uid="{CCF5304A-777E-4656-B0F5-A31A6A8C7B32}"/>
    <cellStyle name="Normal 2 7 2 3 2 4 3" xfId="34158" xr:uid="{63C844AE-A577-4932-8C68-729834FB2884}"/>
    <cellStyle name="Normal 2 7 2 3 2 4 4" xfId="34159" xr:uid="{503AB1F5-8237-4516-A7D9-114670A5E4A6}"/>
    <cellStyle name="Normal 2 7 2 3 2 4 5" xfId="34160" xr:uid="{1E0A6402-C4E9-48E7-BB2A-F196DBFEF625}"/>
    <cellStyle name="Normal 2 7 2 3 2 4 6" xfId="34161" xr:uid="{82640DCB-7D3A-4B57-A573-BD022C669C52}"/>
    <cellStyle name="Normal 2 7 2 3 2 5" xfId="34162" xr:uid="{C486169D-762B-494C-A97F-E5C172003F5C}"/>
    <cellStyle name="Normal 2 7 2 3 2 5 2" xfId="34163" xr:uid="{D7069467-F4EA-43B5-8D1A-34C40A89B032}"/>
    <cellStyle name="Normal 2 7 2 3 2 5 3" xfId="34164" xr:uid="{1483D976-39D4-4C65-8FBD-AFD4868EFC31}"/>
    <cellStyle name="Normal 2 7 2 3 2 5 4" xfId="34165" xr:uid="{E5B0CEFD-42D6-4594-BFCE-395EA1E38A15}"/>
    <cellStyle name="Normal 2 7 2 3 2 5 5" xfId="34166" xr:uid="{EBD8A265-FB5B-43B8-8872-504D4F609C60}"/>
    <cellStyle name="Normal 2 7 2 3 2 6" xfId="34167" xr:uid="{95148AD8-B49D-4038-AC91-920D99FF27B6}"/>
    <cellStyle name="Normal 2 7 2 3 2 6 2" xfId="34168" xr:uid="{39622590-E1BC-41F6-B066-5809820AB970}"/>
    <cellStyle name="Normal 2 7 2 3 2 6 3" xfId="34169" xr:uid="{421DE87D-DDE3-4CFD-870F-61583593FABD}"/>
    <cellStyle name="Normal 2 7 2 3 2 6 4" xfId="34170" xr:uid="{987D4352-3722-417D-B540-5A781C1F744D}"/>
    <cellStyle name="Normal 2 7 2 3 2 6 5" xfId="34171" xr:uid="{8593C9DA-ECEC-4335-88D5-DC649506B92E}"/>
    <cellStyle name="Normal 2 7 2 3 2 7" xfId="34172" xr:uid="{98D8F434-64C8-408C-8F6C-4B5CF757BB2F}"/>
    <cellStyle name="Normal 2 7 2 3 2 7 2" xfId="34173" xr:uid="{D3DACBB5-0D0B-496B-A747-E3455ECABCC0}"/>
    <cellStyle name="Normal 2 7 2 3 2 7 3" xfId="34174" xr:uid="{38570A7C-BE5C-4F43-8644-02803C23E76F}"/>
    <cellStyle name="Normal 2 7 2 3 2 7 4" xfId="34175" xr:uid="{222E1B23-1973-47A1-90B9-80A578651E02}"/>
    <cellStyle name="Normal 2 7 2 3 2 7 5" xfId="34176" xr:uid="{FA08A4BF-B53E-4567-8A47-9CD46147174E}"/>
    <cellStyle name="Normal 2 7 2 3 2 8" xfId="34177" xr:uid="{14DE056B-421B-404F-8032-F7A843D95F43}"/>
    <cellStyle name="Normal 2 7 2 3 2 8 2" xfId="34178" xr:uid="{44B96EE2-3ED7-4632-93B3-964C6781263B}"/>
    <cellStyle name="Normal 2 7 2 3 2 8 3" xfId="34179" xr:uid="{0FD2A709-3020-4861-8F33-7D4BB481DAFF}"/>
    <cellStyle name="Normal 2 7 2 3 2 8 4" xfId="34180" xr:uid="{05DFEF9D-E502-4E53-834F-F60B8DEA2088}"/>
    <cellStyle name="Normal 2 7 2 3 2 8 5" xfId="34181" xr:uid="{869DBAAA-2EB3-42F5-9B92-8E3FF0BC0F81}"/>
    <cellStyle name="Normal 2 7 2 3 2 9" xfId="34182" xr:uid="{63D5D835-F3F2-46ED-8110-74F35FAF1175}"/>
    <cellStyle name="Normal 2 7 2 3 3" xfId="34183" xr:uid="{DFCD0280-EE0D-49B1-8462-FB964399EBEC}"/>
    <cellStyle name="Normal 2 7 2 3 3 2" xfId="34184" xr:uid="{FB550C8C-3C62-4AFA-96D4-5AB630FFE143}"/>
    <cellStyle name="Normal 2 7 2 3 3 2 2" xfId="34185" xr:uid="{A2D5BD9C-B1E8-48A4-A267-61E4A2CA2A56}"/>
    <cellStyle name="Normal 2 7 2 3 3 2 3" xfId="34186" xr:uid="{261069FC-E1AC-4AB3-B3AC-0A571315910E}"/>
    <cellStyle name="Normal 2 7 2 3 3 2 4" xfId="34187" xr:uid="{F6CFE327-3103-411D-AB86-2A1CDCCC9683}"/>
    <cellStyle name="Normal 2 7 2 3 3 2 5" xfId="34188" xr:uid="{98039DB4-CBD4-4691-8DA0-9680A2AF1DAB}"/>
    <cellStyle name="Normal 2 7 2 3 3 3" xfId="34189" xr:uid="{BFDF0811-A117-4D81-B0B1-11E6F11FFBDD}"/>
    <cellStyle name="Normal 2 7 2 3 3 4" xfId="34190" xr:uid="{1447825D-B0E3-4DE1-A0C9-C617E50F0D47}"/>
    <cellStyle name="Normal 2 7 2 3 3 5" xfId="34191" xr:uid="{59D2AEDB-3C9C-4918-ADBF-58D5832CE938}"/>
    <cellStyle name="Normal 2 7 2 3 3 6" xfId="34192" xr:uid="{791DF5EE-7A0B-4AAE-A0EA-7FA4D1D50B20}"/>
    <cellStyle name="Normal 2 7 2 3 4" xfId="34193" xr:uid="{08B0F9DC-B044-446B-9426-AFC02BB15938}"/>
    <cellStyle name="Normal 2 7 2 3 4 2" xfId="34194" xr:uid="{883D3E17-28A2-4DB8-91C8-E53218E48E9C}"/>
    <cellStyle name="Normal 2 7 2 3 4 2 2" xfId="34195" xr:uid="{CE05D986-D5A6-4B16-A61C-56DFA4E11ADF}"/>
    <cellStyle name="Normal 2 7 2 3 4 2 3" xfId="34196" xr:uid="{0018E1A1-50AF-46E3-9642-1636787522E4}"/>
    <cellStyle name="Normal 2 7 2 3 4 2 4" xfId="34197" xr:uid="{C597CE9C-411B-4EDC-9A84-2D0F7F24C6BA}"/>
    <cellStyle name="Normal 2 7 2 3 4 2 5" xfId="34198" xr:uid="{C37B36A2-7C76-483F-B38D-93E3714D7292}"/>
    <cellStyle name="Normal 2 7 2 3 4 3" xfId="34199" xr:uid="{F3E0DB2B-603F-41DF-8D2B-09E3AB725331}"/>
    <cellStyle name="Normal 2 7 2 3 4 4" xfId="34200" xr:uid="{7A294F13-2D72-445A-AE09-3A900B8AC79E}"/>
    <cellStyle name="Normal 2 7 2 3 4 5" xfId="34201" xr:uid="{1286AB44-0F94-4E82-B21D-235C0E760531}"/>
    <cellStyle name="Normal 2 7 2 3 4 6" xfId="34202" xr:uid="{C758DFAB-F6C5-404C-B0B1-1BF513754D54}"/>
    <cellStyle name="Normal 2 7 2 3 5" xfId="34203" xr:uid="{5CB29F28-81E6-4C7A-8CC2-AFE372A59E8A}"/>
    <cellStyle name="Normal 2 7 2 3 5 2" xfId="34204" xr:uid="{0726B723-24A9-418B-8BD9-6841D5E24C05}"/>
    <cellStyle name="Normal 2 7 2 3 5 2 2" xfId="34205" xr:uid="{323D6CFC-BB7A-41EE-8A8E-C22A37D9F1EE}"/>
    <cellStyle name="Normal 2 7 2 3 5 2 3" xfId="34206" xr:uid="{4497F77B-E51F-4076-AF18-3B1ED05438CD}"/>
    <cellStyle name="Normal 2 7 2 3 5 2 4" xfId="34207" xr:uid="{0EE374DB-E5E9-4A51-8843-9324ADC3946A}"/>
    <cellStyle name="Normal 2 7 2 3 5 2 5" xfId="34208" xr:uid="{D47809B0-D6F8-49FC-8E86-78F06071F2B0}"/>
    <cellStyle name="Normal 2 7 2 3 5 3" xfId="34209" xr:uid="{DFB492CF-DBFC-4EE1-90E8-C08061AA2B82}"/>
    <cellStyle name="Normal 2 7 2 3 5 4" xfId="34210" xr:uid="{8CC66801-F0FA-4F57-9F6D-75FA7BEA42FD}"/>
    <cellStyle name="Normal 2 7 2 3 5 5" xfId="34211" xr:uid="{3D84580B-197F-42B5-864B-A966099AE90E}"/>
    <cellStyle name="Normal 2 7 2 3 5 6" xfId="34212" xr:uid="{C0C9C9D3-82C9-4061-8443-415045DE6814}"/>
    <cellStyle name="Normal 2 7 2 3 6" xfId="34213" xr:uid="{00BFB865-197F-40AB-AD66-1FF5B1FAFF55}"/>
    <cellStyle name="Normal 2 7 2 3 6 2" xfId="34214" xr:uid="{7AD19DF6-FC9C-436F-B240-ACE274B90841}"/>
    <cellStyle name="Normal 2 7 2 3 6 3" xfId="34215" xr:uid="{886DC5C5-2862-4C45-811D-6B1AFB36C1F4}"/>
    <cellStyle name="Normal 2 7 2 3 6 4" xfId="34216" xr:uid="{C95BEADD-AE0D-470E-B13C-21FBD72B14C5}"/>
    <cellStyle name="Normal 2 7 2 3 6 5" xfId="34217" xr:uid="{1320CD1C-D6A5-4A5F-9205-0106BD2B9DEE}"/>
    <cellStyle name="Normal 2 7 2 3 7" xfId="34218" xr:uid="{0BBD45EB-504D-4649-95FA-4A964807F115}"/>
    <cellStyle name="Normal 2 7 2 3 7 2" xfId="34219" xr:uid="{4474533A-B36B-4D7A-93B3-1BBB1A6BE467}"/>
    <cellStyle name="Normal 2 7 2 3 7 3" xfId="34220" xr:uid="{D83A3FDD-1131-47B2-BCED-97F9162533E1}"/>
    <cellStyle name="Normal 2 7 2 3 7 4" xfId="34221" xr:uid="{BD00AAEF-4825-422B-A896-7F373124B5FD}"/>
    <cellStyle name="Normal 2 7 2 3 7 5" xfId="34222" xr:uid="{EF29715E-30B6-4BB0-A4B9-885251E2B6C2}"/>
    <cellStyle name="Normal 2 7 2 3 8" xfId="34223" xr:uid="{C1BDE4A1-5C2F-4431-BA3B-73562B38B445}"/>
    <cellStyle name="Normal 2 7 2 3 8 2" xfId="34224" xr:uid="{AD6B17A6-CF85-4F86-9BED-3B07E152D5B1}"/>
    <cellStyle name="Normal 2 7 2 3 8 3" xfId="34225" xr:uid="{BCB282DD-30CB-4B86-AC67-8007C577C542}"/>
    <cellStyle name="Normal 2 7 2 3 8 4" xfId="34226" xr:uid="{5CDE7614-DFE5-489E-B24F-AB9EF0F2FA36}"/>
    <cellStyle name="Normal 2 7 2 3 8 5" xfId="34227" xr:uid="{042F8011-2078-4838-8744-3115B0162F22}"/>
    <cellStyle name="Normal 2 7 2 3 9" xfId="34228" xr:uid="{26F7DE2F-E013-443E-AAA4-CA512CEDC396}"/>
    <cellStyle name="Normal 2 7 2 3 9 2" xfId="34229" xr:uid="{97910CC0-62B6-4D4A-898D-0AC8A9ABB9F0}"/>
    <cellStyle name="Normal 2 7 2 3 9 3" xfId="34230" xr:uid="{4496466B-1B6E-4B2F-86EA-6C752F9D0586}"/>
    <cellStyle name="Normal 2 7 2 3 9 4" xfId="34231" xr:uid="{39ED6C30-82DD-4156-92E9-A0CC7D685383}"/>
    <cellStyle name="Normal 2 7 2 3 9 5" xfId="34232" xr:uid="{DC274986-413A-4137-8D8C-946B0C10DC54}"/>
    <cellStyle name="Normal 2 7 2 4" xfId="34233" xr:uid="{B5400236-B323-4D45-B22D-F98D4B650499}"/>
    <cellStyle name="Normal 2 7 2 4 10" xfId="34234" xr:uid="{6A31976F-05DB-4B41-8046-3BC19865083F}"/>
    <cellStyle name="Normal 2 7 2 4 11" xfId="34235" xr:uid="{B596540C-0089-497D-B6E4-203888E68875}"/>
    <cellStyle name="Normal 2 7 2 4 12" xfId="34236" xr:uid="{6D172A13-1A77-4376-A1F6-CA2F0B2D2D4B}"/>
    <cellStyle name="Normal 2 7 2 4 2" xfId="34237" xr:uid="{1F2F6EBA-3639-45E8-9563-966B7B0B7C0D}"/>
    <cellStyle name="Normal 2 7 2 4 2 2" xfId="34238" xr:uid="{750A4C4F-97B4-4164-BC9C-1C971793397B}"/>
    <cellStyle name="Normal 2 7 2 4 2 2 2" xfId="34239" xr:uid="{3E5B399E-54EF-4FD8-91DC-3B88EDB43EC4}"/>
    <cellStyle name="Normal 2 7 2 4 2 2 3" xfId="34240" xr:uid="{9BE1E538-6D60-459D-9E14-1D8C1EDED9DE}"/>
    <cellStyle name="Normal 2 7 2 4 2 2 4" xfId="34241" xr:uid="{8DBE1F2D-DEC6-4B0A-B39C-D7F9EA2AF638}"/>
    <cellStyle name="Normal 2 7 2 4 2 2 5" xfId="34242" xr:uid="{E554BC69-A988-42B7-AFFF-264C858D5896}"/>
    <cellStyle name="Normal 2 7 2 4 2 3" xfId="34243" xr:uid="{DE734EBD-E423-404D-AF46-C2E4C08BA0C5}"/>
    <cellStyle name="Normal 2 7 2 4 2 4" xfId="34244" xr:uid="{8FB27FEB-FFF6-408C-B30C-B769596E7E74}"/>
    <cellStyle name="Normal 2 7 2 4 2 5" xfId="34245" xr:uid="{D0D2CE81-679C-4F2B-812B-875116C49213}"/>
    <cellStyle name="Normal 2 7 2 4 2 6" xfId="34246" xr:uid="{E02233F9-A8D5-47A2-8078-18FB7A272917}"/>
    <cellStyle name="Normal 2 7 2 4 3" xfId="34247" xr:uid="{A43F95C0-5C00-4D5F-A629-E9CB82E0801C}"/>
    <cellStyle name="Normal 2 7 2 4 3 2" xfId="34248" xr:uid="{7EA5E648-EB5E-4699-9061-35028A90ED17}"/>
    <cellStyle name="Normal 2 7 2 4 3 2 2" xfId="34249" xr:uid="{16E8D012-CF5D-4259-A45C-0217E588D7A6}"/>
    <cellStyle name="Normal 2 7 2 4 3 2 3" xfId="34250" xr:uid="{F1712909-972E-4FDB-B17B-3B5556F03D5D}"/>
    <cellStyle name="Normal 2 7 2 4 3 2 4" xfId="34251" xr:uid="{79EA3DA6-0197-42BE-A2C1-77AC878E50CB}"/>
    <cellStyle name="Normal 2 7 2 4 3 2 5" xfId="34252" xr:uid="{CD2D0250-29FA-4D0B-96A5-95B50EABEDFA}"/>
    <cellStyle name="Normal 2 7 2 4 3 3" xfId="34253" xr:uid="{8C74AF8F-A7B1-4506-BDCB-E5C2E9D3B02D}"/>
    <cellStyle name="Normal 2 7 2 4 3 4" xfId="34254" xr:uid="{A246C5CB-C06D-4D28-9950-EDB56D90BA6D}"/>
    <cellStyle name="Normal 2 7 2 4 3 5" xfId="34255" xr:uid="{D9B26FF5-726C-4071-BD25-21F313731C72}"/>
    <cellStyle name="Normal 2 7 2 4 3 6" xfId="34256" xr:uid="{8CEB1153-4D89-4BA8-B8BA-1E67D4EABDAB}"/>
    <cellStyle name="Normal 2 7 2 4 4" xfId="34257" xr:uid="{565EE111-700A-43B6-A8A3-B18BC714850F}"/>
    <cellStyle name="Normal 2 7 2 4 4 2" xfId="34258" xr:uid="{69C84940-FF62-44DB-973C-58524AD34F6A}"/>
    <cellStyle name="Normal 2 7 2 4 4 2 2" xfId="34259" xr:uid="{EE2E17BF-0EBE-4B66-B5DB-6DA36DCD026C}"/>
    <cellStyle name="Normal 2 7 2 4 4 2 3" xfId="34260" xr:uid="{9D487697-48C5-4C3E-9BFF-C5BE60844FAB}"/>
    <cellStyle name="Normal 2 7 2 4 4 2 4" xfId="34261" xr:uid="{76B32E78-CEC5-4742-944C-FFD45428F350}"/>
    <cellStyle name="Normal 2 7 2 4 4 2 5" xfId="34262" xr:uid="{AD3A02DD-9BF1-477E-BAB6-1B6B0349A211}"/>
    <cellStyle name="Normal 2 7 2 4 4 3" xfId="34263" xr:uid="{3A895B1D-1B9F-4F9E-BEEC-A647E13FEEBA}"/>
    <cellStyle name="Normal 2 7 2 4 4 4" xfId="34264" xr:uid="{03864596-2242-43A3-9C9F-BEDB79EE407F}"/>
    <cellStyle name="Normal 2 7 2 4 4 5" xfId="34265" xr:uid="{77F9414F-7ACE-47DA-BCA1-25C97458A68B}"/>
    <cellStyle name="Normal 2 7 2 4 4 6" xfId="34266" xr:uid="{569172BA-55B3-42AE-A496-5447B15CAC0A}"/>
    <cellStyle name="Normal 2 7 2 4 5" xfId="34267" xr:uid="{D824BA30-E040-4627-9A9B-ED9C55816877}"/>
    <cellStyle name="Normal 2 7 2 4 5 2" xfId="34268" xr:uid="{F1809160-54B8-40F4-8DD5-738E2F9E740F}"/>
    <cellStyle name="Normal 2 7 2 4 5 3" xfId="34269" xr:uid="{2BB3B94D-E43C-43D9-A83E-8FAE8E92CDD4}"/>
    <cellStyle name="Normal 2 7 2 4 5 4" xfId="34270" xr:uid="{F8727E1D-2A75-4AF9-AC52-177B07963391}"/>
    <cellStyle name="Normal 2 7 2 4 5 5" xfId="34271" xr:uid="{D8C71185-B63E-4B61-92C1-28A9B1506C79}"/>
    <cellStyle name="Normal 2 7 2 4 6" xfId="34272" xr:uid="{490F2879-AC45-483B-AEAA-0D2EA622DE9F}"/>
    <cellStyle name="Normal 2 7 2 4 6 2" xfId="34273" xr:uid="{908DEA9F-B662-47B6-AB5C-DF82D94B0CF2}"/>
    <cellStyle name="Normal 2 7 2 4 6 3" xfId="34274" xr:uid="{88CEA7E3-E166-4B91-AB73-FF9D0F45B986}"/>
    <cellStyle name="Normal 2 7 2 4 6 4" xfId="34275" xr:uid="{8FD040A1-C289-4B5A-B163-E6C826FB32DB}"/>
    <cellStyle name="Normal 2 7 2 4 6 5" xfId="34276" xr:uid="{B1922F84-062F-47C4-A740-0C61A5BC0A13}"/>
    <cellStyle name="Normal 2 7 2 4 7" xfId="34277" xr:uid="{1918D971-47F2-4C06-A71C-71526F680302}"/>
    <cellStyle name="Normal 2 7 2 4 7 2" xfId="34278" xr:uid="{616788F3-F8AD-411B-B45E-D1E6096BC396}"/>
    <cellStyle name="Normal 2 7 2 4 7 3" xfId="34279" xr:uid="{A771B153-8050-41ED-9AFA-A869396599B8}"/>
    <cellStyle name="Normal 2 7 2 4 7 4" xfId="34280" xr:uid="{DC347AC3-B7AB-4B89-B32C-12E4DB74003D}"/>
    <cellStyle name="Normal 2 7 2 4 7 5" xfId="34281" xr:uid="{F350A015-0C4E-4E88-B7A2-DF44E9133FCB}"/>
    <cellStyle name="Normal 2 7 2 4 8" xfId="34282" xr:uid="{9D044A1B-47B3-4B08-8134-26443E262095}"/>
    <cellStyle name="Normal 2 7 2 4 8 2" xfId="34283" xr:uid="{9E6D760B-11F7-4AAE-AF3D-76B5F139D13E}"/>
    <cellStyle name="Normal 2 7 2 4 8 3" xfId="34284" xr:uid="{39A7E11A-B649-4911-BE8E-19816F26D285}"/>
    <cellStyle name="Normal 2 7 2 4 8 4" xfId="34285" xr:uid="{0FA3F3CA-051F-48B4-9171-963CE48A2191}"/>
    <cellStyle name="Normal 2 7 2 4 8 5" xfId="34286" xr:uid="{7DC90A8A-F7EE-4D76-A2E7-4E3FB0DB39D5}"/>
    <cellStyle name="Normal 2 7 2 4 9" xfId="34287" xr:uid="{CCEC75FF-4DEA-41B3-BB8A-8382BA7272FB}"/>
    <cellStyle name="Normal 2 7 2 5" xfId="34288" xr:uid="{0AEDF854-990E-4744-A7CE-F2C8AD96C441}"/>
    <cellStyle name="Normal 2 7 2 5 2" xfId="34289" xr:uid="{BEAF0CF7-8BA0-4F02-87D2-97681D27D1FB}"/>
    <cellStyle name="Normal 2 7 2 5 2 2" xfId="34290" xr:uid="{D8BCE94F-1C4C-4DD9-89D2-EC4403517DFD}"/>
    <cellStyle name="Normal 2 7 2 5 2 3" xfId="34291" xr:uid="{DF4441BF-5111-4FCD-970F-A717D31E45E1}"/>
    <cellStyle name="Normal 2 7 2 5 2 4" xfId="34292" xr:uid="{1E08FB89-AA8D-490E-AD34-DFC9069F8BAB}"/>
    <cellStyle name="Normal 2 7 2 5 2 5" xfId="34293" xr:uid="{257CAF0C-2D30-4431-953C-E16C708DE238}"/>
    <cellStyle name="Normal 2 7 2 5 3" xfId="34294" xr:uid="{E1F10872-20A2-4C41-9388-87E28510559D}"/>
    <cellStyle name="Normal 2 7 2 5 4" xfId="34295" xr:uid="{D3C08BA2-78B4-4A16-A660-023C833E77CD}"/>
    <cellStyle name="Normal 2 7 2 5 5" xfId="34296" xr:uid="{23936EB4-1E0E-4975-AA9D-13C03BCDF6EE}"/>
    <cellStyle name="Normal 2 7 2 5 6" xfId="34297" xr:uid="{BDCF8BCB-F98E-4B89-B94C-C4831632E5E5}"/>
    <cellStyle name="Normal 2 7 2 6" xfId="34298" xr:uid="{2428AB03-BD77-4188-8D53-B2875DDC86EB}"/>
    <cellStyle name="Normal 2 7 2 6 2" xfId="34299" xr:uid="{5CB23F8D-C27A-4D26-8714-A3DC9D4B6DEB}"/>
    <cellStyle name="Normal 2 7 2 6 2 2" xfId="34300" xr:uid="{6DA280E0-3B78-411A-B9E0-1179D9010B08}"/>
    <cellStyle name="Normal 2 7 2 6 2 3" xfId="34301" xr:uid="{4D1EC020-D17F-4008-BC6B-07C171C52226}"/>
    <cellStyle name="Normal 2 7 2 6 2 4" xfId="34302" xr:uid="{38C7ACA9-0E5B-4367-8C66-53FCEA64F032}"/>
    <cellStyle name="Normal 2 7 2 6 2 5" xfId="34303" xr:uid="{3ECC8C4A-41B4-47FA-81ED-A92F089E760D}"/>
    <cellStyle name="Normal 2 7 2 6 3" xfId="34304" xr:uid="{43A911C2-976D-42A7-8F1D-D2E0341FA97E}"/>
    <cellStyle name="Normal 2 7 2 6 4" xfId="34305" xr:uid="{C0ED1F87-6FE3-4AB1-B53B-AF65C63A3F87}"/>
    <cellStyle name="Normal 2 7 2 6 5" xfId="34306" xr:uid="{CB101A04-DF9C-4FA4-B8DE-7CEDF5AB0B89}"/>
    <cellStyle name="Normal 2 7 2 6 6" xfId="34307" xr:uid="{A7E17502-22FB-4AF8-B709-1CBB21EBE25C}"/>
    <cellStyle name="Normal 2 7 2 7" xfId="34308" xr:uid="{1389550F-DA12-411D-8169-86FC3782F238}"/>
    <cellStyle name="Normal 2 7 2 7 2" xfId="34309" xr:uid="{B0EBBAD1-48FF-428D-B90C-70BE8B69EDF6}"/>
    <cellStyle name="Normal 2 7 2 7 2 2" xfId="34310" xr:uid="{CBAC1404-BB6F-4E7D-8B91-FCB7E300AD02}"/>
    <cellStyle name="Normal 2 7 2 7 2 3" xfId="34311" xr:uid="{6D571BDA-04A5-48B2-B85C-5437C2BBAEDE}"/>
    <cellStyle name="Normal 2 7 2 7 2 4" xfId="34312" xr:uid="{513B7DCE-653D-432D-BEAD-1D7D18B748B6}"/>
    <cellStyle name="Normal 2 7 2 7 2 5" xfId="34313" xr:uid="{3A3F7064-5D7E-4D0D-9DD2-2AA1F7BCD17F}"/>
    <cellStyle name="Normal 2 7 2 7 3" xfId="34314" xr:uid="{C2561A3A-C590-45EA-8081-179F3ADF33FB}"/>
    <cellStyle name="Normal 2 7 2 7 4" xfId="34315" xr:uid="{6C4B6201-534C-424E-9486-564903D5F84E}"/>
    <cellStyle name="Normal 2 7 2 7 5" xfId="34316" xr:uid="{CC9A08A8-4C55-4709-853E-AB61AF200806}"/>
    <cellStyle name="Normal 2 7 2 7 6" xfId="34317" xr:uid="{06ED746F-B5F1-4149-BADB-BD353212D99E}"/>
    <cellStyle name="Normal 2 7 2 8" xfId="34318" xr:uid="{F81EA86C-4BA1-4FDC-B997-74FB042C298A}"/>
    <cellStyle name="Normal 2 7 2 8 2" xfId="34319" xr:uid="{D63F9EB4-1C04-4D19-A5F8-3580713B899C}"/>
    <cellStyle name="Normal 2 7 2 8 3" xfId="34320" xr:uid="{6FF0098F-0FA1-4CFD-A6D8-B348E319DDB4}"/>
    <cellStyle name="Normal 2 7 2 8 4" xfId="34321" xr:uid="{061527C2-E51C-4536-A6F6-36A08EE8CBAF}"/>
    <cellStyle name="Normal 2 7 2 8 5" xfId="34322" xr:uid="{E8C69616-B6C8-43A9-AE72-1CB6D199C78E}"/>
    <cellStyle name="Normal 2 7 2 9" xfId="34323" xr:uid="{3428890B-1087-4536-8809-3E6CA6C9237F}"/>
    <cellStyle name="Normal 2 7 2 9 2" xfId="34324" xr:uid="{DEE00B3A-C057-4CEF-B707-5ADA69DF53A9}"/>
    <cellStyle name="Normal 2 7 2 9 3" xfId="34325" xr:uid="{842C54B5-23AD-43C2-AAD0-C9B059CF0F6E}"/>
    <cellStyle name="Normal 2 7 2 9 4" xfId="34326" xr:uid="{0B638E91-CCAE-4741-96CD-8BA394601745}"/>
    <cellStyle name="Normal 2 7 2 9 5" xfId="34327" xr:uid="{C25B30D5-B1F4-413D-B74E-F474997E9B9E}"/>
    <cellStyle name="Normal 2 7 3" xfId="34328" xr:uid="{CAD2BAAF-6E9B-4198-B5CD-AC9DA04E5FD9}"/>
    <cellStyle name="Normal 2 7 3 10" xfId="34329" xr:uid="{B950E598-416F-4B37-982C-6E0EB6B8D2A2}"/>
    <cellStyle name="Normal 2 7 3 10 2" xfId="34330" xr:uid="{A96C6186-BA72-4815-A527-FAC6022E6CBE}"/>
    <cellStyle name="Normal 2 7 3 10 3" xfId="34331" xr:uid="{F7C3C3BA-49C2-4332-B882-A6ED7BC81DC8}"/>
    <cellStyle name="Normal 2 7 3 10 4" xfId="34332" xr:uid="{AE04426A-DDB7-4E1B-A240-ECF3F44D7429}"/>
    <cellStyle name="Normal 2 7 3 10 5" xfId="34333" xr:uid="{BCF7766F-8C86-4FFD-8C22-7BD6DBA5E56E}"/>
    <cellStyle name="Normal 2 7 3 11" xfId="34334" xr:uid="{D0B59592-4E89-4D1D-B191-DC0EF94F22B9}"/>
    <cellStyle name="Normal 2 7 3 11 2" xfId="34335" xr:uid="{19259F9E-638F-4EF0-9CC4-FB7C26948505}"/>
    <cellStyle name="Normal 2 7 3 11 3" xfId="34336" xr:uid="{E9E50756-D232-4CB7-A0A4-6F3DAFBFCA1D}"/>
    <cellStyle name="Normal 2 7 3 11 4" xfId="34337" xr:uid="{E09D084E-2FC3-4D78-BD81-16C3BF8265A7}"/>
    <cellStyle name="Normal 2 7 3 11 5" xfId="34338" xr:uid="{0C69E679-3173-4D4F-9852-2AA7F5E11F21}"/>
    <cellStyle name="Normal 2 7 3 12" xfId="34339" xr:uid="{639DAC30-4A67-4F4E-AAB3-69C866C9542D}"/>
    <cellStyle name="Normal 2 7 3 13" xfId="34340" xr:uid="{DAE23762-DEDE-4A39-9AA7-C1A0C95AED5D}"/>
    <cellStyle name="Normal 2 7 3 14" xfId="34341" xr:uid="{DF7B2DA0-327F-4DA1-A21A-8925D0AA96D2}"/>
    <cellStyle name="Normal 2 7 3 15" xfId="34342" xr:uid="{4E22E7D0-9D86-49FC-93C7-A252593B8F68}"/>
    <cellStyle name="Normal 2 7 3 2" xfId="34343" xr:uid="{C508D7C8-EEB2-475A-A072-A04DFD12A7EF}"/>
    <cellStyle name="Normal 2 7 3 2 10" xfId="34344" xr:uid="{A8802C15-DE0A-44D9-92A2-EDF0C7FE1D4C}"/>
    <cellStyle name="Normal 2 7 3 2 10 2" xfId="34345" xr:uid="{482FA569-34A3-452A-8F7D-7B83C7C980CD}"/>
    <cellStyle name="Normal 2 7 3 2 10 3" xfId="34346" xr:uid="{F780DC47-FF40-40E5-814D-579782F38078}"/>
    <cellStyle name="Normal 2 7 3 2 10 4" xfId="34347" xr:uid="{F0CE2112-895B-48FE-9E7C-7D5444AA5944}"/>
    <cellStyle name="Normal 2 7 3 2 10 5" xfId="34348" xr:uid="{D0A8C0BA-9BC1-48B8-A29C-F03F86F3A38C}"/>
    <cellStyle name="Normal 2 7 3 2 11" xfId="34349" xr:uid="{65EAD113-2091-4ED3-80B4-3EFA6EEFEB50}"/>
    <cellStyle name="Normal 2 7 3 2 12" xfId="34350" xr:uid="{98D22AFF-0B0B-47E7-8A2B-EA42EDBE1D63}"/>
    <cellStyle name="Normal 2 7 3 2 13" xfId="34351" xr:uid="{EFA39E24-D08B-41E2-93C9-5F848F6CF15E}"/>
    <cellStyle name="Normal 2 7 3 2 14" xfId="34352" xr:uid="{3156AFB0-60DF-41BD-B30D-05645BAD9E39}"/>
    <cellStyle name="Normal 2 7 3 2 2" xfId="34353" xr:uid="{111FA64F-36E3-4C2F-A85B-66FA94B4FEFE}"/>
    <cellStyle name="Normal 2 7 3 2 2 10" xfId="34354" xr:uid="{621C94C4-5237-4344-8D0B-D87D313FB77D}"/>
    <cellStyle name="Normal 2 7 3 2 2 11" xfId="34355" xr:uid="{812115B3-E901-4096-B87E-5C79C8E1B2AE}"/>
    <cellStyle name="Normal 2 7 3 2 2 12" xfId="34356" xr:uid="{2EE0CC72-2DDF-4324-8FDD-8289F9AC9C85}"/>
    <cellStyle name="Normal 2 7 3 2 2 13" xfId="34357" xr:uid="{CC2558A1-14A7-4A42-B5A8-00515A7CA1D1}"/>
    <cellStyle name="Normal 2 7 3 2 2 2" xfId="34358" xr:uid="{DB62F794-67F5-4B60-BC91-077D1E0016A8}"/>
    <cellStyle name="Normal 2 7 3 2 2 2 10" xfId="34359" xr:uid="{CD596D18-FE19-4869-9005-E8BC3A3730F7}"/>
    <cellStyle name="Normal 2 7 3 2 2 2 11" xfId="34360" xr:uid="{33354889-747C-4421-B154-77C9D30CD267}"/>
    <cellStyle name="Normal 2 7 3 2 2 2 12" xfId="34361" xr:uid="{BD7898DF-55FC-4791-9262-DCB2B2AABC0A}"/>
    <cellStyle name="Normal 2 7 3 2 2 2 2" xfId="34362" xr:uid="{271FC76C-6B83-43C2-9036-B5A259A88554}"/>
    <cellStyle name="Normal 2 7 3 2 2 2 2 2" xfId="34363" xr:uid="{8F362FCA-A877-448B-901F-63B51F547C87}"/>
    <cellStyle name="Normal 2 7 3 2 2 2 2 2 2" xfId="34364" xr:uid="{2B149F7C-94C7-42A7-A0D4-B8A2FC67AF8D}"/>
    <cellStyle name="Normal 2 7 3 2 2 2 2 2 3" xfId="34365" xr:uid="{8B1C39D4-E983-44F5-8BB9-8EFA59F2F4F5}"/>
    <cellStyle name="Normal 2 7 3 2 2 2 2 2 4" xfId="34366" xr:uid="{71862632-E82F-470C-BE7D-88271C6A202B}"/>
    <cellStyle name="Normal 2 7 3 2 2 2 2 2 5" xfId="34367" xr:uid="{D446869E-B449-41A6-B480-2B4E9B8A5E36}"/>
    <cellStyle name="Normal 2 7 3 2 2 2 2 3" xfId="34368" xr:uid="{8172A2A3-9F98-4365-A3BC-9D19B914BF9A}"/>
    <cellStyle name="Normal 2 7 3 2 2 2 2 4" xfId="34369" xr:uid="{5AC8CC5A-CEBD-43A0-9E2A-66B8B3774ACD}"/>
    <cellStyle name="Normal 2 7 3 2 2 2 2 5" xfId="34370" xr:uid="{64D903FF-AADD-4A6A-8A56-8C3FAE7E4C43}"/>
    <cellStyle name="Normal 2 7 3 2 2 2 2 6" xfId="34371" xr:uid="{CFFD0626-BA62-4551-99A5-47B492496F65}"/>
    <cellStyle name="Normal 2 7 3 2 2 2 3" xfId="34372" xr:uid="{FF0EF91E-8F8B-43AB-A2A9-4A7D1D2BC616}"/>
    <cellStyle name="Normal 2 7 3 2 2 2 3 2" xfId="34373" xr:uid="{43952E25-939B-4E92-8F1A-43CCD714DEC0}"/>
    <cellStyle name="Normal 2 7 3 2 2 2 3 2 2" xfId="34374" xr:uid="{99E5A9B8-DF92-4DC2-BB62-F57E147258DC}"/>
    <cellStyle name="Normal 2 7 3 2 2 2 3 2 3" xfId="34375" xr:uid="{43BB4DB7-930C-48D3-8590-43A3FEF400B7}"/>
    <cellStyle name="Normal 2 7 3 2 2 2 3 2 4" xfId="34376" xr:uid="{7694C4B4-E7A5-4F83-ADDE-AF6EA204B6EE}"/>
    <cellStyle name="Normal 2 7 3 2 2 2 3 2 5" xfId="34377" xr:uid="{8F61CFD4-DF82-43E8-A9D2-E42AD874C24F}"/>
    <cellStyle name="Normal 2 7 3 2 2 2 3 3" xfId="34378" xr:uid="{D82E013D-0293-4EB0-AAF4-B1DCD0A1B298}"/>
    <cellStyle name="Normal 2 7 3 2 2 2 3 4" xfId="34379" xr:uid="{D46F5DE4-CEFD-48E8-845D-C84D9EF29A9F}"/>
    <cellStyle name="Normal 2 7 3 2 2 2 3 5" xfId="34380" xr:uid="{A5C5368C-4DB2-4508-AE62-6F00D7813302}"/>
    <cellStyle name="Normal 2 7 3 2 2 2 3 6" xfId="34381" xr:uid="{A25DC4A4-70E3-413A-96A3-230D94648655}"/>
    <cellStyle name="Normal 2 7 3 2 2 2 4" xfId="34382" xr:uid="{AC7ADA10-3A14-4153-9E89-B914ADF64C1D}"/>
    <cellStyle name="Normal 2 7 3 2 2 2 4 2" xfId="34383" xr:uid="{5C9E61AA-6E43-4000-A52E-54BAF39C8B7B}"/>
    <cellStyle name="Normal 2 7 3 2 2 2 4 2 2" xfId="34384" xr:uid="{AFD3EC47-399A-40E4-8DA2-00FD3D8D16E7}"/>
    <cellStyle name="Normal 2 7 3 2 2 2 4 2 3" xfId="34385" xr:uid="{93519EC6-295A-4319-A146-92D6AE298C54}"/>
    <cellStyle name="Normal 2 7 3 2 2 2 4 2 4" xfId="34386" xr:uid="{CC9F8016-ADBC-4A1C-80C2-086888E3315C}"/>
    <cellStyle name="Normal 2 7 3 2 2 2 4 2 5" xfId="34387" xr:uid="{114C11A9-F859-497B-821D-40DBFA6A3E91}"/>
    <cellStyle name="Normal 2 7 3 2 2 2 4 3" xfId="34388" xr:uid="{F9CDD528-9ABF-4E98-B2A6-5F897CE51166}"/>
    <cellStyle name="Normal 2 7 3 2 2 2 4 4" xfId="34389" xr:uid="{16021E8C-1E9B-4050-BF28-2B675BAD0C0A}"/>
    <cellStyle name="Normal 2 7 3 2 2 2 4 5" xfId="34390" xr:uid="{159D8FBB-BF58-4390-86EF-FECD653711C4}"/>
    <cellStyle name="Normal 2 7 3 2 2 2 4 6" xfId="34391" xr:uid="{5C98E34A-EB34-4BAF-9057-0E761223E535}"/>
    <cellStyle name="Normal 2 7 3 2 2 2 5" xfId="34392" xr:uid="{ABF66A04-84B3-4E48-915D-A6E4A74455DE}"/>
    <cellStyle name="Normal 2 7 3 2 2 2 5 2" xfId="34393" xr:uid="{A471BD1C-FE66-4937-823D-2548F15F9B7C}"/>
    <cellStyle name="Normal 2 7 3 2 2 2 5 3" xfId="34394" xr:uid="{4CE2ADBC-D41B-4B46-A598-00627B22970C}"/>
    <cellStyle name="Normal 2 7 3 2 2 2 5 4" xfId="34395" xr:uid="{54D3BD3E-E44B-438C-A32C-F2AAA0B377EA}"/>
    <cellStyle name="Normal 2 7 3 2 2 2 5 5" xfId="34396" xr:uid="{8FD89B32-ADA8-470B-9F14-1A7094E8FDDF}"/>
    <cellStyle name="Normal 2 7 3 2 2 2 6" xfId="34397" xr:uid="{95788E12-2D60-41DE-8466-85DFD5BD0746}"/>
    <cellStyle name="Normal 2 7 3 2 2 2 6 2" xfId="34398" xr:uid="{829D49B6-DB9C-46C1-95EA-85E1EE390F6C}"/>
    <cellStyle name="Normal 2 7 3 2 2 2 6 3" xfId="34399" xr:uid="{0C6F5C18-4BAF-472E-BC6C-6FF53DF13BED}"/>
    <cellStyle name="Normal 2 7 3 2 2 2 6 4" xfId="34400" xr:uid="{8A509521-FF3A-4AE9-B11E-B825625E40E0}"/>
    <cellStyle name="Normal 2 7 3 2 2 2 6 5" xfId="34401" xr:uid="{B81E180D-9311-438E-8D9A-AB63D58A9B7C}"/>
    <cellStyle name="Normal 2 7 3 2 2 2 7" xfId="34402" xr:uid="{B12F6B18-471A-4AAB-8D0D-B57E92D153E0}"/>
    <cellStyle name="Normal 2 7 3 2 2 2 7 2" xfId="34403" xr:uid="{A1F74ECF-741C-4E7B-ABE4-CC3726C7E69F}"/>
    <cellStyle name="Normal 2 7 3 2 2 2 7 3" xfId="34404" xr:uid="{9A9D234D-89E0-49A4-A660-E1393C9815DD}"/>
    <cellStyle name="Normal 2 7 3 2 2 2 7 4" xfId="34405" xr:uid="{9F5F1B1A-9714-436A-AAF3-594CDC416CCF}"/>
    <cellStyle name="Normal 2 7 3 2 2 2 7 5" xfId="34406" xr:uid="{B96310F4-D9C1-4E12-9F77-10F201A5F67E}"/>
    <cellStyle name="Normal 2 7 3 2 2 2 8" xfId="34407" xr:uid="{72082DBD-87B9-47DF-8D79-F244562D6AD2}"/>
    <cellStyle name="Normal 2 7 3 2 2 2 8 2" xfId="34408" xr:uid="{B6F1AC11-3BA8-4108-842B-63F70381D15B}"/>
    <cellStyle name="Normal 2 7 3 2 2 2 8 3" xfId="34409" xr:uid="{FF0C28AC-72B9-42B9-8DA0-501EF53DBCA4}"/>
    <cellStyle name="Normal 2 7 3 2 2 2 8 4" xfId="34410" xr:uid="{BAAA3F70-0961-47C2-A3F2-B242F9D2CB0E}"/>
    <cellStyle name="Normal 2 7 3 2 2 2 8 5" xfId="34411" xr:uid="{F8AE11DC-4FA3-49AA-B152-349F69DEBE05}"/>
    <cellStyle name="Normal 2 7 3 2 2 2 9" xfId="34412" xr:uid="{6EFB66A9-2DB2-4410-9A70-D98E810CDED4}"/>
    <cellStyle name="Normal 2 7 3 2 2 3" xfId="34413" xr:uid="{9BEFEAEE-9DA3-4121-94A3-2781A757DD42}"/>
    <cellStyle name="Normal 2 7 3 2 2 3 2" xfId="34414" xr:uid="{C70D13F6-2F40-4880-834B-566C58488101}"/>
    <cellStyle name="Normal 2 7 3 2 2 3 2 2" xfId="34415" xr:uid="{86C6BE27-CD35-4F06-8E0A-D3FC3A84FFC7}"/>
    <cellStyle name="Normal 2 7 3 2 2 3 2 3" xfId="34416" xr:uid="{3F8DB4E0-D750-4EB1-8C20-7C5237E7999F}"/>
    <cellStyle name="Normal 2 7 3 2 2 3 2 4" xfId="34417" xr:uid="{17E095BB-EC57-4C3E-B809-1BF20F339D45}"/>
    <cellStyle name="Normal 2 7 3 2 2 3 2 5" xfId="34418" xr:uid="{1458B5B5-53E8-4CDB-99FD-66107DD45778}"/>
    <cellStyle name="Normal 2 7 3 2 2 3 3" xfId="34419" xr:uid="{67062FE9-8751-4A74-A8B2-2E7B703D79BD}"/>
    <cellStyle name="Normal 2 7 3 2 2 3 4" xfId="34420" xr:uid="{CDD5DB37-5C44-45F4-8B8A-6EEE6B664AA3}"/>
    <cellStyle name="Normal 2 7 3 2 2 3 5" xfId="34421" xr:uid="{388FD528-2A2F-4370-80AF-1A09EE45B0F6}"/>
    <cellStyle name="Normal 2 7 3 2 2 3 6" xfId="34422" xr:uid="{EB4ED408-7D04-4E97-B4BF-5C031E71A586}"/>
    <cellStyle name="Normal 2 7 3 2 2 4" xfId="34423" xr:uid="{74697609-10FD-4B38-874F-6EED7D2F017B}"/>
    <cellStyle name="Normal 2 7 3 2 2 4 2" xfId="34424" xr:uid="{6EA6DEBF-C6B6-4964-92C0-CFDC8456375D}"/>
    <cellStyle name="Normal 2 7 3 2 2 4 2 2" xfId="34425" xr:uid="{10048600-A5CD-4D5F-A244-3041185D8806}"/>
    <cellStyle name="Normal 2 7 3 2 2 4 2 3" xfId="34426" xr:uid="{917B7549-58CB-4384-A820-01FD62503792}"/>
    <cellStyle name="Normal 2 7 3 2 2 4 2 4" xfId="34427" xr:uid="{41339CBF-1DD2-4773-BB99-A158F4CBB5D3}"/>
    <cellStyle name="Normal 2 7 3 2 2 4 2 5" xfId="34428" xr:uid="{D5A5AD87-509F-4C3B-960B-E7B37E5DF558}"/>
    <cellStyle name="Normal 2 7 3 2 2 4 3" xfId="34429" xr:uid="{0B06223F-A569-4BC1-BD05-D952899204FB}"/>
    <cellStyle name="Normal 2 7 3 2 2 4 4" xfId="34430" xr:uid="{5B6437CB-C769-4203-AAA7-6B738DB96424}"/>
    <cellStyle name="Normal 2 7 3 2 2 4 5" xfId="34431" xr:uid="{E579615F-F1B8-43B3-88E3-383466E5537A}"/>
    <cellStyle name="Normal 2 7 3 2 2 4 6" xfId="34432" xr:uid="{3F699075-513A-4B8D-863E-6BF903CA5516}"/>
    <cellStyle name="Normal 2 7 3 2 2 5" xfId="34433" xr:uid="{23E9A4D2-A271-4811-A9E4-04A0427E5616}"/>
    <cellStyle name="Normal 2 7 3 2 2 5 2" xfId="34434" xr:uid="{16A1D109-AA94-4C56-A609-538CBB3EB5ED}"/>
    <cellStyle name="Normal 2 7 3 2 2 5 2 2" xfId="34435" xr:uid="{26F81842-7CC1-43CF-8B82-070F6A485383}"/>
    <cellStyle name="Normal 2 7 3 2 2 5 2 3" xfId="34436" xr:uid="{D8E9FE47-41BA-47BB-BD4B-BDC5DF0958D3}"/>
    <cellStyle name="Normal 2 7 3 2 2 5 2 4" xfId="34437" xr:uid="{565490D6-39AC-4EE7-A41A-7632ED642A27}"/>
    <cellStyle name="Normal 2 7 3 2 2 5 2 5" xfId="34438" xr:uid="{23EBAE11-50DA-4815-BA91-651C6C0515AA}"/>
    <cellStyle name="Normal 2 7 3 2 2 5 3" xfId="34439" xr:uid="{9BEF434A-0F01-44B0-BF62-131A17BA19E1}"/>
    <cellStyle name="Normal 2 7 3 2 2 5 4" xfId="34440" xr:uid="{60FC16FB-E160-4BD5-AD1F-93BE43F96C94}"/>
    <cellStyle name="Normal 2 7 3 2 2 5 5" xfId="34441" xr:uid="{D940A832-48EF-42CA-A9E1-F3ED19BACF76}"/>
    <cellStyle name="Normal 2 7 3 2 2 5 6" xfId="34442" xr:uid="{E2C0AD4D-C644-423C-BD1A-776472EB0133}"/>
    <cellStyle name="Normal 2 7 3 2 2 6" xfId="34443" xr:uid="{60DBFA0A-7376-43C6-B341-91944B15D478}"/>
    <cellStyle name="Normal 2 7 3 2 2 6 2" xfId="34444" xr:uid="{748528FE-9085-4A06-B7EE-404E3BB8CF4F}"/>
    <cellStyle name="Normal 2 7 3 2 2 6 3" xfId="34445" xr:uid="{79A7AC5E-1071-47BC-AD51-3802AE42868E}"/>
    <cellStyle name="Normal 2 7 3 2 2 6 4" xfId="34446" xr:uid="{750DADB9-5C18-4A54-91C9-F3F0AB074E49}"/>
    <cellStyle name="Normal 2 7 3 2 2 6 5" xfId="34447" xr:uid="{99768714-F40E-4365-BA4F-622FF5146F78}"/>
    <cellStyle name="Normal 2 7 3 2 2 7" xfId="34448" xr:uid="{1799AA04-FFE0-471D-A3F2-D9E0AC150B6E}"/>
    <cellStyle name="Normal 2 7 3 2 2 7 2" xfId="34449" xr:uid="{6FCCD03D-B127-42C1-A428-31AF324ED37F}"/>
    <cellStyle name="Normal 2 7 3 2 2 7 3" xfId="34450" xr:uid="{FED946AE-5BE8-4A7B-A31C-B539A79FE198}"/>
    <cellStyle name="Normal 2 7 3 2 2 7 4" xfId="34451" xr:uid="{3A8CC08F-D85B-4102-895C-2AFCF44C1E94}"/>
    <cellStyle name="Normal 2 7 3 2 2 7 5" xfId="34452" xr:uid="{404291BD-63F7-4B5A-B634-D55D9E21D609}"/>
    <cellStyle name="Normal 2 7 3 2 2 8" xfId="34453" xr:uid="{8DCB91E5-2C23-450E-BB64-ACCA78A9E221}"/>
    <cellStyle name="Normal 2 7 3 2 2 8 2" xfId="34454" xr:uid="{B3D09F7A-8B3D-4BD6-B749-C6EA9C2FB00F}"/>
    <cellStyle name="Normal 2 7 3 2 2 8 3" xfId="34455" xr:uid="{1CCDFBAF-08A0-4061-B289-1CCE374BA35F}"/>
    <cellStyle name="Normal 2 7 3 2 2 8 4" xfId="34456" xr:uid="{20B801C3-5BA0-48C9-AD30-E8D2D69F8816}"/>
    <cellStyle name="Normal 2 7 3 2 2 8 5" xfId="34457" xr:uid="{8EDB47DA-BC39-4FAB-9C53-EA794126A9C9}"/>
    <cellStyle name="Normal 2 7 3 2 2 9" xfId="34458" xr:uid="{23C3676A-0299-495C-804B-0F5D2C1A9574}"/>
    <cellStyle name="Normal 2 7 3 2 2 9 2" xfId="34459" xr:uid="{0187D241-6682-4124-A637-C2E46A10EF2A}"/>
    <cellStyle name="Normal 2 7 3 2 2 9 3" xfId="34460" xr:uid="{1EDC2EA6-3714-4825-84C0-7EB8296078FE}"/>
    <cellStyle name="Normal 2 7 3 2 2 9 4" xfId="34461" xr:uid="{2037F779-3710-4CDB-8AAA-2617BE830393}"/>
    <cellStyle name="Normal 2 7 3 2 2 9 5" xfId="34462" xr:uid="{A8A34B13-1513-4DFE-BC28-95BEC10FF009}"/>
    <cellStyle name="Normal 2 7 3 2 3" xfId="34463" xr:uid="{439B7D73-19C0-4F9A-86E5-FC1BE184088B}"/>
    <cellStyle name="Normal 2 7 3 2 3 10" xfId="34464" xr:uid="{3D251A21-08E8-45CD-A771-483910740DC3}"/>
    <cellStyle name="Normal 2 7 3 2 3 11" xfId="34465" xr:uid="{E49DA275-9E32-41BC-A379-0765502E8F63}"/>
    <cellStyle name="Normal 2 7 3 2 3 12" xfId="34466" xr:uid="{E46A9972-AEE2-497E-B1A8-E3F7D22A6D36}"/>
    <cellStyle name="Normal 2 7 3 2 3 2" xfId="34467" xr:uid="{E14EA053-3DE1-4E97-BD2F-3CE399825C27}"/>
    <cellStyle name="Normal 2 7 3 2 3 2 2" xfId="34468" xr:uid="{466D394E-5482-4CED-BFE7-B2173E47E81A}"/>
    <cellStyle name="Normal 2 7 3 2 3 2 2 2" xfId="34469" xr:uid="{99003DD9-E684-4E37-80C5-E213C34691A5}"/>
    <cellStyle name="Normal 2 7 3 2 3 2 2 3" xfId="34470" xr:uid="{24636C02-7BAA-43F4-BD7B-F80DAAC62C36}"/>
    <cellStyle name="Normal 2 7 3 2 3 2 2 4" xfId="34471" xr:uid="{3145FB81-066C-4E01-A6D1-94EF423D9BB5}"/>
    <cellStyle name="Normal 2 7 3 2 3 2 2 5" xfId="34472" xr:uid="{B1173839-C609-4F66-8600-16CB04FA4492}"/>
    <cellStyle name="Normal 2 7 3 2 3 2 3" xfId="34473" xr:uid="{77BF5302-FB0F-4165-971E-D9A50DDD65C9}"/>
    <cellStyle name="Normal 2 7 3 2 3 2 4" xfId="34474" xr:uid="{2685A6EE-D16B-40AA-8BB6-734EDFA0C9B0}"/>
    <cellStyle name="Normal 2 7 3 2 3 2 5" xfId="34475" xr:uid="{771C8E96-F1C3-4DA5-917A-0DB0C7AFFE9E}"/>
    <cellStyle name="Normal 2 7 3 2 3 2 6" xfId="34476" xr:uid="{B86C8B7C-B337-46BF-9A11-2B9928EF6367}"/>
    <cellStyle name="Normal 2 7 3 2 3 3" xfId="34477" xr:uid="{8B81981A-6F57-4AB0-AC93-A42C870C57DD}"/>
    <cellStyle name="Normal 2 7 3 2 3 3 2" xfId="34478" xr:uid="{32786665-46FE-49E5-9F43-343A290CF5D8}"/>
    <cellStyle name="Normal 2 7 3 2 3 3 2 2" xfId="34479" xr:uid="{7C911DEC-80B3-4808-AEAA-D96D530D3C8C}"/>
    <cellStyle name="Normal 2 7 3 2 3 3 2 3" xfId="34480" xr:uid="{C59A7FB9-BE98-4A6E-B0F0-D3FA32E7C7B3}"/>
    <cellStyle name="Normal 2 7 3 2 3 3 2 4" xfId="34481" xr:uid="{DC7A7BDC-3737-4035-B8C8-8EDBE7AEFDAD}"/>
    <cellStyle name="Normal 2 7 3 2 3 3 2 5" xfId="34482" xr:uid="{E58F679F-56DD-4DC3-87CF-E21C1AAEB130}"/>
    <cellStyle name="Normal 2 7 3 2 3 3 3" xfId="34483" xr:uid="{7296897E-714B-48FE-982A-A6E7D5B4589E}"/>
    <cellStyle name="Normal 2 7 3 2 3 3 4" xfId="34484" xr:uid="{6F3A19D8-282C-41A9-8690-F2ACE450AC72}"/>
    <cellStyle name="Normal 2 7 3 2 3 3 5" xfId="34485" xr:uid="{6A93B9A5-9E40-4272-A93F-2B36A33D4817}"/>
    <cellStyle name="Normal 2 7 3 2 3 3 6" xfId="34486" xr:uid="{F296593C-839D-4235-9005-C90E4BDE6C03}"/>
    <cellStyle name="Normal 2 7 3 2 3 4" xfId="34487" xr:uid="{510A854A-3D50-4073-BE22-CB48B07F5310}"/>
    <cellStyle name="Normal 2 7 3 2 3 4 2" xfId="34488" xr:uid="{66CCFC75-2E0C-408A-8D34-C266E4416C14}"/>
    <cellStyle name="Normal 2 7 3 2 3 4 2 2" xfId="34489" xr:uid="{68AC79B3-9084-4671-BAFB-19EDE0C69B0F}"/>
    <cellStyle name="Normal 2 7 3 2 3 4 2 3" xfId="34490" xr:uid="{ACC0ECE4-37FA-4BFC-8802-A56C6D267215}"/>
    <cellStyle name="Normal 2 7 3 2 3 4 2 4" xfId="34491" xr:uid="{463102E1-BD0C-4343-80D5-7F878C89DF57}"/>
    <cellStyle name="Normal 2 7 3 2 3 4 2 5" xfId="34492" xr:uid="{898BEA05-40CD-48DD-B79B-524E459418C7}"/>
    <cellStyle name="Normal 2 7 3 2 3 4 3" xfId="34493" xr:uid="{CD211D2C-65D1-4699-994B-743E73DE32A4}"/>
    <cellStyle name="Normal 2 7 3 2 3 4 4" xfId="34494" xr:uid="{7548EA73-8CD0-4F29-98C2-7658C0EA669C}"/>
    <cellStyle name="Normal 2 7 3 2 3 4 5" xfId="34495" xr:uid="{C2038EDD-0767-4EEF-9C42-121BBEF8464F}"/>
    <cellStyle name="Normal 2 7 3 2 3 4 6" xfId="34496" xr:uid="{B4C0C4C2-CFC4-472D-BFBD-C8D51F4E4A82}"/>
    <cellStyle name="Normal 2 7 3 2 3 5" xfId="34497" xr:uid="{C848F190-2D3B-4AD8-914A-B722FE44FAC7}"/>
    <cellStyle name="Normal 2 7 3 2 3 5 2" xfId="34498" xr:uid="{BE25C314-ACE9-4252-A430-1D0338AFA617}"/>
    <cellStyle name="Normal 2 7 3 2 3 5 3" xfId="34499" xr:uid="{0C27AF07-D5F3-477D-A2E7-FC14B6B460E8}"/>
    <cellStyle name="Normal 2 7 3 2 3 5 4" xfId="34500" xr:uid="{12DFC14B-6F08-43BC-A51E-29873DA3796D}"/>
    <cellStyle name="Normal 2 7 3 2 3 5 5" xfId="34501" xr:uid="{D36AF5CA-AFD0-4AE9-9C2A-81AB78560759}"/>
    <cellStyle name="Normal 2 7 3 2 3 6" xfId="34502" xr:uid="{4627756D-B0B1-4CCB-B7C7-FFC2D9E1E5B2}"/>
    <cellStyle name="Normal 2 7 3 2 3 6 2" xfId="34503" xr:uid="{C9151A77-AF6B-4481-A159-5A5CF89B0FD4}"/>
    <cellStyle name="Normal 2 7 3 2 3 6 3" xfId="34504" xr:uid="{E9E0E19D-8521-4BD8-A1A2-0353EB433B79}"/>
    <cellStyle name="Normal 2 7 3 2 3 6 4" xfId="34505" xr:uid="{6AE5F340-1FAE-4F5D-ADE0-4F232D56C1FF}"/>
    <cellStyle name="Normal 2 7 3 2 3 6 5" xfId="34506" xr:uid="{394C57F6-6CC6-431B-A633-2FB2486ABE23}"/>
    <cellStyle name="Normal 2 7 3 2 3 7" xfId="34507" xr:uid="{D7189427-5EDB-4285-9D31-CD753C72243C}"/>
    <cellStyle name="Normal 2 7 3 2 3 7 2" xfId="34508" xr:uid="{D09CFDA5-9C3C-4631-9214-722BB6898010}"/>
    <cellStyle name="Normal 2 7 3 2 3 7 3" xfId="34509" xr:uid="{A527E72F-6B6B-4877-8C0A-BE35F51BF49B}"/>
    <cellStyle name="Normal 2 7 3 2 3 7 4" xfId="34510" xr:uid="{303DF3E3-6A2B-48DB-A612-D4CE5B9B44B4}"/>
    <cellStyle name="Normal 2 7 3 2 3 7 5" xfId="34511" xr:uid="{0AECAF2B-1C96-424E-B46E-2D2C4AF50D99}"/>
    <cellStyle name="Normal 2 7 3 2 3 8" xfId="34512" xr:uid="{52566CAC-E069-4C34-AE68-EC64ACCBD388}"/>
    <cellStyle name="Normal 2 7 3 2 3 8 2" xfId="34513" xr:uid="{3616FEBF-6563-46C4-85BB-03729ADC6CBB}"/>
    <cellStyle name="Normal 2 7 3 2 3 8 3" xfId="34514" xr:uid="{061026AB-190A-4F65-9F1A-6B71B2E2CCA8}"/>
    <cellStyle name="Normal 2 7 3 2 3 8 4" xfId="34515" xr:uid="{36C3D220-035B-4221-8D85-FE82A601A7E8}"/>
    <cellStyle name="Normal 2 7 3 2 3 8 5" xfId="34516" xr:uid="{768CA57D-5886-4640-BDDF-1DE2A8851EF4}"/>
    <cellStyle name="Normal 2 7 3 2 3 9" xfId="34517" xr:uid="{3097E923-2A21-4F2A-B322-90039771AEAA}"/>
    <cellStyle name="Normal 2 7 3 2 4" xfId="34518" xr:uid="{9B41B41F-3B50-434C-949D-AC4D62F50E42}"/>
    <cellStyle name="Normal 2 7 3 2 4 2" xfId="34519" xr:uid="{450F3AC8-79A9-4EEF-BE21-40307C995A0E}"/>
    <cellStyle name="Normal 2 7 3 2 4 2 2" xfId="34520" xr:uid="{46080A1A-8AE4-40E9-B297-E241D7A3C129}"/>
    <cellStyle name="Normal 2 7 3 2 4 2 3" xfId="34521" xr:uid="{FE785FE7-5446-45EF-95B6-A57C7F80CEEE}"/>
    <cellStyle name="Normal 2 7 3 2 4 2 4" xfId="34522" xr:uid="{24F9B342-B774-43FB-8009-F73E5E53514A}"/>
    <cellStyle name="Normal 2 7 3 2 4 2 5" xfId="34523" xr:uid="{4F935225-27D9-4BC9-9D4F-9468BFF13610}"/>
    <cellStyle name="Normal 2 7 3 2 4 3" xfId="34524" xr:uid="{60AD80E4-2356-48EC-8CB3-CE089B378AE7}"/>
    <cellStyle name="Normal 2 7 3 2 4 4" xfId="34525" xr:uid="{AC85D0C4-5DA3-419D-9A04-BFE19DBBE7DC}"/>
    <cellStyle name="Normal 2 7 3 2 4 5" xfId="34526" xr:uid="{BB10820D-8F5A-468F-B125-8AE36406D1E8}"/>
    <cellStyle name="Normal 2 7 3 2 4 6" xfId="34527" xr:uid="{AB11D694-B61F-41F9-BE29-51FE0970EBA0}"/>
    <cellStyle name="Normal 2 7 3 2 5" xfId="34528" xr:uid="{61FD8A68-35F0-4393-8C34-93581A1278D2}"/>
    <cellStyle name="Normal 2 7 3 2 5 2" xfId="34529" xr:uid="{CDD9A476-185B-4325-A139-B64943C1FED5}"/>
    <cellStyle name="Normal 2 7 3 2 5 2 2" xfId="34530" xr:uid="{45328768-B0B7-43A8-9424-195DCEC2A860}"/>
    <cellStyle name="Normal 2 7 3 2 5 2 3" xfId="34531" xr:uid="{5650A86F-2E0D-46D5-9908-70249604E620}"/>
    <cellStyle name="Normal 2 7 3 2 5 2 4" xfId="34532" xr:uid="{0F327451-C468-40E7-ABF2-A59371FE4E05}"/>
    <cellStyle name="Normal 2 7 3 2 5 2 5" xfId="34533" xr:uid="{4B5825E8-1B8C-4DBF-85F7-833BA4FB2A00}"/>
    <cellStyle name="Normal 2 7 3 2 5 3" xfId="34534" xr:uid="{C67467AB-1ACC-4238-90BE-5209BD03AD60}"/>
    <cellStyle name="Normal 2 7 3 2 5 4" xfId="34535" xr:uid="{C89CDAB5-FD2D-4AA7-827C-E39F131C1CE0}"/>
    <cellStyle name="Normal 2 7 3 2 5 5" xfId="34536" xr:uid="{7B8411B3-9094-4C67-9C0E-06C8B4B376C2}"/>
    <cellStyle name="Normal 2 7 3 2 5 6" xfId="34537" xr:uid="{0E03FEA9-D95B-45A3-BBDE-732AE2CB927E}"/>
    <cellStyle name="Normal 2 7 3 2 6" xfId="34538" xr:uid="{951E2267-DCFF-438E-823E-109E6DC994C9}"/>
    <cellStyle name="Normal 2 7 3 2 6 2" xfId="34539" xr:uid="{BAD7D2EB-AD89-4B4B-83DF-A4A739AB42C7}"/>
    <cellStyle name="Normal 2 7 3 2 6 2 2" xfId="34540" xr:uid="{E3938CA4-E856-497D-BFF4-906CBC92D6F6}"/>
    <cellStyle name="Normal 2 7 3 2 6 2 3" xfId="34541" xr:uid="{6F751ED8-62D1-40A9-A053-A867BA9D984D}"/>
    <cellStyle name="Normal 2 7 3 2 6 2 4" xfId="34542" xr:uid="{4EB1FF1A-E999-4BC1-ABED-24B170F2AA98}"/>
    <cellStyle name="Normal 2 7 3 2 6 2 5" xfId="34543" xr:uid="{A6BC2E15-69EE-47EE-BFA8-FF2CE7D5C96D}"/>
    <cellStyle name="Normal 2 7 3 2 6 3" xfId="34544" xr:uid="{195014BA-185F-4F80-932C-A62B0A3FD418}"/>
    <cellStyle name="Normal 2 7 3 2 6 4" xfId="34545" xr:uid="{4502D346-12DA-462B-AD9D-003A29740D49}"/>
    <cellStyle name="Normal 2 7 3 2 6 5" xfId="34546" xr:uid="{B9D45B8F-3A73-4322-A588-9D99D3013961}"/>
    <cellStyle name="Normal 2 7 3 2 6 6" xfId="34547" xr:uid="{D79A8159-34EE-4E3A-A837-5C6384EC6F8E}"/>
    <cellStyle name="Normal 2 7 3 2 7" xfId="34548" xr:uid="{D8037511-9AC5-4B6E-AE92-BC781AD0957D}"/>
    <cellStyle name="Normal 2 7 3 2 7 2" xfId="34549" xr:uid="{4E36DB36-160B-437D-B8E7-B6DF89DB15CA}"/>
    <cellStyle name="Normal 2 7 3 2 7 3" xfId="34550" xr:uid="{932EB224-BFDE-4DB2-933C-336365D7CDDB}"/>
    <cellStyle name="Normal 2 7 3 2 7 4" xfId="34551" xr:uid="{5CF77D65-37CB-4C73-BCB3-16FC6AB542CC}"/>
    <cellStyle name="Normal 2 7 3 2 7 5" xfId="34552" xr:uid="{6719AD7B-7FE3-467D-8595-553300B92E1E}"/>
    <cellStyle name="Normal 2 7 3 2 8" xfId="34553" xr:uid="{910288E0-F8FF-4653-AE30-9CFDF1985016}"/>
    <cellStyle name="Normal 2 7 3 2 8 2" xfId="34554" xr:uid="{C847551A-F318-4A9D-8EF9-0A3B0481A47D}"/>
    <cellStyle name="Normal 2 7 3 2 8 3" xfId="34555" xr:uid="{8AB11A17-4C4F-478D-9FC4-AB1B97DDE2AA}"/>
    <cellStyle name="Normal 2 7 3 2 8 4" xfId="34556" xr:uid="{DBA71333-3ED9-48B4-A8AA-F3C45C5B794C}"/>
    <cellStyle name="Normal 2 7 3 2 8 5" xfId="34557" xr:uid="{144E0E85-54C3-476B-82B5-73B982877B58}"/>
    <cellStyle name="Normal 2 7 3 2 9" xfId="34558" xr:uid="{6FB58CA9-5E21-4575-9018-B6961C171FDE}"/>
    <cellStyle name="Normal 2 7 3 2 9 2" xfId="34559" xr:uid="{60B0A1D8-6C82-43F2-893A-E425E62C5E0E}"/>
    <cellStyle name="Normal 2 7 3 2 9 3" xfId="34560" xr:uid="{BE12EFB3-99FE-4E06-AEF6-8F5C992870CB}"/>
    <cellStyle name="Normal 2 7 3 2 9 4" xfId="34561" xr:uid="{3D50B0D6-48E4-46F9-A5FB-3B0204710B8B}"/>
    <cellStyle name="Normal 2 7 3 2 9 5" xfId="34562" xr:uid="{0FFB994F-76A2-4305-8A7B-A5F348C162C1}"/>
    <cellStyle name="Normal 2 7 3 3" xfId="34563" xr:uid="{255DE4F0-6194-43FF-8473-BACB11A07836}"/>
    <cellStyle name="Normal 2 7 3 3 10" xfId="34564" xr:uid="{5031F985-C2DB-4C9C-95DA-62CE96C1D7EF}"/>
    <cellStyle name="Normal 2 7 3 3 11" xfId="34565" xr:uid="{E37A2902-38CA-4DE6-B49E-A31383033670}"/>
    <cellStyle name="Normal 2 7 3 3 12" xfId="34566" xr:uid="{97025D8F-3859-4DB9-8AE2-8A98161FBD1A}"/>
    <cellStyle name="Normal 2 7 3 3 13" xfId="34567" xr:uid="{17848DD9-1E40-4AD6-B738-000B7EDA7640}"/>
    <cellStyle name="Normal 2 7 3 3 2" xfId="34568" xr:uid="{24B259ED-E0F2-4ADD-B119-6AF16A611BBE}"/>
    <cellStyle name="Normal 2 7 3 3 2 10" xfId="34569" xr:uid="{CF209E8F-DCB9-4EB6-8C83-6058938DB7C7}"/>
    <cellStyle name="Normal 2 7 3 3 2 11" xfId="34570" xr:uid="{13E5C5FF-F773-4DDD-92C4-8AE63CA3F9E2}"/>
    <cellStyle name="Normal 2 7 3 3 2 12" xfId="34571" xr:uid="{A2BB434F-075A-4793-91CC-C6E010E2372B}"/>
    <cellStyle name="Normal 2 7 3 3 2 2" xfId="34572" xr:uid="{59E3822B-07D5-4267-A57A-E535F08A2669}"/>
    <cellStyle name="Normal 2 7 3 3 2 2 2" xfId="34573" xr:uid="{78DBEEEB-FEC7-4BD5-A59D-B5D7C8F4AD49}"/>
    <cellStyle name="Normal 2 7 3 3 2 2 2 2" xfId="34574" xr:uid="{9E23D2BE-4672-4583-9FE3-8BBF76485B61}"/>
    <cellStyle name="Normal 2 7 3 3 2 2 2 3" xfId="34575" xr:uid="{B57ED900-F2AA-44E0-8285-3B325E11209A}"/>
    <cellStyle name="Normal 2 7 3 3 2 2 2 4" xfId="34576" xr:uid="{5E2A6351-6BEC-46A1-B637-5FC201B6ADA6}"/>
    <cellStyle name="Normal 2 7 3 3 2 2 2 5" xfId="34577" xr:uid="{FB66DFB9-3ECE-4BFD-A0DF-1874E12CDB87}"/>
    <cellStyle name="Normal 2 7 3 3 2 2 3" xfId="34578" xr:uid="{ADF72ECA-54A3-46B8-AA5A-D6C64928EF66}"/>
    <cellStyle name="Normal 2 7 3 3 2 2 4" xfId="34579" xr:uid="{F5D5A2B2-9AF1-4C3D-9C80-76774FF443FA}"/>
    <cellStyle name="Normal 2 7 3 3 2 2 5" xfId="34580" xr:uid="{CBD3B48B-98DC-4B98-A2FE-E7954B09C589}"/>
    <cellStyle name="Normal 2 7 3 3 2 2 6" xfId="34581" xr:uid="{D6AB1B85-17D0-4B40-B75D-1A68A17BD372}"/>
    <cellStyle name="Normal 2 7 3 3 2 3" xfId="34582" xr:uid="{84BA132C-9CE5-4A95-8CA6-B9D1778012E1}"/>
    <cellStyle name="Normal 2 7 3 3 2 3 2" xfId="34583" xr:uid="{488F5673-E208-4F45-B9CC-50902F596449}"/>
    <cellStyle name="Normal 2 7 3 3 2 3 2 2" xfId="34584" xr:uid="{46E9EE6B-984A-4A15-8D47-A2099DB3D441}"/>
    <cellStyle name="Normal 2 7 3 3 2 3 2 3" xfId="34585" xr:uid="{3D8EADF2-1680-4B45-A3AD-13197DF6CBB4}"/>
    <cellStyle name="Normal 2 7 3 3 2 3 2 4" xfId="34586" xr:uid="{FB9520D4-6844-4EEC-BA0E-EC443624C656}"/>
    <cellStyle name="Normal 2 7 3 3 2 3 2 5" xfId="34587" xr:uid="{EFAFF73D-2863-4A2B-841E-4287A0EA920A}"/>
    <cellStyle name="Normal 2 7 3 3 2 3 3" xfId="34588" xr:uid="{CCD965FA-DA64-47A8-ABB2-D77BBC4673AF}"/>
    <cellStyle name="Normal 2 7 3 3 2 3 4" xfId="34589" xr:uid="{6C92C27E-F65A-4958-AE62-5E8035FEA55E}"/>
    <cellStyle name="Normal 2 7 3 3 2 3 5" xfId="34590" xr:uid="{42CAC262-107F-4909-9EB3-5C02959390A6}"/>
    <cellStyle name="Normal 2 7 3 3 2 3 6" xfId="34591" xr:uid="{13621487-9CD3-4582-8A0B-463EB9A667BB}"/>
    <cellStyle name="Normal 2 7 3 3 2 4" xfId="34592" xr:uid="{60F6F256-8563-4CFC-B2DC-4C53FDCB81BC}"/>
    <cellStyle name="Normal 2 7 3 3 2 4 2" xfId="34593" xr:uid="{A6AF51D5-FB1B-461E-A533-5D270CAA381F}"/>
    <cellStyle name="Normal 2 7 3 3 2 4 2 2" xfId="34594" xr:uid="{846FA454-B27C-401C-8186-C839D2F619F9}"/>
    <cellStyle name="Normal 2 7 3 3 2 4 2 3" xfId="34595" xr:uid="{2DF38E2E-C24B-4C10-899A-209BDBB18FE6}"/>
    <cellStyle name="Normal 2 7 3 3 2 4 2 4" xfId="34596" xr:uid="{BADAA9CD-6493-4EA0-A291-57084535E93E}"/>
    <cellStyle name="Normal 2 7 3 3 2 4 2 5" xfId="34597" xr:uid="{83FEAD10-7280-4F3A-BFFC-33BC1767ACD4}"/>
    <cellStyle name="Normal 2 7 3 3 2 4 3" xfId="34598" xr:uid="{12ACACED-5091-482B-B35E-05B56D266507}"/>
    <cellStyle name="Normal 2 7 3 3 2 4 4" xfId="34599" xr:uid="{8DDE80B1-DEAA-41A9-B8DC-9F23423DAF5A}"/>
    <cellStyle name="Normal 2 7 3 3 2 4 5" xfId="34600" xr:uid="{4B2624EE-0FE4-4C44-AB00-EAD39B3CF020}"/>
    <cellStyle name="Normal 2 7 3 3 2 4 6" xfId="34601" xr:uid="{941F9233-3E81-473D-B1FD-55DF9ED18418}"/>
    <cellStyle name="Normal 2 7 3 3 2 5" xfId="34602" xr:uid="{15334D8C-9EA7-4A99-8CC6-8FE02B39B4AB}"/>
    <cellStyle name="Normal 2 7 3 3 2 5 2" xfId="34603" xr:uid="{E581BC2C-22D7-4D73-A722-13927CA2CE96}"/>
    <cellStyle name="Normal 2 7 3 3 2 5 3" xfId="34604" xr:uid="{B5D7010E-27DD-48E4-BC2B-EA0FF5C455DE}"/>
    <cellStyle name="Normal 2 7 3 3 2 5 4" xfId="34605" xr:uid="{93D6E42C-A063-4E01-9BBF-68A03FB99E37}"/>
    <cellStyle name="Normal 2 7 3 3 2 5 5" xfId="34606" xr:uid="{6C33DB16-9EBA-40DB-BDC2-81F2C612549A}"/>
    <cellStyle name="Normal 2 7 3 3 2 6" xfId="34607" xr:uid="{21494F34-5FDA-46D1-BA40-704AA1949194}"/>
    <cellStyle name="Normal 2 7 3 3 2 6 2" xfId="34608" xr:uid="{CFD8A9A8-91E3-4DFF-82ED-882EAC0CA9D2}"/>
    <cellStyle name="Normal 2 7 3 3 2 6 3" xfId="34609" xr:uid="{68A2732C-91D7-40B4-BBA8-CD87784BDD4D}"/>
    <cellStyle name="Normal 2 7 3 3 2 6 4" xfId="34610" xr:uid="{DBB6E367-B345-4BDB-8640-B248A543D4EB}"/>
    <cellStyle name="Normal 2 7 3 3 2 6 5" xfId="34611" xr:uid="{A8520A4D-90DE-4CAB-8661-D6A0777B3E28}"/>
    <cellStyle name="Normal 2 7 3 3 2 7" xfId="34612" xr:uid="{A2262D20-F5BC-477E-A82E-308978B8EE92}"/>
    <cellStyle name="Normal 2 7 3 3 2 7 2" xfId="34613" xr:uid="{5670A267-D327-46CB-930E-C80416057163}"/>
    <cellStyle name="Normal 2 7 3 3 2 7 3" xfId="34614" xr:uid="{25F763B7-6F35-4FE3-BBC5-C94437B5088D}"/>
    <cellStyle name="Normal 2 7 3 3 2 7 4" xfId="34615" xr:uid="{BD852440-D0CE-4A4B-9FD2-5CEDD02E36C6}"/>
    <cellStyle name="Normal 2 7 3 3 2 7 5" xfId="34616" xr:uid="{FEE3F8FC-123F-4C4D-9F86-7C8B8D85B459}"/>
    <cellStyle name="Normal 2 7 3 3 2 8" xfId="34617" xr:uid="{2B4FB606-C366-4DA5-963C-D65D852A8778}"/>
    <cellStyle name="Normal 2 7 3 3 2 8 2" xfId="34618" xr:uid="{702EB33C-76EB-4104-A4E8-DAE053682F66}"/>
    <cellStyle name="Normal 2 7 3 3 2 8 3" xfId="34619" xr:uid="{2187DDA9-DCF9-4B54-81BC-9A4A1B9032B3}"/>
    <cellStyle name="Normal 2 7 3 3 2 8 4" xfId="34620" xr:uid="{15EDFA35-237C-45EC-8C74-E31B0BBC3336}"/>
    <cellStyle name="Normal 2 7 3 3 2 8 5" xfId="34621" xr:uid="{FC779676-93E9-4EDA-AFFC-CBCB23002894}"/>
    <cellStyle name="Normal 2 7 3 3 2 9" xfId="34622" xr:uid="{FB97A991-591A-40E4-8EFA-38F482D3C297}"/>
    <cellStyle name="Normal 2 7 3 3 3" xfId="34623" xr:uid="{F90C7671-EBFE-4B00-B711-7CE4F0692845}"/>
    <cellStyle name="Normal 2 7 3 3 3 2" xfId="34624" xr:uid="{477C2163-90E8-47EC-AEBA-3BD8140189D1}"/>
    <cellStyle name="Normal 2 7 3 3 3 2 2" xfId="34625" xr:uid="{848A18C0-3593-4363-A9A4-4C7F0726B7C4}"/>
    <cellStyle name="Normal 2 7 3 3 3 2 3" xfId="34626" xr:uid="{45979196-67B5-45A5-ABA5-BA29F89A349A}"/>
    <cellStyle name="Normal 2 7 3 3 3 2 4" xfId="34627" xr:uid="{F3A509BC-D512-4B80-B744-8DD4165742E2}"/>
    <cellStyle name="Normal 2 7 3 3 3 2 5" xfId="34628" xr:uid="{F1629416-712B-40C6-B6AA-3C5FED70CEEE}"/>
    <cellStyle name="Normal 2 7 3 3 3 3" xfId="34629" xr:uid="{4B8D0CFC-BAE8-4BF1-82BC-3A0D554581D4}"/>
    <cellStyle name="Normal 2 7 3 3 3 4" xfId="34630" xr:uid="{82DF8EA1-31B4-47FB-9D48-658D6746BEE9}"/>
    <cellStyle name="Normal 2 7 3 3 3 5" xfId="34631" xr:uid="{C21BDB96-5370-48B9-B542-21C708236902}"/>
    <cellStyle name="Normal 2 7 3 3 3 6" xfId="34632" xr:uid="{5B6A2926-F965-4C1D-8EA3-2EF7223AA83B}"/>
    <cellStyle name="Normal 2 7 3 3 4" xfId="34633" xr:uid="{B29DE33D-4BA3-43EE-832F-465406C82812}"/>
    <cellStyle name="Normal 2 7 3 3 4 2" xfId="34634" xr:uid="{8DD90F37-4E07-466A-87BE-CFF4EAFFD485}"/>
    <cellStyle name="Normal 2 7 3 3 4 2 2" xfId="34635" xr:uid="{7C2B2CCE-95FE-4FF3-917E-3236BB3EC8F8}"/>
    <cellStyle name="Normal 2 7 3 3 4 2 3" xfId="34636" xr:uid="{BA9F1FB9-514F-4A64-AD2B-CB2103CBEFA7}"/>
    <cellStyle name="Normal 2 7 3 3 4 2 4" xfId="34637" xr:uid="{22C635D5-07BA-4C87-91FE-47FE9A7E232D}"/>
    <cellStyle name="Normal 2 7 3 3 4 2 5" xfId="34638" xr:uid="{A8E5199E-C5FA-4666-BD10-6973809EB818}"/>
    <cellStyle name="Normal 2 7 3 3 4 3" xfId="34639" xr:uid="{7EC46EDE-764B-46CE-8DF8-BA6C181D0F3F}"/>
    <cellStyle name="Normal 2 7 3 3 4 4" xfId="34640" xr:uid="{BFB80977-CD65-4464-916E-07EE7C5F0B5A}"/>
    <cellStyle name="Normal 2 7 3 3 4 5" xfId="34641" xr:uid="{F759B28D-B607-4309-86ED-2110D4C252BD}"/>
    <cellStyle name="Normal 2 7 3 3 4 6" xfId="34642" xr:uid="{E886010B-7E94-4167-B1B8-1E96BC773BB6}"/>
    <cellStyle name="Normal 2 7 3 3 5" xfId="34643" xr:uid="{7EE367DA-7D0D-4B49-BAF0-0F8E1E285220}"/>
    <cellStyle name="Normal 2 7 3 3 5 2" xfId="34644" xr:uid="{E52A355C-50BC-42C1-98ED-974372C28097}"/>
    <cellStyle name="Normal 2 7 3 3 5 2 2" xfId="34645" xr:uid="{41B0EC2C-1541-45A4-9AEF-BD5069FEA49B}"/>
    <cellStyle name="Normal 2 7 3 3 5 2 3" xfId="34646" xr:uid="{30B5EC8A-D24B-40F0-AA37-622391A93F11}"/>
    <cellStyle name="Normal 2 7 3 3 5 2 4" xfId="34647" xr:uid="{A31DC698-0272-4E80-8761-112347A4FA5F}"/>
    <cellStyle name="Normal 2 7 3 3 5 2 5" xfId="34648" xr:uid="{E2686237-394E-4AFE-9CAC-4BE09E9C37A8}"/>
    <cellStyle name="Normal 2 7 3 3 5 3" xfId="34649" xr:uid="{9840C043-C15B-4CBA-B816-EE300693DA59}"/>
    <cellStyle name="Normal 2 7 3 3 5 4" xfId="34650" xr:uid="{9D45C908-670A-43AE-AED8-06FD71C48385}"/>
    <cellStyle name="Normal 2 7 3 3 5 5" xfId="34651" xr:uid="{5852E901-6CBE-4AAD-9FCF-C902DD505E00}"/>
    <cellStyle name="Normal 2 7 3 3 5 6" xfId="34652" xr:uid="{A19ABB16-7746-43F0-A760-7822E19EBA60}"/>
    <cellStyle name="Normal 2 7 3 3 6" xfId="34653" xr:uid="{C6A135E1-533C-4EC3-8AD7-876C8349F453}"/>
    <cellStyle name="Normal 2 7 3 3 6 2" xfId="34654" xr:uid="{1F231184-F0D5-4FB1-A457-0DBFEC30141F}"/>
    <cellStyle name="Normal 2 7 3 3 6 3" xfId="34655" xr:uid="{B7411AF3-AF31-4635-ABDD-E24B294D2BDC}"/>
    <cellStyle name="Normal 2 7 3 3 6 4" xfId="34656" xr:uid="{4DE1896F-EA33-4B97-A928-1471CC9D4F0F}"/>
    <cellStyle name="Normal 2 7 3 3 6 5" xfId="34657" xr:uid="{E511205D-1482-406C-A95D-134313D0F6B3}"/>
    <cellStyle name="Normal 2 7 3 3 7" xfId="34658" xr:uid="{856D6572-9C7B-453E-9512-53E5E5A1FC30}"/>
    <cellStyle name="Normal 2 7 3 3 7 2" xfId="34659" xr:uid="{6F87F8E9-A09E-4931-8612-483B258606BF}"/>
    <cellStyle name="Normal 2 7 3 3 7 3" xfId="34660" xr:uid="{CD93641C-9A13-40BB-9886-49D7C8D2D98E}"/>
    <cellStyle name="Normal 2 7 3 3 7 4" xfId="34661" xr:uid="{CEF50BF2-FA40-4A1A-A542-1912B1E11F9C}"/>
    <cellStyle name="Normal 2 7 3 3 7 5" xfId="34662" xr:uid="{C0EABAEC-E0D5-4494-80B8-B01CD6A1294C}"/>
    <cellStyle name="Normal 2 7 3 3 8" xfId="34663" xr:uid="{66E05EC9-41A6-41FA-9F5C-54412872A3DC}"/>
    <cellStyle name="Normal 2 7 3 3 8 2" xfId="34664" xr:uid="{47AB3531-77E1-42F0-A1EC-9B997180CDCE}"/>
    <cellStyle name="Normal 2 7 3 3 8 3" xfId="34665" xr:uid="{62B77410-2F86-4979-9683-8D1B317D0187}"/>
    <cellStyle name="Normal 2 7 3 3 8 4" xfId="34666" xr:uid="{B8806578-0162-42F0-B378-D25561A4D84F}"/>
    <cellStyle name="Normal 2 7 3 3 8 5" xfId="34667" xr:uid="{2E506197-6E7B-4187-A51D-BFD214F9C305}"/>
    <cellStyle name="Normal 2 7 3 3 9" xfId="34668" xr:uid="{0CBC2EB2-C368-48CE-ADE5-1CD73AE749EE}"/>
    <cellStyle name="Normal 2 7 3 3 9 2" xfId="34669" xr:uid="{36F88C99-F2C5-4507-8538-58C078B1ED38}"/>
    <cellStyle name="Normal 2 7 3 3 9 3" xfId="34670" xr:uid="{17BC5627-8499-4494-9E71-B84CECC6F238}"/>
    <cellStyle name="Normal 2 7 3 3 9 4" xfId="34671" xr:uid="{9E8B4596-8755-4503-94BC-AAC41423259B}"/>
    <cellStyle name="Normal 2 7 3 3 9 5" xfId="34672" xr:uid="{E1B6E754-0743-4D88-B3AC-15363E44D1D2}"/>
    <cellStyle name="Normal 2 7 3 4" xfId="34673" xr:uid="{E626E080-6E8A-41C4-912E-F86748E96176}"/>
    <cellStyle name="Normal 2 7 3 4 10" xfId="34674" xr:uid="{9A666B43-7907-4A63-9450-E3DB38D405CE}"/>
    <cellStyle name="Normal 2 7 3 4 11" xfId="34675" xr:uid="{236BE9D8-5968-4BA9-8202-E2A343EEBC8F}"/>
    <cellStyle name="Normal 2 7 3 4 12" xfId="34676" xr:uid="{47A17B32-054B-445E-9CD4-EC9E7A34EC69}"/>
    <cellStyle name="Normal 2 7 3 4 2" xfId="34677" xr:uid="{4F91B235-E3C3-40D6-A070-E768C3A220A7}"/>
    <cellStyle name="Normal 2 7 3 4 2 2" xfId="34678" xr:uid="{0ED2D646-FA5F-4DFB-94C4-C08DA4249651}"/>
    <cellStyle name="Normal 2 7 3 4 2 2 2" xfId="34679" xr:uid="{6759CAD0-F8BD-48AA-8D41-D9278ACDBEA5}"/>
    <cellStyle name="Normal 2 7 3 4 2 2 3" xfId="34680" xr:uid="{274A791B-7296-42A7-A090-868CA86191DD}"/>
    <cellStyle name="Normal 2 7 3 4 2 2 4" xfId="34681" xr:uid="{7112B3B7-2A91-4515-8685-6B2089690BF9}"/>
    <cellStyle name="Normal 2 7 3 4 2 2 5" xfId="34682" xr:uid="{7DE21FEB-866D-4A83-9627-B5804B5C9889}"/>
    <cellStyle name="Normal 2 7 3 4 2 3" xfId="34683" xr:uid="{E61A8993-CEED-4A1A-B639-C559BB7F9582}"/>
    <cellStyle name="Normal 2 7 3 4 2 4" xfId="34684" xr:uid="{D5A65832-9A03-4790-8920-76E79223FC95}"/>
    <cellStyle name="Normal 2 7 3 4 2 5" xfId="34685" xr:uid="{76F31C96-D494-4F6E-A231-B7C5F6644BCA}"/>
    <cellStyle name="Normal 2 7 3 4 2 6" xfId="34686" xr:uid="{27BA415F-B4B5-4B14-9216-F2E1662280C2}"/>
    <cellStyle name="Normal 2 7 3 4 3" xfId="34687" xr:uid="{472649A8-2E75-4CAF-99C2-58C7CB80EBCA}"/>
    <cellStyle name="Normal 2 7 3 4 3 2" xfId="34688" xr:uid="{108C7D2B-FC5A-459A-A0D0-07DEDC320D46}"/>
    <cellStyle name="Normal 2 7 3 4 3 2 2" xfId="34689" xr:uid="{7D350A51-2D66-4BC9-8AF0-85360EF1B87D}"/>
    <cellStyle name="Normal 2 7 3 4 3 2 3" xfId="34690" xr:uid="{B4E330F9-E302-4A21-AF84-C8AA9A8554D1}"/>
    <cellStyle name="Normal 2 7 3 4 3 2 4" xfId="34691" xr:uid="{C04B3426-75A5-4CA1-8408-922336DB20CB}"/>
    <cellStyle name="Normal 2 7 3 4 3 2 5" xfId="34692" xr:uid="{EA9B0F64-CBA9-498D-92EF-D3F94C491927}"/>
    <cellStyle name="Normal 2 7 3 4 3 3" xfId="34693" xr:uid="{D1BAEDED-C144-47F0-AC58-E7B96E0FD2B1}"/>
    <cellStyle name="Normal 2 7 3 4 3 4" xfId="34694" xr:uid="{8EC6D93E-F755-4C57-B987-EEA55AAA1517}"/>
    <cellStyle name="Normal 2 7 3 4 3 5" xfId="34695" xr:uid="{097678A2-6C6B-4868-8249-EAC40BFE9DF9}"/>
    <cellStyle name="Normal 2 7 3 4 3 6" xfId="34696" xr:uid="{A85CA7A3-E9F7-4384-B848-724345FAB9B5}"/>
    <cellStyle name="Normal 2 7 3 4 4" xfId="34697" xr:uid="{3C5696A0-5FCD-4474-8EA1-017159826BAA}"/>
    <cellStyle name="Normal 2 7 3 4 4 2" xfId="34698" xr:uid="{948452F7-C7D8-4234-A17F-814C63979753}"/>
    <cellStyle name="Normal 2 7 3 4 4 2 2" xfId="34699" xr:uid="{D6EB0289-2F89-47A1-B078-32370858905E}"/>
    <cellStyle name="Normal 2 7 3 4 4 2 3" xfId="34700" xr:uid="{3F359262-BE7E-4873-A21D-AA93F95F9843}"/>
    <cellStyle name="Normal 2 7 3 4 4 2 4" xfId="34701" xr:uid="{6F2BA5CC-B736-4904-8B7D-5AD115E77BCB}"/>
    <cellStyle name="Normal 2 7 3 4 4 2 5" xfId="34702" xr:uid="{6F151C4D-EFD8-4F4F-AF19-9A8E6579BEAD}"/>
    <cellStyle name="Normal 2 7 3 4 4 3" xfId="34703" xr:uid="{76093392-40E5-489E-9B5B-33D3B6F19E7A}"/>
    <cellStyle name="Normal 2 7 3 4 4 4" xfId="34704" xr:uid="{6F18D56F-FBC4-4DE0-8FB9-BAB05561F22F}"/>
    <cellStyle name="Normal 2 7 3 4 4 5" xfId="34705" xr:uid="{2D3DE108-7EEB-4AF0-BD4E-A0ED60FA8CE9}"/>
    <cellStyle name="Normal 2 7 3 4 4 6" xfId="34706" xr:uid="{7339B2D7-A229-4C5F-8266-D7DC007D129E}"/>
    <cellStyle name="Normal 2 7 3 4 5" xfId="34707" xr:uid="{8AEED632-F84E-485B-898E-266B70BB3C63}"/>
    <cellStyle name="Normal 2 7 3 4 5 2" xfId="34708" xr:uid="{362EC3F2-218F-4D1B-8B71-518576F09E9C}"/>
    <cellStyle name="Normal 2 7 3 4 5 3" xfId="34709" xr:uid="{D62D3973-1E40-415F-AF82-56C6D69D3CE8}"/>
    <cellStyle name="Normal 2 7 3 4 5 4" xfId="34710" xr:uid="{B89DBFEC-0139-41B5-B854-00BE0A8CD539}"/>
    <cellStyle name="Normal 2 7 3 4 5 5" xfId="34711" xr:uid="{D2133AE0-9560-4EBF-97C4-146AA472AED3}"/>
    <cellStyle name="Normal 2 7 3 4 6" xfId="34712" xr:uid="{65B5052E-054D-4FBC-B858-04CB01961958}"/>
    <cellStyle name="Normal 2 7 3 4 6 2" xfId="34713" xr:uid="{C8DA9694-9210-4D29-A827-ABEBCDC59024}"/>
    <cellStyle name="Normal 2 7 3 4 6 3" xfId="34714" xr:uid="{EA81D17F-C9A3-4739-B207-1F9D140E2B39}"/>
    <cellStyle name="Normal 2 7 3 4 6 4" xfId="34715" xr:uid="{10CB5A53-770E-48CF-A112-8ADDD050CE42}"/>
    <cellStyle name="Normal 2 7 3 4 6 5" xfId="34716" xr:uid="{C9776C62-5525-499D-B58D-349077669119}"/>
    <cellStyle name="Normal 2 7 3 4 7" xfId="34717" xr:uid="{A8A5E443-DBEC-48F8-A492-78DA7ED3DBBE}"/>
    <cellStyle name="Normal 2 7 3 4 7 2" xfId="34718" xr:uid="{F198D390-1BC8-44A4-81A7-B058832FCCB9}"/>
    <cellStyle name="Normal 2 7 3 4 7 3" xfId="34719" xr:uid="{01F91C13-E2C6-479F-99C5-62BF1DC79F44}"/>
    <cellStyle name="Normal 2 7 3 4 7 4" xfId="34720" xr:uid="{03975473-9EAE-4586-89A1-EA2C96A1494F}"/>
    <cellStyle name="Normal 2 7 3 4 7 5" xfId="34721" xr:uid="{B6A2A75F-E019-4C60-A0B7-FFC61DF81E77}"/>
    <cellStyle name="Normal 2 7 3 4 8" xfId="34722" xr:uid="{4C9722A6-0D49-49E9-87BB-9C82D0EC3130}"/>
    <cellStyle name="Normal 2 7 3 4 8 2" xfId="34723" xr:uid="{DA7FF113-0415-4DD8-902C-199F91F579E2}"/>
    <cellStyle name="Normal 2 7 3 4 8 3" xfId="34724" xr:uid="{67984AB4-5D87-4983-B9BE-DA4D590781BB}"/>
    <cellStyle name="Normal 2 7 3 4 8 4" xfId="34725" xr:uid="{86BA8C17-B540-4C94-A316-1B24DA258C46}"/>
    <cellStyle name="Normal 2 7 3 4 8 5" xfId="34726" xr:uid="{26A87D0D-A764-4642-B2D8-841D2C4B549C}"/>
    <cellStyle name="Normal 2 7 3 4 9" xfId="34727" xr:uid="{652CC956-92BF-4F2F-A645-979BE718C9A1}"/>
    <cellStyle name="Normal 2 7 3 5" xfId="34728" xr:uid="{A57264BA-6C65-4519-88B0-1335069925B0}"/>
    <cellStyle name="Normal 2 7 3 5 2" xfId="34729" xr:uid="{1C2A6D2F-2F3B-4585-A456-03FA7F56EC90}"/>
    <cellStyle name="Normal 2 7 3 5 2 2" xfId="34730" xr:uid="{B6B9A39A-2750-4338-99C6-CBDA02FE03C5}"/>
    <cellStyle name="Normal 2 7 3 5 2 3" xfId="34731" xr:uid="{FCDAC067-5EF6-4A74-9E9F-6133D57E7637}"/>
    <cellStyle name="Normal 2 7 3 5 2 4" xfId="34732" xr:uid="{437A7FD8-2B56-414C-8B1F-5F909454E3E6}"/>
    <cellStyle name="Normal 2 7 3 5 2 5" xfId="34733" xr:uid="{A902953E-5602-4B40-998B-AE7A9505EB1F}"/>
    <cellStyle name="Normal 2 7 3 5 3" xfId="34734" xr:uid="{28F800FE-6062-4AED-9817-762B2F42B3D3}"/>
    <cellStyle name="Normal 2 7 3 5 4" xfId="34735" xr:uid="{10D2E2B5-251D-4924-9A13-5D952BC04375}"/>
    <cellStyle name="Normal 2 7 3 5 5" xfId="34736" xr:uid="{BAABDF50-B16A-4EBB-B420-977CE39D216A}"/>
    <cellStyle name="Normal 2 7 3 5 6" xfId="34737" xr:uid="{7FC275FD-F8D5-43C1-B58F-1F7491A3212A}"/>
    <cellStyle name="Normal 2 7 3 6" xfId="34738" xr:uid="{FCA96629-24E8-4583-81A3-6D25603415BF}"/>
    <cellStyle name="Normal 2 7 3 6 2" xfId="34739" xr:uid="{3E5304EE-5589-4775-AD76-F5D95846F760}"/>
    <cellStyle name="Normal 2 7 3 6 2 2" xfId="34740" xr:uid="{2B509833-FFCF-453D-9125-762CB416F82F}"/>
    <cellStyle name="Normal 2 7 3 6 2 3" xfId="34741" xr:uid="{609605FF-95E4-4CC1-BBE1-77D10FBB5FB7}"/>
    <cellStyle name="Normal 2 7 3 6 2 4" xfId="34742" xr:uid="{D960D910-0632-4862-95C8-C58078838AC8}"/>
    <cellStyle name="Normal 2 7 3 6 2 5" xfId="34743" xr:uid="{ED973FD1-5DB8-4978-BD32-FFC642AF22CC}"/>
    <cellStyle name="Normal 2 7 3 6 3" xfId="34744" xr:uid="{5D98F618-4FFB-4DDB-A935-571037229D80}"/>
    <cellStyle name="Normal 2 7 3 6 4" xfId="34745" xr:uid="{3329138B-25D6-411F-854F-A112DC5FFBC2}"/>
    <cellStyle name="Normal 2 7 3 6 5" xfId="34746" xr:uid="{A881A5FD-8D97-46BC-ADCF-298EA805C914}"/>
    <cellStyle name="Normal 2 7 3 6 6" xfId="34747" xr:uid="{D6435968-3351-4B42-B2F1-F4E656A84717}"/>
    <cellStyle name="Normal 2 7 3 7" xfId="34748" xr:uid="{9159A536-C746-46E7-A72B-3217826DE74C}"/>
    <cellStyle name="Normal 2 7 3 7 2" xfId="34749" xr:uid="{01B922C0-3624-4AF6-A930-F7B6447DB6B2}"/>
    <cellStyle name="Normal 2 7 3 7 2 2" xfId="34750" xr:uid="{0C1DEE49-3DDF-4D4F-B917-9A9597A72F2E}"/>
    <cellStyle name="Normal 2 7 3 7 2 3" xfId="34751" xr:uid="{7A443000-55DE-409F-B334-1C252B26AC46}"/>
    <cellStyle name="Normal 2 7 3 7 2 4" xfId="34752" xr:uid="{88F7344D-C448-446F-A448-8DA7FA7196FC}"/>
    <cellStyle name="Normal 2 7 3 7 2 5" xfId="34753" xr:uid="{3B153395-565B-4DCF-AC0C-A55C667DCA5B}"/>
    <cellStyle name="Normal 2 7 3 7 3" xfId="34754" xr:uid="{BD64F301-7200-44EA-82BE-E655DE0CC1CC}"/>
    <cellStyle name="Normal 2 7 3 7 4" xfId="34755" xr:uid="{5FC4422A-B415-4E23-A12C-B0A21442288E}"/>
    <cellStyle name="Normal 2 7 3 7 5" xfId="34756" xr:uid="{B6167BCF-B8E2-4D8A-B23F-4467DD42C253}"/>
    <cellStyle name="Normal 2 7 3 7 6" xfId="34757" xr:uid="{146B89C5-4854-4D04-8182-A242F68AC6C4}"/>
    <cellStyle name="Normal 2 7 3 8" xfId="34758" xr:uid="{231B6F1F-3E5F-40DB-A447-CB3A9AE06E62}"/>
    <cellStyle name="Normal 2 7 3 8 2" xfId="34759" xr:uid="{99163F41-7017-4093-A341-57DB80D3A3B6}"/>
    <cellStyle name="Normal 2 7 3 8 3" xfId="34760" xr:uid="{D7711C04-B439-4B93-990D-BC4343B01423}"/>
    <cellStyle name="Normal 2 7 3 8 4" xfId="34761" xr:uid="{9F50E10B-2691-4C48-9A46-BD03FC9E65D5}"/>
    <cellStyle name="Normal 2 7 3 8 5" xfId="34762" xr:uid="{EF127F15-26A0-4FB0-ABB7-44A4687F4B42}"/>
    <cellStyle name="Normal 2 7 3 9" xfId="34763" xr:uid="{9C357E62-5C4A-4A40-9BD5-C55EE59EC682}"/>
    <cellStyle name="Normal 2 7 3 9 2" xfId="34764" xr:uid="{4F87EB49-8E94-46A2-8E0D-3FB5EB8B4EE8}"/>
    <cellStyle name="Normal 2 7 3 9 3" xfId="34765" xr:uid="{52BA5C84-02FA-4FA7-8D27-F582142BB1F9}"/>
    <cellStyle name="Normal 2 7 3 9 4" xfId="34766" xr:uid="{CC2371BA-4B50-4203-A076-CB13211B3F5A}"/>
    <cellStyle name="Normal 2 7 3 9 5" xfId="34767" xr:uid="{DC5433A7-8C02-4543-83A9-D6B5131E2EF2}"/>
    <cellStyle name="Normal 2 7 4" xfId="34768" xr:uid="{518C0E23-5018-45D7-B4A3-66D7A908CC20}"/>
    <cellStyle name="Normal 2 7 4 10" xfId="34769" xr:uid="{FB1F26A5-FDB9-4D36-BF64-9D8334D57E74}"/>
    <cellStyle name="Normal 2 7 4 10 2" xfId="34770" xr:uid="{B3C16F34-C310-40B0-9DAC-0593B9FEFA83}"/>
    <cellStyle name="Normal 2 7 4 10 3" xfId="34771" xr:uid="{C1525CC8-69B0-4D3B-8850-4D972D79F803}"/>
    <cellStyle name="Normal 2 7 4 10 4" xfId="34772" xr:uid="{25A4434A-2195-499D-973C-804DCF77E86C}"/>
    <cellStyle name="Normal 2 7 4 10 5" xfId="34773" xr:uid="{4B6A9AF8-F2C9-4493-9351-C5D787D1BF85}"/>
    <cellStyle name="Normal 2 7 4 11" xfId="34774" xr:uid="{D389A041-6B4C-4C02-97F6-8FE3847105F4}"/>
    <cellStyle name="Normal 2 7 4 11 2" xfId="34775" xr:uid="{3D818E6A-1E16-487D-89EF-B36EE7205F44}"/>
    <cellStyle name="Normal 2 7 4 11 3" xfId="34776" xr:uid="{A1650532-ACD8-4E90-BFF0-81E6C329E062}"/>
    <cellStyle name="Normal 2 7 4 11 4" xfId="34777" xr:uid="{1B798DF6-9042-4B2E-9F70-B7EF97DBDADA}"/>
    <cellStyle name="Normal 2 7 4 11 5" xfId="34778" xr:uid="{EEEC1D21-F746-4FDA-8A97-3EF46C31C40C}"/>
    <cellStyle name="Normal 2 7 4 12" xfId="34779" xr:uid="{3F1C669B-CB79-4AB9-A73F-F0DF42EAEE1D}"/>
    <cellStyle name="Normal 2 7 4 13" xfId="34780" xr:uid="{84B879BC-7B68-4090-8323-BAC73CC1D1B1}"/>
    <cellStyle name="Normal 2 7 4 14" xfId="34781" xr:uid="{F6371AA1-456B-48A9-8265-B8BA98B24822}"/>
    <cellStyle name="Normal 2 7 4 15" xfId="34782" xr:uid="{7BA9F55E-BB6D-4CB5-830A-9890C10E4E03}"/>
    <cellStyle name="Normal 2 7 4 2" xfId="34783" xr:uid="{9D91A7EF-F08B-4802-9733-D156B05214EA}"/>
    <cellStyle name="Normal 2 7 4 2 10" xfId="34784" xr:uid="{30945F95-E8EE-4ADB-B64A-FC2C5989E513}"/>
    <cellStyle name="Normal 2 7 4 2 10 2" xfId="34785" xr:uid="{F0E3BDB4-CEB1-4E57-B502-20DBA643A375}"/>
    <cellStyle name="Normal 2 7 4 2 10 3" xfId="34786" xr:uid="{3A0304B9-A987-4A9A-8FB0-3621D1D449E8}"/>
    <cellStyle name="Normal 2 7 4 2 10 4" xfId="34787" xr:uid="{CDB52CF8-CEC2-47F4-94FE-779EC6642FE7}"/>
    <cellStyle name="Normal 2 7 4 2 10 5" xfId="34788" xr:uid="{13035114-9234-4562-A151-4675D7CAFBA2}"/>
    <cellStyle name="Normal 2 7 4 2 11" xfId="34789" xr:uid="{992116E0-4596-4AFE-87A1-C52F312211B8}"/>
    <cellStyle name="Normal 2 7 4 2 12" xfId="34790" xr:uid="{532F4B19-1031-4E7F-97E5-E24DE2199A07}"/>
    <cellStyle name="Normal 2 7 4 2 13" xfId="34791" xr:uid="{D359CA1D-D5C5-44FF-9F76-48C3EC58982A}"/>
    <cellStyle name="Normal 2 7 4 2 14" xfId="34792" xr:uid="{863DD1B5-CF12-42FE-BA28-C5F7C1C8AB35}"/>
    <cellStyle name="Normal 2 7 4 2 2" xfId="34793" xr:uid="{E86DC282-F39B-42AD-BFB4-EAF95E6988B5}"/>
    <cellStyle name="Normal 2 7 4 2 2 10" xfId="34794" xr:uid="{59C93CD0-0FEB-4BCD-9C03-1E779B74F769}"/>
    <cellStyle name="Normal 2 7 4 2 2 11" xfId="34795" xr:uid="{B06476D4-A33D-4D01-A39F-6C0E8454A545}"/>
    <cellStyle name="Normal 2 7 4 2 2 12" xfId="34796" xr:uid="{51701A81-B704-400C-8B2C-9197C82B63BF}"/>
    <cellStyle name="Normal 2 7 4 2 2 13" xfId="34797" xr:uid="{42EBDC16-537C-4101-98D0-6AD6AC1E9737}"/>
    <cellStyle name="Normal 2 7 4 2 2 2" xfId="34798" xr:uid="{8B26A127-9273-4A4A-8B64-C4E4EB1CDA88}"/>
    <cellStyle name="Normal 2 7 4 2 2 2 10" xfId="34799" xr:uid="{E0AFD536-1AB7-4BCB-924E-5573B1F93A21}"/>
    <cellStyle name="Normal 2 7 4 2 2 2 11" xfId="34800" xr:uid="{CC63E207-E7BB-48D3-9CC6-6112F9B56924}"/>
    <cellStyle name="Normal 2 7 4 2 2 2 12" xfId="34801" xr:uid="{90F18B08-8576-4E11-A578-B94BAB87C031}"/>
    <cellStyle name="Normal 2 7 4 2 2 2 2" xfId="34802" xr:uid="{7611A1BF-671F-4502-AC1A-87876AD7A110}"/>
    <cellStyle name="Normal 2 7 4 2 2 2 2 2" xfId="34803" xr:uid="{97635B88-569C-4E53-BAFA-247E8B31E5E9}"/>
    <cellStyle name="Normal 2 7 4 2 2 2 2 2 2" xfId="34804" xr:uid="{1ED25E39-C6AE-45FF-8DFE-D7CB076A88A9}"/>
    <cellStyle name="Normal 2 7 4 2 2 2 2 2 3" xfId="34805" xr:uid="{09044708-1A64-44A3-87D3-853971D4E91F}"/>
    <cellStyle name="Normal 2 7 4 2 2 2 2 2 4" xfId="34806" xr:uid="{2CB58484-9614-4A1E-8A43-5F6F677D6680}"/>
    <cellStyle name="Normal 2 7 4 2 2 2 2 2 5" xfId="34807" xr:uid="{08D8E3E2-6D45-4673-A88D-88A620C0F985}"/>
    <cellStyle name="Normal 2 7 4 2 2 2 2 3" xfId="34808" xr:uid="{35AAA52B-E4BF-43D2-9FCB-27A30D35F750}"/>
    <cellStyle name="Normal 2 7 4 2 2 2 2 4" xfId="34809" xr:uid="{FB92B34E-7D82-4257-B3D2-A3F5F942B014}"/>
    <cellStyle name="Normal 2 7 4 2 2 2 2 5" xfId="34810" xr:uid="{795F13D5-0250-4A71-A155-2EAAC9AD956D}"/>
    <cellStyle name="Normal 2 7 4 2 2 2 2 6" xfId="34811" xr:uid="{9887F1DD-FF45-49E8-857D-AD39A682DADA}"/>
    <cellStyle name="Normal 2 7 4 2 2 2 3" xfId="34812" xr:uid="{5C31E6D3-5878-4920-9E00-84201C1E2038}"/>
    <cellStyle name="Normal 2 7 4 2 2 2 3 2" xfId="34813" xr:uid="{F11CD3CE-BD74-4302-8459-34896F94FC20}"/>
    <cellStyle name="Normal 2 7 4 2 2 2 3 2 2" xfId="34814" xr:uid="{29399B24-17F4-4A72-BFE0-CB16A948EE76}"/>
    <cellStyle name="Normal 2 7 4 2 2 2 3 2 3" xfId="34815" xr:uid="{14519037-0B99-4AB2-A14C-FF0CCAF8F34C}"/>
    <cellStyle name="Normal 2 7 4 2 2 2 3 2 4" xfId="34816" xr:uid="{4CC9EB5F-4C54-4E89-9706-3E6E766B2B3C}"/>
    <cellStyle name="Normal 2 7 4 2 2 2 3 2 5" xfId="34817" xr:uid="{69205244-F65E-4445-B84E-5521101A5E75}"/>
    <cellStyle name="Normal 2 7 4 2 2 2 3 3" xfId="34818" xr:uid="{2A96C3A9-BEE8-4379-923C-1AEA98400323}"/>
    <cellStyle name="Normal 2 7 4 2 2 2 3 4" xfId="34819" xr:uid="{7C28798D-D758-4033-AAF2-835308623442}"/>
    <cellStyle name="Normal 2 7 4 2 2 2 3 5" xfId="34820" xr:uid="{135470ED-B1D8-420D-830C-BE6502164602}"/>
    <cellStyle name="Normal 2 7 4 2 2 2 3 6" xfId="34821" xr:uid="{BC056AE3-7883-48B1-B106-272435B21D6A}"/>
    <cellStyle name="Normal 2 7 4 2 2 2 4" xfId="34822" xr:uid="{C8BEECAC-09F1-41E7-B817-212C3972D69E}"/>
    <cellStyle name="Normal 2 7 4 2 2 2 4 2" xfId="34823" xr:uid="{9E112198-444A-43EF-B89B-F2AAB31D445A}"/>
    <cellStyle name="Normal 2 7 4 2 2 2 4 2 2" xfId="34824" xr:uid="{00752080-E6CC-4538-83D7-DF0B18B63CDB}"/>
    <cellStyle name="Normal 2 7 4 2 2 2 4 2 3" xfId="34825" xr:uid="{7DB1B3E1-A0C0-43C0-8AED-0B688DBE4D81}"/>
    <cellStyle name="Normal 2 7 4 2 2 2 4 2 4" xfId="34826" xr:uid="{20A61F0C-1050-4931-A806-A78A205B4A30}"/>
    <cellStyle name="Normal 2 7 4 2 2 2 4 2 5" xfId="34827" xr:uid="{ADA9FB9D-AB86-47E3-8882-DF3E4C75C844}"/>
    <cellStyle name="Normal 2 7 4 2 2 2 4 3" xfId="34828" xr:uid="{E4D2B552-F7A1-4DB4-875E-B2446D3F9C3D}"/>
    <cellStyle name="Normal 2 7 4 2 2 2 4 4" xfId="34829" xr:uid="{164260C9-F89F-44DB-A867-5B20737209BF}"/>
    <cellStyle name="Normal 2 7 4 2 2 2 4 5" xfId="34830" xr:uid="{EF3D7EEF-3906-4DEF-8C8A-53800B1726F1}"/>
    <cellStyle name="Normal 2 7 4 2 2 2 4 6" xfId="34831" xr:uid="{991CAFCD-2A30-4BD4-9AB8-F8ED37FCA902}"/>
    <cellStyle name="Normal 2 7 4 2 2 2 5" xfId="34832" xr:uid="{6F13A9B9-F6A5-43A4-B748-9E66A69C4DD1}"/>
    <cellStyle name="Normal 2 7 4 2 2 2 5 2" xfId="34833" xr:uid="{A4F2093A-116F-4D56-B4AB-4170F7C13138}"/>
    <cellStyle name="Normal 2 7 4 2 2 2 5 3" xfId="34834" xr:uid="{3886EF1A-4327-4C6F-A4FF-45063BC53CE7}"/>
    <cellStyle name="Normal 2 7 4 2 2 2 5 4" xfId="34835" xr:uid="{ABE00437-E81E-4BBD-A265-96C4BD783BA0}"/>
    <cellStyle name="Normal 2 7 4 2 2 2 5 5" xfId="34836" xr:uid="{2303C606-34B0-44B8-B7E5-FD44E7D124F4}"/>
    <cellStyle name="Normal 2 7 4 2 2 2 6" xfId="34837" xr:uid="{7B9D5A60-8F02-4936-A8B1-7A8CF170DEE2}"/>
    <cellStyle name="Normal 2 7 4 2 2 2 6 2" xfId="34838" xr:uid="{D69F98CA-AA58-468E-B33D-720A48503460}"/>
    <cellStyle name="Normal 2 7 4 2 2 2 6 3" xfId="34839" xr:uid="{BD4C347D-BA88-40B8-A4DB-B4C640511A87}"/>
    <cellStyle name="Normal 2 7 4 2 2 2 6 4" xfId="34840" xr:uid="{05D8516B-AD27-4C23-AD14-20FFC1252D20}"/>
    <cellStyle name="Normal 2 7 4 2 2 2 6 5" xfId="34841" xr:uid="{980B9853-0884-4679-84B4-0F07D50C9B8A}"/>
    <cellStyle name="Normal 2 7 4 2 2 2 7" xfId="34842" xr:uid="{D8358EED-E7ED-451D-8CD2-4856414A8883}"/>
    <cellStyle name="Normal 2 7 4 2 2 2 7 2" xfId="34843" xr:uid="{265090FB-27C7-4B36-ACFE-D421A3BC0E3A}"/>
    <cellStyle name="Normal 2 7 4 2 2 2 7 3" xfId="34844" xr:uid="{028D91AA-C219-4AC7-9576-05C73E85AE45}"/>
    <cellStyle name="Normal 2 7 4 2 2 2 7 4" xfId="34845" xr:uid="{564A293B-E5AD-49B0-9663-E719CB952A19}"/>
    <cellStyle name="Normal 2 7 4 2 2 2 7 5" xfId="34846" xr:uid="{8A890D41-B16B-40F2-9FEE-E7EAAF004506}"/>
    <cellStyle name="Normal 2 7 4 2 2 2 8" xfId="34847" xr:uid="{CDC546AE-15D8-4DEF-810A-33315AA7BDC5}"/>
    <cellStyle name="Normal 2 7 4 2 2 2 8 2" xfId="34848" xr:uid="{7CB1884D-9DA4-4FC1-859B-FD46BCABB83E}"/>
    <cellStyle name="Normal 2 7 4 2 2 2 8 3" xfId="34849" xr:uid="{1B803FEA-00F8-42C0-B8A3-1B0BD377EEEE}"/>
    <cellStyle name="Normal 2 7 4 2 2 2 8 4" xfId="34850" xr:uid="{7A43D729-A70E-4D56-B8F7-F35E51F4ACB0}"/>
    <cellStyle name="Normal 2 7 4 2 2 2 8 5" xfId="34851" xr:uid="{B678A2D1-F519-4CD0-A6BD-A019EE797411}"/>
    <cellStyle name="Normal 2 7 4 2 2 2 9" xfId="34852" xr:uid="{8BCD5982-7EB7-4B24-BCE4-5C4161E85690}"/>
    <cellStyle name="Normal 2 7 4 2 2 3" xfId="34853" xr:uid="{4C29175D-AE8D-421E-89EF-15747858A657}"/>
    <cellStyle name="Normal 2 7 4 2 2 3 2" xfId="34854" xr:uid="{3CF98385-7006-4B11-9CC4-7E90F7AF0D0A}"/>
    <cellStyle name="Normal 2 7 4 2 2 3 2 2" xfId="34855" xr:uid="{AA02FA57-9E92-4CB3-99D6-7D1A351E3CCD}"/>
    <cellStyle name="Normal 2 7 4 2 2 3 2 3" xfId="34856" xr:uid="{A23B3AA8-56A9-4ABE-8BDB-EC358956A539}"/>
    <cellStyle name="Normal 2 7 4 2 2 3 2 4" xfId="34857" xr:uid="{EFA98ADE-622B-46A3-9829-C5C897053064}"/>
    <cellStyle name="Normal 2 7 4 2 2 3 2 5" xfId="34858" xr:uid="{7E845449-B1C1-41DA-A15F-70300F965786}"/>
    <cellStyle name="Normal 2 7 4 2 2 3 3" xfId="34859" xr:uid="{B602573E-811B-4395-98A7-CDC7E208F73F}"/>
    <cellStyle name="Normal 2 7 4 2 2 3 4" xfId="34860" xr:uid="{4FE0B230-2DA4-4791-B357-EB6BD637785B}"/>
    <cellStyle name="Normal 2 7 4 2 2 3 5" xfId="34861" xr:uid="{0262EEED-234F-4961-A10F-874D567996BB}"/>
    <cellStyle name="Normal 2 7 4 2 2 3 6" xfId="34862" xr:uid="{F633D762-08CE-4630-A773-E3644F65EC75}"/>
    <cellStyle name="Normal 2 7 4 2 2 4" xfId="34863" xr:uid="{D27DF145-80AB-43EB-8F23-AD5B995ABEF3}"/>
    <cellStyle name="Normal 2 7 4 2 2 4 2" xfId="34864" xr:uid="{D37656BC-7F5A-4C62-98C2-71BC503E9C87}"/>
    <cellStyle name="Normal 2 7 4 2 2 4 2 2" xfId="34865" xr:uid="{85E24E3A-D766-4FCE-97B5-144477FCEE4E}"/>
    <cellStyle name="Normal 2 7 4 2 2 4 2 3" xfId="34866" xr:uid="{590D88F8-06ED-4A13-BFF0-FDFC7A033038}"/>
    <cellStyle name="Normal 2 7 4 2 2 4 2 4" xfId="34867" xr:uid="{9B158628-0392-4E35-8A84-D7ABC9BA58EE}"/>
    <cellStyle name="Normal 2 7 4 2 2 4 2 5" xfId="34868" xr:uid="{511F934F-7960-4659-8314-FCAC2300545D}"/>
    <cellStyle name="Normal 2 7 4 2 2 4 3" xfId="34869" xr:uid="{76FFEC43-1958-4AE7-AF7B-C618494D6266}"/>
    <cellStyle name="Normal 2 7 4 2 2 4 4" xfId="34870" xr:uid="{B2FDA236-2A68-4918-8027-0C3D6EE693A6}"/>
    <cellStyle name="Normal 2 7 4 2 2 4 5" xfId="34871" xr:uid="{940E0B1B-4A48-487D-8AEE-9A97B959ADBD}"/>
    <cellStyle name="Normal 2 7 4 2 2 4 6" xfId="34872" xr:uid="{F8810C42-205E-4050-89F4-FAE02CF71BE5}"/>
    <cellStyle name="Normal 2 7 4 2 2 5" xfId="34873" xr:uid="{3BDA6A13-FCE5-4A09-A316-2D93A8C7C727}"/>
    <cellStyle name="Normal 2 7 4 2 2 5 2" xfId="34874" xr:uid="{F2FA480E-A505-4092-A167-DC6BDB18E260}"/>
    <cellStyle name="Normal 2 7 4 2 2 5 2 2" xfId="34875" xr:uid="{407D80FD-6603-479F-8CC7-72CB808A9423}"/>
    <cellStyle name="Normal 2 7 4 2 2 5 2 3" xfId="34876" xr:uid="{625BCA11-C694-4B07-A8F6-0DEF74E03B68}"/>
    <cellStyle name="Normal 2 7 4 2 2 5 2 4" xfId="34877" xr:uid="{F46A2F5F-4D3B-41F1-874C-53359389DA73}"/>
    <cellStyle name="Normal 2 7 4 2 2 5 2 5" xfId="34878" xr:uid="{B7880643-FE8D-479B-9DDE-4D302A7CF505}"/>
    <cellStyle name="Normal 2 7 4 2 2 5 3" xfId="34879" xr:uid="{1AB2C9EF-7970-401F-9FFC-4C11E7B14B8B}"/>
    <cellStyle name="Normal 2 7 4 2 2 5 4" xfId="34880" xr:uid="{0F62217C-96D8-4790-9101-D0520FFEC2D2}"/>
    <cellStyle name="Normal 2 7 4 2 2 5 5" xfId="34881" xr:uid="{6E2C16C8-1300-48F9-9BF6-54524E3002BA}"/>
    <cellStyle name="Normal 2 7 4 2 2 5 6" xfId="34882" xr:uid="{E7CA9E38-3085-494B-A852-C28DB5BE5F90}"/>
    <cellStyle name="Normal 2 7 4 2 2 6" xfId="34883" xr:uid="{B4DAC7F1-E5C3-409A-9237-42C8F51A74C3}"/>
    <cellStyle name="Normal 2 7 4 2 2 6 2" xfId="34884" xr:uid="{8AFD56E3-01D4-4F47-97DA-D05C110C03EB}"/>
    <cellStyle name="Normal 2 7 4 2 2 6 3" xfId="34885" xr:uid="{798F0DC8-138E-4FE0-97DD-E3E510578347}"/>
    <cellStyle name="Normal 2 7 4 2 2 6 4" xfId="34886" xr:uid="{39BB42C1-F285-46AC-9AE7-0B832F4936D5}"/>
    <cellStyle name="Normal 2 7 4 2 2 6 5" xfId="34887" xr:uid="{6C42C675-1811-4D86-9AF4-D187315ADF3F}"/>
    <cellStyle name="Normal 2 7 4 2 2 7" xfId="34888" xr:uid="{5F796D63-2CBE-46F0-B999-6CD12E19E8A7}"/>
    <cellStyle name="Normal 2 7 4 2 2 7 2" xfId="34889" xr:uid="{57525EF5-09EC-49BB-98D7-DCEF83CEA058}"/>
    <cellStyle name="Normal 2 7 4 2 2 7 3" xfId="34890" xr:uid="{29E9F701-8371-4DE5-885D-F8C348CA2066}"/>
    <cellStyle name="Normal 2 7 4 2 2 7 4" xfId="34891" xr:uid="{7E5A4DA4-AEE9-4397-913B-1AC2EC7E3F41}"/>
    <cellStyle name="Normal 2 7 4 2 2 7 5" xfId="34892" xr:uid="{1EFF8501-F7E6-4EAE-8113-A4DEE5398063}"/>
    <cellStyle name="Normal 2 7 4 2 2 8" xfId="34893" xr:uid="{4E3B4F00-03B8-4017-8061-D0E02C893BD5}"/>
    <cellStyle name="Normal 2 7 4 2 2 8 2" xfId="34894" xr:uid="{F5B1A6FD-11EF-443B-AA34-9EEDD839CCD7}"/>
    <cellStyle name="Normal 2 7 4 2 2 8 3" xfId="34895" xr:uid="{63C47C15-A1A5-4723-A0A7-9FAD35ACDC73}"/>
    <cellStyle name="Normal 2 7 4 2 2 8 4" xfId="34896" xr:uid="{A79BCEEA-6CB3-4029-9C47-FB8F569AB5B6}"/>
    <cellStyle name="Normal 2 7 4 2 2 8 5" xfId="34897" xr:uid="{FD7DE9FA-362C-43E1-B659-5D88EC93CD52}"/>
    <cellStyle name="Normal 2 7 4 2 2 9" xfId="34898" xr:uid="{AADE1392-FF22-4E1C-926A-A8F1CA1B4AD5}"/>
    <cellStyle name="Normal 2 7 4 2 2 9 2" xfId="34899" xr:uid="{723F1784-F225-441A-B152-666886D41C30}"/>
    <cellStyle name="Normal 2 7 4 2 2 9 3" xfId="34900" xr:uid="{90E729C4-71EB-4267-BAFD-E2ED6AA4D695}"/>
    <cellStyle name="Normal 2 7 4 2 2 9 4" xfId="34901" xr:uid="{EA74EB67-4A7C-4A20-95A2-A163B9BCDA1E}"/>
    <cellStyle name="Normal 2 7 4 2 2 9 5" xfId="34902" xr:uid="{FBEE9F46-C01C-4EA1-BEA5-1C1E022D453F}"/>
    <cellStyle name="Normal 2 7 4 2 3" xfId="34903" xr:uid="{D99CC94D-259F-4729-B6DA-B9452F25099C}"/>
    <cellStyle name="Normal 2 7 4 2 3 10" xfId="34904" xr:uid="{7249230B-CB6F-44F6-B860-8616F2295506}"/>
    <cellStyle name="Normal 2 7 4 2 3 11" xfId="34905" xr:uid="{CCACA41B-F640-49E9-ADF1-D11148CFD108}"/>
    <cellStyle name="Normal 2 7 4 2 3 12" xfId="34906" xr:uid="{381C3DB9-5419-4000-B9B2-299AF82CE107}"/>
    <cellStyle name="Normal 2 7 4 2 3 2" xfId="34907" xr:uid="{D3334BCC-27F1-4078-9F44-7181F706AD5F}"/>
    <cellStyle name="Normal 2 7 4 2 3 2 2" xfId="34908" xr:uid="{7BCCC7E7-B401-4A46-BDB1-BF88018C265D}"/>
    <cellStyle name="Normal 2 7 4 2 3 2 2 2" xfId="34909" xr:uid="{79E13DA8-4DD8-4D77-B9F8-15295D13946B}"/>
    <cellStyle name="Normal 2 7 4 2 3 2 2 3" xfId="34910" xr:uid="{74551D32-0D34-4B95-A960-E7AE8D6B8EC7}"/>
    <cellStyle name="Normal 2 7 4 2 3 2 2 4" xfId="34911" xr:uid="{B2BCF2FC-1DC3-43E8-ACFA-7920596EFAFC}"/>
    <cellStyle name="Normal 2 7 4 2 3 2 2 5" xfId="34912" xr:uid="{BD2E7543-15D9-4668-8CC4-4C8ACEB20C71}"/>
    <cellStyle name="Normal 2 7 4 2 3 2 3" xfId="34913" xr:uid="{6CE840D4-77B4-4049-A8FF-3376863C4979}"/>
    <cellStyle name="Normal 2 7 4 2 3 2 4" xfId="34914" xr:uid="{81ED0350-EB93-4B4D-8F06-1D63E7ECF1DC}"/>
    <cellStyle name="Normal 2 7 4 2 3 2 5" xfId="34915" xr:uid="{D0B41F6A-993E-4894-8DAD-682EBC7BD284}"/>
    <cellStyle name="Normal 2 7 4 2 3 2 6" xfId="34916" xr:uid="{4D401EE1-C616-4C60-ACA7-44D97049238A}"/>
    <cellStyle name="Normal 2 7 4 2 3 3" xfId="34917" xr:uid="{52A630D1-1356-4E5C-9CAA-BC73E2263AF7}"/>
    <cellStyle name="Normal 2 7 4 2 3 3 2" xfId="34918" xr:uid="{12682611-08C8-4F0B-B433-3F6CF24EE5F9}"/>
    <cellStyle name="Normal 2 7 4 2 3 3 2 2" xfId="34919" xr:uid="{039EED19-994B-4677-87A7-BC0155932763}"/>
    <cellStyle name="Normal 2 7 4 2 3 3 2 3" xfId="34920" xr:uid="{E42855C3-3366-4226-8A84-26844536304B}"/>
    <cellStyle name="Normal 2 7 4 2 3 3 2 4" xfId="34921" xr:uid="{37266473-8AD8-461C-81DC-3198889B8284}"/>
    <cellStyle name="Normal 2 7 4 2 3 3 2 5" xfId="34922" xr:uid="{103D0301-0A54-4F36-9070-913D78032E8E}"/>
    <cellStyle name="Normal 2 7 4 2 3 3 3" xfId="34923" xr:uid="{F433BB74-84FA-4298-B1D1-B800B1693814}"/>
    <cellStyle name="Normal 2 7 4 2 3 3 4" xfId="34924" xr:uid="{ECC59F39-BDB4-487A-9862-0D7774F50FA5}"/>
    <cellStyle name="Normal 2 7 4 2 3 3 5" xfId="34925" xr:uid="{35278E1F-E215-4816-BBF8-872657A50F02}"/>
    <cellStyle name="Normal 2 7 4 2 3 3 6" xfId="34926" xr:uid="{50A4AE86-4DD3-4FE5-9C74-24E8EF372060}"/>
    <cellStyle name="Normal 2 7 4 2 3 4" xfId="34927" xr:uid="{7BD2718D-5661-431E-B445-D21C319E399A}"/>
    <cellStyle name="Normal 2 7 4 2 3 4 2" xfId="34928" xr:uid="{324902FB-4428-4EE1-B3B1-7F7D81CA7431}"/>
    <cellStyle name="Normal 2 7 4 2 3 4 2 2" xfId="34929" xr:uid="{AF3CCF24-502C-4952-91F6-367DF7F9CBE2}"/>
    <cellStyle name="Normal 2 7 4 2 3 4 2 3" xfId="34930" xr:uid="{45C8CDCD-FA5F-4120-9B3E-5CEE5CB2B959}"/>
    <cellStyle name="Normal 2 7 4 2 3 4 2 4" xfId="34931" xr:uid="{F3CBF61E-F96E-4C67-AEC1-6CEE36791349}"/>
    <cellStyle name="Normal 2 7 4 2 3 4 2 5" xfId="34932" xr:uid="{25C15672-9A5F-4881-9273-3B7A71F0B27F}"/>
    <cellStyle name="Normal 2 7 4 2 3 4 3" xfId="34933" xr:uid="{FB6D49FA-7E36-417B-A2F5-75E7C854FE5E}"/>
    <cellStyle name="Normal 2 7 4 2 3 4 4" xfId="34934" xr:uid="{8FFDF4DA-1A72-40A8-AC04-25FDE110F40C}"/>
    <cellStyle name="Normal 2 7 4 2 3 4 5" xfId="34935" xr:uid="{95C1D8B3-12E4-486D-A444-85B87659C34E}"/>
    <cellStyle name="Normal 2 7 4 2 3 4 6" xfId="34936" xr:uid="{B98E3622-D20A-4945-98CE-AB56E77C1128}"/>
    <cellStyle name="Normal 2 7 4 2 3 5" xfId="34937" xr:uid="{F97635B2-ADDA-4D4C-895A-906D003B4FE4}"/>
    <cellStyle name="Normal 2 7 4 2 3 5 2" xfId="34938" xr:uid="{C0FD1DEA-C650-4484-8BF2-BFC04BD86A6C}"/>
    <cellStyle name="Normal 2 7 4 2 3 5 3" xfId="34939" xr:uid="{51A6C8D8-7076-42A3-AC6C-B295B66898BB}"/>
    <cellStyle name="Normal 2 7 4 2 3 5 4" xfId="34940" xr:uid="{41F80753-A9DF-4E04-8E4E-928D490F7625}"/>
    <cellStyle name="Normal 2 7 4 2 3 5 5" xfId="34941" xr:uid="{4F247392-45B1-4336-8D41-E3198C7D2F4F}"/>
    <cellStyle name="Normal 2 7 4 2 3 6" xfId="34942" xr:uid="{26982717-AEC3-4600-9E6A-4C365211A1ED}"/>
    <cellStyle name="Normal 2 7 4 2 3 6 2" xfId="34943" xr:uid="{9CF9C15D-8F7B-4D41-B9AA-0D5AC3645CE6}"/>
    <cellStyle name="Normal 2 7 4 2 3 6 3" xfId="34944" xr:uid="{C88D6CAE-62F6-4C1D-ADBE-90B594B57C3E}"/>
    <cellStyle name="Normal 2 7 4 2 3 6 4" xfId="34945" xr:uid="{8DEF744C-83CE-4F5D-8647-02235847A08D}"/>
    <cellStyle name="Normal 2 7 4 2 3 6 5" xfId="34946" xr:uid="{BF82282A-FFF2-413B-BEAE-9C924C28692E}"/>
    <cellStyle name="Normal 2 7 4 2 3 7" xfId="34947" xr:uid="{1BF477F4-5E0E-40F4-9C2E-A3EA2EE64FD0}"/>
    <cellStyle name="Normal 2 7 4 2 3 7 2" xfId="34948" xr:uid="{83F4CF38-A850-4DED-9CBB-2B8E1BA3F4F9}"/>
    <cellStyle name="Normal 2 7 4 2 3 7 3" xfId="34949" xr:uid="{3AFA77F2-659B-49E0-8F83-F20AC6DD4EE8}"/>
    <cellStyle name="Normal 2 7 4 2 3 7 4" xfId="34950" xr:uid="{530584F1-913E-4FE3-B376-16007E6CBE9E}"/>
    <cellStyle name="Normal 2 7 4 2 3 7 5" xfId="34951" xr:uid="{56A319C4-19CF-40D3-A6A5-B341235FCC38}"/>
    <cellStyle name="Normal 2 7 4 2 3 8" xfId="34952" xr:uid="{08E45A47-0EEC-450B-A23D-18C225237441}"/>
    <cellStyle name="Normal 2 7 4 2 3 8 2" xfId="34953" xr:uid="{B9AAA951-8BDD-4B31-9A15-1F4270434651}"/>
    <cellStyle name="Normal 2 7 4 2 3 8 3" xfId="34954" xr:uid="{C7F27796-90F6-4CBB-8210-54E429DC4B7E}"/>
    <cellStyle name="Normal 2 7 4 2 3 8 4" xfId="34955" xr:uid="{42236113-D96B-496B-A08D-F4A4631F086C}"/>
    <cellStyle name="Normal 2 7 4 2 3 8 5" xfId="34956" xr:uid="{A2DA4BE2-3AFF-465B-8FDD-506660B3C64B}"/>
    <cellStyle name="Normal 2 7 4 2 3 9" xfId="34957" xr:uid="{ACFCD074-888A-4D0F-9616-073996E2AD61}"/>
    <cellStyle name="Normal 2 7 4 2 4" xfId="34958" xr:uid="{ECBE2D68-78FD-473C-B86B-8C1AD4716E2B}"/>
    <cellStyle name="Normal 2 7 4 2 4 2" xfId="34959" xr:uid="{6F8D4E33-0D03-4A97-8F87-B115651D5543}"/>
    <cellStyle name="Normal 2 7 4 2 4 2 2" xfId="34960" xr:uid="{66CFCDB9-60AF-416E-B97D-D7C0A4BE5B8E}"/>
    <cellStyle name="Normal 2 7 4 2 4 2 3" xfId="34961" xr:uid="{E48188B1-6A7C-4190-9111-E6AFF7430CFE}"/>
    <cellStyle name="Normal 2 7 4 2 4 2 4" xfId="34962" xr:uid="{56DEB7F8-D651-42D8-A80A-AE616211CF15}"/>
    <cellStyle name="Normal 2 7 4 2 4 2 5" xfId="34963" xr:uid="{7DA92EC5-ED62-466C-91EF-D653158DE338}"/>
    <cellStyle name="Normal 2 7 4 2 4 3" xfId="34964" xr:uid="{22F550DB-5893-4CE6-A317-E92B48C72175}"/>
    <cellStyle name="Normal 2 7 4 2 4 4" xfId="34965" xr:uid="{F8108DD0-614C-4AEC-A234-3801E6201FFF}"/>
    <cellStyle name="Normal 2 7 4 2 4 5" xfId="34966" xr:uid="{9F9EDF66-0640-47DD-9082-B0CAAEF450B0}"/>
    <cellStyle name="Normal 2 7 4 2 4 6" xfId="34967" xr:uid="{EEB3E869-4764-408A-B783-1BCAA3630F28}"/>
    <cellStyle name="Normal 2 7 4 2 5" xfId="34968" xr:uid="{2C26A60F-2152-4196-9A5A-5904DE86AF51}"/>
    <cellStyle name="Normal 2 7 4 2 5 2" xfId="34969" xr:uid="{4A4102B1-F4EE-4CA5-AE77-CCEE01546EEB}"/>
    <cellStyle name="Normal 2 7 4 2 5 2 2" xfId="34970" xr:uid="{B13CEF7B-9223-4248-9E4F-E81F0A909A99}"/>
    <cellStyle name="Normal 2 7 4 2 5 2 3" xfId="34971" xr:uid="{665C4035-FE7C-42F6-BB44-B5C61E9E9FE4}"/>
    <cellStyle name="Normal 2 7 4 2 5 2 4" xfId="34972" xr:uid="{82FAEA14-0557-4195-95D9-9EA52209AD0E}"/>
    <cellStyle name="Normal 2 7 4 2 5 2 5" xfId="34973" xr:uid="{CC4D84CD-C452-4A17-85B5-6D35172D6AFF}"/>
    <cellStyle name="Normal 2 7 4 2 5 3" xfId="34974" xr:uid="{975B7D3C-914D-4FDE-B1B5-FFF2DDB6875C}"/>
    <cellStyle name="Normal 2 7 4 2 5 4" xfId="34975" xr:uid="{82FC2E00-33F5-48D5-A066-543E733342B9}"/>
    <cellStyle name="Normal 2 7 4 2 5 5" xfId="34976" xr:uid="{1527D1F6-E0D1-44C3-9621-71E4949EB1FF}"/>
    <cellStyle name="Normal 2 7 4 2 5 6" xfId="34977" xr:uid="{5645EF79-2790-441B-9F39-80E79494659E}"/>
    <cellStyle name="Normal 2 7 4 2 6" xfId="34978" xr:uid="{8224AC49-BFEF-40A3-A3B5-348D532E9F54}"/>
    <cellStyle name="Normal 2 7 4 2 6 2" xfId="34979" xr:uid="{989F91BF-356D-4D4E-9E0F-B4ED17377CB5}"/>
    <cellStyle name="Normal 2 7 4 2 6 2 2" xfId="34980" xr:uid="{26BA7B9C-CBF3-45C8-94D8-F1450005A525}"/>
    <cellStyle name="Normal 2 7 4 2 6 2 3" xfId="34981" xr:uid="{19D48A8C-E53A-42F6-B42F-3FFAE451CE29}"/>
    <cellStyle name="Normal 2 7 4 2 6 2 4" xfId="34982" xr:uid="{48D99484-9ECD-40B0-A434-FFD3CF939DF5}"/>
    <cellStyle name="Normal 2 7 4 2 6 2 5" xfId="34983" xr:uid="{6CA4620F-7CDB-4394-80AD-9DC4063EBBFE}"/>
    <cellStyle name="Normal 2 7 4 2 6 3" xfId="34984" xr:uid="{9FD39169-4DFB-4904-9E41-067173AA7223}"/>
    <cellStyle name="Normal 2 7 4 2 6 4" xfId="34985" xr:uid="{B6C46F7F-30F5-426C-98CB-5459F6F65EF0}"/>
    <cellStyle name="Normal 2 7 4 2 6 5" xfId="34986" xr:uid="{72CB5FCD-FB8A-4827-A3C5-51649F7B25DC}"/>
    <cellStyle name="Normal 2 7 4 2 6 6" xfId="34987" xr:uid="{000E3592-9C6C-430B-A5D7-8E865F0761AE}"/>
    <cellStyle name="Normal 2 7 4 2 7" xfId="34988" xr:uid="{4271836F-E5A5-4028-A25C-647AAF5F523B}"/>
    <cellStyle name="Normal 2 7 4 2 7 2" xfId="34989" xr:uid="{4578AB59-9E58-495D-8D3C-0A9A40E7005C}"/>
    <cellStyle name="Normal 2 7 4 2 7 3" xfId="34990" xr:uid="{D20A1AE0-CCAD-4ED7-88B0-97285071D862}"/>
    <cellStyle name="Normal 2 7 4 2 7 4" xfId="34991" xr:uid="{9B870386-FF43-4B12-AE8E-23AE2BB9E3A7}"/>
    <cellStyle name="Normal 2 7 4 2 7 5" xfId="34992" xr:uid="{4440DD29-D4E5-43CE-BAAF-4D1302675F8F}"/>
    <cellStyle name="Normal 2 7 4 2 8" xfId="34993" xr:uid="{07A82D58-EC9A-4271-AAED-32B6A77F9843}"/>
    <cellStyle name="Normal 2 7 4 2 8 2" xfId="34994" xr:uid="{61165638-8976-400D-9EC3-F098C875D38C}"/>
    <cellStyle name="Normal 2 7 4 2 8 3" xfId="34995" xr:uid="{76475ACE-EBBB-44AC-8C2D-1A195604E0A8}"/>
    <cellStyle name="Normal 2 7 4 2 8 4" xfId="34996" xr:uid="{ED8088DF-115C-4AB7-A220-7561BFFA07F5}"/>
    <cellStyle name="Normal 2 7 4 2 8 5" xfId="34997" xr:uid="{C59AB46E-8374-4110-BBDB-CD9F9AB9084C}"/>
    <cellStyle name="Normal 2 7 4 2 9" xfId="34998" xr:uid="{55199339-DC5B-4C69-90CA-76556BF9D593}"/>
    <cellStyle name="Normal 2 7 4 2 9 2" xfId="34999" xr:uid="{427B1F80-6AC2-416D-A516-173E0F05C264}"/>
    <cellStyle name="Normal 2 7 4 2 9 3" xfId="35000" xr:uid="{D140599D-3908-4DCA-A1CB-B874B1835337}"/>
    <cellStyle name="Normal 2 7 4 2 9 4" xfId="35001" xr:uid="{0BB7B95B-0D06-41FF-B67B-701487E70229}"/>
    <cellStyle name="Normal 2 7 4 2 9 5" xfId="35002" xr:uid="{E6E0DEA3-D351-4D9A-90B0-464CC5632ECB}"/>
    <cellStyle name="Normal 2 7 4 3" xfId="35003" xr:uid="{B1F69095-AEBC-4B35-820F-71F260B17C67}"/>
    <cellStyle name="Normal 2 7 4 3 10" xfId="35004" xr:uid="{B7DFE57D-782C-49E3-8FFC-B88AE1E9EA8D}"/>
    <cellStyle name="Normal 2 7 4 3 11" xfId="35005" xr:uid="{7D130684-2F61-49D1-AF0D-54C38D178A02}"/>
    <cellStyle name="Normal 2 7 4 3 12" xfId="35006" xr:uid="{03FE3DD5-EF0C-4BB5-8689-877E87C4BA88}"/>
    <cellStyle name="Normal 2 7 4 3 13" xfId="35007" xr:uid="{5C61659F-41EC-45D9-A0C4-8F4C3D099492}"/>
    <cellStyle name="Normal 2 7 4 3 2" xfId="35008" xr:uid="{FFE32576-6310-4751-BAEE-B1F4A9B5EB2A}"/>
    <cellStyle name="Normal 2 7 4 3 2 10" xfId="35009" xr:uid="{6119AD13-338D-448F-A84D-141D052D1360}"/>
    <cellStyle name="Normal 2 7 4 3 2 11" xfId="35010" xr:uid="{4AE6F161-6286-4D8B-ACAD-41D24414A38F}"/>
    <cellStyle name="Normal 2 7 4 3 2 12" xfId="35011" xr:uid="{CE88F277-7B31-460B-8B7E-451120942D64}"/>
    <cellStyle name="Normal 2 7 4 3 2 2" xfId="35012" xr:uid="{EFCA9E02-C546-4610-9C69-F90296AEE2D3}"/>
    <cellStyle name="Normal 2 7 4 3 2 2 2" xfId="35013" xr:uid="{4685E90F-C9A7-4A9B-9463-A899E48E0288}"/>
    <cellStyle name="Normal 2 7 4 3 2 2 2 2" xfId="35014" xr:uid="{99079FEE-3592-4BEF-96A0-EC5B6B8337AE}"/>
    <cellStyle name="Normal 2 7 4 3 2 2 2 3" xfId="35015" xr:uid="{1EF6B16F-BF1C-4DE6-A4B2-7CDB1DC55477}"/>
    <cellStyle name="Normal 2 7 4 3 2 2 2 4" xfId="35016" xr:uid="{5363C155-8044-4ECD-897E-9A0ACBA8D0F9}"/>
    <cellStyle name="Normal 2 7 4 3 2 2 2 5" xfId="35017" xr:uid="{27CAEC28-D5B5-4814-91BD-D4E40E741674}"/>
    <cellStyle name="Normal 2 7 4 3 2 2 3" xfId="35018" xr:uid="{BB963717-0FD5-42F9-BEA7-9F5EF0204C94}"/>
    <cellStyle name="Normal 2 7 4 3 2 2 4" xfId="35019" xr:uid="{2366D67E-577C-473A-B0C2-62EF155B0C28}"/>
    <cellStyle name="Normal 2 7 4 3 2 2 5" xfId="35020" xr:uid="{E127AC20-A0D9-465D-AFE7-ED1731829E1C}"/>
    <cellStyle name="Normal 2 7 4 3 2 2 6" xfId="35021" xr:uid="{1E45CD78-AA69-4325-B7B8-103CD1EF736D}"/>
    <cellStyle name="Normal 2 7 4 3 2 3" xfId="35022" xr:uid="{1876C890-6A1A-4EA3-A575-F6B36AB741A0}"/>
    <cellStyle name="Normal 2 7 4 3 2 3 2" xfId="35023" xr:uid="{98D1F05F-E952-43ED-861E-280FE01FC089}"/>
    <cellStyle name="Normal 2 7 4 3 2 3 2 2" xfId="35024" xr:uid="{184E2803-AC42-4300-8904-FB61C4BD9A29}"/>
    <cellStyle name="Normal 2 7 4 3 2 3 2 3" xfId="35025" xr:uid="{A0C25444-CE18-4E82-BDE0-56DA477F17FC}"/>
    <cellStyle name="Normal 2 7 4 3 2 3 2 4" xfId="35026" xr:uid="{FCFC0BD5-4904-4BCC-BA3C-4DA764D6227D}"/>
    <cellStyle name="Normal 2 7 4 3 2 3 2 5" xfId="35027" xr:uid="{EE12491D-2EAB-4C15-A045-17CE34598D2D}"/>
    <cellStyle name="Normal 2 7 4 3 2 3 3" xfId="35028" xr:uid="{140F6700-0C06-484D-99CF-15FC711B4B60}"/>
    <cellStyle name="Normal 2 7 4 3 2 3 4" xfId="35029" xr:uid="{58782CBD-549D-42DD-99AA-CA71A8C0D53F}"/>
    <cellStyle name="Normal 2 7 4 3 2 3 5" xfId="35030" xr:uid="{8156E45C-FE80-4621-8B97-973EF04CFCEE}"/>
    <cellStyle name="Normal 2 7 4 3 2 3 6" xfId="35031" xr:uid="{16B264F4-D539-4F5E-9E97-6F0C9E89FC78}"/>
    <cellStyle name="Normal 2 7 4 3 2 4" xfId="35032" xr:uid="{F54AC3DC-5E84-48D5-87D4-0311989B7374}"/>
    <cellStyle name="Normal 2 7 4 3 2 4 2" xfId="35033" xr:uid="{E283D072-A718-41C2-BBA2-0B35AFE76D42}"/>
    <cellStyle name="Normal 2 7 4 3 2 4 2 2" xfId="35034" xr:uid="{CF98452D-42D1-416F-8995-3ECA7482367B}"/>
    <cellStyle name="Normal 2 7 4 3 2 4 2 3" xfId="35035" xr:uid="{A285A484-A997-4650-BE81-2E95B96117A7}"/>
    <cellStyle name="Normal 2 7 4 3 2 4 2 4" xfId="35036" xr:uid="{1D63A896-1B45-44F7-8646-8ADC16CB00EC}"/>
    <cellStyle name="Normal 2 7 4 3 2 4 2 5" xfId="35037" xr:uid="{3E12813C-60BD-4482-B4D9-E6F7AB003459}"/>
    <cellStyle name="Normal 2 7 4 3 2 4 3" xfId="35038" xr:uid="{2B258AF2-1492-43E1-91DD-31B3A4D1C25C}"/>
    <cellStyle name="Normal 2 7 4 3 2 4 4" xfId="35039" xr:uid="{DD957633-979B-486B-9A22-3C08933D5ADC}"/>
    <cellStyle name="Normal 2 7 4 3 2 4 5" xfId="35040" xr:uid="{D99B0CD3-B24C-4AA5-A325-86B723C7E191}"/>
    <cellStyle name="Normal 2 7 4 3 2 4 6" xfId="35041" xr:uid="{44F3569A-CAE7-444D-AC61-8459DBCFBAB9}"/>
    <cellStyle name="Normal 2 7 4 3 2 5" xfId="35042" xr:uid="{5B651C4B-C3F4-4BFC-A5E8-E37388846F37}"/>
    <cellStyle name="Normal 2 7 4 3 2 5 2" xfId="35043" xr:uid="{0B34C73B-1185-4B51-A42D-C2D4EE54308B}"/>
    <cellStyle name="Normal 2 7 4 3 2 5 3" xfId="35044" xr:uid="{B1379335-7BCD-4E77-83E0-F50C30B8C90F}"/>
    <cellStyle name="Normal 2 7 4 3 2 5 4" xfId="35045" xr:uid="{6E1857DE-26F8-4981-8F8D-176CB821E76F}"/>
    <cellStyle name="Normal 2 7 4 3 2 5 5" xfId="35046" xr:uid="{C5829B2C-0FF0-44D3-9B81-8A5ADC5E2309}"/>
    <cellStyle name="Normal 2 7 4 3 2 6" xfId="35047" xr:uid="{AC386CAD-6BC6-49AC-909F-870F0EEE1426}"/>
    <cellStyle name="Normal 2 7 4 3 2 6 2" xfId="35048" xr:uid="{851FCA4E-62D4-4C66-9F3D-B2E33915A147}"/>
    <cellStyle name="Normal 2 7 4 3 2 6 3" xfId="35049" xr:uid="{F4A71D50-9863-4479-A423-E7F21AC89C00}"/>
    <cellStyle name="Normal 2 7 4 3 2 6 4" xfId="35050" xr:uid="{B9D705BB-67DD-4B07-9032-93671AA0B65F}"/>
    <cellStyle name="Normal 2 7 4 3 2 6 5" xfId="35051" xr:uid="{BA0BFF8E-3EA9-46BB-9983-803D3062E91B}"/>
    <cellStyle name="Normal 2 7 4 3 2 7" xfId="35052" xr:uid="{552564CB-F156-4E57-A665-07C7623A9146}"/>
    <cellStyle name="Normal 2 7 4 3 2 7 2" xfId="35053" xr:uid="{05BB77F3-FD74-4F70-B4A7-EEF1EC944B41}"/>
    <cellStyle name="Normal 2 7 4 3 2 7 3" xfId="35054" xr:uid="{CB955BC2-40C0-4C69-9EEE-344E18D30B3E}"/>
    <cellStyle name="Normal 2 7 4 3 2 7 4" xfId="35055" xr:uid="{92B78248-77E8-4F88-87EE-3D897AB6E6BE}"/>
    <cellStyle name="Normal 2 7 4 3 2 7 5" xfId="35056" xr:uid="{4BC4D037-2F97-4BBF-8D80-A6075F5118E4}"/>
    <cellStyle name="Normal 2 7 4 3 2 8" xfId="35057" xr:uid="{6F3EE16C-B4AE-4362-89DB-8A9CFFB584A0}"/>
    <cellStyle name="Normal 2 7 4 3 2 8 2" xfId="35058" xr:uid="{CE7F9BE5-8B9C-4EA5-A9E9-264A36FFE4A1}"/>
    <cellStyle name="Normal 2 7 4 3 2 8 3" xfId="35059" xr:uid="{8DE7AB00-0B18-48F6-A109-22A5B89EDC3B}"/>
    <cellStyle name="Normal 2 7 4 3 2 8 4" xfId="35060" xr:uid="{713DDAED-1A83-4F38-9F13-D891A479C301}"/>
    <cellStyle name="Normal 2 7 4 3 2 8 5" xfId="35061" xr:uid="{A49C939D-9FF1-4316-AB95-E730C61FD6BD}"/>
    <cellStyle name="Normal 2 7 4 3 2 9" xfId="35062" xr:uid="{9F32C168-F705-4177-A604-9DE5D69E1B98}"/>
    <cellStyle name="Normal 2 7 4 3 3" xfId="35063" xr:uid="{788F3530-638C-4E2E-A630-9CAE20E35EB6}"/>
    <cellStyle name="Normal 2 7 4 3 3 2" xfId="35064" xr:uid="{5C031245-5C79-4777-8EAE-90F97603BA2B}"/>
    <cellStyle name="Normal 2 7 4 3 3 2 2" xfId="35065" xr:uid="{D48DFACF-65B2-4857-9B86-6940CA713356}"/>
    <cellStyle name="Normal 2 7 4 3 3 2 3" xfId="35066" xr:uid="{8E443F27-25C7-4F03-96C1-465493BC0834}"/>
    <cellStyle name="Normal 2 7 4 3 3 2 4" xfId="35067" xr:uid="{8FC8D3B0-D446-45D9-8A13-ADD7EB3F80E4}"/>
    <cellStyle name="Normal 2 7 4 3 3 2 5" xfId="35068" xr:uid="{F670DC2B-363A-4654-A99D-475C853FDA35}"/>
    <cellStyle name="Normal 2 7 4 3 3 3" xfId="35069" xr:uid="{E05EABCD-E081-4B38-A036-37BA26A27F71}"/>
    <cellStyle name="Normal 2 7 4 3 3 4" xfId="35070" xr:uid="{46777691-9B05-45EE-8966-3B331CA0E4EB}"/>
    <cellStyle name="Normal 2 7 4 3 3 5" xfId="35071" xr:uid="{08F3B29D-27B4-4FF6-B0D0-3A2105932965}"/>
    <cellStyle name="Normal 2 7 4 3 3 6" xfId="35072" xr:uid="{BC36C3E9-0BF5-4A37-9264-6402082B596D}"/>
    <cellStyle name="Normal 2 7 4 3 4" xfId="35073" xr:uid="{3B39B2BF-1CD5-45CC-8907-FE967273DB37}"/>
    <cellStyle name="Normal 2 7 4 3 4 2" xfId="35074" xr:uid="{4FA9A4AF-5C18-4274-A4F0-3286604B07BF}"/>
    <cellStyle name="Normal 2 7 4 3 4 2 2" xfId="35075" xr:uid="{2040B20F-5226-471A-8A5F-813E2D141155}"/>
    <cellStyle name="Normal 2 7 4 3 4 2 3" xfId="35076" xr:uid="{9BFF8E68-36D7-42AD-99F4-078A42C43D2C}"/>
    <cellStyle name="Normal 2 7 4 3 4 2 4" xfId="35077" xr:uid="{2A46C916-C3FD-4EAB-868D-3C24D6C5C53F}"/>
    <cellStyle name="Normal 2 7 4 3 4 2 5" xfId="35078" xr:uid="{10110A32-9CAA-4B46-A47B-F3AC27AE3EA8}"/>
    <cellStyle name="Normal 2 7 4 3 4 3" xfId="35079" xr:uid="{0DBAFFB0-B9A8-4FF5-801E-904802B047A4}"/>
    <cellStyle name="Normal 2 7 4 3 4 4" xfId="35080" xr:uid="{876465C5-E680-4C95-8F7A-B47902E62DDD}"/>
    <cellStyle name="Normal 2 7 4 3 4 5" xfId="35081" xr:uid="{E27E8325-B09E-441C-9AA1-46F6AC172593}"/>
    <cellStyle name="Normal 2 7 4 3 4 6" xfId="35082" xr:uid="{8999B0D9-2E61-4856-952C-6753E2A9C96A}"/>
    <cellStyle name="Normal 2 7 4 3 5" xfId="35083" xr:uid="{8D118B18-3976-4889-A964-0BED85F06F1E}"/>
    <cellStyle name="Normal 2 7 4 3 5 2" xfId="35084" xr:uid="{170D4781-6B1B-468B-B7A7-192812A10DED}"/>
    <cellStyle name="Normal 2 7 4 3 5 2 2" xfId="35085" xr:uid="{68F30DF2-F0F3-461A-A56B-66ABC01EFA50}"/>
    <cellStyle name="Normal 2 7 4 3 5 2 3" xfId="35086" xr:uid="{DE8EFA36-7BEE-4842-A7AF-CEE45ADAA20E}"/>
    <cellStyle name="Normal 2 7 4 3 5 2 4" xfId="35087" xr:uid="{44102FCD-D11C-4893-87E8-8CA14239FA55}"/>
    <cellStyle name="Normal 2 7 4 3 5 2 5" xfId="35088" xr:uid="{C2BCA722-ADC1-4E7F-8965-4BEE8DE5E131}"/>
    <cellStyle name="Normal 2 7 4 3 5 3" xfId="35089" xr:uid="{485C9ABB-D6AA-4ACF-AA86-0F2D337515BA}"/>
    <cellStyle name="Normal 2 7 4 3 5 4" xfId="35090" xr:uid="{61D394A8-F97C-47EE-BF13-E0A0C4D859FA}"/>
    <cellStyle name="Normal 2 7 4 3 5 5" xfId="35091" xr:uid="{699BACE7-B000-4EE2-98A1-CFFA1C8774A8}"/>
    <cellStyle name="Normal 2 7 4 3 5 6" xfId="35092" xr:uid="{8E6FDE33-3B5E-49D2-89B7-8C4AAF77B31C}"/>
    <cellStyle name="Normal 2 7 4 3 6" xfId="35093" xr:uid="{3087CC56-A0C8-4C34-B115-A75E2536F2AB}"/>
    <cellStyle name="Normal 2 7 4 3 6 2" xfId="35094" xr:uid="{8BB2113C-FCA1-4399-9FEB-6B3CF51F6594}"/>
    <cellStyle name="Normal 2 7 4 3 6 3" xfId="35095" xr:uid="{BD6E46A9-3525-4DBF-8A1E-BCB2003DE89C}"/>
    <cellStyle name="Normal 2 7 4 3 6 4" xfId="35096" xr:uid="{8ADD4BB2-51AD-4260-A255-C6A498FFB7B5}"/>
    <cellStyle name="Normal 2 7 4 3 6 5" xfId="35097" xr:uid="{4CD06F52-EE58-4E20-A177-99BBF66E6C7F}"/>
    <cellStyle name="Normal 2 7 4 3 7" xfId="35098" xr:uid="{1847CAF0-E0B2-4979-AD81-5067F57FCC75}"/>
    <cellStyle name="Normal 2 7 4 3 7 2" xfId="35099" xr:uid="{9AC38E8D-D04B-47E4-93AF-FEC31F3FD85D}"/>
    <cellStyle name="Normal 2 7 4 3 7 3" xfId="35100" xr:uid="{25B054C4-08DF-47E9-997A-69A531E1ECBE}"/>
    <cellStyle name="Normal 2 7 4 3 7 4" xfId="35101" xr:uid="{678D2498-6126-4893-B69A-4BE77F02BF81}"/>
    <cellStyle name="Normal 2 7 4 3 7 5" xfId="35102" xr:uid="{E4004612-4368-419B-9E7F-47CDD0CCA4E4}"/>
    <cellStyle name="Normal 2 7 4 3 8" xfId="35103" xr:uid="{EF2FE5DD-6FD2-4DBF-8EDE-76CD7C08DF97}"/>
    <cellStyle name="Normal 2 7 4 3 8 2" xfId="35104" xr:uid="{BB2D0C14-B55D-49C6-B02F-70D35F2EE2D5}"/>
    <cellStyle name="Normal 2 7 4 3 8 3" xfId="35105" xr:uid="{7651E7B7-C17A-4656-B2F2-0E22F1BCA70F}"/>
    <cellStyle name="Normal 2 7 4 3 8 4" xfId="35106" xr:uid="{9B4CF15C-F7D9-460A-943B-728F0B9D7ECF}"/>
    <cellStyle name="Normal 2 7 4 3 8 5" xfId="35107" xr:uid="{30E6431A-FBF8-4FF8-B1AE-7F12F31794D2}"/>
    <cellStyle name="Normal 2 7 4 3 9" xfId="35108" xr:uid="{E834B578-9785-4436-A7D2-28614F891860}"/>
    <cellStyle name="Normal 2 7 4 3 9 2" xfId="35109" xr:uid="{B4FDEE3D-B899-4B8A-97DD-30C52BC67F53}"/>
    <cellStyle name="Normal 2 7 4 3 9 3" xfId="35110" xr:uid="{887422E4-99EF-4B92-94FA-84A210B556CB}"/>
    <cellStyle name="Normal 2 7 4 3 9 4" xfId="35111" xr:uid="{665A6ADB-D728-41BF-AD7A-81D5B6B73D37}"/>
    <cellStyle name="Normal 2 7 4 3 9 5" xfId="35112" xr:uid="{E5CE3ED4-F5F4-4747-97B0-E37C9DAA39DE}"/>
    <cellStyle name="Normal 2 7 4 4" xfId="35113" xr:uid="{0A7AAC66-9334-4A44-A634-ABB8C2DC419A}"/>
    <cellStyle name="Normal 2 7 4 4 10" xfId="35114" xr:uid="{849DCE38-E41A-472D-91D3-96A342A3FC4F}"/>
    <cellStyle name="Normal 2 7 4 4 11" xfId="35115" xr:uid="{B419D67A-6BF9-4DAC-892E-00941A43AD89}"/>
    <cellStyle name="Normal 2 7 4 4 12" xfId="35116" xr:uid="{D2570015-67BF-47C7-A06B-F7DC1AD07F6B}"/>
    <cellStyle name="Normal 2 7 4 4 2" xfId="35117" xr:uid="{03E413FC-9CA0-445F-AA10-22ABE60EA56F}"/>
    <cellStyle name="Normal 2 7 4 4 2 2" xfId="35118" xr:uid="{4D726C0C-61E0-466F-A61A-7C425BE5F7E6}"/>
    <cellStyle name="Normal 2 7 4 4 2 2 2" xfId="35119" xr:uid="{7709B393-B11D-460C-AD78-D7E030800207}"/>
    <cellStyle name="Normal 2 7 4 4 2 2 3" xfId="35120" xr:uid="{9DF7468F-C742-4175-B07A-C4802681D245}"/>
    <cellStyle name="Normal 2 7 4 4 2 2 4" xfId="35121" xr:uid="{BF46B0D9-3D01-4BEA-B5E1-6981CFEBA865}"/>
    <cellStyle name="Normal 2 7 4 4 2 2 5" xfId="35122" xr:uid="{31E44E70-9AED-424A-A4AA-53F20D466E1A}"/>
    <cellStyle name="Normal 2 7 4 4 2 3" xfId="35123" xr:uid="{903A8F38-80A2-4B2B-80DE-CA6C15E76DF7}"/>
    <cellStyle name="Normal 2 7 4 4 2 4" xfId="35124" xr:uid="{19FDD6D1-A93D-40DC-82DB-EF8A8602B4E6}"/>
    <cellStyle name="Normal 2 7 4 4 2 5" xfId="35125" xr:uid="{57552D89-BE69-4486-B17E-A46679670C5C}"/>
    <cellStyle name="Normal 2 7 4 4 2 6" xfId="35126" xr:uid="{7C1F083C-8B3E-4401-B541-FFBE8B54B07B}"/>
    <cellStyle name="Normal 2 7 4 4 3" xfId="35127" xr:uid="{129CECF8-A6D4-4AE6-8E58-7ED09F4E9CC6}"/>
    <cellStyle name="Normal 2 7 4 4 3 2" xfId="35128" xr:uid="{7B89F428-68ED-4AF5-812F-EC3F47E468DB}"/>
    <cellStyle name="Normal 2 7 4 4 3 2 2" xfId="35129" xr:uid="{53616095-88DF-4EDE-84A9-9F39CE79625A}"/>
    <cellStyle name="Normal 2 7 4 4 3 2 3" xfId="35130" xr:uid="{1415AED8-160D-42DF-8002-5D7A37AF9B79}"/>
    <cellStyle name="Normal 2 7 4 4 3 2 4" xfId="35131" xr:uid="{4B700B83-4E1E-420E-94A6-171FF4A116EB}"/>
    <cellStyle name="Normal 2 7 4 4 3 2 5" xfId="35132" xr:uid="{42384090-0AFB-4C59-8B22-75DF2B9AEA1C}"/>
    <cellStyle name="Normal 2 7 4 4 3 3" xfId="35133" xr:uid="{79289F84-F65B-4921-8919-0AFFD6065F3C}"/>
    <cellStyle name="Normal 2 7 4 4 3 4" xfId="35134" xr:uid="{C0B7A38E-A76F-4D15-9F92-751D04AC3D89}"/>
    <cellStyle name="Normal 2 7 4 4 3 5" xfId="35135" xr:uid="{16C0A8F6-CA8F-4B4F-9372-5F065F01E257}"/>
    <cellStyle name="Normal 2 7 4 4 3 6" xfId="35136" xr:uid="{6B398DDB-DA79-4D94-9A50-1462A246171A}"/>
    <cellStyle name="Normal 2 7 4 4 4" xfId="35137" xr:uid="{03CB210F-C6FC-4BF8-89E8-1B01CCCF1A20}"/>
    <cellStyle name="Normal 2 7 4 4 4 2" xfId="35138" xr:uid="{B1C86B69-B504-46D1-8D7C-BC0995BE7160}"/>
    <cellStyle name="Normal 2 7 4 4 4 2 2" xfId="35139" xr:uid="{02114CDC-CBE6-4E35-8E8E-1D9FA7F48EA2}"/>
    <cellStyle name="Normal 2 7 4 4 4 2 3" xfId="35140" xr:uid="{31D5F348-BC45-472D-80F1-283888D8E127}"/>
    <cellStyle name="Normal 2 7 4 4 4 2 4" xfId="35141" xr:uid="{D353235C-C9F7-4941-8B44-537C471AA666}"/>
    <cellStyle name="Normal 2 7 4 4 4 2 5" xfId="35142" xr:uid="{762F1E27-BA86-4DFD-A324-AC7E9C90B76B}"/>
    <cellStyle name="Normal 2 7 4 4 4 3" xfId="35143" xr:uid="{4ED3141E-9401-45AA-A64D-9D5630FE875B}"/>
    <cellStyle name="Normal 2 7 4 4 4 4" xfId="35144" xr:uid="{411C6F4F-F171-4B07-B636-C72950E5B735}"/>
    <cellStyle name="Normal 2 7 4 4 4 5" xfId="35145" xr:uid="{638A0158-2F90-41C4-BA9E-8D08FA2052F7}"/>
    <cellStyle name="Normal 2 7 4 4 4 6" xfId="35146" xr:uid="{688C8663-6083-4740-AD93-35227F4EEADD}"/>
    <cellStyle name="Normal 2 7 4 4 5" xfId="35147" xr:uid="{3C902516-750A-4778-B482-BF96E492D3EC}"/>
    <cellStyle name="Normal 2 7 4 4 5 2" xfId="35148" xr:uid="{76509BCF-87A4-4BF7-A4A7-54107AFB7CD6}"/>
    <cellStyle name="Normal 2 7 4 4 5 3" xfId="35149" xr:uid="{92FA8D0D-1456-4540-81C4-5D73B56E9096}"/>
    <cellStyle name="Normal 2 7 4 4 5 4" xfId="35150" xr:uid="{3D869841-D2E7-4927-BA77-EBA61B330E46}"/>
    <cellStyle name="Normal 2 7 4 4 5 5" xfId="35151" xr:uid="{5670C9BC-82EC-4C7F-9977-F21B122D0615}"/>
    <cellStyle name="Normal 2 7 4 4 6" xfId="35152" xr:uid="{F788CC6F-16E0-4846-9EFC-BFBD44D47BCB}"/>
    <cellStyle name="Normal 2 7 4 4 6 2" xfId="35153" xr:uid="{7EAC826A-4A86-45D7-8137-FF97E4DDBBE8}"/>
    <cellStyle name="Normal 2 7 4 4 6 3" xfId="35154" xr:uid="{256A65D4-1EBC-4A73-AAC6-9C339A7701B0}"/>
    <cellStyle name="Normal 2 7 4 4 6 4" xfId="35155" xr:uid="{A6DFBF60-E567-4B11-BA7B-0ECDA3821683}"/>
    <cellStyle name="Normal 2 7 4 4 6 5" xfId="35156" xr:uid="{69B024CA-B51A-4DA1-A7D9-C9C537AF5B89}"/>
    <cellStyle name="Normal 2 7 4 4 7" xfId="35157" xr:uid="{9FEFBA94-2020-464B-ADE5-23DA49567D44}"/>
    <cellStyle name="Normal 2 7 4 4 7 2" xfId="35158" xr:uid="{AA520D8E-EFE3-4F74-8E34-3C9C98997604}"/>
    <cellStyle name="Normal 2 7 4 4 7 3" xfId="35159" xr:uid="{65DE646F-6685-4BC8-B1AB-75B23BC53E57}"/>
    <cellStyle name="Normal 2 7 4 4 7 4" xfId="35160" xr:uid="{0E189ACA-CA78-434A-9B64-38585CC6A557}"/>
    <cellStyle name="Normal 2 7 4 4 7 5" xfId="35161" xr:uid="{B2B8C2FF-418E-4F1C-9842-50B6A5D074FF}"/>
    <cellStyle name="Normal 2 7 4 4 8" xfId="35162" xr:uid="{9A1D9EB3-A789-4253-9B08-E33F92023C85}"/>
    <cellStyle name="Normal 2 7 4 4 8 2" xfId="35163" xr:uid="{DA09129F-E831-4404-89C2-CAD4D8AC12DF}"/>
    <cellStyle name="Normal 2 7 4 4 8 3" xfId="35164" xr:uid="{E7A3BE12-33B4-42D1-B48F-1EA3572FD859}"/>
    <cellStyle name="Normal 2 7 4 4 8 4" xfId="35165" xr:uid="{9513C451-0E5E-4E88-A824-6BBA5252D052}"/>
    <cellStyle name="Normal 2 7 4 4 8 5" xfId="35166" xr:uid="{03128D24-2825-41BA-A8D7-0A5FD3EB8166}"/>
    <cellStyle name="Normal 2 7 4 4 9" xfId="35167" xr:uid="{217B6C5B-834D-47BD-A64E-C344DF7493F3}"/>
    <cellStyle name="Normal 2 7 4 5" xfId="35168" xr:uid="{E08E0E02-473D-4910-8677-F310DBD1ACD8}"/>
    <cellStyle name="Normal 2 7 4 5 2" xfId="35169" xr:uid="{B89FC7D6-69AA-46FB-A0B0-94E19C4A9377}"/>
    <cellStyle name="Normal 2 7 4 5 2 2" xfId="35170" xr:uid="{5AD65F2F-F151-49C7-B1BB-D503CBAE0109}"/>
    <cellStyle name="Normal 2 7 4 5 2 3" xfId="35171" xr:uid="{FDAA1244-B793-4569-969C-4D2DD0FC3836}"/>
    <cellStyle name="Normal 2 7 4 5 2 4" xfId="35172" xr:uid="{4D22658B-0D07-4A47-93F0-6935C25AF7AD}"/>
    <cellStyle name="Normal 2 7 4 5 2 5" xfId="35173" xr:uid="{4E47C39C-0B8E-4730-85AD-FFD4A7C9FF83}"/>
    <cellStyle name="Normal 2 7 4 5 3" xfId="35174" xr:uid="{3BD2FC5F-F685-45B1-92EB-2CE10B3AE6A8}"/>
    <cellStyle name="Normal 2 7 4 5 4" xfId="35175" xr:uid="{F47D8324-E0F3-4512-A697-2EB584024AEA}"/>
    <cellStyle name="Normal 2 7 4 5 5" xfId="35176" xr:uid="{51FD30FC-A2C3-4A8A-9924-754D31A741DE}"/>
    <cellStyle name="Normal 2 7 4 5 6" xfId="35177" xr:uid="{E9D21178-9815-4ADA-8141-2358548CB91B}"/>
    <cellStyle name="Normal 2 7 4 6" xfId="35178" xr:uid="{D70A1B48-0C48-4BC0-89B9-FFE4BADC455E}"/>
    <cellStyle name="Normal 2 7 4 6 2" xfId="35179" xr:uid="{44E41188-4B40-4D1B-9F90-F47BEDA20E46}"/>
    <cellStyle name="Normal 2 7 4 6 2 2" xfId="35180" xr:uid="{ACBAF287-790A-4C7A-99E1-D09EE8A485C0}"/>
    <cellStyle name="Normal 2 7 4 6 2 3" xfId="35181" xr:uid="{14FC91C2-0CB7-4172-8E62-AB5AF09E77CA}"/>
    <cellStyle name="Normal 2 7 4 6 2 4" xfId="35182" xr:uid="{EFAECF94-1A1B-4326-AB3E-693D07DDDF7F}"/>
    <cellStyle name="Normal 2 7 4 6 2 5" xfId="35183" xr:uid="{0C8E1D63-257B-46DD-A1D6-BCFEFEF1B4F1}"/>
    <cellStyle name="Normal 2 7 4 6 3" xfId="35184" xr:uid="{86515975-17E1-4C57-B0B4-65074A1EFCD8}"/>
    <cellStyle name="Normal 2 7 4 6 4" xfId="35185" xr:uid="{2BD11EE2-16B9-4CF5-B314-25C789126110}"/>
    <cellStyle name="Normal 2 7 4 6 5" xfId="35186" xr:uid="{A5458E98-1C5C-43EF-AEA2-A9E75D3842ED}"/>
    <cellStyle name="Normal 2 7 4 6 6" xfId="35187" xr:uid="{88A90528-EA69-47E1-A10F-C4840366C965}"/>
    <cellStyle name="Normal 2 7 4 7" xfId="35188" xr:uid="{00278DD8-40D9-4196-A1DE-ABE8FEE7B630}"/>
    <cellStyle name="Normal 2 7 4 7 2" xfId="35189" xr:uid="{F2248BE5-C473-4F25-BD4B-295668D1789E}"/>
    <cellStyle name="Normal 2 7 4 7 2 2" xfId="35190" xr:uid="{74F1A1EC-41F9-4281-95AB-7787231E6910}"/>
    <cellStyle name="Normal 2 7 4 7 2 3" xfId="35191" xr:uid="{ED922D8F-F5D8-4BF1-A797-654C41E46FC8}"/>
    <cellStyle name="Normal 2 7 4 7 2 4" xfId="35192" xr:uid="{A6C3B608-72EE-4109-AC0C-02C9F07F8691}"/>
    <cellStyle name="Normal 2 7 4 7 2 5" xfId="35193" xr:uid="{62FD6DE2-9FE0-4B05-9DE5-6DBC12435F43}"/>
    <cellStyle name="Normal 2 7 4 7 3" xfId="35194" xr:uid="{552AC449-6677-47F3-BD29-BDFE19F179D8}"/>
    <cellStyle name="Normal 2 7 4 7 4" xfId="35195" xr:uid="{E65D18A1-2731-4E18-B347-D16241F691DE}"/>
    <cellStyle name="Normal 2 7 4 7 5" xfId="35196" xr:uid="{D44BDC62-A559-40D8-A06B-FA3969C7CAFE}"/>
    <cellStyle name="Normal 2 7 4 7 6" xfId="35197" xr:uid="{C3AA1B2C-AB39-45E2-B04E-4DBDB62FCACF}"/>
    <cellStyle name="Normal 2 7 4 8" xfId="35198" xr:uid="{10469CBE-46F6-4633-88E5-55A9BC550923}"/>
    <cellStyle name="Normal 2 7 4 8 2" xfId="35199" xr:uid="{FEB70C46-B0C2-4C0C-BE6E-E083F221A219}"/>
    <cellStyle name="Normal 2 7 4 8 3" xfId="35200" xr:uid="{9C845494-1084-4490-9AC1-FC9183D31618}"/>
    <cellStyle name="Normal 2 7 4 8 4" xfId="35201" xr:uid="{6FAEFD3C-8EE8-469C-8908-26EE0F215465}"/>
    <cellStyle name="Normal 2 7 4 8 5" xfId="35202" xr:uid="{38BBAFDC-DFCB-4581-8896-164A300478B9}"/>
    <cellStyle name="Normal 2 7 4 9" xfId="35203" xr:uid="{7E66C380-6C23-4EB2-8371-90B394E19FE7}"/>
    <cellStyle name="Normal 2 7 4 9 2" xfId="35204" xr:uid="{51279917-D7D9-4C87-8C4C-33279F77CCAA}"/>
    <cellStyle name="Normal 2 7 4 9 3" xfId="35205" xr:uid="{D25F5811-0C9D-4B6F-A540-0CCB76EC7B8E}"/>
    <cellStyle name="Normal 2 7 4 9 4" xfId="35206" xr:uid="{3115DC81-C6C8-4A13-B895-9CEB8D55013B}"/>
    <cellStyle name="Normal 2 7 4 9 5" xfId="35207" xr:uid="{B8609DD9-2A92-425C-8D86-A47F58BD4D3D}"/>
    <cellStyle name="Normal 2 7 5" xfId="35208" xr:uid="{4EAC2D63-775B-4665-99B7-896150717DE7}"/>
    <cellStyle name="Normal 2 7 5 10" xfId="35209" xr:uid="{9D9F2B7B-41AD-439C-9DEA-FC64DB2DAC2E}"/>
    <cellStyle name="Normal 2 7 5 10 2" xfId="35210" xr:uid="{DEDCD7D4-4A19-4B11-A1A0-74B11576C4A2}"/>
    <cellStyle name="Normal 2 7 5 10 3" xfId="35211" xr:uid="{4B8C287B-879C-43EC-998C-3411D0751465}"/>
    <cellStyle name="Normal 2 7 5 10 4" xfId="35212" xr:uid="{DAA0DEAF-2C1A-4B7F-85B9-323E609F5997}"/>
    <cellStyle name="Normal 2 7 5 10 5" xfId="35213" xr:uid="{1DA76080-CDAD-4597-81F6-54DF37FE7A0C}"/>
    <cellStyle name="Normal 2 7 5 11" xfId="35214" xr:uid="{155D234E-E958-4115-8D84-E8BB078DBBA7}"/>
    <cellStyle name="Normal 2 7 5 12" xfId="35215" xr:uid="{F5783187-083A-4A50-938A-8D386948254E}"/>
    <cellStyle name="Normal 2 7 5 13" xfId="35216" xr:uid="{50FAA1BB-2860-4170-B502-F6CC87161C65}"/>
    <cellStyle name="Normal 2 7 5 14" xfId="35217" xr:uid="{8EE684F3-A3B5-4F7A-905B-EB0A9F861216}"/>
    <cellStyle name="Normal 2 7 5 2" xfId="35218" xr:uid="{040198F2-4D8E-40FA-AE27-112DC860D7AE}"/>
    <cellStyle name="Normal 2 7 5 2 10" xfId="35219" xr:uid="{BBBECE5B-90D0-4EFB-9192-445AECA2D824}"/>
    <cellStyle name="Normal 2 7 5 2 11" xfId="35220" xr:uid="{A5527640-54A8-4A1C-84E8-DC222BBDB4E9}"/>
    <cellStyle name="Normal 2 7 5 2 12" xfId="35221" xr:uid="{3B042135-B1A6-4581-AB80-DDC7C787FD39}"/>
    <cellStyle name="Normal 2 7 5 2 13" xfId="35222" xr:uid="{6650CAE7-53E8-4B05-B5F7-B16FC1F4D799}"/>
    <cellStyle name="Normal 2 7 5 2 2" xfId="35223" xr:uid="{9103B2F1-DABC-48D5-9DAF-08E528C5EC49}"/>
    <cellStyle name="Normal 2 7 5 2 2 10" xfId="35224" xr:uid="{2B9127FD-68B3-4A5A-81AC-4417F8DAB22C}"/>
    <cellStyle name="Normal 2 7 5 2 2 11" xfId="35225" xr:uid="{997B1583-0D50-4139-9715-8138DD658BF1}"/>
    <cellStyle name="Normal 2 7 5 2 2 12" xfId="35226" xr:uid="{7C6755CC-B3CF-4748-B883-E3C921CAB0F5}"/>
    <cellStyle name="Normal 2 7 5 2 2 2" xfId="35227" xr:uid="{5D589CC4-602F-4A12-BCF3-41BFE4A71A60}"/>
    <cellStyle name="Normal 2 7 5 2 2 2 2" xfId="35228" xr:uid="{E1225021-CE0E-4EC5-BE28-59F91712582B}"/>
    <cellStyle name="Normal 2 7 5 2 2 2 2 2" xfId="35229" xr:uid="{1DF413F8-5C1E-4997-B41C-8B09B32AF0D9}"/>
    <cellStyle name="Normal 2 7 5 2 2 2 2 3" xfId="35230" xr:uid="{16E16428-3930-44F9-866A-6A0F973D1C1D}"/>
    <cellStyle name="Normal 2 7 5 2 2 2 2 4" xfId="35231" xr:uid="{AFFC3B39-7AE1-46E3-ACC6-1548C085329F}"/>
    <cellStyle name="Normal 2 7 5 2 2 2 2 5" xfId="35232" xr:uid="{66C4DE35-79AD-437D-9125-98B05DECCBD2}"/>
    <cellStyle name="Normal 2 7 5 2 2 2 3" xfId="35233" xr:uid="{7463AD8F-AF21-4B4F-8088-1CC28D793D13}"/>
    <cellStyle name="Normal 2 7 5 2 2 2 4" xfId="35234" xr:uid="{443F8778-9918-4A9E-B828-C4CD4A56D8D8}"/>
    <cellStyle name="Normal 2 7 5 2 2 2 5" xfId="35235" xr:uid="{984AF226-D1A3-42A5-BE97-0D1608F80767}"/>
    <cellStyle name="Normal 2 7 5 2 2 2 6" xfId="35236" xr:uid="{BD15A30B-B176-4BFB-93E6-E72234116249}"/>
    <cellStyle name="Normal 2 7 5 2 2 3" xfId="35237" xr:uid="{444ACF12-4F68-4397-A868-32989769523F}"/>
    <cellStyle name="Normal 2 7 5 2 2 3 2" xfId="35238" xr:uid="{4E29E8C6-F273-4170-B7BF-B1BB4DA5B001}"/>
    <cellStyle name="Normal 2 7 5 2 2 3 2 2" xfId="35239" xr:uid="{05B8528B-0EF5-40CA-8F47-8ABDB3B0574D}"/>
    <cellStyle name="Normal 2 7 5 2 2 3 2 3" xfId="35240" xr:uid="{EFAB8AC5-7399-4170-90A8-4379C9D72A76}"/>
    <cellStyle name="Normal 2 7 5 2 2 3 2 4" xfId="35241" xr:uid="{484BD8FE-06A9-43BA-9C09-09D1CC9FA6E5}"/>
    <cellStyle name="Normal 2 7 5 2 2 3 2 5" xfId="35242" xr:uid="{C4C8C26D-D446-4187-9081-CAB5B808A8EE}"/>
    <cellStyle name="Normal 2 7 5 2 2 3 3" xfId="35243" xr:uid="{14021F81-6828-4560-B95A-C5961C6762F1}"/>
    <cellStyle name="Normal 2 7 5 2 2 3 4" xfId="35244" xr:uid="{E0A9E5C6-1577-4054-8D1F-5921A86AB36E}"/>
    <cellStyle name="Normal 2 7 5 2 2 3 5" xfId="35245" xr:uid="{11707479-3E69-4DBF-B3E9-1E079928DF16}"/>
    <cellStyle name="Normal 2 7 5 2 2 3 6" xfId="35246" xr:uid="{4204FE63-67F2-4B88-BBC0-9E58D040FEE7}"/>
    <cellStyle name="Normal 2 7 5 2 2 4" xfId="35247" xr:uid="{B19F837D-7568-4F9C-82CA-F458281F5E6F}"/>
    <cellStyle name="Normal 2 7 5 2 2 4 2" xfId="35248" xr:uid="{34C63286-5025-40AB-AA35-FA624CF9397B}"/>
    <cellStyle name="Normal 2 7 5 2 2 4 2 2" xfId="35249" xr:uid="{F471E7B4-0C5F-40F1-B266-962E7E339005}"/>
    <cellStyle name="Normal 2 7 5 2 2 4 2 3" xfId="35250" xr:uid="{79B7A038-FA09-4106-BA85-8BE7A62A4440}"/>
    <cellStyle name="Normal 2 7 5 2 2 4 2 4" xfId="35251" xr:uid="{38919765-E4C8-4A87-B4FC-988DA3CDE0D8}"/>
    <cellStyle name="Normal 2 7 5 2 2 4 2 5" xfId="35252" xr:uid="{FAA8993C-8982-4283-8988-E18B36396E43}"/>
    <cellStyle name="Normal 2 7 5 2 2 4 3" xfId="35253" xr:uid="{AFBD9ED0-F6A2-4D4B-BE4C-84E3F5CC2D2D}"/>
    <cellStyle name="Normal 2 7 5 2 2 4 4" xfId="35254" xr:uid="{4DD95D94-7CE4-491E-B78F-45646147D52F}"/>
    <cellStyle name="Normal 2 7 5 2 2 4 5" xfId="35255" xr:uid="{8DD6A1F1-BCA1-49C6-8235-757B75A04B22}"/>
    <cellStyle name="Normal 2 7 5 2 2 4 6" xfId="35256" xr:uid="{1C43ABE0-B989-4A49-9E12-7E5427531100}"/>
    <cellStyle name="Normal 2 7 5 2 2 5" xfId="35257" xr:uid="{6570A5F8-5C50-4C01-9DB7-22FD9B1B4B5A}"/>
    <cellStyle name="Normal 2 7 5 2 2 5 2" xfId="35258" xr:uid="{9374D642-09ED-4B69-8F20-68EA13AD1306}"/>
    <cellStyle name="Normal 2 7 5 2 2 5 3" xfId="35259" xr:uid="{23AE9277-C448-468C-B476-E84F259661B7}"/>
    <cellStyle name="Normal 2 7 5 2 2 5 4" xfId="35260" xr:uid="{759DEFD2-2BDC-4A78-BECF-D596560BBE89}"/>
    <cellStyle name="Normal 2 7 5 2 2 5 5" xfId="35261" xr:uid="{E66B3AE3-7A45-420C-A6DE-A0F7DCCC2207}"/>
    <cellStyle name="Normal 2 7 5 2 2 6" xfId="35262" xr:uid="{FD995846-FDAE-4D7E-9DA5-2593BA2EBA53}"/>
    <cellStyle name="Normal 2 7 5 2 2 6 2" xfId="35263" xr:uid="{249D34A0-FEBE-40FD-9E69-80D81570B53E}"/>
    <cellStyle name="Normal 2 7 5 2 2 6 3" xfId="35264" xr:uid="{A228E38C-DC88-4655-A161-D6BE8F4075B5}"/>
    <cellStyle name="Normal 2 7 5 2 2 6 4" xfId="35265" xr:uid="{B2CE9B71-F252-45FC-99A9-3359A73373B8}"/>
    <cellStyle name="Normal 2 7 5 2 2 6 5" xfId="35266" xr:uid="{2C4F21D5-9677-459D-A500-0FC0C6EC1EB3}"/>
    <cellStyle name="Normal 2 7 5 2 2 7" xfId="35267" xr:uid="{C9704E6F-2679-4361-9C8D-A5EEF535F48A}"/>
    <cellStyle name="Normal 2 7 5 2 2 7 2" xfId="35268" xr:uid="{EB08B699-A93D-42D8-8E41-791D13D61096}"/>
    <cellStyle name="Normal 2 7 5 2 2 7 3" xfId="35269" xr:uid="{6161D61C-C889-45E6-A32C-D1995DE4022A}"/>
    <cellStyle name="Normal 2 7 5 2 2 7 4" xfId="35270" xr:uid="{5932A679-AE26-4511-9DA1-C2CF8DCE1BDD}"/>
    <cellStyle name="Normal 2 7 5 2 2 7 5" xfId="35271" xr:uid="{7DE03D53-BF6B-4086-947F-EFF403D02031}"/>
    <cellStyle name="Normal 2 7 5 2 2 8" xfId="35272" xr:uid="{C0810BB6-7104-4444-993D-7E9921875F08}"/>
    <cellStyle name="Normal 2 7 5 2 2 8 2" xfId="35273" xr:uid="{25D3C613-BE44-4665-8F15-D5AC50737950}"/>
    <cellStyle name="Normal 2 7 5 2 2 8 3" xfId="35274" xr:uid="{9AD533B5-2CAB-45AF-A7DB-9ACA9E8E25D6}"/>
    <cellStyle name="Normal 2 7 5 2 2 8 4" xfId="35275" xr:uid="{9DB4720E-FC83-466D-B3AB-33A08A9CD83E}"/>
    <cellStyle name="Normal 2 7 5 2 2 8 5" xfId="35276" xr:uid="{4B5C4AF0-3410-4041-BBF4-855979172CC1}"/>
    <cellStyle name="Normal 2 7 5 2 2 9" xfId="35277" xr:uid="{15A66454-A5E6-4A18-AC92-6C5A3D174522}"/>
    <cellStyle name="Normal 2 7 5 2 3" xfId="35278" xr:uid="{EEFDD22E-6F7E-4617-BBFF-CBFE3369A528}"/>
    <cellStyle name="Normal 2 7 5 2 3 2" xfId="35279" xr:uid="{4550603D-7FB8-41F8-A3BD-09FC29C95888}"/>
    <cellStyle name="Normal 2 7 5 2 3 2 2" xfId="35280" xr:uid="{AD4CC851-453D-4559-91DB-91A3F9BEB779}"/>
    <cellStyle name="Normal 2 7 5 2 3 2 3" xfId="35281" xr:uid="{B62AD79C-0596-4C42-972A-63EFB19727EC}"/>
    <cellStyle name="Normal 2 7 5 2 3 2 4" xfId="35282" xr:uid="{BFD63125-8C35-4642-835C-26CDC5BDDBAA}"/>
    <cellStyle name="Normal 2 7 5 2 3 2 5" xfId="35283" xr:uid="{6381319A-9C57-419C-A306-C094445F6553}"/>
    <cellStyle name="Normal 2 7 5 2 3 3" xfId="35284" xr:uid="{6B7B880D-6366-472C-9EB9-45ABC8BDFA71}"/>
    <cellStyle name="Normal 2 7 5 2 3 4" xfId="35285" xr:uid="{3A24C1BF-EE54-4311-B3E9-C445AFBAF40B}"/>
    <cellStyle name="Normal 2 7 5 2 3 5" xfId="35286" xr:uid="{1FF7F2F1-4C46-4DFA-8A95-7069F9F7266A}"/>
    <cellStyle name="Normal 2 7 5 2 3 6" xfId="35287" xr:uid="{E269680E-6F12-41B7-8D5E-8D165EE4DF38}"/>
    <cellStyle name="Normal 2 7 5 2 4" xfId="35288" xr:uid="{1402C5BD-C451-4849-B96B-7C7C0CA2BEF7}"/>
    <cellStyle name="Normal 2 7 5 2 4 2" xfId="35289" xr:uid="{08D35CAE-F066-45D2-8A29-0D199F4D4E7F}"/>
    <cellStyle name="Normal 2 7 5 2 4 2 2" xfId="35290" xr:uid="{C0B51053-5553-4C86-8827-16878ED2667A}"/>
    <cellStyle name="Normal 2 7 5 2 4 2 3" xfId="35291" xr:uid="{A1D440E6-CE36-4769-BA66-F63E4FAADC5F}"/>
    <cellStyle name="Normal 2 7 5 2 4 2 4" xfId="35292" xr:uid="{1B455228-3878-42E6-944D-D48031E6B3DB}"/>
    <cellStyle name="Normal 2 7 5 2 4 2 5" xfId="35293" xr:uid="{90D6054D-51DA-49D5-92B2-0103B9AA453E}"/>
    <cellStyle name="Normal 2 7 5 2 4 3" xfId="35294" xr:uid="{8D44CDC0-E3BD-4F6A-8705-C3E875D64C75}"/>
    <cellStyle name="Normal 2 7 5 2 4 4" xfId="35295" xr:uid="{F481F177-A58B-4979-99D5-D0C93A401E79}"/>
    <cellStyle name="Normal 2 7 5 2 4 5" xfId="35296" xr:uid="{FB570DB3-9CF5-4635-A980-A8C20D842035}"/>
    <cellStyle name="Normal 2 7 5 2 4 6" xfId="35297" xr:uid="{292940A4-F1DC-41B4-BBDC-723BBBB06504}"/>
    <cellStyle name="Normal 2 7 5 2 5" xfId="35298" xr:uid="{1EC041E8-645E-4434-B846-F597C1EDF0A2}"/>
    <cellStyle name="Normal 2 7 5 2 5 2" xfId="35299" xr:uid="{1F190742-AB4E-4BDF-8436-A9F0BE642665}"/>
    <cellStyle name="Normal 2 7 5 2 5 2 2" xfId="35300" xr:uid="{7BF35CBE-8703-47D5-B0FC-0A15AD8729D5}"/>
    <cellStyle name="Normal 2 7 5 2 5 2 3" xfId="35301" xr:uid="{C5A1FB38-CFCB-4567-80A5-9F5F5114A490}"/>
    <cellStyle name="Normal 2 7 5 2 5 2 4" xfId="35302" xr:uid="{F8758567-55E7-4FA0-90BF-4155A78D386A}"/>
    <cellStyle name="Normal 2 7 5 2 5 2 5" xfId="35303" xr:uid="{C74CF931-099F-4DCE-B7E1-65C8454F7603}"/>
    <cellStyle name="Normal 2 7 5 2 5 3" xfId="35304" xr:uid="{07BD6518-87D0-4FC4-B16C-AED29BB601EF}"/>
    <cellStyle name="Normal 2 7 5 2 5 4" xfId="35305" xr:uid="{E72527F2-6BA3-44E9-ADF9-F93A149E9E4B}"/>
    <cellStyle name="Normal 2 7 5 2 5 5" xfId="35306" xr:uid="{EB31AB36-A3DA-49EA-831B-E0505BB449A3}"/>
    <cellStyle name="Normal 2 7 5 2 5 6" xfId="35307" xr:uid="{93296050-E691-49DC-B614-2704CBD61143}"/>
    <cellStyle name="Normal 2 7 5 2 6" xfId="35308" xr:uid="{235BF0E1-018F-4EC3-AD64-0E5A150C50DE}"/>
    <cellStyle name="Normal 2 7 5 2 6 2" xfId="35309" xr:uid="{BD941323-628B-4068-9677-6B9A54F6122A}"/>
    <cellStyle name="Normal 2 7 5 2 6 3" xfId="35310" xr:uid="{4F1545A8-823D-495D-B21F-1F08BB0E6EA8}"/>
    <cellStyle name="Normal 2 7 5 2 6 4" xfId="35311" xr:uid="{47BAE545-EB24-4950-82C8-6C85F4219D5A}"/>
    <cellStyle name="Normal 2 7 5 2 6 5" xfId="35312" xr:uid="{4189B847-99A3-45EC-A681-D9C9662E6258}"/>
    <cellStyle name="Normal 2 7 5 2 7" xfId="35313" xr:uid="{23D05F91-E4C2-43F8-8ED3-A1A0A2E69F07}"/>
    <cellStyle name="Normal 2 7 5 2 7 2" xfId="35314" xr:uid="{BC82DC07-5DD7-4C38-8CD6-06535AAA76B0}"/>
    <cellStyle name="Normal 2 7 5 2 7 3" xfId="35315" xr:uid="{A450701C-9C14-43CF-AD6D-08FF6EE49232}"/>
    <cellStyle name="Normal 2 7 5 2 7 4" xfId="35316" xr:uid="{E259FAFC-50D5-4539-BEDA-4D3486DC3A61}"/>
    <cellStyle name="Normal 2 7 5 2 7 5" xfId="35317" xr:uid="{43F9379A-BE68-41A8-B03C-E5FD4D06E256}"/>
    <cellStyle name="Normal 2 7 5 2 8" xfId="35318" xr:uid="{5CC2D0F4-7E3E-4759-A830-7AF088CBE031}"/>
    <cellStyle name="Normal 2 7 5 2 8 2" xfId="35319" xr:uid="{FFF2EC2F-D0F9-411D-9544-5AAB134E5075}"/>
    <cellStyle name="Normal 2 7 5 2 8 3" xfId="35320" xr:uid="{41F4E112-192D-402D-8C7F-A3647C8FE612}"/>
    <cellStyle name="Normal 2 7 5 2 8 4" xfId="35321" xr:uid="{AE2753E8-C4C6-4494-B904-71BC0D75E021}"/>
    <cellStyle name="Normal 2 7 5 2 8 5" xfId="35322" xr:uid="{74692FA6-B979-40D6-9809-9295CA5F908E}"/>
    <cellStyle name="Normal 2 7 5 2 9" xfId="35323" xr:uid="{693AEA19-DBD7-4510-A3E1-5978D65E1C52}"/>
    <cellStyle name="Normal 2 7 5 2 9 2" xfId="35324" xr:uid="{0BCD663A-366D-4FDD-ACAC-94E3A3B00855}"/>
    <cellStyle name="Normal 2 7 5 2 9 3" xfId="35325" xr:uid="{D12AD708-9AD1-4E1E-A334-5ED277FFD910}"/>
    <cellStyle name="Normal 2 7 5 2 9 4" xfId="35326" xr:uid="{59F9D64F-108B-4D14-A60E-81D591036518}"/>
    <cellStyle name="Normal 2 7 5 2 9 5" xfId="35327" xr:uid="{43906DA0-A2FB-4BA6-9A29-A4214C406077}"/>
    <cellStyle name="Normal 2 7 5 3" xfId="35328" xr:uid="{97412CB9-B434-43CE-8E52-F1D13598A323}"/>
    <cellStyle name="Normal 2 7 5 3 10" xfId="35329" xr:uid="{F626283F-6D0A-4DD2-8642-20A2F17B86BB}"/>
    <cellStyle name="Normal 2 7 5 3 11" xfId="35330" xr:uid="{C0FE9D4B-BD22-4DA7-8402-D2504F3CB63D}"/>
    <cellStyle name="Normal 2 7 5 3 12" xfId="35331" xr:uid="{A22B8ECF-3BD4-4BDE-B75C-2A64F7525304}"/>
    <cellStyle name="Normal 2 7 5 3 2" xfId="35332" xr:uid="{FFC13390-02F6-4F2C-9C9E-1EC864D301F1}"/>
    <cellStyle name="Normal 2 7 5 3 2 2" xfId="35333" xr:uid="{4F98C46A-D4B8-464D-880B-E71324AC8D39}"/>
    <cellStyle name="Normal 2 7 5 3 2 2 2" xfId="35334" xr:uid="{9CB22376-2C1F-4711-8A5F-29E7F87EA2E7}"/>
    <cellStyle name="Normal 2 7 5 3 2 2 3" xfId="35335" xr:uid="{F321E184-40C0-429F-AED5-DA295F6F952E}"/>
    <cellStyle name="Normal 2 7 5 3 2 2 4" xfId="35336" xr:uid="{4B75D2E7-49C8-4044-9132-C0B24C390675}"/>
    <cellStyle name="Normal 2 7 5 3 2 2 5" xfId="35337" xr:uid="{1D03C5F6-7EDA-446C-A5F1-FA0D9F981227}"/>
    <cellStyle name="Normal 2 7 5 3 2 3" xfId="35338" xr:uid="{5D4385D0-F7D7-42FA-B8D0-5F456F9A447C}"/>
    <cellStyle name="Normal 2 7 5 3 2 4" xfId="35339" xr:uid="{53AB845B-B78C-4D2E-A7CF-413D81ADF73C}"/>
    <cellStyle name="Normal 2 7 5 3 2 5" xfId="35340" xr:uid="{FCABA039-1C01-482C-85B1-C0407DEDE485}"/>
    <cellStyle name="Normal 2 7 5 3 2 6" xfId="35341" xr:uid="{455DBEE1-257C-49A7-9920-BEABE49058D2}"/>
    <cellStyle name="Normal 2 7 5 3 3" xfId="35342" xr:uid="{EB467694-57A5-42EF-ABED-BF6B565E7E0D}"/>
    <cellStyle name="Normal 2 7 5 3 3 2" xfId="35343" xr:uid="{22440E78-DF87-4CFC-90E4-164DFD68434D}"/>
    <cellStyle name="Normal 2 7 5 3 3 2 2" xfId="35344" xr:uid="{DEE5C80C-171E-4B6C-9CC0-5B986B671EC9}"/>
    <cellStyle name="Normal 2 7 5 3 3 2 3" xfId="35345" xr:uid="{64152992-6763-4353-BD50-D2984E1A29AA}"/>
    <cellStyle name="Normal 2 7 5 3 3 2 4" xfId="35346" xr:uid="{B3F59CA4-C08A-448F-A223-41F12CCA5ACF}"/>
    <cellStyle name="Normal 2 7 5 3 3 2 5" xfId="35347" xr:uid="{A5E85288-176B-412C-ABE5-8B3014EBD365}"/>
    <cellStyle name="Normal 2 7 5 3 3 3" xfId="35348" xr:uid="{284D39AE-AF7B-4663-AAA0-7A7039B2845A}"/>
    <cellStyle name="Normal 2 7 5 3 3 4" xfId="35349" xr:uid="{0C1BFF72-D49E-4D11-8909-64B96213785F}"/>
    <cellStyle name="Normal 2 7 5 3 3 5" xfId="35350" xr:uid="{A4C4470A-D837-4060-98D9-8F393DB28687}"/>
    <cellStyle name="Normal 2 7 5 3 3 6" xfId="35351" xr:uid="{4E3F8C98-AC2B-4662-82B1-1CDA84B00499}"/>
    <cellStyle name="Normal 2 7 5 3 4" xfId="35352" xr:uid="{11BD177E-961D-4E3C-9DA0-A0DA089ECD20}"/>
    <cellStyle name="Normal 2 7 5 3 4 2" xfId="35353" xr:uid="{0722AA32-BD41-4AFE-B761-3F5F8605C3E4}"/>
    <cellStyle name="Normal 2 7 5 3 4 2 2" xfId="35354" xr:uid="{F8078D0A-A3AD-477C-BBD0-C1701DAC12BD}"/>
    <cellStyle name="Normal 2 7 5 3 4 2 3" xfId="35355" xr:uid="{667F7634-0806-4F26-8898-B509A811BF82}"/>
    <cellStyle name="Normal 2 7 5 3 4 2 4" xfId="35356" xr:uid="{14AB2FE7-87EB-47C8-BF6F-47D28EEED9D4}"/>
    <cellStyle name="Normal 2 7 5 3 4 2 5" xfId="35357" xr:uid="{19EB0FE4-DD13-4678-8993-76AC5E02803F}"/>
    <cellStyle name="Normal 2 7 5 3 4 3" xfId="35358" xr:uid="{28989F15-9C12-4633-92B3-12633B031406}"/>
    <cellStyle name="Normal 2 7 5 3 4 4" xfId="35359" xr:uid="{93C20693-31FF-48C7-85F9-79E9A692BE86}"/>
    <cellStyle name="Normal 2 7 5 3 4 5" xfId="35360" xr:uid="{BADD7336-C94D-4792-8C5C-615AC3920787}"/>
    <cellStyle name="Normal 2 7 5 3 4 6" xfId="35361" xr:uid="{3FDD277C-F2CB-4701-88DB-440D6D50797C}"/>
    <cellStyle name="Normal 2 7 5 3 5" xfId="35362" xr:uid="{23A1FA4B-7F32-4DB9-9A29-4236A5193716}"/>
    <cellStyle name="Normal 2 7 5 3 5 2" xfId="35363" xr:uid="{954A752F-B06D-4E93-AE86-33CAE6003BB1}"/>
    <cellStyle name="Normal 2 7 5 3 5 3" xfId="35364" xr:uid="{DE6E8DBF-1753-4CFD-99FE-4ABC63371832}"/>
    <cellStyle name="Normal 2 7 5 3 5 4" xfId="35365" xr:uid="{393A07C4-5012-4B1D-A5FB-D54F4A360FD7}"/>
    <cellStyle name="Normal 2 7 5 3 5 5" xfId="35366" xr:uid="{21D0EBA5-14E6-4AC9-ACB0-165CE3B67D4B}"/>
    <cellStyle name="Normal 2 7 5 3 6" xfId="35367" xr:uid="{3D34DAE6-64A3-4C78-BB49-047AB6872214}"/>
    <cellStyle name="Normal 2 7 5 3 6 2" xfId="35368" xr:uid="{86E7377C-BFE7-4B3F-B773-3C626EE328C8}"/>
    <cellStyle name="Normal 2 7 5 3 6 3" xfId="35369" xr:uid="{7F39CF51-6A83-40F8-B19B-8955C61C50E4}"/>
    <cellStyle name="Normal 2 7 5 3 6 4" xfId="35370" xr:uid="{65627877-05EC-492F-A726-6D37F8FFEF14}"/>
    <cellStyle name="Normal 2 7 5 3 6 5" xfId="35371" xr:uid="{8A718633-F1B7-4407-B541-B5720837E45E}"/>
    <cellStyle name="Normal 2 7 5 3 7" xfId="35372" xr:uid="{FA30D6EA-789F-481E-8EBF-7114872B27CA}"/>
    <cellStyle name="Normal 2 7 5 3 7 2" xfId="35373" xr:uid="{3907328D-7BFF-45C3-816C-3B8C88579489}"/>
    <cellStyle name="Normal 2 7 5 3 7 3" xfId="35374" xr:uid="{D7CB968C-6BF2-4B96-9414-790B358BA45F}"/>
    <cellStyle name="Normal 2 7 5 3 7 4" xfId="35375" xr:uid="{A1DAE518-E2ED-4604-8CD8-E61DC2D9059C}"/>
    <cellStyle name="Normal 2 7 5 3 7 5" xfId="35376" xr:uid="{C18C90C6-9179-459C-8E4B-914CC6691B97}"/>
    <cellStyle name="Normal 2 7 5 3 8" xfId="35377" xr:uid="{D6E88DE1-29B2-416A-B422-06CB175BF882}"/>
    <cellStyle name="Normal 2 7 5 3 8 2" xfId="35378" xr:uid="{53DF0476-AAE1-46E3-893C-6142DB27A4D1}"/>
    <cellStyle name="Normal 2 7 5 3 8 3" xfId="35379" xr:uid="{8E5CE293-EC85-431E-B8AE-08DC32E792EE}"/>
    <cellStyle name="Normal 2 7 5 3 8 4" xfId="35380" xr:uid="{550DD144-9425-4ABD-855A-B11E5419CAF4}"/>
    <cellStyle name="Normal 2 7 5 3 8 5" xfId="35381" xr:uid="{34EC4F13-816C-4BA9-A589-807B6F999D43}"/>
    <cellStyle name="Normal 2 7 5 3 9" xfId="35382" xr:uid="{33FEB40B-0B18-430F-9F2A-719E63E41AEE}"/>
    <cellStyle name="Normal 2 7 5 4" xfId="35383" xr:uid="{17B975E8-A98E-4E80-9E6E-80D515BCF497}"/>
    <cellStyle name="Normal 2 7 5 4 2" xfId="35384" xr:uid="{65E66FC9-3FD9-4D2E-81C5-F2485C471C35}"/>
    <cellStyle name="Normal 2 7 5 4 2 2" xfId="35385" xr:uid="{CCD01734-27A8-46C1-9602-A82B8554BB26}"/>
    <cellStyle name="Normal 2 7 5 4 2 3" xfId="35386" xr:uid="{7C8DFA1E-B561-46A6-B54F-2A124C829013}"/>
    <cellStyle name="Normal 2 7 5 4 2 4" xfId="35387" xr:uid="{F28AED57-9F1D-4E07-BD3E-6B3D861D1A13}"/>
    <cellStyle name="Normal 2 7 5 4 2 5" xfId="35388" xr:uid="{5559ED11-A00B-403C-8091-9CCB065F7798}"/>
    <cellStyle name="Normal 2 7 5 4 3" xfId="35389" xr:uid="{4B03902C-903B-4344-9316-55739A2AF9EF}"/>
    <cellStyle name="Normal 2 7 5 4 4" xfId="35390" xr:uid="{3B7C44E2-9A9A-4FF3-BC0C-478866B6BFBE}"/>
    <cellStyle name="Normal 2 7 5 4 5" xfId="35391" xr:uid="{64136832-59C4-452A-8D83-C4CCFF14B081}"/>
    <cellStyle name="Normal 2 7 5 4 6" xfId="35392" xr:uid="{0FD13CB8-6356-40D8-A75A-7040A76F9D96}"/>
    <cellStyle name="Normal 2 7 5 5" xfId="35393" xr:uid="{B31CC979-92F0-4603-9B8A-BE539E0DC661}"/>
    <cellStyle name="Normal 2 7 5 5 2" xfId="35394" xr:uid="{0619751C-F124-4985-9DD7-2461437B72DD}"/>
    <cellStyle name="Normal 2 7 5 5 2 2" xfId="35395" xr:uid="{2B1AD522-EF1A-4D49-8CEA-AD47EDB7731B}"/>
    <cellStyle name="Normal 2 7 5 5 2 3" xfId="35396" xr:uid="{66F145FA-F409-4449-8163-9901BC7A931C}"/>
    <cellStyle name="Normal 2 7 5 5 2 4" xfId="35397" xr:uid="{1406F87A-6C9D-49B9-82A8-3E3BE7E91539}"/>
    <cellStyle name="Normal 2 7 5 5 2 5" xfId="35398" xr:uid="{90E76D32-3B42-4670-AD76-9390BA9F5D32}"/>
    <cellStyle name="Normal 2 7 5 5 3" xfId="35399" xr:uid="{F8475467-11F6-46A1-BE0B-B71B96BD1E3C}"/>
    <cellStyle name="Normal 2 7 5 5 4" xfId="35400" xr:uid="{92703E65-04BE-44C4-8670-7E40EB8BE1B8}"/>
    <cellStyle name="Normal 2 7 5 5 5" xfId="35401" xr:uid="{0C0A4338-FA56-4B58-99E7-6F186DABFB90}"/>
    <cellStyle name="Normal 2 7 5 5 6" xfId="35402" xr:uid="{86A10B2A-69FC-445A-8120-E8EBE59555B9}"/>
    <cellStyle name="Normal 2 7 5 6" xfId="35403" xr:uid="{1794B36F-0FFA-4EAA-A3A6-39BC25D6C22D}"/>
    <cellStyle name="Normal 2 7 5 6 2" xfId="35404" xr:uid="{7D8CDC52-31A3-45FC-8F61-4FF2BF19AEF9}"/>
    <cellStyle name="Normal 2 7 5 6 2 2" xfId="35405" xr:uid="{87204E88-3B33-4E27-A686-85C34432220A}"/>
    <cellStyle name="Normal 2 7 5 6 2 3" xfId="35406" xr:uid="{31912806-9EAD-46EE-BD2B-A36C7A355AC0}"/>
    <cellStyle name="Normal 2 7 5 6 2 4" xfId="35407" xr:uid="{91D39187-BE1F-477A-97F8-FCDF9174F64F}"/>
    <cellStyle name="Normal 2 7 5 6 2 5" xfId="35408" xr:uid="{9BEFEC4C-4676-45EA-A672-204757D1E1B7}"/>
    <cellStyle name="Normal 2 7 5 6 3" xfId="35409" xr:uid="{3EF4B4AF-B917-4681-BD04-832832BE61DD}"/>
    <cellStyle name="Normal 2 7 5 6 4" xfId="35410" xr:uid="{D5973FAB-6CED-425F-A044-F71198FA7991}"/>
    <cellStyle name="Normal 2 7 5 6 5" xfId="35411" xr:uid="{86DD68A4-D034-4EC9-9740-C3496386607A}"/>
    <cellStyle name="Normal 2 7 5 6 6" xfId="35412" xr:uid="{B8B424F8-3387-4435-A12B-ED6B158A9455}"/>
    <cellStyle name="Normal 2 7 5 7" xfId="35413" xr:uid="{1218CA79-319F-475E-8828-726532784B4A}"/>
    <cellStyle name="Normal 2 7 5 7 2" xfId="35414" xr:uid="{5C255C97-B1FD-489A-9419-8B1922442500}"/>
    <cellStyle name="Normal 2 7 5 7 3" xfId="35415" xr:uid="{26EC9355-0643-4C7A-8E7A-2AC1A81AE135}"/>
    <cellStyle name="Normal 2 7 5 7 4" xfId="35416" xr:uid="{F5418DF2-0820-41E3-BFB4-F6D36A50724B}"/>
    <cellStyle name="Normal 2 7 5 7 5" xfId="35417" xr:uid="{1443D92F-80A3-454A-ABD3-026277833FC7}"/>
    <cellStyle name="Normal 2 7 5 8" xfId="35418" xr:uid="{2C2D6912-E13D-4032-9421-7E7C623A0C7F}"/>
    <cellStyle name="Normal 2 7 5 8 2" xfId="35419" xr:uid="{FA11A70A-3022-4419-8C34-919AD281EF27}"/>
    <cellStyle name="Normal 2 7 5 8 3" xfId="35420" xr:uid="{A8EDF60C-90BC-465A-80B5-CD6545791F8E}"/>
    <cellStyle name="Normal 2 7 5 8 4" xfId="35421" xr:uid="{7C16FD18-8E58-46FD-A0AC-21969983D49A}"/>
    <cellStyle name="Normal 2 7 5 8 5" xfId="35422" xr:uid="{67956E33-147F-4B1E-AEB3-309F79E99F9D}"/>
    <cellStyle name="Normal 2 7 5 9" xfId="35423" xr:uid="{8A3F8ECA-A570-4E1E-B491-3F7025642605}"/>
    <cellStyle name="Normal 2 7 5 9 2" xfId="35424" xr:uid="{2EC25FD5-C90E-4A44-B0F2-AFBF44DEA4DF}"/>
    <cellStyle name="Normal 2 7 5 9 3" xfId="35425" xr:uid="{B05F455E-E0AF-4021-BE2F-EC6C7A51CFFC}"/>
    <cellStyle name="Normal 2 7 5 9 4" xfId="35426" xr:uid="{C6235463-1A00-44BD-B01E-9BEAD3308BD5}"/>
    <cellStyle name="Normal 2 7 5 9 5" xfId="35427" xr:uid="{DB339279-76D2-47B3-8484-D7B26AE6FCFF}"/>
    <cellStyle name="Normal 2 7 6" xfId="35428" xr:uid="{B3F0838D-7409-4111-9E30-099293788E47}"/>
    <cellStyle name="Normal 2 7 6 10" xfId="35429" xr:uid="{524F8000-418D-47FB-BFFB-BCDF99814C26}"/>
    <cellStyle name="Normal 2 7 6 11" xfId="35430" xr:uid="{29CBC524-EC07-4ACB-B299-7035BBB47658}"/>
    <cellStyle name="Normal 2 7 6 12" xfId="35431" xr:uid="{4C1C05F7-383C-45BA-A3A1-1B582253D7CC}"/>
    <cellStyle name="Normal 2 7 6 13" xfId="35432" xr:uid="{D84FE36C-D096-4EE0-8037-FC68AD60AB03}"/>
    <cellStyle name="Normal 2 7 6 2" xfId="35433" xr:uid="{CAE0370D-50E6-4EE5-A07A-B218E0FBFE22}"/>
    <cellStyle name="Normal 2 7 6 2 10" xfId="35434" xr:uid="{337C1845-C410-46DF-AEBC-98681926EE02}"/>
    <cellStyle name="Normal 2 7 6 2 11" xfId="35435" xr:uid="{428AFD0E-0636-4D42-809E-24BFBF93982D}"/>
    <cellStyle name="Normal 2 7 6 2 12" xfId="35436" xr:uid="{F10D606C-3C34-4414-AB29-E105637A5B08}"/>
    <cellStyle name="Normal 2 7 6 2 2" xfId="35437" xr:uid="{EBF64DB9-9177-45BE-A24A-F7B4F3CE1572}"/>
    <cellStyle name="Normal 2 7 6 2 2 2" xfId="35438" xr:uid="{9534CB94-2EBD-4C85-9E27-6ACC9035EE04}"/>
    <cellStyle name="Normal 2 7 6 2 2 2 2" xfId="35439" xr:uid="{735A910F-3EEA-42A8-B2A7-2513418B28A2}"/>
    <cellStyle name="Normal 2 7 6 2 2 2 3" xfId="35440" xr:uid="{67761D8D-3405-4E00-AA26-CEF2DBCAC35A}"/>
    <cellStyle name="Normal 2 7 6 2 2 2 4" xfId="35441" xr:uid="{3ECCEBB0-3D7B-4AAF-986C-F1C6A9BEAED4}"/>
    <cellStyle name="Normal 2 7 6 2 2 2 5" xfId="35442" xr:uid="{233BF011-BA60-4C32-8C33-C8B31B0F6C20}"/>
    <cellStyle name="Normal 2 7 6 2 2 3" xfId="35443" xr:uid="{6F480CEF-9994-490B-8705-E824C43D84AD}"/>
    <cellStyle name="Normal 2 7 6 2 2 4" xfId="35444" xr:uid="{181642D0-750D-40F2-B7F8-12AC2DA1EB3B}"/>
    <cellStyle name="Normal 2 7 6 2 2 5" xfId="35445" xr:uid="{073836C5-AA3E-466D-A97E-B689235B8A6B}"/>
    <cellStyle name="Normal 2 7 6 2 2 6" xfId="35446" xr:uid="{D9FB2548-A3A6-4206-B30F-DE9AA637EBD7}"/>
    <cellStyle name="Normal 2 7 6 2 3" xfId="35447" xr:uid="{122B7E1C-127E-4BE0-B5A9-AD154F6E6B42}"/>
    <cellStyle name="Normal 2 7 6 2 3 2" xfId="35448" xr:uid="{9D713240-74D1-4D47-82A2-E112C58909A0}"/>
    <cellStyle name="Normal 2 7 6 2 3 2 2" xfId="35449" xr:uid="{4E6DC2F5-FBF3-4179-BC7D-7FC16BF21759}"/>
    <cellStyle name="Normal 2 7 6 2 3 2 3" xfId="35450" xr:uid="{4BF2469C-2A5A-4D5A-94DE-9AAFB6B0D8A5}"/>
    <cellStyle name="Normal 2 7 6 2 3 2 4" xfId="35451" xr:uid="{CD92E1E8-BE11-45E3-A196-FE96F3E05E11}"/>
    <cellStyle name="Normal 2 7 6 2 3 2 5" xfId="35452" xr:uid="{7B7AC06F-D126-420E-988A-26EAA9A96272}"/>
    <cellStyle name="Normal 2 7 6 2 3 3" xfId="35453" xr:uid="{75DC8F93-EB74-44DF-AC4D-548DC3353EAE}"/>
    <cellStyle name="Normal 2 7 6 2 3 4" xfId="35454" xr:uid="{121FC286-1F0B-41A3-8214-DB0FE37AEF44}"/>
    <cellStyle name="Normal 2 7 6 2 3 5" xfId="35455" xr:uid="{E71EA8E6-88A1-4613-8460-9C833C901F0D}"/>
    <cellStyle name="Normal 2 7 6 2 3 6" xfId="35456" xr:uid="{CD777E3D-BB3D-4912-9AD0-A10101AEAC29}"/>
    <cellStyle name="Normal 2 7 6 2 4" xfId="35457" xr:uid="{C0DF2D0B-F1DA-4CA7-B4D2-7EA5CC2F191B}"/>
    <cellStyle name="Normal 2 7 6 2 4 2" xfId="35458" xr:uid="{25E64823-BFBF-446E-AAE5-660C7660B910}"/>
    <cellStyle name="Normal 2 7 6 2 4 2 2" xfId="35459" xr:uid="{8132E9BA-4563-4A57-B4BB-A9A89D8E6CB7}"/>
    <cellStyle name="Normal 2 7 6 2 4 2 3" xfId="35460" xr:uid="{45EB082E-9454-4FD4-948E-3E2BA8D458BD}"/>
    <cellStyle name="Normal 2 7 6 2 4 2 4" xfId="35461" xr:uid="{5F58BAC1-3B93-4400-A1B6-307AA2B1C58D}"/>
    <cellStyle name="Normal 2 7 6 2 4 2 5" xfId="35462" xr:uid="{4436CC8C-96BE-42BF-9695-9DDEE6372D0C}"/>
    <cellStyle name="Normal 2 7 6 2 4 3" xfId="35463" xr:uid="{06BF95E5-329D-4B60-A66D-B3ED76CB2AB9}"/>
    <cellStyle name="Normal 2 7 6 2 4 4" xfId="35464" xr:uid="{70BF3515-BC11-40BF-A15F-338612DC2509}"/>
    <cellStyle name="Normal 2 7 6 2 4 5" xfId="35465" xr:uid="{265FDFE9-F578-4E4C-8B4E-4A23042BCF6D}"/>
    <cellStyle name="Normal 2 7 6 2 4 6" xfId="35466" xr:uid="{6B4B75C2-77DF-4E84-8444-77D20DF95D05}"/>
    <cellStyle name="Normal 2 7 6 2 5" xfId="35467" xr:uid="{D5FF7256-7AA3-42EA-BD00-352715DF8B6F}"/>
    <cellStyle name="Normal 2 7 6 2 5 2" xfId="35468" xr:uid="{0CCF91C9-F22F-490B-A7B6-8ED1946BA112}"/>
    <cellStyle name="Normal 2 7 6 2 5 3" xfId="35469" xr:uid="{FB03D591-70AB-4FFA-9A33-8D57D4237ABF}"/>
    <cellStyle name="Normal 2 7 6 2 5 4" xfId="35470" xr:uid="{F159CC9E-7DC7-4AE4-80CC-B2CF13F0AF12}"/>
    <cellStyle name="Normal 2 7 6 2 5 5" xfId="35471" xr:uid="{2C4A6A7A-75A0-4694-96B1-97B4A55EEF95}"/>
    <cellStyle name="Normal 2 7 6 2 6" xfId="35472" xr:uid="{909F99D9-1C52-417A-B7A9-21ACA19CAA7C}"/>
    <cellStyle name="Normal 2 7 6 2 6 2" xfId="35473" xr:uid="{9746BE51-79CB-49F9-8BFF-1D103D1BE5E5}"/>
    <cellStyle name="Normal 2 7 6 2 6 3" xfId="35474" xr:uid="{57B2F8AD-A26F-498F-B85A-F596E6080246}"/>
    <cellStyle name="Normal 2 7 6 2 6 4" xfId="35475" xr:uid="{5C2480B3-D77F-436F-8F6E-DBDA904CDCE5}"/>
    <cellStyle name="Normal 2 7 6 2 6 5" xfId="35476" xr:uid="{11BEF669-3C0F-4E97-836A-B2146D0568AE}"/>
    <cellStyle name="Normal 2 7 6 2 7" xfId="35477" xr:uid="{5619066C-ECE0-4159-A57C-CE1262716953}"/>
    <cellStyle name="Normal 2 7 6 2 7 2" xfId="35478" xr:uid="{5538B7C7-4643-40CE-BAE5-E36D8D1B1927}"/>
    <cellStyle name="Normal 2 7 6 2 7 3" xfId="35479" xr:uid="{6416A0F6-E4B7-4C8F-98BA-F5472EC9489D}"/>
    <cellStyle name="Normal 2 7 6 2 7 4" xfId="35480" xr:uid="{4A71BDFF-64FD-4DC1-9DC9-6A323681B0B8}"/>
    <cellStyle name="Normal 2 7 6 2 7 5" xfId="35481" xr:uid="{4157C164-CD06-4855-BEED-B79AB73E43B5}"/>
    <cellStyle name="Normal 2 7 6 2 8" xfId="35482" xr:uid="{7AF8A275-E066-42CC-BA66-A6397DD2458C}"/>
    <cellStyle name="Normal 2 7 6 2 8 2" xfId="35483" xr:uid="{86180F2D-75DF-4A55-B414-DD557D67EFDE}"/>
    <cellStyle name="Normal 2 7 6 2 8 3" xfId="35484" xr:uid="{280629A4-0473-4388-A9BA-655484766EDA}"/>
    <cellStyle name="Normal 2 7 6 2 8 4" xfId="35485" xr:uid="{03920E62-10FE-4844-9FD8-F104E78D89F6}"/>
    <cellStyle name="Normal 2 7 6 2 8 5" xfId="35486" xr:uid="{C5EF8660-3E10-442D-9533-8C53FA280668}"/>
    <cellStyle name="Normal 2 7 6 2 9" xfId="35487" xr:uid="{4201999A-9C35-4D85-B238-451A32E8560E}"/>
    <cellStyle name="Normal 2 7 6 3" xfId="35488" xr:uid="{E57255B2-EABD-4286-B977-68DB8C45EC86}"/>
    <cellStyle name="Normal 2 7 6 3 2" xfId="35489" xr:uid="{1E2B143C-E7EC-4CBA-AF72-BAD4B53F7E95}"/>
    <cellStyle name="Normal 2 7 6 3 2 2" xfId="35490" xr:uid="{6327A91E-C178-45EA-947D-9FA78B147BD0}"/>
    <cellStyle name="Normal 2 7 6 3 2 3" xfId="35491" xr:uid="{A7404962-90B6-44BB-82CE-A61191CC3DE7}"/>
    <cellStyle name="Normal 2 7 6 3 2 4" xfId="35492" xr:uid="{3F12E226-7BDB-4CDC-A6C4-3477975E8785}"/>
    <cellStyle name="Normal 2 7 6 3 2 5" xfId="35493" xr:uid="{465A0854-F707-45B8-9DD0-629758DCD983}"/>
    <cellStyle name="Normal 2 7 6 3 3" xfId="35494" xr:uid="{9C5F39BF-BB1C-4392-811C-2A35F843C067}"/>
    <cellStyle name="Normal 2 7 6 3 4" xfId="35495" xr:uid="{01C42B15-CD0A-44C3-9602-542BABA496B4}"/>
    <cellStyle name="Normal 2 7 6 3 5" xfId="35496" xr:uid="{B9483243-56DF-42A3-BE60-8B8893758A5F}"/>
    <cellStyle name="Normal 2 7 6 3 6" xfId="35497" xr:uid="{3B135D0E-A0F2-424B-B706-2892CDADCDA5}"/>
    <cellStyle name="Normal 2 7 6 4" xfId="35498" xr:uid="{4BFAE2BA-AEEC-4B89-8616-2A56E3D6FB3F}"/>
    <cellStyle name="Normal 2 7 6 4 2" xfId="35499" xr:uid="{9B8F4B39-5B79-42AD-991C-3E7134E1BB7C}"/>
    <cellStyle name="Normal 2 7 6 4 2 2" xfId="35500" xr:uid="{C83C662D-3191-4A3C-9FE7-2E74ED377FBB}"/>
    <cellStyle name="Normal 2 7 6 4 2 3" xfId="35501" xr:uid="{A8F6D984-434A-423A-AC31-CE8D8FCD7130}"/>
    <cellStyle name="Normal 2 7 6 4 2 4" xfId="35502" xr:uid="{7DD57B83-EEB2-4EE5-B920-7119980243C4}"/>
    <cellStyle name="Normal 2 7 6 4 2 5" xfId="35503" xr:uid="{86E12609-1534-4165-8277-EF892EF5C962}"/>
    <cellStyle name="Normal 2 7 6 4 3" xfId="35504" xr:uid="{35C38EE5-37C4-4F59-B408-43E1D1AE78BA}"/>
    <cellStyle name="Normal 2 7 6 4 4" xfId="35505" xr:uid="{06F52ED5-47C1-40ED-8E5C-2378F807BE21}"/>
    <cellStyle name="Normal 2 7 6 4 5" xfId="35506" xr:uid="{E493AF11-232A-4734-B4CA-34A9CBFEC5DA}"/>
    <cellStyle name="Normal 2 7 6 4 6" xfId="35507" xr:uid="{0EB8C487-FF26-47E3-8B85-3E1E8E5C9842}"/>
    <cellStyle name="Normal 2 7 6 5" xfId="35508" xr:uid="{1310A16B-34F9-460A-ADCF-5A2B1AB5339D}"/>
    <cellStyle name="Normal 2 7 6 5 2" xfId="35509" xr:uid="{0850FD1B-399E-4F71-AF01-91F22160E96C}"/>
    <cellStyle name="Normal 2 7 6 5 2 2" xfId="35510" xr:uid="{C2086092-64A1-430D-B358-D56C376010C5}"/>
    <cellStyle name="Normal 2 7 6 5 2 3" xfId="35511" xr:uid="{379D0350-655B-45A6-B4B0-3D2E67C04E48}"/>
    <cellStyle name="Normal 2 7 6 5 2 4" xfId="35512" xr:uid="{FFB65726-2FF8-413B-BC18-575D17C0E20F}"/>
    <cellStyle name="Normal 2 7 6 5 2 5" xfId="35513" xr:uid="{0EC8C036-170B-40E3-9D84-40D03955DF39}"/>
    <cellStyle name="Normal 2 7 6 5 3" xfId="35514" xr:uid="{EC67DC26-AACE-49F5-9862-4A18981CCDBC}"/>
    <cellStyle name="Normal 2 7 6 5 4" xfId="35515" xr:uid="{E7D4BA5C-99AB-40B3-B105-0A9E83B2568F}"/>
    <cellStyle name="Normal 2 7 6 5 5" xfId="35516" xr:uid="{BA8E529E-68D8-43B6-821E-AF6B1924AADF}"/>
    <cellStyle name="Normal 2 7 6 5 6" xfId="35517" xr:uid="{BC4E950F-D3E5-4E5F-A925-8D4A93076E98}"/>
    <cellStyle name="Normal 2 7 6 6" xfId="35518" xr:uid="{41423948-654D-496E-B0E5-0EB01B562424}"/>
    <cellStyle name="Normal 2 7 6 6 2" xfId="35519" xr:uid="{B9AD4DF8-A5F2-41CB-8771-F06FA30E96C7}"/>
    <cellStyle name="Normal 2 7 6 6 3" xfId="35520" xr:uid="{1C84EFEC-EC91-4652-B843-07DA0809D604}"/>
    <cellStyle name="Normal 2 7 6 6 4" xfId="35521" xr:uid="{05C5A878-785B-43FC-9382-ACC59B5D72F4}"/>
    <cellStyle name="Normal 2 7 6 6 5" xfId="35522" xr:uid="{01AC0B83-6225-4FC9-8CF7-5155B1A39195}"/>
    <cellStyle name="Normal 2 7 6 7" xfId="35523" xr:uid="{2FA4D1F4-E652-4B5F-8884-E82D80D471EE}"/>
    <cellStyle name="Normal 2 7 6 7 2" xfId="35524" xr:uid="{8C94381E-1CAC-45C2-8EE6-09F513C69D24}"/>
    <cellStyle name="Normal 2 7 6 7 3" xfId="35525" xr:uid="{2BD2AB02-31B8-4AAA-B60D-E2F9E814BC43}"/>
    <cellStyle name="Normal 2 7 6 7 4" xfId="35526" xr:uid="{373B414D-3F94-40AB-B1EF-697D1E5F210E}"/>
    <cellStyle name="Normal 2 7 6 7 5" xfId="35527" xr:uid="{E2071E97-5691-4BD6-BCBF-01944D2606D1}"/>
    <cellStyle name="Normal 2 7 6 8" xfId="35528" xr:uid="{1A9B4E3B-53BB-4F42-BE28-49D49C9A764C}"/>
    <cellStyle name="Normal 2 7 6 8 2" xfId="35529" xr:uid="{DFFBBA42-46FE-4FE8-B464-783B50B22E17}"/>
    <cellStyle name="Normal 2 7 6 8 3" xfId="35530" xr:uid="{14CC5EE0-6591-4F2C-BC8A-C66B2A08E867}"/>
    <cellStyle name="Normal 2 7 6 8 4" xfId="35531" xr:uid="{9835276E-3089-4FE4-BDA4-671E5E45E856}"/>
    <cellStyle name="Normal 2 7 6 8 5" xfId="35532" xr:uid="{CCE8AB70-18B5-4A53-9482-F01277340EDE}"/>
    <cellStyle name="Normal 2 7 6 9" xfId="35533" xr:uid="{01D95F2A-408C-4FFA-9EE9-E292AAFDF30A}"/>
    <cellStyle name="Normal 2 7 6 9 2" xfId="35534" xr:uid="{8CB77C72-AF2E-452C-91F8-A7510BDEAAD9}"/>
    <cellStyle name="Normal 2 7 6 9 3" xfId="35535" xr:uid="{5DE18FFF-6E6C-4228-85F3-FC742B9380C7}"/>
    <cellStyle name="Normal 2 7 6 9 4" xfId="35536" xr:uid="{08DD0A6F-C5E6-4059-9471-FEB82354B411}"/>
    <cellStyle name="Normal 2 7 6 9 5" xfId="35537" xr:uid="{1165469F-D7C7-48C3-B81C-AEEA67A1BCA7}"/>
    <cellStyle name="Normal 2 7 7" xfId="35538" xr:uid="{0919666A-CD41-4C4E-AC98-EC85CFAA967B}"/>
    <cellStyle name="Normal 2 7 7 10" xfId="35539" xr:uid="{A119A0AC-BDA2-45C9-8E1C-0425300AA44F}"/>
    <cellStyle name="Normal 2 7 7 11" xfId="35540" xr:uid="{FF6ACCE6-E1D5-4476-9ECC-FC13EF79984F}"/>
    <cellStyle name="Normal 2 7 7 12" xfId="35541" xr:uid="{D4FC0216-B026-4A6A-96BB-CB6A1E3164C0}"/>
    <cellStyle name="Normal 2 7 7 2" xfId="35542" xr:uid="{D1B74771-41F9-438F-A53B-6517DDF6C6C0}"/>
    <cellStyle name="Normal 2 7 7 2 2" xfId="35543" xr:uid="{0F0E0005-738C-4323-A0F7-0AB9685CEF3B}"/>
    <cellStyle name="Normal 2 7 7 2 2 2" xfId="35544" xr:uid="{95DC81D0-7AC2-40A7-B6B4-09F8036F0F2D}"/>
    <cellStyle name="Normal 2 7 7 2 2 3" xfId="35545" xr:uid="{95AA96F6-4AC6-4575-96DA-1ED05A3D02CC}"/>
    <cellStyle name="Normal 2 7 7 2 2 4" xfId="35546" xr:uid="{D4DD9FB8-21FA-400F-BA47-70D497C72E78}"/>
    <cellStyle name="Normal 2 7 7 2 2 5" xfId="35547" xr:uid="{4D505805-FB92-494D-8C1F-FD4C3008AFE3}"/>
    <cellStyle name="Normal 2 7 7 2 3" xfId="35548" xr:uid="{0099B5B9-9C5F-4356-9533-3583B514ADCB}"/>
    <cellStyle name="Normal 2 7 7 2 4" xfId="35549" xr:uid="{BD567976-B16F-4BC8-96D6-04C224243F37}"/>
    <cellStyle name="Normal 2 7 7 2 5" xfId="35550" xr:uid="{D717E09B-2874-4B4C-A529-017C06DA1C49}"/>
    <cellStyle name="Normal 2 7 7 2 6" xfId="35551" xr:uid="{97A41D05-2F86-45D2-822F-A35067647F36}"/>
    <cellStyle name="Normal 2 7 7 3" xfId="35552" xr:uid="{34605646-E99E-495C-BCCB-F30E664887AF}"/>
    <cellStyle name="Normal 2 7 7 3 2" xfId="35553" xr:uid="{B05D56C3-91C3-460A-A985-EF5C1193793E}"/>
    <cellStyle name="Normal 2 7 7 3 2 2" xfId="35554" xr:uid="{FAFAF7D0-E7B5-4321-A945-2B86FEB0E6C5}"/>
    <cellStyle name="Normal 2 7 7 3 2 3" xfId="35555" xr:uid="{FE818F7B-08B8-4DFC-925A-552C2E0F418D}"/>
    <cellStyle name="Normal 2 7 7 3 2 4" xfId="35556" xr:uid="{D2133ED6-D42A-4CD4-845D-4AB1D9541F68}"/>
    <cellStyle name="Normal 2 7 7 3 2 5" xfId="35557" xr:uid="{1D59BC63-72E6-40FA-B6B8-5159C8C3AE10}"/>
    <cellStyle name="Normal 2 7 7 3 3" xfId="35558" xr:uid="{D3ABA046-716D-4468-A139-B47B861D21BE}"/>
    <cellStyle name="Normal 2 7 7 3 4" xfId="35559" xr:uid="{BCF67882-9CCA-4C1A-96A5-C8EB97C2351E}"/>
    <cellStyle name="Normal 2 7 7 3 5" xfId="35560" xr:uid="{FBB0CF61-0440-42FF-9E6D-FFEFC5DBE3C1}"/>
    <cellStyle name="Normal 2 7 7 3 6" xfId="35561" xr:uid="{C212238D-1D75-42F1-A3EE-69D6D1755B85}"/>
    <cellStyle name="Normal 2 7 7 4" xfId="35562" xr:uid="{D03F7903-39F3-4EE6-858B-D52A7179BF46}"/>
    <cellStyle name="Normal 2 7 7 4 2" xfId="35563" xr:uid="{6181BD48-44BE-4041-B838-850A7FB7AAF8}"/>
    <cellStyle name="Normal 2 7 7 4 2 2" xfId="35564" xr:uid="{CA891278-8729-4488-B6D1-FD7B22D619EF}"/>
    <cellStyle name="Normal 2 7 7 4 2 3" xfId="35565" xr:uid="{D2EE780B-92F1-421C-B206-371D08342FF1}"/>
    <cellStyle name="Normal 2 7 7 4 2 4" xfId="35566" xr:uid="{301AC4D4-D0E8-4084-89EF-9E1924629493}"/>
    <cellStyle name="Normal 2 7 7 4 2 5" xfId="35567" xr:uid="{FC09B99B-1102-41D5-979E-516E13323875}"/>
    <cellStyle name="Normal 2 7 7 4 3" xfId="35568" xr:uid="{2C0A841A-6672-4527-970C-99031B6AFF07}"/>
    <cellStyle name="Normal 2 7 7 4 4" xfId="35569" xr:uid="{034DC286-57DE-48FC-8830-8F8EF93EB32C}"/>
    <cellStyle name="Normal 2 7 7 4 5" xfId="35570" xr:uid="{43431A30-D110-4236-AD26-BA5565270009}"/>
    <cellStyle name="Normal 2 7 7 4 6" xfId="35571" xr:uid="{52F306BE-C7AD-4E00-9833-F12E649871F2}"/>
    <cellStyle name="Normal 2 7 7 5" xfId="35572" xr:uid="{ED146611-BCE0-4CA5-BF45-3EC346BDA71E}"/>
    <cellStyle name="Normal 2 7 7 5 2" xfId="35573" xr:uid="{1279AD5C-779F-4489-A96D-A8E56E168F08}"/>
    <cellStyle name="Normal 2 7 7 5 3" xfId="35574" xr:uid="{54045A3A-2FCA-42ED-A014-C3ABC900AFCE}"/>
    <cellStyle name="Normal 2 7 7 5 4" xfId="35575" xr:uid="{CC282549-902C-4F76-B243-3C333C76CAD3}"/>
    <cellStyle name="Normal 2 7 7 5 5" xfId="35576" xr:uid="{A06EEAAC-8343-475B-994F-3E0CB9D193A7}"/>
    <cellStyle name="Normal 2 7 7 6" xfId="35577" xr:uid="{982A7577-CBDE-4B0C-B37E-D8E14F4D53F4}"/>
    <cellStyle name="Normal 2 7 7 6 2" xfId="35578" xr:uid="{BAF1CBBE-E9BD-439A-80A1-9E40F1853027}"/>
    <cellStyle name="Normal 2 7 7 6 3" xfId="35579" xr:uid="{D2E92C7A-A587-430E-A460-8188930466DB}"/>
    <cellStyle name="Normal 2 7 7 6 4" xfId="35580" xr:uid="{95D48B02-D008-447F-AD51-61B9423446B3}"/>
    <cellStyle name="Normal 2 7 7 6 5" xfId="35581" xr:uid="{EECE5EE4-A31E-46DC-8344-C3B37E9B2C38}"/>
    <cellStyle name="Normal 2 7 7 7" xfId="35582" xr:uid="{4E1832E9-C888-4A94-90B4-ED61036EE5F3}"/>
    <cellStyle name="Normal 2 7 7 7 2" xfId="35583" xr:uid="{60EC6BC8-5B3F-49B1-B82C-6546863D7522}"/>
    <cellStyle name="Normal 2 7 7 7 3" xfId="35584" xr:uid="{A45FD8E2-A695-4B2F-B6E3-B664505C5990}"/>
    <cellStyle name="Normal 2 7 7 7 4" xfId="35585" xr:uid="{E39B973F-C54F-4C0A-BBEB-A1A36295EFC1}"/>
    <cellStyle name="Normal 2 7 7 7 5" xfId="35586" xr:uid="{50479212-5152-4C30-A5C0-269C7E9140F6}"/>
    <cellStyle name="Normal 2 7 7 8" xfId="35587" xr:uid="{D63CD111-60C1-4D3B-8494-59A47102866C}"/>
    <cellStyle name="Normal 2 7 7 8 2" xfId="35588" xr:uid="{B50C5D45-B43B-4A9D-B4A1-22740EC9503E}"/>
    <cellStyle name="Normal 2 7 7 8 3" xfId="35589" xr:uid="{813757B4-48C6-419E-BCC2-E9712A8A1709}"/>
    <cellStyle name="Normal 2 7 7 8 4" xfId="35590" xr:uid="{0AC5E846-7A95-4C7B-90E5-8040B780179F}"/>
    <cellStyle name="Normal 2 7 7 8 5" xfId="35591" xr:uid="{FE48ADD7-0131-40D2-9CDD-E842A9F3D3D4}"/>
    <cellStyle name="Normal 2 7 7 9" xfId="35592" xr:uid="{56B7AD8E-1BDE-4775-8C9E-B5C040AB5A14}"/>
    <cellStyle name="Normal 2 7 8" xfId="35593" xr:uid="{0FD11BBB-E4DF-40BA-8CCF-359169489094}"/>
    <cellStyle name="Normal 2 7 8 2" xfId="35594" xr:uid="{7C7C62C7-8DFD-4FB1-8195-78B048463E74}"/>
    <cellStyle name="Normal 2 7 8 2 2" xfId="35595" xr:uid="{938BBB35-0BA4-47B0-AB4B-FCF008168DFD}"/>
    <cellStyle name="Normal 2 7 8 2 3" xfId="35596" xr:uid="{96C91594-76DB-4542-84C5-B12060E06921}"/>
    <cellStyle name="Normal 2 7 8 2 4" xfId="35597" xr:uid="{B823795B-F188-485A-92D4-B306E6C6763D}"/>
    <cellStyle name="Normal 2 7 8 2 5" xfId="35598" xr:uid="{218EABDA-B8E8-4A78-8454-44625E23A607}"/>
    <cellStyle name="Normal 2 7 8 3" xfId="35599" xr:uid="{9072B569-6F27-43A2-BC13-20D22635FEA8}"/>
    <cellStyle name="Normal 2 7 8 4" xfId="35600" xr:uid="{D56B74B9-7201-4E73-AC57-9A96B3BD715B}"/>
    <cellStyle name="Normal 2 7 8 5" xfId="35601" xr:uid="{341427BA-1008-412F-95C7-EF1ED459922A}"/>
    <cellStyle name="Normal 2 7 8 6" xfId="35602" xr:uid="{F6EB8864-F6DF-49B7-AC55-9A32DADD74DB}"/>
    <cellStyle name="Normal 2 7 9" xfId="35603" xr:uid="{F5641879-1F84-44BD-B4AD-350DE25A1C0C}"/>
    <cellStyle name="Normal 2 7 9 2" xfId="35604" xr:uid="{6124377C-10D5-40DE-AAB8-EEC82DF7AEE5}"/>
    <cellStyle name="Normal 2 7 9 2 2" xfId="35605" xr:uid="{88FD4A54-0A67-4563-9303-2F770DA56720}"/>
    <cellStyle name="Normal 2 7 9 2 3" xfId="35606" xr:uid="{29C9462E-DA70-438B-BD2E-6747EF743973}"/>
    <cellStyle name="Normal 2 7 9 2 4" xfId="35607" xr:uid="{427825B9-79AB-40A8-B624-CB31376BAD52}"/>
    <cellStyle name="Normal 2 7 9 2 5" xfId="35608" xr:uid="{85EB40B9-71FA-4AF3-87DF-EBAEFE1CBCE0}"/>
    <cellStyle name="Normal 2 7 9 3" xfId="35609" xr:uid="{F06E7AD3-24C4-4450-8880-1734016E61BF}"/>
    <cellStyle name="Normal 2 7 9 4" xfId="35610" xr:uid="{41FE850F-659D-4EF1-8F92-45D11A4D9A9A}"/>
    <cellStyle name="Normal 2 7 9 5" xfId="35611" xr:uid="{278BA34A-6607-46C7-AE76-5E73C2E25E50}"/>
    <cellStyle name="Normal 2 7 9 6" xfId="35612" xr:uid="{DC05C1EE-20AC-451D-9C75-4AF2B4A1BCC8}"/>
    <cellStyle name="Normal 2 8" xfId="262" xr:uid="{12AA2E02-9372-47A4-B691-1126FD2B2C00}"/>
    <cellStyle name="Normal 2 8 10" xfId="35613" xr:uid="{9EEC8F50-1D5C-43AB-951E-EF95DD098187}"/>
    <cellStyle name="Normal 2 8 10 2" xfId="35614" xr:uid="{FB82CA8C-0E6D-4C0D-B203-7CAF71710181}"/>
    <cellStyle name="Normal 2 8 10 2 2" xfId="35615" xr:uid="{A442D9FE-7B76-4F87-B54C-8D6010724812}"/>
    <cellStyle name="Normal 2 8 10 2 3" xfId="35616" xr:uid="{EEF63787-0777-48DC-977A-17EF1E6DF901}"/>
    <cellStyle name="Normal 2 8 10 2 4" xfId="35617" xr:uid="{FFA47C02-149A-4ACB-9D95-682C5FDB18FF}"/>
    <cellStyle name="Normal 2 8 10 2 5" xfId="35618" xr:uid="{1DB15312-4818-4EF3-B587-A7EF4F97B4BE}"/>
    <cellStyle name="Normal 2 8 10 3" xfId="35619" xr:uid="{0DE3ADE4-E664-49B7-92F5-7DAC806D8BB2}"/>
    <cellStyle name="Normal 2 8 10 4" xfId="35620" xr:uid="{11E5C50C-1138-4047-9C9C-45243AA04EEA}"/>
    <cellStyle name="Normal 2 8 10 5" xfId="35621" xr:uid="{2F374B3E-56D9-46B1-B108-FB8F6E00DA02}"/>
    <cellStyle name="Normal 2 8 10 6" xfId="35622" xr:uid="{9D161FE2-8615-4BCE-B7AD-AB6404804459}"/>
    <cellStyle name="Normal 2 8 11" xfId="35623" xr:uid="{40F3232D-73F4-4B0E-8E0A-12A0932AC7F6}"/>
    <cellStyle name="Normal 2 8 11 2" xfId="35624" xr:uid="{0EAEEE4D-B321-4F87-9626-C66CF4A18509}"/>
    <cellStyle name="Normal 2 8 11 3" xfId="35625" xr:uid="{1CDFDB3D-1FB8-4040-B4A7-3379AC5A8728}"/>
    <cellStyle name="Normal 2 8 11 4" xfId="35626" xr:uid="{D4C5D28E-D1EC-41E2-A22C-28DA3D5A21EB}"/>
    <cellStyle name="Normal 2 8 11 5" xfId="35627" xr:uid="{AA381C7D-823B-4CF9-B8A4-8488E762662D}"/>
    <cellStyle name="Normal 2 8 12" xfId="35628" xr:uid="{0F345BB0-7B8B-497A-B8E0-57EF76A740D7}"/>
    <cellStyle name="Normal 2 8 12 2" xfId="35629" xr:uid="{E0654EFC-767F-4EBC-82FB-D4A29EC088FE}"/>
    <cellStyle name="Normal 2 8 12 3" xfId="35630" xr:uid="{330D2AC3-1AEF-4AE9-9800-5DA9CE81DD34}"/>
    <cellStyle name="Normal 2 8 12 4" xfId="35631" xr:uid="{419718F4-A960-4EAC-B383-7A7BAEE4325C}"/>
    <cellStyle name="Normal 2 8 12 5" xfId="35632" xr:uid="{C8EC057C-776F-4ACD-BF63-1372EA583FE0}"/>
    <cellStyle name="Normal 2 8 13" xfId="35633" xr:uid="{ABE75D39-B87E-4EF7-856B-E34978B68045}"/>
    <cellStyle name="Normal 2 8 13 2" xfId="35634" xr:uid="{5176ECF2-E018-4B42-9480-D351AAE1ACFC}"/>
    <cellStyle name="Normal 2 8 13 3" xfId="35635" xr:uid="{2C0F2E2C-92E9-4555-B1BC-7F732A138B97}"/>
    <cellStyle name="Normal 2 8 13 4" xfId="35636" xr:uid="{89D4DEC4-7B55-422F-9267-44DDF8B4C694}"/>
    <cellStyle name="Normal 2 8 13 5" xfId="35637" xr:uid="{C7B8DE4B-2977-492E-9144-883863D25C29}"/>
    <cellStyle name="Normal 2 8 14" xfId="35638" xr:uid="{14888772-4B91-48D2-97A1-09D74E7D9B82}"/>
    <cellStyle name="Normal 2 8 14 2" xfId="35639" xr:uid="{A6784F9C-0195-467C-984A-68B2CC24B150}"/>
    <cellStyle name="Normal 2 8 14 3" xfId="35640" xr:uid="{0C80F2B8-7572-474C-BE47-C16AB56C86D0}"/>
    <cellStyle name="Normal 2 8 14 4" xfId="35641" xr:uid="{7C0494DF-45D9-457E-A80E-887AA447415A}"/>
    <cellStyle name="Normal 2 8 14 5" xfId="35642" xr:uid="{2FDA2D0A-8A88-4D38-8994-5002BB74AE6D}"/>
    <cellStyle name="Normal 2 8 15" xfId="35643" xr:uid="{84829BEF-D6AD-431B-BC07-078DF4EA480B}"/>
    <cellStyle name="Normal 2 8 16" xfId="35644" xr:uid="{6B7DF09A-173E-4819-898E-5C5D3156D409}"/>
    <cellStyle name="Normal 2 8 17" xfId="35645" xr:uid="{ED8D0ED1-B746-4253-B2DC-D27AC10660E7}"/>
    <cellStyle name="Normal 2 8 18" xfId="35646" xr:uid="{B8D13E66-699F-4405-BB32-3E016356BC79}"/>
    <cellStyle name="Normal 2 8 2" xfId="35647" xr:uid="{888EC287-AC80-488E-8B87-7BA88DD8A486}"/>
    <cellStyle name="Normal 2 8 2 10" xfId="35648" xr:uid="{76303001-43F6-4C5E-A83F-2679FD995D21}"/>
    <cellStyle name="Normal 2 8 2 10 2" xfId="35649" xr:uid="{DA74BFE4-5F6A-4DF3-B0D8-DAB744244BB5}"/>
    <cellStyle name="Normal 2 8 2 10 3" xfId="35650" xr:uid="{E6518B0C-E22B-4027-9C7E-6C2ECB594A09}"/>
    <cellStyle name="Normal 2 8 2 10 4" xfId="35651" xr:uid="{854A77AE-C63A-4BE5-BCC3-86AA8CEACF62}"/>
    <cellStyle name="Normal 2 8 2 10 5" xfId="35652" xr:uid="{2EA5AB04-D725-4D9F-B67F-8F860D452761}"/>
    <cellStyle name="Normal 2 8 2 11" xfId="35653" xr:uid="{099C0D4D-BAE5-4E32-A871-6C78FD29D41F}"/>
    <cellStyle name="Normal 2 8 2 11 2" xfId="35654" xr:uid="{692BE2BB-D1E8-4A56-A605-1ED95709F3CE}"/>
    <cellStyle name="Normal 2 8 2 11 3" xfId="35655" xr:uid="{255616B1-3C29-4341-9452-FA88394FBF23}"/>
    <cellStyle name="Normal 2 8 2 11 4" xfId="35656" xr:uid="{2160BA6D-72CE-4F5A-985E-4BA192A340C7}"/>
    <cellStyle name="Normal 2 8 2 11 5" xfId="35657" xr:uid="{0F24E537-A0DE-440C-883D-503E62C62C30}"/>
    <cellStyle name="Normal 2 8 2 12" xfId="35658" xr:uid="{36350250-0DE3-4160-94E9-8B48881A527B}"/>
    <cellStyle name="Normal 2 8 2 13" xfId="35659" xr:uid="{39C23FC7-A7FD-4DC3-9670-4BC1D8EA2ACC}"/>
    <cellStyle name="Normal 2 8 2 14" xfId="35660" xr:uid="{E1079231-CE1A-49B3-A9E2-ACF406019C70}"/>
    <cellStyle name="Normal 2 8 2 15" xfId="35661" xr:uid="{93A42E1C-037D-4EC1-895C-99708B8E8E46}"/>
    <cellStyle name="Normal 2 8 2 2" xfId="35662" xr:uid="{9D5315D3-1AF1-4C82-B98E-7733AB492179}"/>
    <cellStyle name="Normal 2 8 2 2 10" xfId="35663" xr:uid="{51D23EBA-D545-4DA3-9E0E-6F690ABB16BD}"/>
    <cellStyle name="Normal 2 8 2 2 10 2" xfId="35664" xr:uid="{C8E08316-261C-41C4-A692-FB7659668FAB}"/>
    <cellStyle name="Normal 2 8 2 2 10 3" xfId="35665" xr:uid="{27FB7C23-441E-4B03-B47C-F6CA76DFDA27}"/>
    <cellStyle name="Normal 2 8 2 2 10 4" xfId="35666" xr:uid="{7CB07004-113A-4F2C-A069-A1016BCAA2BE}"/>
    <cellStyle name="Normal 2 8 2 2 10 5" xfId="35667" xr:uid="{5C669B24-01B6-4481-BEF3-209D75F2775B}"/>
    <cellStyle name="Normal 2 8 2 2 11" xfId="35668" xr:uid="{463A3FD5-28F9-46F3-95FC-F076AC0C79AD}"/>
    <cellStyle name="Normal 2 8 2 2 12" xfId="35669" xr:uid="{57FF17A6-FFC6-4694-8FFC-315798457CDE}"/>
    <cellStyle name="Normal 2 8 2 2 13" xfId="35670" xr:uid="{51BC6C85-CFE2-45ED-B05C-457F167DD30B}"/>
    <cellStyle name="Normal 2 8 2 2 14" xfId="35671" xr:uid="{F735AFF9-FFA3-4693-B187-790DE4CF3B98}"/>
    <cellStyle name="Normal 2 8 2 2 2" xfId="35672" xr:uid="{53C6E540-7698-4719-A5E5-1F89252ECF40}"/>
    <cellStyle name="Normal 2 8 2 2 2 10" xfId="35673" xr:uid="{E3C5D0BB-0DA9-4D79-8EC8-E105916FA8E1}"/>
    <cellStyle name="Normal 2 8 2 2 2 11" xfId="35674" xr:uid="{5D94B3E0-24F7-4CFB-B320-9553C9F6C524}"/>
    <cellStyle name="Normal 2 8 2 2 2 12" xfId="35675" xr:uid="{2650CBD5-A277-45C3-B29C-8D8ABDDC1039}"/>
    <cellStyle name="Normal 2 8 2 2 2 13" xfId="35676" xr:uid="{E08DA9E2-A1BA-41EF-B585-70B405683DE3}"/>
    <cellStyle name="Normal 2 8 2 2 2 2" xfId="35677" xr:uid="{25BC3EF0-FF98-4A1A-9000-46D4A98A33D9}"/>
    <cellStyle name="Normal 2 8 2 2 2 2 10" xfId="35678" xr:uid="{FE84A199-21C1-42FC-9432-F240DF1D6D2E}"/>
    <cellStyle name="Normal 2 8 2 2 2 2 11" xfId="35679" xr:uid="{3F1B83BF-1EF6-46C1-9060-BDE6A7C97B12}"/>
    <cellStyle name="Normal 2 8 2 2 2 2 12" xfId="35680" xr:uid="{ED3EFFF5-B25F-4AAC-B844-393E98242C3B}"/>
    <cellStyle name="Normal 2 8 2 2 2 2 2" xfId="35681" xr:uid="{9996E791-2303-44CC-BFFB-480555468B68}"/>
    <cellStyle name="Normal 2 8 2 2 2 2 2 2" xfId="35682" xr:uid="{22D68CAC-9707-4238-961E-C0F6F663FD72}"/>
    <cellStyle name="Normal 2 8 2 2 2 2 2 2 2" xfId="35683" xr:uid="{415B1577-F4FC-45B3-8446-C36758EF0FDF}"/>
    <cellStyle name="Normal 2 8 2 2 2 2 2 2 3" xfId="35684" xr:uid="{8A64F58C-FBF5-41B9-8118-C6066899AADD}"/>
    <cellStyle name="Normal 2 8 2 2 2 2 2 2 4" xfId="35685" xr:uid="{726DC2F5-C595-4D91-943D-D4E0D48A5D03}"/>
    <cellStyle name="Normal 2 8 2 2 2 2 2 2 5" xfId="35686" xr:uid="{697CA99E-0EEC-4C20-80DA-DF53F782FFC7}"/>
    <cellStyle name="Normal 2 8 2 2 2 2 2 3" xfId="35687" xr:uid="{6A55BB2B-4937-4A9F-8C69-FABEF6004C89}"/>
    <cellStyle name="Normal 2 8 2 2 2 2 2 4" xfId="35688" xr:uid="{DE3C42C5-D9E0-451D-92C1-816A8CE7CB1C}"/>
    <cellStyle name="Normal 2 8 2 2 2 2 2 5" xfId="35689" xr:uid="{D9660095-A432-4682-B03B-48D73F013544}"/>
    <cellStyle name="Normal 2 8 2 2 2 2 2 6" xfId="35690" xr:uid="{68F60848-5EF2-41E1-BF76-9686D3140B02}"/>
    <cellStyle name="Normal 2 8 2 2 2 2 3" xfId="35691" xr:uid="{9C50DCB2-BD7D-4D82-8ED9-2EEA3A68D4E4}"/>
    <cellStyle name="Normal 2 8 2 2 2 2 3 2" xfId="35692" xr:uid="{FAAF7C39-1E14-45CE-A7A6-8A6B98CDB2C8}"/>
    <cellStyle name="Normal 2 8 2 2 2 2 3 2 2" xfId="35693" xr:uid="{0391BCA4-F28A-48B4-AB34-4A72F454CC99}"/>
    <cellStyle name="Normal 2 8 2 2 2 2 3 2 3" xfId="35694" xr:uid="{0B39CA12-68E7-497E-BC82-5564E147A4DA}"/>
    <cellStyle name="Normal 2 8 2 2 2 2 3 2 4" xfId="35695" xr:uid="{81BB0D48-84CB-4898-B3D7-5CFE0C75E049}"/>
    <cellStyle name="Normal 2 8 2 2 2 2 3 2 5" xfId="35696" xr:uid="{75045C9A-7BB0-4C87-848F-8750D2B9E4ED}"/>
    <cellStyle name="Normal 2 8 2 2 2 2 3 3" xfId="35697" xr:uid="{DEC1F398-7E7E-46B2-9278-BDAE62C0D1F7}"/>
    <cellStyle name="Normal 2 8 2 2 2 2 3 4" xfId="35698" xr:uid="{1B0DC569-051E-4191-B155-9448E82D05B3}"/>
    <cellStyle name="Normal 2 8 2 2 2 2 3 5" xfId="35699" xr:uid="{35695553-10D8-400C-85BA-A914C4CB28B3}"/>
    <cellStyle name="Normal 2 8 2 2 2 2 3 6" xfId="35700" xr:uid="{5843CD20-5FD0-41B3-8C24-B379C60BFEAA}"/>
    <cellStyle name="Normal 2 8 2 2 2 2 4" xfId="35701" xr:uid="{FCC0EA74-B8C2-4A32-86ED-A85484351C5A}"/>
    <cellStyle name="Normal 2 8 2 2 2 2 4 2" xfId="35702" xr:uid="{634E8604-C3BC-48C0-BE32-4B9CA801E373}"/>
    <cellStyle name="Normal 2 8 2 2 2 2 4 2 2" xfId="35703" xr:uid="{C812BA20-9A32-4B14-83B5-E615D1A2C912}"/>
    <cellStyle name="Normal 2 8 2 2 2 2 4 2 3" xfId="35704" xr:uid="{0E816077-E625-4B13-96DC-221DA7BAC324}"/>
    <cellStyle name="Normal 2 8 2 2 2 2 4 2 4" xfId="35705" xr:uid="{9BBB762B-D0A8-4A6A-AD46-6D97041F4CEB}"/>
    <cellStyle name="Normal 2 8 2 2 2 2 4 2 5" xfId="35706" xr:uid="{8CA9034E-4C35-4D71-9124-B621F3725D8E}"/>
    <cellStyle name="Normal 2 8 2 2 2 2 4 3" xfId="35707" xr:uid="{E6832D76-4286-4946-9CC2-7EC787F2E0C8}"/>
    <cellStyle name="Normal 2 8 2 2 2 2 4 4" xfId="35708" xr:uid="{78311BA1-1302-4B08-8F75-DC76B6BB3058}"/>
    <cellStyle name="Normal 2 8 2 2 2 2 4 5" xfId="35709" xr:uid="{BF87794A-AEED-466E-B376-C9DBBE6F2251}"/>
    <cellStyle name="Normal 2 8 2 2 2 2 4 6" xfId="35710" xr:uid="{626C2909-93F6-4C40-8111-3ED663F47F00}"/>
    <cellStyle name="Normal 2 8 2 2 2 2 5" xfId="35711" xr:uid="{AA89EEDE-C022-4FEA-8344-76DA2371D8D1}"/>
    <cellStyle name="Normal 2 8 2 2 2 2 5 2" xfId="35712" xr:uid="{D0DFE37D-B1D8-4BBD-B89B-E50C643512E9}"/>
    <cellStyle name="Normal 2 8 2 2 2 2 5 3" xfId="35713" xr:uid="{37C4E7C7-4DFB-4FD3-9E24-49964FAEB405}"/>
    <cellStyle name="Normal 2 8 2 2 2 2 5 4" xfId="35714" xr:uid="{90F85F1B-2993-46BF-8BE7-A1B609478615}"/>
    <cellStyle name="Normal 2 8 2 2 2 2 5 5" xfId="35715" xr:uid="{1ED7888D-74AC-47C4-A6A1-CAB8B1190EB5}"/>
    <cellStyle name="Normal 2 8 2 2 2 2 6" xfId="35716" xr:uid="{BB7C02CD-0042-4A39-98C6-1F70699EED21}"/>
    <cellStyle name="Normal 2 8 2 2 2 2 6 2" xfId="35717" xr:uid="{56990477-6032-4DAC-9ABA-57A41DC6AF56}"/>
    <cellStyle name="Normal 2 8 2 2 2 2 6 3" xfId="35718" xr:uid="{C1BB0557-5F60-4295-B361-A6BD001605E6}"/>
    <cellStyle name="Normal 2 8 2 2 2 2 6 4" xfId="35719" xr:uid="{250EFF7A-EF29-48EC-BACF-478F29797D56}"/>
    <cellStyle name="Normal 2 8 2 2 2 2 6 5" xfId="35720" xr:uid="{AAC33A4C-78EA-424D-9189-F0C331F046AC}"/>
    <cellStyle name="Normal 2 8 2 2 2 2 7" xfId="35721" xr:uid="{A11B2F91-A73F-4A80-A024-F1AEB75EB582}"/>
    <cellStyle name="Normal 2 8 2 2 2 2 7 2" xfId="35722" xr:uid="{5024F0E7-415C-4038-9EDE-610988F37EAB}"/>
    <cellStyle name="Normal 2 8 2 2 2 2 7 3" xfId="35723" xr:uid="{12A66B8A-72A2-4871-B005-3E5DE0B6B682}"/>
    <cellStyle name="Normal 2 8 2 2 2 2 7 4" xfId="35724" xr:uid="{BFBAF185-A066-4792-ADD9-CEBEC4B9E9CC}"/>
    <cellStyle name="Normal 2 8 2 2 2 2 7 5" xfId="35725" xr:uid="{6AC0246E-8106-4205-8E3A-182BB1B34FB3}"/>
    <cellStyle name="Normal 2 8 2 2 2 2 8" xfId="35726" xr:uid="{ED8CEACA-CD64-4813-99FD-327B6799A731}"/>
    <cellStyle name="Normal 2 8 2 2 2 2 8 2" xfId="35727" xr:uid="{CBB8D0DC-B72A-4C81-87D5-7BBD91A905A0}"/>
    <cellStyle name="Normal 2 8 2 2 2 2 8 3" xfId="35728" xr:uid="{167A7126-A399-4091-AF28-A7CFDBCC6ED5}"/>
    <cellStyle name="Normal 2 8 2 2 2 2 8 4" xfId="35729" xr:uid="{432E99DF-9013-44ED-965F-AAC911D3735F}"/>
    <cellStyle name="Normal 2 8 2 2 2 2 8 5" xfId="35730" xr:uid="{CA81C6B5-FCE0-4719-9059-9100C8882302}"/>
    <cellStyle name="Normal 2 8 2 2 2 2 9" xfId="35731" xr:uid="{AC0B1ED4-167B-46CC-9F2F-10321DBA52DD}"/>
    <cellStyle name="Normal 2 8 2 2 2 3" xfId="35732" xr:uid="{B760B5FF-94C7-4282-BEBD-EB3D5FD0AC15}"/>
    <cellStyle name="Normal 2 8 2 2 2 3 2" xfId="35733" xr:uid="{8361206E-F159-46EE-8FBE-F91A18815167}"/>
    <cellStyle name="Normal 2 8 2 2 2 3 2 2" xfId="35734" xr:uid="{0A75CDEE-8012-447A-874C-DE5A0D237DA2}"/>
    <cellStyle name="Normal 2 8 2 2 2 3 2 3" xfId="35735" xr:uid="{78288E8A-0CCF-4C7B-9B24-35A687CF9687}"/>
    <cellStyle name="Normal 2 8 2 2 2 3 2 4" xfId="35736" xr:uid="{55412283-EE61-44EA-8DA6-1195B3BB750A}"/>
    <cellStyle name="Normal 2 8 2 2 2 3 2 5" xfId="35737" xr:uid="{769FA54C-8248-452C-B98E-41B4863EC280}"/>
    <cellStyle name="Normal 2 8 2 2 2 3 3" xfId="35738" xr:uid="{D3F0F0EE-EF6F-4432-A7EB-C85E915DB07D}"/>
    <cellStyle name="Normal 2 8 2 2 2 3 4" xfId="35739" xr:uid="{40605589-FCD6-4224-A30A-FA9DD1705D57}"/>
    <cellStyle name="Normal 2 8 2 2 2 3 5" xfId="35740" xr:uid="{3C4DACB2-EF46-4F9A-9DAE-C883AA9BE3B5}"/>
    <cellStyle name="Normal 2 8 2 2 2 3 6" xfId="35741" xr:uid="{84C0EED3-0C80-4957-AA24-F045776CF1BE}"/>
    <cellStyle name="Normal 2 8 2 2 2 4" xfId="35742" xr:uid="{A8A3BBB3-460A-4855-934F-7BBAEE72609F}"/>
    <cellStyle name="Normal 2 8 2 2 2 4 2" xfId="35743" xr:uid="{A5EBD922-526F-4B0A-808A-B5C96DC56B33}"/>
    <cellStyle name="Normal 2 8 2 2 2 4 2 2" xfId="35744" xr:uid="{97B8CDF3-2006-4F2E-83D9-5EAE29A3F5AD}"/>
    <cellStyle name="Normal 2 8 2 2 2 4 2 3" xfId="35745" xr:uid="{E6E2C340-FBB2-4651-8974-2004F9795F0D}"/>
    <cellStyle name="Normal 2 8 2 2 2 4 2 4" xfId="35746" xr:uid="{3DE22A2A-86DB-48EA-A4F9-0A0B0F78E8BE}"/>
    <cellStyle name="Normal 2 8 2 2 2 4 2 5" xfId="35747" xr:uid="{49BFBF1C-22BB-4ABE-8DD7-522DA32EAC5D}"/>
    <cellStyle name="Normal 2 8 2 2 2 4 3" xfId="35748" xr:uid="{249F1DED-9987-4C9B-AF74-D135BB831A10}"/>
    <cellStyle name="Normal 2 8 2 2 2 4 4" xfId="35749" xr:uid="{5E58B4E2-5D59-4E95-9A4A-A922889B7F6C}"/>
    <cellStyle name="Normal 2 8 2 2 2 4 5" xfId="35750" xr:uid="{4AE77167-5EC5-41CD-BBA7-E1D1594A57AA}"/>
    <cellStyle name="Normal 2 8 2 2 2 4 6" xfId="35751" xr:uid="{B418BBF2-7559-4D07-888E-A996919DF1EA}"/>
    <cellStyle name="Normal 2 8 2 2 2 5" xfId="35752" xr:uid="{087E8160-5064-4679-B992-D25FA6A69E2D}"/>
    <cellStyle name="Normal 2 8 2 2 2 5 2" xfId="35753" xr:uid="{8E253017-9B5F-48EB-B57B-E12133E7F4FA}"/>
    <cellStyle name="Normal 2 8 2 2 2 5 2 2" xfId="35754" xr:uid="{BC9BE8D0-C49D-4229-98F0-207748253601}"/>
    <cellStyle name="Normal 2 8 2 2 2 5 2 3" xfId="35755" xr:uid="{EF5BC81C-96C8-42E2-BD4B-7C4330AAD84E}"/>
    <cellStyle name="Normal 2 8 2 2 2 5 2 4" xfId="35756" xr:uid="{66C417C9-DC16-4406-95F9-69F60F6FAA99}"/>
    <cellStyle name="Normal 2 8 2 2 2 5 2 5" xfId="35757" xr:uid="{AD3A8485-0B11-4BB5-80F6-20F60B2A5CC3}"/>
    <cellStyle name="Normal 2 8 2 2 2 5 3" xfId="35758" xr:uid="{E5B60D46-0473-4C61-858B-B9507AF36303}"/>
    <cellStyle name="Normal 2 8 2 2 2 5 4" xfId="35759" xr:uid="{9BD9AEA0-CDD9-4AD7-A17E-C2B27DF10EAE}"/>
    <cellStyle name="Normal 2 8 2 2 2 5 5" xfId="35760" xr:uid="{BABCF9C1-27FC-4E1D-AAAE-D7D116B2E049}"/>
    <cellStyle name="Normal 2 8 2 2 2 5 6" xfId="35761" xr:uid="{5A89E54C-77DD-41D7-992E-DA78F9FE534A}"/>
    <cellStyle name="Normal 2 8 2 2 2 6" xfId="35762" xr:uid="{7FF0E88A-904E-45E7-A4BB-F4F2A88762F1}"/>
    <cellStyle name="Normal 2 8 2 2 2 6 2" xfId="35763" xr:uid="{947B863F-E456-475B-B71B-BE5FDC9AAE11}"/>
    <cellStyle name="Normal 2 8 2 2 2 6 3" xfId="35764" xr:uid="{3F53679B-6887-4E21-BEC6-78FEFB2940D5}"/>
    <cellStyle name="Normal 2 8 2 2 2 6 4" xfId="35765" xr:uid="{EAB8E451-79B7-4258-8B11-1F3E9DB49887}"/>
    <cellStyle name="Normal 2 8 2 2 2 6 5" xfId="35766" xr:uid="{9BE2085D-8E64-4D40-93EB-700775D1C66A}"/>
    <cellStyle name="Normal 2 8 2 2 2 7" xfId="35767" xr:uid="{005001E1-DF19-4183-AAD2-18B38D94A6D8}"/>
    <cellStyle name="Normal 2 8 2 2 2 7 2" xfId="35768" xr:uid="{3E9AFCC1-29A1-4EEF-9AA0-D510E7F98222}"/>
    <cellStyle name="Normal 2 8 2 2 2 7 3" xfId="35769" xr:uid="{D6D1B415-34B5-4D47-8CEE-80AFCC4DB622}"/>
    <cellStyle name="Normal 2 8 2 2 2 7 4" xfId="35770" xr:uid="{9698BCC5-2408-4856-B2B7-3BF3C5E270DA}"/>
    <cellStyle name="Normal 2 8 2 2 2 7 5" xfId="35771" xr:uid="{992011AF-E586-4C88-818F-8AF02E0DA0A7}"/>
    <cellStyle name="Normal 2 8 2 2 2 8" xfId="35772" xr:uid="{71B7F87A-E9B8-4056-AA7F-B86A4279B539}"/>
    <cellStyle name="Normal 2 8 2 2 2 8 2" xfId="35773" xr:uid="{090F2B51-2A9C-4D99-AE88-30D79DA6BF7B}"/>
    <cellStyle name="Normal 2 8 2 2 2 8 3" xfId="35774" xr:uid="{F393C233-93EF-4B95-A847-94E2BD0EC30F}"/>
    <cellStyle name="Normal 2 8 2 2 2 8 4" xfId="35775" xr:uid="{9F42365A-6E1E-488F-8F70-FD7A27DF58E1}"/>
    <cellStyle name="Normal 2 8 2 2 2 8 5" xfId="35776" xr:uid="{AEFC1C02-B01C-4EE9-BA01-0C1D076DFF52}"/>
    <cellStyle name="Normal 2 8 2 2 2 9" xfId="35777" xr:uid="{BC51AF6F-716C-4E32-88FD-3CC473512588}"/>
    <cellStyle name="Normal 2 8 2 2 2 9 2" xfId="35778" xr:uid="{F7A44426-1DBA-4DA8-96FA-80C8668ED17C}"/>
    <cellStyle name="Normal 2 8 2 2 2 9 3" xfId="35779" xr:uid="{F790EF21-30E9-4E01-8214-4A498B3A8E0E}"/>
    <cellStyle name="Normal 2 8 2 2 2 9 4" xfId="35780" xr:uid="{24CEAEDA-4CBD-4323-B80C-4A7F3D5F8C44}"/>
    <cellStyle name="Normal 2 8 2 2 2 9 5" xfId="35781" xr:uid="{B26CADC6-70DF-41C9-BBE5-205A030A4DBE}"/>
    <cellStyle name="Normal 2 8 2 2 3" xfId="35782" xr:uid="{76BC151F-CE2D-4499-9826-1521BD16FF1A}"/>
    <cellStyle name="Normal 2 8 2 2 3 10" xfId="35783" xr:uid="{5A55CD89-1105-4F43-882D-75911B892D6E}"/>
    <cellStyle name="Normal 2 8 2 2 3 11" xfId="35784" xr:uid="{44CFF7D0-B596-473D-867C-56E08561D8F9}"/>
    <cellStyle name="Normal 2 8 2 2 3 12" xfId="35785" xr:uid="{17E9D59E-7521-4D0E-9DE6-8C3683343A4C}"/>
    <cellStyle name="Normal 2 8 2 2 3 2" xfId="35786" xr:uid="{166BCCC8-72FD-4FF3-914C-8D81D66DE668}"/>
    <cellStyle name="Normal 2 8 2 2 3 2 2" xfId="35787" xr:uid="{DB609B70-875E-490A-ABB5-B3B78FA99C41}"/>
    <cellStyle name="Normal 2 8 2 2 3 2 2 2" xfId="35788" xr:uid="{5FCA4018-CCF6-49D2-8896-D0982C650E94}"/>
    <cellStyle name="Normal 2 8 2 2 3 2 2 3" xfId="35789" xr:uid="{EA6408E7-28F3-47D8-8AC0-F0020825374E}"/>
    <cellStyle name="Normal 2 8 2 2 3 2 2 4" xfId="35790" xr:uid="{07C69EA1-723C-43FF-89F8-73864329A463}"/>
    <cellStyle name="Normal 2 8 2 2 3 2 2 5" xfId="35791" xr:uid="{E0C06455-5EF3-4D75-8DAB-953AAD902A87}"/>
    <cellStyle name="Normal 2 8 2 2 3 2 3" xfId="35792" xr:uid="{83A2B3D8-D882-4BCD-9DF7-2C0D427F740A}"/>
    <cellStyle name="Normal 2 8 2 2 3 2 4" xfId="35793" xr:uid="{E79AAE28-87FF-48BA-B449-88243F1AA2F7}"/>
    <cellStyle name="Normal 2 8 2 2 3 2 5" xfId="35794" xr:uid="{50FFEC3A-41AE-4F13-9FC8-F41D0392EC58}"/>
    <cellStyle name="Normal 2 8 2 2 3 2 6" xfId="35795" xr:uid="{A29DE79F-4EB0-4EC4-AC5E-902E8847EB3A}"/>
    <cellStyle name="Normal 2 8 2 2 3 3" xfId="35796" xr:uid="{4EDD6D05-9956-4EC7-A5E2-F50FD1DC918C}"/>
    <cellStyle name="Normal 2 8 2 2 3 3 2" xfId="35797" xr:uid="{3C400948-9533-4931-9E1A-4747E0639421}"/>
    <cellStyle name="Normal 2 8 2 2 3 3 2 2" xfId="35798" xr:uid="{8E2C9839-BCBD-4CA9-BBBC-1BBD14D5B3BE}"/>
    <cellStyle name="Normal 2 8 2 2 3 3 2 3" xfId="35799" xr:uid="{F9BE4FD2-53C2-43AC-8030-C75094A780A7}"/>
    <cellStyle name="Normal 2 8 2 2 3 3 2 4" xfId="35800" xr:uid="{05AC65A0-8BE6-49DF-825D-91A5201EC6A4}"/>
    <cellStyle name="Normal 2 8 2 2 3 3 2 5" xfId="35801" xr:uid="{AE999F38-8DDD-46C3-913E-BFBC5EFFB06D}"/>
    <cellStyle name="Normal 2 8 2 2 3 3 3" xfId="35802" xr:uid="{63E8F971-FB2A-4DEE-B1A0-120FB35503CD}"/>
    <cellStyle name="Normal 2 8 2 2 3 3 4" xfId="35803" xr:uid="{54775B1A-18F2-4309-8625-15E914F5DC04}"/>
    <cellStyle name="Normal 2 8 2 2 3 3 5" xfId="35804" xr:uid="{68F5BDB3-E0EF-48CA-8EC9-62ADF5A81FC5}"/>
    <cellStyle name="Normal 2 8 2 2 3 3 6" xfId="35805" xr:uid="{5D442908-62B9-475A-BDC9-EB4922FB03BC}"/>
    <cellStyle name="Normal 2 8 2 2 3 4" xfId="35806" xr:uid="{5BAE9DAE-FD05-4F65-B753-6F0442ED14E3}"/>
    <cellStyle name="Normal 2 8 2 2 3 4 2" xfId="35807" xr:uid="{5C0DF135-36ED-4D7C-B862-87CCF6A02EC8}"/>
    <cellStyle name="Normal 2 8 2 2 3 4 2 2" xfId="35808" xr:uid="{36D3A67B-4915-4088-B462-B6D3B424253F}"/>
    <cellStyle name="Normal 2 8 2 2 3 4 2 3" xfId="35809" xr:uid="{D9E02BE8-4668-4CC0-AC7E-3CDE2EEB1666}"/>
    <cellStyle name="Normal 2 8 2 2 3 4 2 4" xfId="35810" xr:uid="{F57E11D2-C427-457C-854D-34137FDEED19}"/>
    <cellStyle name="Normal 2 8 2 2 3 4 2 5" xfId="35811" xr:uid="{BE6FF620-AF58-41A3-851C-8A51CE1D2688}"/>
    <cellStyle name="Normal 2 8 2 2 3 4 3" xfId="35812" xr:uid="{EE585FAE-EDFB-4690-8BA7-320C12D0EF3F}"/>
    <cellStyle name="Normal 2 8 2 2 3 4 4" xfId="35813" xr:uid="{62CB4C01-3039-4D9F-8E7C-54578698B7E1}"/>
    <cellStyle name="Normal 2 8 2 2 3 4 5" xfId="35814" xr:uid="{679EFFFC-27EB-462F-B12A-B1A09FC7C77E}"/>
    <cellStyle name="Normal 2 8 2 2 3 4 6" xfId="35815" xr:uid="{877DA3A0-F143-4636-8EAB-3B5DE7007605}"/>
    <cellStyle name="Normal 2 8 2 2 3 5" xfId="35816" xr:uid="{93DFB129-1316-4FFE-801D-D89598252FC3}"/>
    <cellStyle name="Normal 2 8 2 2 3 5 2" xfId="35817" xr:uid="{F0BEF69A-2571-4B77-9368-9139B6F0CDD0}"/>
    <cellStyle name="Normal 2 8 2 2 3 5 3" xfId="35818" xr:uid="{A91B2A87-9370-42F5-9800-3762FE61625A}"/>
    <cellStyle name="Normal 2 8 2 2 3 5 4" xfId="35819" xr:uid="{5931D578-CFBF-4CFC-8C29-935145CB5721}"/>
    <cellStyle name="Normal 2 8 2 2 3 5 5" xfId="35820" xr:uid="{76026A8A-EFE6-40B4-B574-4E0DFE742EBD}"/>
    <cellStyle name="Normal 2 8 2 2 3 6" xfId="35821" xr:uid="{F880637E-C149-41BC-935B-7518C4FD6678}"/>
    <cellStyle name="Normal 2 8 2 2 3 6 2" xfId="35822" xr:uid="{743BB08E-6C0C-42AD-B3C7-3BB3366E8640}"/>
    <cellStyle name="Normal 2 8 2 2 3 6 3" xfId="35823" xr:uid="{7D33DF0A-D362-4214-B930-27AA376F9EEE}"/>
    <cellStyle name="Normal 2 8 2 2 3 6 4" xfId="35824" xr:uid="{2EC0E1F0-67B5-4B2A-902F-9D28A9BA7950}"/>
    <cellStyle name="Normal 2 8 2 2 3 6 5" xfId="35825" xr:uid="{842B080D-82F5-4E42-A574-C7FAC7ABBE56}"/>
    <cellStyle name="Normal 2 8 2 2 3 7" xfId="35826" xr:uid="{E18B8D0E-9E2F-43E4-A7E1-0E66FBCF22D9}"/>
    <cellStyle name="Normal 2 8 2 2 3 7 2" xfId="35827" xr:uid="{1C64CAA9-32EA-4303-8C15-142F816F65AD}"/>
    <cellStyle name="Normal 2 8 2 2 3 7 3" xfId="35828" xr:uid="{D139EDD3-8F12-4BCA-94FE-BCBAA6883042}"/>
    <cellStyle name="Normal 2 8 2 2 3 7 4" xfId="35829" xr:uid="{199C55C3-A2C5-4747-9B07-C4AA107A30CD}"/>
    <cellStyle name="Normal 2 8 2 2 3 7 5" xfId="35830" xr:uid="{8668EE89-1760-4AAC-B147-A1280EDFDDE0}"/>
    <cellStyle name="Normal 2 8 2 2 3 8" xfId="35831" xr:uid="{63FB9CD6-F6F4-4F3B-8CC7-45DE0B0F5729}"/>
    <cellStyle name="Normal 2 8 2 2 3 8 2" xfId="35832" xr:uid="{87359DB0-8B1C-4DF5-8589-006869FBDAAE}"/>
    <cellStyle name="Normal 2 8 2 2 3 8 3" xfId="35833" xr:uid="{E9677BFC-CD6B-478B-B6E7-48C0E12E07A6}"/>
    <cellStyle name="Normal 2 8 2 2 3 8 4" xfId="35834" xr:uid="{B186E1F1-CAB3-4A6E-B154-7F34F3EFD904}"/>
    <cellStyle name="Normal 2 8 2 2 3 8 5" xfId="35835" xr:uid="{EC6F47B4-8FAD-4004-9610-49FA198BF076}"/>
    <cellStyle name="Normal 2 8 2 2 3 9" xfId="35836" xr:uid="{68BCFFDA-3596-4D89-A225-B047E6A93F28}"/>
    <cellStyle name="Normal 2 8 2 2 4" xfId="35837" xr:uid="{47BD02FE-496A-4CE2-B281-ADCCE3984E33}"/>
    <cellStyle name="Normal 2 8 2 2 4 2" xfId="35838" xr:uid="{91DFB641-4119-4872-AA54-A00A73A90C0F}"/>
    <cellStyle name="Normal 2 8 2 2 4 2 2" xfId="35839" xr:uid="{FBCFC0E1-7BF9-441B-B7BC-0A039D9B3A40}"/>
    <cellStyle name="Normal 2 8 2 2 4 2 3" xfId="35840" xr:uid="{680E1406-34C8-4E6D-8A98-45917D0C4CCF}"/>
    <cellStyle name="Normal 2 8 2 2 4 2 4" xfId="35841" xr:uid="{119600AC-FC6B-407F-A5A4-9EEF4C528675}"/>
    <cellStyle name="Normal 2 8 2 2 4 2 5" xfId="35842" xr:uid="{49592F9B-624F-4C98-83C1-079CC28AAFA2}"/>
    <cellStyle name="Normal 2 8 2 2 4 3" xfId="35843" xr:uid="{38ACDDDB-3E4A-4198-8957-C5C8FDC9F56B}"/>
    <cellStyle name="Normal 2 8 2 2 4 4" xfId="35844" xr:uid="{FE742135-6E17-4D1C-A832-8652FE284096}"/>
    <cellStyle name="Normal 2 8 2 2 4 5" xfId="35845" xr:uid="{9E8641D6-2B3C-4C23-82BC-81514C2D4161}"/>
    <cellStyle name="Normal 2 8 2 2 4 6" xfId="35846" xr:uid="{B075E1F7-1E85-4328-BC93-B2D5511454BC}"/>
    <cellStyle name="Normal 2 8 2 2 5" xfId="35847" xr:uid="{825C1729-3A3B-4BFC-A585-E19AF7BBF60C}"/>
    <cellStyle name="Normal 2 8 2 2 5 2" xfId="35848" xr:uid="{B263B0FC-B3DB-49E0-A5DA-2FAED55F004B}"/>
    <cellStyle name="Normal 2 8 2 2 5 2 2" xfId="35849" xr:uid="{22A43D27-EC5E-4420-BC2F-58E537895C99}"/>
    <cellStyle name="Normal 2 8 2 2 5 2 3" xfId="35850" xr:uid="{BB928048-EFF2-42CB-8144-CF9F736E00AA}"/>
    <cellStyle name="Normal 2 8 2 2 5 2 4" xfId="35851" xr:uid="{18CF2D18-A56C-4F0A-9543-FA41E4524508}"/>
    <cellStyle name="Normal 2 8 2 2 5 2 5" xfId="35852" xr:uid="{47E77F1B-B875-4DEE-B9F6-9030EA44492F}"/>
    <cellStyle name="Normal 2 8 2 2 5 3" xfId="35853" xr:uid="{146B74B5-5CA3-439A-B173-C01CC9B13A22}"/>
    <cellStyle name="Normal 2 8 2 2 5 4" xfId="35854" xr:uid="{3A3C4DEB-B7A6-4618-80B1-E20733C37CD3}"/>
    <cellStyle name="Normal 2 8 2 2 5 5" xfId="35855" xr:uid="{6F4BE415-0786-48BD-9B74-2589C9C0BA86}"/>
    <cellStyle name="Normal 2 8 2 2 5 6" xfId="35856" xr:uid="{75AAAD9D-C6B0-4B11-B962-DF8E958ED031}"/>
    <cellStyle name="Normal 2 8 2 2 6" xfId="35857" xr:uid="{12F66251-74F0-4B6A-AA50-5E8F609D01F8}"/>
    <cellStyle name="Normal 2 8 2 2 6 2" xfId="35858" xr:uid="{2B3ED006-3075-4D42-BC68-84B5832A59DC}"/>
    <cellStyle name="Normal 2 8 2 2 6 2 2" xfId="35859" xr:uid="{5B7DB3AA-2D5F-4B66-B642-10537A847157}"/>
    <cellStyle name="Normal 2 8 2 2 6 2 3" xfId="35860" xr:uid="{1A3902E5-D249-484A-B28B-54B4444FAD25}"/>
    <cellStyle name="Normal 2 8 2 2 6 2 4" xfId="35861" xr:uid="{D52E4C16-2D00-47FF-8187-D19C4734215C}"/>
    <cellStyle name="Normal 2 8 2 2 6 2 5" xfId="35862" xr:uid="{4A48066A-BABE-4E9B-B651-CB1875BC93D7}"/>
    <cellStyle name="Normal 2 8 2 2 6 3" xfId="35863" xr:uid="{CDBE5DFF-C9ED-4A2C-BEEC-C684FFB692FD}"/>
    <cellStyle name="Normal 2 8 2 2 6 4" xfId="35864" xr:uid="{78CB6E55-4F9A-4E6E-BC43-3A990DB3BF24}"/>
    <cellStyle name="Normal 2 8 2 2 6 5" xfId="35865" xr:uid="{E4C395C1-B1DC-488A-B198-2AAAB602F5C2}"/>
    <cellStyle name="Normal 2 8 2 2 6 6" xfId="35866" xr:uid="{9311820D-9303-4222-8775-3FB56781A3B2}"/>
    <cellStyle name="Normal 2 8 2 2 7" xfId="35867" xr:uid="{04BC5725-0CFF-41D1-AF72-4CAEFBA8173A}"/>
    <cellStyle name="Normal 2 8 2 2 7 2" xfId="35868" xr:uid="{18E72652-EE19-4E03-B592-DBB803F5BAC6}"/>
    <cellStyle name="Normal 2 8 2 2 7 3" xfId="35869" xr:uid="{EAF02AF6-D28C-463B-AF61-11302E9A66A2}"/>
    <cellStyle name="Normal 2 8 2 2 7 4" xfId="35870" xr:uid="{73F65F7E-033C-499D-A483-A36C9BF5067B}"/>
    <cellStyle name="Normal 2 8 2 2 7 5" xfId="35871" xr:uid="{7B702D66-A469-44C5-B6CC-3EC31FF34F75}"/>
    <cellStyle name="Normal 2 8 2 2 8" xfId="35872" xr:uid="{BCB8C0CF-F6DA-4133-B2DA-8335B4377929}"/>
    <cellStyle name="Normal 2 8 2 2 8 2" xfId="35873" xr:uid="{A8A5F0A2-0A00-4472-AE8B-4B169FD704BC}"/>
    <cellStyle name="Normal 2 8 2 2 8 3" xfId="35874" xr:uid="{1B990FF7-1112-43F1-A8D9-12F6078A82BB}"/>
    <cellStyle name="Normal 2 8 2 2 8 4" xfId="35875" xr:uid="{E1DED566-041F-4A8F-A02F-BF843A7EAFEE}"/>
    <cellStyle name="Normal 2 8 2 2 8 5" xfId="35876" xr:uid="{0B0EBB13-88B7-4E9A-8C73-6DA0A2D363D9}"/>
    <cellStyle name="Normal 2 8 2 2 9" xfId="35877" xr:uid="{444C2762-4F4E-4A6B-A931-B43A537E6BB4}"/>
    <cellStyle name="Normal 2 8 2 2 9 2" xfId="35878" xr:uid="{FCAB363B-EAEF-4957-B8A7-2B99C8BC8A9B}"/>
    <cellStyle name="Normal 2 8 2 2 9 3" xfId="35879" xr:uid="{55193325-8FA1-4F0D-BE6B-E02926EC63BD}"/>
    <cellStyle name="Normal 2 8 2 2 9 4" xfId="35880" xr:uid="{DA84C31F-2492-4650-A1DB-E896B27A34DF}"/>
    <cellStyle name="Normal 2 8 2 2 9 5" xfId="35881" xr:uid="{C3EE3250-375E-499C-AD27-36F67A176DCB}"/>
    <cellStyle name="Normal 2 8 2 3" xfId="35882" xr:uid="{588304C0-9B60-4BF1-A4DA-1BA7AAF2320B}"/>
    <cellStyle name="Normal 2 8 2 3 10" xfId="35883" xr:uid="{0E8C53C1-D2EC-4633-84AB-594B4AB5468D}"/>
    <cellStyle name="Normal 2 8 2 3 11" xfId="35884" xr:uid="{F0773C19-4FFB-4441-B961-79A49A2A3AB1}"/>
    <cellStyle name="Normal 2 8 2 3 12" xfId="35885" xr:uid="{523353B0-8983-404A-821E-FE02F130DD4A}"/>
    <cellStyle name="Normal 2 8 2 3 13" xfId="35886" xr:uid="{66A22B93-BE6E-4F44-84FE-1485F2911A45}"/>
    <cellStyle name="Normal 2 8 2 3 2" xfId="35887" xr:uid="{C4A9218B-2E7F-426B-A4DC-27359C4BA29C}"/>
    <cellStyle name="Normal 2 8 2 3 2 10" xfId="35888" xr:uid="{1C8EF12A-E56A-4802-B7E9-CFD429D10988}"/>
    <cellStyle name="Normal 2 8 2 3 2 11" xfId="35889" xr:uid="{629F2C52-60DD-4182-8DF6-053E2D0F4582}"/>
    <cellStyle name="Normal 2 8 2 3 2 12" xfId="35890" xr:uid="{D7004923-A97E-4EF3-B61C-586A7E4F398A}"/>
    <cellStyle name="Normal 2 8 2 3 2 2" xfId="35891" xr:uid="{DEEC0AEB-AF37-4A9F-8C0A-9454FC16C65C}"/>
    <cellStyle name="Normal 2 8 2 3 2 2 2" xfId="35892" xr:uid="{97605894-8AAA-4666-82E4-658D8DC9D0AF}"/>
    <cellStyle name="Normal 2 8 2 3 2 2 2 2" xfId="35893" xr:uid="{5EE00823-AAC7-4B16-B5C9-208626FBC8A3}"/>
    <cellStyle name="Normal 2 8 2 3 2 2 2 3" xfId="35894" xr:uid="{F5CBA09D-6D44-4971-9042-CC9FBA2DF52D}"/>
    <cellStyle name="Normal 2 8 2 3 2 2 2 4" xfId="35895" xr:uid="{05E3B550-0894-4638-ABB9-9C25BD56375E}"/>
    <cellStyle name="Normal 2 8 2 3 2 2 2 5" xfId="35896" xr:uid="{C5AEE6B5-247A-4451-90F4-3F06198E744B}"/>
    <cellStyle name="Normal 2 8 2 3 2 2 3" xfId="35897" xr:uid="{5E87DF7A-AC30-4B63-8431-8A2991CF20F3}"/>
    <cellStyle name="Normal 2 8 2 3 2 2 4" xfId="35898" xr:uid="{BE3F5BE2-ED04-4B8F-ABF7-FB836EBCE482}"/>
    <cellStyle name="Normal 2 8 2 3 2 2 5" xfId="35899" xr:uid="{1331FF6E-9DE1-4C77-BEBF-4B243FD21B5C}"/>
    <cellStyle name="Normal 2 8 2 3 2 2 6" xfId="35900" xr:uid="{D643A853-6588-444D-A17B-6BA32E1E8E0E}"/>
    <cellStyle name="Normal 2 8 2 3 2 3" xfId="35901" xr:uid="{74A73955-78E4-45E2-BDA1-5AB3B7780E5B}"/>
    <cellStyle name="Normal 2 8 2 3 2 3 2" xfId="35902" xr:uid="{AD3D2984-F1FE-4700-8A33-05A69C7A8D65}"/>
    <cellStyle name="Normal 2 8 2 3 2 3 2 2" xfId="35903" xr:uid="{E0B7A2E9-B3A7-4AB1-AC1D-18FA9AA6EB82}"/>
    <cellStyle name="Normal 2 8 2 3 2 3 2 3" xfId="35904" xr:uid="{69F49E37-3EFA-4609-9B32-17B76EE7333D}"/>
    <cellStyle name="Normal 2 8 2 3 2 3 2 4" xfId="35905" xr:uid="{69D5C766-3DE8-47B7-88E1-72625C83EDB2}"/>
    <cellStyle name="Normal 2 8 2 3 2 3 2 5" xfId="35906" xr:uid="{5B93CB2A-6A01-48B4-B058-F8A45F339A95}"/>
    <cellStyle name="Normal 2 8 2 3 2 3 3" xfId="35907" xr:uid="{EABA2CDB-77EE-4309-A1FB-6907EFF0CC73}"/>
    <cellStyle name="Normal 2 8 2 3 2 3 4" xfId="35908" xr:uid="{F6AF3D40-FDA9-4392-87FE-BA4D6601AFB5}"/>
    <cellStyle name="Normal 2 8 2 3 2 3 5" xfId="35909" xr:uid="{69ADDEA0-526D-4A92-8EA0-A906302F5663}"/>
    <cellStyle name="Normal 2 8 2 3 2 3 6" xfId="35910" xr:uid="{6789217A-BEC1-4B26-968C-EBE406EA931E}"/>
    <cellStyle name="Normal 2 8 2 3 2 4" xfId="35911" xr:uid="{04DC63CF-950E-40E0-A600-54335B178870}"/>
    <cellStyle name="Normal 2 8 2 3 2 4 2" xfId="35912" xr:uid="{7E03764E-DDFE-47DA-94E9-5DA4BC33FFFE}"/>
    <cellStyle name="Normal 2 8 2 3 2 4 2 2" xfId="35913" xr:uid="{61CEC873-948A-4814-ADEE-17B37BBAAD0A}"/>
    <cellStyle name="Normal 2 8 2 3 2 4 2 3" xfId="35914" xr:uid="{F71FF0A6-F6CA-40BD-B3C7-E2DF1B9635ED}"/>
    <cellStyle name="Normal 2 8 2 3 2 4 2 4" xfId="35915" xr:uid="{33A4C15C-2A7E-44D5-B44E-0E17CC75D950}"/>
    <cellStyle name="Normal 2 8 2 3 2 4 2 5" xfId="35916" xr:uid="{3F2C8712-2B19-4576-8D9C-7D17FECA6623}"/>
    <cellStyle name="Normal 2 8 2 3 2 4 3" xfId="35917" xr:uid="{5BC09C03-2C6B-452A-8A07-7C2C079AC8F0}"/>
    <cellStyle name="Normal 2 8 2 3 2 4 4" xfId="35918" xr:uid="{E428CA69-F5FF-4A0A-A69A-50A72FF76C9C}"/>
    <cellStyle name="Normal 2 8 2 3 2 4 5" xfId="35919" xr:uid="{2638A037-4A65-4326-9432-91D60DFAAB90}"/>
    <cellStyle name="Normal 2 8 2 3 2 4 6" xfId="35920" xr:uid="{18EB7F6C-6181-4302-AB84-BDB8BBD2FFA9}"/>
    <cellStyle name="Normal 2 8 2 3 2 5" xfId="35921" xr:uid="{53D9ACD2-32C2-4087-8C36-5D5FDE9B8870}"/>
    <cellStyle name="Normal 2 8 2 3 2 5 2" xfId="35922" xr:uid="{2F7E2925-A8DA-4D7E-914A-7108D036C44A}"/>
    <cellStyle name="Normal 2 8 2 3 2 5 3" xfId="35923" xr:uid="{23B3AA19-0594-4442-9564-826F1FB4BB4C}"/>
    <cellStyle name="Normal 2 8 2 3 2 5 4" xfId="35924" xr:uid="{4B4788AF-4CBB-4FD9-8EBD-BE80DCEBB446}"/>
    <cellStyle name="Normal 2 8 2 3 2 5 5" xfId="35925" xr:uid="{02378284-C9B0-49D0-96EE-338B732711D0}"/>
    <cellStyle name="Normal 2 8 2 3 2 6" xfId="35926" xr:uid="{892DCAB2-D26A-4DCD-9B4F-49B835ECA0F7}"/>
    <cellStyle name="Normal 2 8 2 3 2 6 2" xfId="35927" xr:uid="{23B1A3E1-2ACF-48AA-A8AA-E57986FD239F}"/>
    <cellStyle name="Normal 2 8 2 3 2 6 3" xfId="35928" xr:uid="{CE759685-19E4-4845-A4A9-233039759219}"/>
    <cellStyle name="Normal 2 8 2 3 2 6 4" xfId="35929" xr:uid="{C0964B05-7240-4623-A039-5EE35CA0BDEB}"/>
    <cellStyle name="Normal 2 8 2 3 2 6 5" xfId="35930" xr:uid="{A49C3A02-EACE-416E-A4E1-1ED0EDEA1147}"/>
    <cellStyle name="Normal 2 8 2 3 2 7" xfId="35931" xr:uid="{565938DD-298D-434A-BA45-9A20B8C022E8}"/>
    <cellStyle name="Normal 2 8 2 3 2 7 2" xfId="35932" xr:uid="{FABB40DC-1164-4EE0-939E-289B9C615F2A}"/>
    <cellStyle name="Normal 2 8 2 3 2 7 3" xfId="35933" xr:uid="{76DAF653-EB22-4DBF-A91A-DAE54E1EC1DA}"/>
    <cellStyle name="Normal 2 8 2 3 2 7 4" xfId="35934" xr:uid="{2057E4DD-F87B-4D98-BDB0-AE53830466D1}"/>
    <cellStyle name="Normal 2 8 2 3 2 7 5" xfId="35935" xr:uid="{B0A713AC-7784-43D3-AF1D-B1D17D6371F8}"/>
    <cellStyle name="Normal 2 8 2 3 2 8" xfId="35936" xr:uid="{3FA45582-A315-43BD-9C28-058F227A4BAB}"/>
    <cellStyle name="Normal 2 8 2 3 2 8 2" xfId="35937" xr:uid="{72BF5F90-45E4-4B60-8D13-F7FDBDFFC273}"/>
    <cellStyle name="Normal 2 8 2 3 2 8 3" xfId="35938" xr:uid="{D9962767-3AD4-4A03-A18E-6330D1DC638F}"/>
    <cellStyle name="Normal 2 8 2 3 2 8 4" xfId="35939" xr:uid="{D23C8C57-7F0A-44AE-89D4-984F7F7F2861}"/>
    <cellStyle name="Normal 2 8 2 3 2 8 5" xfId="35940" xr:uid="{9A6F1E11-6A8B-464C-8B2C-6A441D3A2FE6}"/>
    <cellStyle name="Normal 2 8 2 3 2 9" xfId="35941" xr:uid="{4011289D-D89A-4408-B99E-40B8F9728D8B}"/>
    <cellStyle name="Normal 2 8 2 3 3" xfId="35942" xr:uid="{227E43AB-78EB-4DB5-8B25-9F36C14174B5}"/>
    <cellStyle name="Normal 2 8 2 3 3 2" xfId="35943" xr:uid="{7CC90753-0578-436D-ADAE-26910EF49CA3}"/>
    <cellStyle name="Normal 2 8 2 3 3 2 2" xfId="35944" xr:uid="{738A003A-0DA1-47EA-8633-43D0240670AD}"/>
    <cellStyle name="Normal 2 8 2 3 3 2 3" xfId="35945" xr:uid="{56A0799F-C524-4A2F-8908-F2BB48609C8E}"/>
    <cellStyle name="Normal 2 8 2 3 3 2 4" xfId="35946" xr:uid="{E6AA90BD-C5A0-4D5A-BF74-CD54E4612225}"/>
    <cellStyle name="Normal 2 8 2 3 3 2 5" xfId="35947" xr:uid="{70DCC900-BFB4-4041-8003-CF4F1456372A}"/>
    <cellStyle name="Normal 2 8 2 3 3 3" xfId="35948" xr:uid="{A0E06173-FE18-4C1B-ABA8-7F8EFF7E96D7}"/>
    <cellStyle name="Normal 2 8 2 3 3 4" xfId="35949" xr:uid="{C6B64B9C-0157-403D-B64F-7820212F578F}"/>
    <cellStyle name="Normal 2 8 2 3 3 5" xfId="35950" xr:uid="{9611B307-5939-4BC0-9B15-0C166148D8DA}"/>
    <cellStyle name="Normal 2 8 2 3 3 6" xfId="35951" xr:uid="{D1B98F09-E00F-43B6-A7AE-BFC0393915AA}"/>
    <cellStyle name="Normal 2 8 2 3 4" xfId="35952" xr:uid="{636E9AA4-F5B5-4250-9B4D-00BB7BCD788F}"/>
    <cellStyle name="Normal 2 8 2 3 4 2" xfId="35953" xr:uid="{3F15C4E9-4190-40D5-B220-3E9088C40244}"/>
    <cellStyle name="Normal 2 8 2 3 4 2 2" xfId="35954" xr:uid="{50E6DAF0-C40F-4C30-A2DE-4283C3F589D5}"/>
    <cellStyle name="Normal 2 8 2 3 4 2 3" xfId="35955" xr:uid="{EF61EDBD-15BC-4A36-AE73-0EAC9F618ECB}"/>
    <cellStyle name="Normal 2 8 2 3 4 2 4" xfId="35956" xr:uid="{47158BC9-EDDD-48EC-9742-FD10A25AA5F4}"/>
    <cellStyle name="Normal 2 8 2 3 4 2 5" xfId="35957" xr:uid="{DD798A4C-333F-4B6A-AD8B-FDB100A3D9F7}"/>
    <cellStyle name="Normal 2 8 2 3 4 3" xfId="35958" xr:uid="{BA7557C4-BE10-4A2B-816F-F885E4A0A368}"/>
    <cellStyle name="Normal 2 8 2 3 4 4" xfId="35959" xr:uid="{F5F91A2F-E246-4BD6-B872-1CF0F91F12B2}"/>
    <cellStyle name="Normal 2 8 2 3 4 5" xfId="35960" xr:uid="{DE19469A-9822-4A3F-BC83-E870A475A8FD}"/>
    <cellStyle name="Normal 2 8 2 3 4 6" xfId="35961" xr:uid="{2D0D23B2-8533-435B-B607-B8C0CFC38EAC}"/>
    <cellStyle name="Normal 2 8 2 3 5" xfId="35962" xr:uid="{A3EEA5DC-67AB-4C7F-A90D-22C3F60BF200}"/>
    <cellStyle name="Normal 2 8 2 3 5 2" xfId="35963" xr:uid="{E58241F9-12C4-47EC-A551-51A414C84328}"/>
    <cellStyle name="Normal 2 8 2 3 5 2 2" xfId="35964" xr:uid="{3B62C489-D602-4302-9C5B-204AE1DA3828}"/>
    <cellStyle name="Normal 2 8 2 3 5 2 3" xfId="35965" xr:uid="{BB89501E-2B44-4263-AC91-DD0AF8A81875}"/>
    <cellStyle name="Normal 2 8 2 3 5 2 4" xfId="35966" xr:uid="{38E86C3B-EC15-40CE-A310-303BEC41551D}"/>
    <cellStyle name="Normal 2 8 2 3 5 2 5" xfId="35967" xr:uid="{632946B7-490B-441E-91F7-E827505124C3}"/>
    <cellStyle name="Normal 2 8 2 3 5 3" xfId="35968" xr:uid="{D7293510-4245-4614-AC62-3EEBDFB90082}"/>
    <cellStyle name="Normal 2 8 2 3 5 4" xfId="35969" xr:uid="{A16C7B85-EE5A-4342-B544-E5D73B3264B0}"/>
    <cellStyle name="Normal 2 8 2 3 5 5" xfId="35970" xr:uid="{C2124E67-7758-47EB-A94D-A04E7110AC12}"/>
    <cellStyle name="Normal 2 8 2 3 5 6" xfId="35971" xr:uid="{F5F34F08-E43E-4643-B826-CACD49737503}"/>
    <cellStyle name="Normal 2 8 2 3 6" xfId="35972" xr:uid="{19FC694F-B042-41F6-B886-D673D6F41DB6}"/>
    <cellStyle name="Normal 2 8 2 3 6 2" xfId="35973" xr:uid="{156DAFB9-CFF3-4540-820D-37A11EECB157}"/>
    <cellStyle name="Normal 2 8 2 3 6 3" xfId="35974" xr:uid="{4B3D60A8-6E2B-4CD6-BB55-D9F817639B8C}"/>
    <cellStyle name="Normal 2 8 2 3 6 4" xfId="35975" xr:uid="{CD960967-9B45-41AD-9C97-2730BEAB364B}"/>
    <cellStyle name="Normal 2 8 2 3 6 5" xfId="35976" xr:uid="{527B801F-ACD6-4DEE-A709-4C7CB74D862E}"/>
    <cellStyle name="Normal 2 8 2 3 7" xfId="35977" xr:uid="{F0BFB487-2B5A-47B0-9746-CA6C9068971B}"/>
    <cellStyle name="Normal 2 8 2 3 7 2" xfId="35978" xr:uid="{79F54425-B948-43B7-A4E2-D40B722AE1CC}"/>
    <cellStyle name="Normal 2 8 2 3 7 3" xfId="35979" xr:uid="{71091249-7456-4592-9455-BC57409B3E35}"/>
    <cellStyle name="Normal 2 8 2 3 7 4" xfId="35980" xr:uid="{5B2B2B42-31EA-4A5E-AA47-13734BADAFDA}"/>
    <cellStyle name="Normal 2 8 2 3 7 5" xfId="35981" xr:uid="{8DB77A01-47F9-478F-8D55-995D391DA1DC}"/>
    <cellStyle name="Normal 2 8 2 3 8" xfId="35982" xr:uid="{AE74649E-BA3C-4B38-9799-6C27166F7184}"/>
    <cellStyle name="Normal 2 8 2 3 8 2" xfId="35983" xr:uid="{C5460E33-3419-47E9-B9F0-8693E7715BA2}"/>
    <cellStyle name="Normal 2 8 2 3 8 3" xfId="35984" xr:uid="{E8C37B9A-650D-48C8-8930-F20749C3BF59}"/>
    <cellStyle name="Normal 2 8 2 3 8 4" xfId="35985" xr:uid="{36D18293-E440-4DD3-BF65-5FD20BD2D33C}"/>
    <cellStyle name="Normal 2 8 2 3 8 5" xfId="35986" xr:uid="{081244B8-05B7-4C3D-AA90-B83B0499AC1F}"/>
    <cellStyle name="Normal 2 8 2 3 9" xfId="35987" xr:uid="{E9135B36-970B-463E-B1E4-0381AE1F250A}"/>
    <cellStyle name="Normal 2 8 2 3 9 2" xfId="35988" xr:uid="{41D7CB33-7E42-4FE1-9BD5-3166D9E33CFE}"/>
    <cellStyle name="Normal 2 8 2 3 9 3" xfId="35989" xr:uid="{C0D51C53-F5FA-432B-93A9-ADE3E5DA313C}"/>
    <cellStyle name="Normal 2 8 2 3 9 4" xfId="35990" xr:uid="{F7C761D5-942D-4056-B850-F459AB5B7A38}"/>
    <cellStyle name="Normal 2 8 2 3 9 5" xfId="35991" xr:uid="{D1B7C969-5671-424F-A0A0-4757904AB25D}"/>
    <cellStyle name="Normal 2 8 2 4" xfId="35992" xr:uid="{FF81A8EA-5CEE-4C86-B364-E43E48631C94}"/>
    <cellStyle name="Normal 2 8 2 4 10" xfId="35993" xr:uid="{3C902CF2-637C-420F-B3CA-4A6CE744AD41}"/>
    <cellStyle name="Normal 2 8 2 4 11" xfId="35994" xr:uid="{7BA73157-85AD-4A95-B603-87F82AC94584}"/>
    <cellStyle name="Normal 2 8 2 4 12" xfId="35995" xr:uid="{3B5411A6-929A-4065-BCB9-FBF9C90BF46A}"/>
    <cellStyle name="Normal 2 8 2 4 2" xfId="35996" xr:uid="{514DE63A-1534-45E5-89FD-A47D1E33327F}"/>
    <cellStyle name="Normal 2 8 2 4 2 2" xfId="35997" xr:uid="{6526A8B1-C8A6-40C3-AB4E-57DB7622A6E4}"/>
    <cellStyle name="Normal 2 8 2 4 2 2 2" xfId="35998" xr:uid="{DDB4F231-780C-4B54-BCE7-01C4455CA4E6}"/>
    <cellStyle name="Normal 2 8 2 4 2 2 3" xfId="35999" xr:uid="{495F8F85-C639-4614-96AA-661743A89325}"/>
    <cellStyle name="Normal 2 8 2 4 2 2 4" xfId="36000" xr:uid="{3B5DFC29-0B89-4E38-9A89-A2C5FC96A5B7}"/>
    <cellStyle name="Normal 2 8 2 4 2 2 5" xfId="36001" xr:uid="{9CFE8692-1BF1-4B05-9B15-3BAB4FC66C83}"/>
    <cellStyle name="Normal 2 8 2 4 2 3" xfId="36002" xr:uid="{B886DEED-6F90-47B6-B6DA-DB6CB397B30A}"/>
    <cellStyle name="Normal 2 8 2 4 2 4" xfId="36003" xr:uid="{494C6B3B-E351-4569-BD6B-E1A2BD81CB77}"/>
    <cellStyle name="Normal 2 8 2 4 2 5" xfId="36004" xr:uid="{A33CA9EE-8C36-4561-9179-E303C820C83A}"/>
    <cellStyle name="Normal 2 8 2 4 2 6" xfId="36005" xr:uid="{8B8045C6-B470-482D-9837-FED64532928F}"/>
    <cellStyle name="Normal 2 8 2 4 3" xfId="36006" xr:uid="{F74A5106-4B4F-4D13-8B3D-7470EC84F9EC}"/>
    <cellStyle name="Normal 2 8 2 4 3 2" xfId="36007" xr:uid="{EF10EB56-568D-4804-8B4C-37F45BE027A8}"/>
    <cellStyle name="Normal 2 8 2 4 3 2 2" xfId="36008" xr:uid="{36147A5D-763A-48AD-8B7B-852B2C7F3652}"/>
    <cellStyle name="Normal 2 8 2 4 3 2 3" xfId="36009" xr:uid="{4DBF9A26-7744-43BD-A893-ECA2243F9958}"/>
    <cellStyle name="Normal 2 8 2 4 3 2 4" xfId="36010" xr:uid="{1C3F8A86-A5D5-46B4-BAA8-02F18980E225}"/>
    <cellStyle name="Normal 2 8 2 4 3 2 5" xfId="36011" xr:uid="{100E8E85-5D94-4F7C-B12B-B0B156B41979}"/>
    <cellStyle name="Normal 2 8 2 4 3 3" xfId="36012" xr:uid="{054F190B-9A8E-4C9C-BB4C-5E02983D1D5F}"/>
    <cellStyle name="Normal 2 8 2 4 3 4" xfId="36013" xr:uid="{82F406CE-11BA-4C66-90EE-E0717EC87E2E}"/>
    <cellStyle name="Normal 2 8 2 4 3 5" xfId="36014" xr:uid="{06554566-7228-4E31-A849-935DBBCF364C}"/>
    <cellStyle name="Normal 2 8 2 4 3 6" xfId="36015" xr:uid="{B0650036-3EE4-4776-A7CE-4A59CA6878D2}"/>
    <cellStyle name="Normal 2 8 2 4 4" xfId="36016" xr:uid="{BE7DB690-B635-431F-AA58-DAB6E1328702}"/>
    <cellStyle name="Normal 2 8 2 4 4 2" xfId="36017" xr:uid="{408A1544-F7F5-4DFF-9B82-7F44C43DFBC0}"/>
    <cellStyle name="Normal 2 8 2 4 4 2 2" xfId="36018" xr:uid="{B201EEE7-9AC3-4342-84B4-9A50DFA49662}"/>
    <cellStyle name="Normal 2 8 2 4 4 2 3" xfId="36019" xr:uid="{2A8B1768-0D1A-45A0-AA9A-5788AA96D4C3}"/>
    <cellStyle name="Normal 2 8 2 4 4 2 4" xfId="36020" xr:uid="{0566D7A3-7E0E-4FEE-B373-8169594EBAE3}"/>
    <cellStyle name="Normal 2 8 2 4 4 2 5" xfId="36021" xr:uid="{52A41E1C-2B18-44DE-B802-84DAD7E0B6D4}"/>
    <cellStyle name="Normal 2 8 2 4 4 3" xfId="36022" xr:uid="{08061C06-8FF5-477E-B9E1-1CD0B9E02614}"/>
    <cellStyle name="Normal 2 8 2 4 4 4" xfId="36023" xr:uid="{98F26DF6-87E3-413D-9B28-5BE8E39BAE08}"/>
    <cellStyle name="Normal 2 8 2 4 4 5" xfId="36024" xr:uid="{CB29568E-2799-4B62-9A39-09152107557D}"/>
    <cellStyle name="Normal 2 8 2 4 4 6" xfId="36025" xr:uid="{C9C78D76-5431-4C6B-B8C1-B1AD5E94DA6D}"/>
    <cellStyle name="Normal 2 8 2 4 5" xfId="36026" xr:uid="{81E70FF3-6A93-40CC-ADEF-4A95F8C812E1}"/>
    <cellStyle name="Normal 2 8 2 4 5 2" xfId="36027" xr:uid="{62758256-2A30-4AA8-9793-E94533CFE5E5}"/>
    <cellStyle name="Normal 2 8 2 4 5 3" xfId="36028" xr:uid="{5ACD159D-40B8-47AD-B8F2-B37851EDDD93}"/>
    <cellStyle name="Normal 2 8 2 4 5 4" xfId="36029" xr:uid="{A7FAABD2-D430-4DDB-9309-9989FB582C63}"/>
    <cellStyle name="Normal 2 8 2 4 5 5" xfId="36030" xr:uid="{54639347-A213-4F4A-B476-2AF5924C59D0}"/>
    <cellStyle name="Normal 2 8 2 4 6" xfId="36031" xr:uid="{38954354-86D1-440B-97BF-0A35CC727BD7}"/>
    <cellStyle name="Normal 2 8 2 4 6 2" xfId="36032" xr:uid="{5B710569-663A-4E8C-8885-AE03103C6848}"/>
    <cellStyle name="Normal 2 8 2 4 6 3" xfId="36033" xr:uid="{6BB90500-F46C-4351-9C1B-FFA78895FD18}"/>
    <cellStyle name="Normal 2 8 2 4 6 4" xfId="36034" xr:uid="{09C2A572-5677-4B41-B18F-E3F1481800D0}"/>
    <cellStyle name="Normal 2 8 2 4 6 5" xfId="36035" xr:uid="{E9AB52E6-FF58-46AE-9D14-D808B4E334C0}"/>
    <cellStyle name="Normal 2 8 2 4 7" xfId="36036" xr:uid="{129E67F6-305E-4F50-A23F-DB0B45C38AAE}"/>
    <cellStyle name="Normal 2 8 2 4 7 2" xfId="36037" xr:uid="{5970B488-F255-42F7-98F0-766DC0251667}"/>
    <cellStyle name="Normal 2 8 2 4 7 3" xfId="36038" xr:uid="{70019C6A-4D08-4F0E-9047-B9E5F6EE33F8}"/>
    <cellStyle name="Normal 2 8 2 4 7 4" xfId="36039" xr:uid="{413F64A0-8253-406E-BF02-03668EDBB5C8}"/>
    <cellStyle name="Normal 2 8 2 4 7 5" xfId="36040" xr:uid="{82491A7A-EA9A-48F9-8F32-855E111C1081}"/>
    <cellStyle name="Normal 2 8 2 4 8" xfId="36041" xr:uid="{9BB17497-4B4E-42EE-84A3-9564953EB220}"/>
    <cellStyle name="Normal 2 8 2 4 8 2" xfId="36042" xr:uid="{625535B1-500E-4930-A95F-04A38CC12AD7}"/>
    <cellStyle name="Normal 2 8 2 4 8 3" xfId="36043" xr:uid="{E01533E4-8AA3-4AC7-A8A9-BB9DB93EA6F0}"/>
    <cellStyle name="Normal 2 8 2 4 8 4" xfId="36044" xr:uid="{27341744-6CB6-4A2A-9CD2-599DE5892150}"/>
    <cellStyle name="Normal 2 8 2 4 8 5" xfId="36045" xr:uid="{20E84A72-DA5A-4A92-B475-8D39E681BA2A}"/>
    <cellStyle name="Normal 2 8 2 4 9" xfId="36046" xr:uid="{63C263CD-E9E8-41A1-985F-8F0952E3C95A}"/>
    <cellStyle name="Normal 2 8 2 5" xfId="36047" xr:uid="{A3D83727-C25A-4471-AE5D-C2DC0766170E}"/>
    <cellStyle name="Normal 2 8 2 5 2" xfId="36048" xr:uid="{DD5282C7-6A59-498A-8E07-F6F6086BAD32}"/>
    <cellStyle name="Normal 2 8 2 5 2 2" xfId="36049" xr:uid="{7DC98B01-9FE8-4951-B252-B22C589D298B}"/>
    <cellStyle name="Normal 2 8 2 5 2 3" xfId="36050" xr:uid="{D3333FE9-4928-4352-B875-0C8FF660FF9C}"/>
    <cellStyle name="Normal 2 8 2 5 2 4" xfId="36051" xr:uid="{2668F6D1-BA18-40A8-897D-ABA23AEB8E7D}"/>
    <cellStyle name="Normal 2 8 2 5 2 5" xfId="36052" xr:uid="{71DFD4EC-A1F0-4CE1-847C-5ECACAB30A91}"/>
    <cellStyle name="Normal 2 8 2 5 3" xfId="36053" xr:uid="{57E17A97-2393-4059-B4AA-2A65E7CACBF2}"/>
    <cellStyle name="Normal 2 8 2 5 4" xfId="36054" xr:uid="{3B3F890D-0A82-49B9-A09C-C085A6A8DEF5}"/>
    <cellStyle name="Normal 2 8 2 5 5" xfId="36055" xr:uid="{E4131832-CAB0-422E-B737-4A02A1FAA172}"/>
    <cellStyle name="Normal 2 8 2 5 6" xfId="36056" xr:uid="{C1A9AD52-01C1-404A-9ED8-E7662CA7A35F}"/>
    <cellStyle name="Normal 2 8 2 6" xfId="36057" xr:uid="{521BB235-E22E-42FD-87CF-A65DD83B50DA}"/>
    <cellStyle name="Normal 2 8 2 6 2" xfId="36058" xr:uid="{7CB480B7-205B-465B-AFDC-FA6DEADB079F}"/>
    <cellStyle name="Normal 2 8 2 6 2 2" xfId="36059" xr:uid="{59F52631-59E3-4201-8ECC-F982AFE55417}"/>
    <cellStyle name="Normal 2 8 2 6 2 3" xfId="36060" xr:uid="{A28D23A8-5A66-43E6-8F4B-B9D768D75D98}"/>
    <cellStyle name="Normal 2 8 2 6 2 4" xfId="36061" xr:uid="{98B70216-EC2B-4081-A5CC-4F5CC5BDC4B6}"/>
    <cellStyle name="Normal 2 8 2 6 2 5" xfId="36062" xr:uid="{34A54FDB-C84A-4CBC-B500-83E03793D0FE}"/>
    <cellStyle name="Normal 2 8 2 6 3" xfId="36063" xr:uid="{37E9F39B-9965-4793-BFC2-659E76197BDD}"/>
    <cellStyle name="Normal 2 8 2 6 4" xfId="36064" xr:uid="{D61CCAC3-607E-42C5-93F8-10EE4CCC84E0}"/>
    <cellStyle name="Normal 2 8 2 6 5" xfId="36065" xr:uid="{7CB2E700-7641-46CD-B889-CC8809BD5B6A}"/>
    <cellStyle name="Normal 2 8 2 6 6" xfId="36066" xr:uid="{FE311750-8262-4DE6-956A-1933F683E12C}"/>
    <cellStyle name="Normal 2 8 2 7" xfId="36067" xr:uid="{D14F6B1A-A342-469D-984D-7458D8EB5A11}"/>
    <cellStyle name="Normal 2 8 2 7 2" xfId="36068" xr:uid="{A519579E-083E-4D7E-AA3B-2C994501F7D5}"/>
    <cellStyle name="Normal 2 8 2 7 2 2" xfId="36069" xr:uid="{58F2E5E6-F4F3-46EA-B1D0-0FB2558C808D}"/>
    <cellStyle name="Normal 2 8 2 7 2 3" xfId="36070" xr:uid="{A2619BB6-FC8F-4E0C-98B4-2D6BC5837077}"/>
    <cellStyle name="Normal 2 8 2 7 2 4" xfId="36071" xr:uid="{83EFC64A-3AAE-45F7-B2E5-572A5CCE997A}"/>
    <cellStyle name="Normal 2 8 2 7 2 5" xfId="36072" xr:uid="{736BDCAB-6286-49FC-9F77-DD797329C3CF}"/>
    <cellStyle name="Normal 2 8 2 7 3" xfId="36073" xr:uid="{00C2463B-E7D6-435B-87AB-290051A90277}"/>
    <cellStyle name="Normal 2 8 2 7 4" xfId="36074" xr:uid="{EB065F7F-84EB-47CB-A94E-1F680C8F3C53}"/>
    <cellStyle name="Normal 2 8 2 7 5" xfId="36075" xr:uid="{A71AEDDF-5872-4BD5-8083-8CBAF5F39B38}"/>
    <cellStyle name="Normal 2 8 2 7 6" xfId="36076" xr:uid="{F4F58086-BB34-4C4E-8AA4-D3ADB35CA428}"/>
    <cellStyle name="Normal 2 8 2 8" xfId="36077" xr:uid="{5CED0132-A119-479A-8518-DE277AFFEA1A}"/>
    <cellStyle name="Normal 2 8 2 8 2" xfId="36078" xr:uid="{1C2E73E4-061C-4D78-AFD6-18FCFCEE6821}"/>
    <cellStyle name="Normal 2 8 2 8 3" xfId="36079" xr:uid="{F892EC71-FC6B-436C-9866-3C70D9BB3B72}"/>
    <cellStyle name="Normal 2 8 2 8 4" xfId="36080" xr:uid="{EE410AE2-B779-4C75-8BC5-99C91B195BB5}"/>
    <cellStyle name="Normal 2 8 2 8 5" xfId="36081" xr:uid="{845BB082-D270-4CEB-BFCF-746BE69E309D}"/>
    <cellStyle name="Normal 2 8 2 9" xfId="36082" xr:uid="{7CFB0786-173C-4ADD-9C9A-5FBB40504424}"/>
    <cellStyle name="Normal 2 8 2 9 2" xfId="36083" xr:uid="{B8CBAF4B-723C-4EC8-95E3-D9DEBFC26983}"/>
    <cellStyle name="Normal 2 8 2 9 3" xfId="36084" xr:uid="{1D5E5151-4E77-457D-86A7-208498269339}"/>
    <cellStyle name="Normal 2 8 2 9 4" xfId="36085" xr:uid="{252B6F8F-1174-4C74-AA56-AFA45B68FC33}"/>
    <cellStyle name="Normal 2 8 2 9 5" xfId="36086" xr:uid="{67990552-E712-4930-B8D3-DFA3349A6F58}"/>
    <cellStyle name="Normal 2 8 3" xfId="36087" xr:uid="{71D719C5-FE5C-45FC-9D60-D82C79253574}"/>
    <cellStyle name="Normal 2 8 3 10" xfId="36088" xr:uid="{622B1196-24CF-4C45-8041-4A3C3BD596DE}"/>
    <cellStyle name="Normal 2 8 3 10 2" xfId="36089" xr:uid="{6B31511B-455F-47AA-A7A4-399D26015708}"/>
    <cellStyle name="Normal 2 8 3 10 3" xfId="36090" xr:uid="{F2A37181-BE1E-4EA8-83C9-6735AD2AB7D7}"/>
    <cellStyle name="Normal 2 8 3 10 4" xfId="36091" xr:uid="{D74EB623-FAFD-46AC-8695-BFFF6E936409}"/>
    <cellStyle name="Normal 2 8 3 10 5" xfId="36092" xr:uid="{35C33C92-CE40-4748-9327-8E953699A1C9}"/>
    <cellStyle name="Normal 2 8 3 11" xfId="36093" xr:uid="{9E1CF880-0CEF-418B-8C87-9FACBAF4AD75}"/>
    <cellStyle name="Normal 2 8 3 11 2" xfId="36094" xr:uid="{C5035A8F-AB82-440A-8719-303FA9CE94BA}"/>
    <cellStyle name="Normal 2 8 3 11 3" xfId="36095" xr:uid="{9BADD0B3-993B-4BF2-B553-C45C6A1B52DB}"/>
    <cellStyle name="Normal 2 8 3 11 4" xfId="36096" xr:uid="{8B3A9A69-01D9-4986-9AC3-2282BE672551}"/>
    <cellStyle name="Normal 2 8 3 11 5" xfId="36097" xr:uid="{60C3E369-9FC6-4DBF-9B56-F0252105100F}"/>
    <cellStyle name="Normal 2 8 3 12" xfId="36098" xr:uid="{9B29A898-184F-4282-BE51-5D2CA573338E}"/>
    <cellStyle name="Normal 2 8 3 13" xfId="36099" xr:uid="{E493AA36-2DD8-4F33-BD54-51A00F6FCA37}"/>
    <cellStyle name="Normal 2 8 3 14" xfId="36100" xr:uid="{12482CF5-7AB0-4066-9140-A37BA5CC3C33}"/>
    <cellStyle name="Normal 2 8 3 15" xfId="36101" xr:uid="{5391761D-DC9C-4508-90F7-A782C45DB52C}"/>
    <cellStyle name="Normal 2 8 3 2" xfId="36102" xr:uid="{B8D76476-DBCF-4859-BE1D-5210DBF3D6E7}"/>
    <cellStyle name="Normal 2 8 3 2 10" xfId="36103" xr:uid="{E86A7730-61B4-4803-91F4-E5218C63C57C}"/>
    <cellStyle name="Normal 2 8 3 2 10 2" xfId="36104" xr:uid="{C05AA4C0-C657-4F0F-BB1D-6E2BD2D59104}"/>
    <cellStyle name="Normal 2 8 3 2 10 3" xfId="36105" xr:uid="{0550329A-0AD0-4ECE-8B7A-C4CD9B96E2E7}"/>
    <cellStyle name="Normal 2 8 3 2 10 4" xfId="36106" xr:uid="{C0C177DD-601C-4961-AC4F-4A7778857E31}"/>
    <cellStyle name="Normal 2 8 3 2 10 5" xfId="36107" xr:uid="{8F8DE6EB-D34E-4887-AB1F-1E2FDB5E84F3}"/>
    <cellStyle name="Normal 2 8 3 2 11" xfId="36108" xr:uid="{A3EDEF5F-CFFB-4EEA-867D-5BC482B0E4E9}"/>
    <cellStyle name="Normal 2 8 3 2 12" xfId="36109" xr:uid="{AF4DCA6B-49E8-4E23-B945-F818F2B4C326}"/>
    <cellStyle name="Normal 2 8 3 2 13" xfId="36110" xr:uid="{0674CCE6-62A8-456B-B17E-4928FE8E8D37}"/>
    <cellStyle name="Normal 2 8 3 2 14" xfId="36111" xr:uid="{89E357FC-DAC1-40B2-A35F-83B93C183B18}"/>
    <cellStyle name="Normal 2 8 3 2 2" xfId="36112" xr:uid="{F71F2EFB-B51C-4133-82AA-2F398CC73909}"/>
    <cellStyle name="Normal 2 8 3 2 2 10" xfId="36113" xr:uid="{3953DF4F-B695-4E68-8CF2-E388C33CEC4C}"/>
    <cellStyle name="Normal 2 8 3 2 2 11" xfId="36114" xr:uid="{56F55BD6-A818-48B2-A193-7862F6FE8ABF}"/>
    <cellStyle name="Normal 2 8 3 2 2 12" xfId="36115" xr:uid="{AED05DCE-2D7D-45F1-B5A6-CFD4D8DF290D}"/>
    <cellStyle name="Normal 2 8 3 2 2 13" xfId="36116" xr:uid="{AE44C2DC-BFC3-4F64-AE48-20899187E845}"/>
    <cellStyle name="Normal 2 8 3 2 2 2" xfId="36117" xr:uid="{168F6563-0D68-4F26-AA86-B8604298C390}"/>
    <cellStyle name="Normal 2 8 3 2 2 2 10" xfId="36118" xr:uid="{42E40287-5ED3-4467-ADBF-D063A15987DA}"/>
    <cellStyle name="Normal 2 8 3 2 2 2 11" xfId="36119" xr:uid="{C4A75F84-35C2-45CB-9ADC-FCBFF88452FF}"/>
    <cellStyle name="Normal 2 8 3 2 2 2 12" xfId="36120" xr:uid="{22EB9158-7A11-4E5A-971A-6B2FEC5A36CA}"/>
    <cellStyle name="Normal 2 8 3 2 2 2 2" xfId="36121" xr:uid="{EDB3444A-33AE-4C63-B009-0432BAB53947}"/>
    <cellStyle name="Normal 2 8 3 2 2 2 2 2" xfId="36122" xr:uid="{6298E262-0E3E-450F-89AF-0A13B972725C}"/>
    <cellStyle name="Normal 2 8 3 2 2 2 2 2 2" xfId="36123" xr:uid="{0BB0EDE4-5343-4963-BFE8-33123C6F678B}"/>
    <cellStyle name="Normal 2 8 3 2 2 2 2 2 3" xfId="36124" xr:uid="{59A8EDC7-A498-43DE-8227-825613778DD4}"/>
    <cellStyle name="Normal 2 8 3 2 2 2 2 2 4" xfId="36125" xr:uid="{C6BB5AE5-8D3C-4CA6-A427-D55C21C9F30E}"/>
    <cellStyle name="Normal 2 8 3 2 2 2 2 2 5" xfId="36126" xr:uid="{69DCCC57-1E77-4E6D-89E4-FB030D19681E}"/>
    <cellStyle name="Normal 2 8 3 2 2 2 2 3" xfId="36127" xr:uid="{51CB93BC-6D36-4798-B133-DBCF798C9384}"/>
    <cellStyle name="Normal 2 8 3 2 2 2 2 4" xfId="36128" xr:uid="{4C4713D4-9008-4761-813F-D106B0A507B9}"/>
    <cellStyle name="Normal 2 8 3 2 2 2 2 5" xfId="36129" xr:uid="{C6B10F1C-6C25-4840-B7F0-80CB978F737B}"/>
    <cellStyle name="Normal 2 8 3 2 2 2 2 6" xfId="36130" xr:uid="{535C7C82-9FEA-4655-81CD-24360A7025E8}"/>
    <cellStyle name="Normal 2 8 3 2 2 2 3" xfId="36131" xr:uid="{4350F4B9-EC5F-4F02-AAA4-9FC5381B0B4E}"/>
    <cellStyle name="Normal 2 8 3 2 2 2 3 2" xfId="36132" xr:uid="{61712BDD-25CE-4CC1-9DD6-9AB74F17D698}"/>
    <cellStyle name="Normal 2 8 3 2 2 2 3 2 2" xfId="36133" xr:uid="{6122C0A8-8F7F-4525-ADCF-82CFEB26CB41}"/>
    <cellStyle name="Normal 2 8 3 2 2 2 3 2 3" xfId="36134" xr:uid="{61A44286-2A95-4E2D-AF97-1039F6E09FE1}"/>
    <cellStyle name="Normal 2 8 3 2 2 2 3 2 4" xfId="36135" xr:uid="{0BDD4BDD-1A5F-4B87-BFD4-25AB5E1B3DC4}"/>
    <cellStyle name="Normal 2 8 3 2 2 2 3 2 5" xfId="36136" xr:uid="{A60D2F4F-A328-4CE2-936F-DF22A12DC18F}"/>
    <cellStyle name="Normal 2 8 3 2 2 2 3 3" xfId="36137" xr:uid="{DA012269-7A07-4438-9EEF-E72B6BACA86D}"/>
    <cellStyle name="Normal 2 8 3 2 2 2 3 4" xfId="36138" xr:uid="{5C21E36F-AA31-4CF3-AB07-9ECE071CBA30}"/>
    <cellStyle name="Normal 2 8 3 2 2 2 3 5" xfId="36139" xr:uid="{CBAA7F96-1ABC-4BB0-8AE0-E954037B3A4F}"/>
    <cellStyle name="Normal 2 8 3 2 2 2 3 6" xfId="36140" xr:uid="{3D0472AB-7E71-4B0B-9D77-9874AA407F11}"/>
    <cellStyle name="Normal 2 8 3 2 2 2 4" xfId="36141" xr:uid="{F931491C-1E0C-4C89-A657-E66858713145}"/>
    <cellStyle name="Normal 2 8 3 2 2 2 4 2" xfId="36142" xr:uid="{32988AD0-5ABA-4FDB-8519-89E957045E34}"/>
    <cellStyle name="Normal 2 8 3 2 2 2 4 2 2" xfId="36143" xr:uid="{00199E14-0ACD-4203-B516-6302414AEE46}"/>
    <cellStyle name="Normal 2 8 3 2 2 2 4 2 3" xfId="36144" xr:uid="{9F69F8B1-4745-402A-919A-FF45CE8BAC65}"/>
    <cellStyle name="Normal 2 8 3 2 2 2 4 2 4" xfId="36145" xr:uid="{6611F433-2054-43A2-A34B-2C95F4F2D769}"/>
    <cellStyle name="Normal 2 8 3 2 2 2 4 2 5" xfId="36146" xr:uid="{06E29855-06F9-43FE-B2DD-BC23EA5AB7BF}"/>
    <cellStyle name="Normal 2 8 3 2 2 2 4 3" xfId="36147" xr:uid="{27255D4D-B59C-4760-8713-486CD6FF660D}"/>
    <cellStyle name="Normal 2 8 3 2 2 2 4 4" xfId="36148" xr:uid="{238CD2A5-93FA-4E78-8BCE-5409B273C0B2}"/>
    <cellStyle name="Normal 2 8 3 2 2 2 4 5" xfId="36149" xr:uid="{C631CD6D-8FB7-4C99-826E-4D18AB27D0B6}"/>
    <cellStyle name="Normal 2 8 3 2 2 2 4 6" xfId="36150" xr:uid="{D139FB09-4BD8-4B1A-A00D-940ED625BFE8}"/>
    <cellStyle name="Normal 2 8 3 2 2 2 5" xfId="36151" xr:uid="{1ACFAC9F-FE7B-4B4D-BF37-C5CA05266F8D}"/>
    <cellStyle name="Normal 2 8 3 2 2 2 5 2" xfId="36152" xr:uid="{8DCD2A37-63AA-42EB-840F-EBAE0BF1E1C6}"/>
    <cellStyle name="Normal 2 8 3 2 2 2 5 3" xfId="36153" xr:uid="{D14E2511-92F6-41BF-B982-339A3190A0A6}"/>
    <cellStyle name="Normal 2 8 3 2 2 2 5 4" xfId="36154" xr:uid="{EE653253-4688-4CE4-A668-636D9C997817}"/>
    <cellStyle name="Normal 2 8 3 2 2 2 5 5" xfId="36155" xr:uid="{441852FE-4455-46B0-955F-4DCFE8BB9A97}"/>
    <cellStyle name="Normal 2 8 3 2 2 2 6" xfId="36156" xr:uid="{0773FF29-8F20-4123-9A95-EA6222A8E098}"/>
    <cellStyle name="Normal 2 8 3 2 2 2 6 2" xfId="36157" xr:uid="{7AD087AD-7A4D-4F34-A27D-B97F09C701BE}"/>
    <cellStyle name="Normal 2 8 3 2 2 2 6 3" xfId="36158" xr:uid="{5EFE8F09-349A-443C-A751-79ADA399A0FB}"/>
    <cellStyle name="Normal 2 8 3 2 2 2 6 4" xfId="36159" xr:uid="{5DAB045F-4044-4B7C-B66D-FDF162D56998}"/>
    <cellStyle name="Normal 2 8 3 2 2 2 6 5" xfId="36160" xr:uid="{0E97D17B-FA6D-42C8-BEE2-363A8D7FFA65}"/>
    <cellStyle name="Normal 2 8 3 2 2 2 7" xfId="36161" xr:uid="{40B36BBB-EA92-4ABF-9A29-D4F43E13BA17}"/>
    <cellStyle name="Normal 2 8 3 2 2 2 7 2" xfId="36162" xr:uid="{EB50EAE0-011C-4CA6-AB44-A3D615C7C180}"/>
    <cellStyle name="Normal 2 8 3 2 2 2 7 3" xfId="36163" xr:uid="{F1F144ED-181D-4049-B30A-24B733B74173}"/>
    <cellStyle name="Normal 2 8 3 2 2 2 7 4" xfId="36164" xr:uid="{FE1BF0D8-9DF4-4ECD-A8A2-46DFFE6E4190}"/>
    <cellStyle name="Normal 2 8 3 2 2 2 7 5" xfId="36165" xr:uid="{31B64CFD-728D-4E56-AF80-60904F90CEE4}"/>
    <cellStyle name="Normal 2 8 3 2 2 2 8" xfId="36166" xr:uid="{F4DE07F1-5306-42CD-BFE6-F1C3BFF3AC2F}"/>
    <cellStyle name="Normal 2 8 3 2 2 2 8 2" xfId="36167" xr:uid="{E7FF8E5E-93BC-474D-980D-4C0E8C3ABCAD}"/>
    <cellStyle name="Normal 2 8 3 2 2 2 8 3" xfId="36168" xr:uid="{7467890C-B74C-4541-BA02-6988AB1E501E}"/>
    <cellStyle name="Normal 2 8 3 2 2 2 8 4" xfId="36169" xr:uid="{52DE7B0F-E869-403F-8D3B-2FD3D7E50D9A}"/>
    <cellStyle name="Normal 2 8 3 2 2 2 8 5" xfId="36170" xr:uid="{8A5D6008-44BD-4C09-BBE0-8984217E18E8}"/>
    <cellStyle name="Normal 2 8 3 2 2 2 9" xfId="36171" xr:uid="{DC0D3ACD-05F8-461E-AE44-86EA3D40FBA8}"/>
    <cellStyle name="Normal 2 8 3 2 2 3" xfId="36172" xr:uid="{18968105-8C37-4E6F-8EF1-9B4C2936F8FD}"/>
    <cellStyle name="Normal 2 8 3 2 2 3 2" xfId="36173" xr:uid="{D740670A-C220-41EF-9503-9B059411924D}"/>
    <cellStyle name="Normal 2 8 3 2 2 3 2 2" xfId="36174" xr:uid="{90A11513-E409-469D-9FA1-F5DB008509A3}"/>
    <cellStyle name="Normal 2 8 3 2 2 3 2 3" xfId="36175" xr:uid="{ED1D7789-B394-412A-BB52-5BF7E0F85BE8}"/>
    <cellStyle name="Normal 2 8 3 2 2 3 2 4" xfId="36176" xr:uid="{0F1C26E2-EC6C-4CF7-ADA3-BC75E9B0CB94}"/>
    <cellStyle name="Normal 2 8 3 2 2 3 2 5" xfId="36177" xr:uid="{93EFD8AE-BE97-4992-9EE1-5417CAEA8CF0}"/>
    <cellStyle name="Normal 2 8 3 2 2 3 3" xfId="36178" xr:uid="{ACE2475F-5F3E-4C3C-B722-7824725A43B5}"/>
    <cellStyle name="Normal 2 8 3 2 2 3 4" xfId="36179" xr:uid="{95764CC9-626A-4F78-A9DA-1BB6DA7179EB}"/>
    <cellStyle name="Normal 2 8 3 2 2 3 5" xfId="36180" xr:uid="{AFD8827D-2569-47F3-8375-DF7EC6465048}"/>
    <cellStyle name="Normal 2 8 3 2 2 3 6" xfId="36181" xr:uid="{61768591-37E7-469C-B74A-2CDF391949A5}"/>
    <cellStyle name="Normal 2 8 3 2 2 4" xfId="36182" xr:uid="{B99F39A1-216D-42FE-980C-359587EB6360}"/>
    <cellStyle name="Normal 2 8 3 2 2 4 2" xfId="36183" xr:uid="{8ED03E7C-B8BA-4374-A37B-012A94C3B6A7}"/>
    <cellStyle name="Normal 2 8 3 2 2 4 2 2" xfId="36184" xr:uid="{40874CE0-BC35-4D6B-BB87-95ACC0FAE760}"/>
    <cellStyle name="Normal 2 8 3 2 2 4 2 3" xfId="36185" xr:uid="{067A8C20-264D-4EB0-9751-0A1174A21B6D}"/>
    <cellStyle name="Normal 2 8 3 2 2 4 2 4" xfId="36186" xr:uid="{CD058B87-0937-4ACF-90A1-951F9D503682}"/>
    <cellStyle name="Normal 2 8 3 2 2 4 2 5" xfId="36187" xr:uid="{CA1D5F75-9A8F-49DE-B274-304EBF13B478}"/>
    <cellStyle name="Normal 2 8 3 2 2 4 3" xfId="36188" xr:uid="{2007BB3B-314B-4EAF-8644-FAB2C76CD50B}"/>
    <cellStyle name="Normal 2 8 3 2 2 4 4" xfId="36189" xr:uid="{C851BDFD-1852-4AAD-A381-E62CBC5034E0}"/>
    <cellStyle name="Normal 2 8 3 2 2 4 5" xfId="36190" xr:uid="{4D6FB6B9-9707-4ACE-A50F-603E81AE289B}"/>
    <cellStyle name="Normal 2 8 3 2 2 4 6" xfId="36191" xr:uid="{3DD4E6B0-9575-451D-82FD-C0E997DA4BC1}"/>
    <cellStyle name="Normal 2 8 3 2 2 5" xfId="36192" xr:uid="{007E28D3-203C-45BC-93CF-5E380838EB84}"/>
    <cellStyle name="Normal 2 8 3 2 2 5 2" xfId="36193" xr:uid="{0159A620-C2B2-4AF9-9A55-FC902DFA9A0C}"/>
    <cellStyle name="Normal 2 8 3 2 2 5 2 2" xfId="36194" xr:uid="{5A8E6FC2-C8EC-4F80-A465-54A8EF5E8349}"/>
    <cellStyle name="Normal 2 8 3 2 2 5 2 3" xfId="36195" xr:uid="{13E7A2D1-C6A8-4E6C-BDE8-57FF23AF1AED}"/>
    <cellStyle name="Normal 2 8 3 2 2 5 2 4" xfId="36196" xr:uid="{E5A21394-4DB9-4D51-A3A3-5EA8DF1FFF53}"/>
    <cellStyle name="Normal 2 8 3 2 2 5 2 5" xfId="36197" xr:uid="{85D223BC-2760-4EB6-96F5-66C9A60311BF}"/>
    <cellStyle name="Normal 2 8 3 2 2 5 3" xfId="36198" xr:uid="{DF86AC6B-EF5D-4976-BD0B-5E308B296BF7}"/>
    <cellStyle name="Normal 2 8 3 2 2 5 4" xfId="36199" xr:uid="{374979C9-902C-4204-86D8-E3792783CED7}"/>
    <cellStyle name="Normal 2 8 3 2 2 5 5" xfId="36200" xr:uid="{15F235CC-519E-48D5-A717-46FD9B46B631}"/>
    <cellStyle name="Normal 2 8 3 2 2 5 6" xfId="36201" xr:uid="{E08411A0-33CB-4180-9FC8-12E784F90F08}"/>
    <cellStyle name="Normal 2 8 3 2 2 6" xfId="36202" xr:uid="{74780D4E-369A-418F-9176-3E0EE34F3400}"/>
    <cellStyle name="Normal 2 8 3 2 2 6 2" xfId="36203" xr:uid="{56F0C3D5-43BE-4B03-BF37-0A49B802E102}"/>
    <cellStyle name="Normal 2 8 3 2 2 6 3" xfId="36204" xr:uid="{9B48F64D-C507-4F15-89C5-8A892ECACF07}"/>
    <cellStyle name="Normal 2 8 3 2 2 6 4" xfId="36205" xr:uid="{41AC1902-B4ED-4188-A607-2AC073C80BAC}"/>
    <cellStyle name="Normal 2 8 3 2 2 6 5" xfId="36206" xr:uid="{B4A0CBE7-D3ED-423C-A678-CAA1D826F2A2}"/>
    <cellStyle name="Normal 2 8 3 2 2 7" xfId="36207" xr:uid="{E67DEC2E-1E0A-495A-88C1-D4CBA1B0C86E}"/>
    <cellStyle name="Normal 2 8 3 2 2 7 2" xfId="36208" xr:uid="{CFDBCCCE-DCCD-4F22-A35F-BFEEB4CE3660}"/>
    <cellStyle name="Normal 2 8 3 2 2 7 3" xfId="36209" xr:uid="{1C25A6F0-456A-4C14-B30B-AD837542E36F}"/>
    <cellStyle name="Normal 2 8 3 2 2 7 4" xfId="36210" xr:uid="{2D91DBD3-5F88-467F-9202-F15714F1E353}"/>
    <cellStyle name="Normal 2 8 3 2 2 7 5" xfId="36211" xr:uid="{FAF96B87-5E41-4D9B-AFBB-CDCE94E1BB40}"/>
    <cellStyle name="Normal 2 8 3 2 2 8" xfId="36212" xr:uid="{F419BFEC-DC72-42E1-8C85-C91CD72B1CC2}"/>
    <cellStyle name="Normal 2 8 3 2 2 8 2" xfId="36213" xr:uid="{1F7A3BD2-6B3E-448D-868B-E44D3DE3B328}"/>
    <cellStyle name="Normal 2 8 3 2 2 8 3" xfId="36214" xr:uid="{999FE448-F3E4-428F-8926-165B9BBA4FF7}"/>
    <cellStyle name="Normal 2 8 3 2 2 8 4" xfId="36215" xr:uid="{9F45947E-F4E0-458E-BF3A-C0B758F6F7A1}"/>
    <cellStyle name="Normal 2 8 3 2 2 8 5" xfId="36216" xr:uid="{5C896917-352C-4817-B50F-2915EBC51986}"/>
    <cellStyle name="Normal 2 8 3 2 2 9" xfId="36217" xr:uid="{2F351007-4E32-4D24-A190-D79F2F8834C1}"/>
    <cellStyle name="Normal 2 8 3 2 2 9 2" xfId="36218" xr:uid="{DFD8D607-49E3-48C7-B4D3-169DF90E941E}"/>
    <cellStyle name="Normal 2 8 3 2 2 9 3" xfId="36219" xr:uid="{A052AEE5-4869-4C48-AC33-7548BA53B143}"/>
    <cellStyle name="Normal 2 8 3 2 2 9 4" xfId="36220" xr:uid="{AC29E7D9-BE9C-49C6-B5B5-5BA4899926E8}"/>
    <cellStyle name="Normal 2 8 3 2 2 9 5" xfId="36221" xr:uid="{4688D6B6-C0E9-403A-A6F7-93A89BB9CFE2}"/>
    <cellStyle name="Normal 2 8 3 2 3" xfId="36222" xr:uid="{6AD497F7-4E92-4F7A-8234-01C8DFF13CD7}"/>
    <cellStyle name="Normal 2 8 3 2 3 10" xfId="36223" xr:uid="{16773531-BB69-4B5E-A29B-7C119FD18F5A}"/>
    <cellStyle name="Normal 2 8 3 2 3 11" xfId="36224" xr:uid="{BF225F6E-7CCC-49C5-9B6D-15700CD1262A}"/>
    <cellStyle name="Normal 2 8 3 2 3 12" xfId="36225" xr:uid="{ED8AEE5E-CAA8-4B7E-B464-4A855509CC58}"/>
    <cellStyle name="Normal 2 8 3 2 3 2" xfId="36226" xr:uid="{5A038285-3C17-4BD5-A2BA-26332548007C}"/>
    <cellStyle name="Normal 2 8 3 2 3 2 2" xfId="36227" xr:uid="{3C106F12-23E2-4379-9E79-63E8A8F53356}"/>
    <cellStyle name="Normal 2 8 3 2 3 2 2 2" xfId="36228" xr:uid="{9FB87865-896B-438B-8118-C28CBC8EB56D}"/>
    <cellStyle name="Normal 2 8 3 2 3 2 2 3" xfId="36229" xr:uid="{B4C2611D-AABA-42E5-BE6A-0937F9815D3B}"/>
    <cellStyle name="Normal 2 8 3 2 3 2 2 4" xfId="36230" xr:uid="{C4382476-5670-41DF-A1EF-C7C4FB9AFB3C}"/>
    <cellStyle name="Normal 2 8 3 2 3 2 2 5" xfId="36231" xr:uid="{AC5265B4-8949-4C67-BF5B-7B504FF3ACAE}"/>
    <cellStyle name="Normal 2 8 3 2 3 2 3" xfId="36232" xr:uid="{541111AD-CB2C-41CB-9F2B-6444D423F128}"/>
    <cellStyle name="Normal 2 8 3 2 3 2 4" xfId="36233" xr:uid="{E464E5C5-2778-4216-8572-C9878E6DA8B6}"/>
    <cellStyle name="Normal 2 8 3 2 3 2 5" xfId="36234" xr:uid="{96A3B547-B396-4A27-B185-A3667C9BE46D}"/>
    <cellStyle name="Normal 2 8 3 2 3 2 6" xfId="36235" xr:uid="{87A0A084-EFDF-4D7D-B1E4-D4695454CF1B}"/>
    <cellStyle name="Normal 2 8 3 2 3 3" xfId="36236" xr:uid="{1A1449DD-9727-4B38-9F30-E89B86047E17}"/>
    <cellStyle name="Normal 2 8 3 2 3 3 2" xfId="36237" xr:uid="{22F98170-B5EC-4C4F-994D-9FDB184C766B}"/>
    <cellStyle name="Normal 2 8 3 2 3 3 2 2" xfId="36238" xr:uid="{7077229E-50E7-497A-8314-9C27A80592D0}"/>
    <cellStyle name="Normal 2 8 3 2 3 3 2 3" xfId="36239" xr:uid="{06D952DF-C89F-46B4-916B-05A72CDB0E2B}"/>
    <cellStyle name="Normal 2 8 3 2 3 3 2 4" xfId="36240" xr:uid="{51EBED70-746E-41CB-B7A9-08FAAC25FBB6}"/>
    <cellStyle name="Normal 2 8 3 2 3 3 2 5" xfId="36241" xr:uid="{738C847F-DFF7-4C7C-9144-03DAD61E1520}"/>
    <cellStyle name="Normal 2 8 3 2 3 3 3" xfId="36242" xr:uid="{9E27AC02-E69E-4053-8FA7-CC479286DF65}"/>
    <cellStyle name="Normal 2 8 3 2 3 3 4" xfId="36243" xr:uid="{06F03F0F-96F2-49D9-A953-E7154E4C9A7A}"/>
    <cellStyle name="Normal 2 8 3 2 3 3 5" xfId="36244" xr:uid="{B923D070-70EA-48E4-8928-99267E7E6922}"/>
    <cellStyle name="Normal 2 8 3 2 3 3 6" xfId="36245" xr:uid="{56F88D63-2EF1-40E8-A75B-1CD9A5138C0F}"/>
    <cellStyle name="Normal 2 8 3 2 3 4" xfId="36246" xr:uid="{61CB9F01-F135-4B41-9554-9D0874E5C757}"/>
    <cellStyle name="Normal 2 8 3 2 3 4 2" xfId="36247" xr:uid="{587F8522-48AF-4093-A2A7-C17D72B9C555}"/>
    <cellStyle name="Normal 2 8 3 2 3 4 2 2" xfId="36248" xr:uid="{48ABDA47-B40A-47DF-AEC3-867D978652D2}"/>
    <cellStyle name="Normal 2 8 3 2 3 4 2 3" xfId="36249" xr:uid="{C1E86EBB-AB7A-4625-9D8B-0B4B333F5960}"/>
    <cellStyle name="Normal 2 8 3 2 3 4 2 4" xfId="36250" xr:uid="{2F9C38E6-B0E3-4B13-9A03-E6A882523772}"/>
    <cellStyle name="Normal 2 8 3 2 3 4 2 5" xfId="36251" xr:uid="{0CE557A7-C928-4B54-9048-5021725FCDC1}"/>
    <cellStyle name="Normal 2 8 3 2 3 4 3" xfId="36252" xr:uid="{31EF3C66-A496-45CF-B833-1A00A5CB7B3C}"/>
    <cellStyle name="Normal 2 8 3 2 3 4 4" xfId="36253" xr:uid="{16519E4F-826C-4613-93A0-0E642BF05A48}"/>
    <cellStyle name="Normal 2 8 3 2 3 4 5" xfId="36254" xr:uid="{7A07434A-CF3A-4793-BB38-A6FA5FA96DAD}"/>
    <cellStyle name="Normal 2 8 3 2 3 4 6" xfId="36255" xr:uid="{494D3B35-625C-4311-AD55-A6A6BE46F6E3}"/>
    <cellStyle name="Normal 2 8 3 2 3 5" xfId="36256" xr:uid="{34F04C8E-5B24-401E-9C04-FCDA6C072EF4}"/>
    <cellStyle name="Normal 2 8 3 2 3 5 2" xfId="36257" xr:uid="{F6EFC11B-741F-407A-BEF0-414433F8861B}"/>
    <cellStyle name="Normal 2 8 3 2 3 5 3" xfId="36258" xr:uid="{1D7416B7-A541-4956-A1E8-F161757C92D3}"/>
    <cellStyle name="Normal 2 8 3 2 3 5 4" xfId="36259" xr:uid="{6C764DC4-0AB2-40C6-97BC-74413784DD67}"/>
    <cellStyle name="Normal 2 8 3 2 3 5 5" xfId="36260" xr:uid="{8528DF76-08F0-4026-A012-96B3F44DAA78}"/>
    <cellStyle name="Normal 2 8 3 2 3 6" xfId="36261" xr:uid="{917D8579-B39F-4739-BDA7-3A094CC733BB}"/>
    <cellStyle name="Normal 2 8 3 2 3 6 2" xfId="36262" xr:uid="{91F845FD-9D7D-42E6-8F46-B11A96A6A469}"/>
    <cellStyle name="Normal 2 8 3 2 3 6 3" xfId="36263" xr:uid="{9E2EE695-6D5D-4751-8D8F-39EF7AFC6B29}"/>
    <cellStyle name="Normal 2 8 3 2 3 6 4" xfId="36264" xr:uid="{7D1EB3F8-6E95-436F-8273-0BD155BF09B1}"/>
    <cellStyle name="Normal 2 8 3 2 3 6 5" xfId="36265" xr:uid="{C9522F78-F778-4878-A11C-20562DC5853E}"/>
    <cellStyle name="Normal 2 8 3 2 3 7" xfId="36266" xr:uid="{A81E3C9B-F458-47CA-A261-4ECC8832E8E9}"/>
    <cellStyle name="Normal 2 8 3 2 3 7 2" xfId="36267" xr:uid="{CD97F439-5B85-4E2D-94F1-EE6AAAC68868}"/>
    <cellStyle name="Normal 2 8 3 2 3 7 3" xfId="36268" xr:uid="{8AEFF009-D9D1-410F-AF0E-777D5EAA54C1}"/>
    <cellStyle name="Normal 2 8 3 2 3 7 4" xfId="36269" xr:uid="{5866BACA-9DAD-4DE8-B1D2-E101A71412FB}"/>
    <cellStyle name="Normal 2 8 3 2 3 7 5" xfId="36270" xr:uid="{4D3282DF-24E0-450B-AD3D-50758EDADEEA}"/>
    <cellStyle name="Normal 2 8 3 2 3 8" xfId="36271" xr:uid="{5FC6CC98-E225-4B9A-B28F-042787C24E30}"/>
    <cellStyle name="Normal 2 8 3 2 3 8 2" xfId="36272" xr:uid="{327D83CE-0F2A-49B2-BDE9-802F5C670FCC}"/>
    <cellStyle name="Normal 2 8 3 2 3 8 3" xfId="36273" xr:uid="{6463A7EB-9496-4A7E-838F-20B82A01F383}"/>
    <cellStyle name="Normal 2 8 3 2 3 8 4" xfId="36274" xr:uid="{C33D6A7B-082C-41F2-A5FA-4C52392CB015}"/>
    <cellStyle name="Normal 2 8 3 2 3 8 5" xfId="36275" xr:uid="{97C17E6D-D7E9-446F-9035-9D60A51400C5}"/>
    <cellStyle name="Normal 2 8 3 2 3 9" xfId="36276" xr:uid="{3783300F-3DA4-4165-BE65-9E673F75334A}"/>
    <cellStyle name="Normal 2 8 3 2 4" xfId="36277" xr:uid="{CA23D089-8F6C-4A9D-91B6-9A67B7EC4F12}"/>
    <cellStyle name="Normal 2 8 3 2 4 2" xfId="36278" xr:uid="{7F0C0E42-9901-4CE5-8E70-F7B7DF3D5905}"/>
    <cellStyle name="Normal 2 8 3 2 4 2 2" xfId="36279" xr:uid="{C420B4C2-304B-449C-AF44-85C00A56AA48}"/>
    <cellStyle name="Normal 2 8 3 2 4 2 3" xfId="36280" xr:uid="{780C855D-1F14-4BE4-9236-98D4E8C59058}"/>
    <cellStyle name="Normal 2 8 3 2 4 2 4" xfId="36281" xr:uid="{B8014A04-2DD5-40B2-A42C-E7606B41D206}"/>
    <cellStyle name="Normal 2 8 3 2 4 2 5" xfId="36282" xr:uid="{6413B9A3-AA2D-4985-B00E-5656E666358C}"/>
    <cellStyle name="Normal 2 8 3 2 4 3" xfId="36283" xr:uid="{3F415424-EC65-4F09-A9C7-3C7A7BA7B669}"/>
    <cellStyle name="Normal 2 8 3 2 4 4" xfId="36284" xr:uid="{86B9C8B4-684E-4A8D-8F43-E9DB865B7ED3}"/>
    <cellStyle name="Normal 2 8 3 2 4 5" xfId="36285" xr:uid="{89B87108-7C11-4958-8E72-B6D62EC71FB9}"/>
    <cellStyle name="Normal 2 8 3 2 4 6" xfId="36286" xr:uid="{BE9094C9-91EE-474B-9136-6FD6AA2EC82F}"/>
    <cellStyle name="Normal 2 8 3 2 5" xfId="36287" xr:uid="{303B847E-9084-4542-8E1E-44E25AE4E5A6}"/>
    <cellStyle name="Normal 2 8 3 2 5 2" xfId="36288" xr:uid="{52F0C70F-843F-413C-8C03-36F147CC1439}"/>
    <cellStyle name="Normal 2 8 3 2 5 2 2" xfId="36289" xr:uid="{C3776490-12B7-4C02-949D-96FCFC021581}"/>
    <cellStyle name="Normal 2 8 3 2 5 2 3" xfId="36290" xr:uid="{442F0360-AAC5-408A-8BDB-686CE414BB87}"/>
    <cellStyle name="Normal 2 8 3 2 5 2 4" xfId="36291" xr:uid="{4DA3C7F7-0F96-4B9E-ABA4-9323CF044FA8}"/>
    <cellStyle name="Normal 2 8 3 2 5 2 5" xfId="36292" xr:uid="{C0E510B1-833F-4A4F-8156-5A631B9C9C13}"/>
    <cellStyle name="Normal 2 8 3 2 5 3" xfId="36293" xr:uid="{FC7E3328-C726-4B53-81EE-1AB3F268AC39}"/>
    <cellStyle name="Normal 2 8 3 2 5 4" xfId="36294" xr:uid="{A27C9D92-FBD2-430B-AA5A-DD8958316717}"/>
    <cellStyle name="Normal 2 8 3 2 5 5" xfId="36295" xr:uid="{E26FE1D8-BA1E-42C0-9491-F8507B16A122}"/>
    <cellStyle name="Normal 2 8 3 2 5 6" xfId="36296" xr:uid="{BF7993AB-FF7B-4C4E-A076-F84543CA6F58}"/>
    <cellStyle name="Normal 2 8 3 2 6" xfId="36297" xr:uid="{1BEF855E-2DDA-4193-A0EB-A7E327962476}"/>
    <cellStyle name="Normal 2 8 3 2 6 2" xfId="36298" xr:uid="{B312AFBE-E015-491B-BCE1-79C39F1CAB00}"/>
    <cellStyle name="Normal 2 8 3 2 6 2 2" xfId="36299" xr:uid="{E5D3504A-E598-4E3B-BB42-EF690D1013FC}"/>
    <cellStyle name="Normal 2 8 3 2 6 2 3" xfId="36300" xr:uid="{F6B9FB79-BB09-4D58-B8CF-23AA78117D86}"/>
    <cellStyle name="Normal 2 8 3 2 6 2 4" xfId="36301" xr:uid="{31934B2D-3E2B-411E-AFB2-2608E5A5DE5A}"/>
    <cellStyle name="Normal 2 8 3 2 6 2 5" xfId="36302" xr:uid="{1B5EDF68-46E9-4234-B403-AA5A81E17BFC}"/>
    <cellStyle name="Normal 2 8 3 2 6 3" xfId="36303" xr:uid="{FA3D7A1B-6E9F-4DE0-8F37-64E843B38F8F}"/>
    <cellStyle name="Normal 2 8 3 2 6 4" xfId="36304" xr:uid="{D70DB621-8D10-4A6A-9B59-009B183070A6}"/>
    <cellStyle name="Normal 2 8 3 2 6 5" xfId="36305" xr:uid="{670FA7FD-DD0C-49CD-AC31-8F4869ACA753}"/>
    <cellStyle name="Normal 2 8 3 2 6 6" xfId="36306" xr:uid="{CE038A95-DF65-4DA5-904B-2B7B69F53B6E}"/>
    <cellStyle name="Normal 2 8 3 2 7" xfId="36307" xr:uid="{A9ECFBE0-5ACC-4739-ADAD-27EE6DB00422}"/>
    <cellStyle name="Normal 2 8 3 2 7 2" xfId="36308" xr:uid="{39187372-5FDF-4D49-9278-5B8A9A5BA22C}"/>
    <cellStyle name="Normal 2 8 3 2 7 3" xfId="36309" xr:uid="{AEA10F95-399B-41EB-9F48-CAE2005880F4}"/>
    <cellStyle name="Normal 2 8 3 2 7 4" xfId="36310" xr:uid="{833F463F-216E-434E-9CDB-5A3FBBA962F4}"/>
    <cellStyle name="Normal 2 8 3 2 7 5" xfId="36311" xr:uid="{A307AC24-A7F7-4E17-BF39-665BA5D05AE6}"/>
    <cellStyle name="Normal 2 8 3 2 8" xfId="36312" xr:uid="{704D8667-ACB0-4CE0-B0A7-E49EB417AB82}"/>
    <cellStyle name="Normal 2 8 3 2 8 2" xfId="36313" xr:uid="{B33264B6-D501-46E5-9234-3DFC18B90B2A}"/>
    <cellStyle name="Normal 2 8 3 2 8 3" xfId="36314" xr:uid="{0C9A30C5-01D9-4B73-B611-14B978E3EC99}"/>
    <cellStyle name="Normal 2 8 3 2 8 4" xfId="36315" xr:uid="{7C33942F-824C-4F15-A8F3-C6965C358152}"/>
    <cellStyle name="Normal 2 8 3 2 8 5" xfId="36316" xr:uid="{B7C1A264-148E-4DBE-A173-22B1705B3FC8}"/>
    <cellStyle name="Normal 2 8 3 2 9" xfId="36317" xr:uid="{FAA95938-2913-44FD-B93D-613267DE9A12}"/>
    <cellStyle name="Normal 2 8 3 2 9 2" xfId="36318" xr:uid="{0E4927A2-3A14-43CC-BEF2-444C5E112997}"/>
    <cellStyle name="Normal 2 8 3 2 9 3" xfId="36319" xr:uid="{566BAD46-5E16-47B0-A6D6-1D20F3EE1CD9}"/>
    <cellStyle name="Normal 2 8 3 2 9 4" xfId="36320" xr:uid="{777BB7D4-878D-4BD1-9341-91CBEF4CDED2}"/>
    <cellStyle name="Normal 2 8 3 2 9 5" xfId="36321" xr:uid="{44D6BCE5-0770-4AAA-B7E5-71FFC26BD806}"/>
    <cellStyle name="Normal 2 8 3 3" xfId="36322" xr:uid="{49ABF18A-0B29-463C-92E7-446571489535}"/>
    <cellStyle name="Normal 2 8 3 3 10" xfId="36323" xr:uid="{FD4E45C8-94D3-42F4-BAA3-E523C2388A23}"/>
    <cellStyle name="Normal 2 8 3 3 11" xfId="36324" xr:uid="{8BE3E252-FF15-4023-829A-E9A263F33417}"/>
    <cellStyle name="Normal 2 8 3 3 12" xfId="36325" xr:uid="{704944C9-AFFF-4FD3-BEE9-A54D49FE5BA5}"/>
    <cellStyle name="Normal 2 8 3 3 13" xfId="36326" xr:uid="{AACD24A0-DFF0-4CD6-856D-F1E84984C3EE}"/>
    <cellStyle name="Normal 2 8 3 3 2" xfId="36327" xr:uid="{1135D586-09E7-48BF-8E9C-A6281163366D}"/>
    <cellStyle name="Normal 2 8 3 3 2 10" xfId="36328" xr:uid="{8BACA8B6-D0F6-4BD0-8D3C-42D3005137A7}"/>
    <cellStyle name="Normal 2 8 3 3 2 11" xfId="36329" xr:uid="{7DB676D2-1783-4576-B50B-197D04151FA5}"/>
    <cellStyle name="Normal 2 8 3 3 2 12" xfId="36330" xr:uid="{FE8353B6-6FDA-4DC1-A571-9D43469C549E}"/>
    <cellStyle name="Normal 2 8 3 3 2 2" xfId="36331" xr:uid="{FF9ADB3D-9249-4393-8083-3CD2D0F497B2}"/>
    <cellStyle name="Normal 2 8 3 3 2 2 2" xfId="36332" xr:uid="{2E857896-90A6-4D3B-A43B-4372330A9D6C}"/>
    <cellStyle name="Normal 2 8 3 3 2 2 2 2" xfId="36333" xr:uid="{683DCA55-F86B-4DD1-89F1-254495EAAF1A}"/>
    <cellStyle name="Normal 2 8 3 3 2 2 2 3" xfId="36334" xr:uid="{E1A505C1-7E64-4F5B-9F45-DE1718CC647D}"/>
    <cellStyle name="Normal 2 8 3 3 2 2 2 4" xfId="36335" xr:uid="{3FF01C80-C394-416A-9CAD-0ED6F2CC8D51}"/>
    <cellStyle name="Normal 2 8 3 3 2 2 2 5" xfId="36336" xr:uid="{3353C2AD-8280-46FC-AD95-E97F8E3F7B2E}"/>
    <cellStyle name="Normal 2 8 3 3 2 2 3" xfId="36337" xr:uid="{9987650D-024F-4191-BBC1-434B38B0289D}"/>
    <cellStyle name="Normal 2 8 3 3 2 2 4" xfId="36338" xr:uid="{3B57D328-4332-4650-A7ED-9A22B9417005}"/>
    <cellStyle name="Normal 2 8 3 3 2 2 5" xfId="36339" xr:uid="{7AB2DFBC-624E-45F4-98DF-1C92FE4ED232}"/>
    <cellStyle name="Normal 2 8 3 3 2 2 6" xfId="36340" xr:uid="{98D191D3-526A-45D4-B592-E276595B6C0E}"/>
    <cellStyle name="Normal 2 8 3 3 2 3" xfId="36341" xr:uid="{5CB5EDAE-D19A-4F95-9053-0160BE543455}"/>
    <cellStyle name="Normal 2 8 3 3 2 3 2" xfId="36342" xr:uid="{E5536E3B-4F28-43C8-9446-64255C34AE71}"/>
    <cellStyle name="Normal 2 8 3 3 2 3 2 2" xfId="36343" xr:uid="{26EA865E-7FF3-4C9B-ABA7-15C3D9689924}"/>
    <cellStyle name="Normal 2 8 3 3 2 3 2 3" xfId="36344" xr:uid="{074FEE0B-4338-45A3-8092-BA2A6BEE571B}"/>
    <cellStyle name="Normal 2 8 3 3 2 3 2 4" xfId="36345" xr:uid="{F5B7B497-EB07-454E-9477-9C7968A56CA7}"/>
    <cellStyle name="Normal 2 8 3 3 2 3 2 5" xfId="36346" xr:uid="{B3770584-4254-4781-8901-FA1A56F4D973}"/>
    <cellStyle name="Normal 2 8 3 3 2 3 3" xfId="36347" xr:uid="{78771B06-664F-47E7-AB39-82B1D4D62AC9}"/>
    <cellStyle name="Normal 2 8 3 3 2 3 4" xfId="36348" xr:uid="{9C7A6C67-34D5-4A77-A35F-8C310E4ACAEE}"/>
    <cellStyle name="Normal 2 8 3 3 2 3 5" xfId="36349" xr:uid="{38B1E6BD-9F84-4C26-B8E1-6BAB0B735F8C}"/>
    <cellStyle name="Normal 2 8 3 3 2 3 6" xfId="36350" xr:uid="{F693A77C-97D2-4CDD-AD3A-E8A8AB8CC146}"/>
    <cellStyle name="Normal 2 8 3 3 2 4" xfId="36351" xr:uid="{C1FA4E56-F2E3-4325-9B3E-6F90B8696544}"/>
    <cellStyle name="Normal 2 8 3 3 2 4 2" xfId="36352" xr:uid="{1EF74472-F423-41BF-96D3-2E2937ED25E5}"/>
    <cellStyle name="Normal 2 8 3 3 2 4 2 2" xfId="36353" xr:uid="{7FB59294-46B1-43A4-B6B4-A61A40E7D7FD}"/>
    <cellStyle name="Normal 2 8 3 3 2 4 2 3" xfId="36354" xr:uid="{BBB48B60-2B88-4C40-9F35-7DC61B7194F5}"/>
    <cellStyle name="Normal 2 8 3 3 2 4 2 4" xfId="36355" xr:uid="{91BCFC11-CC26-45AD-882F-FCCEED9F4941}"/>
    <cellStyle name="Normal 2 8 3 3 2 4 2 5" xfId="36356" xr:uid="{A8EDD750-9159-4BB5-A65E-79C39CC6E32C}"/>
    <cellStyle name="Normal 2 8 3 3 2 4 3" xfId="36357" xr:uid="{92A53108-1FD2-4546-850E-2AADA208F426}"/>
    <cellStyle name="Normal 2 8 3 3 2 4 4" xfId="36358" xr:uid="{A55D8767-C0D9-487B-AA1D-E0B01DEC56DD}"/>
    <cellStyle name="Normal 2 8 3 3 2 4 5" xfId="36359" xr:uid="{AD3C0E5C-13C9-46D2-B551-706565430A3E}"/>
    <cellStyle name="Normal 2 8 3 3 2 4 6" xfId="36360" xr:uid="{31943C4B-E238-4EAB-A126-A9258C810C7D}"/>
    <cellStyle name="Normal 2 8 3 3 2 5" xfId="36361" xr:uid="{A8AAEA65-B0A6-465E-9F0C-ADA92546B084}"/>
    <cellStyle name="Normal 2 8 3 3 2 5 2" xfId="36362" xr:uid="{16A105F1-EA21-4F76-88A8-A5B237630849}"/>
    <cellStyle name="Normal 2 8 3 3 2 5 3" xfId="36363" xr:uid="{3956CF97-DFE0-4D04-A8A7-FAB50DF47008}"/>
    <cellStyle name="Normal 2 8 3 3 2 5 4" xfId="36364" xr:uid="{8C487FD9-5A72-450A-891F-7697202837FC}"/>
    <cellStyle name="Normal 2 8 3 3 2 5 5" xfId="36365" xr:uid="{307D7D6B-7F98-457D-8285-DAE7E3D0EDFE}"/>
    <cellStyle name="Normal 2 8 3 3 2 6" xfId="36366" xr:uid="{2977DCCA-CBDF-459F-90FE-FA8571C6D969}"/>
    <cellStyle name="Normal 2 8 3 3 2 6 2" xfId="36367" xr:uid="{9C8F5A8D-FAE1-4E20-9717-D5D793B7C1B4}"/>
    <cellStyle name="Normal 2 8 3 3 2 6 3" xfId="36368" xr:uid="{579E643F-4B07-4224-A54B-0D9F3BFB615B}"/>
    <cellStyle name="Normal 2 8 3 3 2 6 4" xfId="36369" xr:uid="{5EECD3ED-04D5-4B41-B4A4-8EE4B2C92547}"/>
    <cellStyle name="Normal 2 8 3 3 2 6 5" xfId="36370" xr:uid="{83A89825-725A-4E90-ABC4-709AF9453054}"/>
    <cellStyle name="Normal 2 8 3 3 2 7" xfId="36371" xr:uid="{A630BDDB-A9ED-4114-B6A6-8E73012C8DCD}"/>
    <cellStyle name="Normal 2 8 3 3 2 7 2" xfId="36372" xr:uid="{9F206367-6C3D-4744-A587-253F594AEBF6}"/>
    <cellStyle name="Normal 2 8 3 3 2 7 3" xfId="36373" xr:uid="{421D9EBB-63F8-4AFF-AEE9-173DFA754901}"/>
    <cellStyle name="Normal 2 8 3 3 2 7 4" xfId="36374" xr:uid="{310872B9-75F7-44D2-B340-3D7CEA2B4D71}"/>
    <cellStyle name="Normal 2 8 3 3 2 7 5" xfId="36375" xr:uid="{CD838287-4F7E-4004-8783-6026947E7E8A}"/>
    <cellStyle name="Normal 2 8 3 3 2 8" xfId="36376" xr:uid="{A55BEF85-B8AF-43D5-BF8C-931FFBEA2670}"/>
    <cellStyle name="Normal 2 8 3 3 2 8 2" xfId="36377" xr:uid="{885895D6-C66C-4D63-84E3-13595D2C04B4}"/>
    <cellStyle name="Normal 2 8 3 3 2 8 3" xfId="36378" xr:uid="{342F78AC-65D2-4A88-875E-AE145C0B58A5}"/>
    <cellStyle name="Normal 2 8 3 3 2 8 4" xfId="36379" xr:uid="{7FC61462-08C9-4E20-BD69-CF7E0C879A4D}"/>
    <cellStyle name="Normal 2 8 3 3 2 8 5" xfId="36380" xr:uid="{43975705-2D66-46E5-831C-86ED0FA6BC31}"/>
    <cellStyle name="Normal 2 8 3 3 2 9" xfId="36381" xr:uid="{20B760BC-9102-4008-899F-B5BDF4C3BEC8}"/>
    <cellStyle name="Normal 2 8 3 3 3" xfId="36382" xr:uid="{47DFE341-24F6-4C2B-BE33-46BB6EC0E670}"/>
    <cellStyle name="Normal 2 8 3 3 3 2" xfId="36383" xr:uid="{25496EDC-0525-40B0-9BFF-753E3F021775}"/>
    <cellStyle name="Normal 2 8 3 3 3 2 2" xfId="36384" xr:uid="{4BF94BBD-0455-42B2-BD2C-38EC42458BBA}"/>
    <cellStyle name="Normal 2 8 3 3 3 2 3" xfId="36385" xr:uid="{35147082-B258-4848-B7BE-08420EC64781}"/>
    <cellStyle name="Normal 2 8 3 3 3 2 4" xfId="36386" xr:uid="{0B1115CC-7E4D-494E-8E31-C02B18333E0C}"/>
    <cellStyle name="Normal 2 8 3 3 3 2 5" xfId="36387" xr:uid="{EBF2A18B-B5FF-4153-82F0-9B5B75B962C6}"/>
    <cellStyle name="Normal 2 8 3 3 3 3" xfId="36388" xr:uid="{21B3359A-96F1-4C68-B63C-B8D588E498F7}"/>
    <cellStyle name="Normal 2 8 3 3 3 4" xfId="36389" xr:uid="{808F338D-3EC1-46E1-898A-FFB346506BF0}"/>
    <cellStyle name="Normal 2 8 3 3 3 5" xfId="36390" xr:uid="{EBD33309-7094-4AEE-9C65-16B7602E48C2}"/>
    <cellStyle name="Normal 2 8 3 3 3 6" xfId="36391" xr:uid="{B2B472F1-61E0-43DB-9ACF-68B24B904C4F}"/>
    <cellStyle name="Normal 2 8 3 3 4" xfId="36392" xr:uid="{70AFB153-E3EB-4845-A3C2-6D6899094C41}"/>
    <cellStyle name="Normal 2 8 3 3 4 2" xfId="36393" xr:uid="{B267E36D-2323-4FB4-81A3-6E9339B44D03}"/>
    <cellStyle name="Normal 2 8 3 3 4 2 2" xfId="36394" xr:uid="{224F5977-B1AF-41AE-9CED-0E79D1280FD4}"/>
    <cellStyle name="Normal 2 8 3 3 4 2 3" xfId="36395" xr:uid="{C16EFDE6-8FA2-4042-811A-D5878990DF07}"/>
    <cellStyle name="Normal 2 8 3 3 4 2 4" xfId="36396" xr:uid="{1B3850C7-2120-4A2A-9316-98E5B7168288}"/>
    <cellStyle name="Normal 2 8 3 3 4 2 5" xfId="36397" xr:uid="{649BE66A-978D-4E06-AD61-982C0CAFF13B}"/>
    <cellStyle name="Normal 2 8 3 3 4 3" xfId="36398" xr:uid="{B41D38ED-7ED3-4146-901E-70871784A639}"/>
    <cellStyle name="Normal 2 8 3 3 4 4" xfId="36399" xr:uid="{A2C25B2A-0D0C-402C-B499-216704871A7A}"/>
    <cellStyle name="Normal 2 8 3 3 4 5" xfId="36400" xr:uid="{95A92BB3-E04E-4504-9677-632309B0D7F8}"/>
    <cellStyle name="Normal 2 8 3 3 4 6" xfId="36401" xr:uid="{A96AE84F-DEFC-426E-9FC5-9012F383E67C}"/>
    <cellStyle name="Normal 2 8 3 3 5" xfId="36402" xr:uid="{FDF8BC30-A8C9-4B35-AFA3-773BCA5B5037}"/>
    <cellStyle name="Normal 2 8 3 3 5 2" xfId="36403" xr:uid="{346260DC-F8E4-4CDF-9ADA-A07BF8FB0A81}"/>
    <cellStyle name="Normal 2 8 3 3 5 2 2" xfId="36404" xr:uid="{6CCF0F69-9A35-4127-ACD2-FBC060DB95A3}"/>
    <cellStyle name="Normal 2 8 3 3 5 2 3" xfId="36405" xr:uid="{A2964442-4DAE-467B-8A23-1FCDE275DFBC}"/>
    <cellStyle name="Normal 2 8 3 3 5 2 4" xfId="36406" xr:uid="{2CC1038F-AD5B-4FA6-B8A1-6C7677AF7D1F}"/>
    <cellStyle name="Normal 2 8 3 3 5 2 5" xfId="36407" xr:uid="{050A8303-35D4-4B3B-B4E8-ED91190491E2}"/>
    <cellStyle name="Normal 2 8 3 3 5 3" xfId="36408" xr:uid="{F8F682AC-1951-40C9-AD6C-C14E65BD67F3}"/>
    <cellStyle name="Normal 2 8 3 3 5 4" xfId="36409" xr:uid="{50B2964E-C39F-4E8B-A943-6CF40626D05C}"/>
    <cellStyle name="Normal 2 8 3 3 5 5" xfId="36410" xr:uid="{AF53CBE1-B25D-4A86-B000-F6C2558E986B}"/>
    <cellStyle name="Normal 2 8 3 3 5 6" xfId="36411" xr:uid="{08F0901A-0CF5-4D08-9890-5BDBA0373274}"/>
    <cellStyle name="Normal 2 8 3 3 6" xfId="36412" xr:uid="{EAAC4975-71E5-4C99-8D28-428A0396249F}"/>
    <cellStyle name="Normal 2 8 3 3 6 2" xfId="36413" xr:uid="{2F3F83DF-5947-4A61-8A21-44DDB9B5A4E8}"/>
    <cellStyle name="Normal 2 8 3 3 6 3" xfId="36414" xr:uid="{03361A04-F371-4F05-BB62-E82954D536F6}"/>
    <cellStyle name="Normal 2 8 3 3 6 4" xfId="36415" xr:uid="{81C15536-2629-4516-B6DD-697664D9EA66}"/>
    <cellStyle name="Normal 2 8 3 3 6 5" xfId="36416" xr:uid="{FD7FA538-BCA4-443C-BF82-1741752EBFDC}"/>
    <cellStyle name="Normal 2 8 3 3 7" xfId="36417" xr:uid="{10C7D992-A67A-4929-BA5D-A22297E12451}"/>
    <cellStyle name="Normal 2 8 3 3 7 2" xfId="36418" xr:uid="{8CFC3122-C769-4F49-A9E1-EB10B0D06361}"/>
    <cellStyle name="Normal 2 8 3 3 7 3" xfId="36419" xr:uid="{0B007434-B88E-4AE8-9742-BD18B17C47F0}"/>
    <cellStyle name="Normal 2 8 3 3 7 4" xfId="36420" xr:uid="{3569023E-EEAD-4D95-A373-8C7FF7AE7B71}"/>
    <cellStyle name="Normal 2 8 3 3 7 5" xfId="36421" xr:uid="{9F00E49E-D303-49E0-88B0-370DF9D60A27}"/>
    <cellStyle name="Normal 2 8 3 3 8" xfId="36422" xr:uid="{236B9CAA-75E4-4C6F-9012-22CE0D88FF20}"/>
    <cellStyle name="Normal 2 8 3 3 8 2" xfId="36423" xr:uid="{2ABBAED2-67E1-41D3-98ED-DB0213FCCB2B}"/>
    <cellStyle name="Normal 2 8 3 3 8 3" xfId="36424" xr:uid="{CF957DE7-ED9E-4FAD-A243-8EF01EBE9986}"/>
    <cellStyle name="Normal 2 8 3 3 8 4" xfId="36425" xr:uid="{7B1D78D2-FCE0-44C9-BDE2-33B1A07D0039}"/>
    <cellStyle name="Normal 2 8 3 3 8 5" xfId="36426" xr:uid="{EA400C31-BFBF-4928-BAD9-2BFD8D065FEF}"/>
    <cellStyle name="Normal 2 8 3 3 9" xfId="36427" xr:uid="{CF7D2D18-4265-4E78-98E0-D9F3E6B466EA}"/>
    <cellStyle name="Normal 2 8 3 3 9 2" xfId="36428" xr:uid="{A56F494C-0293-4E87-B5E8-AF29DA365DC0}"/>
    <cellStyle name="Normal 2 8 3 3 9 3" xfId="36429" xr:uid="{F3FAFA84-49CC-4E38-9259-A140C321307C}"/>
    <cellStyle name="Normal 2 8 3 3 9 4" xfId="36430" xr:uid="{B35BEC0B-1974-4ACD-B9CD-8186D0962491}"/>
    <cellStyle name="Normal 2 8 3 3 9 5" xfId="36431" xr:uid="{A0D87E62-DF66-43F0-93F9-E58E9906446D}"/>
    <cellStyle name="Normal 2 8 3 4" xfId="36432" xr:uid="{16712006-8FDD-41A1-989E-98B255C93C51}"/>
    <cellStyle name="Normal 2 8 3 4 10" xfId="36433" xr:uid="{D1E13BF0-BB63-42FD-AB6B-0F518CCD9756}"/>
    <cellStyle name="Normal 2 8 3 4 11" xfId="36434" xr:uid="{7CD501E8-0A5D-490F-8DA3-9B4B00B24745}"/>
    <cellStyle name="Normal 2 8 3 4 12" xfId="36435" xr:uid="{2131F769-2A7F-479B-8776-E0E095CA4653}"/>
    <cellStyle name="Normal 2 8 3 4 2" xfId="36436" xr:uid="{2A51C82A-8880-4FD0-BDA1-47BE2AB30287}"/>
    <cellStyle name="Normal 2 8 3 4 2 2" xfId="36437" xr:uid="{DF45E6CF-232E-475B-936F-1F3C4CB949B1}"/>
    <cellStyle name="Normal 2 8 3 4 2 2 2" xfId="36438" xr:uid="{199D87DC-F0F0-41B4-BEA6-300068C59440}"/>
    <cellStyle name="Normal 2 8 3 4 2 2 3" xfId="36439" xr:uid="{D1D4D8E7-A9F9-4DDB-A156-ABA49FD1E5B4}"/>
    <cellStyle name="Normal 2 8 3 4 2 2 4" xfId="36440" xr:uid="{CB2614AD-D633-4617-B5F5-137B97B5DD45}"/>
    <cellStyle name="Normal 2 8 3 4 2 2 5" xfId="36441" xr:uid="{E06CCC3E-8838-4929-8C02-D1DA47BD8D6C}"/>
    <cellStyle name="Normal 2 8 3 4 2 3" xfId="36442" xr:uid="{0DEDB88B-CEFA-4574-9DF2-8C1A86DCFAE3}"/>
    <cellStyle name="Normal 2 8 3 4 2 4" xfId="36443" xr:uid="{F6C6E326-98AC-439E-A38A-10890E7FD1C0}"/>
    <cellStyle name="Normal 2 8 3 4 2 5" xfId="36444" xr:uid="{9FFFAE9B-1B53-41AA-85EA-D45406EA0023}"/>
    <cellStyle name="Normal 2 8 3 4 2 6" xfId="36445" xr:uid="{6C294D93-DB39-4B8B-AFD5-E178F010C6F0}"/>
    <cellStyle name="Normal 2 8 3 4 3" xfId="36446" xr:uid="{D621E592-5AF5-460E-9CF4-26A7B25375FF}"/>
    <cellStyle name="Normal 2 8 3 4 3 2" xfId="36447" xr:uid="{B5F38CE8-0464-4E92-BCFA-6E19AD9502EB}"/>
    <cellStyle name="Normal 2 8 3 4 3 2 2" xfId="36448" xr:uid="{D9798250-05B4-40E3-A978-8F32A92BFC9F}"/>
    <cellStyle name="Normal 2 8 3 4 3 2 3" xfId="36449" xr:uid="{69728B3B-EBE3-4207-A890-1C2FADBA522E}"/>
    <cellStyle name="Normal 2 8 3 4 3 2 4" xfId="36450" xr:uid="{169EE795-0B89-4362-81B9-F6F0C0EF7A9D}"/>
    <cellStyle name="Normal 2 8 3 4 3 2 5" xfId="36451" xr:uid="{BF48C9E9-AB67-4023-AA71-83086F18A0FA}"/>
    <cellStyle name="Normal 2 8 3 4 3 3" xfId="36452" xr:uid="{7D0197E0-9300-4AC7-A88B-E588AE0136DA}"/>
    <cellStyle name="Normal 2 8 3 4 3 4" xfId="36453" xr:uid="{22B3193C-80E4-44C7-8CA3-C6C545AE7C5C}"/>
    <cellStyle name="Normal 2 8 3 4 3 5" xfId="36454" xr:uid="{995F93A0-CDEB-4FA4-A40C-A49C92875090}"/>
    <cellStyle name="Normal 2 8 3 4 3 6" xfId="36455" xr:uid="{2A9824A4-89E8-4480-92DC-C4FFA8345B84}"/>
    <cellStyle name="Normal 2 8 3 4 4" xfId="36456" xr:uid="{2F20CA28-CAA7-4086-A8DD-D5681FD2442C}"/>
    <cellStyle name="Normal 2 8 3 4 4 2" xfId="36457" xr:uid="{469E68B1-77C2-4C2A-9518-7B85BC8B666A}"/>
    <cellStyle name="Normal 2 8 3 4 4 2 2" xfId="36458" xr:uid="{47D2A020-66D0-479A-8FE5-0E0A41253F57}"/>
    <cellStyle name="Normal 2 8 3 4 4 2 3" xfId="36459" xr:uid="{11164C27-6E3F-443A-956A-65ED25D7F92B}"/>
    <cellStyle name="Normal 2 8 3 4 4 2 4" xfId="36460" xr:uid="{46A3059F-2CD8-498B-96E1-D4E4186DACAD}"/>
    <cellStyle name="Normal 2 8 3 4 4 2 5" xfId="36461" xr:uid="{35D45276-D0ED-4935-A59F-7D60C78552F6}"/>
    <cellStyle name="Normal 2 8 3 4 4 3" xfId="36462" xr:uid="{E88EB4FE-05CE-4F42-8329-4C2DD2C02281}"/>
    <cellStyle name="Normal 2 8 3 4 4 4" xfId="36463" xr:uid="{266050C2-7387-42FE-B7CB-4D239F460740}"/>
    <cellStyle name="Normal 2 8 3 4 4 5" xfId="36464" xr:uid="{C380076E-52BC-4D23-A2A7-0F1509C14CA8}"/>
    <cellStyle name="Normal 2 8 3 4 4 6" xfId="36465" xr:uid="{0C33A78D-C8C7-41E0-8A40-E0C4DF21FD6E}"/>
    <cellStyle name="Normal 2 8 3 4 5" xfId="36466" xr:uid="{F6160924-B16E-40DB-8879-289A7D805E26}"/>
    <cellStyle name="Normal 2 8 3 4 5 2" xfId="36467" xr:uid="{CE0F0AD3-1032-4586-8A10-1297B71973AD}"/>
    <cellStyle name="Normal 2 8 3 4 5 3" xfId="36468" xr:uid="{8CC8229A-038B-4DBD-9E7D-719544054107}"/>
    <cellStyle name="Normal 2 8 3 4 5 4" xfId="36469" xr:uid="{26B9A41A-1BA0-41BF-952C-71D054F12678}"/>
    <cellStyle name="Normal 2 8 3 4 5 5" xfId="36470" xr:uid="{84989D78-52A0-428F-8B84-11EE2169D4F1}"/>
    <cellStyle name="Normal 2 8 3 4 6" xfId="36471" xr:uid="{9C2B1535-416E-4D4A-BCFE-96E3606B20C9}"/>
    <cellStyle name="Normal 2 8 3 4 6 2" xfId="36472" xr:uid="{A32BC49F-AC82-435D-A931-7B75006189DF}"/>
    <cellStyle name="Normal 2 8 3 4 6 3" xfId="36473" xr:uid="{F3850029-E6A3-45C1-9414-89C3F51E483C}"/>
    <cellStyle name="Normal 2 8 3 4 6 4" xfId="36474" xr:uid="{CB3FF159-09AF-4575-8C6F-95832D3F72EB}"/>
    <cellStyle name="Normal 2 8 3 4 6 5" xfId="36475" xr:uid="{1489865C-E9BB-41DA-9492-D5BBBA39CAEF}"/>
    <cellStyle name="Normal 2 8 3 4 7" xfId="36476" xr:uid="{BB854A8A-E55A-40AF-B88B-AFB8F1D70A90}"/>
    <cellStyle name="Normal 2 8 3 4 7 2" xfId="36477" xr:uid="{D47EFE86-8529-4EB6-B251-D1D244B89813}"/>
    <cellStyle name="Normal 2 8 3 4 7 3" xfId="36478" xr:uid="{FA6C64CC-E5FC-4415-84F4-2806F56416C2}"/>
    <cellStyle name="Normal 2 8 3 4 7 4" xfId="36479" xr:uid="{BBE773C2-C4DD-40ED-A60A-F8C224E91448}"/>
    <cellStyle name="Normal 2 8 3 4 7 5" xfId="36480" xr:uid="{90331404-843E-440D-93CD-C81F07AC9630}"/>
    <cellStyle name="Normal 2 8 3 4 8" xfId="36481" xr:uid="{3E784B1D-0F24-4699-9D36-CDD62B60FB87}"/>
    <cellStyle name="Normal 2 8 3 4 8 2" xfId="36482" xr:uid="{45BB26E9-1D68-41E9-859B-0AE7CEEC5982}"/>
    <cellStyle name="Normal 2 8 3 4 8 3" xfId="36483" xr:uid="{CB0D5130-7076-4165-A127-9C33544432F1}"/>
    <cellStyle name="Normal 2 8 3 4 8 4" xfId="36484" xr:uid="{E8200185-A99E-4F1C-87AF-6F97C372887A}"/>
    <cellStyle name="Normal 2 8 3 4 8 5" xfId="36485" xr:uid="{4EB0E2E9-F1B2-484F-9F93-6DAA1FCA0790}"/>
    <cellStyle name="Normal 2 8 3 4 9" xfId="36486" xr:uid="{8B129C96-1EE6-4C38-9704-58547640EB43}"/>
    <cellStyle name="Normal 2 8 3 5" xfId="36487" xr:uid="{0C39F3D3-8959-44FB-82F1-359D2D06F3D5}"/>
    <cellStyle name="Normal 2 8 3 5 2" xfId="36488" xr:uid="{007045E9-D70D-4726-AC66-26F0D3E42865}"/>
    <cellStyle name="Normal 2 8 3 5 2 2" xfId="36489" xr:uid="{72FF0F59-6DF3-47DF-AD57-9F6FADE7438E}"/>
    <cellStyle name="Normal 2 8 3 5 2 3" xfId="36490" xr:uid="{597228B7-9595-4057-B8CE-70FB3C2670FA}"/>
    <cellStyle name="Normal 2 8 3 5 2 4" xfId="36491" xr:uid="{73F41390-8CD2-402F-BA0A-0CEE28FA029F}"/>
    <cellStyle name="Normal 2 8 3 5 2 5" xfId="36492" xr:uid="{37E27FE3-ABA6-4DC7-B248-6B6A070CB808}"/>
    <cellStyle name="Normal 2 8 3 5 3" xfId="36493" xr:uid="{CDD72A6A-6B57-413C-8334-EA957DA58E27}"/>
    <cellStyle name="Normal 2 8 3 5 4" xfId="36494" xr:uid="{7D4C92A8-24E7-4857-8C00-2F80D8367428}"/>
    <cellStyle name="Normal 2 8 3 5 5" xfId="36495" xr:uid="{2C6837F8-9848-45B4-BB4C-96FF7FA16CB7}"/>
    <cellStyle name="Normal 2 8 3 5 6" xfId="36496" xr:uid="{BF59093E-FE1A-44DB-B6A3-002D23308F5B}"/>
    <cellStyle name="Normal 2 8 3 6" xfId="36497" xr:uid="{B7F2E321-C373-49D2-9386-1EA140907119}"/>
    <cellStyle name="Normal 2 8 3 6 2" xfId="36498" xr:uid="{3F26566C-FA8F-471F-8328-3C866FEB70CA}"/>
    <cellStyle name="Normal 2 8 3 6 2 2" xfId="36499" xr:uid="{50256897-9232-4088-8541-8F13B0DA0357}"/>
    <cellStyle name="Normal 2 8 3 6 2 3" xfId="36500" xr:uid="{26A30D02-A11C-4C55-83EC-EF140DECD1F8}"/>
    <cellStyle name="Normal 2 8 3 6 2 4" xfId="36501" xr:uid="{643DF43A-D906-4FF5-B8F0-97E64D09C743}"/>
    <cellStyle name="Normal 2 8 3 6 2 5" xfId="36502" xr:uid="{0EEF96CF-FFB8-4263-BD53-A7FAFE433706}"/>
    <cellStyle name="Normal 2 8 3 6 3" xfId="36503" xr:uid="{1A859442-7BFA-4BB8-ACC2-E336F981D927}"/>
    <cellStyle name="Normal 2 8 3 6 4" xfId="36504" xr:uid="{8047218F-B3D3-44DB-90B5-8F63CF580DC4}"/>
    <cellStyle name="Normal 2 8 3 6 5" xfId="36505" xr:uid="{66EBE227-EBE1-4760-9974-BFC46DBB6176}"/>
    <cellStyle name="Normal 2 8 3 6 6" xfId="36506" xr:uid="{ECB1E900-3AA1-47FA-9183-66536BE3B21B}"/>
    <cellStyle name="Normal 2 8 3 7" xfId="36507" xr:uid="{AC50D230-86FF-414C-8CAE-41B08DF5D458}"/>
    <cellStyle name="Normal 2 8 3 7 2" xfId="36508" xr:uid="{5F435DEB-1F9D-413B-9E30-897B11508960}"/>
    <cellStyle name="Normal 2 8 3 7 2 2" xfId="36509" xr:uid="{55AF7F2D-0097-45A6-96E7-CDEE517DE5EC}"/>
    <cellStyle name="Normal 2 8 3 7 2 3" xfId="36510" xr:uid="{18365526-2BCF-4E78-9015-FFEB18D93000}"/>
    <cellStyle name="Normal 2 8 3 7 2 4" xfId="36511" xr:uid="{292EA349-4503-421E-9A24-DDBBED5F470F}"/>
    <cellStyle name="Normal 2 8 3 7 2 5" xfId="36512" xr:uid="{ED111C5A-D40B-4F9B-997B-526E3781C55F}"/>
    <cellStyle name="Normal 2 8 3 7 3" xfId="36513" xr:uid="{EFF2DE6C-83A8-440E-86E1-1245EF1CB1EF}"/>
    <cellStyle name="Normal 2 8 3 7 4" xfId="36514" xr:uid="{50894AF0-E9FE-497D-B19E-EF6E03D205F9}"/>
    <cellStyle name="Normal 2 8 3 7 5" xfId="36515" xr:uid="{44BDCECF-0EEC-4079-9ED8-754BD07ECB3C}"/>
    <cellStyle name="Normal 2 8 3 7 6" xfId="36516" xr:uid="{F5E7F521-520A-49EE-B1C1-26FA6E2CE286}"/>
    <cellStyle name="Normal 2 8 3 8" xfId="36517" xr:uid="{A8AE861C-4775-4065-B22D-97149C3DC33D}"/>
    <cellStyle name="Normal 2 8 3 8 2" xfId="36518" xr:uid="{8B2771E8-A112-40BE-85A4-3F599C61B146}"/>
    <cellStyle name="Normal 2 8 3 8 3" xfId="36519" xr:uid="{FA836E7D-365C-4C80-B354-38924747907E}"/>
    <cellStyle name="Normal 2 8 3 8 4" xfId="36520" xr:uid="{B7983484-AC6A-4193-940F-BE417841B023}"/>
    <cellStyle name="Normal 2 8 3 8 5" xfId="36521" xr:uid="{61671E89-996E-4525-ACE0-DAD600007964}"/>
    <cellStyle name="Normal 2 8 3 9" xfId="36522" xr:uid="{C22BC169-C6ED-47C8-94F9-C25238BF4D35}"/>
    <cellStyle name="Normal 2 8 3 9 2" xfId="36523" xr:uid="{41B5F782-13BE-4776-A5B9-0C6691C8F8C8}"/>
    <cellStyle name="Normal 2 8 3 9 3" xfId="36524" xr:uid="{EB4F3C60-6EA0-42A8-A63B-8F44E4294ED5}"/>
    <cellStyle name="Normal 2 8 3 9 4" xfId="36525" xr:uid="{40D5EABA-62D0-457B-AB3A-409CEA189143}"/>
    <cellStyle name="Normal 2 8 3 9 5" xfId="36526" xr:uid="{2B3184B6-5583-451C-8B7C-1AA1C5C41799}"/>
    <cellStyle name="Normal 2 8 4" xfId="36527" xr:uid="{6F1B5388-E54D-472C-982D-5AD9AC322B8F}"/>
    <cellStyle name="Normal 2 8 4 10" xfId="36528" xr:uid="{B66587D7-B1B9-4FA2-B359-A50E0B440F2D}"/>
    <cellStyle name="Normal 2 8 4 10 2" xfId="36529" xr:uid="{FE43F733-DD32-4D00-81F7-46252AC21C35}"/>
    <cellStyle name="Normal 2 8 4 10 3" xfId="36530" xr:uid="{B2D1AD06-C4E7-4847-9A50-D7DFFEDF4178}"/>
    <cellStyle name="Normal 2 8 4 10 4" xfId="36531" xr:uid="{7374FE6C-2D2D-4691-B035-677E4D069003}"/>
    <cellStyle name="Normal 2 8 4 10 5" xfId="36532" xr:uid="{603AD9F7-7973-42DD-9DF2-5037CE2C35A0}"/>
    <cellStyle name="Normal 2 8 4 11" xfId="36533" xr:uid="{5BDFFBA0-532F-4180-B96B-DB9ECD2D3600}"/>
    <cellStyle name="Normal 2 8 4 11 2" xfId="36534" xr:uid="{A89C6A28-FBDE-45D2-8CF0-CDB225FE56C9}"/>
    <cellStyle name="Normal 2 8 4 11 3" xfId="36535" xr:uid="{1448CB47-ACD1-4D7B-B226-B5238E123CFB}"/>
    <cellStyle name="Normal 2 8 4 11 4" xfId="36536" xr:uid="{4CCBEA3F-F9DA-4A3C-A20D-87B15F81F79F}"/>
    <cellStyle name="Normal 2 8 4 11 5" xfId="36537" xr:uid="{BBFA3480-DFEC-45B1-8777-A26506974E9C}"/>
    <cellStyle name="Normal 2 8 4 12" xfId="36538" xr:uid="{C0D8C18C-5F39-4E27-B93E-394CDA70E834}"/>
    <cellStyle name="Normal 2 8 4 13" xfId="36539" xr:uid="{AE117999-361B-4592-AB85-32359E3D19F9}"/>
    <cellStyle name="Normal 2 8 4 14" xfId="36540" xr:uid="{BA8A2A48-3307-40E1-9ADC-00E7224D73B9}"/>
    <cellStyle name="Normal 2 8 4 15" xfId="36541" xr:uid="{1AB099AC-B999-4207-B545-48570519D6BC}"/>
    <cellStyle name="Normal 2 8 4 2" xfId="36542" xr:uid="{43D60CAD-3E2A-49BE-8766-6ACD450F0A84}"/>
    <cellStyle name="Normal 2 8 4 2 10" xfId="36543" xr:uid="{95508B49-2593-4053-9AEE-DF84A693C9E5}"/>
    <cellStyle name="Normal 2 8 4 2 10 2" xfId="36544" xr:uid="{D342AC11-BAB8-407C-A7E3-6E8333396398}"/>
    <cellStyle name="Normal 2 8 4 2 10 3" xfId="36545" xr:uid="{84147A02-C85F-44DD-AC42-B0A03D654A52}"/>
    <cellStyle name="Normal 2 8 4 2 10 4" xfId="36546" xr:uid="{9141F2C0-456C-4AAA-8721-EC4A2CC9BFF1}"/>
    <cellStyle name="Normal 2 8 4 2 10 5" xfId="36547" xr:uid="{29DAD584-958E-490F-AB41-6B65FF6CB3D0}"/>
    <cellStyle name="Normal 2 8 4 2 11" xfId="36548" xr:uid="{85BE05CB-7702-4EAC-B6BC-CF757B05439E}"/>
    <cellStyle name="Normal 2 8 4 2 12" xfId="36549" xr:uid="{D563F249-25F5-44D5-9395-EFD221317DBB}"/>
    <cellStyle name="Normal 2 8 4 2 13" xfId="36550" xr:uid="{7564C671-8FCA-4EC3-9A58-9AAE22009C25}"/>
    <cellStyle name="Normal 2 8 4 2 14" xfId="36551" xr:uid="{C686B793-3FE8-4CA3-B669-43C0A08C6473}"/>
    <cellStyle name="Normal 2 8 4 2 2" xfId="36552" xr:uid="{9AFDE593-940C-4C40-B70F-0E7376AC1B01}"/>
    <cellStyle name="Normal 2 8 4 2 2 10" xfId="36553" xr:uid="{05C5C743-0AAE-4EE7-B9D3-CF35015E928C}"/>
    <cellStyle name="Normal 2 8 4 2 2 11" xfId="36554" xr:uid="{BF43BF90-7557-4E36-B744-F60811E74187}"/>
    <cellStyle name="Normal 2 8 4 2 2 12" xfId="36555" xr:uid="{AB4870FF-01DD-44DA-B408-2C5803107788}"/>
    <cellStyle name="Normal 2 8 4 2 2 13" xfId="36556" xr:uid="{44EC6D4C-79B1-437F-8399-C4B4D0615445}"/>
    <cellStyle name="Normal 2 8 4 2 2 2" xfId="36557" xr:uid="{FEF6B155-D420-49E3-B0C6-A5B5C9EF799C}"/>
    <cellStyle name="Normal 2 8 4 2 2 2 10" xfId="36558" xr:uid="{772137FF-E0DB-4E02-B40E-EA922F3C06E6}"/>
    <cellStyle name="Normal 2 8 4 2 2 2 11" xfId="36559" xr:uid="{ED5BFC32-6D79-46A3-80F3-31A2313DCCB7}"/>
    <cellStyle name="Normal 2 8 4 2 2 2 12" xfId="36560" xr:uid="{3E52B960-7469-4791-BD35-4A338FB96F9A}"/>
    <cellStyle name="Normal 2 8 4 2 2 2 2" xfId="36561" xr:uid="{CAA8AE27-4E88-43C2-9EAC-18FF939745B7}"/>
    <cellStyle name="Normal 2 8 4 2 2 2 2 2" xfId="36562" xr:uid="{5D4A2F10-D8DB-4DA1-8D68-42B8AC9CC55A}"/>
    <cellStyle name="Normal 2 8 4 2 2 2 2 2 2" xfId="36563" xr:uid="{593F3BAF-5E58-4586-9AEC-78CF2BB15622}"/>
    <cellStyle name="Normal 2 8 4 2 2 2 2 2 3" xfId="36564" xr:uid="{2CA5692A-A347-4462-BDF7-67CA6C368AB1}"/>
    <cellStyle name="Normal 2 8 4 2 2 2 2 2 4" xfId="36565" xr:uid="{5E7C1B27-5763-4A4D-A012-E4397D1B9974}"/>
    <cellStyle name="Normal 2 8 4 2 2 2 2 2 5" xfId="36566" xr:uid="{42D79436-E002-4537-A612-D22E98369BA2}"/>
    <cellStyle name="Normal 2 8 4 2 2 2 2 3" xfId="36567" xr:uid="{20C88F09-5ABF-4F6C-B57E-E88A12A84DE5}"/>
    <cellStyle name="Normal 2 8 4 2 2 2 2 4" xfId="36568" xr:uid="{4E72037E-57EF-46E5-8F83-75FA5B1C3938}"/>
    <cellStyle name="Normal 2 8 4 2 2 2 2 5" xfId="36569" xr:uid="{4B5F8973-35AC-4A05-B318-A01601EB7BD9}"/>
    <cellStyle name="Normal 2 8 4 2 2 2 2 6" xfId="36570" xr:uid="{7E1888DC-C632-484B-98A4-A7FD44EB6CCE}"/>
    <cellStyle name="Normal 2 8 4 2 2 2 3" xfId="36571" xr:uid="{A34D37D8-73A6-4B26-8079-52BDC954DA43}"/>
    <cellStyle name="Normal 2 8 4 2 2 2 3 2" xfId="36572" xr:uid="{B884A526-C069-4D17-B0A7-DA86987BBA4A}"/>
    <cellStyle name="Normal 2 8 4 2 2 2 3 2 2" xfId="36573" xr:uid="{74927BEF-0EFC-4B25-8540-40452BC1B777}"/>
    <cellStyle name="Normal 2 8 4 2 2 2 3 2 3" xfId="36574" xr:uid="{B9CF8DD3-B37B-4CC8-AB56-8DC982CDF463}"/>
    <cellStyle name="Normal 2 8 4 2 2 2 3 2 4" xfId="36575" xr:uid="{1D4EB4BB-9070-4462-9885-F95CACCE86DA}"/>
    <cellStyle name="Normal 2 8 4 2 2 2 3 2 5" xfId="36576" xr:uid="{0C3387AC-6708-41EE-9665-7A9F7D328215}"/>
    <cellStyle name="Normal 2 8 4 2 2 2 3 3" xfId="36577" xr:uid="{F6A7F434-7D2F-4F39-BA1F-783044ADFF34}"/>
    <cellStyle name="Normal 2 8 4 2 2 2 3 4" xfId="36578" xr:uid="{D3955B35-F0C0-4C8E-8C7A-EECA269A15EA}"/>
    <cellStyle name="Normal 2 8 4 2 2 2 3 5" xfId="36579" xr:uid="{BD7A218F-7E16-41C9-962C-D83BBAD38BD9}"/>
    <cellStyle name="Normal 2 8 4 2 2 2 3 6" xfId="36580" xr:uid="{ACD3505D-B728-4622-8250-F48CB9F750D6}"/>
    <cellStyle name="Normal 2 8 4 2 2 2 4" xfId="36581" xr:uid="{A84E0651-74B4-4A21-841F-2C3EFDD81727}"/>
    <cellStyle name="Normal 2 8 4 2 2 2 4 2" xfId="36582" xr:uid="{94B4CA72-F045-4EF9-A1F7-677C498BF5BB}"/>
    <cellStyle name="Normal 2 8 4 2 2 2 4 2 2" xfId="36583" xr:uid="{89FFF9ED-7005-4D56-B035-CD8FCB89EDC2}"/>
    <cellStyle name="Normal 2 8 4 2 2 2 4 2 3" xfId="36584" xr:uid="{7D305685-38A6-4418-9807-2C6E062EFFDA}"/>
    <cellStyle name="Normal 2 8 4 2 2 2 4 2 4" xfId="36585" xr:uid="{CCA9B6E5-7D4F-49D9-8E9D-087922713122}"/>
    <cellStyle name="Normal 2 8 4 2 2 2 4 2 5" xfId="36586" xr:uid="{BA83C9C3-F2CA-40F7-96E0-352C02336007}"/>
    <cellStyle name="Normal 2 8 4 2 2 2 4 3" xfId="36587" xr:uid="{6AF52F2B-4A08-4C23-A62A-5AB12C06D45E}"/>
    <cellStyle name="Normal 2 8 4 2 2 2 4 4" xfId="36588" xr:uid="{17601D53-E559-4DC9-8345-881D3CE67D2C}"/>
    <cellStyle name="Normal 2 8 4 2 2 2 4 5" xfId="36589" xr:uid="{B992CCB1-53FD-47F8-93AD-6F59E1E74AF3}"/>
    <cellStyle name="Normal 2 8 4 2 2 2 4 6" xfId="36590" xr:uid="{E728326B-2351-430C-8D35-60B391F895CA}"/>
    <cellStyle name="Normal 2 8 4 2 2 2 5" xfId="36591" xr:uid="{14B40CD4-3C2F-4274-B0E8-07799EEF7945}"/>
    <cellStyle name="Normal 2 8 4 2 2 2 5 2" xfId="36592" xr:uid="{CF4623EB-6D4D-48AC-8AE9-A6DB78D8F328}"/>
    <cellStyle name="Normal 2 8 4 2 2 2 5 3" xfId="36593" xr:uid="{24C5630C-462E-45E2-8D77-814389BA4B58}"/>
    <cellStyle name="Normal 2 8 4 2 2 2 5 4" xfId="36594" xr:uid="{7394815E-9922-4894-98F7-61AF53E6C1F2}"/>
    <cellStyle name="Normal 2 8 4 2 2 2 5 5" xfId="36595" xr:uid="{6795FFBE-168C-44F7-B9B9-87EC34FD57C3}"/>
    <cellStyle name="Normal 2 8 4 2 2 2 6" xfId="36596" xr:uid="{D564536E-A51C-4C7E-A81F-30172BF41289}"/>
    <cellStyle name="Normal 2 8 4 2 2 2 6 2" xfId="36597" xr:uid="{421C2A01-F6F6-4554-9D2B-9B92B8329FEF}"/>
    <cellStyle name="Normal 2 8 4 2 2 2 6 3" xfId="36598" xr:uid="{98505EC1-9D7F-491E-806B-FB8F5E4170BB}"/>
    <cellStyle name="Normal 2 8 4 2 2 2 6 4" xfId="36599" xr:uid="{AEDD6713-07A3-4467-AE90-7188414338D1}"/>
    <cellStyle name="Normal 2 8 4 2 2 2 6 5" xfId="36600" xr:uid="{9DF22B87-7884-487B-AA95-E78A0BADC54F}"/>
    <cellStyle name="Normal 2 8 4 2 2 2 7" xfId="36601" xr:uid="{9B65C7DB-2197-47E8-B5F0-5FF57829FA60}"/>
    <cellStyle name="Normal 2 8 4 2 2 2 7 2" xfId="36602" xr:uid="{735445FC-4826-460A-A68F-CEC71448EAE8}"/>
    <cellStyle name="Normal 2 8 4 2 2 2 7 3" xfId="36603" xr:uid="{70B17761-09FC-4118-A30A-035B7DD3A692}"/>
    <cellStyle name="Normal 2 8 4 2 2 2 7 4" xfId="36604" xr:uid="{EC53F02E-B6D4-45B9-BF56-AFB5BB3B56E4}"/>
    <cellStyle name="Normal 2 8 4 2 2 2 7 5" xfId="36605" xr:uid="{0503D432-5778-423C-BFF9-EEC2F123C837}"/>
    <cellStyle name="Normal 2 8 4 2 2 2 8" xfId="36606" xr:uid="{E955F930-89F0-4C0F-B9A4-DED657F2CCAF}"/>
    <cellStyle name="Normal 2 8 4 2 2 2 8 2" xfId="36607" xr:uid="{2CB3F9BC-1EA6-4BD6-8B34-6AF35CD94AD7}"/>
    <cellStyle name="Normal 2 8 4 2 2 2 8 3" xfId="36608" xr:uid="{8A5FA40B-8545-4C0B-932B-627E7F16F321}"/>
    <cellStyle name="Normal 2 8 4 2 2 2 8 4" xfId="36609" xr:uid="{DCFF66AB-318F-44E8-90D8-091C92549B79}"/>
    <cellStyle name="Normal 2 8 4 2 2 2 8 5" xfId="36610" xr:uid="{0A2C8AAC-A79B-4CE4-A755-AB1B83C58A22}"/>
    <cellStyle name="Normal 2 8 4 2 2 2 9" xfId="36611" xr:uid="{EE5E2035-B89D-4058-B2FF-3A63AE8B1BAC}"/>
    <cellStyle name="Normal 2 8 4 2 2 3" xfId="36612" xr:uid="{15A7F848-F667-4843-861E-DBF2A5633862}"/>
    <cellStyle name="Normal 2 8 4 2 2 3 2" xfId="36613" xr:uid="{6D0C0C8B-D173-410C-B0B2-59F10A0CF46D}"/>
    <cellStyle name="Normal 2 8 4 2 2 3 2 2" xfId="36614" xr:uid="{275F1F1A-B673-4DAA-B4FD-A504F1E93D05}"/>
    <cellStyle name="Normal 2 8 4 2 2 3 2 3" xfId="36615" xr:uid="{F85B5D78-7A8D-4C67-82B6-22BB43675A75}"/>
    <cellStyle name="Normal 2 8 4 2 2 3 2 4" xfId="36616" xr:uid="{1C869147-40BE-4A5A-B935-B6DD2BA0C161}"/>
    <cellStyle name="Normal 2 8 4 2 2 3 2 5" xfId="36617" xr:uid="{EB436920-D36E-4984-A179-A0D52ACA9921}"/>
    <cellStyle name="Normal 2 8 4 2 2 3 3" xfId="36618" xr:uid="{6B426E59-1993-45CF-87ED-A4E4E5E5B4FD}"/>
    <cellStyle name="Normal 2 8 4 2 2 3 4" xfId="36619" xr:uid="{C66ABA50-3CE7-4E84-B6F8-82CB0846AE30}"/>
    <cellStyle name="Normal 2 8 4 2 2 3 5" xfId="36620" xr:uid="{ED3D6375-ADFA-4505-B4B4-C73D46842553}"/>
    <cellStyle name="Normal 2 8 4 2 2 3 6" xfId="36621" xr:uid="{D9C7F079-DC0B-4FC9-B044-6FA1CA19C449}"/>
    <cellStyle name="Normal 2 8 4 2 2 4" xfId="36622" xr:uid="{357BA32A-BAC8-426B-9B8E-8CD7D3EADE23}"/>
    <cellStyle name="Normal 2 8 4 2 2 4 2" xfId="36623" xr:uid="{265FDF0E-D2EE-4F0C-BF6F-E08EEA07B44A}"/>
    <cellStyle name="Normal 2 8 4 2 2 4 2 2" xfId="36624" xr:uid="{C75A12EA-A3E1-4ACE-95BE-11DE89A00656}"/>
    <cellStyle name="Normal 2 8 4 2 2 4 2 3" xfId="36625" xr:uid="{E4887060-BBD6-4059-91CD-20855AD3A68D}"/>
    <cellStyle name="Normal 2 8 4 2 2 4 2 4" xfId="36626" xr:uid="{297E29A5-C7BB-428C-907A-25984135E620}"/>
    <cellStyle name="Normal 2 8 4 2 2 4 2 5" xfId="36627" xr:uid="{505B0DCB-C97A-4918-8BDA-C6402DE141BA}"/>
    <cellStyle name="Normal 2 8 4 2 2 4 3" xfId="36628" xr:uid="{90B5E44B-E627-4179-9C47-5793A39DD64F}"/>
    <cellStyle name="Normal 2 8 4 2 2 4 4" xfId="36629" xr:uid="{F1C9009E-48AA-4256-989A-9F4675DFDA4D}"/>
    <cellStyle name="Normal 2 8 4 2 2 4 5" xfId="36630" xr:uid="{24CBD1F5-EB97-4319-90A8-0C6A4A3F9E3B}"/>
    <cellStyle name="Normal 2 8 4 2 2 4 6" xfId="36631" xr:uid="{C681E8A9-3ACA-4278-A7ED-A00449C3D557}"/>
    <cellStyle name="Normal 2 8 4 2 2 5" xfId="36632" xr:uid="{6C5E3624-7C36-4FE4-9A1A-D10AA5BE3821}"/>
    <cellStyle name="Normal 2 8 4 2 2 5 2" xfId="36633" xr:uid="{AAF0A282-310C-44F0-B879-422AE1DAF69C}"/>
    <cellStyle name="Normal 2 8 4 2 2 5 2 2" xfId="36634" xr:uid="{CB420BBE-9573-4931-BD2C-492A6931BE27}"/>
    <cellStyle name="Normal 2 8 4 2 2 5 2 3" xfId="36635" xr:uid="{07419219-890F-433B-9162-14EE22BAB4EB}"/>
    <cellStyle name="Normal 2 8 4 2 2 5 2 4" xfId="36636" xr:uid="{D3E2635F-AA0F-4FA1-A422-EDF99C31B24F}"/>
    <cellStyle name="Normal 2 8 4 2 2 5 2 5" xfId="36637" xr:uid="{25383883-CA05-4444-A268-369917C2D97C}"/>
    <cellStyle name="Normal 2 8 4 2 2 5 3" xfId="36638" xr:uid="{D5A40A36-B07E-454C-87D9-2422DD66962C}"/>
    <cellStyle name="Normal 2 8 4 2 2 5 4" xfId="36639" xr:uid="{6606CC5C-0F37-4E97-9E49-01B33FDF895D}"/>
    <cellStyle name="Normal 2 8 4 2 2 5 5" xfId="36640" xr:uid="{750D7AB8-CCD8-420A-917E-8C940DB9B7DF}"/>
    <cellStyle name="Normal 2 8 4 2 2 5 6" xfId="36641" xr:uid="{5B0FFCFF-FCED-471A-AF93-888BDD341658}"/>
    <cellStyle name="Normal 2 8 4 2 2 6" xfId="36642" xr:uid="{B59E957B-F67D-4CD2-8858-5C2927080D09}"/>
    <cellStyle name="Normal 2 8 4 2 2 6 2" xfId="36643" xr:uid="{85259134-B989-4800-BF5B-A043E2DCB7EF}"/>
    <cellStyle name="Normal 2 8 4 2 2 6 3" xfId="36644" xr:uid="{7F36D203-32B8-4D6B-BE25-CC68833D1785}"/>
    <cellStyle name="Normal 2 8 4 2 2 6 4" xfId="36645" xr:uid="{BB06CDDE-4A8E-4D78-9EBC-9E0E120173C5}"/>
    <cellStyle name="Normal 2 8 4 2 2 6 5" xfId="36646" xr:uid="{7E341C42-98BD-47F4-AB8F-BA1EB564E7D3}"/>
    <cellStyle name="Normal 2 8 4 2 2 7" xfId="36647" xr:uid="{47786C94-C0A4-41C3-9FFD-CAED8B3DDAB4}"/>
    <cellStyle name="Normal 2 8 4 2 2 7 2" xfId="36648" xr:uid="{F6A21B33-D2B6-44E7-8CBE-A887C86F3640}"/>
    <cellStyle name="Normal 2 8 4 2 2 7 3" xfId="36649" xr:uid="{F27042B8-CC7A-4AD2-BCB6-E152A75647EC}"/>
    <cellStyle name="Normal 2 8 4 2 2 7 4" xfId="36650" xr:uid="{5608A9E8-E7FA-4F13-868F-37CAC0D59F3E}"/>
    <cellStyle name="Normal 2 8 4 2 2 7 5" xfId="36651" xr:uid="{7E7547D7-9419-4875-8C28-BFD854311A87}"/>
    <cellStyle name="Normal 2 8 4 2 2 8" xfId="36652" xr:uid="{9E732579-998F-40BE-AAEA-FD10BEEC4856}"/>
    <cellStyle name="Normal 2 8 4 2 2 8 2" xfId="36653" xr:uid="{F9F03E91-EADA-481C-AAC0-04C2987671AD}"/>
    <cellStyle name="Normal 2 8 4 2 2 8 3" xfId="36654" xr:uid="{199A2F7F-B662-4C51-AF70-DEBA4EA64295}"/>
    <cellStyle name="Normal 2 8 4 2 2 8 4" xfId="36655" xr:uid="{1F2042F4-C621-4D8C-BA04-3D80A3B9A91B}"/>
    <cellStyle name="Normal 2 8 4 2 2 8 5" xfId="36656" xr:uid="{EA844F05-1EF1-48A2-BA4E-50DBAB56DCD0}"/>
    <cellStyle name="Normal 2 8 4 2 2 9" xfId="36657" xr:uid="{81FCFC63-721B-470D-A9BC-55105143A988}"/>
    <cellStyle name="Normal 2 8 4 2 2 9 2" xfId="36658" xr:uid="{332FF742-499B-4B6A-86F9-8AAE420CA283}"/>
    <cellStyle name="Normal 2 8 4 2 2 9 3" xfId="36659" xr:uid="{A7D58254-7101-485F-A9E7-02C5EC57056E}"/>
    <cellStyle name="Normal 2 8 4 2 2 9 4" xfId="36660" xr:uid="{A813705A-5325-4789-A0BB-AEAA052F8C6D}"/>
    <cellStyle name="Normal 2 8 4 2 2 9 5" xfId="36661" xr:uid="{8D0D5D96-6BBB-47B8-8A00-655DEA6F3F97}"/>
    <cellStyle name="Normal 2 8 4 2 3" xfId="36662" xr:uid="{C40B420A-A41F-4D5F-A11F-74492FF22BBF}"/>
    <cellStyle name="Normal 2 8 4 2 3 10" xfId="36663" xr:uid="{71182842-D7CC-47C0-AACE-D75CEA8CECE9}"/>
    <cellStyle name="Normal 2 8 4 2 3 11" xfId="36664" xr:uid="{A702EDF0-76DF-4C6B-ADC9-F7F94B88B821}"/>
    <cellStyle name="Normal 2 8 4 2 3 12" xfId="36665" xr:uid="{D0BB3387-D1C6-45B5-BBE1-F725D6A784D5}"/>
    <cellStyle name="Normal 2 8 4 2 3 2" xfId="36666" xr:uid="{3952704F-F3AF-4CEE-82F6-B8F58351FF9D}"/>
    <cellStyle name="Normal 2 8 4 2 3 2 2" xfId="36667" xr:uid="{510DAE10-499E-4345-BE6F-1F94B6C948FA}"/>
    <cellStyle name="Normal 2 8 4 2 3 2 2 2" xfId="36668" xr:uid="{A68891F6-FFE8-4A64-B5AB-3C83957C176F}"/>
    <cellStyle name="Normal 2 8 4 2 3 2 2 3" xfId="36669" xr:uid="{2ACF8777-C529-4122-A52D-C21AF6471B15}"/>
    <cellStyle name="Normal 2 8 4 2 3 2 2 4" xfId="36670" xr:uid="{4B183445-1C50-4E44-9598-0E441974DA13}"/>
    <cellStyle name="Normal 2 8 4 2 3 2 2 5" xfId="36671" xr:uid="{834FDB74-6AFB-44A7-BCA3-7B8A06550CA2}"/>
    <cellStyle name="Normal 2 8 4 2 3 2 3" xfId="36672" xr:uid="{9DA802FD-B1D7-4C1C-9C65-462C71FD3291}"/>
    <cellStyle name="Normal 2 8 4 2 3 2 4" xfId="36673" xr:uid="{76EAC654-1652-45AA-96F6-6E32B757FB81}"/>
    <cellStyle name="Normal 2 8 4 2 3 2 5" xfId="36674" xr:uid="{D12583A0-84CE-4DA9-AE8D-1D2447B85385}"/>
    <cellStyle name="Normal 2 8 4 2 3 2 6" xfId="36675" xr:uid="{BD9E184B-BAF8-44BE-8846-9EC4899FA032}"/>
    <cellStyle name="Normal 2 8 4 2 3 3" xfId="36676" xr:uid="{FE92F67B-B0F3-4A2D-A98A-7610304B8540}"/>
    <cellStyle name="Normal 2 8 4 2 3 3 2" xfId="36677" xr:uid="{B74FC9DF-A32B-418C-9F5B-4442E4337487}"/>
    <cellStyle name="Normal 2 8 4 2 3 3 2 2" xfId="36678" xr:uid="{9C398860-E87F-4109-AED9-5C5294F51AC7}"/>
    <cellStyle name="Normal 2 8 4 2 3 3 2 3" xfId="36679" xr:uid="{2987E9C3-553D-4917-87E5-A6348EA604F3}"/>
    <cellStyle name="Normal 2 8 4 2 3 3 2 4" xfId="36680" xr:uid="{D1E45E3A-8A0B-40C4-ADC6-81A0EB0265FA}"/>
    <cellStyle name="Normal 2 8 4 2 3 3 2 5" xfId="36681" xr:uid="{75CC69B0-AF69-4AF8-A82B-A38E9F01E91D}"/>
    <cellStyle name="Normal 2 8 4 2 3 3 3" xfId="36682" xr:uid="{D7FB86DB-8DB7-453C-90FE-97BD34EE821C}"/>
    <cellStyle name="Normal 2 8 4 2 3 3 4" xfId="36683" xr:uid="{C7F335C5-BC2E-420F-9B14-06E415504778}"/>
    <cellStyle name="Normal 2 8 4 2 3 3 5" xfId="36684" xr:uid="{5181211A-84FC-42DB-92FB-870266DF5547}"/>
    <cellStyle name="Normal 2 8 4 2 3 3 6" xfId="36685" xr:uid="{B78533E8-50A1-4487-BAAD-6EBDFD745184}"/>
    <cellStyle name="Normal 2 8 4 2 3 4" xfId="36686" xr:uid="{8DC53CE4-9B48-4287-9A84-D84A2E6281EC}"/>
    <cellStyle name="Normal 2 8 4 2 3 4 2" xfId="36687" xr:uid="{E61F3D0A-BA20-4649-B54A-AAB612F77ADF}"/>
    <cellStyle name="Normal 2 8 4 2 3 4 2 2" xfId="36688" xr:uid="{B7E4948E-C207-478E-A51A-10F7516A5023}"/>
    <cellStyle name="Normal 2 8 4 2 3 4 2 3" xfId="36689" xr:uid="{4AEFD995-BDAF-4B40-B044-6E4CAD744A26}"/>
    <cellStyle name="Normal 2 8 4 2 3 4 2 4" xfId="36690" xr:uid="{33F116F7-8A2B-40D8-9193-BA9508C640E9}"/>
    <cellStyle name="Normal 2 8 4 2 3 4 2 5" xfId="36691" xr:uid="{6A847D88-0BDB-42C3-9BF6-370A20C46D7C}"/>
    <cellStyle name="Normal 2 8 4 2 3 4 3" xfId="36692" xr:uid="{3E30EE10-6C16-48B1-988A-8BA685B51904}"/>
    <cellStyle name="Normal 2 8 4 2 3 4 4" xfId="36693" xr:uid="{56994F76-9207-4C72-A59B-F743744CF3D9}"/>
    <cellStyle name="Normal 2 8 4 2 3 4 5" xfId="36694" xr:uid="{F12031DC-F36B-47A8-B1A1-9630F4B6B45B}"/>
    <cellStyle name="Normal 2 8 4 2 3 4 6" xfId="36695" xr:uid="{FC4668DA-54A8-4336-A6B3-A30750452476}"/>
    <cellStyle name="Normal 2 8 4 2 3 5" xfId="36696" xr:uid="{2004E541-FFC2-4E3B-804C-3F8B57816160}"/>
    <cellStyle name="Normal 2 8 4 2 3 5 2" xfId="36697" xr:uid="{6C67F5CD-7156-477C-9C65-C6079CE36077}"/>
    <cellStyle name="Normal 2 8 4 2 3 5 3" xfId="36698" xr:uid="{14F31BA0-0445-495A-B6CE-3D1FA3F8F1A9}"/>
    <cellStyle name="Normal 2 8 4 2 3 5 4" xfId="36699" xr:uid="{935EDF92-2D02-49CF-B8DC-A82BEB5A3AB6}"/>
    <cellStyle name="Normal 2 8 4 2 3 5 5" xfId="36700" xr:uid="{7155BA68-5C03-4181-A28A-94A41F6DA19E}"/>
    <cellStyle name="Normal 2 8 4 2 3 6" xfId="36701" xr:uid="{EA8E9B67-3076-4B92-89F2-00E556C035EC}"/>
    <cellStyle name="Normal 2 8 4 2 3 6 2" xfId="36702" xr:uid="{40F09FB7-82C8-4E7E-BFA5-3C4C2D1832D7}"/>
    <cellStyle name="Normal 2 8 4 2 3 6 3" xfId="36703" xr:uid="{CFAE0FF3-2F48-48B4-898F-21D4996B5F87}"/>
    <cellStyle name="Normal 2 8 4 2 3 6 4" xfId="36704" xr:uid="{72DEBB7E-2843-477C-9864-E219040F4EA9}"/>
    <cellStyle name="Normal 2 8 4 2 3 6 5" xfId="36705" xr:uid="{1FEAA97B-9587-46A7-9417-A35E0CFC26A0}"/>
    <cellStyle name="Normal 2 8 4 2 3 7" xfId="36706" xr:uid="{26B61EAD-CB95-4953-994C-02294364D4CC}"/>
    <cellStyle name="Normal 2 8 4 2 3 7 2" xfId="36707" xr:uid="{D99CA7C7-3FFD-4EE2-AFD5-FE2B806F875E}"/>
    <cellStyle name="Normal 2 8 4 2 3 7 3" xfId="36708" xr:uid="{1D23B9BD-C9BA-44B1-9132-7758ADE89BC6}"/>
    <cellStyle name="Normal 2 8 4 2 3 7 4" xfId="36709" xr:uid="{02DA98FF-65CD-4BB6-A540-7BD181E9B8F8}"/>
    <cellStyle name="Normal 2 8 4 2 3 7 5" xfId="36710" xr:uid="{1392D546-3BB9-4254-86E7-672EC4A64E6B}"/>
    <cellStyle name="Normal 2 8 4 2 3 8" xfId="36711" xr:uid="{F47D60B1-5D6E-407B-AD44-2886BAE55032}"/>
    <cellStyle name="Normal 2 8 4 2 3 8 2" xfId="36712" xr:uid="{C9B4918C-3A54-465E-A4A0-F2B1BACB5576}"/>
    <cellStyle name="Normal 2 8 4 2 3 8 3" xfId="36713" xr:uid="{DBF28504-BABB-4405-9D08-B71E95921F8E}"/>
    <cellStyle name="Normal 2 8 4 2 3 8 4" xfId="36714" xr:uid="{73D146FC-8182-40C8-8D59-AA78BCF4CCAF}"/>
    <cellStyle name="Normal 2 8 4 2 3 8 5" xfId="36715" xr:uid="{64F213F7-6CC6-4C80-9572-4D07E1757040}"/>
    <cellStyle name="Normal 2 8 4 2 3 9" xfId="36716" xr:uid="{31F0FB22-B205-4A3E-A212-5B96929897C2}"/>
    <cellStyle name="Normal 2 8 4 2 4" xfId="36717" xr:uid="{60CE3ADB-05AC-457D-B0B2-2DD827ED5DBB}"/>
    <cellStyle name="Normal 2 8 4 2 4 2" xfId="36718" xr:uid="{39A0145B-E513-4A2A-9FF0-E177220DA46C}"/>
    <cellStyle name="Normal 2 8 4 2 4 2 2" xfId="36719" xr:uid="{412B413E-88FE-4598-9638-11D161CBC1DE}"/>
    <cellStyle name="Normal 2 8 4 2 4 2 3" xfId="36720" xr:uid="{6FCD6476-658B-439A-8F5F-BC930075E997}"/>
    <cellStyle name="Normal 2 8 4 2 4 2 4" xfId="36721" xr:uid="{4E468A11-E964-44FD-A238-AE521ACAAB77}"/>
    <cellStyle name="Normal 2 8 4 2 4 2 5" xfId="36722" xr:uid="{0EF7A6D9-6D80-4E1C-83A0-97164DCD6DEB}"/>
    <cellStyle name="Normal 2 8 4 2 4 3" xfId="36723" xr:uid="{0CEEF6C8-4AFD-48C2-B61B-3C6CFA9160A5}"/>
    <cellStyle name="Normal 2 8 4 2 4 4" xfId="36724" xr:uid="{1E890E9A-30E1-4400-A28E-6A2A61974A25}"/>
    <cellStyle name="Normal 2 8 4 2 4 5" xfId="36725" xr:uid="{DED5F0B3-5305-4FDB-9FC0-0BA4F2295E3C}"/>
    <cellStyle name="Normal 2 8 4 2 4 6" xfId="36726" xr:uid="{780105CA-B82F-48D6-98C3-E0D6EF3A6BFF}"/>
    <cellStyle name="Normal 2 8 4 2 5" xfId="36727" xr:uid="{ADF91337-6F8A-4B71-B632-20CB535BB906}"/>
    <cellStyle name="Normal 2 8 4 2 5 2" xfId="36728" xr:uid="{3F104D4B-1BC4-45E8-84FB-96F4ED9DE875}"/>
    <cellStyle name="Normal 2 8 4 2 5 2 2" xfId="36729" xr:uid="{850F924D-C846-47B7-AA14-54BBD4FB0058}"/>
    <cellStyle name="Normal 2 8 4 2 5 2 3" xfId="36730" xr:uid="{6CB58F93-D340-4A9F-9BE4-D7AA0D6EE21D}"/>
    <cellStyle name="Normal 2 8 4 2 5 2 4" xfId="36731" xr:uid="{60758C47-5F2E-4F74-ABB9-AE79109C2F31}"/>
    <cellStyle name="Normal 2 8 4 2 5 2 5" xfId="36732" xr:uid="{BC607046-E750-456B-91D1-913D99366275}"/>
    <cellStyle name="Normal 2 8 4 2 5 3" xfId="36733" xr:uid="{E04E10F5-FE8D-4882-881F-0F58BEAF4B5E}"/>
    <cellStyle name="Normal 2 8 4 2 5 4" xfId="36734" xr:uid="{57B54406-3C0D-4029-8DDE-5EE3BFEF1465}"/>
    <cellStyle name="Normal 2 8 4 2 5 5" xfId="36735" xr:uid="{548988EF-C613-4853-B1F9-1B137CFBCDDE}"/>
    <cellStyle name="Normal 2 8 4 2 5 6" xfId="36736" xr:uid="{DCA7EC92-CB20-4E08-805F-A5634A552C60}"/>
    <cellStyle name="Normal 2 8 4 2 6" xfId="36737" xr:uid="{2E513A98-F7B8-47BA-AE56-538CB78E22CE}"/>
    <cellStyle name="Normal 2 8 4 2 6 2" xfId="36738" xr:uid="{999216F9-963B-4E65-B1A9-BFBDC8460E52}"/>
    <cellStyle name="Normal 2 8 4 2 6 2 2" xfId="36739" xr:uid="{CC07B3E0-8B1A-4AB3-885B-57871E90169C}"/>
    <cellStyle name="Normal 2 8 4 2 6 2 3" xfId="36740" xr:uid="{8ADFDB2A-8D62-49B1-9510-668C79D5E9E1}"/>
    <cellStyle name="Normal 2 8 4 2 6 2 4" xfId="36741" xr:uid="{444FC4E7-7946-429B-94BB-CF070CE562E5}"/>
    <cellStyle name="Normal 2 8 4 2 6 2 5" xfId="36742" xr:uid="{9DBDA123-5657-457A-97A9-B257F56E81A3}"/>
    <cellStyle name="Normal 2 8 4 2 6 3" xfId="36743" xr:uid="{0A3D673D-1A9A-4018-BE4E-A086595E902E}"/>
    <cellStyle name="Normal 2 8 4 2 6 4" xfId="36744" xr:uid="{DF39E3E7-BACB-4D35-9206-F8AC3BF78AA4}"/>
    <cellStyle name="Normal 2 8 4 2 6 5" xfId="36745" xr:uid="{B1AF6662-DD7B-4190-A48F-69EF0D0B59A2}"/>
    <cellStyle name="Normal 2 8 4 2 6 6" xfId="36746" xr:uid="{EA704BCC-B196-4949-A520-2D8DD3134E56}"/>
    <cellStyle name="Normal 2 8 4 2 7" xfId="36747" xr:uid="{453068A6-0FE9-453B-8890-667A9D9BC546}"/>
    <cellStyle name="Normal 2 8 4 2 7 2" xfId="36748" xr:uid="{DDC0AAB2-C5CB-4157-A3B0-146A1ED33755}"/>
    <cellStyle name="Normal 2 8 4 2 7 3" xfId="36749" xr:uid="{341445C3-9B0B-42D0-9B8F-676563B8EB28}"/>
    <cellStyle name="Normal 2 8 4 2 7 4" xfId="36750" xr:uid="{EE7F1DE7-79AA-47BE-A30C-0546ECF31265}"/>
    <cellStyle name="Normal 2 8 4 2 7 5" xfId="36751" xr:uid="{F71BAD19-200B-491F-AB88-AAEF58866618}"/>
    <cellStyle name="Normal 2 8 4 2 8" xfId="36752" xr:uid="{5851DDB1-74D6-4D3F-957C-16F19C4F75F3}"/>
    <cellStyle name="Normal 2 8 4 2 8 2" xfId="36753" xr:uid="{537A1E14-1CAA-41EE-9AD9-9EB6B5C017A0}"/>
    <cellStyle name="Normal 2 8 4 2 8 3" xfId="36754" xr:uid="{4FA8DC29-7AB5-4822-82F2-5D72F8EE26F5}"/>
    <cellStyle name="Normal 2 8 4 2 8 4" xfId="36755" xr:uid="{4623C909-28B5-4871-AAD7-37F82B776F83}"/>
    <cellStyle name="Normal 2 8 4 2 8 5" xfId="36756" xr:uid="{37E5B18C-A1E9-4053-8630-46DF9D47C6D9}"/>
    <cellStyle name="Normal 2 8 4 2 9" xfId="36757" xr:uid="{B1A514A9-1D78-4D5B-A921-6DAF7FF78058}"/>
    <cellStyle name="Normal 2 8 4 2 9 2" xfId="36758" xr:uid="{AB7D20B6-8B11-429D-83DA-ACA085E9C08D}"/>
    <cellStyle name="Normal 2 8 4 2 9 3" xfId="36759" xr:uid="{29DA0D9D-AFE3-4988-B975-9237B409A6B5}"/>
    <cellStyle name="Normal 2 8 4 2 9 4" xfId="36760" xr:uid="{0DC053BC-49D1-4A80-B651-F6E4A67B96B2}"/>
    <cellStyle name="Normal 2 8 4 2 9 5" xfId="36761" xr:uid="{CECC0313-C47C-45B3-9D95-5D7A9EFD735E}"/>
    <cellStyle name="Normal 2 8 4 3" xfId="36762" xr:uid="{844D3598-919D-4E1C-B8F0-BAD60F73AAB2}"/>
    <cellStyle name="Normal 2 8 4 3 10" xfId="36763" xr:uid="{22C8C59F-20FE-4956-AE3C-61019CDFA6E1}"/>
    <cellStyle name="Normal 2 8 4 3 11" xfId="36764" xr:uid="{96630862-790C-4971-8BFE-53038896DB0A}"/>
    <cellStyle name="Normal 2 8 4 3 12" xfId="36765" xr:uid="{504C20A2-5D75-4CD5-9A80-3FD42101F686}"/>
    <cellStyle name="Normal 2 8 4 3 13" xfId="36766" xr:uid="{B92185B2-08AB-41D3-BB72-E5193F314FF1}"/>
    <cellStyle name="Normal 2 8 4 3 2" xfId="36767" xr:uid="{67F21E84-0603-40B1-9B2D-6936FB3E9D37}"/>
    <cellStyle name="Normal 2 8 4 3 2 10" xfId="36768" xr:uid="{6CFB5FB1-DED3-4FB8-BC6B-7B410D09D806}"/>
    <cellStyle name="Normal 2 8 4 3 2 11" xfId="36769" xr:uid="{3254F929-C533-4B4E-A207-9DCE851E9E4A}"/>
    <cellStyle name="Normal 2 8 4 3 2 12" xfId="36770" xr:uid="{CF8D1FB6-AAC5-4FA0-ABDE-0B0EB230F9AC}"/>
    <cellStyle name="Normal 2 8 4 3 2 2" xfId="36771" xr:uid="{307EF6BC-5C08-4D54-9914-188573080A57}"/>
    <cellStyle name="Normal 2 8 4 3 2 2 2" xfId="36772" xr:uid="{2317F186-CD95-4AA7-9F9E-4C06803AB212}"/>
    <cellStyle name="Normal 2 8 4 3 2 2 2 2" xfId="36773" xr:uid="{D327A8E2-7C16-4AE3-B22D-FB5F64768122}"/>
    <cellStyle name="Normal 2 8 4 3 2 2 2 3" xfId="36774" xr:uid="{2021086F-6602-4782-A4FB-48067C27329E}"/>
    <cellStyle name="Normal 2 8 4 3 2 2 2 4" xfId="36775" xr:uid="{6D7EF68D-386A-4ADF-A4D0-8CAA2C0EF85A}"/>
    <cellStyle name="Normal 2 8 4 3 2 2 2 5" xfId="36776" xr:uid="{C50F33C8-FFD2-41CA-AFF6-C6E1BD249A7A}"/>
    <cellStyle name="Normal 2 8 4 3 2 2 3" xfId="36777" xr:uid="{AB30C480-4531-4E13-85FD-2ECF53AEBFEC}"/>
    <cellStyle name="Normal 2 8 4 3 2 2 4" xfId="36778" xr:uid="{54FA905E-44C8-4325-AF90-A0B1274B04D2}"/>
    <cellStyle name="Normal 2 8 4 3 2 2 5" xfId="36779" xr:uid="{3AAD5272-52E8-4A80-A89A-0D7AC6A6C426}"/>
    <cellStyle name="Normal 2 8 4 3 2 2 6" xfId="36780" xr:uid="{9E8F02BC-8D45-44DF-8033-4EADCE088FC4}"/>
    <cellStyle name="Normal 2 8 4 3 2 3" xfId="36781" xr:uid="{37E8F2F4-C673-4FF8-92C0-664F3766C7DB}"/>
    <cellStyle name="Normal 2 8 4 3 2 3 2" xfId="36782" xr:uid="{8CA71CDD-8476-4E16-BB48-10D96ADAC76E}"/>
    <cellStyle name="Normal 2 8 4 3 2 3 2 2" xfId="36783" xr:uid="{8D7248BC-0280-4B68-861E-7BB200EDE569}"/>
    <cellStyle name="Normal 2 8 4 3 2 3 2 3" xfId="36784" xr:uid="{80B64828-7FEF-4199-90A5-996F99B37FE4}"/>
    <cellStyle name="Normal 2 8 4 3 2 3 2 4" xfId="36785" xr:uid="{D10D7B4C-F94A-4C5F-9B6C-C9556B0BB341}"/>
    <cellStyle name="Normal 2 8 4 3 2 3 2 5" xfId="36786" xr:uid="{93886C4E-3AE8-4F43-A944-7617D1B7EDB5}"/>
    <cellStyle name="Normal 2 8 4 3 2 3 3" xfId="36787" xr:uid="{BD94930C-25A7-43FD-B201-EA58F34353F3}"/>
    <cellStyle name="Normal 2 8 4 3 2 3 4" xfId="36788" xr:uid="{69598537-3FAF-4172-82E6-501AEAEC5F8D}"/>
    <cellStyle name="Normal 2 8 4 3 2 3 5" xfId="36789" xr:uid="{469764EF-8C15-4F33-BF51-40B5DFD50776}"/>
    <cellStyle name="Normal 2 8 4 3 2 3 6" xfId="36790" xr:uid="{121C5BE9-28C0-4B85-87E4-84F4400C5334}"/>
    <cellStyle name="Normal 2 8 4 3 2 4" xfId="36791" xr:uid="{50EDE131-117F-485E-A029-57BE1E7E22D0}"/>
    <cellStyle name="Normal 2 8 4 3 2 4 2" xfId="36792" xr:uid="{A3701C22-C471-486D-8962-BA0237795FA8}"/>
    <cellStyle name="Normal 2 8 4 3 2 4 2 2" xfId="36793" xr:uid="{4EDA1063-32C4-46CA-8559-AF34734CFF18}"/>
    <cellStyle name="Normal 2 8 4 3 2 4 2 3" xfId="36794" xr:uid="{1115229B-92BD-4201-BB50-B1AC2E1BB866}"/>
    <cellStyle name="Normal 2 8 4 3 2 4 2 4" xfId="36795" xr:uid="{991A5733-E29A-464B-A6EF-F8B4673BDCD5}"/>
    <cellStyle name="Normal 2 8 4 3 2 4 2 5" xfId="36796" xr:uid="{38DF6A33-C223-475A-ADC5-4799BB06A72A}"/>
    <cellStyle name="Normal 2 8 4 3 2 4 3" xfId="36797" xr:uid="{9F035D1F-C0D7-4498-94DB-F9947CA23FF5}"/>
    <cellStyle name="Normal 2 8 4 3 2 4 4" xfId="36798" xr:uid="{B104F610-F076-47C5-8F0F-408885A539B6}"/>
    <cellStyle name="Normal 2 8 4 3 2 4 5" xfId="36799" xr:uid="{00C717BD-8106-4A07-818E-3B4FFB2E85D2}"/>
    <cellStyle name="Normal 2 8 4 3 2 4 6" xfId="36800" xr:uid="{B6343DCA-990A-41BF-95D8-94FD38A0525C}"/>
    <cellStyle name="Normal 2 8 4 3 2 5" xfId="36801" xr:uid="{400E24BD-005E-4F7D-BE8C-8434931271DD}"/>
    <cellStyle name="Normal 2 8 4 3 2 5 2" xfId="36802" xr:uid="{AD502E60-6660-46FE-93E1-2ECD3DBA2F6D}"/>
    <cellStyle name="Normal 2 8 4 3 2 5 3" xfId="36803" xr:uid="{605118AF-46FD-4F59-B73C-BB1F5712BD79}"/>
    <cellStyle name="Normal 2 8 4 3 2 5 4" xfId="36804" xr:uid="{FC2AED35-B357-4939-911F-DE267BB0BCC3}"/>
    <cellStyle name="Normal 2 8 4 3 2 5 5" xfId="36805" xr:uid="{A09F4584-FFC7-4B01-A9F1-97466837C958}"/>
    <cellStyle name="Normal 2 8 4 3 2 6" xfId="36806" xr:uid="{733D78D6-1DF6-4BA2-B9AD-CEF482002AAE}"/>
    <cellStyle name="Normal 2 8 4 3 2 6 2" xfId="36807" xr:uid="{0D70B602-8248-4E9F-AD38-A66CD80D0585}"/>
    <cellStyle name="Normal 2 8 4 3 2 6 3" xfId="36808" xr:uid="{FB2FAE72-D900-4B66-9140-93488CFAFBD6}"/>
    <cellStyle name="Normal 2 8 4 3 2 6 4" xfId="36809" xr:uid="{98006478-15BE-4B66-9A93-1FC3CFB5E1AB}"/>
    <cellStyle name="Normal 2 8 4 3 2 6 5" xfId="36810" xr:uid="{93131F50-B258-435B-AD1A-3986C84F19C9}"/>
    <cellStyle name="Normal 2 8 4 3 2 7" xfId="36811" xr:uid="{9A1A0774-51DA-4798-8280-E7157218B525}"/>
    <cellStyle name="Normal 2 8 4 3 2 7 2" xfId="36812" xr:uid="{6D3ACB27-5E2A-43E2-AD19-E2774C73F044}"/>
    <cellStyle name="Normal 2 8 4 3 2 7 3" xfId="36813" xr:uid="{3A133527-8EF2-4522-B91D-FC722AD0B9EE}"/>
    <cellStyle name="Normal 2 8 4 3 2 7 4" xfId="36814" xr:uid="{0D86C7D6-B6A7-45DF-9002-EBFE141F6D95}"/>
    <cellStyle name="Normal 2 8 4 3 2 7 5" xfId="36815" xr:uid="{392525D1-2EC9-425D-905D-17A5D71847D9}"/>
    <cellStyle name="Normal 2 8 4 3 2 8" xfId="36816" xr:uid="{05D1C736-5119-4BA6-BA29-29130C54C2B0}"/>
    <cellStyle name="Normal 2 8 4 3 2 8 2" xfId="36817" xr:uid="{860DBF6F-27E0-45FF-A4B3-C7E24C06F72C}"/>
    <cellStyle name="Normal 2 8 4 3 2 8 3" xfId="36818" xr:uid="{C1ED684C-45F9-4407-B03A-E21100A40FFA}"/>
    <cellStyle name="Normal 2 8 4 3 2 8 4" xfId="36819" xr:uid="{53CBF7D0-AA53-4EE2-8C9E-C64418902D29}"/>
    <cellStyle name="Normal 2 8 4 3 2 8 5" xfId="36820" xr:uid="{5B5EDC1B-19A8-4838-BE51-EBD5D3D1CB7A}"/>
    <cellStyle name="Normal 2 8 4 3 2 9" xfId="36821" xr:uid="{7B5844D1-EBC1-40B4-A862-F2D2B773BB9A}"/>
    <cellStyle name="Normal 2 8 4 3 3" xfId="36822" xr:uid="{325E2B24-79DF-4393-A557-845CCBA40EE4}"/>
    <cellStyle name="Normal 2 8 4 3 3 2" xfId="36823" xr:uid="{378B04C6-1907-4512-903C-DB580FDA2F31}"/>
    <cellStyle name="Normal 2 8 4 3 3 2 2" xfId="36824" xr:uid="{B0FEE59C-0DD6-4BCE-819C-232F6F78DA30}"/>
    <cellStyle name="Normal 2 8 4 3 3 2 3" xfId="36825" xr:uid="{C36BA25C-1BE8-4767-B636-37ED4C749D11}"/>
    <cellStyle name="Normal 2 8 4 3 3 2 4" xfId="36826" xr:uid="{4B851AC8-D4C9-4104-BAA8-A442FFDD10E9}"/>
    <cellStyle name="Normal 2 8 4 3 3 2 5" xfId="36827" xr:uid="{68701BFA-33AB-4CEE-9897-60D41E13D89C}"/>
    <cellStyle name="Normal 2 8 4 3 3 3" xfId="36828" xr:uid="{3A09925C-246A-4841-81A5-417EC24D9FA8}"/>
    <cellStyle name="Normal 2 8 4 3 3 4" xfId="36829" xr:uid="{035E642C-0724-49E8-AD77-9E6787239F9F}"/>
    <cellStyle name="Normal 2 8 4 3 3 5" xfId="36830" xr:uid="{A281EBE6-F1DB-43DC-A3E6-847D7462A8EE}"/>
    <cellStyle name="Normal 2 8 4 3 3 6" xfId="36831" xr:uid="{4A94075A-A521-4B13-851A-255627D65E93}"/>
    <cellStyle name="Normal 2 8 4 3 4" xfId="36832" xr:uid="{078C1E74-2A43-42AB-87CF-09AD7040C3B8}"/>
    <cellStyle name="Normal 2 8 4 3 4 2" xfId="36833" xr:uid="{A670B827-493E-4854-975F-8A32C925E49E}"/>
    <cellStyle name="Normal 2 8 4 3 4 2 2" xfId="36834" xr:uid="{1620F41F-3609-4E33-881D-A35DC8B3CA15}"/>
    <cellStyle name="Normal 2 8 4 3 4 2 3" xfId="36835" xr:uid="{EA866C9A-E296-4017-8F0B-6C6D532834A1}"/>
    <cellStyle name="Normal 2 8 4 3 4 2 4" xfId="36836" xr:uid="{8EE427B0-9EA5-4157-AF17-CA9A5E6F3618}"/>
    <cellStyle name="Normal 2 8 4 3 4 2 5" xfId="36837" xr:uid="{FDB4758C-5036-46DB-BBF2-C635EF4E8C99}"/>
    <cellStyle name="Normal 2 8 4 3 4 3" xfId="36838" xr:uid="{B847BB90-DF04-46A6-8265-4F84DFE42B3D}"/>
    <cellStyle name="Normal 2 8 4 3 4 4" xfId="36839" xr:uid="{9CC2650C-0EDF-4477-B043-5BF273623D93}"/>
    <cellStyle name="Normal 2 8 4 3 4 5" xfId="36840" xr:uid="{5F3A78FE-3521-4527-B5E4-15C7C6F7ECD2}"/>
    <cellStyle name="Normal 2 8 4 3 4 6" xfId="36841" xr:uid="{67EA36A8-FC1B-4B30-97F7-D262D223620B}"/>
    <cellStyle name="Normal 2 8 4 3 5" xfId="36842" xr:uid="{5BEC758A-1AC4-469F-81F3-AA696252D564}"/>
    <cellStyle name="Normal 2 8 4 3 5 2" xfId="36843" xr:uid="{9FDA2BD6-3316-4AFA-96E6-3E211BB87E52}"/>
    <cellStyle name="Normal 2 8 4 3 5 2 2" xfId="36844" xr:uid="{2786640F-6701-4849-ADDA-B60C28D9E219}"/>
    <cellStyle name="Normal 2 8 4 3 5 2 3" xfId="36845" xr:uid="{89C9C513-CF8E-43BB-88F7-29463A10C8AF}"/>
    <cellStyle name="Normal 2 8 4 3 5 2 4" xfId="36846" xr:uid="{1C9C8955-4D85-4E40-B336-EBAF762BBDD3}"/>
    <cellStyle name="Normal 2 8 4 3 5 2 5" xfId="36847" xr:uid="{C7C4B7EE-6911-4DF8-9EA8-1EAF5E485CE5}"/>
    <cellStyle name="Normal 2 8 4 3 5 3" xfId="36848" xr:uid="{A73FB00C-3C19-469C-AC7B-1BD0D0A73795}"/>
    <cellStyle name="Normal 2 8 4 3 5 4" xfId="36849" xr:uid="{DAFF22F7-51B2-4F26-8520-D5B57336C9B3}"/>
    <cellStyle name="Normal 2 8 4 3 5 5" xfId="36850" xr:uid="{B9A72D18-0811-4E5E-A846-825231E6957D}"/>
    <cellStyle name="Normal 2 8 4 3 5 6" xfId="36851" xr:uid="{A037C441-866E-4669-9778-F8C6B2FC0937}"/>
    <cellStyle name="Normal 2 8 4 3 6" xfId="36852" xr:uid="{307A8F91-76E2-4A4F-BD6A-10B759FB3AED}"/>
    <cellStyle name="Normal 2 8 4 3 6 2" xfId="36853" xr:uid="{68FE2737-2577-44BF-8C30-16192F001B53}"/>
    <cellStyle name="Normal 2 8 4 3 6 3" xfId="36854" xr:uid="{55343F8B-B93D-467A-BA8E-6A57B64E6201}"/>
    <cellStyle name="Normal 2 8 4 3 6 4" xfId="36855" xr:uid="{10661BA4-0C92-49F6-B61D-B94C95CD8AF7}"/>
    <cellStyle name="Normal 2 8 4 3 6 5" xfId="36856" xr:uid="{3DEBE268-884A-468D-BB4E-056E585BCEE8}"/>
    <cellStyle name="Normal 2 8 4 3 7" xfId="36857" xr:uid="{DB100106-D125-4778-8888-A1D547C86B46}"/>
    <cellStyle name="Normal 2 8 4 3 7 2" xfId="36858" xr:uid="{4261CBEB-FEB5-4C8B-917E-E8A389ED9425}"/>
    <cellStyle name="Normal 2 8 4 3 7 3" xfId="36859" xr:uid="{1BA4926F-2588-4618-A3B0-A110DB3BB9E3}"/>
    <cellStyle name="Normal 2 8 4 3 7 4" xfId="36860" xr:uid="{DFC604D3-9772-4917-9F93-BB04A6960584}"/>
    <cellStyle name="Normal 2 8 4 3 7 5" xfId="36861" xr:uid="{A1C8412F-6B89-4F49-A072-E3651FC8B82A}"/>
    <cellStyle name="Normal 2 8 4 3 8" xfId="36862" xr:uid="{2E2F0464-E02C-48BD-BA4A-E33AFB8A12DE}"/>
    <cellStyle name="Normal 2 8 4 3 8 2" xfId="36863" xr:uid="{F5975340-A8B2-4634-961F-83DD1B514CB3}"/>
    <cellStyle name="Normal 2 8 4 3 8 3" xfId="36864" xr:uid="{D84E9ABD-B82F-4B4F-A7D9-CC5658A31D41}"/>
    <cellStyle name="Normal 2 8 4 3 8 4" xfId="36865" xr:uid="{E03D77D3-E47A-4B6D-BF70-413B4A1BE9A3}"/>
    <cellStyle name="Normal 2 8 4 3 8 5" xfId="36866" xr:uid="{D98DC0CB-0837-47B2-97DD-C69B75512819}"/>
    <cellStyle name="Normal 2 8 4 3 9" xfId="36867" xr:uid="{8698FCF2-BE96-435E-8DA1-21D9AE6F88D8}"/>
    <cellStyle name="Normal 2 8 4 3 9 2" xfId="36868" xr:uid="{382B0A19-8E55-4A3C-89B5-5D63729AA4A5}"/>
    <cellStyle name="Normal 2 8 4 3 9 3" xfId="36869" xr:uid="{FB50546D-B17B-4E5A-984B-1835A0EE8ED8}"/>
    <cellStyle name="Normal 2 8 4 3 9 4" xfId="36870" xr:uid="{21688C6C-0737-4E9C-BD34-BF82F1ABDDE1}"/>
    <cellStyle name="Normal 2 8 4 3 9 5" xfId="36871" xr:uid="{5BF464A8-80E9-47A0-95EC-E7FC6BC5AEB8}"/>
    <cellStyle name="Normal 2 8 4 4" xfId="36872" xr:uid="{2BFCE052-FC4C-46EE-B1D1-A508BD816140}"/>
    <cellStyle name="Normal 2 8 4 4 10" xfId="36873" xr:uid="{791035A0-C57F-4048-8987-FF85432A9460}"/>
    <cellStyle name="Normal 2 8 4 4 11" xfId="36874" xr:uid="{3E0B8998-98CB-4ED8-9198-03C5E1EE3DC8}"/>
    <cellStyle name="Normal 2 8 4 4 12" xfId="36875" xr:uid="{F6A397DB-C86E-4D2A-83A8-61D169598786}"/>
    <cellStyle name="Normal 2 8 4 4 2" xfId="36876" xr:uid="{4B325AAB-3973-49E0-BACE-2AE8F3D778F8}"/>
    <cellStyle name="Normal 2 8 4 4 2 2" xfId="36877" xr:uid="{57D2CF78-BC59-4118-9655-D3F78336C784}"/>
    <cellStyle name="Normal 2 8 4 4 2 2 2" xfId="36878" xr:uid="{943E59BE-A42A-40D3-8217-30FF6A0AF6A3}"/>
    <cellStyle name="Normal 2 8 4 4 2 2 3" xfId="36879" xr:uid="{E808F548-B5A6-4B40-9A51-C79D5308245B}"/>
    <cellStyle name="Normal 2 8 4 4 2 2 4" xfId="36880" xr:uid="{F2390B74-9F17-4B17-B4D3-59E6B985C441}"/>
    <cellStyle name="Normal 2 8 4 4 2 2 5" xfId="36881" xr:uid="{9BC0175F-CBCE-491F-999A-B3A151207757}"/>
    <cellStyle name="Normal 2 8 4 4 2 3" xfId="36882" xr:uid="{0C5638B3-5C4B-4DD8-9253-C71B1FFED4B9}"/>
    <cellStyle name="Normal 2 8 4 4 2 4" xfId="36883" xr:uid="{486560EF-06B6-4A2F-A38F-479344EBA484}"/>
    <cellStyle name="Normal 2 8 4 4 2 5" xfId="36884" xr:uid="{398DC63F-67B2-4E64-AA82-C7881E141813}"/>
    <cellStyle name="Normal 2 8 4 4 2 6" xfId="36885" xr:uid="{8AB2EF24-5888-45B2-BB70-3E940795E238}"/>
    <cellStyle name="Normal 2 8 4 4 3" xfId="36886" xr:uid="{22384AAC-1AC8-4CDE-ACC9-5170D2FF9A6E}"/>
    <cellStyle name="Normal 2 8 4 4 3 2" xfId="36887" xr:uid="{64DE8D85-581D-4545-AF98-ADEBFF4CAB79}"/>
    <cellStyle name="Normal 2 8 4 4 3 2 2" xfId="36888" xr:uid="{D3956C75-7F2E-4DF9-A341-EE2ACC2E474E}"/>
    <cellStyle name="Normal 2 8 4 4 3 2 3" xfId="36889" xr:uid="{1C80BD35-840A-4B0B-BE65-B9E70305B446}"/>
    <cellStyle name="Normal 2 8 4 4 3 2 4" xfId="36890" xr:uid="{71E08498-E97F-499C-9151-967EE4691D3F}"/>
    <cellStyle name="Normal 2 8 4 4 3 2 5" xfId="36891" xr:uid="{EE39A086-AFA5-4711-BEA7-D566B4E15A0E}"/>
    <cellStyle name="Normal 2 8 4 4 3 3" xfId="36892" xr:uid="{45BFD2B9-3F7E-4091-9A85-59FAE8ACE322}"/>
    <cellStyle name="Normal 2 8 4 4 3 4" xfId="36893" xr:uid="{19E21144-8063-4F3F-A564-CDACC9A28C2D}"/>
    <cellStyle name="Normal 2 8 4 4 3 5" xfId="36894" xr:uid="{321CA9FF-7304-4CBB-B97C-88C61767D1AF}"/>
    <cellStyle name="Normal 2 8 4 4 3 6" xfId="36895" xr:uid="{05B12FEC-651D-4A64-AD34-B9519794F1CF}"/>
    <cellStyle name="Normal 2 8 4 4 4" xfId="36896" xr:uid="{13ABCA54-FC9B-4D05-9035-4F91215EADE5}"/>
    <cellStyle name="Normal 2 8 4 4 4 2" xfId="36897" xr:uid="{ABD8D5A9-3BEA-4480-BBC0-7F1B6CC5FAB8}"/>
    <cellStyle name="Normal 2 8 4 4 4 2 2" xfId="36898" xr:uid="{CB4220F7-07B9-43B8-9C63-43CBE28D76FF}"/>
    <cellStyle name="Normal 2 8 4 4 4 2 3" xfId="36899" xr:uid="{CA29904A-A273-4626-A910-C49D9AFA4F1E}"/>
    <cellStyle name="Normal 2 8 4 4 4 2 4" xfId="36900" xr:uid="{BD5B6027-F51B-4B1F-AAEE-84D74F83478D}"/>
    <cellStyle name="Normal 2 8 4 4 4 2 5" xfId="36901" xr:uid="{C97EEF1E-EEA5-4B84-B6BF-513E5591457C}"/>
    <cellStyle name="Normal 2 8 4 4 4 3" xfId="36902" xr:uid="{C7CEB3BE-4696-4C14-B097-7B3F9305B3FE}"/>
    <cellStyle name="Normal 2 8 4 4 4 4" xfId="36903" xr:uid="{22A0B449-C933-4578-9B96-6EE926A0E6A9}"/>
    <cellStyle name="Normal 2 8 4 4 4 5" xfId="36904" xr:uid="{3FEFD64B-6448-4CE7-9A16-7624F00770B0}"/>
    <cellStyle name="Normal 2 8 4 4 4 6" xfId="36905" xr:uid="{7CA1C72E-9C82-47C0-995A-D5C20694E589}"/>
    <cellStyle name="Normal 2 8 4 4 5" xfId="36906" xr:uid="{8210452F-7605-465F-AE88-06110AF50595}"/>
    <cellStyle name="Normal 2 8 4 4 5 2" xfId="36907" xr:uid="{3CEB2531-3173-47DB-80C3-320AD4E6F22C}"/>
    <cellStyle name="Normal 2 8 4 4 5 3" xfId="36908" xr:uid="{966B8498-CEE0-4D8F-8D3A-906B52D5BAA1}"/>
    <cellStyle name="Normal 2 8 4 4 5 4" xfId="36909" xr:uid="{E8D86D93-A3B7-4566-ADDB-4E6E35566378}"/>
    <cellStyle name="Normal 2 8 4 4 5 5" xfId="36910" xr:uid="{A34D5EAB-697A-477A-8EC2-DF086D99209C}"/>
    <cellStyle name="Normal 2 8 4 4 6" xfId="36911" xr:uid="{6E21CD60-C68C-426A-9109-CF9F98831926}"/>
    <cellStyle name="Normal 2 8 4 4 6 2" xfId="36912" xr:uid="{F6B96FAB-1C12-4F63-971A-D9653EDD6EF5}"/>
    <cellStyle name="Normal 2 8 4 4 6 3" xfId="36913" xr:uid="{6F404E54-D3AA-4D3E-B1E4-906A7D090416}"/>
    <cellStyle name="Normal 2 8 4 4 6 4" xfId="36914" xr:uid="{CAF06382-CD1B-40CE-91E6-B9EE02A589F9}"/>
    <cellStyle name="Normal 2 8 4 4 6 5" xfId="36915" xr:uid="{4053784B-BCAF-4498-A3DF-653BDD70BB1B}"/>
    <cellStyle name="Normal 2 8 4 4 7" xfId="36916" xr:uid="{ACA9D802-9ECB-4E4E-BCDF-83ADD64E650C}"/>
    <cellStyle name="Normal 2 8 4 4 7 2" xfId="36917" xr:uid="{81EF1926-D573-4CD4-8816-E7FFA30A613F}"/>
    <cellStyle name="Normal 2 8 4 4 7 3" xfId="36918" xr:uid="{0E4FA785-90AC-4B24-9ABC-65321C62E8AF}"/>
    <cellStyle name="Normal 2 8 4 4 7 4" xfId="36919" xr:uid="{32D5A61C-66B9-4E0C-9BCB-410A7CBE0C74}"/>
    <cellStyle name="Normal 2 8 4 4 7 5" xfId="36920" xr:uid="{E5E128D1-B6A7-4A6B-9EF4-15ECA9F4425C}"/>
    <cellStyle name="Normal 2 8 4 4 8" xfId="36921" xr:uid="{821FED1F-8711-4C35-8C21-62BE42CE9F50}"/>
    <cellStyle name="Normal 2 8 4 4 8 2" xfId="36922" xr:uid="{BC38D432-17CB-41EB-AA15-8360731A75EE}"/>
    <cellStyle name="Normal 2 8 4 4 8 3" xfId="36923" xr:uid="{13F45280-1D38-4AB9-91C9-8D816E701ED5}"/>
    <cellStyle name="Normal 2 8 4 4 8 4" xfId="36924" xr:uid="{3BCF1658-D484-4DC8-984E-858F4FCD4C40}"/>
    <cellStyle name="Normal 2 8 4 4 8 5" xfId="36925" xr:uid="{F3F3B024-471E-4B62-AE83-5124FD49178A}"/>
    <cellStyle name="Normal 2 8 4 4 9" xfId="36926" xr:uid="{981CF249-C4F4-4704-A1E1-FB3CDFADC041}"/>
    <cellStyle name="Normal 2 8 4 5" xfId="36927" xr:uid="{FB6B26E1-4205-4B67-AC9C-16B40A9ACD1A}"/>
    <cellStyle name="Normal 2 8 4 5 2" xfId="36928" xr:uid="{18A91770-BB98-4DDD-ACD7-243DB819CBE8}"/>
    <cellStyle name="Normal 2 8 4 5 2 2" xfId="36929" xr:uid="{2ECCCD2A-9E5C-433F-96CD-9542C7A32AB1}"/>
    <cellStyle name="Normal 2 8 4 5 2 3" xfId="36930" xr:uid="{0EFB2745-C10D-40B8-B74E-DB0F3471EF2B}"/>
    <cellStyle name="Normal 2 8 4 5 2 4" xfId="36931" xr:uid="{2626B5A8-787D-4792-8A26-C0FC79B7C8E7}"/>
    <cellStyle name="Normal 2 8 4 5 2 5" xfId="36932" xr:uid="{91934942-5431-4B6D-A50A-7278D33EC12F}"/>
    <cellStyle name="Normal 2 8 4 5 3" xfId="36933" xr:uid="{DA0C117A-9459-4C50-A22A-FE1B8018EF00}"/>
    <cellStyle name="Normal 2 8 4 5 4" xfId="36934" xr:uid="{C54278BE-90EB-45C2-8CFA-9F165AD0D5BF}"/>
    <cellStyle name="Normal 2 8 4 5 5" xfId="36935" xr:uid="{5BB18747-6D6A-47E5-B70F-756E0F01E782}"/>
    <cellStyle name="Normal 2 8 4 5 6" xfId="36936" xr:uid="{4A2D7F60-606F-4306-AE74-6809F47A7557}"/>
    <cellStyle name="Normal 2 8 4 6" xfId="36937" xr:uid="{D72C1FC0-ABF0-4702-88BB-D249A4DC97B1}"/>
    <cellStyle name="Normal 2 8 4 6 2" xfId="36938" xr:uid="{D0FD29CE-4A3F-4E67-82A8-F47A3F0AEEE6}"/>
    <cellStyle name="Normal 2 8 4 6 2 2" xfId="36939" xr:uid="{D3822DFE-D4A3-4335-BEE5-2F518DC001DB}"/>
    <cellStyle name="Normal 2 8 4 6 2 3" xfId="36940" xr:uid="{45DFA04D-5F1A-42CE-A82E-271B9913CE96}"/>
    <cellStyle name="Normal 2 8 4 6 2 4" xfId="36941" xr:uid="{F876FC55-B8B3-4E73-8927-CEC02A040AD0}"/>
    <cellStyle name="Normal 2 8 4 6 2 5" xfId="36942" xr:uid="{E85CCF78-A400-44D9-88B8-9F2904EC1F51}"/>
    <cellStyle name="Normal 2 8 4 6 3" xfId="36943" xr:uid="{30B8F292-0A27-4303-861B-ABE44A401190}"/>
    <cellStyle name="Normal 2 8 4 6 4" xfId="36944" xr:uid="{6AA74B1F-75F0-4C47-8755-0094748BDF23}"/>
    <cellStyle name="Normal 2 8 4 6 5" xfId="36945" xr:uid="{37285E0A-448C-4828-A873-10838016E139}"/>
    <cellStyle name="Normal 2 8 4 6 6" xfId="36946" xr:uid="{A19F64E9-4E3A-4285-A558-232A154F0FAB}"/>
    <cellStyle name="Normal 2 8 4 7" xfId="36947" xr:uid="{30092EAA-AC8C-491B-BDEE-F25EBAD28A83}"/>
    <cellStyle name="Normal 2 8 4 7 2" xfId="36948" xr:uid="{84CE3C50-A38F-4B69-9044-1405918CC4C4}"/>
    <cellStyle name="Normal 2 8 4 7 2 2" xfId="36949" xr:uid="{F60B3A74-0E6B-40B1-B9FC-51D8E7A236FA}"/>
    <cellStyle name="Normal 2 8 4 7 2 3" xfId="36950" xr:uid="{E5DDAF6C-2614-4269-A5C0-0D6E24E3DDD4}"/>
    <cellStyle name="Normal 2 8 4 7 2 4" xfId="36951" xr:uid="{335E95FB-31CE-41D0-97E4-B6BFB8C20F62}"/>
    <cellStyle name="Normal 2 8 4 7 2 5" xfId="36952" xr:uid="{777E3253-E741-4DE1-AC34-D2B8CCEE18A7}"/>
    <cellStyle name="Normal 2 8 4 7 3" xfId="36953" xr:uid="{1DBF684F-5E52-472A-A221-0BC57A904D1A}"/>
    <cellStyle name="Normal 2 8 4 7 4" xfId="36954" xr:uid="{F845590E-48B2-4127-B115-19CAB581275E}"/>
    <cellStyle name="Normal 2 8 4 7 5" xfId="36955" xr:uid="{97DB5AF1-53B6-43E7-B91D-FE8443C99858}"/>
    <cellStyle name="Normal 2 8 4 7 6" xfId="36956" xr:uid="{0E78C95B-983D-430D-9828-8CC47E57EB7E}"/>
    <cellStyle name="Normal 2 8 4 8" xfId="36957" xr:uid="{E78ACD5B-F842-4618-8710-56FE6DE72D5F}"/>
    <cellStyle name="Normal 2 8 4 8 2" xfId="36958" xr:uid="{489C68FF-DC75-456D-BC09-B94033FDA09F}"/>
    <cellStyle name="Normal 2 8 4 8 3" xfId="36959" xr:uid="{11135156-9E6B-4F21-9DE8-DA48A0F43F38}"/>
    <cellStyle name="Normal 2 8 4 8 4" xfId="36960" xr:uid="{50C5664D-2C51-4FC1-B517-87F059AA755F}"/>
    <cellStyle name="Normal 2 8 4 8 5" xfId="36961" xr:uid="{5DBF6C5C-B14C-4876-9804-862EA53042B9}"/>
    <cellStyle name="Normal 2 8 4 9" xfId="36962" xr:uid="{DDE92160-2B1F-4917-9FBB-F60F615987A6}"/>
    <cellStyle name="Normal 2 8 4 9 2" xfId="36963" xr:uid="{9CA6DBEB-8780-465A-8DC5-F05EEFFA48AE}"/>
    <cellStyle name="Normal 2 8 4 9 3" xfId="36964" xr:uid="{77E04BB8-8350-485A-981F-EDFAA56EFB78}"/>
    <cellStyle name="Normal 2 8 4 9 4" xfId="36965" xr:uid="{61A0B579-E97A-4B92-B135-A686A9A7DD18}"/>
    <cellStyle name="Normal 2 8 4 9 5" xfId="36966" xr:uid="{CF7EFB5D-660A-4BAC-8821-235823E42154}"/>
    <cellStyle name="Normal 2 8 5" xfId="36967" xr:uid="{F04D0398-B3FB-4883-BD9D-08080BD8F436}"/>
    <cellStyle name="Normal 2 8 5 10" xfId="36968" xr:uid="{69AB67BE-F51E-4270-A9DF-A8872DC0EACE}"/>
    <cellStyle name="Normal 2 8 5 10 2" xfId="36969" xr:uid="{633D3D67-C387-432F-8B0A-40567829026D}"/>
    <cellStyle name="Normal 2 8 5 10 3" xfId="36970" xr:uid="{D41BB42A-75DD-4084-8007-6BA6FB309085}"/>
    <cellStyle name="Normal 2 8 5 10 4" xfId="36971" xr:uid="{6080637D-E1C5-441A-B37B-2EAF0E9313B9}"/>
    <cellStyle name="Normal 2 8 5 10 5" xfId="36972" xr:uid="{785EC27B-D76C-45EC-9400-3282E8C14E20}"/>
    <cellStyle name="Normal 2 8 5 11" xfId="36973" xr:uid="{BC85D759-BC0A-4A68-A145-6289372D1CD7}"/>
    <cellStyle name="Normal 2 8 5 12" xfId="36974" xr:uid="{2D53E0BD-A7C0-41CC-84E8-79EF27E5D5B0}"/>
    <cellStyle name="Normal 2 8 5 13" xfId="36975" xr:uid="{F7C2E8DB-4B50-498D-91CE-5712425B958B}"/>
    <cellStyle name="Normal 2 8 5 14" xfId="36976" xr:uid="{964C7E18-6DEC-4680-8A1B-1ACAC397E465}"/>
    <cellStyle name="Normal 2 8 5 2" xfId="36977" xr:uid="{6A5134A9-8002-4DD5-BF81-1F7DCE8BC2C7}"/>
    <cellStyle name="Normal 2 8 5 2 10" xfId="36978" xr:uid="{AF6694EF-16C8-4732-BC8E-1B668BA22CD0}"/>
    <cellStyle name="Normal 2 8 5 2 11" xfId="36979" xr:uid="{923ED463-84C8-4D33-99E7-07D29E7A5F15}"/>
    <cellStyle name="Normal 2 8 5 2 12" xfId="36980" xr:uid="{A94D45FC-24FF-44E3-B4E2-597270FFAB4A}"/>
    <cellStyle name="Normal 2 8 5 2 13" xfId="36981" xr:uid="{CD64EB03-9638-402F-82E4-2463D0A29351}"/>
    <cellStyle name="Normal 2 8 5 2 2" xfId="36982" xr:uid="{E9D10D8E-9A60-4D1C-91BE-70DED9C99E49}"/>
    <cellStyle name="Normal 2 8 5 2 2 10" xfId="36983" xr:uid="{A43BDF8B-5775-456C-843A-34405DB806F8}"/>
    <cellStyle name="Normal 2 8 5 2 2 11" xfId="36984" xr:uid="{F9F09F73-C082-4E5B-A62E-EFDBCF4B826C}"/>
    <cellStyle name="Normal 2 8 5 2 2 12" xfId="36985" xr:uid="{CFD0B2F5-FEB2-421F-A4D0-4F8CDC1E89AA}"/>
    <cellStyle name="Normal 2 8 5 2 2 2" xfId="36986" xr:uid="{77168BB2-9208-41FF-8634-07A36141DC10}"/>
    <cellStyle name="Normal 2 8 5 2 2 2 2" xfId="36987" xr:uid="{5ADE1955-E990-4082-AAF4-196044E09A3B}"/>
    <cellStyle name="Normal 2 8 5 2 2 2 2 2" xfId="36988" xr:uid="{13BDD103-569B-453C-8644-0986EDF33CAC}"/>
    <cellStyle name="Normal 2 8 5 2 2 2 2 3" xfId="36989" xr:uid="{BF7165FA-BCEF-4422-B6E3-B0657697A865}"/>
    <cellStyle name="Normal 2 8 5 2 2 2 2 4" xfId="36990" xr:uid="{A4CF0384-7BE4-46BD-8D47-6B55C8122511}"/>
    <cellStyle name="Normal 2 8 5 2 2 2 2 5" xfId="36991" xr:uid="{CF59A7B1-6666-4356-A870-3E7CAAA17836}"/>
    <cellStyle name="Normal 2 8 5 2 2 2 3" xfId="36992" xr:uid="{EEC1CB05-E4AA-41F3-8E65-00AF2DD13732}"/>
    <cellStyle name="Normal 2 8 5 2 2 2 4" xfId="36993" xr:uid="{D927510F-F956-4A5F-A2E1-F38B4075FBC6}"/>
    <cellStyle name="Normal 2 8 5 2 2 2 5" xfId="36994" xr:uid="{ADAEA258-287B-42C1-A323-5656D57B9675}"/>
    <cellStyle name="Normal 2 8 5 2 2 2 6" xfId="36995" xr:uid="{C8EDD186-038A-4340-BC69-F31DD6B7018F}"/>
    <cellStyle name="Normal 2 8 5 2 2 3" xfId="36996" xr:uid="{49793427-BE98-423B-8183-E20A5637E4FC}"/>
    <cellStyle name="Normal 2 8 5 2 2 3 2" xfId="36997" xr:uid="{3F00701D-A032-4464-A0A6-9C02DFCA69BA}"/>
    <cellStyle name="Normal 2 8 5 2 2 3 2 2" xfId="36998" xr:uid="{4FC48417-E81F-4B7E-98A2-B96E303E8825}"/>
    <cellStyle name="Normal 2 8 5 2 2 3 2 3" xfId="36999" xr:uid="{C10F87AA-F8CD-43F9-B0FF-3EFDF79235C6}"/>
    <cellStyle name="Normal 2 8 5 2 2 3 2 4" xfId="37000" xr:uid="{FB254544-0DCE-4917-BFB8-2ED3273E7F21}"/>
    <cellStyle name="Normal 2 8 5 2 2 3 2 5" xfId="37001" xr:uid="{6A2C95DF-81EA-4913-A69E-CF906EB5272F}"/>
    <cellStyle name="Normal 2 8 5 2 2 3 3" xfId="37002" xr:uid="{2097C5F0-3538-4D89-8019-29B055344548}"/>
    <cellStyle name="Normal 2 8 5 2 2 3 4" xfId="37003" xr:uid="{D6ACC067-883B-43FE-816F-0193284242E2}"/>
    <cellStyle name="Normal 2 8 5 2 2 3 5" xfId="37004" xr:uid="{9194F753-E309-4197-877D-982C5D2BB465}"/>
    <cellStyle name="Normal 2 8 5 2 2 3 6" xfId="37005" xr:uid="{0C5D294E-FD48-4BF4-83FF-D39A82364C40}"/>
    <cellStyle name="Normal 2 8 5 2 2 4" xfId="37006" xr:uid="{A8EEA532-183A-48D9-8DFC-01A1FFCF2C5C}"/>
    <cellStyle name="Normal 2 8 5 2 2 4 2" xfId="37007" xr:uid="{3552A626-906C-4FA6-842F-E3A350DC75F9}"/>
    <cellStyle name="Normal 2 8 5 2 2 4 2 2" xfId="37008" xr:uid="{A16BE46B-FAFF-46CE-8542-4D4E1E872E30}"/>
    <cellStyle name="Normal 2 8 5 2 2 4 2 3" xfId="37009" xr:uid="{C6A624AE-0ACC-44E5-BD90-446215E17D6D}"/>
    <cellStyle name="Normal 2 8 5 2 2 4 2 4" xfId="37010" xr:uid="{6E9FB258-4657-452B-8E12-34F05D7AC11E}"/>
    <cellStyle name="Normal 2 8 5 2 2 4 2 5" xfId="37011" xr:uid="{237E9E71-67F5-4877-BC59-DDE352CA36E0}"/>
    <cellStyle name="Normal 2 8 5 2 2 4 3" xfId="37012" xr:uid="{2FF07945-F723-4008-8926-82E120283691}"/>
    <cellStyle name="Normal 2 8 5 2 2 4 4" xfId="37013" xr:uid="{EE606A97-B700-4EE2-BAEB-1C313BB3CFA6}"/>
    <cellStyle name="Normal 2 8 5 2 2 4 5" xfId="37014" xr:uid="{835260E3-2BB1-4762-87B2-4D7426E83F5A}"/>
    <cellStyle name="Normal 2 8 5 2 2 4 6" xfId="37015" xr:uid="{9A2CC6E2-D903-4835-B5F9-499EE4A39629}"/>
    <cellStyle name="Normal 2 8 5 2 2 5" xfId="37016" xr:uid="{9DA5DB24-5821-4635-8ADF-BDEE7B35D4B0}"/>
    <cellStyle name="Normal 2 8 5 2 2 5 2" xfId="37017" xr:uid="{38300EFB-1734-4E46-9D6B-5E7CF4C789BD}"/>
    <cellStyle name="Normal 2 8 5 2 2 5 3" xfId="37018" xr:uid="{0483F1ED-37AD-487D-B1E5-BCDCAF3207DC}"/>
    <cellStyle name="Normal 2 8 5 2 2 5 4" xfId="37019" xr:uid="{8A86B5EE-531A-402B-8C97-3436FB000960}"/>
    <cellStyle name="Normal 2 8 5 2 2 5 5" xfId="37020" xr:uid="{48716320-26C2-454F-9629-0430B543CD5F}"/>
    <cellStyle name="Normal 2 8 5 2 2 6" xfId="37021" xr:uid="{2C07D26A-C1E4-4713-A487-EF38F0CE4804}"/>
    <cellStyle name="Normal 2 8 5 2 2 6 2" xfId="37022" xr:uid="{CB4ACF25-F824-47D0-9A11-EBAA992CC8DA}"/>
    <cellStyle name="Normal 2 8 5 2 2 6 3" xfId="37023" xr:uid="{7C390165-EB20-4EDA-AD54-CD25E64F8717}"/>
    <cellStyle name="Normal 2 8 5 2 2 6 4" xfId="37024" xr:uid="{08C36F16-B2AD-444D-A1C2-D846C6ACE52B}"/>
    <cellStyle name="Normal 2 8 5 2 2 6 5" xfId="37025" xr:uid="{01913BCB-A452-456F-980E-C6D2923737B9}"/>
    <cellStyle name="Normal 2 8 5 2 2 7" xfId="37026" xr:uid="{C7D2BEF7-6FEC-4DA0-9C4C-459971660F87}"/>
    <cellStyle name="Normal 2 8 5 2 2 7 2" xfId="37027" xr:uid="{800AB35E-3BB7-4CED-85BF-C591F80C3AEC}"/>
    <cellStyle name="Normal 2 8 5 2 2 7 3" xfId="37028" xr:uid="{E5D5CAF0-E02C-4994-95D1-EC44869E3C6F}"/>
    <cellStyle name="Normal 2 8 5 2 2 7 4" xfId="37029" xr:uid="{66E2538C-0525-47AE-9B72-61344BFD739C}"/>
    <cellStyle name="Normal 2 8 5 2 2 7 5" xfId="37030" xr:uid="{DF56F001-D26F-4F6E-88BD-D7234BA5C442}"/>
    <cellStyle name="Normal 2 8 5 2 2 8" xfId="37031" xr:uid="{68776383-09FB-45CE-AE98-09B81A41870B}"/>
    <cellStyle name="Normal 2 8 5 2 2 8 2" xfId="37032" xr:uid="{4DB7C784-F4AB-48EE-9734-16A47FA33373}"/>
    <cellStyle name="Normal 2 8 5 2 2 8 3" xfId="37033" xr:uid="{CAE9DE47-B076-4356-A47A-5D4414D750E0}"/>
    <cellStyle name="Normal 2 8 5 2 2 8 4" xfId="37034" xr:uid="{AB51F86A-72B3-4B27-8A97-290AAFC34FAD}"/>
    <cellStyle name="Normal 2 8 5 2 2 8 5" xfId="37035" xr:uid="{D776868B-33C6-482F-9BB1-5292ABEA3FEA}"/>
    <cellStyle name="Normal 2 8 5 2 2 9" xfId="37036" xr:uid="{9C49625E-1C9B-409A-BFF3-9FA1AD1132F9}"/>
    <cellStyle name="Normal 2 8 5 2 3" xfId="37037" xr:uid="{6F3163C3-0201-4712-8F7F-EB1C62E34C74}"/>
    <cellStyle name="Normal 2 8 5 2 3 2" xfId="37038" xr:uid="{C1D275D4-1FC0-4918-8904-8DF0B1EE7EE8}"/>
    <cellStyle name="Normal 2 8 5 2 3 2 2" xfId="37039" xr:uid="{C8DD3DEA-5A7C-41FC-8F54-14190FF5AFF6}"/>
    <cellStyle name="Normal 2 8 5 2 3 2 3" xfId="37040" xr:uid="{1B4C6EAA-BDA0-41DA-99F5-F72394C375A9}"/>
    <cellStyle name="Normal 2 8 5 2 3 2 4" xfId="37041" xr:uid="{24E0246A-708B-40CA-8DD0-EF68BFFAA6FB}"/>
    <cellStyle name="Normal 2 8 5 2 3 2 5" xfId="37042" xr:uid="{D35030E9-0242-48AB-AFA5-16FAAB537E9D}"/>
    <cellStyle name="Normal 2 8 5 2 3 3" xfId="37043" xr:uid="{DF8F465D-D845-4956-9730-F59169B53479}"/>
    <cellStyle name="Normal 2 8 5 2 3 4" xfId="37044" xr:uid="{BFD60B05-993D-4552-AD8A-0722BE516561}"/>
    <cellStyle name="Normal 2 8 5 2 3 5" xfId="37045" xr:uid="{B997B2DA-7535-40CD-AEF2-F3E316A990E1}"/>
    <cellStyle name="Normal 2 8 5 2 3 6" xfId="37046" xr:uid="{FB683EEA-85D8-46F3-91A6-41149DCEB86E}"/>
    <cellStyle name="Normal 2 8 5 2 4" xfId="37047" xr:uid="{11E1F625-7B01-41AA-95E4-EC646E81236A}"/>
    <cellStyle name="Normal 2 8 5 2 4 2" xfId="37048" xr:uid="{C58BC24B-23F6-46AC-852E-F792EA02BA24}"/>
    <cellStyle name="Normal 2 8 5 2 4 2 2" xfId="37049" xr:uid="{4AA4AF87-7736-4819-8CB4-85C2599CFD3C}"/>
    <cellStyle name="Normal 2 8 5 2 4 2 3" xfId="37050" xr:uid="{0B6D4511-39AF-4C8B-8BCC-2BE40ED1970F}"/>
    <cellStyle name="Normal 2 8 5 2 4 2 4" xfId="37051" xr:uid="{08AE99B6-FC32-4434-AC72-3CE8C6B9C4E8}"/>
    <cellStyle name="Normal 2 8 5 2 4 2 5" xfId="37052" xr:uid="{2EAB6820-82C6-477C-8D0B-CE4D307C6D58}"/>
    <cellStyle name="Normal 2 8 5 2 4 3" xfId="37053" xr:uid="{E0B1CB12-835F-4067-9077-E8F146DF8221}"/>
    <cellStyle name="Normal 2 8 5 2 4 4" xfId="37054" xr:uid="{6C1BB949-54D2-43B9-9A94-B50ACCB44864}"/>
    <cellStyle name="Normal 2 8 5 2 4 5" xfId="37055" xr:uid="{6767245D-8E5B-4A77-A69A-60B7A8D7A28A}"/>
    <cellStyle name="Normal 2 8 5 2 4 6" xfId="37056" xr:uid="{C5EC78B7-DC31-489D-BC2A-850D16E84279}"/>
    <cellStyle name="Normal 2 8 5 2 5" xfId="37057" xr:uid="{A4D9D56D-1AC6-4AED-B2F7-DDE4E9863F4A}"/>
    <cellStyle name="Normal 2 8 5 2 5 2" xfId="37058" xr:uid="{01163010-259B-4771-B649-E4611EE2AE35}"/>
    <cellStyle name="Normal 2 8 5 2 5 2 2" xfId="37059" xr:uid="{8F269B2C-3C44-40AD-84BA-627426D72514}"/>
    <cellStyle name="Normal 2 8 5 2 5 2 3" xfId="37060" xr:uid="{4FF44CCB-AFD2-40F1-83FC-E0A3C3FBDFD4}"/>
    <cellStyle name="Normal 2 8 5 2 5 2 4" xfId="37061" xr:uid="{BBE26706-4EDA-4F59-B59E-89B73AE2309C}"/>
    <cellStyle name="Normal 2 8 5 2 5 2 5" xfId="37062" xr:uid="{D3A00B78-F323-441F-B088-AA91EC7A23BB}"/>
    <cellStyle name="Normal 2 8 5 2 5 3" xfId="37063" xr:uid="{A6F636BF-B2F8-4E69-8362-D6D336AE90AF}"/>
    <cellStyle name="Normal 2 8 5 2 5 4" xfId="37064" xr:uid="{9DE21652-8F27-46B4-9B79-F000C0454444}"/>
    <cellStyle name="Normal 2 8 5 2 5 5" xfId="37065" xr:uid="{64A854DE-C23F-49DC-BB34-EAF359BAA7E1}"/>
    <cellStyle name="Normal 2 8 5 2 5 6" xfId="37066" xr:uid="{09DD4828-8050-4740-ACED-3786836B42C2}"/>
    <cellStyle name="Normal 2 8 5 2 6" xfId="37067" xr:uid="{BCFA3777-0891-44B5-AC7D-7BF29E3B3BEF}"/>
    <cellStyle name="Normal 2 8 5 2 6 2" xfId="37068" xr:uid="{43316861-06C7-4859-B3E8-EF7F1C197D6E}"/>
    <cellStyle name="Normal 2 8 5 2 6 3" xfId="37069" xr:uid="{2C033D34-9F45-4CA9-80AB-DEC971416D15}"/>
    <cellStyle name="Normal 2 8 5 2 6 4" xfId="37070" xr:uid="{A1320029-3E16-42F9-A848-01A30A394C48}"/>
    <cellStyle name="Normal 2 8 5 2 6 5" xfId="37071" xr:uid="{2454DFF1-AE0E-41BE-B84B-7451153C71BA}"/>
    <cellStyle name="Normal 2 8 5 2 7" xfId="37072" xr:uid="{8360C3A0-ACC4-4994-AAE6-85F4D9FA0DE0}"/>
    <cellStyle name="Normal 2 8 5 2 7 2" xfId="37073" xr:uid="{782B829C-AC65-4857-9E96-6807B6BDBE8F}"/>
    <cellStyle name="Normal 2 8 5 2 7 3" xfId="37074" xr:uid="{3599F93E-9497-43EB-9751-A4E8D1F59811}"/>
    <cellStyle name="Normal 2 8 5 2 7 4" xfId="37075" xr:uid="{35D2CAE1-1586-421C-B222-34D27A087CAC}"/>
    <cellStyle name="Normal 2 8 5 2 7 5" xfId="37076" xr:uid="{C157B326-9005-41E1-AE11-73189B771FE0}"/>
    <cellStyle name="Normal 2 8 5 2 8" xfId="37077" xr:uid="{BD935BE1-51F1-4946-94A8-30513B3E68A6}"/>
    <cellStyle name="Normal 2 8 5 2 8 2" xfId="37078" xr:uid="{36BD9358-C654-4AB3-B6AC-A9500EAB0964}"/>
    <cellStyle name="Normal 2 8 5 2 8 3" xfId="37079" xr:uid="{1B541241-D80C-435C-8DC8-58DE3C310C0B}"/>
    <cellStyle name="Normal 2 8 5 2 8 4" xfId="37080" xr:uid="{6A09001D-166C-41D5-9B69-7CE2D74830EF}"/>
    <cellStyle name="Normal 2 8 5 2 8 5" xfId="37081" xr:uid="{85F265B2-6A81-4B31-AC1E-9D39300C44BE}"/>
    <cellStyle name="Normal 2 8 5 2 9" xfId="37082" xr:uid="{77947F6C-09B2-4920-8759-F80DF23B2C1A}"/>
    <cellStyle name="Normal 2 8 5 2 9 2" xfId="37083" xr:uid="{C54E4425-BE83-468E-B781-F2E7CEDB7D9A}"/>
    <cellStyle name="Normal 2 8 5 2 9 3" xfId="37084" xr:uid="{534EE7D6-E4DC-4775-9091-547523CCF31B}"/>
    <cellStyle name="Normal 2 8 5 2 9 4" xfId="37085" xr:uid="{B964AF81-FD79-4F66-8D77-5D901CD18E6B}"/>
    <cellStyle name="Normal 2 8 5 2 9 5" xfId="37086" xr:uid="{871535F5-5D77-42A5-BAEB-6B5B4399E2FF}"/>
    <cellStyle name="Normal 2 8 5 3" xfId="37087" xr:uid="{328F5C49-8669-4976-AD60-0CE42DB95CAF}"/>
    <cellStyle name="Normal 2 8 5 3 10" xfId="37088" xr:uid="{1967D149-840B-4913-8404-A2A1F9352F3A}"/>
    <cellStyle name="Normal 2 8 5 3 11" xfId="37089" xr:uid="{00C2A06A-C0A5-44DE-892A-E1E86D58BC6E}"/>
    <cellStyle name="Normal 2 8 5 3 12" xfId="37090" xr:uid="{6C4F0AEF-B7B6-4149-8A14-B085947DEA09}"/>
    <cellStyle name="Normal 2 8 5 3 2" xfId="37091" xr:uid="{F928BE89-C427-48D3-A592-2569B967D72B}"/>
    <cellStyle name="Normal 2 8 5 3 2 2" xfId="37092" xr:uid="{70FFAC0A-70CD-4DE7-9BB1-AA004AF45961}"/>
    <cellStyle name="Normal 2 8 5 3 2 2 2" xfId="37093" xr:uid="{4627C50D-AB6D-4AC5-BB9F-8625DF037718}"/>
    <cellStyle name="Normal 2 8 5 3 2 2 3" xfId="37094" xr:uid="{A798CD79-C67C-4DCA-BFA5-E88D749774C6}"/>
    <cellStyle name="Normal 2 8 5 3 2 2 4" xfId="37095" xr:uid="{D6CBB855-6C6A-477B-9817-D9422AD2AFC0}"/>
    <cellStyle name="Normal 2 8 5 3 2 2 5" xfId="37096" xr:uid="{2F1961EF-34A1-4E7A-93C6-4327CC8E79F6}"/>
    <cellStyle name="Normal 2 8 5 3 2 3" xfId="37097" xr:uid="{A725B1E5-AEBF-4037-8066-219B1D370AF6}"/>
    <cellStyle name="Normal 2 8 5 3 2 4" xfId="37098" xr:uid="{C3FC0610-DD5C-4FA0-9666-4F80F99BD173}"/>
    <cellStyle name="Normal 2 8 5 3 2 5" xfId="37099" xr:uid="{A8A0763B-26ED-4CD4-9A30-00EA8375CD05}"/>
    <cellStyle name="Normal 2 8 5 3 2 6" xfId="37100" xr:uid="{BC102336-63B1-4D8C-A678-150F34EDF113}"/>
    <cellStyle name="Normal 2 8 5 3 3" xfId="37101" xr:uid="{E7726441-3D37-4F15-A388-21F79F13C6E4}"/>
    <cellStyle name="Normal 2 8 5 3 3 2" xfId="37102" xr:uid="{B102C839-0934-4C3F-A5C2-1B52D9951248}"/>
    <cellStyle name="Normal 2 8 5 3 3 2 2" xfId="37103" xr:uid="{EB485AE5-2244-4D23-BA3D-CE8AA1FABD96}"/>
    <cellStyle name="Normal 2 8 5 3 3 2 3" xfId="37104" xr:uid="{0567B8E1-770E-4F89-9EC8-ED0B13A0C5B4}"/>
    <cellStyle name="Normal 2 8 5 3 3 2 4" xfId="37105" xr:uid="{FA8A57A6-B7F7-47F3-A504-15EC87DAB3A6}"/>
    <cellStyle name="Normal 2 8 5 3 3 2 5" xfId="37106" xr:uid="{23841533-6617-480A-9CC8-B7F34624674E}"/>
    <cellStyle name="Normal 2 8 5 3 3 3" xfId="37107" xr:uid="{DE3E44B9-B0F3-4F5C-80F8-6F819E1E1E7F}"/>
    <cellStyle name="Normal 2 8 5 3 3 4" xfId="37108" xr:uid="{0ED33D43-AE82-4382-830E-266AFFCFAB3A}"/>
    <cellStyle name="Normal 2 8 5 3 3 5" xfId="37109" xr:uid="{0C1E7ED9-2FA2-4CAD-82CF-EEB142BBD811}"/>
    <cellStyle name="Normal 2 8 5 3 3 6" xfId="37110" xr:uid="{F22C6CFB-40B7-4C8B-957C-8F8EC922EBDA}"/>
    <cellStyle name="Normal 2 8 5 3 4" xfId="37111" xr:uid="{E26E7653-6705-49AF-A126-A637B43DA193}"/>
    <cellStyle name="Normal 2 8 5 3 4 2" xfId="37112" xr:uid="{DE51DDE0-B38E-4430-8216-376553B18B79}"/>
    <cellStyle name="Normal 2 8 5 3 4 2 2" xfId="37113" xr:uid="{F7DC70C6-7269-4B3B-B0CF-046555C9B322}"/>
    <cellStyle name="Normal 2 8 5 3 4 2 3" xfId="37114" xr:uid="{895E1108-75DC-40D0-8E70-7A3539C54257}"/>
    <cellStyle name="Normal 2 8 5 3 4 2 4" xfId="37115" xr:uid="{CBBFE8C2-5A92-469F-A96B-15FCB6407ECC}"/>
    <cellStyle name="Normal 2 8 5 3 4 2 5" xfId="37116" xr:uid="{B2F07F4E-B311-4552-9D4B-FB132C394E6B}"/>
    <cellStyle name="Normal 2 8 5 3 4 3" xfId="37117" xr:uid="{1805333F-4E01-4E42-8A7D-05BADF2B656C}"/>
    <cellStyle name="Normal 2 8 5 3 4 4" xfId="37118" xr:uid="{4D25F028-7903-4786-B8C0-C294E2959CA0}"/>
    <cellStyle name="Normal 2 8 5 3 4 5" xfId="37119" xr:uid="{2EDAAAA1-0A6C-4F5B-8272-F5EFB37F1533}"/>
    <cellStyle name="Normal 2 8 5 3 4 6" xfId="37120" xr:uid="{C855FA96-5A0C-4CB8-A87C-ED9CA75AF13B}"/>
    <cellStyle name="Normal 2 8 5 3 5" xfId="37121" xr:uid="{9DE7A2EB-055B-4EF5-B610-FB3F6552B6BB}"/>
    <cellStyle name="Normal 2 8 5 3 5 2" xfId="37122" xr:uid="{1EDF5752-7C42-4B83-9F9E-069E60B160B9}"/>
    <cellStyle name="Normal 2 8 5 3 5 3" xfId="37123" xr:uid="{D58E3D2F-2F75-4E7D-965D-F840051E539A}"/>
    <cellStyle name="Normal 2 8 5 3 5 4" xfId="37124" xr:uid="{E3441C98-704E-4A98-AC43-54FAFD790EAE}"/>
    <cellStyle name="Normal 2 8 5 3 5 5" xfId="37125" xr:uid="{DFF33F47-C85A-41E9-AD1F-CF780C563DF9}"/>
    <cellStyle name="Normal 2 8 5 3 6" xfId="37126" xr:uid="{64C55F50-DA48-4E1E-91A0-09BC21F62A70}"/>
    <cellStyle name="Normal 2 8 5 3 6 2" xfId="37127" xr:uid="{E42EDC5C-E783-4C65-9ADC-8F19B759F472}"/>
    <cellStyle name="Normal 2 8 5 3 6 3" xfId="37128" xr:uid="{E55AE611-B806-4931-AD47-DC3585C04C59}"/>
    <cellStyle name="Normal 2 8 5 3 6 4" xfId="37129" xr:uid="{B4972BA0-92A8-42FA-A004-93D71E0F5DC9}"/>
    <cellStyle name="Normal 2 8 5 3 6 5" xfId="37130" xr:uid="{8CD31FDD-F182-436A-A315-D8472D13F5C4}"/>
    <cellStyle name="Normal 2 8 5 3 7" xfId="37131" xr:uid="{6BC722CF-4E31-433A-B3C4-D3B0D2AB8D65}"/>
    <cellStyle name="Normal 2 8 5 3 7 2" xfId="37132" xr:uid="{7A631421-6D25-4A5E-87A9-B5805ED5AACF}"/>
    <cellStyle name="Normal 2 8 5 3 7 3" xfId="37133" xr:uid="{AC600A45-ED07-4F83-B830-2961324119D8}"/>
    <cellStyle name="Normal 2 8 5 3 7 4" xfId="37134" xr:uid="{763A89C5-5D30-427B-B5AB-4EE6EF77F7E7}"/>
    <cellStyle name="Normal 2 8 5 3 7 5" xfId="37135" xr:uid="{B44EE744-BED6-40B1-B399-C5B15E38E053}"/>
    <cellStyle name="Normal 2 8 5 3 8" xfId="37136" xr:uid="{11B7A8C3-4E9C-4774-80A4-58A43B8148D1}"/>
    <cellStyle name="Normal 2 8 5 3 8 2" xfId="37137" xr:uid="{21F41DC3-9FED-49DA-B51D-4EF1DBC07AD6}"/>
    <cellStyle name="Normal 2 8 5 3 8 3" xfId="37138" xr:uid="{5FB6DB83-680E-4E83-AD7E-6A67869470B9}"/>
    <cellStyle name="Normal 2 8 5 3 8 4" xfId="37139" xr:uid="{7356E2EE-C83E-4362-8F76-28506495F520}"/>
    <cellStyle name="Normal 2 8 5 3 8 5" xfId="37140" xr:uid="{2051EDD8-C9D5-4366-8EDC-F0D0899ABB5B}"/>
    <cellStyle name="Normal 2 8 5 3 9" xfId="37141" xr:uid="{5049D855-C4D5-4F49-A73C-D40CCA7C0DBD}"/>
    <cellStyle name="Normal 2 8 5 4" xfId="37142" xr:uid="{D2146299-00CE-4F25-B42B-20670BFE8E9A}"/>
    <cellStyle name="Normal 2 8 5 4 2" xfId="37143" xr:uid="{CA0E0EA1-AAF1-47EB-8F9F-484C4D4B759E}"/>
    <cellStyle name="Normal 2 8 5 4 2 2" xfId="37144" xr:uid="{B281DF47-9649-4E5A-8BA1-ABCEC5824291}"/>
    <cellStyle name="Normal 2 8 5 4 2 3" xfId="37145" xr:uid="{190DE4A9-B76F-4A08-90DA-472F563E994A}"/>
    <cellStyle name="Normal 2 8 5 4 2 4" xfId="37146" xr:uid="{C075A57E-C2CB-4187-806F-FB6CDD928069}"/>
    <cellStyle name="Normal 2 8 5 4 2 5" xfId="37147" xr:uid="{4E99276E-A9C9-4C58-BC3F-B3874A38A215}"/>
    <cellStyle name="Normal 2 8 5 4 3" xfId="37148" xr:uid="{B260BBB5-0A56-40FE-AEA0-C7676A195904}"/>
    <cellStyle name="Normal 2 8 5 4 4" xfId="37149" xr:uid="{DD4F1BF5-AF4D-4109-A4BC-2EF778EDEAB7}"/>
    <cellStyle name="Normal 2 8 5 4 5" xfId="37150" xr:uid="{3373BEEF-1298-46A8-9524-E32851AE5226}"/>
    <cellStyle name="Normal 2 8 5 4 6" xfId="37151" xr:uid="{1245A5C8-46D3-4C2B-880A-760F1C5B35E9}"/>
    <cellStyle name="Normal 2 8 5 5" xfId="37152" xr:uid="{BFFCDB9B-601C-481C-88A9-756BB99F7347}"/>
    <cellStyle name="Normal 2 8 5 5 2" xfId="37153" xr:uid="{D64D1388-D3A7-45E3-83EC-F818E9EA348A}"/>
    <cellStyle name="Normal 2 8 5 5 2 2" xfId="37154" xr:uid="{983FC626-CD1C-4DC8-A72B-D2517B6356FD}"/>
    <cellStyle name="Normal 2 8 5 5 2 3" xfId="37155" xr:uid="{E1CB2709-F056-4C1D-93F4-FCF157C570B9}"/>
    <cellStyle name="Normal 2 8 5 5 2 4" xfId="37156" xr:uid="{CE14A723-7A25-473F-A9D1-41882AB45AA7}"/>
    <cellStyle name="Normal 2 8 5 5 2 5" xfId="37157" xr:uid="{7A535A21-0B35-47AF-BED5-465E97F07F17}"/>
    <cellStyle name="Normal 2 8 5 5 3" xfId="37158" xr:uid="{A16F134B-FA05-4219-A29A-E269239C405F}"/>
    <cellStyle name="Normal 2 8 5 5 4" xfId="37159" xr:uid="{2146A993-E77C-4937-A9B6-97F5789EA100}"/>
    <cellStyle name="Normal 2 8 5 5 5" xfId="37160" xr:uid="{5DCB7220-5F3B-4D3C-BD5D-3B6BAB70DDF0}"/>
    <cellStyle name="Normal 2 8 5 5 6" xfId="37161" xr:uid="{DD0E416D-075D-427A-BA2B-C724CCECA93B}"/>
    <cellStyle name="Normal 2 8 5 6" xfId="37162" xr:uid="{52C47A2C-4AD8-4199-A2E5-C869CDABA754}"/>
    <cellStyle name="Normal 2 8 5 6 2" xfId="37163" xr:uid="{856149ED-3859-4E0B-896D-050501E2BE24}"/>
    <cellStyle name="Normal 2 8 5 6 2 2" xfId="37164" xr:uid="{D4FF5CB5-5F74-4B88-A4E5-6F89188BCDB6}"/>
    <cellStyle name="Normal 2 8 5 6 2 3" xfId="37165" xr:uid="{FA3FDC91-1290-4DD1-B87A-D024B4A08F12}"/>
    <cellStyle name="Normal 2 8 5 6 2 4" xfId="37166" xr:uid="{57B57354-3177-432C-B4E0-E2FA64F5962C}"/>
    <cellStyle name="Normal 2 8 5 6 2 5" xfId="37167" xr:uid="{E38AA9F4-A93E-4818-A86D-77CE626EA93C}"/>
    <cellStyle name="Normal 2 8 5 6 3" xfId="37168" xr:uid="{576D3099-9035-44BA-9D4C-A8EBF0470D9B}"/>
    <cellStyle name="Normal 2 8 5 6 4" xfId="37169" xr:uid="{DBF3BC5F-0E9E-40D2-BF75-7DEA50DA67DD}"/>
    <cellStyle name="Normal 2 8 5 6 5" xfId="37170" xr:uid="{C81AC7F5-2FF2-4D07-A9A2-F44EF9A8C7D7}"/>
    <cellStyle name="Normal 2 8 5 6 6" xfId="37171" xr:uid="{CE5E298F-01D2-4050-BAFF-75C7F9C81B8F}"/>
    <cellStyle name="Normal 2 8 5 7" xfId="37172" xr:uid="{585D4BC7-2CE6-49B3-8A33-9A2B2F8B7D14}"/>
    <cellStyle name="Normal 2 8 5 7 2" xfId="37173" xr:uid="{B3601163-ED92-44A6-8D41-300ADB657BA4}"/>
    <cellStyle name="Normal 2 8 5 7 3" xfId="37174" xr:uid="{3676F597-7BE2-45DA-BA89-6816D10E3570}"/>
    <cellStyle name="Normal 2 8 5 7 4" xfId="37175" xr:uid="{B9388585-8BB6-4E48-91FD-1DAEB234EA61}"/>
    <cellStyle name="Normal 2 8 5 7 5" xfId="37176" xr:uid="{29BCF680-67A4-47CA-AFEF-A292FA4CB33B}"/>
    <cellStyle name="Normal 2 8 5 8" xfId="37177" xr:uid="{23873FC7-28C4-4B97-8715-73D355100BE6}"/>
    <cellStyle name="Normal 2 8 5 8 2" xfId="37178" xr:uid="{1317940F-55D3-45C8-BC5C-C75FB3D16D03}"/>
    <cellStyle name="Normal 2 8 5 8 3" xfId="37179" xr:uid="{E845D6F9-0A8B-4C92-8ED5-261092B3CACA}"/>
    <cellStyle name="Normal 2 8 5 8 4" xfId="37180" xr:uid="{6F087C50-3F5D-4D8F-8171-944BCB4661ED}"/>
    <cellStyle name="Normal 2 8 5 8 5" xfId="37181" xr:uid="{C3157426-5F7B-4F2B-B870-FFBD55083250}"/>
    <cellStyle name="Normal 2 8 5 9" xfId="37182" xr:uid="{3F2EA602-26C5-4906-B949-BD3CA2E2D224}"/>
    <cellStyle name="Normal 2 8 5 9 2" xfId="37183" xr:uid="{E76D44C3-83F9-43C5-A4B9-A96CC618E8F4}"/>
    <cellStyle name="Normal 2 8 5 9 3" xfId="37184" xr:uid="{8C7A9016-2149-4210-B7DD-6896DEC40E06}"/>
    <cellStyle name="Normal 2 8 5 9 4" xfId="37185" xr:uid="{8AE5A5B5-CE34-4D0B-9015-051DBFAB4035}"/>
    <cellStyle name="Normal 2 8 5 9 5" xfId="37186" xr:uid="{540A0D23-536B-4123-B5C5-3F6DFB2F7F32}"/>
    <cellStyle name="Normal 2 8 6" xfId="37187" xr:uid="{F7512833-9A51-4E32-83F8-D983AF8C08C1}"/>
    <cellStyle name="Normal 2 8 6 10" xfId="37188" xr:uid="{D74C0B0D-97A8-4F5B-9649-586C626A8EDC}"/>
    <cellStyle name="Normal 2 8 6 11" xfId="37189" xr:uid="{948A2FF0-2F58-4F0E-90A5-A9168FDA010F}"/>
    <cellStyle name="Normal 2 8 6 12" xfId="37190" xr:uid="{2298673D-E018-4105-B701-97F4A983768D}"/>
    <cellStyle name="Normal 2 8 6 13" xfId="37191" xr:uid="{28762ACA-5466-4D41-ACE3-165461D53750}"/>
    <cellStyle name="Normal 2 8 6 2" xfId="37192" xr:uid="{824688B1-769B-4DCB-86C0-FDDB50AF9253}"/>
    <cellStyle name="Normal 2 8 6 2 10" xfId="37193" xr:uid="{C0969E37-1385-486E-A4BF-AB2005469CCF}"/>
    <cellStyle name="Normal 2 8 6 2 11" xfId="37194" xr:uid="{E5CE1C40-A642-421D-A5B3-36447F88264A}"/>
    <cellStyle name="Normal 2 8 6 2 12" xfId="37195" xr:uid="{7E868CD0-FA5C-484C-B1C7-C5AD5172143C}"/>
    <cellStyle name="Normal 2 8 6 2 2" xfId="37196" xr:uid="{3B23FDAB-7D82-43D1-931C-C58BAA5C08AF}"/>
    <cellStyle name="Normal 2 8 6 2 2 2" xfId="37197" xr:uid="{0DBED784-EF90-460A-A5DC-8E1286F1448A}"/>
    <cellStyle name="Normal 2 8 6 2 2 2 2" xfId="37198" xr:uid="{130A6BC4-DCD3-430E-AF3E-37DCC66C5DA1}"/>
    <cellStyle name="Normal 2 8 6 2 2 2 3" xfId="37199" xr:uid="{CAD70CF1-F7BD-4CF6-A664-484D6AC777AD}"/>
    <cellStyle name="Normal 2 8 6 2 2 2 4" xfId="37200" xr:uid="{87F3C0DC-EFA1-4090-B0BB-A17E9F5FC462}"/>
    <cellStyle name="Normal 2 8 6 2 2 2 5" xfId="37201" xr:uid="{D659A4D4-9AFB-47F6-A79E-6B5E1B0F3854}"/>
    <cellStyle name="Normal 2 8 6 2 2 3" xfId="37202" xr:uid="{9EAEB1BC-F6A3-4CE5-9E24-2C6FF2BF8790}"/>
    <cellStyle name="Normal 2 8 6 2 2 4" xfId="37203" xr:uid="{17D35975-2C8C-4123-8C56-E58E55EE7039}"/>
    <cellStyle name="Normal 2 8 6 2 2 5" xfId="37204" xr:uid="{2DB2B834-6159-48DD-A52B-F78F2B8BAD2B}"/>
    <cellStyle name="Normal 2 8 6 2 2 6" xfId="37205" xr:uid="{801598E7-3971-4B09-B136-C15FC459AD5E}"/>
    <cellStyle name="Normal 2 8 6 2 3" xfId="37206" xr:uid="{50514440-BC37-4030-AF83-9681C9816955}"/>
    <cellStyle name="Normal 2 8 6 2 3 2" xfId="37207" xr:uid="{F1D95F39-B41B-4884-A494-4872E611FE45}"/>
    <cellStyle name="Normal 2 8 6 2 3 2 2" xfId="37208" xr:uid="{296D717E-135C-4DA7-90CE-F59AB0543D44}"/>
    <cellStyle name="Normal 2 8 6 2 3 2 3" xfId="37209" xr:uid="{4B28F97D-2B13-437B-BF89-F678C6145CF5}"/>
    <cellStyle name="Normal 2 8 6 2 3 2 4" xfId="37210" xr:uid="{A599A399-D287-4688-85B3-4BD3AC0544CF}"/>
    <cellStyle name="Normal 2 8 6 2 3 2 5" xfId="37211" xr:uid="{F1033B83-9ABD-4CD9-8409-1CDA2377DED7}"/>
    <cellStyle name="Normal 2 8 6 2 3 3" xfId="37212" xr:uid="{4AD1F29C-07AE-4A10-9B89-51A3FB6BF64E}"/>
    <cellStyle name="Normal 2 8 6 2 3 4" xfId="37213" xr:uid="{C6231976-86EB-45B6-A94F-81E0C422B9F3}"/>
    <cellStyle name="Normal 2 8 6 2 3 5" xfId="37214" xr:uid="{7059C074-26D4-4680-96E8-CF2F596CCC72}"/>
    <cellStyle name="Normal 2 8 6 2 3 6" xfId="37215" xr:uid="{5FB2D8FF-3B94-4F08-900F-8EBF3FBD6346}"/>
    <cellStyle name="Normal 2 8 6 2 4" xfId="37216" xr:uid="{242A54EB-5079-49A7-92E1-90DA9AAA640B}"/>
    <cellStyle name="Normal 2 8 6 2 4 2" xfId="37217" xr:uid="{0F6CDFE2-45DC-4143-AFC3-743BDC9C1F50}"/>
    <cellStyle name="Normal 2 8 6 2 4 2 2" xfId="37218" xr:uid="{A9AEB44B-6DB7-4FAD-ACBA-B44602365109}"/>
    <cellStyle name="Normal 2 8 6 2 4 2 3" xfId="37219" xr:uid="{847E1E23-2C8D-4467-9B1E-C231BDAEA230}"/>
    <cellStyle name="Normal 2 8 6 2 4 2 4" xfId="37220" xr:uid="{14D7B36E-DF80-42C7-81CF-D840E8590110}"/>
    <cellStyle name="Normal 2 8 6 2 4 2 5" xfId="37221" xr:uid="{008FC12E-EB00-4411-8F8D-A73B9FAF3576}"/>
    <cellStyle name="Normal 2 8 6 2 4 3" xfId="37222" xr:uid="{5D7102FD-E79A-469F-A135-82EAAC5A3296}"/>
    <cellStyle name="Normal 2 8 6 2 4 4" xfId="37223" xr:uid="{30E28F16-B40D-4C34-A54B-EAA962345A92}"/>
    <cellStyle name="Normal 2 8 6 2 4 5" xfId="37224" xr:uid="{2B488E5B-E517-4614-BA6B-2F152CB0D6AA}"/>
    <cellStyle name="Normal 2 8 6 2 4 6" xfId="37225" xr:uid="{688382E7-357A-4F0D-BC4C-01FC4342F04D}"/>
    <cellStyle name="Normal 2 8 6 2 5" xfId="37226" xr:uid="{7654C392-0F13-4A85-BC19-CADFB45E8A02}"/>
    <cellStyle name="Normal 2 8 6 2 5 2" xfId="37227" xr:uid="{FA3A2BEB-286F-41BE-85F3-187FF75B3EC9}"/>
    <cellStyle name="Normal 2 8 6 2 5 3" xfId="37228" xr:uid="{AF6C6762-84FE-4A89-82D8-0087488E88E3}"/>
    <cellStyle name="Normal 2 8 6 2 5 4" xfId="37229" xr:uid="{BEF540AD-997C-43BD-98D6-68FB78D7A2C9}"/>
    <cellStyle name="Normal 2 8 6 2 5 5" xfId="37230" xr:uid="{375A25F7-AF21-44C3-80F7-F7D6D49B244F}"/>
    <cellStyle name="Normal 2 8 6 2 6" xfId="37231" xr:uid="{79349333-EDE0-4616-9704-A47D9CDB7EB4}"/>
    <cellStyle name="Normal 2 8 6 2 6 2" xfId="37232" xr:uid="{6F38F782-5D68-4FF8-9DBD-95F46288FD36}"/>
    <cellStyle name="Normal 2 8 6 2 6 3" xfId="37233" xr:uid="{AF7A0314-D12D-49D7-BA42-639E9055FA1C}"/>
    <cellStyle name="Normal 2 8 6 2 6 4" xfId="37234" xr:uid="{59148DB6-1398-4605-B10E-70A9B29ABEAC}"/>
    <cellStyle name="Normal 2 8 6 2 6 5" xfId="37235" xr:uid="{B2E44C11-3FD6-442C-A58A-C30E24A4AF47}"/>
    <cellStyle name="Normal 2 8 6 2 7" xfId="37236" xr:uid="{95637846-1825-46C6-AA22-297006DAD1A6}"/>
    <cellStyle name="Normal 2 8 6 2 7 2" xfId="37237" xr:uid="{299ACF68-69EA-44F7-922D-EEA7A495248E}"/>
    <cellStyle name="Normal 2 8 6 2 7 3" xfId="37238" xr:uid="{773A423C-2890-4B67-82E6-25C0DB3EC428}"/>
    <cellStyle name="Normal 2 8 6 2 7 4" xfId="37239" xr:uid="{259DD5E4-BBC4-4E8F-BD24-20BC4CA7E05E}"/>
    <cellStyle name="Normal 2 8 6 2 7 5" xfId="37240" xr:uid="{CF1E2A92-1870-4EDE-9BC0-83DE69AE9538}"/>
    <cellStyle name="Normal 2 8 6 2 8" xfId="37241" xr:uid="{D7CA9D11-CBBB-4981-ABC1-E378DDA017A2}"/>
    <cellStyle name="Normal 2 8 6 2 8 2" xfId="37242" xr:uid="{34B3B927-094B-47DB-884C-834ED825CE2B}"/>
    <cellStyle name="Normal 2 8 6 2 8 3" xfId="37243" xr:uid="{FB296E6B-9072-4F92-914E-225C5343BEE2}"/>
    <cellStyle name="Normal 2 8 6 2 8 4" xfId="37244" xr:uid="{F2FDE4BD-FC78-4725-986B-A8465737DF91}"/>
    <cellStyle name="Normal 2 8 6 2 8 5" xfId="37245" xr:uid="{7BF4945B-0508-4F7F-AE3D-E3B140BCF648}"/>
    <cellStyle name="Normal 2 8 6 2 9" xfId="37246" xr:uid="{3AEA38CA-A819-4DAB-951E-5E86E0010C6D}"/>
    <cellStyle name="Normal 2 8 6 3" xfId="37247" xr:uid="{7E59C38E-65CA-4066-9B79-1A5C3F97B9F2}"/>
    <cellStyle name="Normal 2 8 6 3 2" xfId="37248" xr:uid="{8355EB19-F37A-44BE-8BEB-8D45ED00E856}"/>
    <cellStyle name="Normal 2 8 6 3 2 2" xfId="37249" xr:uid="{3B317F5A-48D5-492A-9EE6-A788F73A5703}"/>
    <cellStyle name="Normal 2 8 6 3 2 3" xfId="37250" xr:uid="{4B39B139-C686-4962-A39A-001AB62F4D4C}"/>
    <cellStyle name="Normal 2 8 6 3 2 4" xfId="37251" xr:uid="{B4B6BF2A-93A5-4029-8F0E-DCF1757222C1}"/>
    <cellStyle name="Normal 2 8 6 3 2 5" xfId="37252" xr:uid="{C78B97C8-CC1E-45FC-98E4-0943679A7CC8}"/>
    <cellStyle name="Normal 2 8 6 3 3" xfId="37253" xr:uid="{920A4B25-327E-4FD9-B201-9A3701FD09D8}"/>
    <cellStyle name="Normal 2 8 6 3 4" xfId="37254" xr:uid="{8D9A9669-4CEE-42D4-92F5-0DB23CC08D6B}"/>
    <cellStyle name="Normal 2 8 6 3 5" xfId="37255" xr:uid="{0E4D2BE6-50A0-426D-8090-59F56CE71A5B}"/>
    <cellStyle name="Normal 2 8 6 3 6" xfId="37256" xr:uid="{A4FDA105-8017-4FA8-82D8-B16DF22244AE}"/>
    <cellStyle name="Normal 2 8 6 4" xfId="37257" xr:uid="{9DCE3402-0B7F-4AF4-A4F5-EFE616EFB97D}"/>
    <cellStyle name="Normal 2 8 6 4 2" xfId="37258" xr:uid="{52C17EC6-FAAE-4379-BC6F-E1455E9BD94E}"/>
    <cellStyle name="Normal 2 8 6 4 2 2" xfId="37259" xr:uid="{D50DBB0C-7487-4F86-A2FF-9F5151ABEAF8}"/>
    <cellStyle name="Normal 2 8 6 4 2 3" xfId="37260" xr:uid="{FA69296A-6797-42CF-A009-3190FF32EE8D}"/>
    <cellStyle name="Normal 2 8 6 4 2 4" xfId="37261" xr:uid="{DC2B0C17-43E5-41DA-9A8F-053540A7B0CD}"/>
    <cellStyle name="Normal 2 8 6 4 2 5" xfId="37262" xr:uid="{5DA27521-2136-4DD5-AB44-C51CAFC73250}"/>
    <cellStyle name="Normal 2 8 6 4 3" xfId="37263" xr:uid="{5242F179-A5A2-4AD9-B725-234F422C26C5}"/>
    <cellStyle name="Normal 2 8 6 4 4" xfId="37264" xr:uid="{E0BC84DD-F1D5-488F-A6FB-0B55CECABA0B}"/>
    <cellStyle name="Normal 2 8 6 4 5" xfId="37265" xr:uid="{D5EBD168-68A5-4280-9D10-9A1EDD48530B}"/>
    <cellStyle name="Normal 2 8 6 4 6" xfId="37266" xr:uid="{DEB468B7-BD75-4122-A293-EA153FD87DA2}"/>
    <cellStyle name="Normal 2 8 6 5" xfId="37267" xr:uid="{0F7964F6-7E05-4923-9FB3-7CD322EBA2C9}"/>
    <cellStyle name="Normal 2 8 6 5 2" xfId="37268" xr:uid="{10615200-C44A-41A4-BD32-9A156127390A}"/>
    <cellStyle name="Normal 2 8 6 5 2 2" xfId="37269" xr:uid="{E3F2302C-CA40-4C88-A1CC-9B8B11DE437E}"/>
    <cellStyle name="Normal 2 8 6 5 2 3" xfId="37270" xr:uid="{71264A13-FCBD-4A5D-B5DB-AAB6777770C5}"/>
    <cellStyle name="Normal 2 8 6 5 2 4" xfId="37271" xr:uid="{06D02048-461B-4982-AF98-229BB79387CE}"/>
    <cellStyle name="Normal 2 8 6 5 2 5" xfId="37272" xr:uid="{AF568EC0-4788-4F9C-AD82-BAE62232EFCE}"/>
    <cellStyle name="Normal 2 8 6 5 3" xfId="37273" xr:uid="{D137FBD3-F107-4332-BA2F-32751AC35EF0}"/>
    <cellStyle name="Normal 2 8 6 5 4" xfId="37274" xr:uid="{715707C8-D0DD-42CA-82C1-BC4721C1F435}"/>
    <cellStyle name="Normal 2 8 6 5 5" xfId="37275" xr:uid="{232D6723-E0A3-4FBF-89DD-E26ACE987E08}"/>
    <cellStyle name="Normal 2 8 6 5 6" xfId="37276" xr:uid="{713C08F9-6A15-4F8B-B92C-0F9B801D600C}"/>
    <cellStyle name="Normal 2 8 6 6" xfId="37277" xr:uid="{23FD2965-2E7D-4A7C-849C-8BBC8159CA5F}"/>
    <cellStyle name="Normal 2 8 6 6 2" xfId="37278" xr:uid="{B868DE5F-C4F9-43C9-B113-E3E764F42995}"/>
    <cellStyle name="Normal 2 8 6 6 3" xfId="37279" xr:uid="{E38D2D0A-DADB-4651-B000-842EB0D02EB0}"/>
    <cellStyle name="Normal 2 8 6 6 4" xfId="37280" xr:uid="{F7F4501B-CBCA-48D6-84F9-26AB52D74DB8}"/>
    <cellStyle name="Normal 2 8 6 6 5" xfId="37281" xr:uid="{11A820E7-497E-4C6C-9197-C2CC9107B93E}"/>
    <cellStyle name="Normal 2 8 6 7" xfId="37282" xr:uid="{4B0143E9-0CF2-4CA8-BD0A-479FAAFC7447}"/>
    <cellStyle name="Normal 2 8 6 7 2" xfId="37283" xr:uid="{A8077A9F-DB5A-4CC7-91FB-14B54DB459C2}"/>
    <cellStyle name="Normal 2 8 6 7 3" xfId="37284" xr:uid="{993D8CCE-EF93-4733-824A-C55FADCDDEC4}"/>
    <cellStyle name="Normal 2 8 6 7 4" xfId="37285" xr:uid="{B3C196A9-1EF6-4757-B61D-AAE2B84D025E}"/>
    <cellStyle name="Normal 2 8 6 7 5" xfId="37286" xr:uid="{75487EC3-32F4-4E61-9ED2-6D23FB9268D3}"/>
    <cellStyle name="Normal 2 8 6 8" xfId="37287" xr:uid="{5D3C77A1-5621-4DEC-94A3-0F13107421C8}"/>
    <cellStyle name="Normal 2 8 6 8 2" xfId="37288" xr:uid="{4D408338-C1F7-436B-90B6-8119920971F7}"/>
    <cellStyle name="Normal 2 8 6 8 3" xfId="37289" xr:uid="{23D55075-F543-4107-ADBB-3B4A72FFB4DA}"/>
    <cellStyle name="Normal 2 8 6 8 4" xfId="37290" xr:uid="{A08DF4F5-A1F9-49D4-BDAB-D616307CF7C3}"/>
    <cellStyle name="Normal 2 8 6 8 5" xfId="37291" xr:uid="{621148C9-68B1-462B-B79C-124984505222}"/>
    <cellStyle name="Normal 2 8 6 9" xfId="37292" xr:uid="{182C610F-6E29-43C2-A893-36E25EFF27C1}"/>
    <cellStyle name="Normal 2 8 6 9 2" xfId="37293" xr:uid="{B614C8FC-5D8C-4A5D-B3FA-9754BFDE6B2E}"/>
    <cellStyle name="Normal 2 8 6 9 3" xfId="37294" xr:uid="{D3592BDD-BB83-49B8-A3BD-E3E97920A906}"/>
    <cellStyle name="Normal 2 8 6 9 4" xfId="37295" xr:uid="{6BACA186-C74E-4A48-9F03-3B99D77B7594}"/>
    <cellStyle name="Normal 2 8 6 9 5" xfId="37296" xr:uid="{C54505A0-3582-41B6-9432-2663B1BBA589}"/>
    <cellStyle name="Normal 2 8 7" xfId="37297" xr:uid="{06CA0601-0977-4990-BD23-CD745A135616}"/>
    <cellStyle name="Normal 2 8 7 10" xfId="37298" xr:uid="{3609319A-2177-441D-8E8A-6BCB4DA44656}"/>
    <cellStyle name="Normal 2 8 7 11" xfId="37299" xr:uid="{C28356C2-4057-4DD3-8664-E9FB74948CE9}"/>
    <cellStyle name="Normal 2 8 7 12" xfId="37300" xr:uid="{28BEA03E-0130-405D-838F-03F51906763B}"/>
    <cellStyle name="Normal 2 8 7 2" xfId="37301" xr:uid="{64802E7E-FECD-4808-AF50-C082D3095D3E}"/>
    <cellStyle name="Normal 2 8 7 2 2" xfId="37302" xr:uid="{B4155F87-286D-4F8A-A3CA-1E9ED4798DDD}"/>
    <cellStyle name="Normal 2 8 7 2 2 2" xfId="37303" xr:uid="{B1C7E1A0-EFA6-4D4D-967E-FD676DB809BC}"/>
    <cellStyle name="Normal 2 8 7 2 2 3" xfId="37304" xr:uid="{5F498C4F-5B5D-4DEB-A82D-0F73D74BA66C}"/>
    <cellStyle name="Normal 2 8 7 2 2 4" xfId="37305" xr:uid="{94038088-B48C-4CF7-A925-1F15AC8FCDB3}"/>
    <cellStyle name="Normal 2 8 7 2 2 5" xfId="37306" xr:uid="{AFCA67E9-22D9-4AB7-9819-4CB0CDDB038F}"/>
    <cellStyle name="Normal 2 8 7 2 3" xfId="37307" xr:uid="{5FF72685-52A3-412E-A0E5-FB23FB76824B}"/>
    <cellStyle name="Normal 2 8 7 2 4" xfId="37308" xr:uid="{90C21555-E49D-4FD9-9F34-31B036F09590}"/>
    <cellStyle name="Normal 2 8 7 2 5" xfId="37309" xr:uid="{8410ACD6-E1A2-470C-8CBF-A2D65859641F}"/>
    <cellStyle name="Normal 2 8 7 2 6" xfId="37310" xr:uid="{132C1646-48DC-46FC-A047-AF190BC32BC1}"/>
    <cellStyle name="Normal 2 8 7 3" xfId="37311" xr:uid="{B4AEC16A-AF57-43F7-805B-4B937E3844C2}"/>
    <cellStyle name="Normal 2 8 7 3 2" xfId="37312" xr:uid="{F44EF03A-728D-40DC-ADB4-CE2B209F9B18}"/>
    <cellStyle name="Normal 2 8 7 3 2 2" xfId="37313" xr:uid="{11028C52-1C94-4C22-A008-372F2672548F}"/>
    <cellStyle name="Normal 2 8 7 3 2 3" xfId="37314" xr:uid="{344433F4-2BE6-4746-8855-8D2D2FA90810}"/>
    <cellStyle name="Normal 2 8 7 3 2 4" xfId="37315" xr:uid="{8FE64B28-F67C-45A4-A8DC-3270098317AF}"/>
    <cellStyle name="Normal 2 8 7 3 2 5" xfId="37316" xr:uid="{7904A3B5-9BDB-406A-A8F1-10A3F193A988}"/>
    <cellStyle name="Normal 2 8 7 3 3" xfId="37317" xr:uid="{5E5C9081-8ECD-4D13-89D9-0D62D2799BCC}"/>
    <cellStyle name="Normal 2 8 7 3 4" xfId="37318" xr:uid="{FAE760CB-7852-4C41-B584-E3D4049F0023}"/>
    <cellStyle name="Normal 2 8 7 3 5" xfId="37319" xr:uid="{B001B748-D5FC-4BFE-8E57-1EBDA1F8F624}"/>
    <cellStyle name="Normal 2 8 7 3 6" xfId="37320" xr:uid="{B96ED387-7ED3-4825-8536-C28E17CFAF49}"/>
    <cellStyle name="Normal 2 8 7 4" xfId="37321" xr:uid="{6EA46B82-CD36-405A-9737-253CB6931ED7}"/>
    <cellStyle name="Normal 2 8 7 4 2" xfId="37322" xr:uid="{FDECC0C5-4633-4859-AFD6-92DB4C0A6D32}"/>
    <cellStyle name="Normal 2 8 7 4 2 2" xfId="37323" xr:uid="{A379AB89-CFA8-4785-9A48-DA608E96D094}"/>
    <cellStyle name="Normal 2 8 7 4 2 3" xfId="37324" xr:uid="{6B8A1713-F1E7-4A35-A965-D4F102859CDE}"/>
    <cellStyle name="Normal 2 8 7 4 2 4" xfId="37325" xr:uid="{750B6792-1967-4ABC-9DEA-FB1EE2BB9531}"/>
    <cellStyle name="Normal 2 8 7 4 2 5" xfId="37326" xr:uid="{A78DEA13-023C-4529-A0DA-9F780DDF2D17}"/>
    <cellStyle name="Normal 2 8 7 4 3" xfId="37327" xr:uid="{60FC8B85-E502-4AD5-9A76-AE53E97A4AE2}"/>
    <cellStyle name="Normal 2 8 7 4 4" xfId="37328" xr:uid="{05BEB5E8-7D99-4268-A213-46E462173340}"/>
    <cellStyle name="Normal 2 8 7 4 5" xfId="37329" xr:uid="{D6A5A5F0-EB61-48F7-84CB-F2C8548B0907}"/>
    <cellStyle name="Normal 2 8 7 4 6" xfId="37330" xr:uid="{572BAC9A-D89C-41C4-8D60-560478FECB12}"/>
    <cellStyle name="Normal 2 8 7 5" xfId="37331" xr:uid="{4436F7CA-5746-4BDE-87B7-84CFC3C04234}"/>
    <cellStyle name="Normal 2 8 7 5 2" xfId="37332" xr:uid="{E60CF596-A16C-4A5C-B472-2CD4BC06B4BF}"/>
    <cellStyle name="Normal 2 8 7 5 3" xfId="37333" xr:uid="{72A1B6E8-5EF6-4EC0-8401-30D8CF8EB82E}"/>
    <cellStyle name="Normal 2 8 7 5 4" xfId="37334" xr:uid="{3D8DFA67-5D14-4800-BD59-F63CF345EDA5}"/>
    <cellStyle name="Normal 2 8 7 5 5" xfId="37335" xr:uid="{6422B5F6-07D6-44BA-8DB6-97813F0EB678}"/>
    <cellStyle name="Normal 2 8 7 6" xfId="37336" xr:uid="{DAD33E4B-5892-45C6-ADFA-17B70645D589}"/>
    <cellStyle name="Normal 2 8 7 6 2" xfId="37337" xr:uid="{CFCDDC0C-7DD2-445D-9D01-14BAC2F35C0F}"/>
    <cellStyle name="Normal 2 8 7 6 3" xfId="37338" xr:uid="{AFD36DBC-5F48-44F8-AA8E-85B1D4AEAC49}"/>
    <cellStyle name="Normal 2 8 7 6 4" xfId="37339" xr:uid="{BCD0A0E8-1C47-458E-A1C9-05884F676490}"/>
    <cellStyle name="Normal 2 8 7 6 5" xfId="37340" xr:uid="{E3058B7A-FE43-4E4B-8689-E58CFDE9BAA4}"/>
    <cellStyle name="Normal 2 8 7 7" xfId="37341" xr:uid="{DA26B9D9-B147-40DF-B42C-2B905AB69834}"/>
    <cellStyle name="Normal 2 8 7 7 2" xfId="37342" xr:uid="{BDA953DB-C5AC-444D-82FF-27A6B5BD83C3}"/>
    <cellStyle name="Normal 2 8 7 7 3" xfId="37343" xr:uid="{881CA527-EAA8-4B7B-8DBF-1BD953D0CF7E}"/>
    <cellStyle name="Normal 2 8 7 7 4" xfId="37344" xr:uid="{27D7E0A7-2098-4BB6-884A-23664D113C80}"/>
    <cellStyle name="Normal 2 8 7 7 5" xfId="37345" xr:uid="{78BEDD59-FC89-45E4-8994-2479D6D7B329}"/>
    <cellStyle name="Normal 2 8 7 8" xfId="37346" xr:uid="{C47CC959-7211-42AE-AA4F-9CB23DF032BB}"/>
    <cellStyle name="Normal 2 8 7 8 2" xfId="37347" xr:uid="{FEF08202-5FBA-4AEF-AE53-B9F8E45FEF13}"/>
    <cellStyle name="Normal 2 8 7 8 3" xfId="37348" xr:uid="{1EDD77ED-798A-4F25-BE05-1D57D9BFB699}"/>
    <cellStyle name="Normal 2 8 7 8 4" xfId="37349" xr:uid="{5C6B46B1-CD79-4EBC-BC41-D81784DE3E25}"/>
    <cellStyle name="Normal 2 8 7 8 5" xfId="37350" xr:uid="{D70E076F-05FC-4AC7-B381-78478DA4043E}"/>
    <cellStyle name="Normal 2 8 7 9" xfId="37351" xr:uid="{46D7DBC1-2761-41F3-A332-BBB5D5DC1AB4}"/>
    <cellStyle name="Normal 2 8 8" xfId="37352" xr:uid="{2899F9F6-2A85-43F6-A001-13A0C0794AC0}"/>
    <cellStyle name="Normal 2 8 8 2" xfId="37353" xr:uid="{B923FA1B-AC79-45E9-B944-DBC1C9CEFB3F}"/>
    <cellStyle name="Normal 2 8 8 2 2" xfId="37354" xr:uid="{14BFBFC6-6C04-49F0-B3F1-32AD72200607}"/>
    <cellStyle name="Normal 2 8 8 2 3" xfId="37355" xr:uid="{89FB58B9-1150-4CD7-BB80-2636B68816B8}"/>
    <cellStyle name="Normal 2 8 8 2 4" xfId="37356" xr:uid="{FF34E13B-904F-4E70-BAFF-B74B0E61E839}"/>
    <cellStyle name="Normal 2 8 8 2 5" xfId="37357" xr:uid="{2074B31B-BAA5-4797-AD99-AB0E37E2300E}"/>
    <cellStyle name="Normal 2 8 8 3" xfId="37358" xr:uid="{30F82998-D0B9-4D0B-A15B-ABAF6F63B507}"/>
    <cellStyle name="Normal 2 8 8 4" xfId="37359" xr:uid="{21FD81C4-73AD-487D-9A64-7FDFA0E1A2EC}"/>
    <cellStyle name="Normal 2 8 8 5" xfId="37360" xr:uid="{9EB45E44-CB31-4467-82AE-A73B6F1A2E0F}"/>
    <cellStyle name="Normal 2 8 8 6" xfId="37361" xr:uid="{245E67B9-1909-4CDA-B09C-44EF6073E377}"/>
    <cellStyle name="Normal 2 8 9" xfId="37362" xr:uid="{3F03E44A-FF58-4691-9B28-7C78A26F8B9D}"/>
    <cellStyle name="Normal 2 8 9 2" xfId="37363" xr:uid="{FA07006D-F363-4155-9C9C-4D277D08CBE7}"/>
    <cellStyle name="Normal 2 8 9 2 2" xfId="37364" xr:uid="{469120D7-3D3F-4433-B9AF-F3F930B9DEDB}"/>
    <cellStyle name="Normal 2 8 9 2 3" xfId="37365" xr:uid="{F4436D22-B6B5-42BD-87D2-C4A4498E21AA}"/>
    <cellStyle name="Normal 2 8 9 2 4" xfId="37366" xr:uid="{7DA4A212-3508-4FEF-8D57-37A0B6928200}"/>
    <cellStyle name="Normal 2 8 9 2 5" xfId="37367" xr:uid="{982E853B-507B-4337-8D88-1213FFBD92CF}"/>
    <cellStyle name="Normal 2 8 9 3" xfId="37368" xr:uid="{1AEA5E79-248E-4680-AAFC-5D15A51F23E9}"/>
    <cellStyle name="Normal 2 8 9 4" xfId="37369" xr:uid="{F0B85CB0-6775-4997-B68C-B8F34B279768}"/>
    <cellStyle name="Normal 2 8 9 5" xfId="37370" xr:uid="{BD935768-AE67-4142-8833-0DE0E6E8D9FB}"/>
    <cellStyle name="Normal 2 8 9 6" xfId="37371" xr:uid="{E2727CD0-56D3-4B81-B88F-CA93D26394C0}"/>
    <cellStyle name="Normal 2 9" xfId="263" xr:uid="{C8DB7B79-40EF-4C3D-B2DC-80A35C57FF8D}"/>
    <cellStyle name="Normal 2 9 10" xfId="37372" xr:uid="{651D0C41-1AFB-4314-9C12-3015FD886D83}"/>
    <cellStyle name="Normal 2 9 10 2" xfId="37373" xr:uid="{2561B75A-E7C9-43F4-8238-2713F9224FF7}"/>
    <cellStyle name="Normal 2 9 10 2 2" xfId="37374" xr:uid="{BD131861-225D-4C3E-A29F-F3F30890C272}"/>
    <cellStyle name="Normal 2 9 10 2 3" xfId="37375" xr:uid="{E01218C5-DC45-495B-9734-65B3861A8B33}"/>
    <cellStyle name="Normal 2 9 10 2 4" xfId="37376" xr:uid="{2CEB2023-ED22-4CB7-A2DB-B143EFE8F452}"/>
    <cellStyle name="Normal 2 9 10 2 5" xfId="37377" xr:uid="{EE84113B-B4E0-47A6-BD6B-82B1F1D97E99}"/>
    <cellStyle name="Normal 2 9 10 3" xfId="37378" xr:uid="{261BA348-8D3D-47D3-843C-03031F4721DF}"/>
    <cellStyle name="Normal 2 9 10 4" xfId="37379" xr:uid="{A3CE0E5D-6C53-4FA9-8DE0-98DD8519F582}"/>
    <cellStyle name="Normal 2 9 10 5" xfId="37380" xr:uid="{3FFF31CB-5807-4BE1-90F6-F42E95410F21}"/>
    <cellStyle name="Normal 2 9 10 6" xfId="37381" xr:uid="{5339B0CF-21D3-4556-998E-662CF217F90E}"/>
    <cellStyle name="Normal 2 9 11" xfId="37382" xr:uid="{875C9924-8D4F-4901-954E-CD638044D946}"/>
    <cellStyle name="Normal 2 9 11 2" xfId="37383" xr:uid="{6A38A664-F608-4D8F-8308-4B20BD59FCF1}"/>
    <cellStyle name="Normal 2 9 11 3" xfId="37384" xr:uid="{B0ED24B8-68A8-457E-8C76-49D4184C0771}"/>
    <cellStyle name="Normal 2 9 11 4" xfId="37385" xr:uid="{11F65C22-1B81-414F-A046-A373ADC2CABD}"/>
    <cellStyle name="Normal 2 9 11 5" xfId="37386" xr:uid="{F690D5D4-A9A4-466C-92D7-57C717A20E4C}"/>
    <cellStyle name="Normal 2 9 12" xfId="37387" xr:uid="{387FECA7-A25E-43ED-A66C-F6E29A14549E}"/>
    <cellStyle name="Normal 2 9 12 2" xfId="37388" xr:uid="{1C1DABA4-1123-4688-B2F4-40B1F17B52F9}"/>
    <cellStyle name="Normal 2 9 12 3" xfId="37389" xr:uid="{7E9ADC1A-5C50-423A-881B-7D395321422C}"/>
    <cellStyle name="Normal 2 9 12 4" xfId="37390" xr:uid="{437D752C-9B7A-4912-A85A-9AAD523AF0C2}"/>
    <cellStyle name="Normal 2 9 12 5" xfId="37391" xr:uid="{7B1FE086-FD40-4852-99FF-67F447A41BAD}"/>
    <cellStyle name="Normal 2 9 13" xfId="37392" xr:uid="{94052530-7172-47C1-B0B6-9C43FF13CFCD}"/>
    <cellStyle name="Normal 2 9 13 2" xfId="37393" xr:uid="{0547568E-1587-431E-9E86-5E010DB365AF}"/>
    <cellStyle name="Normal 2 9 13 3" xfId="37394" xr:uid="{E31FA966-A460-4DDD-93B9-48B6846E58DF}"/>
    <cellStyle name="Normal 2 9 13 4" xfId="37395" xr:uid="{9766414D-DD1F-4E71-A355-74F6AA1694D5}"/>
    <cellStyle name="Normal 2 9 13 5" xfId="37396" xr:uid="{724B76C5-4FA3-4EBD-B2EF-1E3AD8E8A263}"/>
    <cellStyle name="Normal 2 9 14" xfId="37397" xr:uid="{6E062AA9-7AED-4C0C-B47E-9E18CE384958}"/>
    <cellStyle name="Normal 2 9 14 2" xfId="37398" xr:uid="{76249C97-FF43-4867-A74B-BF6C4007B949}"/>
    <cellStyle name="Normal 2 9 14 3" xfId="37399" xr:uid="{5DDB492B-49A3-4C27-A14A-A68DD72E832C}"/>
    <cellStyle name="Normal 2 9 14 4" xfId="37400" xr:uid="{A99EA12A-5565-4614-A287-9EAA9D41AA7F}"/>
    <cellStyle name="Normal 2 9 14 5" xfId="37401" xr:uid="{C60C5B83-FFC5-494E-B1AF-A9FB1F7289D2}"/>
    <cellStyle name="Normal 2 9 15" xfId="37402" xr:uid="{64CF2019-21C3-47A8-93E7-10380752D6F7}"/>
    <cellStyle name="Normal 2 9 16" xfId="37403" xr:uid="{4064A3EE-4D8D-41FD-A459-874C5D1363E0}"/>
    <cellStyle name="Normal 2 9 17" xfId="37404" xr:uid="{DB6D432B-7494-46E4-B655-1C4905A23A3B}"/>
    <cellStyle name="Normal 2 9 18" xfId="37405" xr:uid="{81B668F8-3185-40CF-A1FE-B9D4458DFED2}"/>
    <cellStyle name="Normal 2 9 2" xfId="37406" xr:uid="{C2478612-79BC-4E4F-851D-0B17CBD080C8}"/>
    <cellStyle name="Normal 2 9 2 10" xfId="37407" xr:uid="{A09A6543-401E-4EA8-848F-5C5C8881E606}"/>
    <cellStyle name="Normal 2 9 2 10 2" xfId="37408" xr:uid="{AC32A9F6-EAE0-4283-8343-1E55F0543E96}"/>
    <cellStyle name="Normal 2 9 2 10 3" xfId="37409" xr:uid="{02E27328-7BA3-4A58-9F29-8F1ADC166B25}"/>
    <cellStyle name="Normal 2 9 2 10 4" xfId="37410" xr:uid="{B76B8330-1A21-4B63-AF00-09530726D459}"/>
    <cellStyle name="Normal 2 9 2 10 5" xfId="37411" xr:uid="{FDF41D69-BE5F-4E95-AEAE-B81054C2BF70}"/>
    <cellStyle name="Normal 2 9 2 11" xfId="37412" xr:uid="{9A07F6E5-32ED-4544-8208-14CDB2838538}"/>
    <cellStyle name="Normal 2 9 2 11 2" xfId="37413" xr:uid="{102DBC23-3CD9-4F34-87D8-078B0C40C023}"/>
    <cellStyle name="Normal 2 9 2 11 3" xfId="37414" xr:uid="{6994E703-EEB5-4A91-98A8-0BCD3A54FF34}"/>
    <cellStyle name="Normal 2 9 2 11 4" xfId="37415" xr:uid="{4E8D01CD-CD4B-4E93-ADA7-30166A61033D}"/>
    <cellStyle name="Normal 2 9 2 11 5" xfId="37416" xr:uid="{510E5DF8-54B2-4863-8FAB-56487F130025}"/>
    <cellStyle name="Normal 2 9 2 12" xfId="37417" xr:uid="{E5C1754B-F0B5-4441-86D1-2F7F90E405E8}"/>
    <cellStyle name="Normal 2 9 2 13" xfId="37418" xr:uid="{30A9F49C-183C-469F-8C8D-3769DE5C26F8}"/>
    <cellStyle name="Normal 2 9 2 14" xfId="37419" xr:uid="{891E7D13-80C7-4109-8511-DA4777A88187}"/>
    <cellStyle name="Normal 2 9 2 15" xfId="37420" xr:uid="{D1D85093-C998-4241-9170-48E3FD2D0968}"/>
    <cellStyle name="Normal 2 9 2 2" xfId="37421" xr:uid="{518AD4E8-C55C-4CE9-BBFE-94EE75B09BB5}"/>
    <cellStyle name="Normal 2 9 2 2 10" xfId="37422" xr:uid="{12FBA44E-671E-4B32-828F-BE2E077A4BC7}"/>
    <cellStyle name="Normal 2 9 2 2 10 2" xfId="37423" xr:uid="{6BE3754F-E1F9-41BB-AEE5-DF640174FE26}"/>
    <cellStyle name="Normal 2 9 2 2 10 3" xfId="37424" xr:uid="{284104D2-3662-4E2E-A494-0F898DBE7717}"/>
    <cellStyle name="Normal 2 9 2 2 10 4" xfId="37425" xr:uid="{55C2BB7B-AF54-4727-B03A-E81038DAB5A7}"/>
    <cellStyle name="Normal 2 9 2 2 10 5" xfId="37426" xr:uid="{AC63EE13-0407-49D3-8B30-D569D4E2957C}"/>
    <cellStyle name="Normal 2 9 2 2 11" xfId="37427" xr:uid="{10B269F8-735B-4928-9EA2-A9D82104F9DA}"/>
    <cellStyle name="Normal 2 9 2 2 12" xfId="37428" xr:uid="{A76592A0-DBC4-47CD-ACE4-109B0C5E6A6B}"/>
    <cellStyle name="Normal 2 9 2 2 13" xfId="37429" xr:uid="{E41698E8-5628-4FB4-BF35-830085E7D6EC}"/>
    <cellStyle name="Normal 2 9 2 2 14" xfId="37430" xr:uid="{DA29BECB-55D2-4FDF-BB9F-19B4A4FB46EE}"/>
    <cellStyle name="Normal 2 9 2 2 2" xfId="37431" xr:uid="{08900DD5-5EB2-4407-87E8-4F8988A2BA9A}"/>
    <cellStyle name="Normal 2 9 2 2 2 10" xfId="37432" xr:uid="{44669A01-2641-49EB-8597-B5B6FD44648D}"/>
    <cellStyle name="Normal 2 9 2 2 2 11" xfId="37433" xr:uid="{49F2F502-6992-49E7-AD50-0B8E8960FCFA}"/>
    <cellStyle name="Normal 2 9 2 2 2 12" xfId="37434" xr:uid="{92636449-6C0B-472E-BC56-EC4242539D8F}"/>
    <cellStyle name="Normal 2 9 2 2 2 13" xfId="37435" xr:uid="{028BA832-E70C-4215-9B79-C775C1469F66}"/>
    <cellStyle name="Normal 2 9 2 2 2 2" xfId="37436" xr:uid="{0BA1EEA7-A196-4CE8-A94D-B71BCF33F888}"/>
    <cellStyle name="Normal 2 9 2 2 2 2 10" xfId="37437" xr:uid="{FB13DB64-69B2-455A-A42E-CBABD3E4E947}"/>
    <cellStyle name="Normal 2 9 2 2 2 2 11" xfId="37438" xr:uid="{581B3868-F28D-4F43-B669-3F0EFF845784}"/>
    <cellStyle name="Normal 2 9 2 2 2 2 12" xfId="37439" xr:uid="{E8330DC2-4DF4-45F8-9D3D-C9456ED67AA4}"/>
    <cellStyle name="Normal 2 9 2 2 2 2 2" xfId="37440" xr:uid="{5FD80D95-9B36-4FA9-BC50-5CDDEA808CBD}"/>
    <cellStyle name="Normal 2 9 2 2 2 2 2 2" xfId="37441" xr:uid="{F0D8E0E8-85E3-41B9-AE6C-541F9EA3F785}"/>
    <cellStyle name="Normal 2 9 2 2 2 2 2 2 2" xfId="37442" xr:uid="{C22ECD01-4F58-4F35-BE29-D58E8CC0EC17}"/>
    <cellStyle name="Normal 2 9 2 2 2 2 2 2 3" xfId="37443" xr:uid="{14A356F4-D900-4F5B-B6EA-DCD40A53604B}"/>
    <cellStyle name="Normal 2 9 2 2 2 2 2 2 4" xfId="37444" xr:uid="{6F46252D-FF00-4A91-B9B7-D618FCD6089E}"/>
    <cellStyle name="Normal 2 9 2 2 2 2 2 2 5" xfId="37445" xr:uid="{9A8EC37F-6733-45BA-84BC-7F4A7465961A}"/>
    <cellStyle name="Normal 2 9 2 2 2 2 2 3" xfId="37446" xr:uid="{2498E074-E14C-4EE9-B3A4-A345C93A5462}"/>
    <cellStyle name="Normal 2 9 2 2 2 2 2 4" xfId="37447" xr:uid="{93C40BA0-EB3A-406E-ABCA-1B80194BD0A3}"/>
    <cellStyle name="Normal 2 9 2 2 2 2 2 5" xfId="37448" xr:uid="{3E55D67A-5251-4579-B56F-5097C70F5491}"/>
    <cellStyle name="Normal 2 9 2 2 2 2 2 6" xfId="37449" xr:uid="{894315FF-AA04-42E9-8814-1A30EBBB5913}"/>
    <cellStyle name="Normal 2 9 2 2 2 2 3" xfId="37450" xr:uid="{97663767-9066-4949-BD69-1FC15F7BC405}"/>
    <cellStyle name="Normal 2 9 2 2 2 2 3 2" xfId="37451" xr:uid="{46441EDF-D803-45ED-9886-14D3F516FC0A}"/>
    <cellStyle name="Normal 2 9 2 2 2 2 3 2 2" xfId="37452" xr:uid="{3E241C3F-B250-43E7-BC64-26E4999B6F1A}"/>
    <cellStyle name="Normal 2 9 2 2 2 2 3 2 3" xfId="37453" xr:uid="{75D3AEA9-DAB8-44E2-8091-90ABBA3AD255}"/>
    <cellStyle name="Normal 2 9 2 2 2 2 3 2 4" xfId="37454" xr:uid="{D5E7041F-8194-4C9E-9729-174E429787B6}"/>
    <cellStyle name="Normal 2 9 2 2 2 2 3 2 5" xfId="37455" xr:uid="{A8C778AF-49A6-4BCC-936E-74C7534A8904}"/>
    <cellStyle name="Normal 2 9 2 2 2 2 3 3" xfId="37456" xr:uid="{05B92570-1DBF-4ED7-A730-FA0B982C8EC5}"/>
    <cellStyle name="Normal 2 9 2 2 2 2 3 4" xfId="37457" xr:uid="{99802B7B-9468-4F83-88FA-EBD822391213}"/>
    <cellStyle name="Normal 2 9 2 2 2 2 3 5" xfId="37458" xr:uid="{F7107DD3-DAFC-4FBC-A0A7-06AA74B3C96C}"/>
    <cellStyle name="Normal 2 9 2 2 2 2 3 6" xfId="37459" xr:uid="{A833C41F-575A-4AE7-B17C-1D13D73E789A}"/>
    <cellStyle name="Normal 2 9 2 2 2 2 4" xfId="37460" xr:uid="{D002D694-64B9-4367-9739-4643C4A87152}"/>
    <cellStyle name="Normal 2 9 2 2 2 2 4 2" xfId="37461" xr:uid="{BEDB812F-84B3-48DE-8DB7-35B760DE74B6}"/>
    <cellStyle name="Normal 2 9 2 2 2 2 4 2 2" xfId="37462" xr:uid="{99E47231-1992-45E7-8CD5-D0EE237E98DD}"/>
    <cellStyle name="Normal 2 9 2 2 2 2 4 2 3" xfId="37463" xr:uid="{2C4561C6-E36F-4C65-916E-9878F6B07B03}"/>
    <cellStyle name="Normal 2 9 2 2 2 2 4 2 4" xfId="37464" xr:uid="{3BF22184-B3A9-4A6F-B345-E84C357DC094}"/>
    <cellStyle name="Normal 2 9 2 2 2 2 4 2 5" xfId="37465" xr:uid="{9EA26F0E-37C2-42DE-92D5-9947A87CB667}"/>
    <cellStyle name="Normal 2 9 2 2 2 2 4 3" xfId="37466" xr:uid="{5432644D-1C6B-4EC5-9A17-AFB78B9A4C1A}"/>
    <cellStyle name="Normal 2 9 2 2 2 2 4 4" xfId="37467" xr:uid="{839BE26C-9BDC-431E-8C33-4FC287344E24}"/>
    <cellStyle name="Normal 2 9 2 2 2 2 4 5" xfId="37468" xr:uid="{36D07991-4CC4-4647-9391-01A550936860}"/>
    <cellStyle name="Normal 2 9 2 2 2 2 4 6" xfId="37469" xr:uid="{C7CA2E32-2E0A-4DA0-A515-00C0DDAFDF78}"/>
    <cellStyle name="Normal 2 9 2 2 2 2 5" xfId="37470" xr:uid="{A36D1298-CEEB-404F-8542-4F1E82EC929B}"/>
    <cellStyle name="Normal 2 9 2 2 2 2 5 2" xfId="37471" xr:uid="{358ECA14-BC9F-4709-B135-23776970D9EE}"/>
    <cellStyle name="Normal 2 9 2 2 2 2 5 3" xfId="37472" xr:uid="{F1901E3B-77CD-4E29-9768-91A9CBBD9445}"/>
    <cellStyle name="Normal 2 9 2 2 2 2 5 4" xfId="37473" xr:uid="{9FDC91C3-E999-48F4-BE3C-9D69765DACB5}"/>
    <cellStyle name="Normal 2 9 2 2 2 2 5 5" xfId="37474" xr:uid="{1BC3F288-2EB2-4E67-9048-62A38FBE1287}"/>
    <cellStyle name="Normal 2 9 2 2 2 2 6" xfId="37475" xr:uid="{27C66DAA-3532-4D4B-A2DC-7A00F3C98D82}"/>
    <cellStyle name="Normal 2 9 2 2 2 2 6 2" xfId="37476" xr:uid="{16D3B454-5496-43AE-858A-CE1B62C31CF2}"/>
    <cellStyle name="Normal 2 9 2 2 2 2 6 3" xfId="37477" xr:uid="{E3B86212-0C34-48F0-8641-FD2FCCB35B95}"/>
    <cellStyle name="Normal 2 9 2 2 2 2 6 4" xfId="37478" xr:uid="{97B3FA4F-501A-46AD-8B61-312740084B53}"/>
    <cellStyle name="Normal 2 9 2 2 2 2 6 5" xfId="37479" xr:uid="{0F672B4B-CFFD-400E-A555-5E1E4DCBDCBD}"/>
    <cellStyle name="Normal 2 9 2 2 2 2 7" xfId="37480" xr:uid="{F35E3CC3-1984-42AB-9494-B4EBDC12170D}"/>
    <cellStyle name="Normal 2 9 2 2 2 2 7 2" xfId="37481" xr:uid="{541F97F4-4E4D-42D6-A109-758CFC150264}"/>
    <cellStyle name="Normal 2 9 2 2 2 2 7 3" xfId="37482" xr:uid="{ECB02F2E-ABAC-491B-8DFC-79988EA35F02}"/>
    <cellStyle name="Normal 2 9 2 2 2 2 7 4" xfId="37483" xr:uid="{B0545BC4-E778-40F2-9998-4D81CF35BB59}"/>
    <cellStyle name="Normal 2 9 2 2 2 2 7 5" xfId="37484" xr:uid="{37E55A9A-D59B-4DA3-B5EA-D0DF1EAA8B62}"/>
    <cellStyle name="Normal 2 9 2 2 2 2 8" xfId="37485" xr:uid="{96B2842E-9727-4FE8-AD8F-372F37443430}"/>
    <cellStyle name="Normal 2 9 2 2 2 2 8 2" xfId="37486" xr:uid="{F7F53941-35A7-47A6-918A-AF8F2AFD4253}"/>
    <cellStyle name="Normal 2 9 2 2 2 2 8 3" xfId="37487" xr:uid="{79B6A0D2-7AAB-4C83-A93B-584EC903DEAC}"/>
    <cellStyle name="Normal 2 9 2 2 2 2 8 4" xfId="37488" xr:uid="{41BB8A1A-EAF6-4A44-9F00-DFA160D4E847}"/>
    <cellStyle name="Normal 2 9 2 2 2 2 8 5" xfId="37489" xr:uid="{7675B038-B0D9-4C56-8F82-B3D7F277A5DA}"/>
    <cellStyle name="Normal 2 9 2 2 2 2 9" xfId="37490" xr:uid="{A0C775B1-757E-4F10-9CE3-C6BB0A8CF183}"/>
    <cellStyle name="Normal 2 9 2 2 2 3" xfId="37491" xr:uid="{ED4261B2-4A2C-497A-B630-C1B93E41E4C6}"/>
    <cellStyle name="Normal 2 9 2 2 2 3 2" xfId="37492" xr:uid="{B094F1F2-A7FF-446E-BAB4-8C00A9DD20AF}"/>
    <cellStyle name="Normal 2 9 2 2 2 3 2 2" xfId="37493" xr:uid="{7A033C96-CD4A-461F-AAA2-85C2AC8010C9}"/>
    <cellStyle name="Normal 2 9 2 2 2 3 2 3" xfId="37494" xr:uid="{5CC550C3-4958-4C51-995D-C5EF7A7DF36E}"/>
    <cellStyle name="Normal 2 9 2 2 2 3 2 4" xfId="37495" xr:uid="{46A8CFA5-A30E-441B-848A-5F2A2F6B9438}"/>
    <cellStyle name="Normal 2 9 2 2 2 3 2 5" xfId="37496" xr:uid="{5FF4C5AF-7285-40A7-A882-64E5E32E8881}"/>
    <cellStyle name="Normal 2 9 2 2 2 3 3" xfId="37497" xr:uid="{698904C7-0462-49D4-BACE-B21909AB315B}"/>
    <cellStyle name="Normal 2 9 2 2 2 3 4" xfId="37498" xr:uid="{C0535016-D869-450B-9543-A9873C89DED7}"/>
    <cellStyle name="Normal 2 9 2 2 2 3 5" xfId="37499" xr:uid="{D2FD0DC0-4445-4EC6-B959-DD8BFC44796B}"/>
    <cellStyle name="Normal 2 9 2 2 2 3 6" xfId="37500" xr:uid="{E5F28D11-E15F-4E18-AD52-79A76C863ABA}"/>
    <cellStyle name="Normal 2 9 2 2 2 4" xfId="37501" xr:uid="{15AC9584-BDD5-4AC8-8D3F-8B274CE0C8B8}"/>
    <cellStyle name="Normal 2 9 2 2 2 4 2" xfId="37502" xr:uid="{683E7607-0248-4627-848C-95B394346DBF}"/>
    <cellStyle name="Normal 2 9 2 2 2 4 2 2" xfId="37503" xr:uid="{358F6FAF-2CDC-4C13-93FA-32EE05B162CF}"/>
    <cellStyle name="Normal 2 9 2 2 2 4 2 3" xfId="37504" xr:uid="{D558B5C8-49CB-4D4B-AB18-94654D3783C2}"/>
    <cellStyle name="Normal 2 9 2 2 2 4 2 4" xfId="37505" xr:uid="{801A1FA4-8230-4943-9C07-EADBEF0E05ED}"/>
    <cellStyle name="Normal 2 9 2 2 2 4 2 5" xfId="37506" xr:uid="{F5AD3186-8F2F-446B-9B7E-7DECA7DFCD94}"/>
    <cellStyle name="Normal 2 9 2 2 2 4 3" xfId="37507" xr:uid="{E46D13B0-DE31-46D5-B14F-7F2AF0242EC0}"/>
    <cellStyle name="Normal 2 9 2 2 2 4 4" xfId="37508" xr:uid="{E78DF43B-713C-4393-B2C1-4765BEB8CB6B}"/>
    <cellStyle name="Normal 2 9 2 2 2 4 5" xfId="37509" xr:uid="{6FC0E95D-3892-438F-AC05-77CEAF38D1BD}"/>
    <cellStyle name="Normal 2 9 2 2 2 4 6" xfId="37510" xr:uid="{331DCC6B-99F1-4AD1-8C23-7631C287C107}"/>
    <cellStyle name="Normal 2 9 2 2 2 5" xfId="37511" xr:uid="{06E55DF0-1C63-4149-925B-552E41517B06}"/>
    <cellStyle name="Normal 2 9 2 2 2 5 2" xfId="37512" xr:uid="{910D7532-AB95-4E65-9B49-BF2F8A977043}"/>
    <cellStyle name="Normal 2 9 2 2 2 5 2 2" xfId="37513" xr:uid="{A28777F4-07EC-406B-A834-869F73323D6E}"/>
    <cellStyle name="Normal 2 9 2 2 2 5 2 3" xfId="37514" xr:uid="{233E0807-C973-426D-B4A8-1228C3878BBB}"/>
    <cellStyle name="Normal 2 9 2 2 2 5 2 4" xfId="37515" xr:uid="{9FE063D5-ACD2-41A5-8007-B96FCC806CF9}"/>
    <cellStyle name="Normal 2 9 2 2 2 5 2 5" xfId="37516" xr:uid="{9D1197D3-C037-45E3-A742-7184D65AE6D6}"/>
    <cellStyle name="Normal 2 9 2 2 2 5 3" xfId="37517" xr:uid="{FB674BCF-82D3-433A-B913-9BD862D7FFC4}"/>
    <cellStyle name="Normal 2 9 2 2 2 5 4" xfId="37518" xr:uid="{2F6D6963-9621-47C9-91ED-434EBFD7849D}"/>
    <cellStyle name="Normal 2 9 2 2 2 5 5" xfId="37519" xr:uid="{61618F95-2C2D-435B-ADD8-60A6FDDA467B}"/>
    <cellStyle name="Normal 2 9 2 2 2 5 6" xfId="37520" xr:uid="{D5889388-4B1F-4D49-B2B1-426F0C7BDF7C}"/>
    <cellStyle name="Normal 2 9 2 2 2 6" xfId="37521" xr:uid="{4BA9EDBD-C153-4041-8A93-6BA3BCEC0334}"/>
    <cellStyle name="Normal 2 9 2 2 2 6 2" xfId="37522" xr:uid="{68926DD2-73C8-4C79-AD7F-50B66FDD6BEB}"/>
    <cellStyle name="Normal 2 9 2 2 2 6 3" xfId="37523" xr:uid="{CDCB5731-DDC8-4CDC-B897-FF97210F1BCD}"/>
    <cellStyle name="Normal 2 9 2 2 2 6 4" xfId="37524" xr:uid="{26B1981A-5D23-41E6-9E79-E5ADEF05DC70}"/>
    <cellStyle name="Normal 2 9 2 2 2 6 5" xfId="37525" xr:uid="{85E569E1-128C-4DF0-8900-87A22B57A43F}"/>
    <cellStyle name="Normal 2 9 2 2 2 7" xfId="37526" xr:uid="{DCC51FD4-EDD8-4B5E-AB78-FD370982EEE8}"/>
    <cellStyle name="Normal 2 9 2 2 2 7 2" xfId="37527" xr:uid="{7CEF9E0E-617A-44F4-86D0-9B343CB3343A}"/>
    <cellStyle name="Normal 2 9 2 2 2 7 3" xfId="37528" xr:uid="{0F588B54-48BC-4EE8-AFD1-1C12A6D3017B}"/>
    <cellStyle name="Normal 2 9 2 2 2 7 4" xfId="37529" xr:uid="{A0A35E98-45E7-4DC2-92F2-A98EADFDA4CB}"/>
    <cellStyle name="Normal 2 9 2 2 2 7 5" xfId="37530" xr:uid="{2609250F-0F82-4077-8B48-1AC275590D50}"/>
    <cellStyle name="Normal 2 9 2 2 2 8" xfId="37531" xr:uid="{B578C6A4-46FB-43D0-8D60-B6F5486ADC94}"/>
    <cellStyle name="Normal 2 9 2 2 2 8 2" xfId="37532" xr:uid="{4E5D9BF2-DA9E-49DF-8AA3-6C642EEC825F}"/>
    <cellStyle name="Normal 2 9 2 2 2 8 3" xfId="37533" xr:uid="{04C125FE-0130-4269-961F-90B622DF2A4F}"/>
    <cellStyle name="Normal 2 9 2 2 2 8 4" xfId="37534" xr:uid="{4F55B758-DA8E-4C4B-A145-051997A4D6A8}"/>
    <cellStyle name="Normal 2 9 2 2 2 8 5" xfId="37535" xr:uid="{AE024D11-0C0B-4565-8D95-5D680A74083E}"/>
    <cellStyle name="Normal 2 9 2 2 2 9" xfId="37536" xr:uid="{E69C6265-7759-4F2C-BF75-B50D93EA994F}"/>
    <cellStyle name="Normal 2 9 2 2 2 9 2" xfId="37537" xr:uid="{A8777261-F4E7-4033-A681-4BE5F22A4E04}"/>
    <cellStyle name="Normal 2 9 2 2 2 9 3" xfId="37538" xr:uid="{29B79F40-D8F0-4242-BA4C-A610E14DD4EC}"/>
    <cellStyle name="Normal 2 9 2 2 2 9 4" xfId="37539" xr:uid="{F577624D-B474-4840-A845-58144D0D66A9}"/>
    <cellStyle name="Normal 2 9 2 2 2 9 5" xfId="37540" xr:uid="{38202DC4-35E6-4A3C-AEE6-0CB46A18A1BE}"/>
    <cellStyle name="Normal 2 9 2 2 3" xfId="37541" xr:uid="{15E23CC6-54DF-476D-810B-9574E6992022}"/>
    <cellStyle name="Normal 2 9 2 2 3 10" xfId="37542" xr:uid="{FA898407-0E62-4C43-A37A-41A536B79344}"/>
    <cellStyle name="Normal 2 9 2 2 3 11" xfId="37543" xr:uid="{74F87D8A-EC01-4331-842A-5E0635AAE141}"/>
    <cellStyle name="Normal 2 9 2 2 3 12" xfId="37544" xr:uid="{31068088-E67D-4190-84C5-38DF13625D29}"/>
    <cellStyle name="Normal 2 9 2 2 3 2" xfId="37545" xr:uid="{D5BD07FD-9DF0-4741-A8B3-796B06DB3B56}"/>
    <cellStyle name="Normal 2 9 2 2 3 2 2" xfId="37546" xr:uid="{BA8A1861-5BB0-424E-8025-E8EDEEC1F34D}"/>
    <cellStyle name="Normal 2 9 2 2 3 2 2 2" xfId="37547" xr:uid="{CC873BB0-00AF-4882-995B-549977270D64}"/>
    <cellStyle name="Normal 2 9 2 2 3 2 2 3" xfId="37548" xr:uid="{7F6AF540-128D-4731-8679-8BF4314EF101}"/>
    <cellStyle name="Normal 2 9 2 2 3 2 2 4" xfId="37549" xr:uid="{3D137D37-97EA-4099-BFE7-9D535D0BB3C0}"/>
    <cellStyle name="Normal 2 9 2 2 3 2 2 5" xfId="37550" xr:uid="{3DF95A48-0A7B-4A43-BDFB-7CF7B618BE3B}"/>
    <cellStyle name="Normal 2 9 2 2 3 2 3" xfId="37551" xr:uid="{E97F73AD-62C2-4D1C-8F93-BED331D5B0AA}"/>
    <cellStyle name="Normal 2 9 2 2 3 2 4" xfId="37552" xr:uid="{338FA6C8-25AF-432E-8F3C-87669B27F059}"/>
    <cellStyle name="Normal 2 9 2 2 3 2 5" xfId="37553" xr:uid="{E9535D49-E81A-4AA5-8CEB-C9496829D7B4}"/>
    <cellStyle name="Normal 2 9 2 2 3 2 6" xfId="37554" xr:uid="{A1629458-E23B-487E-8E81-BE6BD05F42EE}"/>
    <cellStyle name="Normal 2 9 2 2 3 3" xfId="37555" xr:uid="{662020B3-10FB-45A1-A72E-16208366BA26}"/>
    <cellStyle name="Normal 2 9 2 2 3 3 2" xfId="37556" xr:uid="{C981F83F-D6CF-46AC-BA7F-1A190F900589}"/>
    <cellStyle name="Normal 2 9 2 2 3 3 2 2" xfId="37557" xr:uid="{3A04EA69-A6B2-46CE-AB3E-059B20063F4B}"/>
    <cellStyle name="Normal 2 9 2 2 3 3 2 3" xfId="37558" xr:uid="{D5DE59D2-618E-427E-AB7D-760553FF16E5}"/>
    <cellStyle name="Normal 2 9 2 2 3 3 2 4" xfId="37559" xr:uid="{51ADD165-F1A6-442B-9BFD-7C950EA03A84}"/>
    <cellStyle name="Normal 2 9 2 2 3 3 2 5" xfId="37560" xr:uid="{40C33A42-6E20-4476-AE06-D8E2060A940F}"/>
    <cellStyle name="Normal 2 9 2 2 3 3 3" xfId="37561" xr:uid="{90D2BA90-59FF-4567-95A2-33C069BB5299}"/>
    <cellStyle name="Normal 2 9 2 2 3 3 4" xfId="37562" xr:uid="{3CA62D45-F241-424E-B7D8-CC0E6C1ADEEF}"/>
    <cellStyle name="Normal 2 9 2 2 3 3 5" xfId="37563" xr:uid="{0B3B4145-6D1E-4A27-8435-9B8B67756000}"/>
    <cellStyle name="Normal 2 9 2 2 3 3 6" xfId="37564" xr:uid="{82B24D78-D829-4DE9-A71A-85495FFB0A2F}"/>
    <cellStyle name="Normal 2 9 2 2 3 4" xfId="37565" xr:uid="{FD407C1A-DF65-4FD1-B89C-E50452B6C0DB}"/>
    <cellStyle name="Normal 2 9 2 2 3 4 2" xfId="37566" xr:uid="{7E876EE4-BBA8-4B31-A1F6-E265B01BD8B5}"/>
    <cellStyle name="Normal 2 9 2 2 3 4 2 2" xfId="37567" xr:uid="{9E7AB46A-2EB8-4C4E-83AE-DABC7A9FE3E5}"/>
    <cellStyle name="Normal 2 9 2 2 3 4 2 3" xfId="37568" xr:uid="{B39F7BA9-B1D5-4B93-B7D7-4721103E8D2B}"/>
    <cellStyle name="Normal 2 9 2 2 3 4 2 4" xfId="37569" xr:uid="{1B0707AD-F463-4B7A-A842-7364C947C54C}"/>
    <cellStyle name="Normal 2 9 2 2 3 4 2 5" xfId="37570" xr:uid="{DFB5D345-D3B6-47F9-B1B3-2B3545269AA4}"/>
    <cellStyle name="Normal 2 9 2 2 3 4 3" xfId="37571" xr:uid="{FBDAEAA6-C3C7-4C44-A990-A2449EF93B95}"/>
    <cellStyle name="Normal 2 9 2 2 3 4 4" xfId="37572" xr:uid="{C762DB1A-BDDE-4400-9E71-3D2DB0223808}"/>
    <cellStyle name="Normal 2 9 2 2 3 4 5" xfId="37573" xr:uid="{7CA4A4B4-521F-4197-B88E-7EB615BE6B27}"/>
    <cellStyle name="Normal 2 9 2 2 3 4 6" xfId="37574" xr:uid="{54658B28-851E-447F-8437-86274BA9B019}"/>
    <cellStyle name="Normal 2 9 2 2 3 5" xfId="37575" xr:uid="{EEA3A5CD-D8A6-4EDC-8154-164F95EC67EF}"/>
    <cellStyle name="Normal 2 9 2 2 3 5 2" xfId="37576" xr:uid="{9EFEAFA2-2BC7-4BEF-B760-0DE97639111D}"/>
    <cellStyle name="Normal 2 9 2 2 3 5 3" xfId="37577" xr:uid="{CD8FCE1B-989B-4105-9F1F-46E53C3F0903}"/>
    <cellStyle name="Normal 2 9 2 2 3 5 4" xfId="37578" xr:uid="{585F987E-FCB8-4ECF-8046-93A2D9C3CF8B}"/>
    <cellStyle name="Normal 2 9 2 2 3 5 5" xfId="37579" xr:uid="{E13DF21D-A1B6-4204-99BE-C840485D287E}"/>
    <cellStyle name="Normal 2 9 2 2 3 6" xfId="37580" xr:uid="{88801D85-980D-4962-8BDF-F7032E5635B3}"/>
    <cellStyle name="Normal 2 9 2 2 3 6 2" xfId="37581" xr:uid="{097A7A47-8EEC-40EE-A8FB-ECF6297EA9AB}"/>
    <cellStyle name="Normal 2 9 2 2 3 6 3" xfId="37582" xr:uid="{00195767-A6B8-48B4-A147-4B99C19C9906}"/>
    <cellStyle name="Normal 2 9 2 2 3 6 4" xfId="37583" xr:uid="{D86CCEBF-EB61-41FC-BB87-56707D9D5246}"/>
    <cellStyle name="Normal 2 9 2 2 3 6 5" xfId="37584" xr:uid="{54FF46F6-DABC-4EF2-ADA3-C85D08913FD8}"/>
    <cellStyle name="Normal 2 9 2 2 3 7" xfId="37585" xr:uid="{6356E6FE-B35F-4B67-8FD4-B2998E17DA59}"/>
    <cellStyle name="Normal 2 9 2 2 3 7 2" xfId="37586" xr:uid="{E3F3ABE7-C8B8-4BA3-B78D-725BEC2DFB72}"/>
    <cellStyle name="Normal 2 9 2 2 3 7 3" xfId="37587" xr:uid="{0BC92787-5CA4-4E82-B7A7-B5CA0D98E47A}"/>
    <cellStyle name="Normal 2 9 2 2 3 7 4" xfId="37588" xr:uid="{0AE9A5EC-D8D9-4330-BD9E-7ECE44525667}"/>
    <cellStyle name="Normal 2 9 2 2 3 7 5" xfId="37589" xr:uid="{29F93D4E-F108-48C5-8A7F-944DEE4C0629}"/>
    <cellStyle name="Normal 2 9 2 2 3 8" xfId="37590" xr:uid="{CF79231A-DC69-4421-A505-4F96E2F5A0A9}"/>
    <cellStyle name="Normal 2 9 2 2 3 8 2" xfId="37591" xr:uid="{2A1A0A14-A15A-4E9A-9410-E913F272986B}"/>
    <cellStyle name="Normal 2 9 2 2 3 8 3" xfId="37592" xr:uid="{16E6DD72-1C38-4E92-BEC7-3B479F745D9E}"/>
    <cellStyle name="Normal 2 9 2 2 3 8 4" xfId="37593" xr:uid="{EFB09D2C-FBED-4E7D-8EB8-F996A39EF3A0}"/>
    <cellStyle name="Normal 2 9 2 2 3 8 5" xfId="37594" xr:uid="{213C4F74-50AC-4496-BA81-474E01BD6A87}"/>
    <cellStyle name="Normal 2 9 2 2 3 9" xfId="37595" xr:uid="{9606F1E1-DFC4-482D-A2AC-574AC2624087}"/>
    <cellStyle name="Normal 2 9 2 2 4" xfId="37596" xr:uid="{894BFF55-01C9-431D-8463-6D60CA0B46BE}"/>
    <cellStyle name="Normal 2 9 2 2 4 2" xfId="37597" xr:uid="{833BA84B-A3D7-4AB8-A619-9235BE73CF84}"/>
    <cellStyle name="Normal 2 9 2 2 4 2 2" xfId="37598" xr:uid="{0F2BE069-9AE1-49E1-9880-E6D88E8204FA}"/>
    <cellStyle name="Normal 2 9 2 2 4 2 3" xfId="37599" xr:uid="{D4187F03-35AE-4E63-9F24-50058DF63017}"/>
    <cellStyle name="Normal 2 9 2 2 4 2 4" xfId="37600" xr:uid="{0BBADC65-4DA6-43AA-97AA-64A754B6A1D3}"/>
    <cellStyle name="Normal 2 9 2 2 4 2 5" xfId="37601" xr:uid="{C9338B22-76EF-4C18-A2CB-A9C7E13D036B}"/>
    <cellStyle name="Normal 2 9 2 2 4 3" xfId="37602" xr:uid="{ED143F97-7CB9-4575-87FB-DA552B675FD3}"/>
    <cellStyle name="Normal 2 9 2 2 4 4" xfId="37603" xr:uid="{17F36EF9-D031-4AE9-8824-33A22B6DE0B1}"/>
    <cellStyle name="Normal 2 9 2 2 4 5" xfId="37604" xr:uid="{D74FD9E2-3704-4F19-9BA1-655D76EF35E7}"/>
    <cellStyle name="Normal 2 9 2 2 4 6" xfId="37605" xr:uid="{5DAD4555-D2E9-430B-B472-5BDA5D5C807E}"/>
    <cellStyle name="Normal 2 9 2 2 5" xfId="37606" xr:uid="{5BFF49DD-D49E-4D0C-9C8D-7AF2F10E83E7}"/>
    <cellStyle name="Normal 2 9 2 2 5 2" xfId="37607" xr:uid="{26C2C94D-DC0E-4C04-AD9C-052B70B08F3E}"/>
    <cellStyle name="Normal 2 9 2 2 5 2 2" xfId="37608" xr:uid="{C8F0B297-FE60-4283-A42A-B741CE8A3343}"/>
    <cellStyle name="Normal 2 9 2 2 5 2 3" xfId="37609" xr:uid="{77930A3C-6ADD-4369-A3E9-89F5331D342E}"/>
    <cellStyle name="Normal 2 9 2 2 5 2 4" xfId="37610" xr:uid="{DFBF4450-5385-4083-89CA-B0510DF42386}"/>
    <cellStyle name="Normal 2 9 2 2 5 2 5" xfId="37611" xr:uid="{A15B61CA-CA12-4031-99C0-9C28DEBF02E0}"/>
    <cellStyle name="Normal 2 9 2 2 5 3" xfId="37612" xr:uid="{3F4DF6AA-2619-4393-A472-879B414847D7}"/>
    <cellStyle name="Normal 2 9 2 2 5 4" xfId="37613" xr:uid="{4B0ED131-FB0F-4488-9CC0-ED38B3B0F229}"/>
    <cellStyle name="Normal 2 9 2 2 5 5" xfId="37614" xr:uid="{60485F1D-85BC-41F1-9CB3-8355F7EE8D50}"/>
    <cellStyle name="Normal 2 9 2 2 5 6" xfId="37615" xr:uid="{F3CE6772-BF19-4B81-B1B1-884FE0A3C9A3}"/>
    <cellStyle name="Normal 2 9 2 2 6" xfId="37616" xr:uid="{C8A95242-8F29-43CB-A0EA-243D487A2BBE}"/>
    <cellStyle name="Normal 2 9 2 2 6 2" xfId="37617" xr:uid="{A5C11092-2B3E-4A74-85C8-2B4A32425C06}"/>
    <cellStyle name="Normal 2 9 2 2 6 2 2" xfId="37618" xr:uid="{69897A8F-C718-4593-9A8D-761E349B978D}"/>
    <cellStyle name="Normal 2 9 2 2 6 2 3" xfId="37619" xr:uid="{A9530B28-BBA5-46BA-9599-F87CE71CF971}"/>
    <cellStyle name="Normal 2 9 2 2 6 2 4" xfId="37620" xr:uid="{EF268E8E-065A-4F44-AA4F-21A11EEB6772}"/>
    <cellStyle name="Normal 2 9 2 2 6 2 5" xfId="37621" xr:uid="{BC37B945-970F-43D3-A895-68BB924200B6}"/>
    <cellStyle name="Normal 2 9 2 2 6 3" xfId="37622" xr:uid="{542D1922-CD1F-4E5B-B77E-EA33F48F89A8}"/>
    <cellStyle name="Normal 2 9 2 2 6 4" xfId="37623" xr:uid="{50D926BA-37DE-485F-A1EF-B7879B4E87A8}"/>
    <cellStyle name="Normal 2 9 2 2 6 5" xfId="37624" xr:uid="{346CC4AE-B36D-4276-A3FF-A01775C70A41}"/>
    <cellStyle name="Normal 2 9 2 2 6 6" xfId="37625" xr:uid="{0F181984-D564-4395-9522-AEF222D33506}"/>
    <cellStyle name="Normal 2 9 2 2 7" xfId="37626" xr:uid="{F3EACB6C-4748-471B-A2B3-10D2FC0B894B}"/>
    <cellStyle name="Normal 2 9 2 2 7 2" xfId="37627" xr:uid="{01651925-509E-45FE-93F9-12B8854C1DAD}"/>
    <cellStyle name="Normal 2 9 2 2 7 3" xfId="37628" xr:uid="{E09347EB-A109-4098-AE36-517850F3BE47}"/>
    <cellStyle name="Normal 2 9 2 2 7 4" xfId="37629" xr:uid="{9AF20C32-04B8-45A9-A61C-CB8419BDF77F}"/>
    <cellStyle name="Normal 2 9 2 2 7 5" xfId="37630" xr:uid="{9A30EDF6-F46C-4DB6-8992-A6A9E0E2A3F0}"/>
    <cellStyle name="Normal 2 9 2 2 8" xfId="37631" xr:uid="{0368D9DD-763C-4733-B698-5D13E1F4E0D5}"/>
    <cellStyle name="Normal 2 9 2 2 8 2" xfId="37632" xr:uid="{6924213A-5C7F-4930-893A-BC4B19F04DFF}"/>
    <cellStyle name="Normal 2 9 2 2 8 3" xfId="37633" xr:uid="{72121610-A64F-450A-827C-5803A5F18966}"/>
    <cellStyle name="Normal 2 9 2 2 8 4" xfId="37634" xr:uid="{12FE4078-52F7-486E-9F60-9922D768D579}"/>
    <cellStyle name="Normal 2 9 2 2 8 5" xfId="37635" xr:uid="{CF09C0F7-0F7C-4DDF-A6D9-2821EEBA7131}"/>
    <cellStyle name="Normal 2 9 2 2 9" xfId="37636" xr:uid="{CF5A2938-07D4-4D67-901B-321E81A41CF7}"/>
    <cellStyle name="Normal 2 9 2 2 9 2" xfId="37637" xr:uid="{BB2539BF-B117-494F-9052-06DCFF32E7C1}"/>
    <cellStyle name="Normal 2 9 2 2 9 3" xfId="37638" xr:uid="{0370770B-9277-4417-B28D-40BE3B97F19D}"/>
    <cellStyle name="Normal 2 9 2 2 9 4" xfId="37639" xr:uid="{C5AEE21C-F06D-4EDD-929A-6B9D5523014C}"/>
    <cellStyle name="Normal 2 9 2 2 9 5" xfId="37640" xr:uid="{380430CB-DE3B-4E8D-B3D4-58DFF5B3072E}"/>
    <cellStyle name="Normal 2 9 2 3" xfId="37641" xr:uid="{906D7FD5-5644-4A15-998F-670EED9C81E5}"/>
    <cellStyle name="Normal 2 9 2 3 10" xfId="37642" xr:uid="{8C693E35-B78E-4648-B0D4-923EB6ACE1B9}"/>
    <cellStyle name="Normal 2 9 2 3 11" xfId="37643" xr:uid="{C266F208-687D-423A-983B-061EC9FDC0EA}"/>
    <cellStyle name="Normal 2 9 2 3 12" xfId="37644" xr:uid="{D1C512BF-1E59-416C-BD1C-2DC831D0D169}"/>
    <cellStyle name="Normal 2 9 2 3 13" xfId="37645" xr:uid="{7B9CAA21-B4BC-40D6-B8B5-FEFD1B092C94}"/>
    <cellStyle name="Normal 2 9 2 3 2" xfId="37646" xr:uid="{A54CF6B1-7A04-42B5-891D-9AF7AE69D1D7}"/>
    <cellStyle name="Normal 2 9 2 3 2 10" xfId="37647" xr:uid="{96046790-AE0F-4982-8969-BE562EC8AC60}"/>
    <cellStyle name="Normal 2 9 2 3 2 11" xfId="37648" xr:uid="{B4A425FB-193B-436F-98F4-EA4D549EAC0C}"/>
    <cellStyle name="Normal 2 9 2 3 2 12" xfId="37649" xr:uid="{EAB7B7CF-02DA-4021-9553-9ACB4815F5D0}"/>
    <cellStyle name="Normal 2 9 2 3 2 2" xfId="37650" xr:uid="{BBE2439C-C88A-4A6E-947D-2AE010CA3896}"/>
    <cellStyle name="Normal 2 9 2 3 2 2 2" xfId="37651" xr:uid="{7347B6AC-E5CB-4770-80BE-94D61DC1E313}"/>
    <cellStyle name="Normal 2 9 2 3 2 2 2 2" xfId="37652" xr:uid="{87D3322B-30E6-4929-B4D5-EFD44D64F76A}"/>
    <cellStyle name="Normal 2 9 2 3 2 2 2 3" xfId="37653" xr:uid="{E5B49A46-6D27-4D1E-9C5C-346FD0045646}"/>
    <cellStyle name="Normal 2 9 2 3 2 2 2 4" xfId="37654" xr:uid="{1AD2A2EC-315E-4CB6-9C3F-53B94A1C3CDA}"/>
    <cellStyle name="Normal 2 9 2 3 2 2 2 5" xfId="37655" xr:uid="{61D93DE3-A746-4096-A2F0-3B8A0E475F9F}"/>
    <cellStyle name="Normal 2 9 2 3 2 2 3" xfId="37656" xr:uid="{64D087AA-1289-4052-A680-2D6E92EB8E9E}"/>
    <cellStyle name="Normal 2 9 2 3 2 2 4" xfId="37657" xr:uid="{ED2D9D4C-1275-4FBE-B6E6-98183ABBE255}"/>
    <cellStyle name="Normal 2 9 2 3 2 2 5" xfId="37658" xr:uid="{95BB07B8-9731-47DA-82DF-CAEB16160FC0}"/>
    <cellStyle name="Normal 2 9 2 3 2 2 6" xfId="37659" xr:uid="{C0944E2E-A824-4ECE-9ECE-AC53E119C5D4}"/>
    <cellStyle name="Normal 2 9 2 3 2 3" xfId="37660" xr:uid="{963815AB-4586-4223-9649-D4E4C6298F9E}"/>
    <cellStyle name="Normal 2 9 2 3 2 3 2" xfId="37661" xr:uid="{4A052909-5992-4BF7-A81E-9B9C3C8B190A}"/>
    <cellStyle name="Normal 2 9 2 3 2 3 2 2" xfId="37662" xr:uid="{E0AE9710-2F66-455D-B9A3-0E2778B9BB22}"/>
    <cellStyle name="Normal 2 9 2 3 2 3 2 3" xfId="37663" xr:uid="{C49E9B69-7192-44E7-8425-3635C31014C8}"/>
    <cellStyle name="Normal 2 9 2 3 2 3 2 4" xfId="37664" xr:uid="{A82E32A0-D361-4AAA-AE7D-267058502894}"/>
    <cellStyle name="Normal 2 9 2 3 2 3 2 5" xfId="37665" xr:uid="{2CD6E86D-39A4-45D9-AD75-4453F430B767}"/>
    <cellStyle name="Normal 2 9 2 3 2 3 3" xfId="37666" xr:uid="{FBDE9E48-A434-4354-92E2-81EE6EC7061F}"/>
    <cellStyle name="Normal 2 9 2 3 2 3 4" xfId="37667" xr:uid="{D46291FA-8317-4309-A50B-0CB3B58FD3FD}"/>
    <cellStyle name="Normal 2 9 2 3 2 3 5" xfId="37668" xr:uid="{54BDEE93-19AD-4627-838D-2E0B8212935B}"/>
    <cellStyle name="Normal 2 9 2 3 2 3 6" xfId="37669" xr:uid="{87CC9D17-9D20-4DD7-9F0D-23BA1493650E}"/>
    <cellStyle name="Normal 2 9 2 3 2 4" xfId="37670" xr:uid="{C54AC712-BBD2-4DBC-BE64-CFDE64C421B8}"/>
    <cellStyle name="Normal 2 9 2 3 2 4 2" xfId="37671" xr:uid="{C15B045C-A1E0-4994-87F9-64B7679A0BA9}"/>
    <cellStyle name="Normal 2 9 2 3 2 4 2 2" xfId="37672" xr:uid="{34A63773-6D4C-41AF-A20E-6F6531027746}"/>
    <cellStyle name="Normal 2 9 2 3 2 4 2 3" xfId="37673" xr:uid="{986DD5FF-6035-4DE7-92D1-70AB4F635BF2}"/>
    <cellStyle name="Normal 2 9 2 3 2 4 2 4" xfId="37674" xr:uid="{1DEA33B7-EAEC-4283-A149-7FD3ACC18FBA}"/>
    <cellStyle name="Normal 2 9 2 3 2 4 2 5" xfId="37675" xr:uid="{7341D543-7AE4-47D0-AD90-BE256F8B548A}"/>
    <cellStyle name="Normal 2 9 2 3 2 4 3" xfId="37676" xr:uid="{637950B2-7508-4877-B33B-3BF6BF203593}"/>
    <cellStyle name="Normal 2 9 2 3 2 4 4" xfId="37677" xr:uid="{680A21EB-8D1E-474B-9889-9B7B3E30738A}"/>
    <cellStyle name="Normal 2 9 2 3 2 4 5" xfId="37678" xr:uid="{320DDEF3-21B9-45AE-B3EC-16BB68CE1DB7}"/>
    <cellStyle name="Normal 2 9 2 3 2 4 6" xfId="37679" xr:uid="{D17DBAD0-6D40-438C-A65B-DB23EE6C99C0}"/>
    <cellStyle name="Normal 2 9 2 3 2 5" xfId="37680" xr:uid="{B2E6428F-0727-44AF-B749-2A8EC85DA088}"/>
    <cellStyle name="Normal 2 9 2 3 2 5 2" xfId="37681" xr:uid="{7ABC5E1A-FBE6-4681-98F6-3A23DFA9E2DA}"/>
    <cellStyle name="Normal 2 9 2 3 2 5 3" xfId="37682" xr:uid="{17940A0E-DA52-41E4-959F-EFCCEF2F5AD7}"/>
    <cellStyle name="Normal 2 9 2 3 2 5 4" xfId="37683" xr:uid="{1CC4CFF4-6CF9-4A2B-BC93-7CB4DC25EDAD}"/>
    <cellStyle name="Normal 2 9 2 3 2 5 5" xfId="37684" xr:uid="{0AC9DA15-3B84-425F-B6BF-98A9A49B1AB9}"/>
    <cellStyle name="Normal 2 9 2 3 2 6" xfId="37685" xr:uid="{77736588-A33E-49A2-8B09-08D052CC1E15}"/>
    <cellStyle name="Normal 2 9 2 3 2 6 2" xfId="37686" xr:uid="{6ADAF049-60A4-4DF0-A262-C4A257B55A3A}"/>
    <cellStyle name="Normal 2 9 2 3 2 6 3" xfId="37687" xr:uid="{78F35EC6-5B39-4296-8BA3-B4A855387B82}"/>
    <cellStyle name="Normal 2 9 2 3 2 6 4" xfId="37688" xr:uid="{0BD389BE-8D77-4404-B497-B5E5455E3DA5}"/>
    <cellStyle name="Normal 2 9 2 3 2 6 5" xfId="37689" xr:uid="{48104E79-230B-4BAF-9FBB-FEF7E7671B0C}"/>
    <cellStyle name="Normal 2 9 2 3 2 7" xfId="37690" xr:uid="{BEFBAA16-04E6-4ADD-80C9-96455219597D}"/>
    <cellStyle name="Normal 2 9 2 3 2 7 2" xfId="37691" xr:uid="{6206B893-CE70-42EF-ADDF-69B80933AF3C}"/>
    <cellStyle name="Normal 2 9 2 3 2 7 3" xfId="37692" xr:uid="{74079947-3104-4AA8-A8A5-C0674EA99965}"/>
    <cellStyle name="Normal 2 9 2 3 2 7 4" xfId="37693" xr:uid="{2A37B9F2-91A4-438D-9A03-31FF37A078FE}"/>
    <cellStyle name="Normal 2 9 2 3 2 7 5" xfId="37694" xr:uid="{A80983AD-0250-4F8F-9AE2-5C62BAD7165A}"/>
    <cellStyle name="Normal 2 9 2 3 2 8" xfId="37695" xr:uid="{09330E15-42F1-4EBC-9C7B-9B86158B24B5}"/>
    <cellStyle name="Normal 2 9 2 3 2 8 2" xfId="37696" xr:uid="{759DF050-6C93-4F37-A575-8F7BF98C06F8}"/>
    <cellStyle name="Normal 2 9 2 3 2 8 3" xfId="37697" xr:uid="{72A5870D-587C-4A2C-B4EA-1F1A6BFB6FA6}"/>
    <cellStyle name="Normal 2 9 2 3 2 8 4" xfId="37698" xr:uid="{66E1895D-46DC-43DE-AE68-1D07C241DA23}"/>
    <cellStyle name="Normal 2 9 2 3 2 8 5" xfId="37699" xr:uid="{6AA90179-B574-4A61-B777-89A48123EB1E}"/>
    <cellStyle name="Normal 2 9 2 3 2 9" xfId="37700" xr:uid="{F4C6EF8B-E7E2-48DC-BA56-4CD5CD2CC81D}"/>
    <cellStyle name="Normal 2 9 2 3 3" xfId="37701" xr:uid="{158B7009-87D8-4217-B19B-B411B95BD2D0}"/>
    <cellStyle name="Normal 2 9 2 3 3 2" xfId="37702" xr:uid="{662F0CEB-F564-4F63-A2B3-9B5D4A17B0D0}"/>
    <cellStyle name="Normal 2 9 2 3 3 2 2" xfId="37703" xr:uid="{FED0A485-6422-418F-8BEA-16F4ABBC1F07}"/>
    <cellStyle name="Normal 2 9 2 3 3 2 3" xfId="37704" xr:uid="{4D1407CB-8E3E-4ADE-A175-B3017B680709}"/>
    <cellStyle name="Normal 2 9 2 3 3 2 4" xfId="37705" xr:uid="{F10A63AE-3A80-4FF1-8245-4F890085C40B}"/>
    <cellStyle name="Normal 2 9 2 3 3 2 5" xfId="37706" xr:uid="{ACC2C0D1-B695-410F-9FF5-07F94D8ED81A}"/>
    <cellStyle name="Normal 2 9 2 3 3 3" xfId="37707" xr:uid="{23390615-EEEC-4BC5-943A-4BD4B024938F}"/>
    <cellStyle name="Normal 2 9 2 3 3 4" xfId="37708" xr:uid="{7A301B6E-16CA-40DF-A3BC-14D7431FDF72}"/>
    <cellStyle name="Normal 2 9 2 3 3 5" xfId="37709" xr:uid="{76BA4AA4-89AB-4D14-ABCD-AB4952BA7C2F}"/>
    <cellStyle name="Normal 2 9 2 3 3 6" xfId="37710" xr:uid="{F8102CFF-DE03-408E-AAC3-6F65A1E6F460}"/>
    <cellStyle name="Normal 2 9 2 3 4" xfId="37711" xr:uid="{73729261-8FE2-46E4-A395-117D321F63E9}"/>
    <cellStyle name="Normal 2 9 2 3 4 2" xfId="37712" xr:uid="{C75276B6-BA6D-4349-9DED-816398A4FD5F}"/>
    <cellStyle name="Normal 2 9 2 3 4 2 2" xfId="37713" xr:uid="{58E62202-8AD7-4CC0-9962-B8B1AD8AAFCA}"/>
    <cellStyle name="Normal 2 9 2 3 4 2 3" xfId="37714" xr:uid="{F36B254E-4B9E-475D-8BA3-DED3D940AB78}"/>
    <cellStyle name="Normal 2 9 2 3 4 2 4" xfId="37715" xr:uid="{F83894FF-2C12-4384-B385-7A3F8CC61D61}"/>
    <cellStyle name="Normal 2 9 2 3 4 2 5" xfId="37716" xr:uid="{D399C220-047F-4FF0-8D68-B1AC15AAE802}"/>
    <cellStyle name="Normal 2 9 2 3 4 3" xfId="37717" xr:uid="{05985D81-2EFA-4289-8FFB-ACF3D79F58BA}"/>
    <cellStyle name="Normal 2 9 2 3 4 4" xfId="37718" xr:uid="{0A345CF9-987A-443D-A7B1-1E98DCB4DF3D}"/>
    <cellStyle name="Normal 2 9 2 3 4 5" xfId="37719" xr:uid="{C5C26C68-4E34-4152-A9CB-49C0AFF9B50C}"/>
    <cellStyle name="Normal 2 9 2 3 4 6" xfId="37720" xr:uid="{F632A9FB-04B2-46CA-9C6B-D8BE0A4CB15E}"/>
    <cellStyle name="Normal 2 9 2 3 5" xfId="37721" xr:uid="{8FA39C8B-8799-43CE-8969-5C95CD5CE019}"/>
    <cellStyle name="Normal 2 9 2 3 5 2" xfId="37722" xr:uid="{B187EE64-B961-4D79-9FC6-3263060A5917}"/>
    <cellStyle name="Normal 2 9 2 3 5 2 2" xfId="37723" xr:uid="{9EDCB51A-F6FF-46C6-8614-591305EAD17B}"/>
    <cellStyle name="Normal 2 9 2 3 5 2 3" xfId="37724" xr:uid="{2EEEB122-17A0-4E31-AAD6-69B87F01BA3B}"/>
    <cellStyle name="Normal 2 9 2 3 5 2 4" xfId="37725" xr:uid="{001351D0-B668-4E18-8149-70A00C21B352}"/>
    <cellStyle name="Normal 2 9 2 3 5 2 5" xfId="37726" xr:uid="{E5A42D8C-09C0-40F1-9989-B4787DE66BBC}"/>
    <cellStyle name="Normal 2 9 2 3 5 3" xfId="37727" xr:uid="{A1CDE99E-4D5B-46B4-8569-7E4947BF7F23}"/>
    <cellStyle name="Normal 2 9 2 3 5 4" xfId="37728" xr:uid="{CF829D66-0B09-45B2-90D7-E2F9E05BFE68}"/>
    <cellStyle name="Normal 2 9 2 3 5 5" xfId="37729" xr:uid="{41A10A91-6F75-4AA9-A96D-E5CA80306B1C}"/>
    <cellStyle name="Normal 2 9 2 3 5 6" xfId="37730" xr:uid="{9E956F9B-81DF-4260-AE08-FA2E6BE8FE77}"/>
    <cellStyle name="Normal 2 9 2 3 6" xfId="37731" xr:uid="{EC7C79C9-EF06-48DD-99C5-1A2DA457A519}"/>
    <cellStyle name="Normal 2 9 2 3 6 2" xfId="37732" xr:uid="{0ED592AB-6F39-41A2-AE43-02E43F1AE498}"/>
    <cellStyle name="Normal 2 9 2 3 6 3" xfId="37733" xr:uid="{EAF37C74-D8B2-4C92-A2DA-71FE098DE551}"/>
    <cellStyle name="Normal 2 9 2 3 6 4" xfId="37734" xr:uid="{4E1E14E5-89B9-461E-86F4-C65F4E27AD2D}"/>
    <cellStyle name="Normal 2 9 2 3 6 5" xfId="37735" xr:uid="{4D324269-B3F2-47AD-9BA0-9F338CFEAE0B}"/>
    <cellStyle name="Normal 2 9 2 3 7" xfId="37736" xr:uid="{94209C80-ED63-4FF1-A248-7F7D01D268DF}"/>
    <cellStyle name="Normal 2 9 2 3 7 2" xfId="37737" xr:uid="{E132F5B1-E738-46F3-BE2B-BAFA8392AF4A}"/>
    <cellStyle name="Normal 2 9 2 3 7 3" xfId="37738" xr:uid="{6D8162D5-75F1-4922-AC3A-36194C2AC4EE}"/>
    <cellStyle name="Normal 2 9 2 3 7 4" xfId="37739" xr:uid="{C2CA47F5-5E04-4BFA-8139-5BAF64DC8424}"/>
    <cellStyle name="Normal 2 9 2 3 7 5" xfId="37740" xr:uid="{DA034E7E-80E9-4013-AEE3-FE015EADA4F5}"/>
    <cellStyle name="Normal 2 9 2 3 8" xfId="37741" xr:uid="{057C43C6-1C39-4A46-9595-4826E194AFCD}"/>
    <cellStyle name="Normal 2 9 2 3 8 2" xfId="37742" xr:uid="{B1A23848-0BE3-4D68-B56F-482D518FDA97}"/>
    <cellStyle name="Normal 2 9 2 3 8 3" xfId="37743" xr:uid="{5DD951F9-CA8A-4710-878E-10E6ECFC20E0}"/>
    <cellStyle name="Normal 2 9 2 3 8 4" xfId="37744" xr:uid="{B6D4796B-DD8C-459F-ADB7-435A47E9820D}"/>
    <cellStyle name="Normal 2 9 2 3 8 5" xfId="37745" xr:uid="{1E7190B7-98E4-4C4E-9121-37C825DBB170}"/>
    <cellStyle name="Normal 2 9 2 3 9" xfId="37746" xr:uid="{E0F0EA28-4098-4C94-B6E5-A55B36894497}"/>
    <cellStyle name="Normal 2 9 2 3 9 2" xfId="37747" xr:uid="{6632EEF8-F9ED-4B88-AA1E-57C7107092DD}"/>
    <cellStyle name="Normal 2 9 2 3 9 3" xfId="37748" xr:uid="{78FD6CD8-8F55-4137-AF74-AF8D955B3138}"/>
    <cellStyle name="Normal 2 9 2 3 9 4" xfId="37749" xr:uid="{E2ABD0D8-87DD-4609-A993-D4664E168502}"/>
    <cellStyle name="Normal 2 9 2 3 9 5" xfId="37750" xr:uid="{FBEC9DF2-2719-4C9A-A0D1-EAA8463F231F}"/>
    <cellStyle name="Normal 2 9 2 4" xfId="37751" xr:uid="{D1B36039-5783-4AEA-BD2C-B482161795A1}"/>
    <cellStyle name="Normal 2 9 2 4 10" xfId="37752" xr:uid="{52FCDE01-6EB4-4A4F-ABDB-6EC12AB99F07}"/>
    <cellStyle name="Normal 2 9 2 4 11" xfId="37753" xr:uid="{CF09042E-AAAC-45B9-A141-F9C4022CA33D}"/>
    <cellStyle name="Normal 2 9 2 4 12" xfId="37754" xr:uid="{D61EBADB-49C6-42AF-9B3E-951260E2A44A}"/>
    <cellStyle name="Normal 2 9 2 4 2" xfId="37755" xr:uid="{9163BA89-6044-46D7-964A-68978B91429D}"/>
    <cellStyle name="Normal 2 9 2 4 2 2" xfId="37756" xr:uid="{88FC03FA-CBE4-4E3C-9171-F2A1E52D6327}"/>
    <cellStyle name="Normal 2 9 2 4 2 2 2" xfId="37757" xr:uid="{DAE6F420-09C9-406F-8907-00E7B384D47D}"/>
    <cellStyle name="Normal 2 9 2 4 2 2 3" xfId="37758" xr:uid="{87A6A1F6-30D0-44BA-B243-8519D32038E0}"/>
    <cellStyle name="Normal 2 9 2 4 2 2 4" xfId="37759" xr:uid="{3A9ED19E-B360-4464-835D-194B93BA0910}"/>
    <cellStyle name="Normal 2 9 2 4 2 2 5" xfId="37760" xr:uid="{84133C49-C69B-4C35-A934-1F573B2ED307}"/>
    <cellStyle name="Normal 2 9 2 4 2 3" xfId="37761" xr:uid="{101366C5-9A32-479F-9FDD-856AE1181706}"/>
    <cellStyle name="Normal 2 9 2 4 2 4" xfId="37762" xr:uid="{A449BFE0-0031-42F4-BADF-14251476C220}"/>
    <cellStyle name="Normal 2 9 2 4 2 5" xfId="37763" xr:uid="{157C11BB-5177-471E-87BE-EF67DBE91F4A}"/>
    <cellStyle name="Normal 2 9 2 4 2 6" xfId="37764" xr:uid="{F1F225BC-B133-4964-83A7-92694F661248}"/>
    <cellStyle name="Normal 2 9 2 4 3" xfId="37765" xr:uid="{695A81A9-0E7D-4E8C-AF7A-7DB8E1919D31}"/>
    <cellStyle name="Normal 2 9 2 4 3 2" xfId="37766" xr:uid="{D00A9587-6D15-4C59-A4B5-61583F9E23FD}"/>
    <cellStyle name="Normal 2 9 2 4 3 2 2" xfId="37767" xr:uid="{1B322212-1017-404E-B0CF-73E371250D32}"/>
    <cellStyle name="Normal 2 9 2 4 3 2 3" xfId="37768" xr:uid="{989585BB-D4E8-48CE-AF7F-C481F9D70558}"/>
    <cellStyle name="Normal 2 9 2 4 3 2 4" xfId="37769" xr:uid="{EC20FAEB-B619-431B-801E-EFCB14A81356}"/>
    <cellStyle name="Normal 2 9 2 4 3 2 5" xfId="37770" xr:uid="{EAFB5AF8-0D53-4C80-AE57-782CF0E02F16}"/>
    <cellStyle name="Normal 2 9 2 4 3 3" xfId="37771" xr:uid="{5130822B-A610-4D00-9B52-98C82ADF81BB}"/>
    <cellStyle name="Normal 2 9 2 4 3 4" xfId="37772" xr:uid="{F2E80562-184E-4B2A-9FB0-28792990E661}"/>
    <cellStyle name="Normal 2 9 2 4 3 5" xfId="37773" xr:uid="{182FCCE6-CFE6-4217-812A-03617D75B28B}"/>
    <cellStyle name="Normal 2 9 2 4 3 6" xfId="37774" xr:uid="{3705B6FA-AB77-4603-A411-5D88BACF52DE}"/>
    <cellStyle name="Normal 2 9 2 4 4" xfId="37775" xr:uid="{277CC742-F013-4FC1-8BCB-F6456E64E165}"/>
    <cellStyle name="Normal 2 9 2 4 4 2" xfId="37776" xr:uid="{349DE45B-C3C1-4C4B-BF63-9AD78C1EA617}"/>
    <cellStyle name="Normal 2 9 2 4 4 2 2" xfId="37777" xr:uid="{7EF2C55C-9BE2-4A0B-A284-0776BF7CD34A}"/>
    <cellStyle name="Normal 2 9 2 4 4 2 3" xfId="37778" xr:uid="{2FF0BD30-38A0-4E1B-859F-1CE18988C70F}"/>
    <cellStyle name="Normal 2 9 2 4 4 2 4" xfId="37779" xr:uid="{51CFBA2E-C848-4AF2-8D29-9E1E06E97EE3}"/>
    <cellStyle name="Normal 2 9 2 4 4 2 5" xfId="37780" xr:uid="{CF54B040-4F88-4DAE-A633-D9BEAD27E210}"/>
    <cellStyle name="Normal 2 9 2 4 4 3" xfId="37781" xr:uid="{DB1BCAA0-6D91-4CCF-939E-79BD7A20CA81}"/>
    <cellStyle name="Normal 2 9 2 4 4 4" xfId="37782" xr:uid="{AA3124B8-04BE-4D18-87F4-B269C71612C7}"/>
    <cellStyle name="Normal 2 9 2 4 4 5" xfId="37783" xr:uid="{CDE260A0-9F8E-4C5D-A5FD-7CCA19977976}"/>
    <cellStyle name="Normal 2 9 2 4 4 6" xfId="37784" xr:uid="{01619241-EC2D-4FB1-AFEC-E44A3C6246B1}"/>
    <cellStyle name="Normal 2 9 2 4 5" xfId="37785" xr:uid="{D765273F-F014-4845-9554-E22306D47157}"/>
    <cellStyle name="Normal 2 9 2 4 5 2" xfId="37786" xr:uid="{3FC2704C-76DD-42A7-AD41-BFD36F481A14}"/>
    <cellStyle name="Normal 2 9 2 4 5 3" xfId="37787" xr:uid="{A20E5510-9731-4B1B-A14F-FDCDEBE26AF3}"/>
    <cellStyle name="Normal 2 9 2 4 5 4" xfId="37788" xr:uid="{733D71D7-1884-41AC-A908-FF6062C718E1}"/>
    <cellStyle name="Normal 2 9 2 4 5 5" xfId="37789" xr:uid="{550E73CA-8D9A-4E34-BE5A-9AC571FFE6CC}"/>
    <cellStyle name="Normal 2 9 2 4 6" xfId="37790" xr:uid="{CC928429-54D0-454B-A72A-D5EE551CEAF8}"/>
    <cellStyle name="Normal 2 9 2 4 6 2" xfId="37791" xr:uid="{396B6B4A-859A-45B5-90CA-57D0F0C738E3}"/>
    <cellStyle name="Normal 2 9 2 4 6 3" xfId="37792" xr:uid="{78ED2874-7698-41EE-8B3F-8CAF57FA0F4B}"/>
    <cellStyle name="Normal 2 9 2 4 6 4" xfId="37793" xr:uid="{5896EEA2-9F84-41F3-9D53-6947DDFA2549}"/>
    <cellStyle name="Normal 2 9 2 4 6 5" xfId="37794" xr:uid="{CB3F5560-5F04-416D-B148-ED1247FBAC5E}"/>
    <cellStyle name="Normal 2 9 2 4 7" xfId="37795" xr:uid="{18ABE9EA-1539-49C2-A2F3-253501FA7937}"/>
    <cellStyle name="Normal 2 9 2 4 7 2" xfId="37796" xr:uid="{A612ED1B-1EAB-4BD9-9F3F-71965A5B43F8}"/>
    <cellStyle name="Normal 2 9 2 4 7 3" xfId="37797" xr:uid="{30119F61-36EC-4B77-9F89-C616234E2E44}"/>
    <cellStyle name="Normal 2 9 2 4 7 4" xfId="37798" xr:uid="{6F1AF1DA-93DA-4686-B31A-340F3C186ACD}"/>
    <cellStyle name="Normal 2 9 2 4 7 5" xfId="37799" xr:uid="{52DA227F-174D-4DD1-9A4B-D1C388B72B13}"/>
    <cellStyle name="Normal 2 9 2 4 8" xfId="37800" xr:uid="{9DD2AE61-CEE4-4D27-A287-4E7C00377F4C}"/>
    <cellStyle name="Normal 2 9 2 4 8 2" xfId="37801" xr:uid="{0D98CF2D-0B08-4B58-9AE7-E22ADFEDC3BF}"/>
    <cellStyle name="Normal 2 9 2 4 8 3" xfId="37802" xr:uid="{EF4829FF-6937-4C8A-B97C-26973412D00E}"/>
    <cellStyle name="Normal 2 9 2 4 8 4" xfId="37803" xr:uid="{7AB6D97B-F699-48C6-9E83-4D99399DD130}"/>
    <cellStyle name="Normal 2 9 2 4 8 5" xfId="37804" xr:uid="{581F8D32-9082-400B-B785-87260246BB46}"/>
    <cellStyle name="Normal 2 9 2 4 9" xfId="37805" xr:uid="{C7EB3DB3-DC13-4C62-A8C9-1502A0E3FC24}"/>
    <cellStyle name="Normal 2 9 2 5" xfId="37806" xr:uid="{C38E948C-401A-49DD-A346-7F8AD4A6B127}"/>
    <cellStyle name="Normal 2 9 2 5 2" xfId="37807" xr:uid="{81FFE669-7C0F-4154-87DE-0FE0E1013388}"/>
    <cellStyle name="Normal 2 9 2 5 2 2" xfId="37808" xr:uid="{8C58F30C-A1C7-4A7E-A69C-F0BE30BC201B}"/>
    <cellStyle name="Normal 2 9 2 5 2 3" xfId="37809" xr:uid="{392213C7-31CE-40CA-B772-546384E431BF}"/>
    <cellStyle name="Normal 2 9 2 5 2 4" xfId="37810" xr:uid="{ED4F9E37-4B3A-4A31-91E8-7C95B8EB9B26}"/>
    <cellStyle name="Normal 2 9 2 5 2 5" xfId="37811" xr:uid="{F0606ED1-AB34-4832-BEF4-17AD1E28BF09}"/>
    <cellStyle name="Normal 2 9 2 5 3" xfId="37812" xr:uid="{2DCA6223-9197-4833-B17E-F4AB55EEE6ED}"/>
    <cellStyle name="Normal 2 9 2 5 4" xfId="37813" xr:uid="{D5924C57-1F41-4A92-AE6D-8CD2E4B6D7B2}"/>
    <cellStyle name="Normal 2 9 2 5 5" xfId="37814" xr:uid="{633F68A1-5A25-4068-B614-6C4C6ACDB89D}"/>
    <cellStyle name="Normal 2 9 2 5 6" xfId="37815" xr:uid="{D89D1472-45FE-4659-8D75-301871D8814E}"/>
    <cellStyle name="Normal 2 9 2 6" xfId="37816" xr:uid="{CD035EA3-891E-47C6-A367-65D14802D367}"/>
    <cellStyle name="Normal 2 9 2 6 2" xfId="37817" xr:uid="{8B636301-A015-4DF4-8BBD-6E45287C9C62}"/>
    <cellStyle name="Normal 2 9 2 6 2 2" xfId="37818" xr:uid="{AC049989-239E-4D55-A937-E2D80C519610}"/>
    <cellStyle name="Normal 2 9 2 6 2 3" xfId="37819" xr:uid="{A427C472-7D31-4A38-911E-92FFB78EEBAB}"/>
    <cellStyle name="Normal 2 9 2 6 2 4" xfId="37820" xr:uid="{1A49CCE3-61E0-41B3-B3AC-0F6547029D4C}"/>
    <cellStyle name="Normal 2 9 2 6 2 5" xfId="37821" xr:uid="{30EF7B66-76C0-48FB-9B0C-7295B13F1864}"/>
    <cellStyle name="Normal 2 9 2 6 3" xfId="37822" xr:uid="{9C2C1E44-B664-4592-B5D2-EC650B0D9F6A}"/>
    <cellStyle name="Normal 2 9 2 6 4" xfId="37823" xr:uid="{3EC88FFD-A57E-4FAA-9E9C-851E9BECD0E8}"/>
    <cellStyle name="Normal 2 9 2 6 5" xfId="37824" xr:uid="{0D36E1FB-877A-4D88-877A-D90C7F14FB55}"/>
    <cellStyle name="Normal 2 9 2 6 6" xfId="37825" xr:uid="{654F2AC7-5EA5-4349-821E-4B9219ED50CC}"/>
    <cellStyle name="Normal 2 9 2 7" xfId="37826" xr:uid="{3CA24D11-C4BE-48D7-8D24-9FC730F3087C}"/>
    <cellStyle name="Normal 2 9 2 7 2" xfId="37827" xr:uid="{0E63DEAC-7B6A-4625-AECD-897F4F8E51EA}"/>
    <cellStyle name="Normal 2 9 2 7 2 2" xfId="37828" xr:uid="{C2F3D309-1481-40B5-892C-4811774DC5CB}"/>
    <cellStyle name="Normal 2 9 2 7 2 3" xfId="37829" xr:uid="{70CDE0B8-FE33-4323-8D8D-0E259F2F82FE}"/>
    <cellStyle name="Normal 2 9 2 7 2 4" xfId="37830" xr:uid="{33F94D36-5F3C-4B09-9513-0AAD70D1F1E5}"/>
    <cellStyle name="Normal 2 9 2 7 2 5" xfId="37831" xr:uid="{D247DE4B-3F43-4894-AF95-32F57C46A458}"/>
    <cellStyle name="Normal 2 9 2 7 3" xfId="37832" xr:uid="{9544A0AD-CED1-4EBB-9E43-02F3D41CE1F6}"/>
    <cellStyle name="Normal 2 9 2 7 4" xfId="37833" xr:uid="{CA3DD8FA-BAD0-48CF-A3CA-894A220A13CB}"/>
    <cellStyle name="Normal 2 9 2 7 5" xfId="37834" xr:uid="{C397B3B3-48F6-4383-BE5C-7F9B8093286D}"/>
    <cellStyle name="Normal 2 9 2 7 6" xfId="37835" xr:uid="{679C1941-5B01-4B59-BDCE-897AF3ADD935}"/>
    <cellStyle name="Normal 2 9 2 8" xfId="37836" xr:uid="{01F1E4B3-327B-43DB-BF3F-E703BD4E0EC4}"/>
    <cellStyle name="Normal 2 9 2 8 2" xfId="37837" xr:uid="{D6A5E8CD-253F-4978-BCBE-B5B28EB88896}"/>
    <cellStyle name="Normal 2 9 2 8 3" xfId="37838" xr:uid="{06E0FA28-8AA9-4CA8-892A-AFBBCD3A36A3}"/>
    <cellStyle name="Normal 2 9 2 8 4" xfId="37839" xr:uid="{960A87B9-443D-4233-87CB-5A1A71D49DC8}"/>
    <cellStyle name="Normal 2 9 2 8 5" xfId="37840" xr:uid="{AFCC57C8-F4D6-4A0F-8AE2-8E48C8128DC9}"/>
    <cellStyle name="Normal 2 9 2 9" xfId="37841" xr:uid="{AFAFB508-A87E-4C15-AF3D-5C9EC3D62560}"/>
    <cellStyle name="Normal 2 9 2 9 2" xfId="37842" xr:uid="{86503115-1812-4C5C-8E87-7FF4731531D7}"/>
    <cellStyle name="Normal 2 9 2 9 3" xfId="37843" xr:uid="{3CB24C6D-F03B-4DB5-9300-54BBD3C10BE6}"/>
    <cellStyle name="Normal 2 9 2 9 4" xfId="37844" xr:uid="{D329FFB3-8127-42C8-B1C6-5AE3C369B6D3}"/>
    <cellStyle name="Normal 2 9 2 9 5" xfId="37845" xr:uid="{219B27DB-D78C-49B2-AAEE-E477E40F5413}"/>
    <cellStyle name="Normal 2 9 3" xfId="37846" xr:uid="{C9091224-2255-40F6-B4A3-11E699F1E233}"/>
    <cellStyle name="Normal 2 9 3 10" xfId="37847" xr:uid="{4CBEE9D1-E08A-49FD-8772-2EF08A837CBE}"/>
    <cellStyle name="Normal 2 9 3 10 2" xfId="37848" xr:uid="{B63BBA25-21EC-4264-9843-4E6F91FF951C}"/>
    <cellStyle name="Normal 2 9 3 10 3" xfId="37849" xr:uid="{B34CF3EA-1717-4832-974E-FB215E5D0DCF}"/>
    <cellStyle name="Normal 2 9 3 10 4" xfId="37850" xr:uid="{1F3FD7F5-B4C5-4982-A6BE-6EADAAF79EDA}"/>
    <cellStyle name="Normal 2 9 3 10 5" xfId="37851" xr:uid="{469332A6-F245-40AD-A56E-30D69D1856EA}"/>
    <cellStyle name="Normal 2 9 3 11" xfId="37852" xr:uid="{98DDACFD-CD1D-42AF-A9D5-44FB5BFCC0FA}"/>
    <cellStyle name="Normal 2 9 3 11 2" xfId="37853" xr:uid="{7E548C1B-46D5-477A-B863-AF10BFBAF8D1}"/>
    <cellStyle name="Normal 2 9 3 11 3" xfId="37854" xr:uid="{0876769A-D94B-42FF-9629-D8F0A9D1AFB7}"/>
    <cellStyle name="Normal 2 9 3 11 4" xfId="37855" xr:uid="{CE266F60-BB23-4B4A-B24C-94E619329AC4}"/>
    <cellStyle name="Normal 2 9 3 11 5" xfId="37856" xr:uid="{AE4E7768-FD0F-443B-934B-648C26F97E3E}"/>
    <cellStyle name="Normal 2 9 3 12" xfId="37857" xr:uid="{50398664-D59E-4F84-A477-24865C2499BC}"/>
    <cellStyle name="Normal 2 9 3 13" xfId="37858" xr:uid="{76604814-9587-474B-AFFB-A15A958A6DD5}"/>
    <cellStyle name="Normal 2 9 3 14" xfId="37859" xr:uid="{3AA87A73-ACD4-43FD-A728-1D644743A013}"/>
    <cellStyle name="Normal 2 9 3 15" xfId="37860" xr:uid="{BABEE5C0-50BA-4F54-88CA-053D37CA519D}"/>
    <cellStyle name="Normal 2 9 3 2" xfId="37861" xr:uid="{F95C84B4-184A-4B9F-A153-92B5AD1A3E4C}"/>
    <cellStyle name="Normal 2 9 3 2 10" xfId="37862" xr:uid="{8F2FD482-87F0-41CF-B8F7-3EFF16BAC61A}"/>
    <cellStyle name="Normal 2 9 3 2 10 2" xfId="37863" xr:uid="{7C42458C-DA3F-4AEA-8CC0-BD3F60069D70}"/>
    <cellStyle name="Normal 2 9 3 2 10 3" xfId="37864" xr:uid="{38C4C268-C64C-466E-A86B-8DBB84731647}"/>
    <cellStyle name="Normal 2 9 3 2 10 4" xfId="37865" xr:uid="{3FE15282-A693-4E9E-A192-1AFF274A5909}"/>
    <cellStyle name="Normal 2 9 3 2 10 5" xfId="37866" xr:uid="{E1481CF3-7497-4723-A52B-8B5DD32C7DE0}"/>
    <cellStyle name="Normal 2 9 3 2 11" xfId="37867" xr:uid="{D1624B82-698A-4A60-AF42-6CBDE55F6686}"/>
    <cellStyle name="Normal 2 9 3 2 12" xfId="37868" xr:uid="{86472939-EDA3-445A-92E5-802B04C3AE02}"/>
    <cellStyle name="Normal 2 9 3 2 13" xfId="37869" xr:uid="{E1587869-F9F9-420C-AFCC-73D415D4B548}"/>
    <cellStyle name="Normal 2 9 3 2 14" xfId="37870" xr:uid="{675F1375-F6CF-46AA-8C74-9FC9E26128A9}"/>
    <cellStyle name="Normal 2 9 3 2 2" xfId="37871" xr:uid="{5F958E33-3CBA-48E6-80D2-005C7CE0E05C}"/>
    <cellStyle name="Normal 2 9 3 2 2 10" xfId="37872" xr:uid="{8CBADD76-F249-438B-A83F-CFB90ECC626D}"/>
    <cellStyle name="Normal 2 9 3 2 2 11" xfId="37873" xr:uid="{ABD59A8F-3CEE-4E88-9969-C11AA80769E1}"/>
    <cellStyle name="Normal 2 9 3 2 2 12" xfId="37874" xr:uid="{36EE804E-31DA-45B2-9413-2AFBB3FB8A90}"/>
    <cellStyle name="Normal 2 9 3 2 2 13" xfId="37875" xr:uid="{ACDA9225-94C8-4B5D-89B6-28CFB365A7EE}"/>
    <cellStyle name="Normal 2 9 3 2 2 2" xfId="37876" xr:uid="{F33EAF93-BE49-4878-9032-57D4BEFAE346}"/>
    <cellStyle name="Normal 2 9 3 2 2 2 10" xfId="37877" xr:uid="{1D1286BB-A467-4C26-9911-0CD08F31B734}"/>
    <cellStyle name="Normal 2 9 3 2 2 2 11" xfId="37878" xr:uid="{B9A6CEA7-4171-4957-BF0E-B3C2521DE66C}"/>
    <cellStyle name="Normal 2 9 3 2 2 2 12" xfId="37879" xr:uid="{7A7A423C-7A2E-4176-A721-2553C27F2F53}"/>
    <cellStyle name="Normal 2 9 3 2 2 2 2" xfId="37880" xr:uid="{A8237759-DCBE-4E33-84B3-129E2692C09C}"/>
    <cellStyle name="Normal 2 9 3 2 2 2 2 2" xfId="37881" xr:uid="{9BF7E269-B3E8-4E95-B99A-A4893D7D5227}"/>
    <cellStyle name="Normal 2 9 3 2 2 2 2 2 2" xfId="37882" xr:uid="{547D8EAD-D948-442E-9E41-3C44FD6EC357}"/>
    <cellStyle name="Normal 2 9 3 2 2 2 2 2 3" xfId="37883" xr:uid="{6F6689B6-4E85-4DE8-AAF9-EE9E3DEEAC61}"/>
    <cellStyle name="Normal 2 9 3 2 2 2 2 2 4" xfId="37884" xr:uid="{B3907199-E70D-4D11-8322-8D8AE1B5ECE3}"/>
    <cellStyle name="Normal 2 9 3 2 2 2 2 2 5" xfId="37885" xr:uid="{DDAE59BE-A4B9-42B2-B6BC-9A85C20EBC01}"/>
    <cellStyle name="Normal 2 9 3 2 2 2 2 3" xfId="37886" xr:uid="{4086263E-B81E-4A51-8A3F-514053EE5B91}"/>
    <cellStyle name="Normal 2 9 3 2 2 2 2 4" xfId="37887" xr:uid="{F732F663-F013-4594-AE31-6D2B0CC8AFC9}"/>
    <cellStyle name="Normal 2 9 3 2 2 2 2 5" xfId="37888" xr:uid="{236DB76A-C122-4CB2-A102-EC62B12BCCB2}"/>
    <cellStyle name="Normal 2 9 3 2 2 2 2 6" xfId="37889" xr:uid="{2AA33AC7-1ABC-4260-B799-3716CA3F493F}"/>
    <cellStyle name="Normal 2 9 3 2 2 2 3" xfId="37890" xr:uid="{33DBBCF1-21E0-4F22-9C3A-CF893152909C}"/>
    <cellStyle name="Normal 2 9 3 2 2 2 3 2" xfId="37891" xr:uid="{D3BA798E-117D-4377-AEBC-632A33D6229E}"/>
    <cellStyle name="Normal 2 9 3 2 2 2 3 2 2" xfId="37892" xr:uid="{7CF860D5-FF97-4E45-A60B-2D635957C4B9}"/>
    <cellStyle name="Normal 2 9 3 2 2 2 3 2 3" xfId="37893" xr:uid="{3441C944-8CFD-4654-814D-F88EE86B5630}"/>
    <cellStyle name="Normal 2 9 3 2 2 2 3 2 4" xfId="37894" xr:uid="{7E15B9E8-81AB-4F69-8286-AF93F8B0BDDC}"/>
    <cellStyle name="Normal 2 9 3 2 2 2 3 2 5" xfId="37895" xr:uid="{E09E0A6F-DF34-4851-9D20-DA86FECEAF06}"/>
    <cellStyle name="Normal 2 9 3 2 2 2 3 3" xfId="37896" xr:uid="{4D030412-ECCC-4DB3-BE44-6D16AABA07EF}"/>
    <cellStyle name="Normal 2 9 3 2 2 2 3 4" xfId="37897" xr:uid="{8AE62371-CDB2-4DF5-960F-64647C133DFD}"/>
    <cellStyle name="Normal 2 9 3 2 2 2 3 5" xfId="37898" xr:uid="{B6130E39-AB20-45D9-AB94-6F697E3860DB}"/>
    <cellStyle name="Normal 2 9 3 2 2 2 3 6" xfId="37899" xr:uid="{A761A630-0E8D-4792-9194-D958F02775F6}"/>
    <cellStyle name="Normal 2 9 3 2 2 2 4" xfId="37900" xr:uid="{B92793D7-AAAD-42AB-ADEB-41760855C5BA}"/>
    <cellStyle name="Normal 2 9 3 2 2 2 4 2" xfId="37901" xr:uid="{DC7D6437-4F06-4702-8024-BBB05DCC11B4}"/>
    <cellStyle name="Normal 2 9 3 2 2 2 4 2 2" xfId="37902" xr:uid="{F1DD2B6F-A153-49E9-8394-3A36CFA52877}"/>
    <cellStyle name="Normal 2 9 3 2 2 2 4 2 3" xfId="37903" xr:uid="{E0F31FCD-895F-4803-8A3E-B30363C52278}"/>
    <cellStyle name="Normal 2 9 3 2 2 2 4 2 4" xfId="37904" xr:uid="{E90461AD-0444-4E20-93D0-30D64C5C910D}"/>
    <cellStyle name="Normal 2 9 3 2 2 2 4 2 5" xfId="37905" xr:uid="{D852E3AE-57CB-41CC-9431-E946B100E30E}"/>
    <cellStyle name="Normal 2 9 3 2 2 2 4 3" xfId="37906" xr:uid="{26F0506B-933F-4EBA-A109-B015A8297F00}"/>
    <cellStyle name="Normal 2 9 3 2 2 2 4 4" xfId="37907" xr:uid="{6898205E-56BA-4648-98AA-EBDC14CEA376}"/>
    <cellStyle name="Normal 2 9 3 2 2 2 4 5" xfId="37908" xr:uid="{74AF687C-C93D-4FBA-AE56-F2CEFA3C23C2}"/>
    <cellStyle name="Normal 2 9 3 2 2 2 4 6" xfId="37909" xr:uid="{BE5E29D3-8A4E-4719-8074-041DB2EE76EE}"/>
    <cellStyle name="Normal 2 9 3 2 2 2 5" xfId="37910" xr:uid="{747EE656-7E75-499A-84F6-D8778EE5D852}"/>
    <cellStyle name="Normal 2 9 3 2 2 2 5 2" xfId="37911" xr:uid="{B340CDA2-D18E-428C-AA13-DEEB2DB0AA8C}"/>
    <cellStyle name="Normal 2 9 3 2 2 2 5 3" xfId="37912" xr:uid="{B049694D-9FAF-4425-867C-F1F10663583E}"/>
    <cellStyle name="Normal 2 9 3 2 2 2 5 4" xfId="37913" xr:uid="{F92508EC-6ADB-48F8-B61E-017A845D7584}"/>
    <cellStyle name="Normal 2 9 3 2 2 2 5 5" xfId="37914" xr:uid="{4195759D-21D7-4929-952B-4AA8B6CABB4D}"/>
    <cellStyle name="Normal 2 9 3 2 2 2 6" xfId="37915" xr:uid="{42732B7E-154D-4B98-BE6F-EC63E6DFE68C}"/>
    <cellStyle name="Normal 2 9 3 2 2 2 6 2" xfId="37916" xr:uid="{D6E7B36E-3E2A-41D2-8E8F-0531A361C6EF}"/>
    <cellStyle name="Normal 2 9 3 2 2 2 6 3" xfId="37917" xr:uid="{0613AFCE-3593-4C01-9E2C-7BA3AEBB2D56}"/>
    <cellStyle name="Normal 2 9 3 2 2 2 6 4" xfId="37918" xr:uid="{39CD2E3D-3B30-400B-A5DD-57427DE7E76D}"/>
    <cellStyle name="Normal 2 9 3 2 2 2 6 5" xfId="37919" xr:uid="{E8377743-2AEF-4264-A20C-BA13546B484E}"/>
    <cellStyle name="Normal 2 9 3 2 2 2 7" xfId="37920" xr:uid="{F45CB1C5-783A-4DE9-9151-937E55B9BE8B}"/>
    <cellStyle name="Normal 2 9 3 2 2 2 7 2" xfId="37921" xr:uid="{7B2C0DE1-7FDA-47B0-B83A-F724CE7D8590}"/>
    <cellStyle name="Normal 2 9 3 2 2 2 7 3" xfId="37922" xr:uid="{F6A5091F-8246-408E-827D-2D5EDF84E6AE}"/>
    <cellStyle name="Normal 2 9 3 2 2 2 7 4" xfId="37923" xr:uid="{127E38B9-B35B-4CDE-8BD7-5A7D1EC2569F}"/>
    <cellStyle name="Normal 2 9 3 2 2 2 7 5" xfId="37924" xr:uid="{91074A7B-BF17-462A-84BB-12A372AB378B}"/>
    <cellStyle name="Normal 2 9 3 2 2 2 8" xfId="37925" xr:uid="{67CF2BD2-5F01-40A9-92A3-A6BC3FAC92EE}"/>
    <cellStyle name="Normal 2 9 3 2 2 2 8 2" xfId="37926" xr:uid="{EE30BDEC-6B3A-4288-A3A2-D9450C902C7F}"/>
    <cellStyle name="Normal 2 9 3 2 2 2 8 3" xfId="37927" xr:uid="{2224A472-B078-46DF-896B-FB53A2C22D7B}"/>
    <cellStyle name="Normal 2 9 3 2 2 2 8 4" xfId="37928" xr:uid="{77EF4F12-52F1-4F9D-8129-5700C9DD088F}"/>
    <cellStyle name="Normal 2 9 3 2 2 2 8 5" xfId="37929" xr:uid="{CCAF2273-2791-405D-98A8-4469C66C1B3A}"/>
    <cellStyle name="Normal 2 9 3 2 2 2 9" xfId="37930" xr:uid="{F7C36401-1BF6-46C8-BCCF-E87D454705A6}"/>
    <cellStyle name="Normal 2 9 3 2 2 3" xfId="37931" xr:uid="{67A3319C-5667-4192-AFEA-79FBB18D9480}"/>
    <cellStyle name="Normal 2 9 3 2 2 3 2" xfId="37932" xr:uid="{857A6BB6-D362-4914-BE93-2C6D0EE8EB65}"/>
    <cellStyle name="Normal 2 9 3 2 2 3 2 2" xfId="37933" xr:uid="{022DE3A0-6E8E-485A-B00A-E4C12E95EBAD}"/>
    <cellStyle name="Normal 2 9 3 2 2 3 2 3" xfId="37934" xr:uid="{CD113F33-3E91-4A66-A68D-F97C9CF44037}"/>
    <cellStyle name="Normal 2 9 3 2 2 3 2 4" xfId="37935" xr:uid="{9854C66A-E635-4940-9A2C-EAE59B15E579}"/>
    <cellStyle name="Normal 2 9 3 2 2 3 2 5" xfId="37936" xr:uid="{CA059050-1B87-4B58-B416-20411B8FA6BF}"/>
    <cellStyle name="Normal 2 9 3 2 2 3 3" xfId="37937" xr:uid="{DF467148-9B07-4A3D-97F7-D0DC846774C6}"/>
    <cellStyle name="Normal 2 9 3 2 2 3 4" xfId="37938" xr:uid="{0531C5A5-5E7C-45ED-B54B-DB00126AF718}"/>
    <cellStyle name="Normal 2 9 3 2 2 3 5" xfId="37939" xr:uid="{D14140B7-A2C8-48ED-A8BD-91F06F6E9B82}"/>
    <cellStyle name="Normal 2 9 3 2 2 3 6" xfId="37940" xr:uid="{B79DB811-DA13-4B16-839A-B83D637D1F1D}"/>
    <cellStyle name="Normal 2 9 3 2 2 4" xfId="37941" xr:uid="{A6F9FFFC-2571-4675-AF59-42471BF7E421}"/>
    <cellStyle name="Normal 2 9 3 2 2 4 2" xfId="37942" xr:uid="{AF17251E-06B1-4801-BDDA-5F62452979A0}"/>
    <cellStyle name="Normal 2 9 3 2 2 4 2 2" xfId="37943" xr:uid="{04F7E47D-BE55-482D-B46C-F713D5D7772D}"/>
    <cellStyle name="Normal 2 9 3 2 2 4 2 3" xfId="37944" xr:uid="{26DB22D9-0C9A-4447-93E9-6E3A8F8C8462}"/>
    <cellStyle name="Normal 2 9 3 2 2 4 2 4" xfId="37945" xr:uid="{ED96502E-2CC2-4375-8BCD-C8D1018571D6}"/>
    <cellStyle name="Normal 2 9 3 2 2 4 2 5" xfId="37946" xr:uid="{CD001780-B86B-4EB2-A7A2-9D157B69C19B}"/>
    <cellStyle name="Normal 2 9 3 2 2 4 3" xfId="37947" xr:uid="{D7E78EA9-E930-421F-89CC-6CC0702E4FFB}"/>
    <cellStyle name="Normal 2 9 3 2 2 4 4" xfId="37948" xr:uid="{4895EEC4-26E5-4D9D-A7A5-E83BDDA50B1A}"/>
    <cellStyle name="Normal 2 9 3 2 2 4 5" xfId="37949" xr:uid="{9BB613A1-2ADE-495B-96B1-BDF834E673EF}"/>
    <cellStyle name="Normal 2 9 3 2 2 4 6" xfId="37950" xr:uid="{BE9303C7-EB6E-4ED1-BF30-8EA3729F041C}"/>
    <cellStyle name="Normal 2 9 3 2 2 5" xfId="37951" xr:uid="{91CBC06F-D56E-45ED-89F0-882266BB7BFE}"/>
    <cellStyle name="Normal 2 9 3 2 2 5 2" xfId="37952" xr:uid="{334E803B-25C6-48C1-B264-807F11B72D51}"/>
    <cellStyle name="Normal 2 9 3 2 2 5 2 2" xfId="37953" xr:uid="{8E7274FF-8156-482A-92D8-72856D62B9F5}"/>
    <cellStyle name="Normal 2 9 3 2 2 5 2 3" xfId="37954" xr:uid="{1A74BA3B-0770-43E5-9F2C-710C7E450FE8}"/>
    <cellStyle name="Normal 2 9 3 2 2 5 2 4" xfId="37955" xr:uid="{380DFF66-471F-43F5-8231-78E62F5B1BF8}"/>
    <cellStyle name="Normal 2 9 3 2 2 5 2 5" xfId="37956" xr:uid="{AECD204B-9A21-449F-9574-BF15E0C1BADB}"/>
    <cellStyle name="Normal 2 9 3 2 2 5 3" xfId="37957" xr:uid="{8B2E7A15-AC0A-40F4-B1F9-63329F65AF39}"/>
    <cellStyle name="Normal 2 9 3 2 2 5 4" xfId="37958" xr:uid="{78D1BCAF-1ED3-45D2-835A-0CC1E2C40379}"/>
    <cellStyle name="Normal 2 9 3 2 2 5 5" xfId="37959" xr:uid="{B709A069-DF6F-4DF0-8A49-5C867A0051B5}"/>
    <cellStyle name="Normal 2 9 3 2 2 5 6" xfId="37960" xr:uid="{5E92340B-5325-4216-939D-2FDEACFA5DA1}"/>
    <cellStyle name="Normal 2 9 3 2 2 6" xfId="37961" xr:uid="{22446FD5-5D8D-499D-B464-80553A175002}"/>
    <cellStyle name="Normal 2 9 3 2 2 6 2" xfId="37962" xr:uid="{DB28A19D-E7C5-4165-BB0B-611518BAF3A4}"/>
    <cellStyle name="Normal 2 9 3 2 2 6 3" xfId="37963" xr:uid="{F7BC489B-2BFD-4C6D-B931-7D770BE49830}"/>
    <cellStyle name="Normal 2 9 3 2 2 6 4" xfId="37964" xr:uid="{28DE2670-95D8-4C73-BF76-A16A7D27B5AF}"/>
    <cellStyle name="Normal 2 9 3 2 2 6 5" xfId="37965" xr:uid="{F31A6222-B8B7-42EF-842A-2B3D6E7521C6}"/>
    <cellStyle name="Normal 2 9 3 2 2 7" xfId="37966" xr:uid="{57D2AEF5-8FCB-4EB6-9B34-3F67BEAF6163}"/>
    <cellStyle name="Normal 2 9 3 2 2 7 2" xfId="37967" xr:uid="{BC82C8A3-FC95-40D4-8B66-71579B98F100}"/>
    <cellStyle name="Normal 2 9 3 2 2 7 3" xfId="37968" xr:uid="{7859F0CE-6F9E-4BF0-8A8F-78EC760CC0DF}"/>
    <cellStyle name="Normal 2 9 3 2 2 7 4" xfId="37969" xr:uid="{0A6742E7-D051-4A2A-B6FE-F9C35E34848D}"/>
    <cellStyle name="Normal 2 9 3 2 2 7 5" xfId="37970" xr:uid="{6F6BABB4-5CF0-40DC-AC39-34C986B64826}"/>
    <cellStyle name="Normal 2 9 3 2 2 8" xfId="37971" xr:uid="{2E22B6ED-733B-453B-A5D2-CFFE519C10E8}"/>
    <cellStyle name="Normal 2 9 3 2 2 8 2" xfId="37972" xr:uid="{8DCCB4FB-2734-44D5-8A2F-9A04B21E65E2}"/>
    <cellStyle name="Normal 2 9 3 2 2 8 3" xfId="37973" xr:uid="{49472231-53BE-49E4-904A-61DEE99CBBDF}"/>
    <cellStyle name="Normal 2 9 3 2 2 8 4" xfId="37974" xr:uid="{6A23275E-8E51-4448-9804-D00DFCCA691E}"/>
    <cellStyle name="Normal 2 9 3 2 2 8 5" xfId="37975" xr:uid="{B4789D8B-6CA9-4D59-9A36-D630EE7CD7F1}"/>
    <cellStyle name="Normal 2 9 3 2 2 9" xfId="37976" xr:uid="{1B336B51-F625-401F-903A-58CD23E6111F}"/>
    <cellStyle name="Normal 2 9 3 2 2 9 2" xfId="37977" xr:uid="{629569C3-5C5F-49C5-9801-CAB99E0E05C0}"/>
    <cellStyle name="Normal 2 9 3 2 2 9 3" xfId="37978" xr:uid="{15D238DD-1FE5-403F-899F-B4155D058C47}"/>
    <cellStyle name="Normal 2 9 3 2 2 9 4" xfId="37979" xr:uid="{10EBF38F-FEF5-475D-90FA-FC655B1F838F}"/>
    <cellStyle name="Normal 2 9 3 2 2 9 5" xfId="37980" xr:uid="{527A3399-95B7-4AB1-A80B-59FC4C0875C0}"/>
    <cellStyle name="Normal 2 9 3 2 3" xfId="37981" xr:uid="{50E8B686-F02C-4919-AC26-E7DAAE9C5C84}"/>
    <cellStyle name="Normal 2 9 3 2 3 10" xfId="37982" xr:uid="{CB4D51E8-89F2-41F3-B7EF-D31FD465E36A}"/>
    <cellStyle name="Normal 2 9 3 2 3 11" xfId="37983" xr:uid="{773993CA-0036-41BE-8B29-BB833A5FF066}"/>
    <cellStyle name="Normal 2 9 3 2 3 12" xfId="37984" xr:uid="{245EEAB6-610B-4FA0-947C-4E71F0E7D781}"/>
    <cellStyle name="Normal 2 9 3 2 3 2" xfId="37985" xr:uid="{E16921C7-A763-4DE3-833E-2844F442C4D6}"/>
    <cellStyle name="Normal 2 9 3 2 3 2 2" xfId="37986" xr:uid="{EDBBA9D5-89B9-4755-9CE7-F1AEFE221244}"/>
    <cellStyle name="Normal 2 9 3 2 3 2 2 2" xfId="37987" xr:uid="{243ED618-DE31-4AA8-929A-5A66A829AB8B}"/>
    <cellStyle name="Normal 2 9 3 2 3 2 2 3" xfId="37988" xr:uid="{2620A9CF-8C9F-45E7-996E-7F5C33AF147F}"/>
    <cellStyle name="Normal 2 9 3 2 3 2 2 4" xfId="37989" xr:uid="{13839EB4-5E05-4A7A-91F2-7331DEC08449}"/>
    <cellStyle name="Normal 2 9 3 2 3 2 2 5" xfId="37990" xr:uid="{CE2A3426-52D7-4C9C-868C-7B9A5BF2DD84}"/>
    <cellStyle name="Normal 2 9 3 2 3 2 3" xfId="37991" xr:uid="{941E3256-8522-46C6-8C14-77F3399FB7A1}"/>
    <cellStyle name="Normal 2 9 3 2 3 2 4" xfId="37992" xr:uid="{8D09C6FF-A196-420F-9D5B-4A25774091E0}"/>
    <cellStyle name="Normal 2 9 3 2 3 2 5" xfId="37993" xr:uid="{275BB398-B7B9-43B6-A0C1-8F587ED29138}"/>
    <cellStyle name="Normal 2 9 3 2 3 2 6" xfId="37994" xr:uid="{FFFE9F04-57AE-47A1-A10F-2A0494A3F15F}"/>
    <cellStyle name="Normal 2 9 3 2 3 3" xfId="37995" xr:uid="{C4481DC3-7DA6-4904-9130-01E42DFA4433}"/>
    <cellStyle name="Normal 2 9 3 2 3 3 2" xfId="37996" xr:uid="{C6B4E18B-76FF-423B-9AB4-7A4E18FFCCFF}"/>
    <cellStyle name="Normal 2 9 3 2 3 3 2 2" xfId="37997" xr:uid="{CD50D483-B533-4B38-B5AE-1FC0BD1AEB77}"/>
    <cellStyle name="Normal 2 9 3 2 3 3 2 3" xfId="37998" xr:uid="{63020DF9-1038-4788-AED9-F8C51D4502CF}"/>
    <cellStyle name="Normal 2 9 3 2 3 3 2 4" xfId="37999" xr:uid="{F8513E90-A7D6-41E3-B738-2D3CE50722AE}"/>
    <cellStyle name="Normal 2 9 3 2 3 3 2 5" xfId="38000" xr:uid="{B498A774-FFC3-432C-870B-45C0C2DFAC3B}"/>
    <cellStyle name="Normal 2 9 3 2 3 3 3" xfId="38001" xr:uid="{BC80711E-880D-4FE6-8178-0E5D7CD9BF86}"/>
    <cellStyle name="Normal 2 9 3 2 3 3 4" xfId="38002" xr:uid="{AA00EAEC-7DAE-444B-A06F-6D405143CEAC}"/>
    <cellStyle name="Normal 2 9 3 2 3 3 5" xfId="38003" xr:uid="{5E58B75C-DCEF-4BCA-81FC-B629DE9CE42F}"/>
    <cellStyle name="Normal 2 9 3 2 3 3 6" xfId="38004" xr:uid="{C04888E8-5C61-4D23-BCEA-A5D9CE26E1B9}"/>
    <cellStyle name="Normal 2 9 3 2 3 4" xfId="38005" xr:uid="{CBAB3095-6D94-49CF-BF54-F0AC620C9D75}"/>
    <cellStyle name="Normal 2 9 3 2 3 4 2" xfId="38006" xr:uid="{6212EADA-D6F4-4D4D-B0E6-A02B1A113D64}"/>
    <cellStyle name="Normal 2 9 3 2 3 4 2 2" xfId="38007" xr:uid="{47236CF4-062A-4952-8C3A-179CE1982BB7}"/>
    <cellStyle name="Normal 2 9 3 2 3 4 2 3" xfId="38008" xr:uid="{84E2AFB3-E544-4A27-9C2F-51FA8F496192}"/>
    <cellStyle name="Normal 2 9 3 2 3 4 2 4" xfId="38009" xr:uid="{8B66E1A1-5DE2-4E15-AB9D-30F5663EE32E}"/>
    <cellStyle name="Normal 2 9 3 2 3 4 2 5" xfId="38010" xr:uid="{42D63775-6F6F-4961-BB38-416A87F02D1F}"/>
    <cellStyle name="Normal 2 9 3 2 3 4 3" xfId="38011" xr:uid="{1AA239D4-531A-4317-8520-9F689EB67375}"/>
    <cellStyle name="Normal 2 9 3 2 3 4 4" xfId="38012" xr:uid="{38B9E610-2ADF-4684-8DE2-C327CA97D957}"/>
    <cellStyle name="Normal 2 9 3 2 3 4 5" xfId="38013" xr:uid="{BF0E5A13-99D7-4D32-9E81-E2142EBA7A96}"/>
    <cellStyle name="Normal 2 9 3 2 3 4 6" xfId="38014" xr:uid="{7474574D-7EF0-4BE6-8239-5DF82038ECF7}"/>
    <cellStyle name="Normal 2 9 3 2 3 5" xfId="38015" xr:uid="{816A0006-DAB9-49C4-B67C-072A7D4C0D75}"/>
    <cellStyle name="Normal 2 9 3 2 3 5 2" xfId="38016" xr:uid="{B95FC9FE-000A-4D8A-81B3-852DD8152D5B}"/>
    <cellStyle name="Normal 2 9 3 2 3 5 3" xfId="38017" xr:uid="{F66410F5-C30C-4EE5-85C7-174EA3F8BBC4}"/>
    <cellStyle name="Normal 2 9 3 2 3 5 4" xfId="38018" xr:uid="{F7A2FEF0-1D5D-454C-A277-2DB7A4BA85B3}"/>
    <cellStyle name="Normal 2 9 3 2 3 5 5" xfId="38019" xr:uid="{F383F187-0B32-4032-90EB-916A07FBDF3D}"/>
    <cellStyle name="Normal 2 9 3 2 3 6" xfId="38020" xr:uid="{1E0FC811-F587-40E1-99D4-BA2B5B9541D5}"/>
    <cellStyle name="Normal 2 9 3 2 3 6 2" xfId="38021" xr:uid="{215A01C9-660E-4B89-8B34-D146EB375AAE}"/>
    <cellStyle name="Normal 2 9 3 2 3 6 3" xfId="38022" xr:uid="{92B1FDC8-01DB-40EB-8C1B-4E7DB58FC17F}"/>
    <cellStyle name="Normal 2 9 3 2 3 6 4" xfId="38023" xr:uid="{47F6DFCC-1C0A-4B6D-97A4-F0C6F175474D}"/>
    <cellStyle name="Normal 2 9 3 2 3 6 5" xfId="38024" xr:uid="{A70E036F-2B72-405B-9A0A-075A7C305D54}"/>
    <cellStyle name="Normal 2 9 3 2 3 7" xfId="38025" xr:uid="{207209CA-ED26-4062-AE00-928043D8BE36}"/>
    <cellStyle name="Normal 2 9 3 2 3 7 2" xfId="38026" xr:uid="{8FAC23EE-965F-41F4-8B3F-C484B52D2E1D}"/>
    <cellStyle name="Normal 2 9 3 2 3 7 3" xfId="38027" xr:uid="{821F995D-1293-489F-90C9-D77419F5A5AA}"/>
    <cellStyle name="Normal 2 9 3 2 3 7 4" xfId="38028" xr:uid="{6A99A0E9-1C79-4D7A-AAA7-14C01E2BC1BA}"/>
    <cellStyle name="Normal 2 9 3 2 3 7 5" xfId="38029" xr:uid="{D45F9CD3-1DC6-478F-8D67-339AEC50B380}"/>
    <cellStyle name="Normal 2 9 3 2 3 8" xfId="38030" xr:uid="{9DD43DA1-21C4-48F2-A0C4-832CE404BB33}"/>
    <cellStyle name="Normal 2 9 3 2 3 8 2" xfId="38031" xr:uid="{B8319E3B-E27B-423D-A97E-F4E1E067964D}"/>
    <cellStyle name="Normal 2 9 3 2 3 8 3" xfId="38032" xr:uid="{78530EFB-21C3-4B62-AE01-3896EA47E55F}"/>
    <cellStyle name="Normal 2 9 3 2 3 8 4" xfId="38033" xr:uid="{8623D0EB-CF72-419A-B92A-D4074CBC453C}"/>
    <cellStyle name="Normal 2 9 3 2 3 8 5" xfId="38034" xr:uid="{F0087154-2DD2-496E-BE60-B8768952E034}"/>
    <cellStyle name="Normal 2 9 3 2 3 9" xfId="38035" xr:uid="{8C77F502-AFB5-4B7E-9DCF-299B87C96C02}"/>
    <cellStyle name="Normal 2 9 3 2 4" xfId="38036" xr:uid="{A723B8B6-FDF7-41C2-A41A-C5C862368187}"/>
    <cellStyle name="Normal 2 9 3 2 4 2" xfId="38037" xr:uid="{ABCFE13A-52E0-4A0A-B59F-940E10C91056}"/>
    <cellStyle name="Normal 2 9 3 2 4 2 2" xfId="38038" xr:uid="{0EC0C437-91BF-4F3C-B275-62499C89301E}"/>
    <cellStyle name="Normal 2 9 3 2 4 2 3" xfId="38039" xr:uid="{696B9B6A-AAEA-4844-859C-D0F9898F83C0}"/>
    <cellStyle name="Normal 2 9 3 2 4 2 4" xfId="38040" xr:uid="{629677FF-58C0-4402-9719-78C5C5F4E307}"/>
    <cellStyle name="Normal 2 9 3 2 4 2 5" xfId="38041" xr:uid="{A2A5048B-6658-4B81-A20F-58585636D554}"/>
    <cellStyle name="Normal 2 9 3 2 4 3" xfId="38042" xr:uid="{D2BEC12B-D7C7-4E53-954F-2AF0D2D5049C}"/>
    <cellStyle name="Normal 2 9 3 2 4 4" xfId="38043" xr:uid="{B1D89EEE-E984-49E8-8601-9CE9A4F76225}"/>
    <cellStyle name="Normal 2 9 3 2 4 5" xfId="38044" xr:uid="{BF54FC71-D628-42F8-B771-952CBF9F1272}"/>
    <cellStyle name="Normal 2 9 3 2 4 6" xfId="38045" xr:uid="{6345FE75-DB3C-4D7F-ACF6-6F138D18547F}"/>
    <cellStyle name="Normal 2 9 3 2 5" xfId="38046" xr:uid="{72DC2BB9-F75F-4E0E-BEE9-964C84C4DBF2}"/>
    <cellStyle name="Normal 2 9 3 2 5 2" xfId="38047" xr:uid="{4FCE9A6E-ABD7-46D2-8970-1DE7A7612C94}"/>
    <cellStyle name="Normal 2 9 3 2 5 2 2" xfId="38048" xr:uid="{099F6AC2-DB3D-42D4-BC4D-EEDC7382BC19}"/>
    <cellStyle name="Normal 2 9 3 2 5 2 3" xfId="38049" xr:uid="{47D8D707-2BD1-46F2-BB44-D2EB6D31540E}"/>
    <cellStyle name="Normal 2 9 3 2 5 2 4" xfId="38050" xr:uid="{8FB62AD5-A888-4799-8AA3-A2C3A2C5DFFD}"/>
    <cellStyle name="Normal 2 9 3 2 5 2 5" xfId="38051" xr:uid="{72C341B0-6333-48A0-8743-F76C73B287D1}"/>
    <cellStyle name="Normal 2 9 3 2 5 3" xfId="38052" xr:uid="{8D2C7E7C-A488-49BE-82C7-2C38E3C21480}"/>
    <cellStyle name="Normal 2 9 3 2 5 4" xfId="38053" xr:uid="{A8DA2664-3AB8-4AA2-820B-3D2D1E69DA0E}"/>
    <cellStyle name="Normal 2 9 3 2 5 5" xfId="38054" xr:uid="{85A4F14A-AC9B-4667-AAFC-1557550759BF}"/>
    <cellStyle name="Normal 2 9 3 2 5 6" xfId="38055" xr:uid="{C8882C97-49A8-4199-BCAA-B2CF5638F74B}"/>
    <cellStyle name="Normal 2 9 3 2 6" xfId="38056" xr:uid="{A08E6541-85FE-4533-A50F-70317D4E71F5}"/>
    <cellStyle name="Normal 2 9 3 2 6 2" xfId="38057" xr:uid="{D96A47D3-AA30-4238-B4B3-F1572DBCE0B7}"/>
    <cellStyle name="Normal 2 9 3 2 6 2 2" xfId="38058" xr:uid="{171F6154-2211-4A0F-A62E-371C23E97739}"/>
    <cellStyle name="Normal 2 9 3 2 6 2 3" xfId="38059" xr:uid="{6A44148A-627E-47EC-B71E-235A4C0CE99E}"/>
    <cellStyle name="Normal 2 9 3 2 6 2 4" xfId="38060" xr:uid="{F72F69B9-4833-45F0-8DDB-4AEB88CC8559}"/>
    <cellStyle name="Normal 2 9 3 2 6 2 5" xfId="38061" xr:uid="{0C53414B-AE16-49B2-A972-0C2F31478488}"/>
    <cellStyle name="Normal 2 9 3 2 6 3" xfId="38062" xr:uid="{34D2B76D-5C61-4FB2-BBAC-68337D571459}"/>
    <cellStyle name="Normal 2 9 3 2 6 4" xfId="38063" xr:uid="{5A8AA4A1-DD1F-4043-AA04-9E3294D01012}"/>
    <cellStyle name="Normal 2 9 3 2 6 5" xfId="38064" xr:uid="{FEECB60F-64D3-4124-AA37-55A9DBA3FADB}"/>
    <cellStyle name="Normal 2 9 3 2 6 6" xfId="38065" xr:uid="{1EA42688-23EF-4E2C-9F6D-A19489582DAE}"/>
    <cellStyle name="Normal 2 9 3 2 7" xfId="38066" xr:uid="{2B5FC387-A662-4A0B-BA7C-62AE924172EA}"/>
    <cellStyle name="Normal 2 9 3 2 7 2" xfId="38067" xr:uid="{C4EC745C-31FC-4ABB-9AE5-11F9796DA480}"/>
    <cellStyle name="Normal 2 9 3 2 7 3" xfId="38068" xr:uid="{6915B435-6A1A-46CC-B6DF-F4AF1A511409}"/>
    <cellStyle name="Normal 2 9 3 2 7 4" xfId="38069" xr:uid="{1F7FF38E-3EAC-4864-844B-0A7DE0E808CB}"/>
    <cellStyle name="Normal 2 9 3 2 7 5" xfId="38070" xr:uid="{1982BFDB-6C27-4ED8-8413-5CF9E353150F}"/>
    <cellStyle name="Normal 2 9 3 2 8" xfId="38071" xr:uid="{9D3D81E1-330B-4B1E-B5BA-7A6E5EC7899D}"/>
    <cellStyle name="Normal 2 9 3 2 8 2" xfId="38072" xr:uid="{4EE5300C-496F-4C81-B094-662B0E3C0AEC}"/>
    <cellStyle name="Normal 2 9 3 2 8 3" xfId="38073" xr:uid="{75E0782B-5490-4EF7-9C93-1189BDB292F1}"/>
    <cellStyle name="Normal 2 9 3 2 8 4" xfId="38074" xr:uid="{46C5B4D4-213E-4FE7-A270-1F6AC96E79D3}"/>
    <cellStyle name="Normal 2 9 3 2 8 5" xfId="38075" xr:uid="{9E6B60B5-07B9-4AAC-B2A4-96173399FA5A}"/>
    <cellStyle name="Normal 2 9 3 2 9" xfId="38076" xr:uid="{926401DC-9FD4-4BA7-95A9-56777885653A}"/>
    <cellStyle name="Normal 2 9 3 2 9 2" xfId="38077" xr:uid="{4BE7E0B3-0B96-482A-9625-5F3D4AEC8981}"/>
    <cellStyle name="Normal 2 9 3 2 9 3" xfId="38078" xr:uid="{EE153E4B-0ABB-4C1E-AA33-071BBDA8A53F}"/>
    <cellStyle name="Normal 2 9 3 2 9 4" xfId="38079" xr:uid="{79314D46-45E2-4FA1-B269-B14FB32D8DA1}"/>
    <cellStyle name="Normal 2 9 3 2 9 5" xfId="38080" xr:uid="{D1957D53-4305-40C9-8F87-40118D5CA9FA}"/>
    <cellStyle name="Normal 2 9 3 3" xfId="38081" xr:uid="{6F244CB1-89F2-460C-9D1E-C242607240D2}"/>
    <cellStyle name="Normal 2 9 3 3 10" xfId="38082" xr:uid="{D8FB1459-5F22-431F-A7F4-30ACB5A65007}"/>
    <cellStyle name="Normal 2 9 3 3 11" xfId="38083" xr:uid="{7B871480-ADEB-457C-9C96-7B5D95E782BF}"/>
    <cellStyle name="Normal 2 9 3 3 12" xfId="38084" xr:uid="{54D7F606-2B1E-4F13-8AC3-B738107D092F}"/>
    <cellStyle name="Normal 2 9 3 3 13" xfId="38085" xr:uid="{13A4A363-0E5F-4D55-AE7E-D7167E72059C}"/>
    <cellStyle name="Normal 2 9 3 3 2" xfId="38086" xr:uid="{B30233AE-6507-4D31-936A-CEE7C207FB08}"/>
    <cellStyle name="Normal 2 9 3 3 2 10" xfId="38087" xr:uid="{609E6056-1236-4B83-81C3-C52B430B4A29}"/>
    <cellStyle name="Normal 2 9 3 3 2 11" xfId="38088" xr:uid="{C5BAD095-7628-4BA6-A3A0-EAFD78872275}"/>
    <cellStyle name="Normal 2 9 3 3 2 12" xfId="38089" xr:uid="{7C51034C-CE0A-4F4B-B1E3-126668191BA9}"/>
    <cellStyle name="Normal 2 9 3 3 2 2" xfId="38090" xr:uid="{3A7AC333-2506-4262-B03D-EB79E2798FD4}"/>
    <cellStyle name="Normal 2 9 3 3 2 2 2" xfId="38091" xr:uid="{604851BC-5082-4D47-9CF8-63409D8465CC}"/>
    <cellStyle name="Normal 2 9 3 3 2 2 2 2" xfId="38092" xr:uid="{AA839566-1BD8-44D9-B4CD-62F762DBE61D}"/>
    <cellStyle name="Normal 2 9 3 3 2 2 2 3" xfId="38093" xr:uid="{EA973CF2-6BCB-4039-A22E-E7FD6A5017E6}"/>
    <cellStyle name="Normal 2 9 3 3 2 2 2 4" xfId="38094" xr:uid="{0759AADD-2571-4D67-A01C-36E3FF351343}"/>
    <cellStyle name="Normal 2 9 3 3 2 2 2 5" xfId="38095" xr:uid="{86319F85-8BB7-4C9A-8905-25048DC29AF5}"/>
    <cellStyle name="Normal 2 9 3 3 2 2 3" xfId="38096" xr:uid="{EFCDE1B2-7086-4E02-B54D-2030419543A8}"/>
    <cellStyle name="Normal 2 9 3 3 2 2 4" xfId="38097" xr:uid="{7BB97EA7-395A-44C6-A468-02708100B5E5}"/>
    <cellStyle name="Normal 2 9 3 3 2 2 5" xfId="38098" xr:uid="{94066041-ED69-4E95-8841-928E139F0623}"/>
    <cellStyle name="Normal 2 9 3 3 2 2 6" xfId="38099" xr:uid="{32A5735A-C7D2-4237-A5E8-4D07F558D920}"/>
    <cellStyle name="Normal 2 9 3 3 2 3" xfId="38100" xr:uid="{D856E997-57EF-4DC2-A349-C8DF83DEC230}"/>
    <cellStyle name="Normal 2 9 3 3 2 3 2" xfId="38101" xr:uid="{C4207DFC-1F01-475B-9A93-7CB01595295A}"/>
    <cellStyle name="Normal 2 9 3 3 2 3 2 2" xfId="38102" xr:uid="{900CFFB3-9E88-4913-8C96-F576BCCC8215}"/>
    <cellStyle name="Normal 2 9 3 3 2 3 2 3" xfId="38103" xr:uid="{88127280-7077-49F7-979D-FFF0F0A19DE4}"/>
    <cellStyle name="Normal 2 9 3 3 2 3 2 4" xfId="38104" xr:uid="{86D9CBBB-0F04-4F6E-A701-4C91FB9E0D77}"/>
    <cellStyle name="Normal 2 9 3 3 2 3 2 5" xfId="38105" xr:uid="{9AA7A16F-7B72-4360-89B0-0BE80A24CB37}"/>
    <cellStyle name="Normal 2 9 3 3 2 3 3" xfId="38106" xr:uid="{F9D158E5-2E22-4EB3-A659-4A540FA5FA83}"/>
    <cellStyle name="Normal 2 9 3 3 2 3 4" xfId="38107" xr:uid="{35C7CAD1-AFA3-406D-A185-0D6299CD8F9F}"/>
    <cellStyle name="Normal 2 9 3 3 2 3 5" xfId="38108" xr:uid="{ED75043E-3FF8-4F2A-8C94-722CE0A169AB}"/>
    <cellStyle name="Normal 2 9 3 3 2 3 6" xfId="38109" xr:uid="{B68927E4-08B8-4778-9107-DC9201A529E4}"/>
    <cellStyle name="Normal 2 9 3 3 2 4" xfId="38110" xr:uid="{3DF2AAEA-C292-4A3F-8B11-11B5C07F2DD8}"/>
    <cellStyle name="Normal 2 9 3 3 2 4 2" xfId="38111" xr:uid="{C2B40A1A-E6DD-4DDA-B7AE-6CBD4C92D9DD}"/>
    <cellStyle name="Normal 2 9 3 3 2 4 2 2" xfId="38112" xr:uid="{6CF99C1F-E3FB-4758-9F12-555C0C50306A}"/>
    <cellStyle name="Normal 2 9 3 3 2 4 2 3" xfId="38113" xr:uid="{E1F6CCFB-2983-47B0-B802-73B058162E57}"/>
    <cellStyle name="Normal 2 9 3 3 2 4 2 4" xfId="38114" xr:uid="{944CED7A-4E43-47F9-B379-6A0E80B94883}"/>
    <cellStyle name="Normal 2 9 3 3 2 4 2 5" xfId="38115" xr:uid="{C3701553-96DD-469B-AE8F-C4620747BD0F}"/>
    <cellStyle name="Normal 2 9 3 3 2 4 3" xfId="38116" xr:uid="{BB8CDCD7-2A12-4866-BF85-4AD6185E8CDB}"/>
    <cellStyle name="Normal 2 9 3 3 2 4 4" xfId="38117" xr:uid="{348A9812-304C-468F-9AEB-66AE2E63596F}"/>
    <cellStyle name="Normal 2 9 3 3 2 4 5" xfId="38118" xr:uid="{67554B40-90E9-4404-B27E-2061A082199D}"/>
    <cellStyle name="Normal 2 9 3 3 2 4 6" xfId="38119" xr:uid="{098EA519-B841-41C4-9448-EA89E7C86365}"/>
    <cellStyle name="Normal 2 9 3 3 2 5" xfId="38120" xr:uid="{AC005C2A-AC80-4297-AC92-0D469A242B20}"/>
    <cellStyle name="Normal 2 9 3 3 2 5 2" xfId="38121" xr:uid="{CDB1CBDB-317E-4514-83F4-638BE555CE66}"/>
    <cellStyle name="Normal 2 9 3 3 2 5 3" xfId="38122" xr:uid="{66C1729E-2D75-4DD7-8868-93A6BFDE7905}"/>
    <cellStyle name="Normal 2 9 3 3 2 5 4" xfId="38123" xr:uid="{D129FC2C-1F32-42C3-B8A1-5A65B53A6751}"/>
    <cellStyle name="Normal 2 9 3 3 2 5 5" xfId="38124" xr:uid="{8F6E058F-5D8A-41D6-954A-6475C952C7A6}"/>
    <cellStyle name="Normal 2 9 3 3 2 6" xfId="38125" xr:uid="{6CBCD476-EB31-4E96-A997-8B293AF73527}"/>
    <cellStyle name="Normal 2 9 3 3 2 6 2" xfId="38126" xr:uid="{65DFDFE0-F185-45B5-A528-230E2FF539E6}"/>
    <cellStyle name="Normal 2 9 3 3 2 6 3" xfId="38127" xr:uid="{75A20AB1-8708-40E4-81B2-AD4295BCD55D}"/>
    <cellStyle name="Normal 2 9 3 3 2 6 4" xfId="38128" xr:uid="{A32371DA-8155-4962-A36B-7DF90DD728F2}"/>
    <cellStyle name="Normal 2 9 3 3 2 6 5" xfId="38129" xr:uid="{8FA79912-3F2C-4525-905A-973DBA655DA5}"/>
    <cellStyle name="Normal 2 9 3 3 2 7" xfId="38130" xr:uid="{465961D2-A0C8-4F6F-9A72-4816272572C4}"/>
    <cellStyle name="Normal 2 9 3 3 2 7 2" xfId="38131" xr:uid="{414E35C7-86BE-481D-8035-6391F0E18DEC}"/>
    <cellStyle name="Normal 2 9 3 3 2 7 3" xfId="38132" xr:uid="{68CED264-DEF0-4A04-8893-FB0AE7CFE050}"/>
    <cellStyle name="Normal 2 9 3 3 2 7 4" xfId="38133" xr:uid="{E589F236-1765-40AD-953C-016853468374}"/>
    <cellStyle name="Normal 2 9 3 3 2 7 5" xfId="38134" xr:uid="{C248AC23-3D08-4861-BA22-C67C3489E635}"/>
    <cellStyle name="Normal 2 9 3 3 2 8" xfId="38135" xr:uid="{C3301AB0-BB62-425D-8BE0-6298726032BC}"/>
    <cellStyle name="Normal 2 9 3 3 2 8 2" xfId="38136" xr:uid="{9CC51FF2-3E65-4323-B807-A4E318F99464}"/>
    <cellStyle name="Normal 2 9 3 3 2 8 3" xfId="38137" xr:uid="{52600D65-30FE-4ACF-9F2D-5B92050EAB3B}"/>
    <cellStyle name="Normal 2 9 3 3 2 8 4" xfId="38138" xr:uid="{23DEB9D9-4208-47C4-AC0E-6D827B64AFD1}"/>
    <cellStyle name="Normal 2 9 3 3 2 8 5" xfId="38139" xr:uid="{F0228F7E-ECC6-4D46-8A8E-5CE43FC9AA89}"/>
    <cellStyle name="Normal 2 9 3 3 2 9" xfId="38140" xr:uid="{EF35D030-FE41-4FEB-90E5-2E6DADC354C3}"/>
    <cellStyle name="Normal 2 9 3 3 3" xfId="38141" xr:uid="{38A495E0-D426-459B-AD11-DA327D5D1703}"/>
    <cellStyle name="Normal 2 9 3 3 3 2" xfId="38142" xr:uid="{810FB28A-ABE8-4C3D-813F-3507D144B0B7}"/>
    <cellStyle name="Normal 2 9 3 3 3 2 2" xfId="38143" xr:uid="{08E61F3E-0666-4DAE-B690-F26ACB08CD1B}"/>
    <cellStyle name="Normal 2 9 3 3 3 2 3" xfId="38144" xr:uid="{5816E044-D70E-4C46-A81D-0B4D1DBE56E9}"/>
    <cellStyle name="Normal 2 9 3 3 3 2 4" xfId="38145" xr:uid="{03B07BC0-E294-4DF6-9641-6138DF2781AE}"/>
    <cellStyle name="Normal 2 9 3 3 3 2 5" xfId="38146" xr:uid="{B359BE92-C361-4078-8D3F-46A1B508E152}"/>
    <cellStyle name="Normal 2 9 3 3 3 3" xfId="38147" xr:uid="{5E8E2DE5-AC7D-4A8F-B2F5-0EC7A702851B}"/>
    <cellStyle name="Normal 2 9 3 3 3 4" xfId="38148" xr:uid="{D9CB4201-530B-4129-A103-392C3678C27F}"/>
    <cellStyle name="Normal 2 9 3 3 3 5" xfId="38149" xr:uid="{69E4211F-00F0-40CD-B9F7-0A19298B7E75}"/>
    <cellStyle name="Normal 2 9 3 3 3 6" xfId="38150" xr:uid="{0E0F7489-3F3B-4637-97FE-A44863D49A31}"/>
    <cellStyle name="Normal 2 9 3 3 4" xfId="38151" xr:uid="{EB636122-A999-40E6-BAA1-EA665032E3F0}"/>
    <cellStyle name="Normal 2 9 3 3 4 2" xfId="38152" xr:uid="{EE4A8C6E-4B57-4D4A-A5D0-0E3416DEE286}"/>
    <cellStyle name="Normal 2 9 3 3 4 2 2" xfId="38153" xr:uid="{A7B9AAAF-9DEA-46A8-A2E3-89FF323708D7}"/>
    <cellStyle name="Normal 2 9 3 3 4 2 3" xfId="38154" xr:uid="{470EFA11-014A-4865-BAE9-BD05B008F924}"/>
    <cellStyle name="Normal 2 9 3 3 4 2 4" xfId="38155" xr:uid="{338A1C2E-015B-42B0-925F-9E04CED1D359}"/>
    <cellStyle name="Normal 2 9 3 3 4 2 5" xfId="38156" xr:uid="{60430801-3216-41A5-9FEA-CF4ACC1087E3}"/>
    <cellStyle name="Normal 2 9 3 3 4 3" xfId="38157" xr:uid="{15723B61-2BAA-4ED5-9100-4D18A4A22908}"/>
    <cellStyle name="Normal 2 9 3 3 4 4" xfId="38158" xr:uid="{1EDCF23B-B082-48C8-A57B-F076C2F3A805}"/>
    <cellStyle name="Normal 2 9 3 3 4 5" xfId="38159" xr:uid="{6A52A95C-672B-4F46-BB6E-2E08F92B31EE}"/>
    <cellStyle name="Normal 2 9 3 3 4 6" xfId="38160" xr:uid="{A6FFC06B-05CC-4E86-912F-9302344E2D82}"/>
    <cellStyle name="Normal 2 9 3 3 5" xfId="38161" xr:uid="{E97BA0F8-E2B1-43E8-8BCC-7D9E43CEA54A}"/>
    <cellStyle name="Normal 2 9 3 3 5 2" xfId="38162" xr:uid="{34741631-F963-443B-8796-1B0ACE692470}"/>
    <cellStyle name="Normal 2 9 3 3 5 2 2" xfId="38163" xr:uid="{90AF97B8-42C1-4688-9A4C-ECFCF67ACD43}"/>
    <cellStyle name="Normal 2 9 3 3 5 2 3" xfId="38164" xr:uid="{8D2BB4A2-57ED-428C-BC9F-387F8C40A195}"/>
    <cellStyle name="Normal 2 9 3 3 5 2 4" xfId="38165" xr:uid="{DBB63457-45A3-4EA5-9916-959A2C2993F1}"/>
    <cellStyle name="Normal 2 9 3 3 5 2 5" xfId="38166" xr:uid="{0D771105-1EE1-4BA7-8B43-C204EEE84BD0}"/>
    <cellStyle name="Normal 2 9 3 3 5 3" xfId="38167" xr:uid="{245D3789-FE02-4F30-9C5C-817DF93E8DD5}"/>
    <cellStyle name="Normal 2 9 3 3 5 4" xfId="38168" xr:uid="{08401017-F3BF-44B4-BC44-3033DC85C34B}"/>
    <cellStyle name="Normal 2 9 3 3 5 5" xfId="38169" xr:uid="{F3BEE797-D10D-4663-BCD5-2A08269BA9F9}"/>
    <cellStyle name="Normal 2 9 3 3 5 6" xfId="38170" xr:uid="{C0370343-FAB9-42A8-B3BB-5ABAFFFF9B7B}"/>
    <cellStyle name="Normal 2 9 3 3 6" xfId="38171" xr:uid="{C61D6C08-A445-4A2D-A9B0-012EA92E0546}"/>
    <cellStyle name="Normal 2 9 3 3 6 2" xfId="38172" xr:uid="{631AA0F9-2B53-4C9D-8DC0-135A8B6FE166}"/>
    <cellStyle name="Normal 2 9 3 3 6 3" xfId="38173" xr:uid="{710AE8B7-7FC3-436D-B722-9945282A95F9}"/>
    <cellStyle name="Normal 2 9 3 3 6 4" xfId="38174" xr:uid="{A2D3A45A-19BD-46BD-B7AF-EC7B5C295547}"/>
    <cellStyle name="Normal 2 9 3 3 6 5" xfId="38175" xr:uid="{7A156AE8-B651-4EC2-9392-1C4E92421CC3}"/>
    <cellStyle name="Normal 2 9 3 3 7" xfId="38176" xr:uid="{5F5E4F64-0FF0-4BA1-B1D1-E0DA147FA0D7}"/>
    <cellStyle name="Normal 2 9 3 3 7 2" xfId="38177" xr:uid="{DAE0E57E-A84B-4D7B-B6C5-393BD2EB8C3E}"/>
    <cellStyle name="Normal 2 9 3 3 7 3" xfId="38178" xr:uid="{A2DBEFFE-1824-4AE4-8B01-3FFFD849F06C}"/>
    <cellStyle name="Normal 2 9 3 3 7 4" xfId="38179" xr:uid="{A09672FF-0D9B-4549-BBBA-5177CC6E1EE3}"/>
    <cellStyle name="Normal 2 9 3 3 7 5" xfId="38180" xr:uid="{A88883F6-E16C-4B22-91E2-0520E1C39DA4}"/>
    <cellStyle name="Normal 2 9 3 3 8" xfId="38181" xr:uid="{F8FD1509-8F1C-4D7E-BA1A-17A544B9F649}"/>
    <cellStyle name="Normal 2 9 3 3 8 2" xfId="38182" xr:uid="{ADE3E75A-E27B-4552-A550-09F3918A1BF8}"/>
    <cellStyle name="Normal 2 9 3 3 8 3" xfId="38183" xr:uid="{4CD87F46-2E39-40B7-8D44-F968BCE9F4A2}"/>
    <cellStyle name="Normal 2 9 3 3 8 4" xfId="38184" xr:uid="{3119787E-2BB6-4848-A222-093EC189117E}"/>
    <cellStyle name="Normal 2 9 3 3 8 5" xfId="38185" xr:uid="{9E8F9819-099B-4A4E-ADAD-DD74D595E708}"/>
    <cellStyle name="Normal 2 9 3 3 9" xfId="38186" xr:uid="{F188E31C-B308-447D-B5F9-4DAC4A48048B}"/>
    <cellStyle name="Normal 2 9 3 3 9 2" xfId="38187" xr:uid="{6729FD4C-CB0F-44F2-AB46-2D807B3ACBF4}"/>
    <cellStyle name="Normal 2 9 3 3 9 3" xfId="38188" xr:uid="{7A471C76-A62D-4262-A711-9F64A383B193}"/>
    <cellStyle name="Normal 2 9 3 3 9 4" xfId="38189" xr:uid="{3E89FB98-8B9F-4EF2-9764-71F98277B880}"/>
    <cellStyle name="Normal 2 9 3 3 9 5" xfId="38190" xr:uid="{9AE79673-7E22-4880-A4C0-281A7B8590E9}"/>
    <cellStyle name="Normal 2 9 3 4" xfId="38191" xr:uid="{0F7F9068-CF14-498D-A69A-1B47E46D1D3A}"/>
    <cellStyle name="Normal 2 9 3 4 10" xfId="38192" xr:uid="{6A4FE59A-911B-4F4C-84FB-6E07CE8157B7}"/>
    <cellStyle name="Normal 2 9 3 4 11" xfId="38193" xr:uid="{A987DD23-C50F-4E9F-B79A-58FD2B7C2DD4}"/>
    <cellStyle name="Normal 2 9 3 4 12" xfId="38194" xr:uid="{AABA993E-FE34-411C-9706-BF5A1A5637EF}"/>
    <cellStyle name="Normal 2 9 3 4 2" xfId="38195" xr:uid="{318E6961-7389-4FA0-95C2-76ABCA4DFB82}"/>
    <cellStyle name="Normal 2 9 3 4 2 2" xfId="38196" xr:uid="{DF04B21F-A94D-40D3-8E40-E95115F46FC9}"/>
    <cellStyle name="Normal 2 9 3 4 2 2 2" xfId="38197" xr:uid="{6A223CF1-9176-4190-B0C2-62E8C1669048}"/>
    <cellStyle name="Normal 2 9 3 4 2 2 3" xfId="38198" xr:uid="{B1FF2711-CDDE-413F-BB6A-6F4BA9159119}"/>
    <cellStyle name="Normal 2 9 3 4 2 2 4" xfId="38199" xr:uid="{000F75DE-3ED8-4744-9097-88568124649C}"/>
    <cellStyle name="Normal 2 9 3 4 2 2 5" xfId="38200" xr:uid="{1CB997C6-C459-425B-B1FE-A43618360A65}"/>
    <cellStyle name="Normal 2 9 3 4 2 3" xfId="38201" xr:uid="{8605B205-5C33-432F-ABFF-D21AAABE8483}"/>
    <cellStyle name="Normal 2 9 3 4 2 4" xfId="38202" xr:uid="{A0C7B2E5-BF6C-4B44-A7F3-EE5CFC3D91DD}"/>
    <cellStyle name="Normal 2 9 3 4 2 5" xfId="38203" xr:uid="{7B667EDF-6120-4E27-8943-B927814ADE57}"/>
    <cellStyle name="Normal 2 9 3 4 2 6" xfId="38204" xr:uid="{361D2658-AC27-41CC-84E6-C040DEAD398D}"/>
    <cellStyle name="Normal 2 9 3 4 3" xfId="38205" xr:uid="{5FCD6FFE-3C70-4C89-A112-5B10A4C9FF2D}"/>
    <cellStyle name="Normal 2 9 3 4 3 2" xfId="38206" xr:uid="{90CB9DD7-DB2C-4E84-84E4-4DBD583F772F}"/>
    <cellStyle name="Normal 2 9 3 4 3 2 2" xfId="38207" xr:uid="{37C84F28-24A9-4A56-B25C-59C217D4C5F3}"/>
    <cellStyle name="Normal 2 9 3 4 3 2 3" xfId="38208" xr:uid="{942B5193-EA89-4C84-9A95-D9A10D5D73C6}"/>
    <cellStyle name="Normal 2 9 3 4 3 2 4" xfId="38209" xr:uid="{694DF765-D202-47C4-8134-D6B96DF54E86}"/>
    <cellStyle name="Normal 2 9 3 4 3 2 5" xfId="38210" xr:uid="{A4E01B73-428E-455D-B8EC-9F0589658378}"/>
    <cellStyle name="Normal 2 9 3 4 3 3" xfId="38211" xr:uid="{F0FB5817-CF17-4EC1-955F-0FD5553A107E}"/>
    <cellStyle name="Normal 2 9 3 4 3 4" xfId="38212" xr:uid="{8DA9DDD1-2B0F-4654-8AF5-CE304EFC1E94}"/>
    <cellStyle name="Normal 2 9 3 4 3 5" xfId="38213" xr:uid="{262967B1-26DB-4BF3-9C96-805A3F210E7B}"/>
    <cellStyle name="Normal 2 9 3 4 3 6" xfId="38214" xr:uid="{E9719D36-02E2-4F77-A673-5222D093D3CE}"/>
    <cellStyle name="Normal 2 9 3 4 4" xfId="38215" xr:uid="{F080404A-91ED-457F-9A67-2582E8462CF8}"/>
    <cellStyle name="Normal 2 9 3 4 4 2" xfId="38216" xr:uid="{D065AECB-05FB-4393-9823-898128A70348}"/>
    <cellStyle name="Normal 2 9 3 4 4 2 2" xfId="38217" xr:uid="{E6625601-336D-41C8-A87B-85DD18E7A71B}"/>
    <cellStyle name="Normal 2 9 3 4 4 2 3" xfId="38218" xr:uid="{F6AB2B21-D1E1-48E6-B677-078446F481F2}"/>
    <cellStyle name="Normal 2 9 3 4 4 2 4" xfId="38219" xr:uid="{5AFD8974-43DC-4FF6-9122-0DF056DEE627}"/>
    <cellStyle name="Normal 2 9 3 4 4 2 5" xfId="38220" xr:uid="{AB3440C3-4423-42AA-9030-A3DC442F0FE6}"/>
    <cellStyle name="Normal 2 9 3 4 4 3" xfId="38221" xr:uid="{FA2EEF6C-E016-42DE-94EB-473C531034BC}"/>
    <cellStyle name="Normal 2 9 3 4 4 4" xfId="38222" xr:uid="{95ADAEEF-7775-4B14-A78B-01EB46853A8D}"/>
    <cellStyle name="Normal 2 9 3 4 4 5" xfId="38223" xr:uid="{F36967F9-23B9-486D-B544-A71A637B8CBF}"/>
    <cellStyle name="Normal 2 9 3 4 4 6" xfId="38224" xr:uid="{A4CED581-F77C-4F47-9D01-6EB2923E9742}"/>
    <cellStyle name="Normal 2 9 3 4 5" xfId="38225" xr:uid="{51D6A00F-F719-4910-A7E9-39B3FBC737A8}"/>
    <cellStyle name="Normal 2 9 3 4 5 2" xfId="38226" xr:uid="{79F7348F-CF95-4906-913F-29E7B6F5B4C5}"/>
    <cellStyle name="Normal 2 9 3 4 5 3" xfId="38227" xr:uid="{372CB6FE-4095-4257-949E-1D42C1DB6A5B}"/>
    <cellStyle name="Normal 2 9 3 4 5 4" xfId="38228" xr:uid="{A8E774A2-68AD-4639-8CA1-1712F9767BA3}"/>
    <cellStyle name="Normal 2 9 3 4 5 5" xfId="38229" xr:uid="{F4B93253-C1FC-4118-BC46-B88CAB7C2E69}"/>
    <cellStyle name="Normal 2 9 3 4 6" xfId="38230" xr:uid="{8779DCBB-0C97-4727-ABC4-AB458D9D3FF2}"/>
    <cellStyle name="Normal 2 9 3 4 6 2" xfId="38231" xr:uid="{135825D1-0C1A-4B9B-A55C-009AAE8F02A1}"/>
    <cellStyle name="Normal 2 9 3 4 6 3" xfId="38232" xr:uid="{7BFB0FA0-3319-401B-B8BF-32ED39F47FB4}"/>
    <cellStyle name="Normal 2 9 3 4 6 4" xfId="38233" xr:uid="{642194BB-B91F-4832-9635-A0FF3E36AD95}"/>
    <cellStyle name="Normal 2 9 3 4 6 5" xfId="38234" xr:uid="{75142713-7CF6-4C95-9920-208532152A57}"/>
    <cellStyle name="Normal 2 9 3 4 7" xfId="38235" xr:uid="{61BD5455-0AF2-483A-84BD-55647E0F9DBF}"/>
    <cellStyle name="Normal 2 9 3 4 7 2" xfId="38236" xr:uid="{24EAEC01-7035-453A-8365-EE2E06307B06}"/>
    <cellStyle name="Normal 2 9 3 4 7 3" xfId="38237" xr:uid="{3D1CA6DA-60BD-409E-93F0-F14C1970A0CB}"/>
    <cellStyle name="Normal 2 9 3 4 7 4" xfId="38238" xr:uid="{47AB450F-74F6-4672-98B9-4B0B826EB0E8}"/>
    <cellStyle name="Normal 2 9 3 4 7 5" xfId="38239" xr:uid="{9A767467-FB95-43B5-9C1E-E9052C7592E1}"/>
    <cellStyle name="Normal 2 9 3 4 8" xfId="38240" xr:uid="{1C3B4DD2-4337-456A-B183-7C7354709137}"/>
    <cellStyle name="Normal 2 9 3 4 8 2" xfId="38241" xr:uid="{645B4EB8-4FF8-4907-8C47-0A5C524EB5D7}"/>
    <cellStyle name="Normal 2 9 3 4 8 3" xfId="38242" xr:uid="{4044E0D8-664C-436D-AD9D-65C1472A3457}"/>
    <cellStyle name="Normal 2 9 3 4 8 4" xfId="38243" xr:uid="{150CFD5B-1D6E-4F54-A433-193D7F004D69}"/>
    <cellStyle name="Normal 2 9 3 4 8 5" xfId="38244" xr:uid="{BDB7AD55-61D7-4256-AE0E-AD76C7FC48E2}"/>
    <cellStyle name="Normal 2 9 3 4 9" xfId="38245" xr:uid="{B4611226-203C-41A4-AD6E-4A51DF513068}"/>
    <cellStyle name="Normal 2 9 3 5" xfId="38246" xr:uid="{31FCF12A-0F56-4E9E-8908-7D6C2271D3F1}"/>
    <cellStyle name="Normal 2 9 3 5 2" xfId="38247" xr:uid="{87E0664C-15C7-4F0C-AEA9-2E99EEE90F5F}"/>
    <cellStyle name="Normal 2 9 3 5 2 2" xfId="38248" xr:uid="{4B23BEDE-1B56-4099-B957-62F78E3D2F2F}"/>
    <cellStyle name="Normal 2 9 3 5 2 3" xfId="38249" xr:uid="{94E8E7F6-FE3A-4294-A73E-813C17BD8B2B}"/>
    <cellStyle name="Normal 2 9 3 5 2 4" xfId="38250" xr:uid="{11F2F799-8569-452E-8A8F-3580CAC8D648}"/>
    <cellStyle name="Normal 2 9 3 5 2 5" xfId="38251" xr:uid="{D546E08C-1841-4314-B792-A035F1C4FE20}"/>
    <cellStyle name="Normal 2 9 3 5 3" xfId="38252" xr:uid="{BD66C595-2E31-4693-BF14-BE0CDDA7C898}"/>
    <cellStyle name="Normal 2 9 3 5 4" xfId="38253" xr:uid="{9E883216-874D-4DCD-8A52-1D7BC6CE1A62}"/>
    <cellStyle name="Normal 2 9 3 5 5" xfId="38254" xr:uid="{F3BAFB78-95F7-4B27-8E96-6539A4CEBF94}"/>
    <cellStyle name="Normal 2 9 3 5 6" xfId="38255" xr:uid="{869306E1-75FA-4723-AC38-9954AE602D93}"/>
    <cellStyle name="Normal 2 9 3 6" xfId="38256" xr:uid="{808B292A-2648-469E-AD8D-8F61DC34790B}"/>
    <cellStyle name="Normal 2 9 3 6 2" xfId="38257" xr:uid="{673D1A20-DBFF-48B8-854C-E34125BF8BC4}"/>
    <cellStyle name="Normal 2 9 3 6 2 2" xfId="38258" xr:uid="{807320F2-1F7E-488B-8877-B52CB79BF5DC}"/>
    <cellStyle name="Normal 2 9 3 6 2 3" xfId="38259" xr:uid="{AA6C4ECB-0587-47D0-9C7A-2ED9013BB4E8}"/>
    <cellStyle name="Normal 2 9 3 6 2 4" xfId="38260" xr:uid="{9AB4B104-E6C8-4F65-B01F-019269FD0A9B}"/>
    <cellStyle name="Normal 2 9 3 6 2 5" xfId="38261" xr:uid="{F560CF09-A3FE-4E44-9E12-141CF57B57FD}"/>
    <cellStyle name="Normal 2 9 3 6 3" xfId="38262" xr:uid="{8F80D718-0006-4D71-B5F7-C76AD0053C2C}"/>
    <cellStyle name="Normal 2 9 3 6 4" xfId="38263" xr:uid="{A554E2A4-905B-4E73-BC0E-5F64048E1E75}"/>
    <cellStyle name="Normal 2 9 3 6 5" xfId="38264" xr:uid="{D2BFD349-0C06-4416-88B0-6FCC525FC08A}"/>
    <cellStyle name="Normal 2 9 3 6 6" xfId="38265" xr:uid="{7537F212-E3E0-43E6-90BE-0177A3301029}"/>
    <cellStyle name="Normal 2 9 3 7" xfId="38266" xr:uid="{95C70795-DAD9-4CE3-BE46-6198F35CF2CE}"/>
    <cellStyle name="Normal 2 9 3 7 2" xfId="38267" xr:uid="{AEF5C784-45E6-4CA4-805E-DC8E9B367516}"/>
    <cellStyle name="Normal 2 9 3 7 2 2" xfId="38268" xr:uid="{8518D052-560C-4302-8482-30FFD744AA6E}"/>
    <cellStyle name="Normal 2 9 3 7 2 3" xfId="38269" xr:uid="{3352DBEC-D11F-4267-81B0-A4C8D29FF03E}"/>
    <cellStyle name="Normal 2 9 3 7 2 4" xfId="38270" xr:uid="{42E8F761-B053-407C-B447-424FB056FA59}"/>
    <cellStyle name="Normal 2 9 3 7 2 5" xfId="38271" xr:uid="{1E37DE44-15F4-44A9-BE90-1638E3627C3E}"/>
    <cellStyle name="Normal 2 9 3 7 3" xfId="38272" xr:uid="{38B9D9FB-6BD7-44B9-8D30-C3CE25B3CA83}"/>
    <cellStyle name="Normal 2 9 3 7 4" xfId="38273" xr:uid="{1FD4BB90-586C-472C-8B79-DDC126B97E5E}"/>
    <cellStyle name="Normal 2 9 3 7 5" xfId="38274" xr:uid="{16425F21-8FB4-4FF0-8D2C-ABA42F104DF0}"/>
    <cellStyle name="Normal 2 9 3 7 6" xfId="38275" xr:uid="{51B03A6A-8F6D-43A9-9358-2FCC5AB02809}"/>
    <cellStyle name="Normal 2 9 3 8" xfId="38276" xr:uid="{21A7FCE4-F782-4ED6-9DE2-B778134B6401}"/>
    <cellStyle name="Normal 2 9 3 8 2" xfId="38277" xr:uid="{D0B12019-4037-4FA7-99AE-AA15B255EFB4}"/>
    <cellStyle name="Normal 2 9 3 8 3" xfId="38278" xr:uid="{B8DD10EA-C98B-4AC0-9641-4A740AC5CF0F}"/>
    <cellStyle name="Normal 2 9 3 8 4" xfId="38279" xr:uid="{B0316999-6036-4820-922F-9ABE367D9571}"/>
    <cellStyle name="Normal 2 9 3 8 5" xfId="38280" xr:uid="{84DC8F22-2A3F-40D2-A96A-A181B8EA951E}"/>
    <cellStyle name="Normal 2 9 3 9" xfId="38281" xr:uid="{5EFA5A61-6E3D-4584-9ADE-C15E7C7D6A78}"/>
    <cellStyle name="Normal 2 9 3 9 2" xfId="38282" xr:uid="{803260DE-B564-49C2-A79A-107F6CBA4199}"/>
    <cellStyle name="Normal 2 9 3 9 3" xfId="38283" xr:uid="{0B9AF5C1-C81C-48B3-A5EB-B5F23815AEBD}"/>
    <cellStyle name="Normal 2 9 3 9 4" xfId="38284" xr:uid="{8CC43A2D-1B84-48D9-9FA2-9734E518DF8C}"/>
    <cellStyle name="Normal 2 9 3 9 5" xfId="38285" xr:uid="{622B5523-EAF8-4B0C-94F8-2F5404D0B9CD}"/>
    <cellStyle name="Normal 2 9 4" xfId="38286" xr:uid="{38DF8C82-3A0A-40DA-BFB6-D9335F588B98}"/>
    <cellStyle name="Normal 2 9 4 10" xfId="38287" xr:uid="{CC210136-2AC4-42FE-A55E-51C760598F63}"/>
    <cellStyle name="Normal 2 9 4 10 2" xfId="38288" xr:uid="{2B04E87C-F15F-42C3-9E87-2F57D6E405BC}"/>
    <cellStyle name="Normal 2 9 4 10 3" xfId="38289" xr:uid="{5127BCB5-AA88-4590-A4F8-65B7107F23AB}"/>
    <cellStyle name="Normal 2 9 4 10 4" xfId="38290" xr:uid="{4D81C370-5150-484A-9EEC-7B5E2512E575}"/>
    <cellStyle name="Normal 2 9 4 10 5" xfId="38291" xr:uid="{0EF4D98D-6C50-4A4F-8E89-544F73CBA3BD}"/>
    <cellStyle name="Normal 2 9 4 11" xfId="38292" xr:uid="{309560E2-525F-4E3A-9E18-7CE712B0461C}"/>
    <cellStyle name="Normal 2 9 4 11 2" xfId="38293" xr:uid="{17C26F4C-9ECC-4283-BC1E-74C90B4846E7}"/>
    <cellStyle name="Normal 2 9 4 11 3" xfId="38294" xr:uid="{23F08E6F-6811-40C8-AB5D-D6F5BF0B571C}"/>
    <cellStyle name="Normal 2 9 4 11 4" xfId="38295" xr:uid="{CBCE1F2B-6895-48EA-A800-1A9B1D51DA6F}"/>
    <cellStyle name="Normal 2 9 4 11 5" xfId="38296" xr:uid="{1DA37D3D-A8F1-4863-A9BF-2B25E60F7D22}"/>
    <cellStyle name="Normal 2 9 4 12" xfId="38297" xr:uid="{AFAEFFA9-20CA-4E76-9817-526737907B2F}"/>
    <cellStyle name="Normal 2 9 4 13" xfId="38298" xr:uid="{AFCB05E5-71BA-48DC-BF70-A475B1E8168C}"/>
    <cellStyle name="Normal 2 9 4 14" xfId="38299" xr:uid="{DC4BF6E8-620A-4127-BBBA-B42E4DBC1A53}"/>
    <cellStyle name="Normal 2 9 4 15" xfId="38300" xr:uid="{8B16A579-83F8-4547-9B2D-B219DF9890A4}"/>
    <cellStyle name="Normal 2 9 4 2" xfId="38301" xr:uid="{3EFD0875-3A07-4D93-976A-2EC02F80B5B9}"/>
    <cellStyle name="Normal 2 9 4 2 10" xfId="38302" xr:uid="{EAB3189A-8ADB-44DA-8CBA-B13A7F726152}"/>
    <cellStyle name="Normal 2 9 4 2 10 2" xfId="38303" xr:uid="{A89AA443-12CE-4681-9FE5-01D46D436813}"/>
    <cellStyle name="Normal 2 9 4 2 10 3" xfId="38304" xr:uid="{BBA0B8F5-94FC-4417-BB71-6B58E707C520}"/>
    <cellStyle name="Normal 2 9 4 2 10 4" xfId="38305" xr:uid="{9CA3A9A2-83AA-4271-B096-09D8624F3469}"/>
    <cellStyle name="Normal 2 9 4 2 10 5" xfId="38306" xr:uid="{68410E74-7659-4B48-8053-EED01FDE086A}"/>
    <cellStyle name="Normal 2 9 4 2 11" xfId="38307" xr:uid="{94F969E8-F093-4C5D-88DF-C28C83D6043B}"/>
    <cellStyle name="Normal 2 9 4 2 12" xfId="38308" xr:uid="{14646973-CC4C-486B-BC10-9B796DFC38B8}"/>
    <cellStyle name="Normal 2 9 4 2 13" xfId="38309" xr:uid="{2C5304E1-2556-43E9-9368-D4056A6DBF5B}"/>
    <cellStyle name="Normal 2 9 4 2 14" xfId="38310" xr:uid="{BF68BEB3-4725-45B6-BACA-0B6536A3B552}"/>
    <cellStyle name="Normal 2 9 4 2 2" xfId="38311" xr:uid="{B9980909-57AB-437E-9A4B-7B9A9BF1C976}"/>
    <cellStyle name="Normal 2 9 4 2 2 10" xfId="38312" xr:uid="{5EFAAEB2-7FE5-40F0-A779-9388BF897470}"/>
    <cellStyle name="Normal 2 9 4 2 2 11" xfId="38313" xr:uid="{B75E77F5-3BDF-40A6-B411-38AA98DA3FF9}"/>
    <cellStyle name="Normal 2 9 4 2 2 12" xfId="38314" xr:uid="{3262BC7B-8A93-4AF6-B3F0-5348F37FE38F}"/>
    <cellStyle name="Normal 2 9 4 2 2 13" xfId="38315" xr:uid="{4DF97F01-7A7E-457D-B032-7EA11C5927AC}"/>
    <cellStyle name="Normal 2 9 4 2 2 2" xfId="38316" xr:uid="{A82A417D-E82F-44FD-BBA4-3F313986A712}"/>
    <cellStyle name="Normal 2 9 4 2 2 2 10" xfId="38317" xr:uid="{C949FEED-9811-4493-A35E-6586A07FB167}"/>
    <cellStyle name="Normal 2 9 4 2 2 2 11" xfId="38318" xr:uid="{CFF1BB55-77EA-45C0-AD48-A4BEF22E414E}"/>
    <cellStyle name="Normal 2 9 4 2 2 2 12" xfId="38319" xr:uid="{A38D1990-D687-4E56-AFBF-30DDFB57AA07}"/>
    <cellStyle name="Normal 2 9 4 2 2 2 2" xfId="38320" xr:uid="{6FCE8890-8A39-4679-8723-244450E33724}"/>
    <cellStyle name="Normal 2 9 4 2 2 2 2 2" xfId="38321" xr:uid="{2348827C-3E0D-4696-A916-6E739DB8479B}"/>
    <cellStyle name="Normal 2 9 4 2 2 2 2 2 2" xfId="38322" xr:uid="{B10F949A-4399-4F3E-AA9B-0EB20DEC6A0B}"/>
    <cellStyle name="Normal 2 9 4 2 2 2 2 2 3" xfId="38323" xr:uid="{B778D0B5-6644-4415-895B-5944D12FBCBE}"/>
    <cellStyle name="Normal 2 9 4 2 2 2 2 2 4" xfId="38324" xr:uid="{CD8DF4D1-44E5-42D0-AA22-778640153C87}"/>
    <cellStyle name="Normal 2 9 4 2 2 2 2 2 5" xfId="38325" xr:uid="{7B028416-F4FF-4F5B-9290-72DFA695D857}"/>
    <cellStyle name="Normal 2 9 4 2 2 2 2 3" xfId="38326" xr:uid="{0323C6E9-2AC3-4377-BEE3-EF9E3EA80403}"/>
    <cellStyle name="Normal 2 9 4 2 2 2 2 4" xfId="38327" xr:uid="{F16A9153-B6E9-45E4-A5E7-AC60EEC3796A}"/>
    <cellStyle name="Normal 2 9 4 2 2 2 2 5" xfId="38328" xr:uid="{51B9B4F3-7CC6-4430-A322-DF908DCA1FFA}"/>
    <cellStyle name="Normal 2 9 4 2 2 2 2 6" xfId="38329" xr:uid="{BE9FEDAD-474D-44E7-9981-2A42359FC21C}"/>
    <cellStyle name="Normal 2 9 4 2 2 2 3" xfId="38330" xr:uid="{98FA6764-3C97-45D3-8918-2916BCBE3228}"/>
    <cellStyle name="Normal 2 9 4 2 2 2 3 2" xfId="38331" xr:uid="{9FBA098B-134B-493B-B03C-4AEABFA65F14}"/>
    <cellStyle name="Normal 2 9 4 2 2 2 3 2 2" xfId="38332" xr:uid="{A23AC10E-9FAD-418E-A2BC-20564BFD1EC0}"/>
    <cellStyle name="Normal 2 9 4 2 2 2 3 2 3" xfId="38333" xr:uid="{E2FC2D4A-B5E3-45E3-80CF-1BB7C1A4C5BC}"/>
    <cellStyle name="Normal 2 9 4 2 2 2 3 2 4" xfId="38334" xr:uid="{23B6B87D-C249-43E9-B95E-4670BD4A370E}"/>
    <cellStyle name="Normal 2 9 4 2 2 2 3 2 5" xfId="38335" xr:uid="{4318BCB8-3B84-42A7-AD85-3BACD58069C0}"/>
    <cellStyle name="Normal 2 9 4 2 2 2 3 3" xfId="38336" xr:uid="{C86A7A7B-632A-44F1-A1B4-813E5C07B4B0}"/>
    <cellStyle name="Normal 2 9 4 2 2 2 3 4" xfId="38337" xr:uid="{4961596E-DEBA-4625-910D-65859B17983A}"/>
    <cellStyle name="Normal 2 9 4 2 2 2 3 5" xfId="38338" xr:uid="{04E2512A-4864-467A-A445-521116FE705D}"/>
    <cellStyle name="Normal 2 9 4 2 2 2 3 6" xfId="38339" xr:uid="{B2432260-68F5-4806-8734-17E0CD90EE9D}"/>
    <cellStyle name="Normal 2 9 4 2 2 2 4" xfId="38340" xr:uid="{D6D1BB96-AEF0-45EF-AFFA-5954F9D0E59E}"/>
    <cellStyle name="Normal 2 9 4 2 2 2 4 2" xfId="38341" xr:uid="{5157B3F8-3E81-4D49-8585-1DF560A0C4B5}"/>
    <cellStyle name="Normal 2 9 4 2 2 2 4 2 2" xfId="38342" xr:uid="{20DFC5B4-FDF5-4585-966C-7343A03D4A68}"/>
    <cellStyle name="Normal 2 9 4 2 2 2 4 2 3" xfId="38343" xr:uid="{550953A0-A6D3-4CA9-ADB7-E61E54008A45}"/>
    <cellStyle name="Normal 2 9 4 2 2 2 4 2 4" xfId="38344" xr:uid="{3ABFBC52-5073-4090-87C4-047069DA2E8E}"/>
    <cellStyle name="Normal 2 9 4 2 2 2 4 2 5" xfId="38345" xr:uid="{B300C686-DFD1-4B03-A5C9-3B0CC8EF7921}"/>
    <cellStyle name="Normal 2 9 4 2 2 2 4 3" xfId="38346" xr:uid="{7D9D596C-A03E-44E6-BD74-DB267E0AFA4F}"/>
    <cellStyle name="Normal 2 9 4 2 2 2 4 4" xfId="38347" xr:uid="{11F8A2C1-A9B2-45B3-AF55-DB1BCF5C83C2}"/>
    <cellStyle name="Normal 2 9 4 2 2 2 4 5" xfId="38348" xr:uid="{5E60985C-ECF9-485D-AECB-7A29E8830AE3}"/>
    <cellStyle name="Normal 2 9 4 2 2 2 4 6" xfId="38349" xr:uid="{C71DE7CD-EAD1-4360-BC58-88057521B8EC}"/>
    <cellStyle name="Normal 2 9 4 2 2 2 5" xfId="38350" xr:uid="{6F9F26AA-2448-4B15-B463-F326D45CE809}"/>
    <cellStyle name="Normal 2 9 4 2 2 2 5 2" xfId="38351" xr:uid="{83E930FD-5CBA-4F95-A06A-5EBC3B9C3AC4}"/>
    <cellStyle name="Normal 2 9 4 2 2 2 5 3" xfId="38352" xr:uid="{B78A0415-0912-4BA9-84CD-C35189B11ADF}"/>
    <cellStyle name="Normal 2 9 4 2 2 2 5 4" xfId="38353" xr:uid="{711FEE4F-C538-4EF0-AD6C-9A45D2EF6F67}"/>
    <cellStyle name="Normal 2 9 4 2 2 2 5 5" xfId="38354" xr:uid="{C2EF0FE1-6F2A-4ACA-83E2-1EA7F15A04BB}"/>
    <cellStyle name="Normal 2 9 4 2 2 2 6" xfId="38355" xr:uid="{0896A883-EA3F-4D88-AF89-B937390875C8}"/>
    <cellStyle name="Normal 2 9 4 2 2 2 6 2" xfId="38356" xr:uid="{AB7663AE-9C7D-45A2-B0E1-E6512CBE5BE2}"/>
    <cellStyle name="Normal 2 9 4 2 2 2 6 3" xfId="38357" xr:uid="{A4E3F9AD-5E91-4B29-9E27-F7371F6120AC}"/>
    <cellStyle name="Normal 2 9 4 2 2 2 6 4" xfId="38358" xr:uid="{25C0A05C-D542-42F6-934A-A8A70EC0E7B8}"/>
    <cellStyle name="Normal 2 9 4 2 2 2 6 5" xfId="38359" xr:uid="{EA3C9A2F-F3C6-413F-B8DE-20075F6A0109}"/>
    <cellStyle name="Normal 2 9 4 2 2 2 7" xfId="38360" xr:uid="{14F67C7A-3B65-40D4-BEA1-992BB388FF8C}"/>
    <cellStyle name="Normal 2 9 4 2 2 2 7 2" xfId="38361" xr:uid="{E76A8EF1-45C2-43FC-96FF-186A44C675B5}"/>
    <cellStyle name="Normal 2 9 4 2 2 2 7 3" xfId="38362" xr:uid="{1D187915-9687-4AFB-B00B-389B49610CA9}"/>
    <cellStyle name="Normal 2 9 4 2 2 2 7 4" xfId="38363" xr:uid="{3AB7E885-E79F-4509-A1B4-AEA110FCBF3F}"/>
    <cellStyle name="Normal 2 9 4 2 2 2 7 5" xfId="38364" xr:uid="{7DDC5018-0A5F-470A-948B-8E40326A2904}"/>
    <cellStyle name="Normal 2 9 4 2 2 2 8" xfId="38365" xr:uid="{3B95D341-A4A9-420C-88BE-497EEF28D824}"/>
    <cellStyle name="Normal 2 9 4 2 2 2 8 2" xfId="38366" xr:uid="{8B43CC09-2AEE-4166-B1FD-6EA28C90B0EE}"/>
    <cellStyle name="Normal 2 9 4 2 2 2 8 3" xfId="38367" xr:uid="{095BF921-E398-4BA1-AC34-BF6D681E531F}"/>
    <cellStyle name="Normal 2 9 4 2 2 2 8 4" xfId="38368" xr:uid="{71D0AE84-1F84-41C2-AAF0-1D03F172FEFD}"/>
    <cellStyle name="Normal 2 9 4 2 2 2 8 5" xfId="38369" xr:uid="{FBD583B3-BD81-43B4-BE33-9CEE65376FE7}"/>
    <cellStyle name="Normal 2 9 4 2 2 2 9" xfId="38370" xr:uid="{14F497BD-92F5-40DE-BE10-B955F30B886C}"/>
    <cellStyle name="Normal 2 9 4 2 2 3" xfId="38371" xr:uid="{16763BF9-244C-4AA8-B0CA-16BEE2047B79}"/>
    <cellStyle name="Normal 2 9 4 2 2 3 2" xfId="38372" xr:uid="{1CC65595-4AE7-4ED4-8976-BF5C365F24A1}"/>
    <cellStyle name="Normal 2 9 4 2 2 3 2 2" xfId="38373" xr:uid="{60FEBE36-2000-493B-86A7-9A9BD71A2D90}"/>
    <cellStyle name="Normal 2 9 4 2 2 3 2 3" xfId="38374" xr:uid="{6FAF51C4-25E8-497C-B710-3B1B25250BEA}"/>
    <cellStyle name="Normal 2 9 4 2 2 3 2 4" xfId="38375" xr:uid="{4B430D1A-9DE5-4EDA-AEDD-BC91C5AD6976}"/>
    <cellStyle name="Normal 2 9 4 2 2 3 2 5" xfId="38376" xr:uid="{28E599B8-80D8-4948-8BE8-BD2B0DDD0C4C}"/>
    <cellStyle name="Normal 2 9 4 2 2 3 3" xfId="38377" xr:uid="{7A92BF53-2B0B-4130-9519-D6759720A0AB}"/>
    <cellStyle name="Normal 2 9 4 2 2 3 4" xfId="38378" xr:uid="{AA544D15-5DF5-48C0-9F2C-116719753D96}"/>
    <cellStyle name="Normal 2 9 4 2 2 3 5" xfId="38379" xr:uid="{2E343635-AAFD-4188-AB05-C7AEB6106234}"/>
    <cellStyle name="Normal 2 9 4 2 2 3 6" xfId="38380" xr:uid="{A9EEBEEE-9DE1-4669-BCB8-1FA2248DE15F}"/>
    <cellStyle name="Normal 2 9 4 2 2 4" xfId="38381" xr:uid="{CF605572-6609-48BC-AC22-0DC3160AA1B6}"/>
    <cellStyle name="Normal 2 9 4 2 2 4 2" xfId="38382" xr:uid="{EB5ACD94-629A-4ECF-AE7A-DECF643942B7}"/>
    <cellStyle name="Normal 2 9 4 2 2 4 2 2" xfId="38383" xr:uid="{FF81A3FC-2D75-4DB5-A854-6DD8BCD9C827}"/>
    <cellStyle name="Normal 2 9 4 2 2 4 2 3" xfId="38384" xr:uid="{DAD98E93-C5E4-4FE6-A793-E7D30750DEA7}"/>
    <cellStyle name="Normal 2 9 4 2 2 4 2 4" xfId="38385" xr:uid="{0DBE1DC6-FBC5-45B5-BC4E-3E1C72BEA796}"/>
    <cellStyle name="Normal 2 9 4 2 2 4 2 5" xfId="38386" xr:uid="{1BE16ABB-05E5-471B-94D3-CA3D439AF18E}"/>
    <cellStyle name="Normal 2 9 4 2 2 4 3" xfId="38387" xr:uid="{02DA8BF6-CAF4-4F98-975B-0428C9984D5B}"/>
    <cellStyle name="Normal 2 9 4 2 2 4 4" xfId="38388" xr:uid="{6F1CE90F-57BF-4BB4-93E2-43514F9BBF5F}"/>
    <cellStyle name="Normal 2 9 4 2 2 4 5" xfId="38389" xr:uid="{2887AB64-CED1-4B72-A1C7-8A05122A1E95}"/>
    <cellStyle name="Normal 2 9 4 2 2 4 6" xfId="38390" xr:uid="{9F4BE7D3-F317-494E-A494-16F0F8463E94}"/>
    <cellStyle name="Normal 2 9 4 2 2 5" xfId="38391" xr:uid="{1DC77BEB-0444-47AC-86EB-3B42090D5A67}"/>
    <cellStyle name="Normal 2 9 4 2 2 5 2" xfId="38392" xr:uid="{10617946-8F3F-48E6-91B4-264DCF8C8175}"/>
    <cellStyle name="Normal 2 9 4 2 2 5 2 2" xfId="38393" xr:uid="{9ED64E91-83E8-468F-A534-44CB12C06277}"/>
    <cellStyle name="Normal 2 9 4 2 2 5 2 3" xfId="38394" xr:uid="{ABBA2ABB-F059-4BA7-82BC-64004BDD012C}"/>
    <cellStyle name="Normal 2 9 4 2 2 5 2 4" xfId="38395" xr:uid="{5EBECD9C-6AA8-4B2B-966C-3D408AB95A87}"/>
    <cellStyle name="Normal 2 9 4 2 2 5 2 5" xfId="38396" xr:uid="{EC3C6A5C-50EA-4276-A908-0E6B2953741B}"/>
    <cellStyle name="Normal 2 9 4 2 2 5 3" xfId="38397" xr:uid="{993B901D-7CA4-4707-A564-9CA6666C1E90}"/>
    <cellStyle name="Normal 2 9 4 2 2 5 4" xfId="38398" xr:uid="{FBDFEDE0-B1BF-4A6E-B193-66269DA2349F}"/>
    <cellStyle name="Normal 2 9 4 2 2 5 5" xfId="38399" xr:uid="{059AFCB8-83C2-4D89-92F8-38B544B1081F}"/>
    <cellStyle name="Normal 2 9 4 2 2 5 6" xfId="38400" xr:uid="{ED81B5E9-615A-42C4-8621-571B3A40D2A9}"/>
    <cellStyle name="Normal 2 9 4 2 2 6" xfId="38401" xr:uid="{A51D97D9-EF81-4CBF-AE5E-20C011236F50}"/>
    <cellStyle name="Normal 2 9 4 2 2 6 2" xfId="38402" xr:uid="{606AF998-0CFA-41D2-9FD2-8E7658F5BC57}"/>
    <cellStyle name="Normal 2 9 4 2 2 6 3" xfId="38403" xr:uid="{61E2C365-E9AC-436A-B28F-E026530D7A61}"/>
    <cellStyle name="Normal 2 9 4 2 2 6 4" xfId="38404" xr:uid="{0D130151-5B76-4D6E-9200-191559AB5BC4}"/>
    <cellStyle name="Normal 2 9 4 2 2 6 5" xfId="38405" xr:uid="{4BB0352D-1F0C-45E5-997F-FF704D72ECFE}"/>
    <cellStyle name="Normal 2 9 4 2 2 7" xfId="38406" xr:uid="{3D295299-930D-4E70-ADA7-C45F36C943AC}"/>
    <cellStyle name="Normal 2 9 4 2 2 7 2" xfId="38407" xr:uid="{A5F513BC-C14F-41C1-928A-C7FDF0A61B36}"/>
    <cellStyle name="Normal 2 9 4 2 2 7 3" xfId="38408" xr:uid="{066D41EF-FC6A-4102-B2D2-500812194517}"/>
    <cellStyle name="Normal 2 9 4 2 2 7 4" xfId="38409" xr:uid="{BB3D1EE2-EBE2-4A74-BBE0-749DA952D9B5}"/>
    <cellStyle name="Normal 2 9 4 2 2 7 5" xfId="38410" xr:uid="{9B44968B-89C2-49D9-A4FD-0FDED1681E69}"/>
    <cellStyle name="Normal 2 9 4 2 2 8" xfId="38411" xr:uid="{CE394C99-2D63-4BD5-B255-6CF04B7B045B}"/>
    <cellStyle name="Normal 2 9 4 2 2 8 2" xfId="38412" xr:uid="{C67986D3-7257-42FA-9BFC-C41CC31B434A}"/>
    <cellStyle name="Normal 2 9 4 2 2 8 3" xfId="38413" xr:uid="{908B2B96-85F9-4858-AB63-AFCF1131CEF6}"/>
    <cellStyle name="Normal 2 9 4 2 2 8 4" xfId="38414" xr:uid="{284ABFD1-3735-4DAF-B47C-04148A0BAB5C}"/>
    <cellStyle name="Normal 2 9 4 2 2 8 5" xfId="38415" xr:uid="{48CC1589-8298-4898-A14B-C752A6E94454}"/>
    <cellStyle name="Normal 2 9 4 2 2 9" xfId="38416" xr:uid="{89BC1C8B-3EB0-4FF9-B85F-D756DEB7CC98}"/>
    <cellStyle name="Normal 2 9 4 2 2 9 2" xfId="38417" xr:uid="{47461753-8060-4830-A465-9975C87B5042}"/>
    <cellStyle name="Normal 2 9 4 2 2 9 3" xfId="38418" xr:uid="{101A0C38-3C58-41F1-8F24-600F6758BBC5}"/>
    <cellStyle name="Normal 2 9 4 2 2 9 4" xfId="38419" xr:uid="{7B5388EE-83B2-42F6-BF2F-BF38FEE61093}"/>
    <cellStyle name="Normal 2 9 4 2 2 9 5" xfId="38420" xr:uid="{F9396B32-1671-4955-94BE-738701D2790D}"/>
    <cellStyle name="Normal 2 9 4 2 3" xfId="38421" xr:uid="{E5FC4AFB-415E-4328-8993-E4066E10DBCB}"/>
    <cellStyle name="Normal 2 9 4 2 3 10" xfId="38422" xr:uid="{80E94C90-C5D5-40D3-A706-C3211040DB35}"/>
    <cellStyle name="Normal 2 9 4 2 3 11" xfId="38423" xr:uid="{7B8C679B-5BAD-4276-96A8-77FBC40E70CC}"/>
    <cellStyle name="Normal 2 9 4 2 3 12" xfId="38424" xr:uid="{510D446B-39EE-4156-86DD-B1D6FBE61B1B}"/>
    <cellStyle name="Normal 2 9 4 2 3 2" xfId="38425" xr:uid="{DB51E758-56EF-45A0-B620-B3811A26A4BA}"/>
    <cellStyle name="Normal 2 9 4 2 3 2 2" xfId="38426" xr:uid="{6EA8FB66-28CF-4081-B987-E74E98721040}"/>
    <cellStyle name="Normal 2 9 4 2 3 2 2 2" xfId="38427" xr:uid="{0F533BF0-F069-477B-95E6-E52AC1F17733}"/>
    <cellStyle name="Normal 2 9 4 2 3 2 2 3" xfId="38428" xr:uid="{93B1EC36-0864-497E-8D47-A533DEC57E32}"/>
    <cellStyle name="Normal 2 9 4 2 3 2 2 4" xfId="38429" xr:uid="{9E984A9C-F197-40B3-AB71-411C62206E57}"/>
    <cellStyle name="Normal 2 9 4 2 3 2 2 5" xfId="38430" xr:uid="{EEBEF486-8932-4014-9E52-4544AED51037}"/>
    <cellStyle name="Normal 2 9 4 2 3 2 3" xfId="38431" xr:uid="{51E2C768-52C8-4AB8-9B9E-06B2C01F6FD4}"/>
    <cellStyle name="Normal 2 9 4 2 3 2 4" xfId="38432" xr:uid="{1222CDDA-8B76-4A07-A87B-19596BB8C790}"/>
    <cellStyle name="Normal 2 9 4 2 3 2 5" xfId="38433" xr:uid="{DC8D1D15-587E-428D-92D6-01806E968B50}"/>
    <cellStyle name="Normal 2 9 4 2 3 2 6" xfId="38434" xr:uid="{3A1EDD20-D1B5-40C4-BE60-F4BCA196B72B}"/>
    <cellStyle name="Normal 2 9 4 2 3 3" xfId="38435" xr:uid="{C5E01DB2-549F-41C7-9EDF-37CE4A1D8A17}"/>
    <cellStyle name="Normal 2 9 4 2 3 3 2" xfId="38436" xr:uid="{919754A4-E432-4850-B683-E4739DC01C80}"/>
    <cellStyle name="Normal 2 9 4 2 3 3 2 2" xfId="38437" xr:uid="{EC363278-A6A7-4549-9FB0-F0DAC3985F84}"/>
    <cellStyle name="Normal 2 9 4 2 3 3 2 3" xfId="38438" xr:uid="{F8C9B19B-66F9-4EF5-BD8F-2DD4A8E94B18}"/>
    <cellStyle name="Normal 2 9 4 2 3 3 2 4" xfId="38439" xr:uid="{8CCB2320-9B88-408F-BAAF-D750A0C54A7D}"/>
    <cellStyle name="Normal 2 9 4 2 3 3 2 5" xfId="38440" xr:uid="{8A6D7BE4-1C57-41CE-84B2-C7CF26924518}"/>
    <cellStyle name="Normal 2 9 4 2 3 3 3" xfId="38441" xr:uid="{6E64F9EA-09AE-4F1A-A086-32BCBC9F2531}"/>
    <cellStyle name="Normal 2 9 4 2 3 3 4" xfId="38442" xr:uid="{3FBA3AAE-7667-49F2-8FA9-8E88BACE61BB}"/>
    <cellStyle name="Normal 2 9 4 2 3 3 5" xfId="38443" xr:uid="{BA363B0A-F4B4-437B-9BED-88865D7BD821}"/>
    <cellStyle name="Normal 2 9 4 2 3 3 6" xfId="38444" xr:uid="{98CFD782-1C15-477F-A7FE-23B3DA8D1192}"/>
    <cellStyle name="Normal 2 9 4 2 3 4" xfId="38445" xr:uid="{957885CA-6CA8-4C98-8461-BDE8188DA389}"/>
    <cellStyle name="Normal 2 9 4 2 3 4 2" xfId="38446" xr:uid="{9290CD51-2CB3-4C98-A5DE-DD95B9B6442B}"/>
    <cellStyle name="Normal 2 9 4 2 3 4 2 2" xfId="38447" xr:uid="{B34AAA7B-F56E-4E8C-AB10-A7B4234AB288}"/>
    <cellStyle name="Normal 2 9 4 2 3 4 2 3" xfId="38448" xr:uid="{88485E55-9134-4DD3-A9BA-FF0EEB58936A}"/>
    <cellStyle name="Normal 2 9 4 2 3 4 2 4" xfId="38449" xr:uid="{ADF6C41E-3630-4333-8362-6EEB2C71EC82}"/>
    <cellStyle name="Normal 2 9 4 2 3 4 2 5" xfId="38450" xr:uid="{6E589845-9AEB-4603-B7E1-E77561E3890A}"/>
    <cellStyle name="Normal 2 9 4 2 3 4 3" xfId="38451" xr:uid="{3DD9F30A-B2D6-455B-8E4A-C3029E552ED4}"/>
    <cellStyle name="Normal 2 9 4 2 3 4 4" xfId="38452" xr:uid="{8501513D-68FE-4CCD-9392-7F44026F67FF}"/>
    <cellStyle name="Normal 2 9 4 2 3 4 5" xfId="38453" xr:uid="{773E9C99-8477-43F4-9766-E6B44804912D}"/>
    <cellStyle name="Normal 2 9 4 2 3 4 6" xfId="38454" xr:uid="{3C091F10-970D-4E5F-97E2-E727437B040A}"/>
    <cellStyle name="Normal 2 9 4 2 3 5" xfId="38455" xr:uid="{AF2AE52E-FBF8-41CA-BAD1-7052F1EF2F90}"/>
    <cellStyle name="Normal 2 9 4 2 3 5 2" xfId="38456" xr:uid="{7DCB8332-0933-4E7F-9236-D5504EFB006C}"/>
    <cellStyle name="Normal 2 9 4 2 3 5 3" xfId="38457" xr:uid="{32ACFD9A-12BE-4B1C-BB47-14F3B02BC241}"/>
    <cellStyle name="Normal 2 9 4 2 3 5 4" xfId="38458" xr:uid="{4A150535-991F-4182-847C-566F0CF57C88}"/>
    <cellStyle name="Normal 2 9 4 2 3 5 5" xfId="38459" xr:uid="{9F610CC3-42A9-4E9D-AE0E-EF1AD13112C1}"/>
    <cellStyle name="Normal 2 9 4 2 3 6" xfId="38460" xr:uid="{A2948E04-2286-472F-97C4-DA818CD04C13}"/>
    <cellStyle name="Normal 2 9 4 2 3 6 2" xfId="38461" xr:uid="{9BBADB27-1B6C-45E4-94F3-3A75B9707D71}"/>
    <cellStyle name="Normal 2 9 4 2 3 6 3" xfId="38462" xr:uid="{4CD159F4-140C-4E2A-B3A1-B83A285C9FD0}"/>
    <cellStyle name="Normal 2 9 4 2 3 6 4" xfId="38463" xr:uid="{A7293B21-6028-4BC4-8CCB-F3B3834CAF8C}"/>
    <cellStyle name="Normal 2 9 4 2 3 6 5" xfId="38464" xr:uid="{700B17F4-03C8-49FA-B6FD-57999B28C3C2}"/>
    <cellStyle name="Normal 2 9 4 2 3 7" xfId="38465" xr:uid="{339305D2-7355-499D-82FE-3ABC3C153C8C}"/>
    <cellStyle name="Normal 2 9 4 2 3 7 2" xfId="38466" xr:uid="{27853C04-5320-491F-9794-0F5C3F5313CD}"/>
    <cellStyle name="Normal 2 9 4 2 3 7 3" xfId="38467" xr:uid="{4BDAE13A-C687-4B7E-8ACD-7A02C3644194}"/>
    <cellStyle name="Normal 2 9 4 2 3 7 4" xfId="38468" xr:uid="{1F76D973-2E63-432F-8C8B-0EC6319B456C}"/>
    <cellStyle name="Normal 2 9 4 2 3 7 5" xfId="38469" xr:uid="{E2F3B109-1730-4C86-B077-DFCAC90CF9AB}"/>
    <cellStyle name="Normal 2 9 4 2 3 8" xfId="38470" xr:uid="{F80E5230-77BC-40BC-BF9C-F57B9D85C763}"/>
    <cellStyle name="Normal 2 9 4 2 3 8 2" xfId="38471" xr:uid="{BDF6FB70-0A7B-41E7-8FA8-F5EC8E2F359C}"/>
    <cellStyle name="Normal 2 9 4 2 3 8 3" xfId="38472" xr:uid="{0FB381D6-8585-4511-8216-10FF349393A6}"/>
    <cellStyle name="Normal 2 9 4 2 3 8 4" xfId="38473" xr:uid="{DDE79528-27AC-40E4-A61E-D4E391276323}"/>
    <cellStyle name="Normal 2 9 4 2 3 8 5" xfId="38474" xr:uid="{6AAA7147-7B77-46E7-9E64-68E494609C5C}"/>
    <cellStyle name="Normal 2 9 4 2 3 9" xfId="38475" xr:uid="{1647A10F-53D1-4611-B6BD-DD0B0B889C51}"/>
    <cellStyle name="Normal 2 9 4 2 4" xfId="38476" xr:uid="{97E9A975-AA61-4710-A89B-09C176EFAB9B}"/>
    <cellStyle name="Normal 2 9 4 2 4 2" xfId="38477" xr:uid="{4289FA25-97D8-4EC5-BF2F-A656BB627A2C}"/>
    <cellStyle name="Normal 2 9 4 2 4 2 2" xfId="38478" xr:uid="{91D24C87-E409-46A9-8897-BA4CB7240360}"/>
    <cellStyle name="Normal 2 9 4 2 4 2 3" xfId="38479" xr:uid="{62E1DED4-08C7-4E0C-9C95-E22CF75EFCFD}"/>
    <cellStyle name="Normal 2 9 4 2 4 2 4" xfId="38480" xr:uid="{4D6894B7-6E29-4D37-9E93-D0D8B09E688F}"/>
    <cellStyle name="Normal 2 9 4 2 4 2 5" xfId="38481" xr:uid="{6A636771-EC89-4E0F-814C-6609A6F28392}"/>
    <cellStyle name="Normal 2 9 4 2 4 3" xfId="38482" xr:uid="{51337887-E4B8-4F47-BC99-266AF8307BDA}"/>
    <cellStyle name="Normal 2 9 4 2 4 4" xfId="38483" xr:uid="{EF920372-EECA-42A6-B009-512364B7286A}"/>
    <cellStyle name="Normal 2 9 4 2 4 5" xfId="38484" xr:uid="{130731DF-490F-44C9-9BE9-A6E710447E3F}"/>
    <cellStyle name="Normal 2 9 4 2 4 6" xfId="38485" xr:uid="{6CE3D6CC-C353-4208-B827-BC18F4984ECA}"/>
    <cellStyle name="Normal 2 9 4 2 5" xfId="38486" xr:uid="{9CB00476-A6BC-4F4E-80AF-7FE1B205FC0A}"/>
    <cellStyle name="Normal 2 9 4 2 5 2" xfId="38487" xr:uid="{F263C29E-64DD-44BA-9015-BBC0902381F4}"/>
    <cellStyle name="Normal 2 9 4 2 5 2 2" xfId="38488" xr:uid="{7AA1CC3A-C8BF-4424-9C9B-DA3871F9A0DC}"/>
    <cellStyle name="Normal 2 9 4 2 5 2 3" xfId="38489" xr:uid="{707837A1-EA08-40AD-A961-ED780E0DEE12}"/>
    <cellStyle name="Normal 2 9 4 2 5 2 4" xfId="38490" xr:uid="{E3475101-8301-4204-80AE-5B0071F15940}"/>
    <cellStyle name="Normal 2 9 4 2 5 2 5" xfId="38491" xr:uid="{CB24F27E-4F67-4DA1-AAB9-5AE3FD6F2932}"/>
    <cellStyle name="Normal 2 9 4 2 5 3" xfId="38492" xr:uid="{C0856C74-17CD-4672-8B36-FB5C47EEBB76}"/>
    <cellStyle name="Normal 2 9 4 2 5 4" xfId="38493" xr:uid="{83A9A930-6A7F-496B-B75E-698CC484A1A8}"/>
    <cellStyle name="Normal 2 9 4 2 5 5" xfId="38494" xr:uid="{458EA9F7-8E2F-472F-B8C8-97CDAB8E0A50}"/>
    <cellStyle name="Normal 2 9 4 2 5 6" xfId="38495" xr:uid="{E77301E3-BC78-40A2-AC43-90A10C4369EC}"/>
    <cellStyle name="Normal 2 9 4 2 6" xfId="38496" xr:uid="{9E0A6C6F-F48E-4DFC-81E0-09E0E234381D}"/>
    <cellStyle name="Normal 2 9 4 2 6 2" xfId="38497" xr:uid="{285D072B-C541-46A2-B734-A7F6A47FC102}"/>
    <cellStyle name="Normal 2 9 4 2 6 2 2" xfId="38498" xr:uid="{FBFEBD37-67A9-400B-A5FB-F1D8369ED49F}"/>
    <cellStyle name="Normal 2 9 4 2 6 2 3" xfId="38499" xr:uid="{14DB5A3E-42C6-43C1-9BAB-03C887350CC9}"/>
    <cellStyle name="Normal 2 9 4 2 6 2 4" xfId="38500" xr:uid="{2DD386D1-85F4-445F-A83E-4C0005BFF2FA}"/>
    <cellStyle name="Normal 2 9 4 2 6 2 5" xfId="38501" xr:uid="{83BE325C-11E9-47CC-A585-688A5611A9F8}"/>
    <cellStyle name="Normal 2 9 4 2 6 3" xfId="38502" xr:uid="{912C1570-AC0D-4FF9-8083-FF9F13DAB65D}"/>
    <cellStyle name="Normal 2 9 4 2 6 4" xfId="38503" xr:uid="{4C1430E4-8BBE-4AD4-8414-7BE493DF2836}"/>
    <cellStyle name="Normal 2 9 4 2 6 5" xfId="38504" xr:uid="{768623B2-73F7-4A21-B940-A7769AE2C391}"/>
    <cellStyle name="Normal 2 9 4 2 6 6" xfId="38505" xr:uid="{A4CC1841-B9FD-487F-91F1-BD2682992966}"/>
    <cellStyle name="Normal 2 9 4 2 7" xfId="38506" xr:uid="{92FDA6A8-C096-4D58-B19F-08F5DE72D2DE}"/>
    <cellStyle name="Normal 2 9 4 2 7 2" xfId="38507" xr:uid="{8B014E6C-035F-451D-B102-8204B947AC3C}"/>
    <cellStyle name="Normal 2 9 4 2 7 3" xfId="38508" xr:uid="{8D88904A-D42D-48F8-8E8F-46F38F1837A1}"/>
    <cellStyle name="Normal 2 9 4 2 7 4" xfId="38509" xr:uid="{F1C4F4E7-8696-428B-8466-7297ABDD431D}"/>
    <cellStyle name="Normal 2 9 4 2 7 5" xfId="38510" xr:uid="{D6FF6D94-C1B0-47B0-AF6C-305D10CF0ABB}"/>
    <cellStyle name="Normal 2 9 4 2 8" xfId="38511" xr:uid="{F3DB30D2-CA11-4EF0-B9A0-8380F368D532}"/>
    <cellStyle name="Normal 2 9 4 2 8 2" xfId="38512" xr:uid="{594711FB-D381-44E4-9C68-1ABF95812C71}"/>
    <cellStyle name="Normal 2 9 4 2 8 3" xfId="38513" xr:uid="{3ECA75E3-E64E-4119-A17C-B3535FF694B3}"/>
    <cellStyle name="Normal 2 9 4 2 8 4" xfId="38514" xr:uid="{1A72EA24-8554-4526-B924-0C594966AAC5}"/>
    <cellStyle name="Normal 2 9 4 2 8 5" xfId="38515" xr:uid="{E4E24044-74CA-4AC0-9813-336134730469}"/>
    <cellStyle name="Normal 2 9 4 2 9" xfId="38516" xr:uid="{56A56AB3-5419-464F-8030-6CAD9818E9F0}"/>
    <cellStyle name="Normal 2 9 4 2 9 2" xfId="38517" xr:uid="{3F0DD854-EF84-4F97-A2B6-862E1C13B8B9}"/>
    <cellStyle name="Normal 2 9 4 2 9 3" xfId="38518" xr:uid="{32DF2AF7-9E54-462A-8C5A-82E1479164F7}"/>
    <cellStyle name="Normal 2 9 4 2 9 4" xfId="38519" xr:uid="{CBE81BFD-1B18-4E7F-BB44-8AAE6B98D159}"/>
    <cellStyle name="Normal 2 9 4 2 9 5" xfId="38520" xr:uid="{97B3476A-DA14-45F7-8417-AEB857392AAB}"/>
    <cellStyle name="Normal 2 9 4 3" xfId="38521" xr:uid="{246EE724-B84F-4052-9F6E-FE350F8C499A}"/>
    <cellStyle name="Normal 2 9 4 3 10" xfId="38522" xr:uid="{DE5F99C0-C851-470A-A563-926DF752E812}"/>
    <cellStyle name="Normal 2 9 4 3 11" xfId="38523" xr:uid="{FC8A59DC-C333-4787-BE82-04C5D633C692}"/>
    <cellStyle name="Normal 2 9 4 3 12" xfId="38524" xr:uid="{BAB88C12-8C17-4A41-A8F9-9E22068F93C2}"/>
    <cellStyle name="Normal 2 9 4 3 13" xfId="38525" xr:uid="{6275E852-7C57-4756-AE60-FDFCFD858D9E}"/>
    <cellStyle name="Normal 2 9 4 3 2" xfId="38526" xr:uid="{5AF76E0E-83E4-4335-B3F2-CAA686DF3D17}"/>
    <cellStyle name="Normal 2 9 4 3 2 10" xfId="38527" xr:uid="{D6890C44-C48A-40E5-BA3F-D05779EFCD70}"/>
    <cellStyle name="Normal 2 9 4 3 2 11" xfId="38528" xr:uid="{8DE01D0A-EC6D-4DFA-A9AA-91B7FA61EEE6}"/>
    <cellStyle name="Normal 2 9 4 3 2 12" xfId="38529" xr:uid="{41CA1720-0584-4B5E-B31D-38E3A75DE716}"/>
    <cellStyle name="Normal 2 9 4 3 2 2" xfId="38530" xr:uid="{E4789E85-5D0A-4E53-8470-BDFB62C5B6FD}"/>
    <cellStyle name="Normal 2 9 4 3 2 2 2" xfId="38531" xr:uid="{6F7E04D0-7B8F-4D6E-B936-4CB79D40DA9A}"/>
    <cellStyle name="Normal 2 9 4 3 2 2 2 2" xfId="38532" xr:uid="{8C23AF8A-850A-4E53-BA74-83811BD77C30}"/>
    <cellStyle name="Normal 2 9 4 3 2 2 2 3" xfId="38533" xr:uid="{F476C1AD-EDDE-4BCB-B84D-9F622273582B}"/>
    <cellStyle name="Normal 2 9 4 3 2 2 2 4" xfId="38534" xr:uid="{BE910C6B-5D62-4F8F-AEC0-E6389767DDF3}"/>
    <cellStyle name="Normal 2 9 4 3 2 2 2 5" xfId="38535" xr:uid="{0BAE7A56-8909-414A-9770-64BDF5987E14}"/>
    <cellStyle name="Normal 2 9 4 3 2 2 3" xfId="38536" xr:uid="{FAB79215-F4C1-4A2A-B4F8-6AF176D0ED44}"/>
    <cellStyle name="Normal 2 9 4 3 2 2 4" xfId="38537" xr:uid="{172E8A2A-B871-464F-BB40-F09DA4751F01}"/>
    <cellStyle name="Normal 2 9 4 3 2 2 5" xfId="38538" xr:uid="{E46517F2-A613-4596-BC33-FBDA5745A59B}"/>
    <cellStyle name="Normal 2 9 4 3 2 2 6" xfId="38539" xr:uid="{5AED7E8A-D05D-4180-AAA1-E953249EC97C}"/>
    <cellStyle name="Normal 2 9 4 3 2 3" xfId="38540" xr:uid="{0DDAE2DD-ABC4-47C0-AAD4-0616B5E09667}"/>
    <cellStyle name="Normal 2 9 4 3 2 3 2" xfId="38541" xr:uid="{D55050F4-9A1F-42FB-8B6C-534EA9AFD8F9}"/>
    <cellStyle name="Normal 2 9 4 3 2 3 2 2" xfId="38542" xr:uid="{B415701C-CC54-4FFC-BD88-7D20DC13EED6}"/>
    <cellStyle name="Normal 2 9 4 3 2 3 2 3" xfId="38543" xr:uid="{028EA074-F7FF-4D2F-96ED-908E40DE00A3}"/>
    <cellStyle name="Normal 2 9 4 3 2 3 2 4" xfId="38544" xr:uid="{81A0B94D-05C2-4A08-8E6F-A20D16849902}"/>
    <cellStyle name="Normal 2 9 4 3 2 3 2 5" xfId="38545" xr:uid="{8ACF0035-2302-4996-9AEA-8C8BBAB3755A}"/>
    <cellStyle name="Normal 2 9 4 3 2 3 3" xfId="38546" xr:uid="{B67F00E8-A375-4FA9-8AC0-295278D071FA}"/>
    <cellStyle name="Normal 2 9 4 3 2 3 4" xfId="38547" xr:uid="{B5587DF5-1F7F-4EB0-B088-409CD3034063}"/>
    <cellStyle name="Normal 2 9 4 3 2 3 5" xfId="38548" xr:uid="{C112CAC1-6CAB-41EA-81AD-848D04DF859C}"/>
    <cellStyle name="Normal 2 9 4 3 2 3 6" xfId="38549" xr:uid="{B704B060-A876-44A5-8880-FC94C8021397}"/>
    <cellStyle name="Normal 2 9 4 3 2 4" xfId="38550" xr:uid="{3248DEC8-1AF9-44C0-B3EE-4E5627DF3CC2}"/>
    <cellStyle name="Normal 2 9 4 3 2 4 2" xfId="38551" xr:uid="{C4C500E0-59B3-44AF-B59F-6D7143622C20}"/>
    <cellStyle name="Normal 2 9 4 3 2 4 2 2" xfId="38552" xr:uid="{AB91BC91-9C67-4E06-A37A-CFAEDFB0BD6B}"/>
    <cellStyle name="Normal 2 9 4 3 2 4 2 3" xfId="38553" xr:uid="{7969CAF3-0705-4054-AED9-1A5E44E059D8}"/>
    <cellStyle name="Normal 2 9 4 3 2 4 2 4" xfId="38554" xr:uid="{DFC22240-09FF-4F34-934F-63EDCCA4E8B7}"/>
    <cellStyle name="Normal 2 9 4 3 2 4 2 5" xfId="38555" xr:uid="{BBA269BC-38ED-48CE-8DBB-E324FC82CF76}"/>
    <cellStyle name="Normal 2 9 4 3 2 4 3" xfId="38556" xr:uid="{AF35884C-83FE-4316-A743-931E3C6778CA}"/>
    <cellStyle name="Normal 2 9 4 3 2 4 4" xfId="38557" xr:uid="{FA08C5FC-2B52-4F53-AE2A-D027DBF5CB06}"/>
    <cellStyle name="Normal 2 9 4 3 2 4 5" xfId="38558" xr:uid="{6A1FCC9E-99A8-4754-BF3E-183E32781CDF}"/>
    <cellStyle name="Normal 2 9 4 3 2 4 6" xfId="38559" xr:uid="{13CB27F0-AB68-432F-9CCF-04989A9F4310}"/>
    <cellStyle name="Normal 2 9 4 3 2 5" xfId="38560" xr:uid="{63AC1761-71B6-4F55-A6E4-DA9A2B2810DE}"/>
    <cellStyle name="Normal 2 9 4 3 2 5 2" xfId="38561" xr:uid="{DCFB459D-B26F-4784-A75F-BF6938EF5FFC}"/>
    <cellStyle name="Normal 2 9 4 3 2 5 3" xfId="38562" xr:uid="{4CDBA4DD-0614-412A-9B48-D28997CDEFE8}"/>
    <cellStyle name="Normal 2 9 4 3 2 5 4" xfId="38563" xr:uid="{3AD97948-63F9-457D-AC68-B4651C8D159C}"/>
    <cellStyle name="Normal 2 9 4 3 2 5 5" xfId="38564" xr:uid="{700BC862-D8D7-4B13-B7DC-BC26D73385E4}"/>
    <cellStyle name="Normal 2 9 4 3 2 6" xfId="38565" xr:uid="{2A4236D4-4C31-4450-B70B-F0384C7D715D}"/>
    <cellStyle name="Normal 2 9 4 3 2 6 2" xfId="38566" xr:uid="{B23F8424-279D-425D-8FF9-C3601F078EFB}"/>
    <cellStyle name="Normal 2 9 4 3 2 6 3" xfId="38567" xr:uid="{DF661A2B-AA1C-4490-B481-43A3F1E3DDCB}"/>
    <cellStyle name="Normal 2 9 4 3 2 6 4" xfId="38568" xr:uid="{E06B4233-B6CB-4B4A-A2F8-97128F02DF40}"/>
    <cellStyle name="Normal 2 9 4 3 2 6 5" xfId="38569" xr:uid="{62D0345C-36D9-40A0-8D2C-FB738059E783}"/>
    <cellStyle name="Normal 2 9 4 3 2 7" xfId="38570" xr:uid="{D39133B6-B079-4950-BC02-BDA2E166A162}"/>
    <cellStyle name="Normal 2 9 4 3 2 7 2" xfId="38571" xr:uid="{59C6D854-7E80-43CA-9596-832AD08FE66E}"/>
    <cellStyle name="Normal 2 9 4 3 2 7 3" xfId="38572" xr:uid="{65C735CC-C980-49C7-B3FE-A81CBBEF9283}"/>
    <cellStyle name="Normal 2 9 4 3 2 7 4" xfId="38573" xr:uid="{66B40F3F-F2BD-4B83-9A72-87886A5C4013}"/>
    <cellStyle name="Normal 2 9 4 3 2 7 5" xfId="38574" xr:uid="{2EC1C0DB-BDD2-45F8-88D4-33CE65431525}"/>
    <cellStyle name="Normal 2 9 4 3 2 8" xfId="38575" xr:uid="{946E8E28-D9AD-4D4D-A46C-BE906038F4B1}"/>
    <cellStyle name="Normal 2 9 4 3 2 8 2" xfId="38576" xr:uid="{E30B83F9-1A95-48CB-AE5E-D0A97175D2F4}"/>
    <cellStyle name="Normal 2 9 4 3 2 8 3" xfId="38577" xr:uid="{A3416D4E-52B6-48E9-ADF4-A25052D233F7}"/>
    <cellStyle name="Normal 2 9 4 3 2 8 4" xfId="38578" xr:uid="{E01F05D7-6F85-495F-B54B-5DCDFB953DED}"/>
    <cellStyle name="Normal 2 9 4 3 2 8 5" xfId="38579" xr:uid="{5A97366C-C544-452B-96A7-EC0BF3C997BC}"/>
    <cellStyle name="Normal 2 9 4 3 2 9" xfId="38580" xr:uid="{C0E1710A-5042-4222-836B-F531486FB159}"/>
    <cellStyle name="Normal 2 9 4 3 3" xfId="38581" xr:uid="{A30C6291-060E-4BC0-9B7C-4B4B6EBDF3F2}"/>
    <cellStyle name="Normal 2 9 4 3 3 2" xfId="38582" xr:uid="{0056683B-5E5F-4AED-AF73-169DBB2B3E0D}"/>
    <cellStyle name="Normal 2 9 4 3 3 2 2" xfId="38583" xr:uid="{6D2F9FD5-370C-4718-B734-2A8AEBDA0CB1}"/>
    <cellStyle name="Normal 2 9 4 3 3 2 3" xfId="38584" xr:uid="{20416238-A448-456F-B89C-3194B74661C1}"/>
    <cellStyle name="Normal 2 9 4 3 3 2 4" xfId="38585" xr:uid="{9EF0CC8F-4A54-4350-A8B9-797429C1755C}"/>
    <cellStyle name="Normal 2 9 4 3 3 2 5" xfId="38586" xr:uid="{3C827245-D3AE-4FC1-A62A-3E8BC205BAEA}"/>
    <cellStyle name="Normal 2 9 4 3 3 3" xfId="38587" xr:uid="{43ED30AF-BC31-4301-B78E-81BBDEBA470E}"/>
    <cellStyle name="Normal 2 9 4 3 3 4" xfId="38588" xr:uid="{D089887B-BC85-40C1-83DF-1EF80F2B2F9F}"/>
    <cellStyle name="Normal 2 9 4 3 3 5" xfId="38589" xr:uid="{622C8EB8-F027-4843-98FB-06D9B5D04270}"/>
    <cellStyle name="Normal 2 9 4 3 3 6" xfId="38590" xr:uid="{FF52C756-4132-4B5F-9773-FB74DA2C3B3C}"/>
    <cellStyle name="Normal 2 9 4 3 4" xfId="38591" xr:uid="{04B2A5B8-98C9-4EC0-9ACA-A2A20714C603}"/>
    <cellStyle name="Normal 2 9 4 3 4 2" xfId="38592" xr:uid="{977D7F5D-9368-40B7-89DF-62B3113963DA}"/>
    <cellStyle name="Normal 2 9 4 3 4 2 2" xfId="38593" xr:uid="{17BFF733-EFCD-489A-BE0B-C4D7A90502C4}"/>
    <cellStyle name="Normal 2 9 4 3 4 2 3" xfId="38594" xr:uid="{BE990C9A-5F1B-461B-AB95-706DF34D5E7E}"/>
    <cellStyle name="Normal 2 9 4 3 4 2 4" xfId="38595" xr:uid="{CD6645C1-C04D-484A-A661-559EC2265DD3}"/>
    <cellStyle name="Normal 2 9 4 3 4 2 5" xfId="38596" xr:uid="{F091D96C-FC91-4378-AEF0-9BC0BF3F91A5}"/>
    <cellStyle name="Normal 2 9 4 3 4 3" xfId="38597" xr:uid="{B4AE9555-E2D5-4987-9BDA-A2157CE9739A}"/>
    <cellStyle name="Normal 2 9 4 3 4 4" xfId="38598" xr:uid="{3BD92AFE-8C0B-4536-9C40-FCADC557C85D}"/>
    <cellStyle name="Normal 2 9 4 3 4 5" xfId="38599" xr:uid="{F27CB34F-AE68-4130-9E5A-CBBD3075DB9A}"/>
    <cellStyle name="Normal 2 9 4 3 4 6" xfId="38600" xr:uid="{E1CAB51C-0297-4019-B50C-773CB3AC09D4}"/>
    <cellStyle name="Normal 2 9 4 3 5" xfId="38601" xr:uid="{CAE0B221-F024-4EA8-8AE5-8C228FFF7EFD}"/>
    <cellStyle name="Normal 2 9 4 3 5 2" xfId="38602" xr:uid="{39BD4F6E-3EAD-4FF0-9E4A-F260BDF42BF7}"/>
    <cellStyle name="Normal 2 9 4 3 5 2 2" xfId="38603" xr:uid="{4F256060-ABDB-4919-8982-A937A22FB04D}"/>
    <cellStyle name="Normal 2 9 4 3 5 2 3" xfId="38604" xr:uid="{13412A95-8607-43C2-BA63-CC9B43DA171C}"/>
    <cellStyle name="Normal 2 9 4 3 5 2 4" xfId="38605" xr:uid="{C12DB00C-AB7B-453F-908C-2173266A93B2}"/>
    <cellStyle name="Normal 2 9 4 3 5 2 5" xfId="38606" xr:uid="{1FEC0695-DB86-4627-B43E-36E11E7CC690}"/>
    <cellStyle name="Normal 2 9 4 3 5 3" xfId="38607" xr:uid="{EE7E831E-C7A6-4048-B538-1E8C92963D1A}"/>
    <cellStyle name="Normal 2 9 4 3 5 4" xfId="38608" xr:uid="{D81E6D80-9828-4A8E-99C9-4094D96BEE47}"/>
    <cellStyle name="Normal 2 9 4 3 5 5" xfId="38609" xr:uid="{8E23BC19-1E86-405D-96E6-E1886155EDD1}"/>
    <cellStyle name="Normal 2 9 4 3 5 6" xfId="38610" xr:uid="{5EC20F8E-1832-477D-AA2E-9B35E50306B3}"/>
    <cellStyle name="Normal 2 9 4 3 6" xfId="38611" xr:uid="{90064ABD-E358-4450-A1F6-DDE9F6E065F4}"/>
    <cellStyle name="Normal 2 9 4 3 6 2" xfId="38612" xr:uid="{87C1A810-C2DD-413E-9B28-26C5312E1FE5}"/>
    <cellStyle name="Normal 2 9 4 3 6 3" xfId="38613" xr:uid="{D77379EB-B8AA-446D-930F-68C869E17EEB}"/>
    <cellStyle name="Normal 2 9 4 3 6 4" xfId="38614" xr:uid="{7A2C5663-DEA3-49C6-A358-6699FA7FC9F0}"/>
    <cellStyle name="Normal 2 9 4 3 6 5" xfId="38615" xr:uid="{27F5B57A-55E6-43FE-9EC8-2585A282075C}"/>
    <cellStyle name="Normal 2 9 4 3 7" xfId="38616" xr:uid="{4DF62878-7603-46AF-9D2D-3F52A6EFCBAE}"/>
    <cellStyle name="Normal 2 9 4 3 7 2" xfId="38617" xr:uid="{16FA6E0D-BB8C-4557-A769-5824D2496F6F}"/>
    <cellStyle name="Normal 2 9 4 3 7 3" xfId="38618" xr:uid="{7BAA68E1-41C7-449B-9F55-68FD76331339}"/>
    <cellStyle name="Normal 2 9 4 3 7 4" xfId="38619" xr:uid="{608C60E4-C132-42BE-9DF8-95A132C4EE00}"/>
    <cellStyle name="Normal 2 9 4 3 7 5" xfId="38620" xr:uid="{B3EBA16E-DD1B-4F8E-BBD5-1A5D247396B6}"/>
    <cellStyle name="Normal 2 9 4 3 8" xfId="38621" xr:uid="{F1F3B9B3-5B90-4F61-9084-16D3C7235C5E}"/>
    <cellStyle name="Normal 2 9 4 3 8 2" xfId="38622" xr:uid="{C9079022-07A7-4115-884A-BA3ED75B5968}"/>
    <cellStyle name="Normal 2 9 4 3 8 3" xfId="38623" xr:uid="{499FC931-87E9-484C-86E4-7EBCDCD81154}"/>
    <cellStyle name="Normal 2 9 4 3 8 4" xfId="38624" xr:uid="{20352AF1-53F7-447B-9010-7A89EB64ED7E}"/>
    <cellStyle name="Normal 2 9 4 3 8 5" xfId="38625" xr:uid="{CF27529F-BA28-4FAD-98E3-EDFC1D7387B6}"/>
    <cellStyle name="Normal 2 9 4 3 9" xfId="38626" xr:uid="{A42C9298-70F5-47CE-AECF-3F68513620C1}"/>
    <cellStyle name="Normal 2 9 4 3 9 2" xfId="38627" xr:uid="{36671361-9194-41E4-BF04-6E83CE14D093}"/>
    <cellStyle name="Normal 2 9 4 3 9 3" xfId="38628" xr:uid="{2F65986E-137E-4E18-ADE0-BBF1E27E1B53}"/>
    <cellStyle name="Normal 2 9 4 3 9 4" xfId="38629" xr:uid="{394D9DF8-04B6-459A-9F29-7E068F040784}"/>
    <cellStyle name="Normal 2 9 4 3 9 5" xfId="38630" xr:uid="{D37D3D81-A273-4DBD-A701-41DE8916357C}"/>
    <cellStyle name="Normal 2 9 4 4" xfId="38631" xr:uid="{8DDFF618-1522-4A1F-8320-F88D1822B2A2}"/>
    <cellStyle name="Normal 2 9 4 4 10" xfId="38632" xr:uid="{E41268BE-3929-4457-968E-3154082A1B5F}"/>
    <cellStyle name="Normal 2 9 4 4 11" xfId="38633" xr:uid="{D9A0E750-1DEC-4A10-8BE3-08C4F44FFBC0}"/>
    <cellStyle name="Normal 2 9 4 4 12" xfId="38634" xr:uid="{776226D9-84C3-4A7E-B1C7-4FBA126BB71F}"/>
    <cellStyle name="Normal 2 9 4 4 2" xfId="38635" xr:uid="{6A42F437-D846-4920-A202-14298546C19E}"/>
    <cellStyle name="Normal 2 9 4 4 2 2" xfId="38636" xr:uid="{277AA1BA-4267-4DE3-AEB9-28C8293C4906}"/>
    <cellStyle name="Normal 2 9 4 4 2 2 2" xfId="38637" xr:uid="{19F090D6-676A-472F-8586-5E12B0B9B1EF}"/>
    <cellStyle name="Normal 2 9 4 4 2 2 3" xfId="38638" xr:uid="{48E2711F-7BB4-41E0-B293-1663BC4BEFD5}"/>
    <cellStyle name="Normal 2 9 4 4 2 2 4" xfId="38639" xr:uid="{9AA0641D-3046-4948-9BF0-22C13FDCCE70}"/>
    <cellStyle name="Normal 2 9 4 4 2 2 5" xfId="38640" xr:uid="{E30622F3-2B8A-4220-B86A-3FBDD6A5D9B9}"/>
    <cellStyle name="Normal 2 9 4 4 2 3" xfId="38641" xr:uid="{4A2C7182-533B-4E33-9019-D53143D20C3F}"/>
    <cellStyle name="Normal 2 9 4 4 2 4" xfId="38642" xr:uid="{0A78D42D-31DD-40BE-A3A6-E5D2A0C65D8D}"/>
    <cellStyle name="Normal 2 9 4 4 2 5" xfId="38643" xr:uid="{FDBE0C15-3F31-433B-B28A-5B9B38B6F522}"/>
    <cellStyle name="Normal 2 9 4 4 2 6" xfId="38644" xr:uid="{7B1C4AC4-7AF7-477C-893F-05F92BFF4AAB}"/>
    <cellStyle name="Normal 2 9 4 4 3" xfId="38645" xr:uid="{D3245057-1807-4286-92B0-5B1267288F71}"/>
    <cellStyle name="Normal 2 9 4 4 3 2" xfId="38646" xr:uid="{F927D948-2C90-4877-AA8F-B05208F3220B}"/>
    <cellStyle name="Normal 2 9 4 4 3 2 2" xfId="38647" xr:uid="{4C739F24-E9DB-43EF-8A63-0E23247F81BF}"/>
    <cellStyle name="Normal 2 9 4 4 3 2 3" xfId="38648" xr:uid="{19DB8D47-5A47-4EE0-9127-2D8CE0657E78}"/>
    <cellStyle name="Normal 2 9 4 4 3 2 4" xfId="38649" xr:uid="{2EDB6C35-0230-4E71-B1A1-C5F994C87770}"/>
    <cellStyle name="Normal 2 9 4 4 3 2 5" xfId="38650" xr:uid="{437E99AB-EECC-4BCE-815C-DDE359EDB10F}"/>
    <cellStyle name="Normal 2 9 4 4 3 3" xfId="38651" xr:uid="{868C680C-ACC7-41E9-AF1F-9D15680A336E}"/>
    <cellStyle name="Normal 2 9 4 4 3 4" xfId="38652" xr:uid="{7DB85BA2-6F27-4BC9-ADFC-C7DA90AE396D}"/>
    <cellStyle name="Normal 2 9 4 4 3 5" xfId="38653" xr:uid="{646B5E7A-8F85-45AA-93AD-C4C33B414A95}"/>
    <cellStyle name="Normal 2 9 4 4 3 6" xfId="38654" xr:uid="{4F9CE07E-E786-46EF-AAB5-9C5860F087F2}"/>
    <cellStyle name="Normal 2 9 4 4 4" xfId="38655" xr:uid="{55952967-4ADF-440D-8A67-CC5293862193}"/>
    <cellStyle name="Normal 2 9 4 4 4 2" xfId="38656" xr:uid="{45964F78-23C9-4287-9760-ED11E2A9A897}"/>
    <cellStyle name="Normal 2 9 4 4 4 2 2" xfId="38657" xr:uid="{E90C6218-CA13-413A-B5FD-BC4B02F0EB7B}"/>
    <cellStyle name="Normal 2 9 4 4 4 2 3" xfId="38658" xr:uid="{22B3583C-CD1F-4E31-8E89-E0F69FE24A9A}"/>
    <cellStyle name="Normal 2 9 4 4 4 2 4" xfId="38659" xr:uid="{173AFF5C-202F-4042-A5F4-F6DB48C0DB6E}"/>
    <cellStyle name="Normal 2 9 4 4 4 2 5" xfId="38660" xr:uid="{DEAB10C1-5411-45D2-AFF6-27E9EB576C12}"/>
    <cellStyle name="Normal 2 9 4 4 4 3" xfId="38661" xr:uid="{26B139FE-59DA-4519-A607-D81BB0E93D7F}"/>
    <cellStyle name="Normal 2 9 4 4 4 4" xfId="38662" xr:uid="{E182F9A9-E6B7-447A-915E-8B6C74AFD47D}"/>
    <cellStyle name="Normal 2 9 4 4 4 5" xfId="38663" xr:uid="{9BADE1F6-80C5-4D96-B690-FBBCFEBA50F3}"/>
    <cellStyle name="Normal 2 9 4 4 4 6" xfId="38664" xr:uid="{EF47A133-5867-4931-BED1-218142E83C02}"/>
    <cellStyle name="Normal 2 9 4 4 5" xfId="38665" xr:uid="{724F7C85-ED39-4CE9-AB70-11387FCD17E0}"/>
    <cellStyle name="Normal 2 9 4 4 5 2" xfId="38666" xr:uid="{D6F012F0-EA6C-4B4E-8038-CD49AAD81737}"/>
    <cellStyle name="Normal 2 9 4 4 5 3" xfId="38667" xr:uid="{8D802984-52AB-4666-AF33-4F3935425E1A}"/>
    <cellStyle name="Normal 2 9 4 4 5 4" xfId="38668" xr:uid="{DAC6D3C1-172B-4FDA-AD9B-B9645FE01C34}"/>
    <cellStyle name="Normal 2 9 4 4 5 5" xfId="38669" xr:uid="{8995EFF4-899A-4223-B20D-86DFC41E1025}"/>
    <cellStyle name="Normal 2 9 4 4 6" xfId="38670" xr:uid="{94E1190D-E6F1-44DE-ADEB-0FE3DBCD2628}"/>
    <cellStyle name="Normal 2 9 4 4 6 2" xfId="38671" xr:uid="{C48E6B84-038E-4417-A491-E6DA6285C2E0}"/>
    <cellStyle name="Normal 2 9 4 4 6 3" xfId="38672" xr:uid="{51D620A4-B862-4429-BFEB-2C2D79F01D31}"/>
    <cellStyle name="Normal 2 9 4 4 6 4" xfId="38673" xr:uid="{C35A1145-4402-44C0-B7B5-979F56B82260}"/>
    <cellStyle name="Normal 2 9 4 4 6 5" xfId="38674" xr:uid="{71543376-100E-4DE4-B68A-4AFC4A325468}"/>
    <cellStyle name="Normal 2 9 4 4 7" xfId="38675" xr:uid="{D9453F8D-F587-4EAC-84BD-1AFFECDC912E}"/>
    <cellStyle name="Normal 2 9 4 4 7 2" xfId="38676" xr:uid="{C978D4E8-5666-4FE9-906A-6E04615E0539}"/>
    <cellStyle name="Normal 2 9 4 4 7 3" xfId="38677" xr:uid="{80EB3F94-3429-4C55-BF4A-645565877341}"/>
    <cellStyle name="Normal 2 9 4 4 7 4" xfId="38678" xr:uid="{D2F3FFA8-3C59-4F0A-89D2-EE80E489CF5D}"/>
    <cellStyle name="Normal 2 9 4 4 7 5" xfId="38679" xr:uid="{88443CA1-6850-4831-AB1D-9DB5F7C8103E}"/>
    <cellStyle name="Normal 2 9 4 4 8" xfId="38680" xr:uid="{F77E2320-8FCE-4377-A559-7555132D5632}"/>
    <cellStyle name="Normal 2 9 4 4 8 2" xfId="38681" xr:uid="{53077529-1EFE-4E9B-B1C7-4F965AB7073B}"/>
    <cellStyle name="Normal 2 9 4 4 8 3" xfId="38682" xr:uid="{71E1CD86-BF3C-4243-AB57-944CCC392681}"/>
    <cellStyle name="Normal 2 9 4 4 8 4" xfId="38683" xr:uid="{4EBF338E-454B-4505-ABE5-89D82F5C739C}"/>
    <cellStyle name="Normal 2 9 4 4 8 5" xfId="38684" xr:uid="{34A982DA-9CE2-482D-94EC-34D80E482D13}"/>
    <cellStyle name="Normal 2 9 4 4 9" xfId="38685" xr:uid="{A284B663-3D32-4462-99AA-8C879F48E2DA}"/>
    <cellStyle name="Normal 2 9 4 5" xfId="38686" xr:uid="{2F32A0D0-E1BD-49A8-BC4C-206481F313BE}"/>
    <cellStyle name="Normal 2 9 4 5 2" xfId="38687" xr:uid="{5407E478-D141-4B09-BD37-78DCAEE57738}"/>
    <cellStyle name="Normal 2 9 4 5 2 2" xfId="38688" xr:uid="{2470DA27-C0AA-4F76-82A2-4DA16D11C7B1}"/>
    <cellStyle name="Normal 2 9 4 5 2 3" xfId="38689" xr:uid="{0E6E6B29-6EE7-44AD-A491-3FC250A7259F}"/>
    <cellStyle name="Normal 2 9 4 5 2 4" xfId="38690" xr:uid="{9A520ADE-7546-4AAE-9CB0-4A5852D04382}"/>
    <cellStyle name="Normal 2 9 4 5 2 5" xfId="38691" xr:uid="{FF6EF060-558B-4F10-A7E5-01E75800C56F}"/>
    <cellStyle name="Normal 2 9 4 5 3" xfId="38692" xr:uid="{110AC686-BDFC-46A1-8E8D-D7EC8510242B}"/>
    <cellStyle name="Normal 2 9 4 5 4" xfId="38693" xr:uid="{39E87B20-4683-45B1-A654-ED1CE14CE217}"/>
    <cellStyle name="Normal 2 9 4 5 5" xfId="38694" xr:uid="{B3A28439-5992-4ABC-92C6-00A4A16DCD94}"/>
    <cellStyle name="Normal 2 9 4 5 6" xfId="38695" xr:uid="{E0B0CB8A-F767-424A-918C-5F07AB63E9BE}"/>
    <cellStyle name="Normal 2 9 4 6" xfId="38696" xr:uid="{105124A2-F103-4B5A-8E7C-7DC4C2EBCC36}"/>
    <cellStyle name="Normal 2 9 4 6 2" xfId="38697" xr:uid="{FB974AED-8B7D-429B-A5A8-FA9A8C8F2D5E}"/>
    <cellStyle name="Normal 2 9 4 6 2 2" xfId="38698" xr:uid="{A2ADC1C2-7D03-4065-A059-21AE1BD22C65}"/>
    <cellStyle name="Normal 2 9 4 6 2 3" xfId="38699" xr:uid="{04144CE9-EEA2-4E51-B41E-857EBF00D73A}"/>
    <cellStyle name="Normal 2 9 4 6 2 4" xfId="38700" xr:uid="{C4C96759-D9B2-4A84-B9A5-730C59D1A067}"/>
    <cellStyle name="Normal 2 9 4 6 2 5" xfId="38701" xr:uid="{C37150B4-DC51-433C-8501-3EB965AEC400}"/>
    <cellStyle name="Normal 2 9 4 6 3" xfId="38702" xr:uid="{24055774-8E4B-40C7-B8BF-B23D5AD13467}"/>
    <cellStyle name="Normal 2 9 4 6 4" xfId="38703" xr:uid="{D49AF0B9-B999-473D-BE31-217546355DC0}"/>
    <cellStyle name="Normal 2 9 4 6 5" xfId="38704" xr:uid="{8C4324C7-B88E-485F-900A-2CA44C1B8A52}"/>
    <cellStyle name="Normal 2 9 4 6 6" xfId="38705" xr:uid="{8ACB39D8-C56A-4DBB-81C6-E818987129D8}"/>
    <cellStyle name="Normal 2 9 4 7" xfId="38706" xr:uid="{A24F24E2-0019-45C1-86DA-F7A9BA4A271E}"/>
    <cellStyle name="Normal 2 9 4 7 2" xfId="38707" xr:uid="{F62B38AD-4609-45EB-B0D1-B7116F41FF28}"/>
    <cellStyle name="Normal 2 9 4 7 2 2" xfId="38708" xr:uid="{A5D217CF-1227-40CE-8268-23C1F2C02C52}"/>
    <cellStyle name="Normal 2 9 4 7 2 3" xfId="38709" xr:uid="{5E7C3507-2A45-4443-95EC-26B5E5B6EBB4}"/>
    <cellStyle name="Normal 2 9 4 7 2 4" xfId="38710" xr:uid="{0318730F-DB73-40C7-A766-D0CED6359BF0}"/>
    <cellStyle name="Normal 2 9 4 7 2 5" xfId="38711" xr:uid="{2A09EFC4-A967-49E6-994E-5FE20E619A63}"/>
    <cellStyle name="Normal 2 9 4 7 3" xfId="38712" xr:uid="{C2CF05C7-EE93-4BA0-9CD9-E5C3E77C0453}"/>
    <cellStyle name="Normal 2 9 4 7 4" xfId="38713" xr:uid="{F4A68B6E-FC7F-4633-81ED-D23480BCDCA4}"/>
    <cellStyle name="Normal 2 9 4 7 5" xfId="38714" xr:uid="{4EAD914D-1ADB-47F1-A08B-96B81458046F}"/>
    <cellStyle name="Normal 2 9 4 7 6" xfId="38715" xr:uid="{8E8016C4-2F7C-4E12-86B3-4660F5FBE139}"/>
    <cellStyle name="Normal 2 9 4 8" xfId="38716" xr:uid="{2609B298-A937-4AFF-BA54-99FA91887613}"/>
    <cellStyle name="Normal 2 9 4 8 2" xfId="38717" xr:uid="{82DB19BE-3968-475D-A39D-429809B74E99}"/>
    <cellStyle name="Normal 2 9 4 8 3" xfId="38718" xr:uid="{B6C0232A-C2E7-45E9-B9E6-BE60E28E0F25}"/>
    <cellStyle name="Normal 2 9 4 8 4" xfId="38719" xr:uid="{5BE5A0DD-D079-469C-936D-4B0FCC5D13B9}"/>
    <cellStyle name="Normal 2 9 4 8 5" xfId="38720" xr:uid="{806635F9-59DC-477A-8CCB-11F0B2CAC166}"/>
    <cellStyle name="Normal 2 9 4 9" xfId="38721" xr:uid="{619190C0-9FE5-4D03-A28E-DD71A4959021}"/>
    <cellStyle name="Normal 2 9 4 9 2" xfId="38722" xr:uid="{30B07264-8C48-4F0B-A523-B6B8394732EB}"/>
    <cellStyle name="Normal 2 9 4 9 3" xfId="38723" xr:uid="{47F897A8-A09B-481F-AE8C-E5F03DF772B6}"/>
    <cellStyle name="Normal 2 9 4 9 4" xfId="38724" xr:uid="{397E8893-7C43-4E52-932D-A7B6F84D76A3}"/>
    <cellStyle name="Normal 2 9 4 9 5" xfId="38725" xr:uid="{BB2BF898-CFDA-4C38-BDAA-FED51EB5A199}"/>
    <cellStyle name="Normal 2 9 5" xfId="38726" xr:uid="{27D392A1-47CF-404C-8657-1BE8DF1EAB68}"/>
    <cellStyle name="Normal 2 9 5 10" xfId="38727" xr:uid="{CA8F7509-2C8F-4834-B690-465BEEDCAFA5}"/>
    <cellStyle name="Normal 2 9 5 10 2" xfId="38728" xr:uid="{7DD6E14B-C868-4DF8-8C32-AA89E2BE5E21}"/>
    <cellStyle name="Normal 2 9 5 10 3" xfId="38729" xr:uid="{13A2A9D1-9519-413F-B810-C5B936503B00}"/>
    <cellStyle name="Normal 2 9 5 10 4" xfId="38730" xr:uid="{FDE7DD91-62D5-4336-BC03-4D753FEA0151}"/>
    <cellStyle name="Normal 2 9 5 10 5" xfId="38731" xr:uid="{A7D66943-793F-4C61-9CD9-5AABD65C220D}"/>
    <cellStyle name="Normal 2 9 5 11" xfId="38732" xr:uid="{8841E8ED-9267-4044-ACCB-DC1C02926A71}"/>
    <cellStyle name="Normal 2 9 5 12" xfId="38733" xr:uid="{B3D089F0-31FD-4764-A1B6-04D2AAB7DEF5}"/>
    <cellStyle name="Normal 2 9 5 13" xfId="38734" xr:uid="{78C3195E-C87C-4DBF-AC57-42F327B73B86}"/>
    <cellStyle name="Normal 2 9 5 14" xfId="38735" xr:uid="{2B95EB32-5EBA-45F4-80B6-A2BE1EB37DD5}"/>
    <cellStyle name="Normal 2 9 5 2" xfId="38736" xr:uid="{37D240FD-7A06-44D0-AE0F-96906CE84F76}"/>
    <cellStyle name="Normal 2 9 5 2 10" xfId="38737" xr:uid="{C28B173B-0DDC-4EE3-8164-E27C50CD3A8A}"/>
    <cellStyle name="Normal 2 9 5 2 11" xfId="38738" xr:uid="{5D9CDA52-E3FC-48D4-BB05-F0E10F4F4BFF}"/>
    <cellStyle name="Normal 2 9 5 2 12" xfId="38739" xr:uid="{0B48B19D-7AC0-458E-B85C-33C41DFC93AA}"/>
    <cellStyle name="Normal 2 9 5 2 13" xfId="38740" xr:uid="{3B5BCCA9-01BD-453E-BA96-601A0F86C993}"/>
    <cellStyle name="Normal 2 9 5 2 2" xfId="38741" xr:uid="{6DD86AA1-1309-48AB-984C-752D0074FD0E}"/>
    <cellStyle name="Normal 2 9 5 2 2 10" xfId="38742" xr:uid="{3B91E387-FB85-43A7-A4F7-B374C02873E5}"/>
    <cellStyle name="Normal 2 9 5 2 2 11" xfId="38743" xr:uid="{4C0B956B-4A9C-43D0-A110-761D7212A0A3}"/>
    <cellStyle name="Normal 2 9 5 2 2 12" xfId="38744" xr:uid="{E5DCBA6B-0F59-4716-945D-9F111EB6A98B}"/>
    <cellStyle name="Normal 2 9 5 2 2 2" xfId="38745" xr:uid="{96214E39-F9E4-4097-BA2C-C0481F359C29}"/>
    <cellStyle name="Normal 2 9 5 2 2 2 2" xfId="38746" xr:uid="{C854D12E-1AF3-4D1D-A179-A5D5C599E498}"/>
    <cellStyle name="Normal 2 9 5 2 2 2 2 2" xfId="38747" xr:uid="{F0A0FA9A-8ACF-45F6-99B2-98E7396EB92C}"/>
    <cellStyle name="Normal 2 9 5 2 2 2 2 3" xfId="38748" xr:uid="{2B78F1AD-8A7D-4D79-BF5C-DB5BF26F08B1}"/>
    <cellStyle name="Normal 2 9 5 2 2 2 2 4" xfId="38749" xr:uid="{13B24382-E105-4F18-BA0A-4796C87621E3}"/>
    <cellStyle name="Normal 2 9 5 2 2 2 2 5" xfId="38750" xr:uid="{61E07712-81B6-4634-B8DD-C2EBE9E758A7}"/>
    <cellStyle name="Normal 2 9 5 2 2 2 3" xfId="38751" xr:uid="{221CACAE-068E-4F22-8FD6-32FF6803D5C0}"/>
    <cellStyle name="Normal 2 9 5 2 2 2 4" xfId="38752" xr:uid="{B27D6E54-69ED-45C4-A563-E2C2735F3678}"/>
    <cellStyle name="Normal 2 9 5 2 2 2 5" xfId="38753" xr:uid="{140B1C25-454E-474F-BCDA-641E8299A13C}"/>
    <cellStyle name="Normal 2 9 5 2 2 2 6" xfId="38754" xr:uid="{E2FC2B96-042C-4B2A-BDDD-E86E262B690F}"/>
    <cellStyle name="Normal 2 9 5 2 2 3" xfId="38755" xr:uid="{41132F3A-310C-4686-B0D2-1F1BDFC72BFF}"/>
    <cellStyle name="Normal 2 9 5 2 2 3 2" xfId="38756" xr:uid="{3317B436-6078-4C5A-B604-A39CC1B1BC1A}"/>
    <cellStyle name="Normal 2 9 5 2 2 3 2 2" xfId="38757" xr:uid="{2A971EEE-705C-492C-865E-AD60A6F6859A}"/>
    <cellStyle name="Normal 2 9 5 2 2 3 2 3" xfId="38758" xr:uid="{B80CDD84-6E4B-4BA1-8C77-4DAA24401DF6}"/>
    <cellStyle name="Normal 2 9 5 2 2 3 2 4" xfId="38759" xr:uid="{CDCE012B-FBE8-469D-BD97-EDEC53AA06CC}"/>
    <cellStyle name="Normal 2 9 5 2 2 3 2 5" xfId="38760" xr:uid="{583A889B-47AF-42C9-A183-F3CFABC655A6}"/>
    <cellStyle name="Normal 2 9 5 2 2 3 3" xfId="38761" xr:uid="{CD4CBDA3-6D63-4837-B449-39B15E29F517}"/>
    <cellStyle name="Normal 2 9 5 2 2 3 4" xfId="38762" xr:uid="{71E7768E-4A31-4653-9469-3BCC433869CE}"/>
    <cellStyle name="Normal 2 9 5 2 2 3 5" xfId="38763" xr:uid="{A4F243FA-9A4E-46DD-9910-F4980640557A}"/>
    <cellStyle name="Normal 2 9 5 2 2 3 6" xfId="38764" xr:uid="{606FF8D1-7A7D-42FE-8538-2DE895661818}"/>
    <cellStyle name="Normal 2 9 5 2 2 4" xfId="38765" xr:uid="{68BDB4F7-1C48-451D-A023-DBBB4850F6E0}"/>
    <cellStyle name="Normal 2 9 5 2 2 4 2" xfId="38766" xr:uid="{7CB4726B-A5F2-493A-8CCE-2AF20F856E9E}"/>
    <cellStyle name="Normal 2 9 5 2 2 4 2 2" xfId="38767" xr:uid="{E064217A-0D30-4A15-AC16-3B35E325B708}"/>
    <cellStyle name="Normal 2 9 5 2 2 4 2 3" xfId="38768" xr:uid="{27480544-A4EB-4714-A2E6-A8D7A3C1DC7C}"/>
    <cellStyle name="Normal 2 9 5 2 2 4 2 4" xfId="38769" xr:uid="{3652F7D2-B6FA-4295-966A-9ED5C8846A47}"/>
    <cellStyle name="Normal 2 9 5 2 2 4 2 5" xfId="38770" xr:uid="{00698C8F-ADC6-4297-9E16-30F524AF5DF3}"/>
    <cellStyle name="Normal 2 9 5 2 2 4 3" xfId="38771" xr:uid="{8EF09757-99A4-42A8-84F7-6E55DE7F1F5E}"/>
    <cellStyle name="Normal 2 9 5 2 2 4 4" xfId="38772" xr:uid="{8880BCC4-0023-4101-9F10-A0AD47310ED0}"/>
    <cellStyle name="Normal 2 9 5 2 2 4 5" xfId="38773" xr:uid="{A42A3E80-96C2-4926-ADF4-FD106CDCE034}"/>
    <cellStyle name="Normal 2 9 5 2 2 4 6" xfId="38774" xr:uid="{9F369CB9-1369-4E7B-86E5-19AA062C2794}"/>
    <cellStyle name="Normal 2 9 5 2 2 5" xfId="38775" xr:uid="{4425033D-9CCB-4E0C-9B03-40263DCF6264}"/>
    <cellStyle name="Normal 2 9 5 2 2 5 2" xfId="38776" xr:uid="{218A005A-6F37-480D-9F47-FB77EAD6A066}"/>
    <cellStyle name="Normal 2 9 5 2 2 5 3" xfId="38777" xr:uid="{B13A1896-9CBF-40AE-9D0F-9644230CDC8D}"/>
    <cellStyle name="Normal 2 9 5 2 2 5 4" xfId="38778" xr:uid="{BE7A9822-C3E1-4B49-842D-35178CC8D25B}"/>
    <cellStyle name="Normal 2 9 5 2 2 5 5" xfId="38779" xr:uid="{821F7677-434E-4A88-AD4A-E0F4A97F106C}"/>
    <cellStyle name="Normal 2 9 5 2 2 6" xfId="38780" xr:uid="{FE1611DE-57FD-4AFA-8B5B-1346CCB535C7}"/>
    <cellStyle name="Normal 2 9 5 2 2 6 2" xfId="38781" xr:uid="{4BF7448C-8D65-4360-8DE2-8E8629753794}"/>
    <cellStyle name="Normal 2 9 5 2 2 6 3" xfId="38782" xr:uid="{42693E39-D039-4491-A7E4-BD935C58B30F}"/>
    <cellStyle name="Normal 2 9 5 2 2 6 4" xfId="38783" xr:uid="{C53528DA-3451-4CBC-A189-C2CF64E20BE1}"/>
    <cellStyle name="Normal 2 9 5 2 2 6 5" xfId="38784" xr:uid="{F6AAE57A-5276-4AF2-8735-BDE2BD196A90}"/>
    <cellStyle name="Normal 2 9 5 2 2 7" xfId="38785" xr:uid="{F688327B-4778-4D1A-ACC4-268506C0E363}"/>
    <cellStyle name="Normal 2 9 5 2 2 7 2" xfId="38786" xr:uid="{BFEB816B-8116-4070-B5D9-8F2A3089BF3E}"/>
    <cellStyle name="Normal 2 9 5 2 2 7 3" xfId="38787" xr:uid="{F5E02A4F-5F23-4560-8555-83C50D84E25C}"/>
    <cellStyle name="Normal 2 9 5 2 2 7 4" xfId="38788" xr:uid="{DE950E20-A3DB-43A3-844D-2F3FE6408A6F}"/>
    <cellStyle name="Normal 2 9 5 2 2 7 5" xfId="38789" xr:uid="{886504E5-59D6-4CFD-B7E4-9B938B44F23E}"/>
    <cellStyle name="Normal 2 9 5 2 2 8" xfId="38790" xr:uid="{83E31A54-C152-4861-86D6-66034910901E}"/>
    <cellStyle name="Normal 2 9 5 2 2 8 2" xfId="38791" xr:uid="{2864D5C1-2CA7-4304-9622-448760313D48}"/>
    <cellStyle name="Normal 2 9 5 2 2 8 3" xfId="38792" xr:uid="{481C631B-1D19-4B54-A713-6985BB6C1A84}"/>
    <cellStyle name="Normal 2 9 5 2 2 8 4" xfId="38793" xr:uid="{E1112156-854B-4F52-B844-15D81FE6BCC7}"/>
    <cellStyle name="Normal 2 9 5 2 2 8 5" xfId="38794" xr:uid="{18E499F6-2063-4D3D-9AB0-C1AFC90BBC4D}"/>
    <cellStyle name="Normal 2 9 5 2 2 9" xfId="38795" xr:uid="{DEC3EC7D-B68A-49BF-BE66-F5747FCE05AD}"/>
    <cellStyle name="Normal 2 9 5 2 3" xfId="38796" xr:uid="{31E16F1C-81A5-4308-BA9A-EA9CCE82585C}"/>
    <cellStyle name="Normal 2 9 5 2 3 2" xfId="38797" xr:uid="{5DC352DB-A417-435A-9DDD-4B645E211272}"/>
    <cellStyle name="Normal 2 9 5 2 3 2 2" xfId="38798" xr:uid="{23E9027E-3942-4259-A36E-E24638544DC1}"/>
    <cellStyle name="Normal 2 9 5 2 3 2 3" xfId="38799" xr:uid="{BC83F895-0AC0-4B0E-9F0F-16A0CEAA2C81}"/>
    <cellStyle name="Normal 2 9 5 2 3 2 4" xfId="38800" xr:uid="{D6DD424B-DE84-4E69-AF72-C9A2BC8B851E}"/>
    <cellStyle name="Normal 2 9 5 2 3 2 5" xfId="38801" xr:uid="{C35F8FBD-8638-440D-8CC4-635093C620DA}"/>
    <cellStyle name="Normal 2 9 5 2 3 3" xfId="38802" xr:uid="{AC504482-860F-481C-B12D-F71E147941F2}"/>
    <cellStyle name="Normal 2 9 5 2 3 4" xfId="38803" xr:uid="{B2F7479A-B1BC-42A5-A756-C9249A6D703C}"/>
    <cellStyle name="Normal 2 9 5 2 3 5" xfId="38804" xr:uid="{96FC8E32-8F78-4B4A-8D14-C1C7A713FE24}"/>
    <cellStyle name="Normal 2 9 5 2 3 6" xfId="38805" xr:uid="{9FF3165E-F696-4F7D-BEEA-39BD18E0B0F2}"/>
    <cellStyle name="Normal 2 9 5 2 4" xfId="38806" xr:uid="{FFD06FDE-89FE-4B06-93FF-3071665F14F8}"/>
    <cellStyle name="Normal 2 9 5 2 4 2" xfId="38807" xr:uid="{422E269F-BD1F-4E43-A3DB-A2E951019642}"/>
    <cellStyle name="Normal 2 9 5 2 4 2 2" xfId="38808" xr:uid="{55164439-2CB4-4BFE-9F8B-92E204100FF5}"/>
    <cellStyle name="Normal 2 9 5 2 4 2 3" xfId="38809" xr:uid="{2ED9CA30-C9FD-443D-B91D-06A063EAF982}"/>
    <cellStyle name="Normal 2 9 5 2 4 2 4" xfId="38810" xr:uid="{F0E9AE05-8590-471A-ACE8-4EF1AC5EF549}"/>
    <cellStyle name="Normal 2 9 5 2 4 2 5" xfId="38811" xr:uid="{7AF0FD01-FCD5-4D07-A922-3F80A132C310}"/>
    <cellStyle name="Normal 2 9 5 2 4 3" xfId="38812" xr:uid="{38F0B20C-89AA-4B36-93D7-182A6033EEB9}"/>
    <cellStyle name="Normal 2 9 5 2 4 4" xfId="38813" xr:uid="{2EBC650E-838D-4FA7-BBCE-DE5477E2C863}"/>
    <cellStyle name="Normal 2 9 5 2 4 5" xfId="38814" xr:uid="{CECF7181-4CE3-4D91-B2B5-C4ABF6CD8736}"/>
    <cellStyle name="Normal 2 9 5 2 4 6" xfId="38815" xr:uid="{B82438F0-4B0F-4A7E-BFBE-9B648AA24AE3}"/>
    <cellStyle name="Normal 2 9 5 2 5" xfId="38816" xr:uid="{98236C4B-3D29-4E7F-8D31-77946E50B7C4}"/>
    <cellStyle name="Normal 2 9 5 2 5 2" xfId="38817" xr:uid="{D32D3AEA-416A-4435-8E55-2157CED4512C}"/>
    <cellStyle name="Normal 2 9 5 2 5 2 2" xfId="38818" xr:uid="{4F575CA6-BF7C-4BF4-8E14-79A554CDF05D}"/>
    <cellStyle name="Normal 2 9 5 2 5 2 3" xfId="38819" xr:uid="{C0135E8B-FEF8-47E3-BD1A-8D114CBB9C6E}"/>
    <cellStyle name="Normal 2 9 5 2 5 2 4" xfId="38820" xr:uid="{46B3208B-6F3A-4331-B324-EC059118A621}"/>
    <cellStyle name="Normal 2 9 5 2 5 2 5" xfId="38821" xr:uid="{2AA2F22D-185E-4E37-94C1-3D0F7FC9931F}"/>
    <cellStyle name="Normal 2 9 5 2 5 3" xfId="38822" xr:uid="{3564F46B-30F8-461F-B529-23085F90FD75}"/>
    <cellStyle name="Normal 2 9 5 2 5 4" xfId="38823" xr:uid="{4569325D-D223-443A-92D5-B156023CCD9C}"/>
    <cellStyle name="Normal 2 9 5 2 5 5" xfId="38824" xr:uid="{7F5836A6-C099-4C70-B7B8-3DD1EC23311C}"/>
    <cellStyle name="Normal 2 9 5 2 5 6" xfId="38825" xr:uid="{37AEF2EE-193F-42F0-BAA5-EFB2F695010C}"/>
    <cellStyle name="Normal 2 9 5 2 6" xfId="38826" xr:uid="{AF9A2092-4584-4943-A831-98AB0BA30A8F}"/>
    <cellStyle name="Normal 2 9 5 2 6 2" xfId="38827" xr:uid="{5FFA23FD-7EDB-429F-854B-B0750E7DC4F1}"/>
    <cellStyle name="Normal 2 9 5 2 6 3" xfId="38828" xr:uid="{0D13318B-48C6-4E57-AC24-0BF27C9D5B13}"/>
    <cellStyle name="Normal 2 9 5 2 6 4" xfId="38829" xr:uid="{513C385C-5F25-4397-A499-75B1DBFAB8FE}"/>
    <cellStyle name="Normal 2 9 5 2 6 5" xfId="38830" xr:uid="{8FB836DF-FCE7-49D9-9B63-D257AAF790D7}"/>
    <cellStyle name="Normal 2 9 5 2 7" xfId="38831" xr:uid="{00BA591C-843F-4AA4-BFB5-A305E3425AE3}"/>
    <cellStyle name="Normal 2 9 5 2 7 2" xfId="38832" xr:uid="{97791562-4981-4D04-B5B6-A3CE8B50A31E}"/>
    <cellStyle name="Normal 2 9 5 2 7 3" xfId="38833" xr:uid="{A0D303A2-3955-4BC0-972D-5BF27CD4CC0F}"/>
    <cellStyle name="Normal 2 9 5 2 7 4" xfId="38834" xr:uid="{4067956B-5DD3-41A6-A06A-6F9B9A1DEF6D}"/>
    <cellStyle name="Normal 2 9 5 2 7 5" xfId="38835" xr:uid="{2907741A-7253-4A88-822A-81BE19760740}"/>
    <cellStyle name="Normal 2 9 5 2 8" xfId="38836" xr:uid="{E019F1CA-E795-4B24-B756-F8DD865B5A1C}"/>
    <cellStyle name="Normal 2 9 5 2 8 2" xfId="38837" xr:uid="{C8754EF3-300F-4BC7-A1E7-4C39D343580B}"/>
    <cellStyle name="Normal 2 9 5 2 8 3" xfId="38838" xr:uid="{8244B744-0CA3-4392-BBE0-7101BF965CFF}"/>
    <cellStyle name="Normal 2 9 5 2 8 4" xfId="38839" xr:uid="{CAF70B6A-4F21-4030-B1AC-CC44FDCBD40A}"/>
    <cellStyle name="Normal 2 9 5 2 8 5" xfId="38840" xr:uid="{228FB16B-A7F5-41CD-A134-C5EE2EFDCAFE}"/>
    <cellStyle name="Normal 2 9 5 2 9" xfId="38841" xr:uid="{901234EA-96E2-4383-BFB9-49CEA50C2115}"/>
    <cellStyle name="Normal 2 9 5 2 9 2" xfId="38842" xr:uid="{4B9B2EA6-7F0F-491B-8741-64D6A80FC946}"/>
    <cellStyle name="Normal 2 9 5 2 9 3" xfId="38843" xr:uid="{9BA241C8-CB43-4039-87C6-E12749497818}"/>
    <cellStyle name="Normal 2 9 5 2 9 4" xfId="38844" xr:uid="{1F4BE389-0E6D-4223-B53C-E481C9A46610}"/>
    <cellStyle name="Normal 2 9 5 2 9 5" xfId="38845" xr:uid="{F57E76EE-5A98-47A3-B908-AFA4E810DAC5}"/>
    <cellStyle name="Normal 2 9 5 3" xfId="38846" xr:uid="{A67F0A28-3D1C-433C-ABFB-69F00034C1E9}"/>
    <cellStyle name="Normal 2 9 5 3 10" xfId="38847" xr:uid="{947EFAAE-0691-40D0-940B-7CAC25AC32D8}"/>
    <cellStyle name="Normal 2 9 5 3 11" xfId="38848" xr:uid="{FE430232-2C8A-403D-9F56-63CA55C64FFD}"/>
    <cellStyle name="Normal 2 9 5 3 12" xfId="38849" xr:uid="{F94D1C8C-B99E-48AC-9FFE-D7F6D6AC167C}"/>
    <cellStyle name="Normal 2 9 5 3 2" xfId="38850" xr:uid="{1B9AEA30-744F-4B36-8CB9-D9821EDADED7}"/>
    <cellStyle name="Normal 2 9 5 3 2 2" xfId="38851" xr:uid="{F610B146-6862-41CA-B854-4721F20ACE8F}"/>
    <cellStyle name="Normal 2 9 5 3 2 2 2" xfId="38852" xr:uid="{5019AEDA-343A-41F8-A8EA-B005D79C4E25}"/>
    <cellStyle name="Normal 2 9 5 3 2 2 3" xfId="38853" xr:uid="{518A3FB4-348D-4D23-9265-C109FFD3B3E1}"/>
    <cellStyle name="Normal 2 9 5 3 2 2 4" xfId="38854" xr:uid="{1C8C4ED2-3BB0-4A07-8D9A-5EF41CB431B6}"/>
    <cellStyle name="Normal 2 9 5 3 2 2 5" xfId="38855" xr:uid="{8B03CBA0-07E3-4B9D-9719-B7A8047608CC}"/>
    <cellStyle name="Normal 2 9 5 3 2 3" xfId="38856" xr:uid="{C2795F1D-C31E-4372-A83F-1A60E9A61932}"/>
    <cellStyle name="Normal 2 9 5 3 2 4" xfId="38857" xr:uid="{2E3C05BD-ED2B-45ED-B169-F7E39138B706}"/>
    <cellStyle name="Normal 2 9 5 3 2 5" xfId="38858" xr:uid="{564A3327-65D3-461F-AE30-64ADD07EA264}"/>
    <cellStyle name="Normal 2 9 5 3 2 6" xfId="38859" xr:uid="{7E5294B0-39C0-477A-A975-D5498664C9EA}"/>
    <cellStyle name="Normal 2 9 5 3 3" xfId="38860" xr:uid="{1874ECB1-30AB-4F56-B393-0EAAB758E1F3}"/>
    <cellStyle name="Normal 2 9 5 3 3 2" xfId="38861" xr:uid="{48D16BDE-0884-44DA-B1F5-316722E78B78}"/>
    <cellStyle name="Normal 2 9 5 3 3 2 2" xfId="38862" xr:uid="{847AD89A-11E9-4CB4-9185-D17BECF413E6}"/>
    <cellStyle name="Normal 2 9 5 3 3 2 3" xfId="38863" xr:uid="{47AA8804-A712-4450-9229-AF1E0BED8B5F}"/>
    <cellStyle name="Normal 2 9 5 3 3 2 4" xfId="38864" xr:uid="{9A1BFA12-21C3-41D4-9BC0-DBCA1D8737CB}"/>
    <cellStyle name="Normal 2 9 5 3 3 2 5" xfId="38865" xr:uid="{950FF586-CFCB-4208-87BB-663C7BFCBFC4}"/>
    <cellStyle name="Normal 2 9 5 3 3 3" xfId="38866" xr:uid="{733FC9DE-1AF1-47F6-8AEE-4D8494FB6A58}"/>
    <cellStyle name="Normal 2 9 5 3 3 4" xfId="38867" xr:uid="{972D5F50-0A33-4B0F-B2A6-DAB82716AB7A}"/>
    <cellStyle name="Normal 2 9 5 3 3 5" xfId="38868" xr:uid="{A2C02C29-363D-4A17-829E-403AB430B349}"/>
    <cellStyle name="Normal 2 9 5 3 3 6" xfId="38869" xr:uid="{2CDA0A42-C32B-45CF-A212-17361FB4B98D}"/>
    <cellStyle name="Normal 2 9 5 3 4" xfId="38870" xr:uid="{9D6837EF-991C-4357-8548-18E3950F9F56}"/>
    <cellStyle name="Normal 2 9 5 3 4 2" xfId="38871" xr:uid="{841C9E31-579C-42C6-8B8E-8BCF350B64DE}"/>
    <cellStyle name="Normal 2 9 5 3 4 2 2" xfId="38872" xr:uid="{2A198183-95BE-4706-9E1E-35388E74E3DF}"/>
    <cellStyle name="Normal 2 9 5 3 4 2 3" xfId="38873" xr:uid="{F5E484B3-B7A1-4198-A141-48419A10BD18}"/>
    <cellStyle name="Normal 2 9 5 3 4 2 4" xfId="38874" xr:uid="{40C25BC5-CDAD-4F10-A8C3-CE9E99A608E2}"/>
    <cellStyle name="Normal 2 9 5 3 4 2 5" xfId="38875" xr:uid="{4C124DF4-1451-4E88-B329-534B8AD81D20}"/>
    <cellStyle name="Normal 2 9 5 3 4 3" xfId="38876" xr:uid="{9CD65501-A817-4EE9-9A41-04121E9EB298}"/>
    <cellStyle name="Normal 2 9 5 3 4 4" xfId="38877" xr:uid="{9E7C73B7-F213-4F7F-A94F-EAD19BD1F6DC}"/>
    <cellStyle name="Normal 2 9 5 3 4 5" xfId="38878" xr:uid="{5F33F3CB-DF06-4DB8-BCEF-3F6F13CBA03A}"/>
    <cellStyle name="Normal 2 9 5 3 4 6" xfId="38879" xr:uid="{16115849-F50F-4B00-A2DB-92A2EAB4769A}"/>
    <cellStyle name="Normal 2 9 5 3 5" xfId="38880" xr:uid="{BE7F0315-5FFC-45E5-9399-57968DEAA898}"/>
    <cellStyle name="Normal 2 9 5 3 5 2" xfId="38881" xr:uid="{D4174EF7-9719-4CD4-8337-210BBB51DDB5}"/>
    <cellStyle name="Normal 2 9 5 3 5 3" xfId="38882" xr:uid="{E6229ABC-09C3-4978-83B8-C503B29A85AD}"/>
    <cellStyle name="Normal 2 9 5 3 5 4" xfId="38883" xr:uid="{B9D03722-A44C-4FCB-877B-4FD89BEB7F5A}"/>
    <cellStyle name="Normal 2 9 5 3 5 5" xfId="38884" xr:uid="{70EB35FF-3069-4AC9-8C46-E05AC85E36B1}"/>
    <cellStyle name="Normal 2 9 5 3 6" xfId="38885" xr:uid="{C76EE80A-FFB8-4950-91EC-DECEB44F415A}"/>
    <cellStyle name="Normal 2 9 5 3 6 2" xfId="38886" xr:uid="{A13AC729-1A16-4D41-A822-D051C8C49480}"/>
    <cellStyle name="Normal 2 9 5 3 6 3" xfId="38887" xr:uid="{09652853-85BF-49B7-8C8A-828BA81DC5BE}"/>
    <cellStyle name="Normal 2 9 5 3 6 4" xfId="38888" xr:uid="{4B1E1C43-FD75-4304-929F-DD05B17DF26A}"/>
    <cellStyle name="Normal 2 9 5 3 6 5" xfId="38889" xr:uid="{31BD72AA-F926-4267-A643-B555F6E74794}"/>
    <cellStyle name="Normal 2 9 5 3 7" xfId="38890" xr:uid="{3FA98030-D1FE-460F-AD7F-A32E7F1A075B}"/>
    <cellStyle name="Normal 2 9 5 3 7 2" xfId="38891" xr:uid="{77FBC840-47B5-459C-9ADB-E6CA76F7EE31}"/>
    <cellStyle name="Normal 2 9 5 3 7 3" xfId="38892" xr:uid="{694C273A-DF58-464D-B454-2ED6C046145B}"/>
    <cellStyle name="Normal 2 9 5 3 7 4" xfId="38893" xr:uid="{D0E0941F-50C0-45CF-8442-69B7D8100254}"/>
    <cellStyle name="Normal 2 9 5 3 7 5" xfId="38894" xr:uid="{1717477D-46BE-4CBD-BBFE-07694E6AA062}"/>
    <cellStyle name="Normal 2 9 5 3 8" xfId="38895" xr:uid="{0FB74AFF-04E9-4188-B855-F6782350C47F}"/>
    <cellStyle name="Normal 2 9 5 3 8 2" xfId="38896" xr:uid="{4182E0DA-83A4-406A-9F6D-93CC9DB3A9E7}"/>
    <cellStyle name="Normal 2 9 5 3 8 3" xfId="38897" xr:uid="{260325E0-E823-43EF-A54C-0A271C9B0D47}"/>
    <cellStyle name="Normal 2 9 5 3 8 4" xfId="38898" xr:uid="{B3278164-BDE3-490B-B3BF-CE0217A3E53F}"/>
    <cellStyle name="Normal 2 9 5 3 8 5" xfId="38899" xr:uid="{942F8573-6605-40BE-B94F-AF1E77B0B69A}"/>
    <cellStyle name="Normal 2 9 5 3 9" xfId="38900" xr:uid="{553F9ABF-CF74-4603-BF9E-0CA3A794A96B}"/>
    <cellStyle name="Normal 2 9 5 4" xfId="38901" xr:uid="{E7E24D82-BE10-41D9-A2FA-388707766C95}"/>
    <cellStyle name="Normal 2 9 5 4 2" xfId="38902" xr:uid="{3F50D8FD-D92F-40D8-A7DF-61DBB2832A1B}"/>
    <cellStyle name="Normal 2 9 5 4 2 2" xfId="38903" xr:uid="{04DD5309-7670-4AF4-B62A-3B651BD4A7A4}"/>
    <cellStyle name="Normal 2 9 5 4 2 3" xfId="38904" xr:uid="{64D5B8D0-E15B-42A4-9B69-73F6E574265A}"/>
    <cellStyle name="Normal 2 9 5 4 2 4" xfId="38905" xr:uid="{F95DAFAE-F6CA-48A3-8591-E49F45813522}"/>
    <cellStyle name="Normal 2 9 5 4 2 5" xfId="38906" xr:uid="{6A901CFC-CB4D-4AD7-B4C9-3C4EAE7E7722}"/>
    <cellStyle name="Normal 2 9 5 4 3" xfId="38907" xr:uid="{3E3428E5-34B3-4F30-9D82-B1455A191427}"/>
    <cellStyle name="Normal 2 9 5 4 4" xfId="38908" xr:uid="{D71673FC-FA50-4401-B0BF-780D2C2EC504}"/>
    <cellStyle name="Normal 2 9 5 4 5" xfId="38909" xr:uid="{30592058-F4BB-4DB8-A2A0-FD50976A0283}"/>
    <cellStyle name="Normal 2 9 5 4 6" xfId="38910" xr:uid="{1DDDAF45-7465-4101-8037-B6ACD38B87AC}"/>
    <cellStyle name="Normal 2 9 5 5" xfId="38911" xr:uid="{0B27E867-3942-4DA7-8370-7D72E0982012}"/>
    <cellStyle name="Normal 2 9 5 5 2" xfId="38912" xr:uid="{053CC1A1-5A41-4AF2-906E-6AED2114E654}"/>
    <cellStyle name="Normal 2 9 5 5 2 2" xfId="38913" xr:uid="{E702DEA3-379B-4E1F-AC26-E744772C20EF}"/>
    <cellStyle name="Normal 2 9 5 5 2 3" xfId="38914" xr:uid="{E4640B96-EEC0-431B-A8DA-866F433788D8}"/>
    <cellStyle name="Normal 2 9 5 5 2 4" xfId="38915" xr:uid="{096D74EE-1315-4418-B68A-21DB4D766004}"/>
    <cellStyle name="Normal 2 9 5 5 2 5" xfId="38916" xr:uid="{DD326283-98C3-47C7-B987-512996DCE9E8}"/>
    <cellStyle name="Normal 2 9 5 5 3" xfId="38917" xr:uid="{B0E08B86-BBF2-4D3A-8731-7D313B9EA100}"/>
    <cellStyle name="Normal 2 9 5 5 4" xfId="38918" xr:uid="{6D2D45E3-C817-4D70-BD7E-9036616EBBE5}"/>
    <cellStyle name="Normal 2 9 5 5 5" xfId="38919" xr:uid="{16530537-19EB-4EDD-B285-7C5257CC4126}"/>
    <cellStyle name="Normal 2 9 5 5 6" xfId="38920" xr:uid="{2A649B01-54E9-44A3-A7FD-5ACEEAB7C9F1}"/>
    <cellStyle name="Normal 2 9 5 6" xfId="38921" xr:uid="{D49694CE-EEB4-4A60-9E18-BE1D87B44ED0}"/>
    <cellStyle name="Normal 2 9 5 6 2" xfId="38922" xr:uid="{0FD5AE1A-C0CB-4500-8312-6C6624C2BFD1}"/>
    <cellStyle name="Normal 2 9 5 6 2 2" xfId="38923" xr:uid="{1F6ED8A2-3DA2-4134-B4D3-D81A7F18B9C6}"/>
    <cellStyle name="Normal 2 9 5 6 2 3" xfId="38924" xr:uid="{BA2312CC-145D-4B6F-B7C7-7EBC8D83AEAB}"/>
    <cellStyle name="Normal 2 9 5 6 2 4" xfId="38925" xr:uid="{1E4BFD6B-8E07-4C6D-A4A8-AF4E016E41D6}"/>
    <cellStyle name="Normal 2 9 5 6 2 5" xfId="38926" xr:uid="{DF3D6DB4-C3B3-49B4-814E-AEC74BF6EA59}"/>
    <cellStyle name="Normal 2 9 5 6 3" xfId="38927" xr:uid="{C85DE2B9-5055-438D-803C-B122D35C6B15}"/>
    <cellStyle name="Normal 2 9 5 6 4" xfId="38928" xr:uid="{5B6A0CED-5D6B-4E1A-9A52-21F3156AABD4}"/>
    <cellStyle name="Normal 2 9 5 6 5" xfId="38929" xr:uid="{AF62A996-E46F-4EF0-882D-689DF5ED964E}"/>
    <cellStyle name="Normal 2 9 5 6 6" xfId="38930" xr:uid="{16AA8ED9-4FC4-4564-AA94-2FBC581CB60F}"/>
    <cellStyle name="Normal 2 9 5 7" xfId="38931" xr:uid="{D253F1E7-546A-4F0D-94C4-92EE48C87F26}"/>
    <cellStyle name="Normal 2 9 5 7 2" xfId="38932" xr:uid="{8559A478-C0CC-434C-ACAA-FC180FEC6004}"/>
    <cellStyle name="Normal 2 9 5 7 3" xfId="38933" xr:uid="{8E94D8B2-CE63-408E-AA72-347036E77577}"/>
    <cellStyle name="Normal 2 9 5 7 4" xfId="38934" xr:uid="{EA17BFDA-9D04-4D9D-8794-F13C3BE2A932}"/>
    <cellStyle name="Normal 2 9 5 7 5" xfId="38935" xr:uid="{16463AE7-B86D-4A22-9FDE-2F331E4E4177}"/>
    <cellStyle name="Normal 2 9 5 8" xfId="38936" xr:uid="{54A38119-9A04-4051-8FD3-CF4C38EA3946}"/>
    <cellStyle name="Normal 2 9 5 8 2" xfId="38937" xr:uid="{D240ADFB-DD9F-41CB-8646-985ECB3024A4}"/>
    <cellStyle name="Normal 2 9 5 8 3" xfId="38938" xr:uid="{4E66598D-6BCB-4DA9-9A0D-029DFCE4803C}"/>
    <cellStyle name="Normal 2 9 5 8 4" xfId="38939" xr:uid="{50FA82FC-F567-4B06-9380-85FF5F73F388}"/>
    <cellStyle name="Normal 2 9 5 8 5" xfId="38940" xr:uid="{27FCE107-2B8E-4BC1-A246-A506D234E69E}"/>
    <cellStyle name="Normal 2 9 5 9" xfId="38941" xr:uid="{09D97889-493F-4C83-93BB-34715A6B2BA8}"/>
    <cellStyle name="Normal 2 9 5 9 2" xfId="38942" xr:uid="{605840C6-688E-4CD8-A841-5B86C2C0EA96}"/>
    <cellStyle name="Normal 2 9 5 9 3" xfId="38943" xr:uid="{6C8DAB15-1312-4AA0-A3B6-244774460622}"/>
    <cellStyle name="Normal 2 9 5 9 4" xfId="38944" xr:uid="{57254B96-85D0-4B27-AC77-167CA2657002}"/>
    <cellStyle name="Normal 2 9 5 9 5" xfId="38945" xr:uid="{40D49D0B-009D-45AE-A4E2-E6B6407D5EF7}"/>
    <cellStyle name="Normal 2 9 6" xfId="38946" xr:uid="{226E6C02-C9F7-4C14-AF71-AC26B70C80B8}"/>
    <cellStyle name="Normal 2 9 6 10" xfId="38947" xr:uid="{A179D095-B842-4A54-A366-CADE5AD2FF54}"/>
    <cellStyle name="Normal 2 9 6 11" xfId="38948" xr:uid="{865B3AAB-B291-48AA-B461-B1D0FB5E99D8}"/>
    <cellStyle name="Normal 2 9 6 12" xfId="38949" xr:uid="{A4B113C5-2E0D-4056-B2C9-528719F519B5}"/>
    <cellStyle name="Normal 2 9 6 13" xfId="38950" xr:uid="{7988B9FD-323D-412B-A58F-4B98CC3A1DB5}"/>
    <cellStyle name="Normal 2 9 6 2" xfId="38951" xr:uid="{36CEBEE9-7F3F-44F9-A97B-AE7F187E149D}"/>
    <cellStyle name="Normal 2 9 6 2 10" xfId="38952" xr:uid="{C9474607-5AB0-4ED7-8DC0-B34BFAB8601B}"/>
    <cellStyle name="Normal 2 9 6 2 11" xfId="38953" xr:uid="{0F173056-23AA-4499-9E51-BCE82B92CA8F}"/>
    <cellStyle name="Normal 2 9 6 2 12" xfId="38954" xr:uid="{EBC29A2C-93B0-45A9-AB4E-590EF6BE9A00}"/>
    <cellStyle name="Normal 2 9 6 2 2" xfId="38955" xr:uid="{54A686B9-C8ED-4186-BD9B-D3FCC6BB5E18}"/>
    <cellStyle name="Normal 2 9 6 2 2 2" xfId="38956" xr:uid="{2C01CEFE-ECE2-4217-AD15-CC097820CF3E}"/>
    <cellStyle name="Normal 2 9 6 2 2 2 2" xfId="38957" xr:uid="{422F0ACB-0E2E-491F-A03C-C97C2480BA66}"/>
    <cellStyle name="Normal 2 9 6 2 2 2 3" xfId="38958" xr:uid="{E6C42510-A0BB-4CCD-9686-CCE337DAC47B}"/>
    <cellStyle name="Normal 2 9 6 2 2 2 4" xfId="38959" xr:uid="{2869E817-145A-43AA-AFC6-16909B6ED023}"/>
    <cellStyle name="Normal 2 9 6 2 2 2 5" xfId="38960" xr:uid="{8C1F9B72-FB65-439F-B75D-9DA6ACF9D345}"/>
    <cellStyle name="Normal 2 9 6 2 2 3" xfId="38961" xr:uid="{E23933D8-E7FB-4F80-9934-2DB7EA7BEE27}"/>
    <cellStyle name="Normal 2 9 6 2 2 4" xfId="38962" xr:uid="{F63FD14D-390B-4F8D-BD71-92BDC24F563A}"/>
    <cellStyle name="Normal 2 9 6 2 2 5" xfId="38963" xr:uid="{E6F4FCA7-EDE0-42FD-B5F5-93B81C1883AF}"/>
    <cellStyle name="Normal 2 9 6 2 2 6" xfId="38964" xr:uid="{4CB588EF-B242-4DDF-9B90-E12ED0ADD884}"/>
    <cellStyle name="Normal 2 9 6 2 3" xfId="38965" xr:uid="{5493C41E-648A-423C-B628-B3F8C30E86AE}"/>
    <cellStyle name="Normal 2 9 6 2 3 2" xfId="38966" xr:uid="{281E09D3-D04B-457B-AA53-9DCE605F93D6}"/>
    <cellStyle name="Normal 2 9 6 2 3 2 2" xfId="38967" xr:uid="{62461E17-84B9-4E37-A4EA-0301039FDA28}"/>
    <cellStyle name="Normal 2 9 6 2 3 2 3" xfId="38968" xr:uid="{29855F58-9568-435E-9474-1844AB2EF2D1}"/>
    <cellStyle name="Normal 2 9 6 2 3 2 4" xfId="38969" xr:uid="{28AF0AA6-94E8-4C9A-93E9-A8B26307A845}"/>
    <cellStyle name="Normal 2 9 6 2 3 2 5" xfId="38970" xr:uid="{8897E8E4-6DB7-4DEE-B68A-5147DE79992F}"/>
    <cellStyle name="Normal 2 9 6 2 3 3" xfId="38971" xr:uid="{911AECE3-B2C3-4B09-8587-5A7C2D72EF95}"/>
    <cellStyle name="Normal 2 9 6 2 3 4" xfId="38972" xr:uid="{1EDBE768-DD07-407E-8E8F-D03E971BA57E}"/>
    <cellStyle name="Normal 2 9 6 2 3 5" xfId="38973" xr:uid="{BDA8931E-F416-49EB-A4F9-9BED485EE2CA}"/>
    <cellStyle name="Normal 2 9 6 2 3 6" xfId="38974" xr:uid="{DC33A605-4CD2-4820-8448-43D394F977A9}"/>
    <cellStyle name="Normal 2 9 6 2 4" xfId="38975" xr:uid="{0C061C29-A8C9-4740-B69D-4F2E966C4A7F}"/>
    <cellStyle name="Normal 2 9 6 2 4 2" xfId="38976" xr:uid="{70590464-4F30-4808-B068-12877F334B7C}"/>
    <cellStyle name="Normal 2 9 6 2 4 2 2" xfId="38977" xr:uid="{5C8DC4A0-9D06-4E9B-8321-677B802C6389}"/>
    <cellStyle name="Normal 2 9 6 2 4 2 3" xfId="38978" xr:uid="{0A517FAD-0D29-447C-ADD9-DAEC8D6CB352}"/>
    <cellStyle name="Normal 2 9 6 2 4 2 4" xfId="38979" xr:uid="{B0842179-B6CC-438E-A47F-760261A1827C}"/>
    <cellStyle name="Normal 2 9 6 2 4 2 5" xfId="38980" xr:uid="{D57EB1B3-FC75-4B8E-9FC0-B9D1879BC1F5}"/>
    <cellStyle name="Normal 2 9 6 2 4 3" xfId="38981" xr:uid="{1E6A9C0C-5DE7-4F4F-BDBC-A118E573F377}"/>
    <cellStyle name="Normal 2 9 6 2 4 4" xfId="38982" xr:uid="{838411D0-D705-48E1-B198-7D5A5317D47B}"/>
    <cellStyle name="Normal 2 9 6 2 4 5" xfId="38983" xr:uid="{70C3C016-3E7B-4312-87BA-72553B8FFCB6}"/>
    <cellStyle name="Normal 2 9 6 2 4 6" xfId="38984" xr:uid="{94E7825A-EBC1-48BA-BC2D-D0C8086A9C51}"/>
    <cellStyle name="Normal 2 9 6 2 5" xfId="38985" xr:uid="{21664608-F70E-4C4C-A388-F58A1FC1153D}"/>
    <cellStyle name="Normal 2 9 6 2 5 2" xfId="38986" xr:uid="{E77AEBAD-EF83-47B6-84E7-DC912D05526D}"/>
    <cellStyle name="Normal 2 9 6 2 5 3" xfId="38987" xr:uid="{58F96680-7C25-41C1-805A-9DC6645C2FC8}"/>
    <cellStyle name="Normal 2 9 6 2 5 4" xfId="38988" xr:uid="{F6194B9D-B852-442A-9BDF-656731DC42F7}"/>
    <cellStyle name="Normal 2 9 6 2 5 5" xfId="38989" xr:uid="{A051DE1A-7445-4FDA-A4A3-84C567D73641}"/>
    <cellStyle name="Normal 2 9 6 2 6" xfId="38990" xr:uid="{91EE9007-D763-4F14-B3AA-35031C397773}"/>
    <cellStyle name="Normal 2 9 6 2 6 2" xfId="38991" xr:uid="{D9E61F18-73A9-44FB-B6DE-3DB0AB9B8ABA}"/>
    <cellStyle name="Normal 2 9 6 2 6 3" xfId="38992" xr:uid="{310DFE2E-15F8-4AF9-8502-612ACC58C669}"/>
    <cellStyle name="Normal 2 9 6 2 6 4" xfId="38993" xr:uid="{2A9258A6-8EBF-4E8D-8958-A918C85BEF2F}"/>
    <cellStyle name="Normal 2 9 6 2 6 5" xfId="38994" xr:uid="{EDC2889B-22F2-43CF-B06E-63CD7361FC02}"/>
    <cellStyle name="Normal 2 9 6 2 7" xfId="38995" xr:uid="{AF86B80B-71DC-43F9-BCA0-19B11212AD33}"/>
    <cellStyle name="Normal 2 9 6 2 7 2" xfId="38996" xr:uid="{BEDC72C9-A058-46D0-BA63-6CEEBDF78602}"/>
    <cellStyle name="Normal 2 9 6 2 7 3" xfId="38997" xr:uid="{F7C4CC57-8175-4C6C-A75E-6A7A7AE890FB}"/>
    <cellStyle name="Normal 2 9 6 2 7 4" xfId="38998" xr:uid="{9BCECBB0-9FE9-43F9-924B-A81D8C70CB46}"/>
    <cellStyle name="Normal 2 9 6 2 7 5" xfId="38999" xr:uid="{52C2EC75-1FD6-4D9D-A35C-DD041BFAF4EA}"/>
    <cellStyle name="Normal 2 9 6 2 8" xfId="39000" xr:uid="{A75519C1-BEA1-4177-8114-6F3061E7BC71}"/>
    <cellStyle name="Normal 2 9 6 2 8 2" xfId="39001" xr:uid="{97CFCA3F-940E-4009-92E6-18D2A0D242C4}"/>
    <cellStyle name="Normal 2 9 6 2 8 3" xfId="39002" xr:uid="{186DAA31-702C-4DE1-9E58-8B7869B49EF7}"/>
    <cellStyle name="Normal 2 9 6 2 8 4" xfId="39003" xr:uid="{781BE6CE-10C7-4301-BC78-38A352D2FC11}"/>
    <cellStyle name="Normal 2 9 6 2 8 5" xfId="39004" xr:uid="{8A5216C6-9A07-4DFD-B4A7-458C2268B7DA}"/>
    <cellStyle name="Normal 2 9 6 2 9" xfId="39005" xr:uid="{BC8E8821-86E9-400B-A1FA-901CDE7281FB}"/>
    <cellStyle name="Normal 2 9 6 3" xfId="39006" xr:uid="{D1D40694-0C97-4882-A0E0-F5C122E669DB}"/>
    <cellStyle name="Normal 2 9 6 3 2" xfId="39007" xr:uid="{792684CD-45F2-4188-8F59-EC2CB896AE44}"/>
    <cellStyle name="Normal 2 9 6 3 2 2" xfId="39008" xr:uid="{B7E47A54-2BEA-404C-AD3B-4BE12BB457F4}"/>
    <cellStyle name="Normal 2 9 6 3 2 3" xfId="39009" xr:uid="{A978DF1C-7C2C-4750-8DA4-807CC340CA65}"/>
    <cellStyle name="Normal 2 9 6 3 2 4" xfId="39010" xr:uid="{D652282D-88D1-4293-8F08-A7B588EA17A7}"/>
    <cellStyle name="Normal 2 9 6 3 2 5" xfId="39011" xr:uid="{E759ED2E-F7E2-42F0-8141-BB01FD583294}"/>
    <cellStyle name="Normal 2 9 6 3 3" xfId="39012" xr:uid="{6E9C1722-C3BD-4E3B-9CD4-02EACE6E7A20}"/>
    <cellStyle name="Normal 2 9 6 3 4" xfId="39013" xr:uid="{B112790A-301D-4F64-9625-3DE0270AE16F}"/>
    <cellStyle name="Normal 2 9 6 3 5" xfId="39014" xr:uid="{5BE819EA-AE21-45D2-AA79-8DCBE480851F}"/>
    <cellStyle name="Normal 2 9 6 3 6" xfId="39015" xr:uid="{539EDA57-6D60-49E4-8072-A3BCD953D481}"/>
    <cellStyle name="Normal 2 9 6 4" xfId="39016" xr:uid="{D6499F31-28FE-4C8C-8312-D079B3FE37F0}"/>
    <cellStyle name="Normal 2 9 6 4 2" xfId="39017" xr:uid="{9A2C572D-425D-4803-9416-0D79EBB4B29B}"/>
    <cellStyle name="Normal 2 9 6 4 2 2" xfId="39018" xr:uid="{5507C81A-7000-4820-9BAD-DB5BD42266A4}"/>
    <cellStyle name="Normal 2 9 6 4 2 3" xfId="39019" xr:uid="{CC2330A5-C577-4B6E-9870-15B894476A6B}"/>
    <cellStyle name="Normal 2 9 6 4 2 4" xfId="39020" xr:uid="{47665D6A-E00D-46FE-8D6F-BD6C030CEFFC}"/>
    <cellStyle name="Normal 2 9 6 4 2 5" xfId="39021" xr:uid="{BF1BE4F2-CFF6-467E-8B26-5C756332EC14}"/>
    <cellStyle name="Normal 2 9 6 4 3" xfId="39022" xr:uid="{E0DB552E-017C-41F6-B5B5-6D92E002132E}"/>
    <cellStyle name="Normal 2 9 6 4 4" xfId="39023" xr:uid="{42148547-1CEB-41A9-9FC4-E4926D3B2371}"/>
    <cellStyle name="Normal 2 9 6 4 5" xfId="39024" xr:uid="{2758DFAB-C42A-4D9E-A222-D48906D5E773}"/>
    <cellStyle name="Normal 2 9 6 4 6" xfId="39025" xr:uid="{DBAEFE9E-EBB3-47E2-9375-292147FE7AC6}"/>
    <cellStyle name="Normal 2 9 6 5" xfId="39026" xr:uid="{D570A6DC-34E3-4770-951E-F20442276DF0}"/>
    <cellStyle name="Normal 2 9 6 5 2" xfId="39027" xr:uid="{972AFB9C-F532-400C-9139-481D7AAD2DED}"/>
    <cellStyle name="Normal 2 9 6 5 2 2" xfId="39028" xr:uid="{4659D7D0-6347-44B3-BBDC-9F58EF2DE5BA}"/>
    <cellStyle name="Normal 2 9 6 5 2 3" xfId="39029" xr:uid="{691DAC68-F151-4C11-A2E8-D532932162FE}"/>
    <cellStyle name="Normal 2 9 6 5 2 4" xfId="39030" xr:uid="{3D7C1090-14A5-403E-AAD9-36CC9A049A9F}"/>
    <cellStyle name="Normal 2 9 6 5 2 5" xfId="39031" xr:uid="{00429F15-37C3-4740-8FA7-9F054639B30D}"/>
    <cellStyle name="Normal 2 9 6 5 3" xfId="39032" xr:uid="{15FD69D0-AB22-46CC-B11F-5170F140634A}"/>
    <cellStyle name="Normal 2 9 6 5 4" xfId="39033" xr:uid="{4A163B3D-52CD-4CDA-8F88-401FE48D0206}"/>
    <cellStyle name="Normal 2 9 6 5 5" xfId="39034" xr:uid="{E3B5F426-F734-4986-BC27-81225B379DE6}"/>
    <cellStyle name="Normal 2 9 6 5 6" xfId="39035" xr:uid="{4E642445-A9E6-44B6-996A-B83DC437356F}"/>
    <cellStyle name="Normal 2 9 6 6" xfId="39036" xr:uid="{424C8387-8293-4ED1-9F06-BD0B91FB2E5A}"/>
    <cellStyle name="Normal 2 9 6 6 2" xfId="39037" xr:uid="{45073141-3514-434D-B203-36E47AD59E74}"/>
    <cellStyle name="Normal 2 9 6 6 3" xfId="39038" xr:uid="{93E70661-F793-47EA-9C4A-A7EE4A1AC93E}"/>
    <cellStyle name="Normal 2 9 6 6 4" xfId="39039" xr:uid="{3823E95B-C18E-4CBF-9681-918D85AF6E5B}"/>
    <cellStyle name="Normal 2 9 6 6 5" xfId="39040" xr:uid="{18C6068E-73D5-4C6A-A658-ED2DA2F47468}"/>
    <cellStyle name="Normal 2 9 6 7" xfId="39041" xr:uid="{8490A36B-0BBA-4360-9483-90BF64EAE99D}"/>
    <cellStyle name="Normal 2 9 6 7 2" xfId="39042" xr:uid="{82F5645F-ED23-4D2A-9A6B-E196F6581641}"/>
    <cellStyle name="Normal 2 9 6 7 3" xfId="39043" xr:uid="{7F7E5A5F-D0B6-4EB9-9F0F-C161FCA61BBB}"/>
    <cellStyle name="Normal 2 9 6 7 4" xfId="39044" xr:uid="{E267EC9F-BD8C-46A0-A8C8-4B8F68281E63}"/>
    <cellStyle name="Normal 2 9 6 7 5" xfId="39045" xr:uid="{BDB21800-0AB1-4FCF-95E4-6A01F645BEAA}"/>
    <cellStyle name="Normal 2 9 6 8" xfId="39046" xr:uid="{1A9C8760-CE14-493B-95C5-177A610C9435}"/>
    <cellStyle name="Normal 2 9 6 8 2" xfId="39047" xr:uid="{74290A91-5287-414D-BB84-2824D16786DA}"/>
    <cellStyle name="Normal 2 9 6 8 3" xfId="39048" xr:uid="{66EEFC45-7D95-4D28-9440-BE4A8DAA5AA6}"/>
    <cellStyle name="Normal 2 9 6 8 4" xfId="39049" xr:uid="{612F56C4-767B-4756-BBA9-7A1D314B6C37}"/>
    <cellStyle name="Normal 2 9 6 8 5" xfId="39050" xr:uid="{8AEE2A7A-C97C-4303-8B89-B75C0F17C0F9}"/>
    <cellStyle name="Normal 2 9 6 9" xfId="39051" xr:uid="{777AB970-6EBA-46B7-A4AF-9AC4B0CD011D}"/>
    <cellStyle name="Normal 2 9 6 9 2" xfId="39052" xr:uid="{19C51AF6-196C-44FD-B1C9-AF96DA398C55}"/>
    <cellStyle name="Normal 2 9 6 9 3" xfId="39053" xr:uid="{B83A2D55-328B-4358-96ED-8C188677F2CA}"/>
    <cellStyle name="Normal 2 9 6 9 4" xfId="39054" xr:uid="{3E5FF2DD-6731-4B51-A514-E77540176EFD}"/>
    <cellStyle name="Normal 2 9 6 9 5" xfId="39055" xr:uid="{92594961-B70E-4183-88E8-F2554CA3C086}"/>
    <cellStyle name="Normal 2 9 7" xfId="39056" xr:uid="{CFE53641-12C5-42A4-8C14-7133F84A15AB}"/>
    <cellStyle name="Normal 2 9 7 10" xfId="39057" xr:uid="{18B5BC74-EDF1-4B4A-B683-CEB7C76FCBB8}"/>
    <cellStyle name="Normal 2 9 7 11" xfId="39058" xr:uid="{BDDF6CFB-C05B-463A-8D00-72D746BD1EBF}"/>
    <cellStyle name="Normal 2 9 7 12" xfId="39059" xr:uid="{D6F5953F-506E-494C-B417-4D236A478EF6}"/>
    <cellStyle name="Normal 2 9 7 2" xfId="39060" xr:uid="{1FFCB414-8BA0-45C3-8C1A-AD71C90CB415}"/>
    <cellStyle name="Normal 2 9 7 2 2" xfId="39061" xr:uid="{8C29FF84-2E8E-47D1-AB41-0C5D51DFCB0A}"/>
    <cellStyle name="Normal 2 9 7 2 2 2" xfId="39062" xr:uid="{814B7340-6CBB-45A7-8A93-720368CD23D0}"/>
    <cellStyle name="Normal 2 9 7 2 2 3" xfId="39063" xr:uid="{67066C57-68B4-40F5-8B46-9BA7530CAF1D}"/>
    <cellStyle name="Normal 2 9 7 2 2 4" xfId="39064" xr:uid="{0882DF93-F65A-4795-9374-A0CA238EC6C5}"/>
    <cellStyle name="Normal 2 9 7 2 2 5" xfId="39065" xr:uid="{D2362661-1A8A-4152-A454-71E9290C1DC9}"/>
    <cellStyle name="Normal 2 9 7 2 3" xfId="39066" xr:uid="{15F0759F-F71A-48C6-A8AB-EEF45BA42C89}"/>
    <cellStyle name="Normal 2 9 7 2 4" xfId="39067" xr:uid="{D9579CC1-6C40-43EE-AD39-A121B3E5971D}"/>
    <cellStyle name="Normal 2 9 7 2 5" xfId="39068" xr:uid="{D0E4AAA0-3F3B-4A3A-8057-C4D0619F47F1}"/>
    <cellStyle name="Normal 2 9 7 2 6" xfId="39069" xr:uid="{9456D4EE-5278-4377-8BB5-E5E96463F96D}"/>
    <cellStyle name="Normal 2 9 7 3" xfId="39070" xr:uid="{EB2D6BF4-C42D-45D4-B841-019D9D7ED105}"/>
    <cellStyle name="Normal 2 9 7 3 2" xfId="39071" xr:uid="{45F90982-917C-40CC-A1D3-7937BD11D413}"/>
    <cellStyle name="Normal 2 9 7 3 2 2" xfId="39072" xr:uid="{9D361DF1-4B50-4625-A977-E9EB06E14B23}"/>
    <cellStyle name="Normal 2 9 7 3 2 3" xfId="39073" xr:uid="{F592226C-50DD-4EFE-96D0-D6438465BCEB}"/>
    <cellStyle name="Normal 2 9 7 3 2 4" xfId="39074" xr:uid="{C9D21B32-D3A5-40C6-9421-92BABF061E4A}"/>
    <cellStyle name="Normal 2 9 7 3 2 5" xfId="39075" xr:uid="{CA05675F-A4DA-4817-96D3-CBF8ED39CD0F}"/>
    <cellStyle name="Normal 2 9 7 3 3" xfId="39076" xr:uid="{0504C245-73E5-4ED3-9D88-0A72B60B134D}"/>
    <cellStyle name="Normal 2 9 7 3 4" xfId="39077" xr:uid="{5392FF21-8836-4E50-AE41-DF41C7A073A7}"/>
    <cellStyle name="Normal 2 9 7 3 5" xfId="39078" xr:uid="{D087F948-AEAF-4135-BC0D-227793772013}"/>
    <cellStyle name="Normal 2 9 7 3 6" xfId="39079" xr:uid="{890EC80F-A0CB-4FBA-8559-0BA4AAEAB514}"/>
    <cellStyle name="Normal 2 9 7 4" xfId="39080" xr:uid="{14318D43-C705-4FA6-8508-ADD4BF05B0F5}"/>
    <cellStyle name="Normal 2 9 7 4 2" xfId="39081" xr:uid="{322C980E-192E-4903-8C64-FCD3D1EC57DE}"/>
    <cellStyle name="Normal 2 9 7 4 2 2" xfId="39082" xr:uid="{72C45C92-3B1B-45AC-8202-170E1798A455}"/>
    <cellStyle name="Normal 2 9 7 4 2 3" xfId="39083" xr:uid="{9BD91266-3D28-4684-B89B-006FA8373478}"/>
    <cellStyle name="Normal 2 9 7 4 2 4" xfId="39084" xr:uid="{EB8C1F35-3DF6-4D92-96A3-041F78A560AD}"/>
    <cellStyle name="Normal 2 9 7 4 2 5" xfId="39085" xr:uid="{201BC1AC-A677-4B1B-A80F-6CAB0BD7E180}"/>
    <cellStyle name="Normal 2 9 7 4 3" xfId="39086" xr:uid="{63A35A86-F5C4-444B-9D3B-E9C1562DF671}"/>
    <cellStyle name="Normal 2 9 7 4 4" xfId="39087" xr:uid="{B46CFA72-E656-48FD-B839-C77C0646AC6B}"/>
    <cellStyle name="Normal 2 9 7 4 5" xfId="39088" xr:uid="{21A09D6B-6B22-4F73-8BC7-33E9EF04844B}"/>
    <cellStyle name="Normal 2 9 7 4 6" xfId="39089" xr:uid="{9FEED8D2-62E2-438B-AADB-3E0BF7054C23}"/>
    <cellStyle name="Normal 2 9 7 5" xfId="39090" xr:uid="{72F33061-24F6-4470-A2CE-E5DAF905D594}"/>
    <cellStyle name="Normal 2 9 7 5 2" xfId="39091" xr:uid="{0281801A-FE65-4574-AFD1-36F4A7226D23}"/>
    <cellStyle name="Normal 2 9 7 5 3" xfId="39092" xr:uid="{E3CD3EAD-B29D-46CD-98EB-4314C1050717}"/>
    <cellStyle name="Normal 2 9 7 5 4" xfId="39093" xr:uid="{C5D69502-7A98-4CA5-892C-9632EFF6EF23}"/>
    <cellStyle name="Normal 2 9 7 5 5" xfId="39094" xr:uid="{6B619305-E720-4365-ADCD-541E050D8CB8}"/>
    <cellStyle name="Normal 2 9 7 6" xfId="39095" xr:uid="{F2D7909E-9B15-4444-881C-ED38E2829F67}"/>
    <cellStyle name="Normal 2 9 7 6 2" xfId="39096" xr:uid="{F6EEDF76-E782-4A9B-A6F4-71C7C3378064}"/>
    <cellStyle name="Normal 2 9 7 6 3" xfId="39097" xr:uid="{9A0EE1E4-7372-4E26-8D57-D0F5F9108FC0}"/>
    <cellStyle name="Normal 2 9 7 6 4" xfId="39098" xr:uid="{8587B59E-B404-47D8-B8BF-FF41CD3D4298}"/>
    <cellStyle name="Normal 2 9 7 6 5" xfId="39099" xr:uid="{B523CF5E-12B6-45C6-B167-CCB55C45C78F}"/>
    <cellStyle name="Normal 2 9 7 7" xfId="39100" xr:uid="{E6469295-A039-4D5D-8FCB-F13D1DB6AFAB}"/>
    <cellStyle name="Normal 2 9 7 7 2" xfId="39101" xr:uid="{30E4968A-6BCB-4244-95CD-4B0D1F19B9E8}"/>
    <cellStyle name="Normal 2 9 7 7 3" xfId="39102" xr:uid="{FA09FB83-3264-46F6-80C9-EAFED091BCC9}"/>
    <cellStyle name="Normal 2 9 7 7 4" xfId="39103" xr:uid="{89F1FED2-2111-4AD3-B97D-1D7BD9625BDB}"/>
    <cellStyle name="Normal 2 9 7 7 5" xfId="39104" xr:uid="{E21CA9EF-6FAC-4BC8-84BC-E3275B12E9BD}"/>
    <cellStyle name="Normal 2 9 7 8" xfId="39105" xr:uid="{C71BBF14-E574-4EA7-86E8-673C3F8D7399}"/>
    <cellStyle name="Normal 2 9 7 8 2" xfId="39106" xr:uid="{61E92497-7F86-495F-BF5C-755DC3E7F6DD}"/>
    <cellStyle name="Normal 2 9 7 8 3" xfId="39107" xr:uid="{FEDA31E8-297A-4B63-AF05-778ACA08E5BC}"/>
    <cellStyle name="Normal 2 9 7 8 4" xfId="39108" xr:uid="{E6A87477-D360-4A46-AC21-EBBB5EE22ADE}"/>
    <cellStyle name="Normal 2 9 7 8 5" xfId="39109" xr:uid="{7A975E0D-8EE7-43E4-B5BF-46A3E7445C5A}"/>
    <cellStyle name="Normal 2 9 7 9" xfId="39110" xr:uid="{6733E95E-01B2-42FE-B2E3-A64CF37F9B0F}"/>
    <cellStyle name="Normal 2 9 8" xfId="39111" xr:uid="{BC696461-80CF-4865-8B88-700690FC0E1B}"/>
    <cellStyle name="Normal 2 9 8 2" xfId="39112" xr:uid="{0DE1DF63-3E16-4728-8D9A-FA48732BFAB7}"/>
    <cellStyle name="Normal 2 9 8 2 2" xfId="39113" xr:uid="{36CE3E7B-8F6C-4010-B10D-9721516F75D7}"/>
    <cellStyle name="Normal 2 9 8 2 3" xfId="39114" xr:uid="{D36F479C-9130-4219-9DFA-B226C31E3EE6}"/>
    <cellStyle name="Normal 2 9 8 2 4" xfId="39115" xr:uid="{BD0A217C-37DB-435E-B732-C5F6EC5A7084}"/>
    <cellStyle name="Normal 2 9 8 2 5" xfId="39116" xr:uid="{5784252D-80E6-4946-A1F7-9B37DEA40BCC}"/>
    <cellStyle name="Normal 2 9 8 3" xfId="39117" xr:uid="{35991C5F-8459-413D-84E5-2E992584AE40}"/>
    <cellStyle name="Normal 2 9 8 4" xfId="39118" xr:uid="{6A426750-3C3C-48F8-A5BC-A208D75CDC08}"/>
    <cellStyle name="Normal 2 9 8 5" xfId="39119" xr:uid="{CD6994E8-7C38-4669-8587-1609E3D852B8}"/>
    <cellStyle name="Normal 2 9 8 6" xfId="39120" xr:uid="{11CA0E96-7FF9-4BE5-98FC-04C282F27698}"/>
    <cellStyle name="Normal 2 9 9" xfId="39121" xr:uid="{E5A2E12F-7A12-4BC1-B1C9-A1C8358D7DF5}"/>
    <cellStyle name="Normal 2 9 9 2" xfId="39122" xr:uid="{6D9DABEF-D3D1-4BA5-8574-7D0A2FC7FD75}"/>
    <cellStyle name="Normal 2 9 9 2 2" xfId="39123" xr:uid="{C4C9D3D9-924D-4D68-A04E-92351A0CF51D}"/>
    <cellStyle name="Normal 2 9 9 2 3" xfId="39124" xr:uid="{BA14F314-8E2A-4775-B70E-AF035951C59A}"/>
    <cellStyle name="Normal 2 9 9 2 4" xfId="39125" xr:uid="{0D571F6B-5048-4AB1-8EA2-D08368C329F0}"/>
    <cellStyle name="Normal 2 9 9 2 5" xfId="39126" xr:uid="{B6CF593E-39C0-4926-82E1-D0002A2E4D96}"/>
    <cellStyle name="Normal 2 9 9 3" xfId="39127" xr:uid="{7432D58D-517A-4937-BF7F-1BBC3DE05836}"/>
    <cellStyle name="Normal 2 9 9 4" xfId="39128" xr:uid="{02343EE5-553D-4EB0-B8A4-05BBA4F78610}"/>
    <cellStyle name="Normal 2 9 9 5" xfId="39129" xr:uid="{6E2A9AE9-B718-49E2-9DCC-CFA1C147435A}"/>
    <cellStyle name="Normal 2 9 9 6" xfId="39130" xr:uid="{30B72711-4CBD-470B-8CA0-C8E79709E5AD}"/>
    <cellStyle name="Normal 20" xfId="39131" xr:uid="{3C420E3B-3B93-49DB-BCB9-590A10B5665F}"/>
    <cellStyle name="Normal 20 10" xfId="39132" xr:uid="{A1CBE9ED-5497-4AAE-B003-50ADF1767965}"/>
    <cellStyle name="Normal 20 11" xfId="39133" xr:uid="{8EFD52A6-244D-4E19-A9F2-E1672E0DD27A}"/>
    <cellStyle name="Normal 20 12" xfId="43544" xr:uid="{3663B54B-2280-40D4-8D34-E4F734C74C6F}"/>
    <cellStyle name="Normal 20 2" xfId="39134" xr:uid="{7ABD32A0-4FC6-4105-A303-FAF40EE9FDA0}"/>
    <cellStyle name="Normal 20 23" xfId="43545" xr:uid="{D1C07F81-572A-4ABA-8860-D668E2517FE5}"/>
    <cellStyle name="Normal 20 27" xfId="43546" xr:uid="{595E8EB2-2EC1-49B5-8052-7C4E95AF6036}"/>
    <cellStyle name="Normal 20 3" xfId="39135" xr:uid="{BACF2719-FE13-4721-A984-9AC07E744367}"/>
    <cellStyle name="Normal 20 4" xfId="39136" xr:uid="{44D2BCD1-8E6C-4743-803D-FA5FF9762897}"/>
    <cellStyle name="Normal 20 5" xfId="39137" xr:uid="{88972F91-3D56-4E5A-8BDB-ED7F5D987012}"/>
    <cellStyle name="Normal 20 6" xfId="39138" xr:uid="{B71D6F2B-88E9-4C3C-8298-6CBD08EDEB8D}"/>
    <cellStyle name="Normal 20 7" xfId="39139" xr:uid="{5F18389E-E374-4454-8E92-56BD8126F992}"/>
    <cellStyle name="Normal 20 8" xfId="39140" xr:uid="{DA48340D-56D0-4665-B51D-E11B87496036}"/>
    <cellStyle name="Normal 20 9" xfId="39141" xr:uid="{64AE24F5-06F2-4C79-B7A2-8C7919EE0C94}"/>
    <cellStyle name="Normal 21" xfId="39142" xr:uid="{F02266D7-3BA5-4A55-A94A-8906EBA2AEE6}"/>
    <cellStyle name="Normal 21 10" xfId="39143" xr:uid="{3160F410-2AB6-4D04-991F-DDAA343080DC}"/>
    <cellStyle name="Normal 21 11" xfId="39144" xr:uid="{4F3940F2-961E-4B13-9260-45E5E77F5295}"/>
    <cellStyle name="Normal 21 12" xfId="39145" xr:uid="{18BD9455-D0AD-4905-A444-4606B0E9E085}"/>
    <cellStyle name="Normal 21 12 2" xfId="39146" xr:uid="{395E176B-5A48-48DB-8C28-F2CDEE1BE817}"/>
    <cellStyle name="Normal 21 12 3" xfId="39147" xr:uid="{78AD7783-0566-45E4-9A1B-2430D84F9D9B}"/>
    <cellStyle name="Normal 21 12 4" xfId="39148" xr:uid="{F0DF5807-51A5-4FB8-9EEF-C1D356BCD1C3}"/>
    <cellStyle name="Normal 21 12 5" xfId="39149" xr:uid="{9F8A607B-AA1C-424C-AC2F-BCECF529E8FC}"/>
    <cellStyle name="Normal 21 13" xfId="39150" xr:uid="{F6DBB37C-BD5B-4502-BA12-BA4402208955}"/>
    <cellStyle name="Normal 21 14" xfId="39151" xr:uid="{CCE003A7-15F7-40BC-BC21-1E5C8DDF65D9}"/>
    <cellStyle name="Normal 21 15" xfId="39152" xr:uid="{7251FE0E-927D-4381-8300-CF28C66AA1AF}"/>
    <cellStyle name="Normal 21 16" xfId="39153" xr:uid="{CDE0D119-7D25-44BD-A84D-2B8A71D191B3}"/>
    <cellStyle name="Normal 21 17" xfId="39154" xr:uid="{26B5E5D0-681C-41EF-87AD-428F729048D3}"/>
    <cellStyle name="Normal 21 18" xfId="39155" xr:uid="{C4A53F0B-EC1B-49F2-A561-862046913D50}"/>
    <cellStyle name="Normal 21 19" xfId="39156" xr:uid="{D7F7CF43-76CE-4938-A79D-CA00671E96AF}"/>
    <cellStyle name="Normal 21 2" xfId="39157" xr:uid="{D72B6535-BB57-466C-BB71-6E4B17178583}"/>
    <cellStyle name="Normal 21 2 10" xfId="39158" xr:uid="{5B68AC73-BB65-4531-9AA3-91A62496E173}"/>
    <cellStyle name="Normal 21 2 11" xfId="39159" xr:uid="{4D09B9EC-8356-42C4-9E7B-22BDA5950B73}"/>
    <cellStyle name="Normal 21 2 12" xfId="39160" xr:uid="{ED3B879D-BE4A-44A8-BBA0-8FA451A84A10}"/>
    <cellStyle name="Normal 21 2 2" xfId="39161" xr:uid="{FB3DC281-94FA-45B2-A5F0-34DBB65EE317}"/>
    <cellStyle name="Normal 21 2 2 10" xfId="39162" xr:uid="{7633CF85-F600-4830-A34E-89E3E8771DAF}"/>
    <cellStyle name="Normal 21 2 2 11" xfId="39163" xr:uid="{82AF94EC-5108-45EC-8AA0-6C6A20BF4EFE}"/>
    <cellStyle name="Normal 21 2 2 12" xfId="39164" xr:uid="{C06C0A3E-4413-48CA-BECE-488B586D5767}"/>
    <cellStyle name="Normal 21 2 2 13" xfId="39165" xr:uid="{CB4BF420-82D3-436B-AA77-2D0B6C166BE7}"/>
    <cellStyle name="Normal 21 2 2 2" xfId="39166" xr:uid="{F6A18E63-F84B-44F5-992A-0000773F3BAB}"/>
    <cellStyle name="Normal 21 2 2 2 10" xfId="39167" xr:uid="{B51E0F0C-FF14-43B1-AB1E-A0997F1133BA}"/>
    <cellStyle name="Normal 21 2 2 2 11" xfId="39168" xr:uid="{D359BE81-B539-4058-957F-8F865D12F306}"/>
    <cellStyle name="Normal 21 2 2 2 2" xfId="39169" xr:uid="{C58808EC-5418-44A7-B7AD-69B25C3256B0}"/>
    <cellStyle name="Normal 21 2 2 2 2 10" xfId="39170" xr:uid="{5F60A857-7A44-4897-87EE-026C8E967C2F}"/>
    <cellStyle name="Normal 21 2 2 2 2 11" xfId="39171" xr:uid="{A63FA697-D12E-4039-B7BA-47D7BDA23C31}"/>
    <cellStyle name="Normal 21 2 2 2 2 12" xfId="39172" xr:uid="{B16747CE-F4CC-4EC7-9FB8-C0AF4952BFAA}"/>
    <cellStyle name="Normal 21 2 2 2 2 2" xfId="39173" xr:uid="{B8803060-3297-4539-8599-AE1E0EE76033}"/>
    <cellStyle name="Normal 21 2 2 2 2 2 2" xfId="39174" xr:uid="{08F7208F-1309-4F68-9BCC-BDC3E1E2E53C}"/>
    <cellStyle name="Normal 21 2 2 2 2 2 2 2" xfId="39175" xr:uid="{4022CD6F-993E-498E-B6F2-170E0A8A32AD}"/>
    <cellStyle name="Normal 21 2 2 2 2 2 2 3" xfId="39176" xr:uid="{924B9E0C-2499-4B92-ACCE-0DED31525075}"/>
    <cellStyle name="Normal 21 2 2 2 2 2 2 4" xfId="39177" xr:uid="{769867C6-DFF3-4D35-B913-EF7B302F3283}"/>
    <cellStyle name="Normal 21 2 2 2 2 2 2 5" xfId="39178" xr:uid="{CE7844C1-E49E-4287-8A20-7E847F3A29DD}"/>
    <cellStyle name="Normal 21 2 2 2 2 2 3" xfId="39179" xr:uid="{4B0C554F-E99F-4E0F-9BF1-EF690B7692D7}"/>
    <cellStyle name="Normal 21 2 2 2 2 2 4" xfId="39180" xr:uid="{242D4FEB-170A-448C-9923-22B6BCC0BF3F}"/>
    <cellStyle name="Normal 21 2 2 2 2 2 5" xfId="39181" xr:uid="{8482BEEA-86A1-4685-83EA-9471B3D1C480}"/>
    <cellStyle name="Normal 21 2 2 2 2 3" xfId="39182" xr:uid="{BDAA42DF-3897-4650-81A2-F3AAD52211E5}"/>
    <cellStyle name="Normal 21 2 2 2 2 4" xfId="39183" xr:uid="{2B82A59D-5696-4B18-8DDE-297EF0883555}"/>
    <cellStyle name="Normal 21 2 2 2 2 5" xfId="39184" xr:uid="{791425CD-AA4A-4637-950A-F47404DDF473}"/>
    <cellStyle name="Normal 21 2 2 2 2 5 2" xfId="39185" xr:uid="{96D3BDC4-7CB7-4E50-8DA7-EC0CEBD9ABCF}"/>
    <cellStyle name="Normal 21 2 2 2 2 5 3" xfId="39186" xr:uid="{15ED454F-D588-4217-9CB3-C12D65FD9B65}"/>
    <cellStyle name="Normal 21 2 2 2 2 5 4" xfId="39187" xr:uid="{891D8857-185C-4CBE-86C4-1ABA264701A1}"/>
    <cellStyle name="Normal 21 2 2 2 2 5 5" xfId="39188" xr:uid="{3A316556-2AF5-4FF6-913D-CA996DE5A34A}"/>
    <cellStyle name="Normal 21 2 2 2 2 6" xfId="39189" xr:uid="{98F21A85-F5EA-4F6E-9757-B1ECE07A9B5D}"/>
    <cellStyle name="Normal 21 2 2 2 2 7" xfId="39190" xr:uid="{9B179B77-4868-49D6-B0EA-A29566286DD4}"/>
    <cellStyle name="Normal 21 2 2 2 2 8" xfId="39191" xr:uid="{F4706244-3DF2-4FCF-B62A-CF0ADF02EA5E}"/>
    <cellStyle name="Normal 21 2 2 2 2 9" xfId="39192" xr:uid="{CCB1FFAD-2A84-4E7B-BC0A-972E250AD0D5}"/>
    <cellStyle name="Normal 21 2 2 2 3" xfId="39193" xr:uid="{4051299F-AC8A-4F48-AAEB-967E81DB0948}"/>
    <cellStyle name="Normal 21 2 2 2 3 2" xfId="39194" xr:uid="{94A96A49-EEE6-4299-8C1A-1FEB3331EB05}"/>
    <cellStyle name="Normal 21 2 2 2 3 2 2" xfId="39195" xr:uid="{54841CC7-EE7E-4542-BB30-C0E274C855C7}"/>
    <cellStyle name="Normal 21 2 2 2 3 2 3" xfId="39196" xr:uid="{BFF646D4-FBDC-4112-9671-E8952F6FCC89}"/>
    <cellStyle name="Normal 21 2 2 2 3 2 4" xfId="39197" xr:uid="{3A4D64B0-4BA3-4E74-8F94-C93695B57AAD}"/>
    <cellStyle name="Normal 21 2 2 2 3 2 5" xfId="39198" xr:uid="{EBDFADEC-2732-4497-82AB-471C3E8073E4}"/>
    <cellStyle name="Normal 21 2 2 2 3 3" xfId="39199" xr:uid="{83C4F988-342B-47E5-9E54-82B2880F03BD}"/>
    <cellStyle name="Normal 21 2 2 2 3 4" xfId="39200" xr:uid="{55DCB89F-3910-455E-97EB-62EF1B574664}"/>
    <cellStyle name="Normal 21 2 2 2 3 5" xfId="39201" xr:uid="{BEB14369-44CE-4AC8-8A1D-7665D7D59FCF}"/>
    <cellStyle name="Normal 21 2 2 2 3 6" xfId="39202" xr:uid="{6D3ECD40-D653-40D7-9961-D7F2FCFE3BA6}"/>
    <cellStyle name="Normal 21 2 2 2 4" xfId="39203" xr:uid="{1CD4FF1A-7E36-48C4-BAFB-44D9C37E3FE2}"/>
    <cellStyle name="Normal 21 2 2 2 4 2" xfId="39204" xr:uid="{DEDB79BA-48CA-4771-B70B-C3893ADE8B84}"/>
    <cellStyle name="Normal 21 2 2 2 4 2 2" xfId="39205" xr:uid="{9EEA59E8-9FA1-4394-B1BD-A2D1B46A7814}"/>
    <cellStyle name="Normal 21 2 2 2 4 2 3" xfId="39206" xr:uid="{9414A803-3074-4335-8B90-9D660AA238E8}"/>
    <cellStyle name="Normal 21 2 2 2 4 2 4" xfId="39207" xr:uid="{12BDF42C-A5E8-4A25-97B8-07F9AD50FA34}"/>
    <cellStyle name="Normal 21 2 2 2 4 2 5" xfId="39208" xr:uid="{82FF3426-B26A-464F-984F-87BD8ABCBD98}"/>
    <cellStyle name="Normal 21 2 2 2 4 3" xfId="39209" xr:uid="{C9C00C03-B3EC-4AC7-ABC7-7A3323D75311}"/>
    <cellStyle name="Normal 21 2 2 2 4 4" xfId="39210" xr:uid="{D7656FD5-6A62-4143-964E-91008A48C668}"/>
    <cellStyle name="Normal 21 2 2 2 4 5" xfId="39211" xr:uid="{51DD0CE4-A60F-4614-9A1C-9DA5E0395C04}"/>
    <cellStyle name="Normal 21 2 2 2 4 6" xfId="39212" xr:uid="{B4E81E66-1C2B-4888-913B-FDD937E8A786}"/>
    <cellStyle name="Normal 21 2 2 2 5" xfId="39213" xr:uid="{15F7728E-7453-4CFF-B190-964A02BC1717}"/>
    <cellStyle name="Normal 21 2 2 2 5 2" xfId="39214" xr:uid="{CF1BDE12-282E-4A81-8CA7-4E57F402BA13}"/>
    <cellStyle name="Normal 21 2 2 2 5 3" xfId="39215" xr:uid="{8DE6D82A-F99C-4C1A-BC65-B9324AC2B549}"/>
    <cellStyle name="Normal 21 2 2 2 5 4" xfId="39216" xr:uid="{B7D22D06-B8A4-432F-8E79-A931F1E5FA65}"/>
    <cellStyle name="Normal 21 2 2 2 5 5" xfId="39217" xr:uid="{F7FA1E1C-5FEE-4474-88FB-5EBDE77D3804}"/>
    <cellStyle name="Normal 21 2 2 2 6" xfId="39218" xr:uid="{1AE87090-979D-472A-945B-1E8D25BCFE38}"/>
    <cellStyle name="Normal 21 2 2 2 6 2" xfId="39219" xr:uid="{1DB0DCB8-EAC9-4173-8174-5D6D2188A106}"/>
    <cellStyle name="Normal 21 2 2 2 6 3" xfId="39220" xr:uid="{295B5772-CCB1-4C27-AB4C-D670A2A245F2}"/>
    <cellStyle name="Normal 21 2 2 2 6 4" xfId="39221" xr:uid="{F5701E51-1A6B-4CE9-AA11-3837F19E4701}"/>
    <cellStyle name="Normal 21 2 2 2 6 5" xfId="39222" xr:uid="{BC13DEF1-03FA-4AEE-947A-08240A4ABCE0}"/>
    <cellStyle name="Normal 21 2 2 2 7" xfId="39223" xr:uid="{7D5FFA01-A0AF-48F1-9EB7-81F5721D9BF7}"/>
    <cellStyle name="Normal 21 2 2 2 7 2" xfId="39224" xr:uid="{E186EA5B-1FDD-42C8-B61F-A768DBB18389}"/>
    <cellStyle name="Normal 21 2 2 2 7 3" xfId="39225" xr:uid="{3E7789D5-00E6-4A17-AE7E-8FEFD90E11FE}"/>
    <cellStyle name="Normal 21 2 2 2 7 4" xfId="39226" xr:uid="{3C0AB50F-CC88-43D1-9C13-D8CD35355934}"/>
    <cellStyle name="Normal 21 2 2 2 7 5" xfId="39227" xr:uid="{C4C32675-FCFE-4D2C-BA1B-899080A23A81}"/>
    <cellStyle name="Normal 21 2 2 2 8" xfId="39228" xr:uid="{78F561BE-D06F-4E01-B8F6-3993C41E4142}"/>
    <cellStyle name="Normal 21 2 2 2 9" xfId="39229" xr:uid="{0B52CF36-0990-4F18-BD55-0420694737EF}"/>
    <cellStyle name="Normal 21 2 2 3" xfId="39230" xr:uid="{86E3BF5A-7583-48DD-9491-29EDCB75AAFE}"/>
    <cellStyle name="Normal 21 2 2 3 2" xfId="39231" xr:uid="{836C0CC0-882A-4CE0-8431-B5964C4CDF82}"/>
    <cellStyle name="Normal 21 2 2 3 2 2" xfId="39232" xr:uid="{3A660ED4-7F18-462E-822C-4C2917BD3AD2}"/>
    <cellStyle name="Normal 21 2 2 3 2 3" xfId="39233" xr:uid="{F556DA16-4485-4512-8C45-F79AF41B34A4}"/>
    <cellStyle name="Normal 21 2 2 3 2 4" xfId="39234" xr:uid="{6F0CEA88-C32E-47DF-967B-0AD314867609}"/>
    <cellStyle name="Normal 21 2 2 3 2 5" xfId="39235" xr:uid="{A964409B-0355-4511-A0A8-16649AC2D0A4}"/>
    <cellStyle name="Normal 21 2 2 3 3" xfId="39236" xr:uid="{A4487FD0-C521-40BD-BFCD-E37D13ECA5A0}"/>
    <cellStyle name="Normal 21 2 2 3 4" xfId="39237" xr:uid="{35CD6FBD-294E-401C-8EF0-5E9C7A5FE512}"/>
    <cellStyle name="Normal 21 2 2 3 5" xfId="39238" xr:uid="{3951C918-8B33-4298-B2E4-FCFD81FB3CAE}"/>
    <cellStyle name="Normal 21 2 2 4" xfId="39239" xr:uid="{3680E6E7-9590-4BDB-B6DD-3B884168B068}"/>
    <cellStyle name="Normal 21 2 2 5" xfId="39240" xr:uid="{DB869E04-158A-480D-AD48-FF016D73DA85}"/>
    <cellStyle name="Normal 21 2 2 6" xfId="39241" xr:uid="{8D9F661C-2989-45C2-A103-34B1B988AD70}"/>
    <cellStyle name="Normal 21 2 2 6 2" xfId="39242" xr:uid="{659E06A3-50C8-4284-AE5B-D395B30B7DE9}"/>
    <cellStyle name="Normal 21 2 2 6 3" xfId="39243" xr:uid="{82552745-3319-4B7B-BC1E-FABBB1C8AF43}"/>
    <cellStyle name="Normal 21 2 2 6 4" xfId="39244" xr:uid="{F309DDD4-2218-4E42-96BA-D3B330620F28}"/>
    <cellStyle name="Normal 21 2 2 6 5" xfId="39245" xr:uid="{87C3F649-ED49-4B09-B167-B15F7025A68E}"/>
    <cellStyle name="Normal 21 2 2 7" xfId="39246" xr:uid="{6D9DD53D-972C-4FE4-B811-32EDE48F298E}"/>
    <cellStyle name="Normal 21 2 2 8" xfId="39247" xr:uid="{918F7529-24C2-44B0-88B6-F37785DC62EB}"/>
    <cellStyle name="Normal 21 2 2 9" xfId="39248" xr:uid="{D975E788-E5F0-40DC-BAB6-EA378ADF6E2F}"/>
    <cellStyle name="Normal 21 2 3" xfId="39249" xr:uid="{33943542-5290-41B2-B334-DC6199F862BC}"/>
    <cellStyle name="Normal 21 2 3 10" xfId="39250" xr:uid="{4C387E96-8B6B-4970-BC61-00CE2697B42F}"/>
    <cellStyle name="Normal 21 2 3 11" xfId="39251" xr:uid="{D58A0073-2710-4A8D-A944-11C801D4F464}"/>
    <cellStyle name="Normal 21 2 3 12" xfId="39252" xr:uid="{58B3EA3B-6A43-41DA-9E43-6A3E95DE0B7E}"/>
    <cellStyle name="Normal 21 2 3 2" xfId="39253" xr:uid="{A8E38446-5888-4089-B0AD-EC2C668C81C6}"/>
    <cellStyle name="Normal 21 2 3 2 2" xfId="39254" xr:uid="{4734C9BC-5F7C-4906-9A80-6BD9B36D5B4F}"/>
    <cellStyle name="Normal 21 2 3 2 2 2" xfId="39255" xr:uid="{32B82288-872E-48E0-B271-683864CDA711}"/>
    <cellStyle name="Normal 21 2 3 2 2 3" xfId="39256" xr:uid="{3925A940-584B-4DCC-AC57-52BE0DEA1B44}"/>
    <cellStyle name="Normal 21 2 3 2 2 4" xfId="39257" xr:uid="{2919CD2D-7B06-4988-B629-FBD3A44AD091}"/>
    <cellStyle name="Normal 21 2 3 2 2 5" xfId="39258" xr:uid="{A5C1F795-9AA1-4480-88AB-22287FB17E79}"/>
    <cellStyle name="Normal 21 2 3 2 3" xfId="39259" xr:uid="{2C6C46FC-20F7-4CD1-9526-AF3BA66CB218}"/>
    <cellStyle name="Normal 21 2 3 2 4" xfId="39260" xr:uid="{A2AABA49-FB0A-48A2-A3BE-27C7B7FAF0B7}"/>
    <cellStyle name="Normal 21 2 3 2 5" xfId="39261" xr:uid="{5B20C5A3-8CD9-4962-84FF-D5E22D985FF2}"/>
    <cellStyle name="Normal 21 2 3 3" xfId="39262" xr:uid="{7352A30F-9684-4063-AA30-8791B48A6266}"/>
    <cellStyle name="Normal 21 2 3 4" xfId="39263" xr:uid="{C988326D-7843-4783-9058-CA5205FA7B8F}"/>
    <cellStyle name="Normal 21 2 3 5" xfId="39264" xr:uid="{44375E32-77E1-4B36-AA56-C5738CD282B8}"/>
    <cellStyle name="Normal 21 2 3 5 2" xfId="39265" xr:uid="{73344948-C1B6-4863-8F3D-10B55BD13A12}"/>
    <cellStyle name="Normal 21 2 3 5 3" xfId="39266" xr:uid="{C8C4EA41-C267-46A4-A9E3-7E731CC6B694}"/>
    <cellStyle name="Normal 21 2 3 5 4" xfId="39267" xr:uid="{F84C5301-8477-455C-B662-04FCA36B3A75}"/>
    <cellStyle name="Normal 21 2 3 5 5" xfId="39268" xr:uid="{564A3375-BA48-48C2-A9CF-7E875C605557}"/>
    <cellStyle name="Normal 21 2 3 6" xfId="39269" xr:uid="{EBED0382-AD65-4793-BD19-E81FAB54645D}"/>
    <cellStyle name="Normal 21 2 3 7" xfId="39270" xr:uid="{23BEAF27-4F6A-45AD-AA42-128600046DC4}"/>
    <cellStyle name="Normal 21 2 3 8" xfId="39271" xr:uid="{FC004B27-C017-4D5A-8469-FCFFAD6ACA2A}"/>
    <cellStyle name="Normal 21 2 3 9" xfId="39272" xr:uid="{749DD0E0-2550-4EB0-9E48-D2170D151AEE}"/>
    <cellStyle name="Normal 21 2 4" xfId="39273" xr:uid="{DDC85CCE-59EA-4122-BC74-7AE9CB2F1EF9}"/>
    <cellStyle name="Normal 21 2 4 2" xfId="39274" xr:uid="{1650813F-CC65-4585-BE00-DC1DC56B01D6}"/>
    <cellStyle name="Normal 21 2 4 2 2" xfId="39275" xr:uid="{5921EFC8-C915-4A46-9F73-E6B00F2815AF}"/>
    <cellStyle name="Normal 21 2 4 2 3" xfId="39276" xr:uid="{39AF872F-54F0-4AE4-B43E-BB28DCC5C093}"/>
    <cellStyle name="Normal 21 2 4 2 4" xfId="39277" xr:uid="{1C234428-60AE-4DD9-AA18-C016A640F140}"/>
    <cellStyle name="Normal 21 2 4 2 5" xfId="39278" xr:uid="{07DB0A58-54D0-43C5-BD3E-FD6D40A3E7BD}"/>
    <cellStyle name="Normal 21 2 4 3" xfId="39279" xr:uid="{49057A84-F91C-4A20-BC17-3E923222E043}"/>
    <cellStyle name="Normal 21 2 4 4" xfId="39280" xr:uid="{D6A3230E-3EE8-4B08-92E0-80F3BD839AD3}"/>
    <cellStyle name="Normal 21 2 4 5" xfId="39281" xr:uid="{DC8B8D58-06DF-4851-853C-7D2D0CCB2967}"/>
    <cellStyle name="Normal 21 2 4 6" xfId="39282" xr:uid="{43FA5D5A-521A-40D0-8467-6385E725F833}"/>
    <cellStyle name="Normal 21 2 5" xfId="39283" xr:uid="{201ECF8F-F6ED-4CB8-9741-EF60E8293BDB}"/>
    <cellStyle name="Normal 21 2 5 2" xfId="39284" xr:uid="{D5811677-1205-4EEF-9EA8-D6D2B3FEDA15}"/>
    <cellStyle name="Normal 21 2 5 2 2" xfId="39285" xr:uid="{98608B95-3A54-4957-95F6-FCD93678AD1A}"/>
    <cellStyle name="Normal 21 2 5 2 3" xfId="39286" xr:uid="{33320AD8-F03B-4933-A96E-05D55E54481E}"/>
    <cellStyle name="Normal 21 2 5 2 4" xfId="39287" xr:uid="{40A820BF-361E-4FBE-9B4E-E96E6930EEB7}"/>
    <cellStyle name="Normal 21 2 5 2 5" xfId="39288" xr:uid="{271B0BC7-A49E-45BA-95DB-8E838BE26CA0}"/>
    <cellStyle name="Normal 21 2 5 3" xfId="39289" xr:uid="{A5D343A1-BECD-4AE1-9CAA-BDF85D5B0301}"/>
    <cellStyle name="Normal 21 2 5 4" xfId="39290" xr:uid="{4648A557-51BF-41F1-BC65-E598EB6C4FDF}"/>
    <cellStyle name="Normal 21 2 5 5" xfId="39291" xr:uid="{434A519A-5791-40E6-8C32-E56C7A594694}"/>
    <cellStyle name="Normal 21 2 5 6" xfId="39292" xr:uid="{C04D9931-2C81-4D88-BF9D-FB16B387EA8C}"/>
    <cellStyle name="Normal 21 2 6" xfId="39293" xr:uid="{49C6483E-FD82-47F3-976C-E49788AB9FC7}"/>
    <cellStyle name="Normal 21 2 6 2" xfId="39294" xr:uid="{B0C98DA7-21F2-4292-AEC7-5FF98F0BF8E6}"/>
    <cellStyle name="Normal 21 2 6 3" xfId="39295" xr:uid="{BA87E824-0050-4132-B295-D3E25360A91E}"/>
    <cellStyle name="Normal 21 2 6 4" xfId="39296" xr:uid="{D08EF3CB-62E9-4A24-8432-34EF3D70DADA}"/>
    <cellStyle name="Normal 21 2 6 5" xfId="39297" xr:uid="{62FE062C-1A5D-4F14-AA88-BBD5AF75DB10}"/>
    <cellStyle name="Normal 21 2 7" xfId="39298" xr:uid="{84BB28AA-2EAA-4B7A-B1C9-16C088D0785A}"/>
    <cellStyle name="Normal 21 2 7 2" xfId="39299" xr:uid="{A3D2DB19-776A-45EF-BD38-39A450445E89}"/>
    <cellStyle name="Normal 21 2 7 3" xfId="39300" xr:uid="{84AB9ED6-B1CF-4F3E-AAE4-CBD8AA52A360}"/>
    <cellStyle name="Normal 21 2 7 4" xfId="39301" xr:uid="{68866AF8-880D-405F-BF8E-AFABFF3ACD03}"/>
    <cellStyle name="Normal 21 2 7 5" xfId="39302" xr:uid="{2550D860-23CB-4FF1-BCDF-A77ED43B1BE1}"/>
    <cellStyle name="Normal 21 2 8" xfId="39303" xr:uid="{893D4715-EC5E-47DA-8401-743491D6E4FC}"/>
    <cellStyle name="Normal 21 2 8 2" xfId="39304" xr:uid="{D19208F8-A0AD-4927-86BD-C9409600ABCB}"/>
    <cellStyle name="Normal 21 2 8 3" xfId="39305" xr:uid="{CF2160C2-E817-40BA-9AC0-4BC77C3C73F1}"/>
    <cellStyle name="Normal 21 2 8 4" xfId="39306" xr:uid="{1A4C0572-19D0-45D7-A3FC-1C6DEB955D2B}"/>
    <cellStyle name="Normal 21 2 8 5" xfId="39307" xr:uid="{7C07C7CB-CE69-4C12-AB4B-3D4B0F1A5395}"/>
    <cellStyle name="Normal 21 2 9" xfId="39308" xr:uid="{031FB6EA-1F0C-45F5-8E26-AF5BE43099E6}"/>
    <cellStyle name="Normal 21 3" xfId="39309" xr:uid="{1B2B62C5-CE57-45CA-864B-CD28E3C402C3}"/>
    <cellStyle name="Normal 21 4" xfId="39310" xr:uid="{5AE0533F-813E-4634-A242-4BDC996549D8}"/>
    <cellStyle name="Normal 21 5" xfId="39311" xr:uid="{B88A37EB-D27B-49AA-9EA0-598AEC7E8103}"/>
    <cellStyle name="Normal 21 6" xfId="39312" xr:uid="{391F6830-F5E6-45D2-B08C-241B0925D60D}"/>
    <cellStyle name="Normal 21 6 10" xfId="39313" xr:uid="{8A9C117E-2842-4A68-84C9-094A2AB715E7}"/>
    <cellStyle name="Normal 21 6 10 2" xfId="39314" xr:uid="{BD293A08-867C-4110-A8A1-01EBB34B794C}"/>
    <cellStyle name="Normal 21 6 10 3" xfId="39315" xr:uid="{8F26943C-AB21-418A-8AC4-412AB6A1FC14}"/>
    <cellStyle name="Normal 21 6 10 4" xfId="39316" xr:uid="{43F14AF4-F6F4-4506-877E-32883B94FC46}"/>
    <cellStyle name="Normal 21 6 10 5" xfId="39317" xr:uid="{29A686A7-D050-4B74-835E-6A0DA139C9F8}"/>
    <cellStyle name="Normal 21 6 11" xfId="39318" xr:uid="{01A2D842-2F87-4DB1-8F29-531663BF9E25}"/>
    <cellStyle name="Normal 21 6 12" xfId="39319" xr:uid="{43ABAE20-CDF5-48C8-BB52-C6285CE09509}"/>
    <cellStyle name="Normal 21 6 13" xfId="39320" xr:uid="{A14878AC-D9B1-43A2-B6C5-10D46FCC3873}"/>
    <cellStyle name="Normal 21 6 14" xfId="39321" xr:uid="{1F5199EC-B659-49A3-AB0E-A9E821708354}"/>
    <cellStyle name="Normal 21 6 2" xfId="39322" xr:uid="{E08C42B6-29DB-4D4F-9D7F-7C2AC064F35F}"/>
    <cellStyle name="Normal 21 6 2 10" xfId="39323" xr:uid="{E4BEF598-4B0F-4537-AC8E-F64B01DA21FF}"/>
    <cellStyle name="Normal 21 6 2 11" xfId="39324" xr:uid="{4D155E7F-7E53-48BC-BE2F-F801AC9AD1CB}"/>
    <cellStyle name="Normal 21 6 2 12" xfId="39325" xr:uid="{AA641B94-5275-4822-B172-869395124CA4}"/>
    <cellStyle name="Normal 21 6 2 13" xfId="39326" xr:uid="{E82CD478-C11A-40F7-9D12-B1A2DC110AFE}"/>
    <cellStyle name="Normal 21 6 2 2" xfId="39327" xr:uid="{F36782A2-43B2-4571-925F-2F8B32D66815}"/>
    <cellStyle name="Normal 21 6 2 2 10" xfId="39328" xr:uid="{D955FDBC-0FD5-46E7-888A-876DCC94AB87}"/>
    <cellStyle name="Normal 21 6 2 2 11" xfId="39329" xr:uid="{EE5BF5AA-B014-43AE-B9BD-671CCFBF2003}"/>
    <cellStyle name="Normal 21 6 2 2 12" xfId="39330" xr:uid="{495D70F0-8FF7-4EA4-90DB-A570C5C9B5C6}"/>
    <cellStyle name="Normal 21 6 2 2 2" xfId="39331" xr:uid="{6F0E4B27-23D6-4664-AD18-7F2F69859376}"/>
    <cellStyle name="Normal 21 6 2 2 2 2" xfId="39332" xr:uid="{7A33C1C9-7AAC-4351-A977-D7E90FC307DB}"/>
    <cellStyle name="Normal 21 6 2 2 2 2 2" xfId="39333" xr:uid="{16C440E5-2C8D-4D7D-A221-CE2439C89141}"/>
    <cellStyle name="Normal 21 6 2 2 2 2 3" xfId="39334" xr:uid="{07FF4827-0369-418B-8CAA-88494D11B725}"/>
    <cellStyle name="Normal 21 6 2 2 2 2 4" xfId="39335" xr:uid="{3FBB2A64-E188-4F64-B6BD-45F09C711AAE}"/>
    <cellStyle name="Normal 21 6 2 2 2 2 5" xfId="39336" xr:uid="{0AC8915A-E2DC-4359-B97F-005D1F9338C9}"/>
    <cellStyle name="Normal 21 6 2 2 2 3" xfId="39337" xr:uid="{66AF9793-806F-4CF2-81F8-7F418B410F7D}"/>
    <cellStyle name="Normal 21 6 2 2 2 4" xfId="39338" xr:uid="{12E9C4F1-4ACE-40BC-B5D6-B366C0A3B34F}"/>
    <cellStyle name="Normal 21 6 2 2 2 5" xfId="39339" xr:uid="{2033D976-A161-4EC9-8764-2E3397BA37DE}"/>
    <cellStyle name="Normal 21 6 2 2 2 6" xfId="39340" xr:uid="{1BFBACA5-F4BE-4C6A-B785-BE1BEC51132A}"/>
    <cellStyle name="Normal 21 6 2 2 3" xfId="39341" xr:uid="{75345FA1-4A2A-4614-8D72-C9B8ECEC10A2}"/>
    <cellStyle name="Normal 21 6 2 2 3 2" xfId="39342" xr:uid="{7390C2D7-AEE1-4E65-B0A6-4063068FE1A0}"/>
    <cellStyle name="Normal 21 6 2 2 3 2 2" xfId="39343" xr:uid="{9D6B4354-37FF-4925-B0AB-9F1285C8153D}"/>
    <cellStyle name="Normal 21 6 2 2 3 2 3" xfId="39344" xr:uid="{7DB4CB9A-DD10-4712-ADBA-3A2CD618631A}"/>
    <cellStyle name="Normal 21 6 2 2 3 2 4" xfId="39345" xr:uid="{73DDFF7E-1963-4F97-8591-71DC3C6A925A}"/>
    <cellStyle name="Normal 21 6 2 2 3 2 5" xfId="39346" xr:uid="{9FF593F6-9D73-4845-AAB0-714F50BE6CB0}"/>
    <cellStyle name="Normal 21 6 2 2 3 3" xfId="39347" xr:uid="{D977B897-94C8-483F-8A6C-0E451B781AA1}"/>
    <cellStyle name="Normal 21 6 2 2 3 4" xfId="39348" xr:uid="{BA492EB5-9EBA-4DD9-8E65-570292606143}"/>
    <cellStyle name="Normal 21 6 2 2 3 5" xfId="39349" xr:uid="{5CE74AE8-19FF-41EB-9E1E-505A1E6CD9C8}"/>
    <cellStyle name="Normal 21 6 2 2 3 6" xfId="39350" xr:uid="{01014D78-1979-481A-9F44-220FC60BE492}"/>
    <cellStyle name="Normal 21 6 2 2 4" xfId="39351" xr:uid="{938D7AA3-FE8F-4105-946E-A696265A28CD}"/>
    <cellStyle name="Normal 21 6 2 2 4 2" xfId="39352" xr:uid="{0587CC9E-C5C9-4453-8161-D4B8E2EC1255}"/>
    <cellStyle name="Normal 21 6 2 2 4 2 2" xfId="39353" xr:uid="{7CB0BE18-5F25-4F21-B7D4-86F5F2C166BD}"/>
    <cellStyle name="Normal 21 6 2 2 4 2 3" xfId="39354" xr:uid="{8FC64CD7-636F-4429-A599-F51C7AADCD37}"/>
    <cellStyle name="Normal 21 6 2 2 4 2 4" xfId="39355" xr:uid="{DCD9866F-4B00-4E76-BF72-0A33AA22FDF8}"/>
    <cellStyle name="Normal 21 6 2 2 4 2 5" xfId="39356" xr:uid="{1267BCA3-5F63-4ED8-9BD4-150E5C09EA98}"/>
    <cellStyle name="Normal 21 6 2 2 4 3" xfId="39357" xr:uid="{3D91A647-1602-4026-AEF6-BB659EFD4602}"/>
    <cellStyle name="Normal 21 6 2 2 4 4" xfId="39358" xr:uid="{A912BB63-939B-468B-93FC-14C62B88B57C}"/>
    <cellStyle name="Normal 21 6 2 2 4 5" xfId="39359" xr:uid="{01ADABEE-36E9-4423-B582-D673E29ACFDB}"/>
    <cellStyle name="Normal 21 6 2 2 4 6" xfId="39360" xr:uid="{38D2E52A-D80F-46C1-BC92-C537C085DA4A}"/>
    <cellStyle name="Normal 21 6 2 2 5" xfId="39361" xr:uid="{5D1B1723-8D25-4E88-ABE5-A55448676645}"/>
    <cellStyle name="Normal 21 6 2 2 5 2" xfId="39362" xr:uid="{97D02019-E9AD-4525-A4AD-793E0A1A62D1}"/>
    <cellStyle name="Normal 21 6 2 2 5 3" xfId="39363" xr:uid="{58D952CB-FCFA-4077-B48B-071F2D1AE56A}"/>
    <cellStyle name="Normal 21 6 2 2 5 4" xfId="39364" xr:uid="{9E4564A3-05D0-4815-9615-30B17DED2F83}"/>
    <cellStyle name="Normal 21 6 2 2 5 5" xfId="39365" xr:uid="{832F3E66-F3B5-4B36-BD26-F896244B26F1}"/>
    <cellStyle name="Normal 21 6 2 2 6" xfId="39366" xr:uid="{D3B34AA4-D0AB-4266-9B6F-07109923CE3E}"/>
    <cellStyle name="Normal 21 6 2 2 6 2" xfId="39367" xr:uid="{B25F100F-099F-4863-846E-6AFC9D1B2B8B}"/>
    <cellStyle name="Normal 21 6 2 2 6 3" xfId="39368" xr:uid="{CE9605BA-DAEC-4ADC-A30A-8079E46FCA27}"/>
    <cellStyle name="Normal 21 6 2 2 6 4" xfId="39369" xr:uid="{9D39F81B-AAD8-42CB-8756-3E5853E5CA75}"/>
    <cellStyle name="Normal 21 6 2 2 6 5" xfId="39370" xr:uid="{AB9325D1-9B98-4A7C-A4AB-3714C17464A9}"/>
    <cellStyle name="Normal 21 6 2 2 7" xfId="39371" xr:uid="{927209F0-2820-4BBC-966B-0B1C22FBE031}"/>
    <cellStyle name="Normal 21 6 2 2 7 2" xfId="39372" xr:uid="{0410E3D3-E7A8-431F-AD3C-2AC6C976D31B}"/>
    <cellStyle name="Normal 21 6 2 2 7 3" xfId="39373" xr:uid="{275A96F1-715D-4012-9A6C-BA4553BA6895}"/>
    <cellStyle name="Normal 21 6 2 2 7 4" xfId="39374" xr:uid="{994F029E-CA30-49BC-B674-3110CFA88DFF}"/>
    <cellStyle name="Normal 21 6 2 2 7 5" xfId="39375" xr:uid="{912252AD-C315-44CB-81EE-742FB94B2997}"/>
    <cellStyle name="Normal 21 6 2 2 8" xfId="39376" xr:uid="{85750C9C-E6F1-4EFE-97A2-AB3B7FE96E21}"/>
    <cellStyle name="Normal 21 6 2 2 8 2" xfId="39377" xr:uid="{406B433B-4991-45F0-A414-2E7CB4BC46A1}"/>
    <cellStyle name="Normal 21 6 2 2 8 3" xfId="39378" xr:uid="{E288E197-F8FE-4918-A842-A3E938F6284E}"/>
    <cellStyle name="Normal 21 6 2 2 8 4" xfId="39379" xr:uid="{5335D857-0732-4016-B95B-47BEA5412598}"/>
    <cellStyle name="Normal 21 6 2 2 8 5" xfId="39380" xr:uid="{B9F83F9D-0A0F-4D46-97F9-93AC6072CBE0}"/>
    <cellStyle name="Normal 21 6 2 2 9" xfId="39381" xr:uid="{E1090105-1116-44A1-A4A9-255800E555C1}"/>
    <cellStyle name="Normal 21 6 2 3" xfId="39382" xr:uid="{169FD0E1-E0EC-476E-BE10-AEF3DD0A0D51}"/>
    <cellStyle name="Normal 21 6 2 3 2" xfId="39383" xr:uid="{89A76A13-9E7A-478F-8D93-17F4B3A257AA}"/>
    <cellStyle name="Normal 21 6 2 3 2 2" xfId="39384" xr:uid="{034602EB-FAFE-4820-96D3-43FAD5C62241}"/>
    <cellStyle name="Normal 21 6 2 3 2 3" xfId="39385" xr:uid="{A4EEAC21-8FA1-402F-8CE0-3685013EDBF3}"/>
    <cellStyle name="Normal 21 6 2 3 2 4" xfId="39386" xr:uid="{21E87694-7E5B-4B69-A7AD-FA49CAFAFEC7}"/>
    <cellStyle name="Normal 21 6 2 3 2 5" xfId="39387" xr:uid="{533DF00C-9010-4A50-8C53-723F5028E209}"/>
    <cellStyle name="Normal 21 6 2 3 3" xfId="39388" xr:uid="{2B57C837-20A7-4EDA-93BC-465D10736180}"/>
    <cellStyle name="Normal 21 6 2 3 4" xfId="39389" xr:uid="{F728FA82-C210-4945-ACB5-5EBD2F38A2DE}"/>
    <cellStyle name="Normal 21 6 2 3 5" xfId="39390" xr:uid="{81AB6443-8864-4E05-9B7C-6A1144022DF3}"/>
    <cellStyle name="Normal 21 6 2 3 6" xfId="39391" xr:uid="{645D4881-03CA-48B0-A17D-842D9BDEBE54}"/>
    <cellStyle name="Normal 21 6 2 4" xfId="39392" xr:uid="{1B8A49C2-7AA0-44F4-86BF-FC159A301B26}"/>
    <cellStyle name="Normal 21 6 2 4 2" xfId="39393" xr:uid="{5A7DA198-3124-4438-A34E-05A704406E17}"/>
    <cellStyle name="Normal 21 6 2 4 2 2" xfId="39394" xr:uid="{F2E95EDD-96E4-4B66-8E4F-050D58E9BBF4}"/>
    <cellStyle name="Normal 21 6 2 4 2 3" xfId="39395" xr:uid="{3892E249-4114-407A-BE5C-11D527371F7C}"/>
    <cellStyle name="Normal 21 6 2 4 2 4" xfId="39396" xr:uid="{703EC384-36E8-44D6-9F83-D61473ED1112}"/>
    <cellStyle name="Normal 21 6 2 4 2 5" xfId="39397" xr:uid="{4D5CC369-E36F-4A96-99B2-9D54889FD7DD}"/>
    <cellStyle name="Normal 21 6 2 4 3" xfId="39398" xr:uid="{D24276A7-E925-4C1B-BD5E-5B6C6D407AE5}"/>
    <cellStyle name="Normal 21 6 2 4 4" xfId="39399" xr:uid="{DACAF1DF-75ED-4048-AD61-1CB286C1FC76}"/>
    <cellStyle name="Normal 21 6 2 4 5" xfId="39400" xr:uid="{EEBDF13D-1FB3-4904-88FF-5C301219FA34}"/>
    <cellStyle name="Normal 21 6 2 4 6" xfId="39401" xr:uid="{EFE706F2-875C-412C-9367-254913BDB5FD}"/>
    <cellStyle name="Normal 21 6 2 5" xfId="39402" xr:uid="{66BCC512-5790-47E4-B0C0-CE132746159A}"/>
    <cellStyle name="Normal 21 6 2 5 2" xfId="39403" xr:uid="{01FE05A4-ACCF-4016-B8B2-C68F28683BF7}"/>
    <cellStyle name="Normal 21 6 2 5 2 2" xfId="39404" xr:uid="{E098CA6D-3279-4638-9530-954BC1412EC8}"/>
    <cellStyle name="Normal 21 6 2 5 2 3" xfId="39405" xr:uid="{DEF3D753-86A7-4647-8EA2-BECF7446DDD3}"/>
    <cellStyle name="Normal 21 6 2 5 2 4" xfId="39406" xr:uid="{E132A02A-05D2-48EF-99D9-6174262A7FF6}"/>
    <cellStyle name="Normal 21 6 2 5 2 5" xfId="39407" xr:uid="{C5BDBB49-BADA-4CB2-A283-8B9042AF6271}"/>
    <cellStyle name="Normal 21 6 2 5 3" xfId="39408" xr:uid="{144DF188-6E0F-412C-84F4-19CC299663D9}"/>
    <cellStyle name="Normal 21 6 2 5 4" xfId="39409" xr:uid="{EB12A9A3-C3EA-4D96-8726-DCBC9808E606}"/>
    <cellStyle name="Normal 21 6 2 5 5" xfId="39410" xr:uid="{BBCF5313-A3A9-4873-BD32-761EE6AC49C5}"/>
    <cellStyle name="Normal 21 6 2 5 6" xfId="39411" xr:uid="{6C22C744-8F5C-4380-9178-F91DDE8A414F}"/>
    <cellStyle name="Normal 21 6 2 6" xfId="39412" xr:uid="{79C0DCC1-1047-495C-B1FB-11D0FABB738A}"/>
    <cellStyle name="Normal 21 6 2 6 2" xfId="39413" xr:uid="{C9B8EECC-E6E4-4D3C-AD32-C1ECCBCB0922}"/>
    <cellStyle name="Normal 21 6 2 6 3" xfId="39414" xr:uid="{313C9EC9-A5F5-4173-B276-B9554A75E397}"/>
    <cellStyle name="Normal 21 6 2 6 4" xfId="39415" xr:uid="{F9A47D34-38EC-48EA-A458-F1AB06B12129}"/>
    <cellStyle name="Normal 21 6 2 6 5" xfId="39416" xr:uid="{DB26CF81-E365-42BA-8BBC-5FBFA7DAFAD8}"/>
    <cellStyle name="Normal 21 6 2 7" xfId="39417" xr:uid="{45587BB7-5ADA-4886-A6AD-F963945532E8}"/>
    <cellStyle name="Normal 21 6 2 7 2" xfId="39418" xr:uid="{424E44D7-959B-49DE-932A-94CA775BDD95}"/>
    <cellStyle name="Normal 21 6 2 7 3" xfId="39419" xr:uid="{F55BEA97-BA83-47F3-AE68-921D0C48D517}"/>
    <cellStyle name="Normal 21 6 2 7 4" xfId="39420" xr:uid="{1E97A70C-D2AF-4ACD-B6CB-B9B6524F76C7}"/>
    <cellStyle name="Normal 21 6 2 7 5" xfId="39421" xr:uid="{3C3D6ADD-6F27-4AD9-8208-3A763EF1DB59}"/>
    <cellStyle name="Normal 21 6 2 8" xfId="39422" xr:uid="{DF783BA9-A8DA-42D7-991D-459A2F87D17B}"/>
    <cellStyle name="Normal 21 6 2 8 2" xfId="39423" xr:uid="{D69B7C46-4DCC-439D-B193-120E9C6BB4A7}"/>
    <cellStyle name="Normal 21 6 2 8 3" xfId="39424" xr:uid="{6DAA2727-5CD2-4ADA-9D6B-2708D87C8269}"/>
    <cellStyle name="Normal 21 6 2 8 4" xfId="39425" xr:uid="{43BD321B-1B3F-4D68-B20F-A10F81017F46}"/>
    <cellStyle name="Normal 21 6 2 8 5" xfId="39426" xr:uid="{A1FF8E45-7488-44FD-BCAF-4DD0DB6747C4}"/>
    <cellStyle name="Normal 21 6 2 9" xfId="39427" xr:uid="{DB61B5A9-6BD5-46DA-988C-278F69A6DD1E}"/>
    <cellStyle name="Normal 21 6 2 9 2" xfId="39428" xr:uid="{AD1A9A39-11F1-4355-AF97-8CEAD995706E}"/>
    <cellStyle name="Normal 21 6 2 9 3" xfId="39429" xr:uid="{C7B4CC84-7B6C-4452-B538-0DBA2DA42B69}"/>
    <cellStyle name="Normal 21 6 2 9 4" xfId="39430" xr:uid="{2AE030A2-35B6-476E-BF8D-122D885D58DA}"/>
    <cellStyle name="Normal 21 6 2 9 5" xfId="39431" xr:uid="{99B057C0-BBB0-4912-A483-1364A83C46B4}"/>
    <cellStyle name="Normal 21 6 3" xfId="39432" xr:uid="{452D1459-6AD1-4733-89EC-53EC9A2E286C}"/>
    <cellStyle name="Normal 21 6 3 10" xfId="39433" xr:uid="{72D24A49-9A54-446B-8BFE-933D08FB6ACC}"/>
    <cellStyle name="Normal 21 6 3 11" xfId="39434" xr:uid="{B91C2729-7C33-4FBE-9DC8-D64554CCE8A0}"/>
    <cellStyle name="Normal 21 6 3 12" xfId="39435" xr:uid="{DCEF2333-FEC5-4AE4-991E-4C35699B7EAF}"/>
    <cellStyle name="Normal 21 6 3 2" xfId="39436" xr:uid="{7BF81E47-9125-4300-801C-3786FAAB6C32}"/>
    <cellStyle name="Normal 21 6 3 2 2" xfId="39437" xr:uid="{8042E88E-D820-4426-8DC4-D4901AE6B396}"/>
    <cellStyle name="Normal 21 6 3 2 2 2" xfId="39438" xr:uid="{236B149D-74E5-4C65-A764-8EBABF061E82}"/>
    <cellStyle name="Normal 21 6 3 2 2 3" xfId="39439" xr:uid="{A268753C-FCE4-4086-830C-33A03B6BD143}"/>
    <cellStyle name="Normal 21 6 3 2 2 4" xfId="39440" xr:uid="{1FA5A79D-3A14-4E4F-936B-3355C84E5AB2}"/>
    <cellStyle name="Normal 21 6 3 2 2 5" xfId="39441" xr:uid="{7D53167B-8461-406C-8662-3D236F332A9B}"/>
    <cellStyle name="Normal 21 6 3 2 3" xfId="39442" xr:uid="{7DC46AE5-52E6-45B3-83B1-9122136B6688}"/>
    <cellStyle name="Normal 21 6 3 2 4" xfId="39443" xr:uid="{664428D0-9C47-41AE-8EC3-F1A0777ABC57}"/>
    <cellStyle name="Normal 21 6 3 2 5" xfId="39444" xr:uid="{B390C33E-7428-43C0-81AA-EBFFC132BDED}"/>
    <cellStyle name="Normal 21 6 3 2 6" xfId="39445" xr:uid="{195B0B2B-F4F3-4C18-992D-83ECF24399D7}"/>
    <cellStyle name="Normal 21 6 3 3" xfId="39446" xr:uid="{101D1258-CB10-4EB8-9879-065DB5EF0C9E}"/>
    <cellStyle name="Normal 21 6 3 3 2" xfId="39447" xr:uid="{B4141E44-426C-4986-8362-E53CD30739AA}"/>
    <cellStyle name="Normal 21 6 3 3 2 2" xfId="39448" xr:uid="{ABDE8E06-8365-4CFD-B06B-29C0998AF0B5}"/>
    <cellStyle name="Normal 21 6 3 3 2 3" xfId="39449" xr:uid="{991FAC0C-2541-489B-8091-4422B4137AD7}"/>
    <cellStyle name="Normal 21 6 3 3 2 4" xfId="39450" xr:uid="{45B1DEEE-A869-4A87-B385-99035BAF6418}"/>
    <cellStyle name="Normal 21 6 3 3 2 5" xfId="39451" xr:uid="{23AF052C-6B04-40A0-977A-EBEFD23E89BC}"/>
    <cellStyle name="Normal 21 6 3 3 3" xfId="39452" xr:uid="{74320487-503B-4378-8063-B78780BFC229}"/>
    <cellStyle name="Normal 21 6 3 3 4" xfId="39453" xr:uid="{53DB7F1B-A7D7-419F-BE94-E7860F3AD472}"/>
    <cellStyle name="Normal 21 6 3 3 5" xfId="39454" xr:uid="{C9F5C287-D8D2-4224-9983-53D1CB667A30}"/>
    <cellStyle name="Normal 21 6 3 3 6" xfId="39455" xr:uid="{9D7B51EC-4B7A-4D96-9660-459896C81B04}"/>
    <cellStyle name="Normal 21 6 3 4" xfId="39456" xr:uid="{4CB0CD7F-08CF-4584-82B4-84B0E81D6C8C}"/>
    <cellStyle name="Normal 21 6 3 4 2" xfId="39457" xr:uid="{C98405F5-81E7-481E-9DF3-0FEA07213B4C}"/>
    <cellStyle name="Normal 21 6 3 4 2 2" xfId="39458" xr:uid="{E757CAF9-F8B0-45DE-95E8-4A6CD45947FA}"/>
    <cellStyle name="Normal 21 6 3 4 2 3" xfId="39459" xr:uid="{5F0FD41B-1201-4BB5-8E4C-61C2A64874E3}"/>
    <cellStyle name="Normal 21 6 3 4 2 4" xfId="39460" xr:uid="{076DB684-59EB-4CF1-B07F-B51B2E3BA754}"/>
    <cellStyle name="Normal 21 6 3 4 2 5" xfId="39461" xr:uid="{718CEFE1-22BA-46E7-8BFC-8669DF36EF50}"/>
    <cellStyle name="Normal 21 6 3 4 3" xfId="39462" xr:uid="{2E564FEB-3249-495B-B7E1-5CFF3CE56456}"/>
    <cellStyle name="Normal 21 6 3 4 4" xfId="39463" xr:uid="{FE250229-A014-4560-BC62-A06F02C8CB20}"/>
    <cellStyle name="Normal 21 6 3 4 5" xfId="39464" xr:uid="{501FB2BE-2DD7-4C89-9F5C-BC39469CF72F}"/>
    <cellStyle name="Normal 21 6 3 4 6" xfId="39465" xr:uid="{29588199-CC16-4B47-900A-E77F7BB73361}"/>
    <cellStyle name="Normal 21 6 3 5" xfId="39466" xr:uid="{F6A258E4-289E-4724-AC98-33E41A8F197F}"/>
    <cellStyle name="Normal 21 6 3 5 2" xfId="39467" xr:uid="{59BF1C25-761D-46B7-9BEC-A81BF7CA1CC2}"/>
    <cellStyle name="Normal 21 6 3 5 3" xfId="39468" xr:uid="{8AF35515-0A1B-462C-BA0C-59323FE8DFF9}"/>
    <cellStyle name="Normal 21 6 3 5 4" xfId="39469" xr:uid="{44CF667D-CB34-4658-AA3F-291202D9ADD1}"/>
    <cellStyle name="Normal 21 6 3 5 5" xfId="39470" xr:uid="{83CDC23D-2FBC-456D-AE7A-E9639E68B469}"/>
    <cellStyle name="Normal 21 6 3 6" xfId="39471" xr:uid="{BE7C4180-22A7-45A1-894E-D282B31955AD}"/>
    <cellStyle name="Normal 21 6 3 6 2" xfId="39472" xr:uid="{58114A89-EBC5-4D68-BC02-06D4C15F90DB}"/>
    <cellStyle name="Normal 21 6 3 6 3" xfId="39473" xr:uid="{BA7222D4-496C-4AC7-BCF9-7EEA17660D55}"/>
    <cellStyle name="Normal 21 6 3 6 4" xfId="39474" xr:uid="{2468D3F5-46B3-4D37-A6AA-EC82E03BD02F}"/>
    <cellStyle name="Normal 21 6 3 6 5" xfId="39475" xr:uid="{DF270CBE-BE8D-4B93-BB10-F03DA27B8613}"/>
    <cellStyle name="Normal 21 6 3 7" xfId="39476" xr:uid="{39411E6E-3D47-4785-9D9E-B2CC2AE12BE5}"/>
    <cellStyle name="Normal 21 6 3 7 2" xfId="39477" xr:uid="{0B2E6B63-244D-4651-83C7-F68A9D6F9FA2}"/>
    <cellStyle name="Normal 21 6 3 7 3" xfId="39478" xr:uid="{04585084-8752-4F92-AA65-D360371A870B}"/>
    <cellStyle name="Normal 21 6 3 7 4" xfId="39479" xr:uid="{9E074B55-C267-4F1F-A758-F5C5347F27E1}"/>
    <cellStyle name="Normal 21 6 3 7 5" xfId="39480" xr:uid="{01963647-6C85-4AF1-8167-24A886394615}"/>
    <cellStyle name="Normal 21 6 3 8" xfId="39481" xr:uid="{5431E7E1-9852-487A-96B9-2F421B2C4601}"/>
    <cellStyle name="Normal 21 6 3 8 2" xfId="39482" xr:uid="{FEFF6DFB-4536-4F1D-8BA1-EEF9830AA168}"/>
    <cellStyle name="Normal 21 6 3 8 3" xfId="39483" xr:uid="{0F7A03AB-04A7-45BB-996D-60A89CEC4C09}"/>
    <cellStyle name="Normal 21 6 3 8 4" xfId="39484" xr:uid="{A85F5EF9-FF82-4D49-B483-29E8F757885D}"/>
    <cellStyle name="Normal 21 6 3 8 5" xfId="39485" xr:uid="{28E52C22-3D67-4B0F-AF3F-BFC951FE5B9B}"/>
    <cellStyle name="Normal 21 6 3 9" xfId="39486" xr:uid="{A4FB9484-92BD-4993-937C-51E9F68B1E25}"/>
    <cellStyle name="Normal 21 6 4" xfId="39487" xr:uid="{93B49006-4126-4703-BE01-C81DE880EC46}"/>
    <cellStyle name="Normal 21 6 4 2" xfId="39488" xr:uid="{70CC4F30-55F1-48E7-AC44-6218D0BF7BF2}"/>
    <cellStyle name="Normal 21 6 4 2 2" xfId="39489" xr:uid="{61BBD5C0-39FD-4BD9-B6CC-4A44938F0613}"/>
    <cellStyle name="Normal 21 6 4 2 3" xfId="39490" xr:uid="{6E024073-1703-4541-B4CF-F0B7EAA7DFED}"/>
    <cellStyle name="Normal 21 6 4 2 4" xfId="39491" xr:uid="{B25D83B9-DE9D-40B7-AAF7-3D530B668937}"/>
    <cellStyle name="Normal 21 6 4 2 5" xfId="39492" xr:uid="{B8CE648D-10E9-4F03-B38B-F04894AA3C24}"/>
    <cellStyle name="Normal 21 6 4 3" xfId="39493" xr:uid="{307C1B06-8371-4D2C-923E-FBAA7FB972A1}"/>
    <cellStyle name="Normal 21 6 4 4" xfId="39494" xr:uid="{F3F7B2C7-A5C0-4793-9239-B1ED3585BDB7}"/>
    <cellStyle name="Normal 21 6 4 5" xfId="39495" xr:uid="{37830AC5-F93E-4722-A9D2-FD12EF0F287F}"/>
    <cellStyle name="Normal 21 6 4 6" xfId="39496" xr:uid="{5C21CCDB-0BA6-453B-ADD6-D82EBFEEB2C0}"/>
    <cellStyle name="Normal 21 6 5" xfId="39497" xr:uid="{0B02C486-C13B-4B3D-8070-938BF1B90FBB}"/>
    <cellStyle name="Normal 21 6 5 2" xfId="39498" xr:uid="{627B7F5B-8DFF-495D-98B5-CD2D253D0A4D}"/>
    <cellStyle name="Normal 21 6 5 2 2" xfId="39499" xr:uid="{384526FE-081C-49E7-BAF1-3C94E9B32A4E}"/>
    <cellStyle name="Normal 21 6 5 2 3" xfId="39500" xr:uid="{E1848E06-A3A3-4128-84A0-A70DC98CBD2D}"/>
    <cellStyle name="Normal 21 6 5 2 4" xfId="39501" xr:uid="{5CD6B39C-E1F9-4BA7-A890-20CF73E5C7D3}"/>
    <cellStyle name="Normal 21 6 5 2 5" xfId="39502" xr:uid="{8CC153DC-40DF-49E3-98EF-6FBF13DF371D}"/>
    <cellStyle name="Normal 21 6 5 3" xfId="39503" xr:uid="{D0E9B32A-6AF2-49B0-B51D-5583380FAEF8}"/>
    <cellStyle name="Normal 21 6 5 4" xfId="39504" xr:uid="{EEF212BD-239E-4E71-A9A6-3AE02606E1D3}"/>
    <cellStyle name="Normal 21 6 5 5" xfId="39505" xr:uid="{8098AF9E-0095-400D-81C3-104AF24846F7}"/>
    <cellStyle name="Normal 21 6 5 6" xfId="39506" xr:uid="{59619288-6E0B-4566-9ED1-917BD4C7F8AB}"/>
    <cellStyle name="Normal 21 6 6" xfId="39507" xr:uid="{82CEECC4-DFD4-47E4-80D2-5C115F35C9E1}"/>
    <cellStyle name="Normal 21 6 6 2" xfId="39508" xr:uid="{7C1A927F-0336-41A6-9074-5D1EA4F5EB7F}"/>
    <cellStyle name="Normal 21 6 6 2 2" xfId="39509" xr:uid="{05F0BDA3-1E51-4FE9-9BFA-F446E8992B1A}"/>
    <cellStyle name="Normal 21 6 6 2 3" xfId="39510" xr:uid="{256490B3-E410-4213-9AA3-DE297AFCB56E}"/>
    <cellStyle name="Normal 21 6 6 2 4" xfId="39511" xr:uid="{82252BDD-0DC7-4125-BE28-7D60A6034854}"/>
    <cellStyle name="Normal 21 6 6 2 5" xfId="39512" xr:uid="{8A7EF3A8-B9B9-4A4F-9117-8B4C5CD0F28D}"/>
    <cellStyle name="Normal 21 6 6 3" xfId="39513" xr:uid="{81C19139-DCA8-49BE-8F16-4152B17FF00C}"/>
    <cellStyle name="Normal 21 6 6 4" xfId="39514" xr:uid="{942D1953-DE6A-40EF-827B-1E9EDEC3B127}"/>
    <cellStyle name="Normal 21 6 6 5" xfId="39515" xr:uid="{AA63AB34-607A-48AB-B4CD-7218148AC161}"/>
    <cellStyle name="Normal 21 6 6 6" xfId="39516" xr:uid="{7A54F22E-EC04-4679-B9D3-3784B013F4A7}"/>
    <cellStyle name="Normal 21 6 7" xfId="39517" xr:uid="{70F9D48A-1CF6-42A1-BFC9-0A56D7FFE0C0}"/>
    <cellStyle name="Normal 21 6 7 2" xfId="39518" xr:uid="{1A86CE72-771F-4D6A-ACE8-8E49F2C09124}"/>
    <cellStyle name="Normal 21 6 7 3" xfId="39519" xr:uid="{94F43837-3160-4C67-B67B-EE0F5B312AD0}"/>
    <cellStyle name="Normal 21 6 7 4" xfId="39520" xr:uid="{F97BE442-D417-4294-A79E-14C21D6DEB11}"/>
    <cellStyle name="Normal 21 6 7 5" xfId="39521" xr:uid="{7D2228A4-DDCD-4844-9CBB-4D25DCFD0F20}"/>
    <cellStyle name="Normal 21 6 8" xfId="39522" xr:uid="{4FA3A015-3777-4313-A45F-FD2335A88EAB}"/>
    <cellStyle name="Normal 21 6 8 2" xfId="39523" xr:uid="{755EC047-C7E5-4043-A261-1D2AE68FEA44}"/>
    <cellStyle name="Normal 21 6 8 3" xfId="39524" xr:uid="{0C87AA2B-6610-477A-BDC8-7AC000B73EFE}"/>
    <cellStyle name="Normal 21 6 8 4" xfId="39525" xr:uid="{25D18FA6-1DA6-4D63-AD9C-8EF03FAC2025}"/>
    <cellStyle name="Normal 21 6 8 5" xfId="39526" xr:uid="{B65D6678-3B69-4DF9-9A12-9EECF57CAD3F}"/>
    <cellStyle name="Normal 21 6 9" xfId="39527" xr:uid="{A040CB30-43DA-428E-A2A3-2D3999783651}"/>
    <cellStyle name="Normal 21 6 9 2" xfId="39528" xr:uid="{F4FE8E65-2BFC-40E3-8B64-B6ADCFA2269F}"/>
    <cellStyle name="Normal 21 6 9 3" xfId="39529" xr:uid="{168887BE-DFE3-41A2-8B54-5B1FE12B3F34}"/>
    <cellStyle name="Normal 21 6 9 4" xfId="39530" xr:uid="{4DCF0415-F886-4489-AF40-DC65BD1AE2C0}"/>
    <cellStyle name="Normal 21 6 9 5" xfId="39531" xr:uid="{F87F7C9C-DD11-4003-99BB-8640DD584DA5}"/>
    <cellStyle name="Normal 21 7" xfId="39532" xr:uid="{8A9A91B2-BD2E-44F2-9A0B-D86E1818C9DB}"/>
    <cellStyle name="Normal 21 7 10" xfId="39533" xr:uid="{4880D9DA-B60E-4003-9656-092677346B8A}"/>
    <cellStyle name="Normal 21 7 11" xfId="39534" xr:uid="{F706BC49-4C68-4A22-A4EC-96D62EADCF46}"/>
    <cellStyle name="Normal 21 7 12" xfId="39535" xr:uid="{1AEC19C2-75F0-4BF2-903D-2FDADD745F3C}"/>
    <cellStyle name="Normal 21 7 13" xfId="39536" xr:uid="{FB855E36-491F-4DAC-91BC-BABB5DE30181}"/>
    <cellStyle name="Normal 21 7 2" xfId="39537" xr:uid="{14AACA7C-9E4E-4AA2-814F-4F56688EBC4C}"/>
    <cellStyle name="Normal 21 7 2 10" xfId="39538" xr:uid="{24EC0130-73C9-40DA-91E0-459D95BD7DBA}"/>
    <cellStyle name="Normal 21 7 2 11" xfId="39539" xr:uid="{0BBF8DE7-658E-4247-8346-E38712E33E1A}"/>
    <cellStyle name="Normal 21 7 2 12" xfId="39540" xr:uid="{433924E4-8839-4E4B-A3D4-CB81CD418AC9}"/>
    <cellStyle name="Normal 21 7 2 2" xfId="39541" xr:uid="{9E25BD55-2D1C-4F53-8802-80DBA84723E4}"/>
    <cellStyle name="Normal 21 7 2 2 2" xfId="39542" xr:uid="{4D6ADA2A-852B-4A03-8407-481F6FF0EF24}"/>
    <cellStyle name="Normal 21 7 2 2 2 2" xfId="39543" xr:uid="{9F1D49E5-272A-4720-81BF-2D4A8DD2DEB7}"/>
    <cellStyle name="Normal 21 7 2 2 2 3" xfId="39544" xr:uid="{BACB1153-BCA9-4EF1-8E91-61E5F17E463A}"/>
    <cellStyle name="Normal 21 7 2 2 2 4" xfId="39545" xr:uid="{9FCFFC47-0C7D-4EA3-A9B2-79934EF065BC}"/>
    <cellStyle name="Normal 21 7 2 2 2 5" xfId="39546" xr:uid="{8052B36C-E12E-46DF-BE74-B708603CAC0F}"/>
    <cellStyle name="Normal 21 7 2 2 3" xfId="39547" xr:uid="{9E45778E-DDD3-4496-B019-791450F3B872}"/>
    <cellStyle name="Normal 21 7 2 2 4" xfId="39548" xr:uid="{264FCD90-AC40-46A9-AD97-1345A5E2B448}"/>
    <cellStyle name="Normal 21 7 2 2 5" xfId="39549" xr:uid="{CD683E5C-C185-4AB5-A290-2295A4B0DDFB}"/>
    <cellStyle name="Normal 21 7 2 2 6" xfId="39550" xr:uid="{0B00B4F4-4A66-489F-91BD-A4A144EF1E78}"/>
    <cellStyle name="Normal 21 7 2 3" xfId="39551" xr:uid="{765D2377-2BD1-4759-BE18-4FDAB54CECC3}"/>
    <cellStyle name="Normal 21 7 2 3 2" xfId="39552" xr:uid="{07B00486-8FC0-412A-A7E9-9F7D8A8ADDE4}"/>
    <cellStyle name="Normal 21 7 2 3 2 2" xfId="39553" xr:uid="{0F385307-4804-44A9-8F98-2A5602AED0F9}"/>
    <cellStyle name="Normal 21 7 2 3 2 3" xfId="39554" xr:uid="{BF2675E5-C7B1-4445-855D-35B0C9649BE1}"/>
    <cellStyle name="Normal 21 7 2 3 2 4" xfId="39555" xr:uid="{57F80DFC-7BB7-4BE8-BDE8-6DCFA71C2FB5}"/>
    <cellStyle name="Normal 21 7 2 3 2 5" xfId="39556" xr:uid="{BCEA4DB3-ED32-4703-AC63-9E5669466184}"/>
    <cellStyle name="Normal 21 7 2 3 3" xfId="39557" xr:uid="{BC78E1E7-9973-4635-9D72-2336B6A5454B}"/>
    <cellStyle name="Normal 21 7 2 3 4" xfId="39558" xr:uid="{ACCF68A9-5E88-4949-91C8-AB82BDB54653}"/>
    <cellStyle name="Normal 21 7 2 3 5" xfId="39559" xr:uid="{D60834F0-4D88-4421-9008-45BF174A9B54}"/>
    <cellStyle name="Normal 21 7 2 3 6" xfId="39560" xr:uid="{635BEBC7-A4DD-4F60-9144-5974B7C2FA49}"/>
    <cellStyle name="Normal 21 7 2 4" xfId="39561" xr:uid="{15BBB5E8-3FA3-44CB-B890-559B3C8A17AF}"/>
    <cellStyle name="Normal 21 7 2 4 2" xfId="39562" xr:uid="{94E2A013-8080-4F13-8833-931797DC1A8E}"/>
    <cellStyle name="Normal 21 7 2 4 2 2" xfId="39563" xr:uid="{AF1B413B-E754-4E88-8266-AA47CDAA13AF}"/>
    <cellStyle name="Normal 21 7 2 4 2 3" xfId="39564" xr:uid="{995A76A5-3AB8-4901-AB7B-EB92E4CC31DA}"/>
    <cellStyle name="Normal 21 7 2 4 2 4" xfId="39565" xr:uid="{F83A03D0-111E-496A-BC6F-28D14E39B98C}"/>
    <cellStyle name="Normal 21 7 2 4 2 5" xfId="39566" xr:uid="{FB57795C-352B-4795-908C-0DF92F15ECE5}"/>
    <cellStyle name="Normal 21 7 2 4 3" xfId="39567" xr:uid="{1C0C66E1-6C42-4762-BD4E-6D5B3D3F9FA3}"/>
    <cellStyle name="Normal 21 7 2 4 4" xfId="39568" xr:uid="{B5C94896-1A4B-4595-BC48-F0765E728EF2}"/>
    <cellStyle name="Normal 21 7 2 4 5" xfId="39569" xr:uid="{75CA11E2-C156-44CD-A69F-7D9851FEC168}"/>
    <cellStyle name="Normal 21 7 2 4 6" xfId="39570" xr:uid="{BB88D200-A931-4551-AF95-372A5EEF4AF1}"/>
    <cellStyle name="Normal 21 7 2 5" xfId="39571" xr:uid="{ACCC10A2-D27B-41FD-96E2-7FA7FCD385CA}"/>
    <cellStyle name="Normal 21 7 2 5 2" xfId="39572" xr:uid="{9FEE9E7E-CD34-4818-9B3B-8AABEE904B0B}"/>
    <cellStyle name="Normal 21 7 2 5 3" xfId="39573" xr:uid="{5412D6B3-BB10-4495-A4A1-D6EBCE43CEDA}"/>
    <cellStyle name="Normal 21 7 2 5 4" xfId="39574" xr:uid="{C3D06CA0-4993-4B6F-9F5A-15282EE56335}"/>
    <cellStyle name="Normal 21 7 2 5 5" xfId="39575" xr:uid="{CC6DE8DA-61C2-4DAA-B734-7A594D3FF2BC}"/>
    <cellStyle name="Normal 21 7 2 6" xfId="39576" xr:uid="{D178AB85-3F6C-4B5D-94F6-D66E7B0785B9}"/>
    <cellStyle name="Normal 21 7 2 6 2" xfId="39577" xr:uid="{0FC4F46C-0B6C-4566-918C-57F44F3ACE49}"/>
    <cellStyle name="Normal 21 7 2 6 3" xfId="39578" xr:uid="{1AF0C355-2F12-4B63-BF26-6DBA521C3E62}"/>
    <cellStyle name="Normal 21 7 2 6 4" xfId="39579" xr:uid="{A711B183-5F8B-49D2-9C71-24303FC90C03}"/>
    <cellStyle name="Normal 21 7 2 6 5" xfId="39580" xr:uid="{AFFCCA8B-65EB-47BD-97E8-047160D5A76C}"/>
    <cellStyle name="Normal 21 7 2 7" xfId="39581" xr:uid="{A33F23AC-932F-4409-953F-73D1F6648D73}"/>
    <cellStyle name="Normal 21 7 2 7 2" xfId="39582" xr:uid="{B4F71CAF-4CB9-470B-BB25-A7BDA40AF921}"/>
    <cellStyle name="Normal 21 7 2 7 3" xfId="39583" xr:uid="{C05A94E5-CBA1-47AB-8CD0-2F3D03B311A3}"/>
    <cellStyle name="Normal 21 7 2 7 4" xfId="39584" xr:uid="{7F700BE7-C471-4A19-8BD6-B37832BA3A59}"/>
    <cellStyle name="Normal 21 7 2 7 5" xfId="39585" xr:uid="{39BAFF66-5033-4FA1-AD2C-41BB7CD00F48}"/>
    <cellStyle name="Normal 21 7 2 8" xfId="39586" xr:uid="{D135EEEE-1E69-4255-AB3E-84B39F9ADAC0}"/>
    <cellStyle name="Normal 21 7 2 8 2" xfId="39587" xr:uid="{22675BB2-6029-422F-8298-202FFA08AA2F}"/>
    <cellStyle name="Normal 21 7 2 8 3" xfId="39588" xr:uid="{0D507C0E-549A-4BE3-AB01-791A82F90131}"/>
    <cellStyle name="Normal 21 7 2 8 4" xfId="39589" xr:uid="{6DB3B0FC-5B24-40E9-B03B-60D6F51C6F10}"/>
    <cellStyle name="Normal 21 7 2 8 5" xfId="39590" xr:uid="{056194CE-8B1C-492E-9B4C-1DE16E80DF0A}"/>
    <cellStyle name="Normal 21 7 2 9" xfId="39591" xr:uid="{94C0547F-046E-492A-8EDE-A5DE8C921FF0}"/>
    <cellStyle name="Normal 21 7 3" xfId="39592" xr:uid="{CC677448-1884-4BD4-83B2-B2BE26A7907D}"/>
    <cellStyle name="Normal 21 7 3 2" xfId="39593" xr:uid="{49CF85E5-4664-45AD-8474-38F3DF42DE45}"/>
    <cellStyle name="Normal 21 7 3 2 2" xfId="39594" xr:uid="{A33718FE-ACF9-4E97-AF98-B5047A25E1AD}"/>
    <cellStyle name="Normal 21 7 3 2 3" xfId="39595" xr:uid="{F9BF1790-B78A-4A7B-B3D7-BF019D4E90FE}"/>
    <cellStyle name="Normal 21 7 3 2 4" xfId="39596" xr:uid="{A7CA349F-4D43-43D4-A4AA-1DE9F6581B27}"/>
    <cellStyle name="Normal 21 7 3 2 5" xfId="39597" xr:uid="{954F82B6-0D0A-4042-8DEC-F2A44E46540F}"/>
    <cellStyle name="Normal 21 7 3 3" xfId="39598" xr:uid="{3CE1AEB0-FA30-40CF-8883-5D6BFCB1DCE7}"/>
    <cellStyle name="Normal 21 7 3 4" xfId="39599" xr:uid="{57930646-4FF9-40CD-ADEF-A872B50E494A}"/>
    <cellStyle name="Normal 21 7 3 5" xfId="39600" xr:uid="{F20F9091-1403-4053-835F-CA9B0B708D67}"/>
    <cellStyle name="Normal 21 7 3 6" xfId="39601" xr:uid="{71632A29-F2E8-49DE-8A49-F850452F63E5}"/>
    <cellStyle name="Normal 21 7 4" xfId="39602" xr:uid="{34E72611-4015-4901-85DF-3E288DF82074}"/>
    <cellStyle name="Normal 21 7 4 2" xfId="39603" xr:uid="{73BE66E7-E03C-4470-8863-CE717D8E4CD9}"/>
    <cellStyle name="Normal 21 7 4 2 2" xfId="39604" xr:uid="{A9AFFEBE-08FA-4A73-9480-1CDC02EA0F03}"/>
    <cellStyle name="Normal 21 7 4 2 3" xfId="39605" xr:uid="{B10EF0E3-DF11-49BA-921E-B182332E4F1A}"/>
    <cellStyle name="Normal 21 7 4 2 4" xfId="39606" xr:uid="{1E05090A-A655-41C5-9A0A-57F9248B6219}"/>
    <cellStyle name="Normal 21 7 4 2 5" xfId="39607" xr:uid="{076F3EC5-8FCB-4286-BDD9-12D45F8AB785}"/>
    <cellStyle name="Normal 21 7 4 3" xfId="39608" xr:uid="{52B3D3EA-D20F-46DC-8228-1815064F7695}"/>
    <cellStyle name="Normal 21 7 4 4" xfId="39609" xr:uid="{8549ADCF-C38C-43D3-800F-83456A775CAC}"/>
    <cellStyle name="Normal 21 7 4 5" xfId="39610" xr:uid="{F5DCF609-2DBD-4BF5-98B3-5ECD0B2212A6}"/>
    <cellStyle name="Normal 21 7 4 6" xfId="39611" xr:uid="{55C9F9BB-DA23-4CEF-80A6-6D85850575F3}"/>
    <cellStyle name="Normal 21 7 5" xfId="39612" xr:uid="{52D176FE-C6CC-45FB-BBCC-7D6982C2A385}"/>
    <cellStyle name="Normal 21 7 5 2" xfId="39613" xr:uid="{57D6AEEB-3A15-4652-BBED-2B53C2E6F0B6}"/>
    <cellStyle name="Normal 21 7 5 2 2" xfId="39614" xr:uid="{22C77350-0F4D-4BFC-8FFB-9519BC7D1789}"/>
    <cellStyle name="Normal 21 7 5 2 3" xfId="39615" xr:uid="{C87E0E90-EC0C-43FC-992F-C6D63F66EBA6}"/>
    <cellStyle name="Normal 21 7 5 2 4" xfId="39616" xr:uid="{F98EDDB1-2417-4EF8-B0D4-C5621F951034}"/>
    <cellStyle name="Normal 21 7 5 2 5" xfId="39617" xr:uid="{B7700FA1-FF3C-4F5F-89A3-10ABD9F7619D}"/>
    <cellStyle name="Normal 21 7 5 3" xfId="39618" xr:uid="{85E174F4-4792-4BD2-8F5F-C6D35EDB1A61}"/>
    <cellStyle name="Normal 21 7 5 4" xfId="39619" xr:uid="{C1BE8392-71D4-4F33-A2E0-C08A2EEF6C01}"/>
    <cellStyle name="Normal 21 7 5 5" xfId="39620" xr:uid="{D11456EF-D2A7-450A-B903-50AE14DDB1E8}"/>
    <cellStyle name="Normal 21 7 5 6" xfId="39621" xr:uid="{702CCEFF-EC8A-4C1C-8079-59AD93F6F4A4}"/>
    <cellStyle name="Normal 21 7 6" xfId="39622" xr:uid="{D1BF1ECB-2F35-43D3-8FA8-2DEB24573785}"/>
    <cellStyle name="Normal 21 7 6 2" xfId="39623" xr:uid="{BF5E5281-D601-4EE9-8B33-931A7FD17217}"/>
    <cellStyle name="Normal 21 7 6 3" xfId="39624" xr:uid="{929FC6C2-A174-4EBA-A929-8A7C1C54947A}"/>
    <cellStyle name="Normal 21 7 6 4" xfId="39625" xr:uid="{9A62C3C0-C380-4BEB-A58B-DB14A436AF07}"/>
    <cellStyle name="Normal 21 7 6 5" xfId="39626" xr:uid="{C07AD6F0-8A8D-4A09-A7E7-323C224608E3}"/>
    <cellStyle name="Normal 21 7 7" xfId="39627" xr:uid="{C016F09B-25ED-4C84-871C-228D191382DA}"/>
    <cellStyle name="Normal 21 7 7 2" xfId="39628" xr:uid="{0C898782-2FC4-423A-B738-4EF0E74A4ED1}"/>
    <cellStyle name="Normal 21 7 7 3" xfId="39629" xr:uid="{265C173F-1CD7-4697-BB82-A1C2E9436F68}"/>
    <cellStyle name="Normal 21 7 7 4" xfId="39630" xr:uid="{D89F3999-F7BD-4C28-860C-085E4A0A0521}"/>
    <cellStyle name="Normal 21 7 7 5" xfId="39631" xr:uid="{4433D8EC-94B1-449E-ADAF-D2F10D1694C8}"/>
    <cellStyle name="Normal 21 7 8" xfId="39632" xr:uid="{85C14847-4462-4BE7-8C15-80AC3EE96A98}"/>
    <cellStyle name="Normal 21 7 8 2" xfId="39633" xr:uid="{878ADB2D-83EE-480C-814D-975C70F15692}"/>
    <cellStyle name="Normal 21 7 8 3" xfId="39634" xr:uid="{50F825F4-0FE2-458E-81F4-25B9F966D0FB}"/>
    <cellStyle name="Normal 21 7 8 4" xfId="39635" xr:uid="{AB2C3B0B-CDB0-4947-A117-AC8103A917F8}"/>
    <cellStyle name="Normal 21 7 8 5" xfId="39636" xr:uid="{855D9C91-510D-4D4A-A412-FBEE0BDDF2BC}"/>
    <cellStyle name="Normal 21 7 9" xfId="39637" xr:uid="{D07E24B3-33FA-4FC3-9908-0A3C14DD7EB6}"/>
    <cellStyle name="Normal 21 7 9 2" xfId="39638" xr:uid="{CF8CA97C-C473-4401-967B-A8A90A0746A1}"/>
    <cellStyle name="Normal 21 7 9 3" xfId="39639" xr:uid="{550FA88B-546F-487F-8EE2-78E3D6CED379}"/>
    <cellStyle name="Normal 21 7 9 4" xfId="39640" xr:uid="{E7EC412F-FBCE-4671-8604-FA36D9698D06}"/>
    <cellStyle name="Normal 21 7 9 5" xfId="39641" xr:uid="{B786C51D-EEF7-4692-A6C8-316174EDC848}"/>
    <cellStyle name="Normal 21 8" xfId="39642" xr:uid="{1468E61D-13C4-4B45-B068-6F7F9D2C1ABC}"/>
    <cellStyle name="Normal 21 8 10" xfId="39643" xr:uid="{1A40C651-2A2C-46BA-9F92-4477AA3F04B5}"/>
    <cellStyle name="Normal 21 8 11" xfId="39644" xr:uid="{738DE7E8-3724-43FF-AC3D-8D6D3BDEFADC}"/>
    <cellStyle name="Normal 21 8 2" xfId="39645" xr:uid="{2F6A4B0D-9391-4078-B03A-EB70F17E7A73}"/>
    <cellStyle name="Normal 21 8 2 10" xfId="39646" xr:uid="{9786E412-062B-47B8-9EF0-3E46AD0C6EE6}"/>
    <cellStyle name="Normal 21 8 2 11" xfId="39647" xr:uid="{EED7366E-7B22-41B5-9D15-9E9EA27E65BE}"/>
    <cellStyle name="Normal 21 8 2 12" xfId="39648" xr:uid="{4D03D14C-4C26-428D-B91A-2D007A4797A8}"/>
    <cellStyle name="Normal 21 8 2 2" xfId="39649" xr:uid="{A30FFD6C-6D6E-4012-B5B2-FE97FFF0BD92}"/>
    <cellStyle name="Normal 21 8 2 2 2" xfId="39650" xr:uid="{A6A39B86-98E7-4D3C-AE42-BA347FEF9D7C}"/>
    <cellStyle name="Normal 21 8 2 2 2 2" xfId="39651" xr:uid="{44978CA5-365E-4852-981B-4DFAB2FE3F2C}"/>
    <cellStyle name="Normal 21 8 2 2 2 3" xfId="39652" xr:uid="{4926691A-06FF-4F11-BD92-D4D69D1ABF58}"/>
    <cellStyle name="Normal 21 8 2 2 2 4" xfId="39653" xr:uid="{6E21EB99-B93B-4D09-9DF8-9955E76AB4A4}"/>
    <cellStyle name="Normal 21 8 2 2 2 5" xfId="39654" xr:uid="{66B24152-1B51-4899-99BC-7205758744B2}"/>
    <cellStyle name="Normal 21 8 2 2 3" xfId="39655" xr:uid="{9F3F3693-AE70-4E8F-9696-3C0A7E342CD0}"/>
    <cellStyle name="Normal 21 8 2 2 4" xfId="39656" xr:uid="{A86364AA-2D62-4A62-97A2-087F647A45BB}"/>
    <cellStyle name="Normal 21 8 2 2 5" xfId="39657" xr:uid="{D857310E-370E-4C1D-AE4A-BCA5F0EFCD25}"/>
    <cellStyle name="Normal 21 8 2 3" xfId="39658" xr:uid="{A37B666C-6553-47E4-912E-86D8FBE23039}"/>
    <cellStyle name="Normal 21 8 2 4" xfId="39659" xr:uid="{6F8B1B3F-8814-4F3F-AAC4-B04FA58D3096}"/>
    <cellStyle name="Normal 21 8 2 5" xfId="39660" xr:uid="{4B5E7268-1C97-478A-BCAC-1465FD3E55A5}"/>
    <cellStyle name="Normal 21 8 2 5 2" xfId="39661" xr:uid="{4C0E91F9-326A-46B0-8ADE-C364E3604B90}"/>
    <cellStyle name="Normal 21 8 2 5 3" xfId="39662" xr:uid="{33C8F825-09F2-465E-B9FC-48F30D93AFA3}"/>
    <cellStyle name="Normal 21 8 2 5 4" xfId="39663" xr:uid="{CD1777D8-5233-4590-A52B-016B90468BFC}"/>
    <cellStyle name="Normal 21 8 2 5 5" xfId="39664" xr:uid="{A2890EBE-AE73-42A0-91DD-715486E5B0F7}"/>
    <cellStyle name="Normal 21 8 2 6" xfId="39665" xr:uid="{919BB7C1-213B-4E31-A706-771D6DD0D8C6}"/>
    <cellStyle name="Normal 21 8 2 7" xfId="39666" xr:uid="{0A0BC35F-484B-4EE0-BBF7-4B256C8CBD5B}"/>
    <cellStyle name="Normal 21 8 2 8" xfId="39667" xr:uid="{C4C4D35D-567B-4882-B682-7FC055C83DF8}"/>
    <cellStyle name="Normal 21 8 2 9" xfId="39668" xr:uid="{D3CD4786-D8D9-4825-84C5-DFD602CC68D0}"/>
    <cellStyle name="Normal 21 8 3" xfId="39669" xr:uid="{FAFE6850-C19D-42CA-8040-67F17A2CE403}"/>
    <cellStyle name="Normal 21 8 3 2" xfId="39670" xr:uid="{B5C72AD0-A4EF-4223-92EF-08CFB7B1E55A}"/>
    <cellStyle name="Normal 21 8 3 2 2" xfId="39671" xr:uid="{315D349B-E5AE-4F70-9973-2F5BF45A81AC}"/>
    <cellStyle name="Normal 21 8 3 2 3" xfId="39672" xr:uid="{0A3254CB-7365-445A-B628-5F4D1B0DC7DF}"/>
    <cellStyle name="Normal 21 8 3 2 4" xfId="39673" xr:uid="{C99956CE-3C12-4235-A757-7D87DE0BB9D6}"/>
    <cellStyle name="Normal 21 8 3 2 5" xfId="39674" xr:uid="{D2B3359A-CD7C-4901-90D1-23485BBC66A8}"/>
    <cellStyle name="Normal 21 8 3 3" xfId="39675" xr:uid="{C2978FEB-34A7-4A5C-8F32-19050AAB04A3}"/>
    <cellStyle name="Normal 21 8 3 4" xfId="39676" xr:uid="{A46F4210-7A89-4A95-9EEA-C097926DA27B}"/>
    <cellStyle name="Normal 21 8 3 5" xfId="39677" xr:uid="{267EB23C-A61A-4851-91A6-A4DEC5F97233}"/>
    <cellStyle name="Normal 21 8 3 6" xfId="39678" xr:uid="{DFCC9830-AD63-4DC7-A495-BB5BCAE25FCB}"/>
    <cellStyle name="Normal 21 8 4" xfId="39679" xr:uid="{57423943-8055-4C41-897D-24D31AAD6B7C}"/>
    <cellStyle name="Normal 21 8 4 2" xfId="39680" xr:uid="{920DBD1D-29F8-42CD-B4C6-1E8A157B1E7F}"/>
    <cellStyle name="Normal 21 8 4 2 2" xfId="39681" xr:uid="{67E12878-548E-4C59-A36B-4F718DD0F996}"/>
    <cellStyle name="Normal 21 8 4 2 3" xfId="39682" xr:uid="{B33DACB8-F4E7-4BC9-8344-64BEA38DEDBC}"/>
    <cellStyle name="Normal 21 8 4 2 4" xfId="39683" xr:uid="{CF422720-5458-4FEE-888D-D2191FB49336}"/>
    <cellStyle name="Normal 21 8 4 2 5" xfId="39684" xr:uid="{C6FF36D9-A827-4327-AF62-0937171B0A68}"/>
    <cellStyle name="Normal 21 8 4 3" xfId="39685" xr:uid="{8636FEFC-7B8C-4A89-B03C-803681873C61}"/>
    <cellStyle name="Normal 21 8 4 4" xfId="39686" xr:uid="{5A49DBD9-C9D1-4E73-9FEB-DED6B10FD078}"/>
    <cellStyle name="Normal 21 8 4 5" xfId="39687" xr:uid="{02015CDA-8250-4FD7-A7A5-C8EEF0580596}"/>
    <cellStyle name="Normal 21 8 4 6" xfId="39688" xr:uid="{EEA28778-87C6-4017-98F6-0B953B96DD98}"/>
    <cellStyle name="Normal 21 8 5" xfId="39689" xr:uid="{9C61E148-C1C2-4521-88B3-FD0E755B12FB}"/>
    <cellStyle name="Normal 21 8 5 2" xfId="39690" xr:uid="{91703227-91DB-41B1-AAF5-ED3977EEE704}"/>
    <cellStyle name="Normal 21 8 5 3" xfId="39691" xr:uid="{EB6F6F96-B7D2-4D0E-98C7-51F73B28ECB4}"/>
    <cellStyle name="Normal 21 8 5 4" xfId="39692" xr:uid="{79F06050-A417-4ED8-8A67-98F93BBA6286}"/>
    <cellStyle name="Normal 21 8 5 5" xfId="39693" xr:uid="{DEF6CCA0-56B9-4F4C-BB9F-94FD7BA1FEE7}"/>
    <cellStyle name="Normal 21 8 6" xfId="39694" xr:uid="{CEBE88CA-FA96-49DC-B027-61B6D61E44E7}"/>
    <cellStyle name="Normal 21 8 6 2" xfId="39695" xr:uid="{1CA2D29D-8AE7-4B58-9AA9-C69B34A24ECF}"/>
    <cellStyle name="Normal 21 8 6 3" xfId="39696" xr:uid="{24A3FB26-5C60-4AE9-B856-E5EEA846E5D4}"/>
    <cellStyle name="Normal 21 8 6 4" xfId="39697" xr:uid="{A3FAC8C9-5314-4E5E-82A3-DB36856AA916}"/>
    <cellStyle name="Normal 21 8 6 5" xfId="39698" xr:uid="{DE729CAA-99A1-4CDF-8FB7-1C1499B124B7}"/>
    <cellStyle name="Normal 21 8 7" xfId="39699" xr:uid="{DCA5A58F-6D5B-4372-89FF-534CD1F2DB08}"/>
    <cellStyle name="Normal 21 8 7 2" xfId="39700" xr:uid="{0C5943DB-887D-4C19-B4B8-42A798B01271}"/>
    <cellStyle name="Normal 21 8 7 3" xfId="39701" xr:uid="{276F72F8-F477-4B07-9176-05875B49783D}"/>
    <cellStyle name="Normal 21 8 7 4" xfId="39702" xr:uid="{4CC2336E-49F3-4776-A2B7-F6BF75BFE97F}"/>
    <cellStyle name="Normal 21 8 7 5" xfId="39703" xr:uid="{84DBCBA3-EA73-4E0C-914E-D44DE0324365}"/>
    <cellStyle name="Normal 21 8 8" xfId="39704" xr:uid="{17F0C0CC-3217-4B8F-B02F-FCB1FE2F0348}"/>
    <cellStyle name="Normal 21 8 9" xfId="39705" xr:uid="{A646D6E6-6492-402D-A14B-47E64D285B3F}"/>
    <cellStyle name="Normal 21 9" xfId="39706" xr:uid="{AB191D0C-B156-47D7-9BB9-9A3369E1131D}"/>
    <cellStyle name="Normal 21 9 2" xfId="39707" xr:uid="{A7918069-9350-4371-A649-949CED1856C2}"/>
    <cellStyle name="Normal 21 9 2 2" xfId="39708" xr:uid="{337FF0D3-CEEE-49C9-914A-D6B40F9CC942}"/>
    <cellStyle name="Normal 21 9 2 3" xfId="39709" xr:uid="{2AB1B99F-4A42-41F1-BE78-586EEC1A547F}"/>
    <cellStyle name="Normal 21 9 2 4" xfId="39710" xr:uid="{B1CA1CA5-204B-4F9E-A30D-1196E0BD175D}"/>
    <cellStyle name="Normal 21 9 2 5" xfId="39711" xr:uid="{FE4CAAA2-5F5D-4769-A987-A88C824833F9}"/>
    <cellStyle name="Normal 21 9 3" xfId="39712" xr:uid="{99E0210C-A53F-40FA-AAED-AAA7CF773EAB}"/>
    <cellStyle name="Normal 21 9 4" xfId="39713" xr:uid="{48B3559E-347B-445D-A353-133FFAC03796}"/>
    <cellStyle name="Normal 21 9 5" xfId="39714" xr:uid="{2E56CC19-3417-4DE8-84FD-748440512E5A}"/>
    <cellStyle name="Normal 22" xfId="39715" xr:uid="{1C208EBE-73E1-4AE3-A90E-4D5838696A5D}"/>
    <cellStyle name="Normal 22 2" xfId="39716" xr:uid="{83D434EA-2443-4317-8D41-405C79707449}"/>
    <cellStyle name="Normal 22 3" xfId="39717" xr:uid="{392E90E6-3D91-4C81-BB26-1E36D3A4FEA8}"/>
    <cellStyle name="Normal 22 4" xfId="39718" xr:uid="{C6B5B564-256B-4C54-8091-422F3BB1BBB7}"/>
    <cellStyle name="Normal 23" xfId="39719" xr:uid="{25DEE84B-64CC-41EE-996F-7B3D8B9E7295}"/>
    <cellStyle name="Normal 23 2" xfId="39720" xr:uid="{73D7AE19-706B-4BB0-967A-B401FF99689C}"/>
    <cellStyle name="Normal 23 3" xfId="39721" xr:uid="{A8B56C04-021F-4EBB-A3A2-A5F61BDA1957}"/>
    <cellStyle name="Normal 23 4" xfId="39722" xr:uid="{9723A716-0D59-4294-871B-6C7BD798E2BB}"/>
    <cellStyle name="Normal 24" xfId="39723" xr:uid="{214941EE-D077-4227-8BF6-28B91C7A213F}"/>
    <cellStyle name="Normal 24 2" xfId="39724" xr:uid="{F2F902BF-61C9-44C1-A74A-29411BD0AD9F}"/>
    <cellStyle name="Normal 24 2 2" xfId="39725" xr:uid="{E537D0F9-16C5-4DFB-8D4D-1A0F25BBB665}"/>
    <cellStyle name="Normal 24 2 3" xfId="39726" xr:uid="{032A93CF-669C-47AF-9275-3D52EEFC7D2B}"/>
    <cellStyle name="Normal 24 2 4" xfId="39727" xr:uid="{DE1E6660-EB9A-415D-9E73-1967600E444B}"/>
    <cellStyle name="Normal 24 2 5" xfId="39728" xr:uid="{5FB0DD02-6961-4EA4-8F86-30CB942171DC}"/>
    <cellStyle name="Normal 25" xfId="39729" xr:uid="{91A74FE6-FEC0-4687-A532-7F4A8E889124}"/>
    <cellStyle name="Normal 25 10" xfId="39730" xr:uid="{F49F0411-AA87-489B-AA99-38C81F918743}"/>
    <cellStyle name="Normal 25 11" xfId="39731" xr:uid="{8FA20B6F-F3B5-4F17-BB9B-F7E9D1B0C547}"/>
    <cellStyle name="Normal 25 12" xfId="39732" xr:uid="{44F19E1D-8A4B-4EBF-89C8-BEFB3C85B447}"/>
    <cellStyle name="Normal 25 2" xfId="39733" xr:uid="{9A1AA3A8-2762-4117-9063-41F9F7806C7F}"/>
    <cellStyle name="Normal 25 2 2" xfId="39734" xr:uid="{81EEBD8C-8064-4F14-90D0-67B6D4A1F353}"/>
    <cellStyle name="Normal 25 2 2 2" xfId="39735" xr:uid="{24B5522E-B0C9-4E92-A993-930493F83365}"/>
    <cellStyle name="Normal 25 2 2 2 2" xfId="45874" xr:uid="{2742FDEF-1B07-47A9-B32C-04F40E8E1ACE}"/>
    <cellStyle name="Normal 25 2 2 2 2 2" xfId="45875" xr:uid="{BB15483C-2252-4B84-BF0C-0B0392AE997E}"/>
    <cellStyle name="Normal 25 2 2 2 2 2 2" xfId="45876" xr:uid="{DA120FE5-B186-41CA-986D-9744318CF878}"/>
    <cellStyle name="Normal 25 2 2 2 2 3" xfId="45877" xr:uid="{6AAA8232-703B-4BFE-ACAD-F07AA8F522CE}"/>
    <cellStyle name="Normal 25 2 2 2 3" xfId="45878" xr:uid="{4364301D-C35A-4922-B98F-800B247F4C2E}"/>
    <cellStyle name="Normal 25 2 2 2 3 2" xfId="45879" xr:uid="{672224AB-CB6D-4F07-8D17-6D9FD5EADB77}"/>
    <cellStyle name="Normal 25 2 2 2 4" xfId="45880" xr:uid="{11141967-8BD5-4711-AA69-049767F7F0CF}"/>
    <cellStyle name="Normal 25 2 2 2 5" xfId="45873" xr:uid="{5DE76D8C-7CD5-47F2-B06C-0C331B28D35E}"/>
    <cellStyle name="Normal 25 2 2 3" xfId="39736" xr:uid="{D136B20C-45C7-42ED-AF94-65D9F927E340}"/>
    <cellStyle name="Normal 25 2 2 3 2" xfId="45882" xr:uid="{B583D5E6-47B2-4D5E-8678-262F1CCB2771}"/>
    <cellStyle name="Normal 25 2 2 3 2 2" xfId="45883" xr:uid="{9678EDA2-405E-4633-A953-F451017F4ADC}"/>
    <cellStyle name="Normal 25 2 2 3 3" xfId="45884" xr:uid="{FB965D6B-589C-4AD3-B483-98C868C45267}"/>
    <cellStyle name="Normal 25 2 2 3 4" xfId="45881" xr:uid="{C9350BFF-DAF0-4C94-8225-2E357B36DBA0}"/>
    <cellStyle name="Normal 25 2 2 4" xfId="39737" xr:uid="{A45EDD23-446B-41C5-A2B6-22FF012D556E}"/>
    <cellStyle name="Normal 25 2 2 4 2" xfId="45886" xr:uid="{D0D185F6-A281-44D8-8FB8-4455C266ECA5}"/>
    <cellStyle name="Normal 25 2 2 4 3" xfId="45885" xr:uid="{E12E89DD-08F9-44B8-B1B6-AEA9306795F9}"/>
    <cellStyle name="Normal 25 2 2 5" xfId="39738" xr:uid="{4906DD19-372E-4526-96B1-3B76A7CBB417}"/>
    <cellStyle name="Normal 25 2 2 5 2" xfId="45887" xr:uid="{B6E28272-2C1D-47E9-A82A-77892BF1B5F4}"/>
    <cellStyle name="Normal 25 2 2 6" xfId="45872" xr:uid="{EFDB33A3-8548-4629-B29C-ED61FABC7441}"/>
    <cellStyle name="Normal 25 2 3" xfId="39739" xr:uid="{DEC56B36-17BC-46C9-8546-C0DEFB62D08B}"/>
    <cellStyle name="Normal 25 2 3 2" xfId="45889" xr:uid="{31C7391C-7B2E-4539-B931-E2C4274C6E70}"/>
    <cellStyle name="Normal 25 2 3 2 2" xfId="45890" xr:uid="{110DBB5B-9937-452C-A52D-17E454F48C52}"/>
    <cellStyle name="Normal 25 2 3 2 2 2" xfId="45891" xr:uid="{993C70D7-73F8-492E-9C50-4DA3E4D26552}"/>
    <cellStyle name="Normal 25 2 3 2 3" xfId="45892" xr:uid="{8941AFD2-B1AB-4127-A53B-BDA441A8B6AC}"/>
    <cellStyle name="Normal 25 2 3 3" xfId="45893" xr:uid="{D8892AA5-BC96-4887-9152-D1C3151AD919}"/>
    <cellStyle name="Normal 25 2 3 3 2" xfId="45894" xr:uid="{72ED8210-DE2C-4E99-B449-B4EBE2EE5FD8}"/>
    <cellStyle name="Normal 25 2 3 4" xfId="45895" xr:uid="{E6B563D1-C3CF-43DF-BDC9-6E0C51ED1B3D}"/>
    <cellStyle name="Normal 25 2 3 5" xfId="45888" xr:uid="{5C6AAA86-AAB5-4640-8850-E6FBB696CAE8}"/>
    <cellStyle name="Normal 25 2 4" xfId="39740" xr:uid="{65F7838B-AC8A-46DF-8FE1-E627DD9EB4E1}"/>
    <cellStyle name="Normal 25 2 4 2" xfId="45897" xr:uid="{2D24C1B7-283E-49B6-A28F-FEEC68EB05C3}"/>
    <cellStyle name="Normal 25 2 4 2 2" xfId="45898" xr:uid="{7B664308-12F6-4581-8FE0-318B40778286}"/>
    <cellStyle name="Normal 25 2 4 3" xfId="45899" xr:uid="{622F6E10-9537-455B-87BC-7923A35F5DFF}"/>
    <cellStyle name="Normal 25 2 4 4" xfId="45896" xr:uid="{CA5E3ADC-A983-4F57-8403-3A78C8660215}"/>
    <cellStyle name="Normal 25 2 5" xfId="39741" xr:uid="{7DF0688E-4F06-4279-B068-80252D22C23D}"/>
    <cellStyle name="Normal 25 2 5 2" xfId="45901" xr:uid="{25564DF1-BF0D-4AB7-B404-8FED91DE23C6}"/>
    <cellStyle name="Normal 25 2 5 3" xfId="45900" xr:uid="{E0AEEFAB-F5CF-4B55-BB67-C3AFD83349CA}"/>
    <cellStyle name="Normal 25 2 6" xfId="39742" xr:uid="{86DAF552-32A8-41DC-B668-181EAB7B10B5}"/>
    <cellStyle name="Normal 25 2 6 2" xfId="45902" xr:uid="{9AC26028-C5AB-4331-907A-411D24EA6E65}"/>
    <cellStyle name="Normal 25 2 7" xfId="45871" xr:uid="{891BF6BB-58D4-4CEC-912B-8262155DEAF3}"/>
    <cellStyle name="Normal 25 3" xfId="39743" xr:uid="{DFAA3A7F-B7ED-45D6-9344-981EEED6A0A8}"/>
    <cellStyle name="Normal 25 3 2" xfId="39744" xr:uid="{CF63EFC1-E5B5-4C82-BCB6-A1AC8D28A59B}"/>
    <cellStyle name="Normal 25 3 2 2" xfId="39745" xr:uid="{1E4C16EB-42CF-481D-9604-DFCB6F6F4DEE}"/>
    <cellStyle name="Normal 25 3 2 3" xfId="39746" xr:uid="{44F69C64-65ED-4B0B-BA11-D8B36CCE35AE}"/>
    <cellStyle name="Normal 25 3 2 4" xfId="39747" xr:uid="{2CDA47D4-BED6-4F9A-8096-36166444137C}"/>
    <cellStyle name="Normal 25 3 2 5" xfId="39748" xr:uid="{19334CC1-7317-49CA-B114-6EE5F1F86B28}"/>
    <cellStyle name="Normal 25 3 3" xfId="39749" xr:uid="{9D080185-1852-4820-BEEA-0A9CDE79BA59}"/>
    <cellStyle name="Normal 25 3 4" xfId="39750" xr:uid="{DBF2419E-6CB6-42BF-A348-4CD1C934BB24}"/>
    <cellStyle name="Normal 25 3 5" xfId="39751" xr:uid="{CEFA90CD-411F-40EE-ACD8-0E6079E239AB}"/>
    <cellStyle name="Normal 25 3 6" xfId="39752" xr:uid="{12B0C674-FFE0-464A-8C2E-CD30B4CC9250}"/>
    <cellStyle name="Normal 25 4" xfId="39753" xr:uid="{E8E494D7-7395-40BF-B1A7-81334C5505EC}"/>
    <cellStyle name="Normal 25 4 2" xfId="39754" xr:uid="{183C4602-0499-4787-9207-F2252B9BCC3D}"/>
    <cellStyle name="Normal 25 4 2 2" xfId="39755" xr:uid="{4420614A-4D19-4C59-8D46-5E6A610A8E8B}"/>
    <cellStyle name="Normal 25 4 2 3" xfId="39756" xr:uid="{4FB8631D-E01F-4C99-B0C9-D6A52C04A72B}"/>
    <cellStyle name="Normal 25 4 2 4" xfId="39757" xr:uid="{2C444AF7-08F4-45DB-9A05-00E16271F6E0}"/>
    <cellStyle name="Normal 25 4 2 5" xfId="39758" xr:uid="{42D3DD04-D592-4E60-A141-657B38FB8017}"/>
    <cellStyle name="Normal 25 4 3" xfId="39759" xr:uid="{06800224-2C10-4E2D-9B12-51585209EF94}"/>
    <cellStyle name="Normal 25 4 4" xfId="39760" xr:uid="{FD859E1F-4C90-4502-A4F2-F7E0214EA8EB}"/>
    <cellStyle name="Normal 25 4 5" xfId="39761" xr:uid="{982ADC7B-62D6-4C89-B734-100F6CBD1E4C}"/>
    <cellStyle name="Normal 25 4 6" xfId="39762" xr:uid="{F8EFFEA1-B583-48AF-B3D4-08AE329705C5}"/>
    <cellStyle name="Normal 25 5" xfId="39763" xr:uid="{EC3F774D-EB67-49D7-838E-CA8B721715D1}"/>
    <cellStyle name="Normal 25 5 2" xfId="39764" xr:uid="{3C385821-A887-46EB-B2D6-689C001A2841}"/>
    <cellStyle name="Normal 25 5 3" xfId="39765" xr:uid="{7F1DB8E0-D857-40CB-972E-419DEDA153CC}"/>
    <cellStyle name="Normal 25 5 4" xfId="39766" xr:uid="{7FE29B21-7E2F-4F2D-AF83-33D00B454303}"/>
    <cellStyle name="Normal 25 5 5" xfId="39767" xr:uid="{76388ED4-0AA2-4B1B-805A-3FE361018C55}"/>
    <cellStyle name="Normal 25 6" xfId="39768" xr:uid="{1DA274F1-2A1E-42D7-8FB3-C63E6AF4C76B}"/>
    <cellStyle name="Normal 25 6 2" xfId="39769" xr:uid="{FA838DEB-9781-454B-B22F-6274A49585AB}"/>
    <cellStyle name="Normal 25 6 3" xfId="39770" xr:uid="{B072807F-2F13-495C-9BCF-288E14C34937}"/>
    <cellStyle name="Normal 25 6 4" xfId="39771" xr:uid="{B5698B7A-0EDE-41F4-9D1E-0F13B04E3322}"/>
    <cellStyle name="Normal 25 6 5" xfId="39772" xr:uid="{8C809531-A97C-4F4E-B355-A01876CB2D09}"/>
    <cellStyle name="Normal 25 7" xfId="39773" xr:uid="{18573D57-F663-4994-BBD4-8BB9C08C46A7}"/>
    <cellStyle name="Normal 25 7 2" xfId="39774" xr:uid="{C519D73B-535A-46B6-9C67-A3998D068D0F}"/>
    <cellStyle name="Normal 25 7 3" xfId="39775" xr:uid="{24438AB8-0984-4B90-87CD-327DD4E4F58B}"/>
    <cellStyle name="Normal 25 7 4" xfId="39776" xr:uid="{8D13E35F-7ED2-487A-BAA8-AFE1253D0999}"/>
    <cellStyle name="Normal 25 7 5" xfId="39777" xr:uid="{654B5EA2-BD6A-4514-93C6-EE248DE59094}"/>
    <cellStyle name="Normal 25 8" xfId="39778" xr:uid="{F5CC88A1-6298-47C8-B240-1667948D6707}"/>
    <cellStyle name="Normal 25 8 2" xfId="39779" xr:uid="{5236C56C-5109-4DBD-A754-D06DD91B73BC}"/>
    <cellStyle name="Normal 25 8 3" xfId="39780" xr:uid="{1A8EB2B9-AC80-453F-9278-E321617ACE1A}"/>
    <cellStyle name="Normal 25 8 4" xfId="39781" xr:uid="{5246F53D-916F-48C4-932F-F11CE6CE70FD}"/>
    <cellStyle name="Normal 25 8 5" xfId="39782" xr:uid="{45E7866B-116D-42FA-99E4-C3A2988154C5}"/>
    <cellStyle name="Normal 25 9" xfId="39783" xr:uid="{9A01172F-5928-4F73-808F-EECEC9DE84C9}"/>
    <cellStyle name="Normal 26" xfId="39784" xr:uid="{6661A743-8FE1-4A97-A989-CEA0BAFE2E87}"/>
    <cellStyle name="Normal 26 2" xfId="39785" xr:uid="{40B2DB4D-0665-46B6-BAAD-2DA203E7434D}"/>
    <cellStyle name="Normal 26 2 2" xfId="39786" xr:uid="{C743D3FA-7FB8-4867-8ABE-4A9454C96F26}"/>
    <cellStyle name="Normal 26 2 2 2" xfId="45905" xr:uid="{C4D9204C-97EE-4BB5-9AB2-12DB2540EF56}"/>
    <cellStyle name="Normal 26 2 2 2 2" xfId="45906" xr:uid="{6C8AFCC1-A8A2-40E0-AFBE-C8F79384AD3C}"/>
    <cellStyle name="Normal 26 2 2 2 2 2" xfId="45907" xr:uid="{E345C768-F665-417D-A942-E09207C16A78}"/>
    <cellStyle name="Normal 26 2 2 2 2 2 2" xfId="45908" xr:uid="{F8267399-0494-49EF-9AC9-983B46C4667E}"/>
    <cellStyle name="Normal 26 2 2 2 2 3" xfId="45909" xr:uid="{9DDA6839-BB52-43AF-9E16-1947259F4656}"/>
    <cellStyle name="Normal 26 2 2 2 3" xfId="45910" xr:uid="{5B55E0D0-F43B-4489-B4CB-5992E9EF0031}"/>
    <cellStyle name="Normal 26 2 2 2 3 2" xfId="45911" xr:uid="{07F201D9-3926-4338-9F41-1B9CE8E6560A}"/>
    <cellStyle name="Normal 26 2 2 2 4" xfId="45912" xr:uid="{90FC76FF-CFCC-451D-A60E-A193C870498C}"/>
    <cellStyle name="Normal 26 2 2 3" xfId="45913" xr:uid="{D00AA992-C5B4-4B2D-98D6-0EEBF9F9DABA}"/>
    <cellStyle name="Normal 26 2 2 3 2" xfId="45914" xr:uid="{A8F469B0-DD46-43F0-9D7B-A657EB6613E2}"/>
    <cellStyle name="Normal 26 2 2 3 2 2" xfId="45915" xr:uid="{874FF746-4BAD-4EF4-8C22-5C3B72C0E5A6}"/>
    <cellStyle name="Normal 26 2 2 3 3" xfId="45916" xr:uid="{063E605D-75A9-4DC1-A212-B020695AF2FE}"/>
    <cellStyle name="Normal 26 2 2 4" xfId="45917" xr:uid="{7E64503E-79F5-4928-B628-917721E4974C}"/>
    <cellStyle name="Normal 26 2 2 4 2" xfId="45918" xr:uid="{F4CF2572-B4A9-4924-80F5-2DF2B4E9E488}"/>
    <cellStyle name="Normal 26 2 2 5" xfId="45919" xr:uid="{CEA4CA6B-0ADC-4531-87FA-793F8B786541}"/>
    <cellStyle name="Normal 26 2 2 6" xfId="45904" xr:uid="{F23CDA4A-55F1-465E-98DF-1AD448B7722D}"/>
    <cellStyle name="Normal 26 2 3" xfId="39787" xr:uid="{96063A48-E468-4CD9-9BC9-B33E5663F0CC}"/>
    <cellStyle name="Normal 26 2 3 2" xfId="45921" xr:uid="{91B3B809-04BA-4CB9-BF91-AD2B6FCA74E9}"/>
    <cellStyle name="Normal 26 2 3 2 2" xfId="45922" xr:uid="{A1E0C58B-EB17-4C76-B80A-E297D373DB2A}"/>
    <cellStyle name="Normal 26 2 3 2 2 2" xfId="45923" xr:uid="{8C504857-824B-43E0-8BB3-C4ABC1F9F7AE}"/>
    <cellStyle name="Normal 26 2 3 2 3" xfId="45924" xr:uid="{EF3121D9-93B0-49CD-BB39-F95C9D69C632}"/>
    <cellStyle name="Normal 26 2 3 3" xfId="45925" xr:uid="{AE37386C-7D31-41BF-93C9-AB6F69BDFBFE}"/>
    <cellStyle name="Normal 26 2 3 3 2" xfId="45926" xr:uid="{8FBC16F5-A2E4-48EC-B510-82BC407A3524}"/>
    <cellStyle name="Normal 26 2 3 4" xfId="45927" xr:uid="{5E8860EA-0C17-4EE6-B5F7-A7D7DBD875DA}"/>
    <cellStyle name="Normal 26 2 3 5" xfId="45920" xr:uid="{95A2E3E3-D5A1-4F39-B990-EE6A392FA2E9}"/>
    <cellStyle name="Normal 26 2 4" xfId="39788" xr:uid="{52D4BBE7-A65E-4EB5-8D3F-5B480DBE68A5}"/>
    <cellStyle name="Normal 26 2 4 2" xfId="45929" xr:uid="{7E2E5A17-60F6-4C8D-B126-023938D0DBA4}"/>
    <cellStyle name="Normal 26 2 4 2 2" xfId="45930" xr:uid="{3D0DC78F-AC46-4676-A030-31FD7B3052F8}"/>
    <cellStyle name="Normal 26 2 4 3" xfId="45931" xr:uid="{A0B508EC-DD1A-4BBD-8F2E-6FBF9F425BD1}"/>
    <cellStyle name="Normal 26 2 4 4" xfId="45928" xr:uid="{B44C0FA5-4BB3-4015-8132-BE70FCAEABEF}"/>
    <cellStyle name="Normal 26 2 5" xfId="39789" xr:uid="{0598482F-690B-4990-ABF6-EB1EB940EC33}"/>
    <cellStyle name="Normal 26 2 5 2" xfId="45933" xr:uid="{E6437B36-ABAD-4779-BA73-DAF881432CCC}"/>
    <cellStyle name="Normal 26 2 5 3" xfId="45932" xr:uid="{B4DFD594-0C7D-4CB4-918C-3DD369BDED0E}"/>
    <cellStyle name="Normal 26 2 6" xfId="45934" xr:uid="{0AB02214-D28B-4F1A-9097-08E84A45DDC7}"/>
    <cellStyle name="Normal 26 2 7" xfId="45903" xr:uid="{88349436-0137-46C5-9EF5-A2C1FAA449BA}"/>
    <cellStyle name="Normal 26 3" xfId="39790" xr:uid="{BD2BB770-4838-4A5A-923C-C4FC3039A7E8}"/>
    <cellStyle name="Normal 26 4" xfId="39791" xr:uid="{1CE8281A-391E-487F-A1EE-3D3718854302}"/>
    <cellStyle name="Normal 26 5" xfId="39792" xr:uid="{FA5FD8CD-3A63-451B-A0D9-4271ED61879B}"/>
    <cellStyle name="Normal 26 6" xfId="39793" xr:uid="{B9CBEDC4-BBDA-4D7B-9D00-91DA08F076CC}"/>
    <cellStyle name="Normal 27" xfId="39794" xr:uid="{DB54D771-AF94-4994-B1C0-CD67C891CA28}"/>
    <cellStyle name="Normal 27 2" xfId="39795" xr:uid="{06F94822-BD7C-4868-A7AA-418DF54F1C25}"/>
    <cellStyle name="Normal 27 2 2" xfId="39796" xr:uid="{7FDD112D-D4BC-43EA-AAE6-29BF564809C0}"/>
    <cellStyle name="Normal 27 2 3" xfId="39797" xr:uid="{1FF086AB-BC3D-4010-9F56-84FB983CF996}"/>
    <cellStyle name="Normal 27 2 4" xfId="39798" xr:uid="{E549A70A-EFDD-4B6F-85DB-EF2621A15AC4}"/>
    <cellStyle name="Normal 27 2 5" xfId="39799" xr:uid="{00A55849-58C6-405A-922C-C189D6269773}"/>
    <cellStyle name="Normal 27 3" xfId="39800" xr:uid="{65E852E4-58DA-439B-8FF5-A93E8B5A6B39}"/>
    <cellStyle name="Normal 27 4" xfId="39801" xr:uid="{7823C47A-F703-4923-9BEC-808FF9379087}"/>
    <cellStyle name="Normal 27 5" xfId="39802" xr:uid="{B916B19D-9623-43E1-A7DB-1808E17FB3AC}"/>
    <cellStyle name="Normal 27 6" xfId="39803" xr:uid="{FF92234C-B6C9-4A6D-A42B-EC2C349795C5}"/>
    <cellStyle name="Normal 28" xfId="39804" xr:uid="{D7222607-3F5A-4FC2-95EC-F0D839050CD8}"/>
    <cellStyle name="Normal 28 2" xfId="39805" xr:uid="{F9FEC225-239A-4E31-B854-D8F1A83CE0E7}"/>
    <cellStyle name="Normal 28 2 2" xfId="39806" xr:uid="{01235585-2BD7-4550-B671-28A60B8D5189}"/>
    <cellStyle name="Normal 28 2 3" xfId="39807" xr:uid="{C33337B8-9549-4F1B-BD10-54F376B82BDB}"/>
    <cellStyle name="Normal 28 2 4" xfId="39808" xr:uid="{DABCD1D8-FB58-40A2-B380-494535DB8243}"/>
    <cellStyle name="Normal 28 2 5" xfId="39809" xr:uid="{8E73FD8D-CE54-4EA2-899A-021CDC6B76DD}"/>
    <cellStyle name="Normal 28 3" xfId="39810" xr:uid="{52AF7098-4CAC-4D69-9E24-009FC5C0D80B}"/>
    <cellStyle name="Normal 28 4" xfId="39811" xr:uid="{AA69F569-E178-4FDA-95F0-E3B05B6C610A}"/>
    <cellStyle name="Normal 28 5" xfId="39812" xr:uid="{CA07F00C-61DB-41F6-8C9D-7744D7600543}"/>
    <cellStyle name="Normal 28 6" xfId="39813" xr:uid="{6869C534-43BB-4A57-9F99-A7445264EAF8}"/>
    <cellStyle name="Normal 284" xfId="43547" xr:uid="{06D6572D-E959-423A-B1B6-A3B26D0C6E74}"/>
    <cellStyle name="Normal 29" xfId="39814" xr:uid="{C2E3C7DA-611D-432F-A151-255F1F2EEFF5}"/>
    <cellStyle name="Normal 29 2" xfId="39815" xr:uid="{A0C628CA-9AEE-41F8-9755-81BEE5CBC20B}"/>
    <cellStyle name="Normal 29 2 2" xfId="39816" xr:uid="{4B6157E3-2C40-4421-8820-B8C2638D8BAF}"/>
    <cellStyle name="Normal 29 2 3" xfId="39817" xr:uid="{02500180-608E-480B-B29F-4D75ED76C22F}"/>
    <cellStyle name="Normal 29 2 4" xfId="39818" xr:uid="{270717BA-6C00-44BF-B0FC-E3EE11467A8C}"/>
    <cellStyle name="Normal 29 2 5" xfId="39819" xr:uid="{5AE4BBFF-43A3-4129-9035-F2C853C66B8F}"/>
    <cellStyle name="Normal 29 3" xfId="39820" xr:uid="{B3766F10-9DCD-47DA-97D4-EC5F1C6CF14D}"/>
    <cellStyle name="Normal 29 4" xfId="39821" xr:uid="{EB5B0CC8-16AC-4307-8A5B-6441AF40CCAA}"/>
    <cellStyle name="Normal 29 5" xfId="39822" xr:uid="{723D1961-AD7F-4D1D-A4CD-20FC81D5C87F}"/>
    <cellStyle name="Normal 29 6" xfId="39823" xr:uid="{E9183459-94BB-40B0-9913-37EC1E88643C}"/>
    <cellStyle name="Normal 29 7" xfId="43548" xr:uid="{C009A55C-0096-48DE-85FC-CDBE59972C2A}"/>
    <cellStyle name="Normal 3" xfId="264" xr:uid="{8585EDB1-3A7B-4451-A28B-29FC7C9BE257}"/>
    <cellStyle name="Normal 3 10" xfId="265" xr:uid="{92E76E52-3FC3-4F5F-BB8B-562A46140F8E}"/>
    <cellStyle name="Normal 3 10 10" xfId="39824" xr:uid="{4B8B8C7B-5016-4B31-AFD4-666329FD63CB}"/>
    <cellStyle name="Normal 3 10 11" xfId="39825" xr:uid="{E525AB2E-1A4E-47EE-BD07-BEBC4EE25FC4}"/>
    <cellStyle name="Normal 3 10 2" xfId="39826" xr:uid="{FA52165E-5DAB-4000-A3E0-C8EFC2FBC868}"/>
    <cellStyle name="Normal 3 10 2 10" xfId="39827" xr:uid="{5397BC81-ED70-4223-9952-64588FEDE355}"/>
    <cellStyle name="Normal 3 10 2 11" xfId="39828" xr:uid="{A882B679-95FA-44DF-BB4F-FC6923967EB0}"/>
    <cellStyle name="Normal 3 10 2 2" xfId="39829" xr:uid="{EA09BA4C-06F7-47E3-B486-021AAC44F21B}"/>
    <cellStyle name="Normal 3 10 2 2 2" xfId="39830" xr:uid="{CE2598FE-94D5-4B79-979F-D5DED5606D75}"/>
    <cellStyle name="Normal 3 10 2 2 2 2" xfId="39831" xr:uid="{4FFEB31A-B193-42F1-8A76-A59F53F40DDB}"/>
    <cellStyle name="Normal 3 10 2 2 2 3" xfId="39832" xr:uid="{8D7473FA-CEF9-47CD-9E63-3BF6577C6058}"/>
    <cellStyle name="Normal 3 10 2 2 2 4" xfId="39833" xr:uid="{2F380B8B-CF91-4F85-8972-42085FDE72DA}"/>
    <cellStyle name="Normal 3 10 2 2 2 5" xfId="39834" xr:uid="{2FCE09A2-D543-4F78-B8B3-C83E2A24ADB4}"/>
    <cellStyle name="Normal 3 10 2 2 3" xfId="39835" xr:uid="{D0A606EF-ACA0-4E66-8E49-AEB3166AD4F4}"/>
    <cellStyle name="Normal 3 10 2 2 4" xfId="39836" xr:uid="{70809F5F-7743-45BF-8045-6A3F7DD83985}"/>
    <cellStyle name="Normal 3 10 2 2 5" xfId="39837" xr:uid="{5FA38770-8E50-4C28-B23B-81E18498587E}"/>
    <cellStyle name="Normal 3 10 2 3" xfId="39838" xr:uid="{9095C013-7BD8-4954-BAF8-9228A90D7183}"/>
    <cellStyle name="Normal 3 10 2 4" xfId="39839" xr:uid="{4FA898BA-D6A4-4745-BF8F-81569C134E73}"/>
    <cellStyle name="Normal 3 10 2 5" xfId="39840" xr:uid="{70DE9C9A-D888-49E2-9A4D-2ED6AD8F53F9}"/>
    <cellStyle name="Normal 3 10 2 6" xfId="39841" xr:uid="{C2B0F4BE-48C3-460B-927F-4AE486D68CC9}"/>
    <cellStyle name="Normal 3 10 2 7" xfId="39842" xr:uid="{D7759120-3264-4CB4-A063-A038AAEAE6C3}"/>
    <cellStyle name="Normal 3 10 2 8" xfId="39843" xr:uid="{EBD66787-D9BC-4DED-AFC8-272F20DF0770}"/>
    <cellStyle name="Normal 3 10 2 9" xfId="39844" xr:uid="{44828102-7AAF-40D7-87E6-9929FC85159A}"/>
    <cellStyle name="Normal 3 10 3" xfId="39845" xr:uid="{9A9B70E3-34EE-4F3B-871A-5B5C67B1A3BD}"/>
    <cellStyle name="Normal 3 10 3 2" xfId="39846" xr:uid="{47D27311-1DF6-47E1-ADB5-E289DEDD9BD9}"/>
    <cellStyle name="Normal 3 10 3 2 2" xfId="39847" xr:uid="{CF910647-D5CF-415B-9688-620D83967A91}"/>
    <cellStyle name="Normal 3 10 3 2 3" xfId="39848" xr:uid="{65AC3EB7-7ACC-4A7C-8CCC-D673E99A195D}"/>
    <cellStyle name="Normal 3 10 3 2 4" xfId="39849" xr:uid="{DE499B6D-E5F6-4517-A564-03128563179D}"/>
    <cellStyle name="Normal 3 10 3 2 5" xfId="39850" xr:uid="{EACB975D-5A1D-4605-B68A-E832328CD02A}"/>
    <cellStyle name="Normal 3 10 3 3" xfId="39851" xr:uid="{C5434F0E-8AF2-4270-8AB2-81688EB8A9A0}"/>
    <cellStyle name="Normal 3 10 3 4" xfId="39852" xr:uid="{BD99F561-D7E7-428A-86D8-48D030E61481}"/>
    <cellStyle name="Normal 3 10 3 5" xfId="39853" xr:uid="{86DEA52D-7ED5-4CAD-BE83-13BFBB515E61}"/>
    <cellStyle name="Normal 3 10 4" xfId="39854" xr:uid="{FC867966-15DD-492F-8529-71F2FE518EED}"/>
    <cellStyle name="Normal 3 10 5" xfId="39855" xr:uid="{574C13F6-89CD-4EE5-9690-60DE48F4AED5}"/>
    <cellStyle name="Normal 3 10 6" xfId="39856" xr:uid="{D570AA79-47A4-4C38-91BE-FE3FA7DFD1EA}"/>
    <cellStyle name="Normal 3 10 7" xfId="39857" xr:uid="{2548DBE9-1854-4CCB-ACE5-A343199BC00F}"/>
    <cellStyle name="Normal 3 10 8" xfId="39858" xr:uid="{5EC566DD-2314-4B94-B895-C85426D5C919}"/>
    <cellStyle name="Normal 3 10 9" xfId="39859" xr:uid="{3E456D33-4991-4074-8540-E7148EA54FAB}"/>
    <cellStyle name="Normal 3 11" xfId="266" xr:uid="{5BB14DF2-7BE9-43BA-90E9-069C01C44CDA}"/>
    <cellStyle name="Normal 3 12" xfId="267" xr:uid="{A5590C01-27BF-4AA8-9943-4B74A6E62362}"/>
    <cellStyle name="Normal 3 13" xfId="39860" xr:uid="{77222601-8F94-4C20-B126-962EAD0ECA35}"/>
    <cellStyle name="Normal 3 14" xfId="39861" xr:uid="{1B3C9064-8EDF-4CB9-B5EB-5221DB6A66A2}"/>
    <cellStyle name="Normal 3 15" xfId="39862" xr:uid="{2CF33E0F-45C8-4837-B9AE-F6387F8CB9B9}"/>
    <cellStyle name="Normal 3 16" xfId="39863" xr:uid="{B7F70149-6A41-4325-A700-4D5EAF45C140}"/>
    <cellStyle name="Normal 3 17" xfId="39864" xr:uid="{AE4598DB-F2FD-49B9-BE49-5A45239A4627}"/>
    <cellStyle name="Normal 3 18" xfId="39865" xr:uid="{333FF437-0A6F-4356-A34C-2D3335E421D4}"/>
    <cellStyle name="Normal 3 19" xfId="39866" xr:uid="{1A47378A-564C-4E75-AB57-53CBBBBEB0CA}"/>
    <cellStyle name="Normal 3 2" xfId="268" xr:uid="{CA7951E4-D024-40EC-997D-02FAC99651D4}"/>
    <cellStyle name="Normal 3 2 10" xfId="39867" xr:uid="{50339126-FA88-467A-93F5-1D83ABF97DE3}"/>
    <cellStyle name="Normal 3 2 11" xfId="39868" xr:uid="{39AF9BB7-E8E8-4EA2-98F1-F3AC24EA9D2F}"/>
    <cellStyle name="Normal 3 2 12" xfId="39869" xr:uid="{ED543B5A-39D6-4176-9B06-9C5ED9A1048F}"/>
    <cellStyle name="Normal 3 2 13" xfId="39870" xr:uid="{3E27CE23-B3E7-423D-81F2-A0D1C1C76783}"/>
    <cellStyle name="Normal 3 2 14" xfId="39871" xr:uid="{2DF6DFCE-51C7-44DF-AA1D-CDA61DBCC04E}"/>
    <cellStyle name="Normal 3 2 15" xfId="39872" xr:uid="{63178C00-B522-4214-9E97-D039485330E6}"/>
    <cellStyle name="Normal 3 2 16" xfId="39873" xr:uid="{45CDCE95-3B56-4FC3-9DDF-E590BBE3FBA8}"/>
    <cellStyle name="Normal 3 2 17" xfId="39874" xr:uid="{401A68B8-EE22-4070-8206-F4C21D974059}"/>
    <cellStyle name="Normal 3 2 18" xfId="39875" xr:uid="{B881DF0B-A10C-4631-89A5-70FE33C437ED}"/>
    <cellStyle name="Normal 3 2 2" xfId="269" xr:uid="{29D5F07F-AD07-4571-8C50-B7FC14B73718}"/>
    <cellStyle name="Normal 3 2 2 2" xfId="45936" xr:uid="{518CBDE8-8D23-41E8-AAAF-AD5B014F2413}"/>
    <cellStyle name="Normal 3 2 2 2 2" xfId="45937" xr:uid="{5765DB20-051E-4523-B9C7-9E7A18551782}"/>
    <cellStyle name="Normal 3 2 2 2 2 2" xfId="45938" xr:uid="{B125D1F9-9E6C-44BC-B014-FD860CA01B2B}"/>
    <cellStyle name="Normal 3 2 2 2 3" xfId="45939" xr:uid="{6CF1ACBD-CFF9-4258-BE6F-26091DF22D46}"/>
    <cellStyle name="Normal 3 2 2 3" xfId="45940" xr:uid="{E63AD867-1ED3-4E60-894C-8190BFE6054E}"/>
    <cellStyle name="Normal 3 2 2 3 2" xfId="45941" xr:uid="{4128FF8D-6304-4017-93E2-EB0ECDC5D5D2}"/>
    <cellStyle name="Normal 3 2 2 4" xfId="45942" xr:uid="{AA8C19C7-983D-4BC2-AE40-673D2C445E37}"/>
    <cellStyle name="Normal 3 2 3" xfId="39876" xr:uid="{A876F860-FEB2-4AD6-A56A-22C8E6EC140F}"/>
    <cellStyle name="Normal 3 2 3 2" xfId="45944" xr:uid="{7C95A7B9-3DA1-4CFF-9EF2-E66B2DBDC2BE}"/>
    <cellStyle name="Normal 3 2 3 2 2" xfId="45945" xr:uid="{B7F61142-8315-4F7F-8160-7780BF10694B}"/>
    <cellStyle name="Normal 3 2 3 3" xfId="45946" xr:uid="{8E49D237-69DE-4380-A96F-0428F9AD87DE}"/>
    <cellStyle name="Normal 3 2 3 4" xfId="45943" xr:uid="{BEB2BE18-6DB9-4A92-9F5B-8AC38AFB4C17}"/>
    <cellStyle name="Normal 3 2 4" xfId="39877" xr:uid="{38A845E8-DF18-4156-B2B1-F84ABD39EDB0}"/>
    <cellStyle name="Normal 3 2 4 2" xfId="45948" xr:uid="{E651F27E-68DB-4AE1-84BE-D90C9EF7E595}"/>
    <cellStyle name="Normal 3 2 4 3" xfId="45947" xr:uid="{0403F98E-BA49-4D7B-A976-ABBF9E47E3C3}"/>
    <cellStyle name="Normal 3 2 5" xfId="39878" xr:uid="{88E19332-A6BF-4BAC-B2CD-51777CE3F7C8}"/>
    <cellStyle name="Normal 3 2 5 2" xfId="45949" xr:uid="{D021D77C-5AF1-4711-8EE4-75864DFB7241}"/>
    <cellStyle name="Normal 3 2 6" xfId="39879" xr:uid="{A83229E6-7E59-4182-AC36-02987BD541A5}"/>
    <cellStyle name="Normal 3 2 6 2" xfId="45935" xr:uid="{1CDC1B6A-705B-4911-A303-9A21605433A0}"/>
    <cellStyle name="Normal 3 2 7" xfId="39880" xr:uid="{20793C8D-D624-49DB-B5D9-5668059C0E0D}"/>
    <cellStyle name="Normal 3 2 8" xfId="39881" xr:uid="{AAA6AF5A-DA99-422F-810C-B6B6EF65AFFA}"/>
    <cellStyle name="Normal 3 2 9" xfId="39882" xr:uid="{243DAA63-F4F0-4B69-853E-E851389C333E}"/>
    <cellStyle name="Normal 3 2 9 2" xfId="39883" xr:uid="{1FA85736-45B0-43E9-93B1-AE93A31606F6}"/>
    <cellStyle name="Normal 3 2 9 2 2" xfId="39884" xr:uid="{46A19209-CDA9-40B7-B0D6-9F6326EDBCA3}"/>
    <cellStyle name="Normal 3 2 9 2 3" xfId="39885" xr:uid="{EE519029-97C5-4542-A325-8A0C9F7F27FE}"/>
    <cellStyle name="Normal 3 2 9 2 4" xfId="39886" xr:uid="{1A6DB816-36B5-4D1D-A514-657A4116CC4A}"/>
    <cellStyle name="Normal 3 2 9 2 5" xfId="39887" xr:uid="{9C9846B5-F3CC-45D3-BB8C-E43035F975EC}"/>
    <cellStyle name="Normal 3 2 9 3" xfId="39888" xr:uid="{AC68A44B-33F8-4279-902D-40243E252D7D}"/>
    <cellStyle name="Normal 3 2 9 4" xfId="39889" xr:uid="{F21DD98F-82C5-48B3-86E4-207184D2F5EE}"/>
    <cellStyle name="Normal 3 2 9 5" xfId="39890" xr:uid="{24A476C8-277E-42BB-8B69-ECC0C48C452B}"/>
    <cellStyle name="Normal 3 20" xfId="39891" xr:uid="{D854AA05-C61E-4862-9072-1060C12743F9}"/>
    <cellStyle name="Normal 3 21" xfId="39892" xr:uid="{753765EA-9E70-4B11-900C-D7D4763A712A}"/>
    <cellStyle name="Normal 3 3" xfId="270" xr:uid="{54CD65D9-3810-4A9C-BC21-E413B2A51729}"/>
    <cellStyle name="Normal 3 3 10" xfId="39893" xr:uid="{6528E1ED-996E-4C1F-96F4-2FC18884A6E5}"/>
    <cellStyle name="Normal 3 3 11" xfId="39894" xr:uid="{2173CD5A-8DCA-45F0-947E-1945545CF182}"/>
    <cellStyle name="Normal 3 3 2" xfId="39895" xr:uid="{D9D58EA8-217F-4D51-8997-28CE23B9093E}"/>
    <cellStyle name="Normal 3 3 2 2" xfId="45952" xr:uid="{2E173F48-8C02-4B6D-A995-07B67CC9241A}"/>
    <cellStyle name="Normal 3 3 2 2 2" xfId="45953" xr:uid="{82669E9E-332A-4FC8-84A2-4F342DA12477}"/>
    <cellStyle name="Normal 3 3 2 3" xfId="45954" xr:uid="{B07F699D-EF51-408A-88D3-E8C0609D5B98}"/>
    <cellStyle name="Normal 3 3 2 4" xfId="45951" xr:uid="{78F049FE-9C2F-40D2-B75F-54BDD3F323BC}"/>
    <cellStyle name="Normal 3 3 3" xfId="39896" xr:uid="{1EE841D6-CFDD-4C06-BD91-EFE617EFC88E}"/>
    <cellStyle name="Normal 3 3 3 2" xfId="45956" xr:uid="{3ADB800C-E9A9-41B1-A456-61C676CEED3D}"/>
    <cellStyle name="Normal 3 3 3 3" xfId="45955" xr:uid="{6CD99738-C7FC-40F2-B70D-9AF06154397B}"/>
    <cellStyle name="Normal 3 3 4" xfId="39897" xr:uid="{69AB3085-D487-4231-8716-CD97EC9B446E}"/>
    <cellStyle name="Normal 3 3 4 2" xfId="45957" xr:uid="{3AC5BB1C-AD41-4FA7-85FB-1977E380FC9A}"/>
    <cellStyle name="Normal 3 3 5" xfId="39898" xr:uid="{B1D14420-F7A9-4593-9D8B-C6A91327B1A0}"/>
    <cellStyle name="Normal 3 3 5 2" xfId="45950" xr:uid="{53338098-BD96-41AB-B2AF-B0A39D3D03D4}"/>
    <cellStyle name="Normal 3 3 6" xfId="39899" xr:uid="{C9C7BEEB-FB46-41B8-ABA8-3076501BAA64}"/>
    <cellStyle name="Normal 3 3 7" xfId="39900" xr:uid="{74417C44-7D89-4D1E-B32B-2C37F3A180F7}"/>
    <cellStyle name="Normal 3 3 8" xfId="39901" xr:uid="{733AF8DF-2DF8-45C0-9696-C7A5CDD8C269}"/>
    <cellStyle name="Normal 3 3 9" xfId="39902" xr:uid="{C215F9D1-DD84-4726-90B7-59EC24AB3404}"/>
    <cellStyle name="Normal 3 4" xfId="271" xr:uid="{EA7E9EE9-F2F9-4699-8AA2-CF69F38EEC3C}"/>
    <cellStyle name="Normal 3 4 2" xfId="39903" xr:uid="{D2646BB6-40E4-422F-8FB8-ADD33B50893B}"/>
    <cellStyle name="Normal 3 4 2 2" xfId="45960" xr:uid="{158FA9E3-0A48-48E0-9FEE-CA41DB603FE6}"/>
    <cellStyle name="Normal 3 4 2 3" xfId="45959" xr:uid="{0C90CE67-2B88-47F1-A605-6E44BAC15085}"/>
    <cellStyle name="Normal 3 4 3" xfId="45961" xr:uid="{8B878078-20B8-4271-9E65-D6172C45861B}"/>
    <cellStyle name="Normal 3 4 4" xfId="45958" xr:uid="{89A1BE4A-F11A-4513-B9F5-5662F46D15A9}"/>
    <cellStyle name="Normal 3 5" xfId="272" xr:uid="{15D14EC8-BCF4-45B5-B25E-B2444CBFC911}"/>
    <cellStyle name="Normal 3 5 10" xfId="39904" xr:uid="{E78E54CB-5027-4EDC-871B-2C408BC61BAD}"/>
    <cellStyle name="Normal 3 5 11" xfId="39905" xr:uid="{A27565B8-B18C-4A53-BE96-BE09E304C9AE}"/>
    <cellStyle name="Normal 3 5 12" xfId="45962" xr:uid="{6BB5141E-BF8F-49FA-B5F3-6E64CB0F5D75}"/>
    <cellStyle name="Normal 3 5 2" xfId="39906" xr:uid="{9552C18D-3802-4ECC-B8F8-CFF49C011C87}"/>
    <cellStyle name="Normal 3 5 2 2" xfId="45963" xr:uid="{29AACA25-71EF-4297-8ADC-87E26AEB7455}"/>
    <cellStyle name="Normal 3 5 3" xfId="39907" xr:uid="{DCDB87CF-8ECE-4E36-8DE8-42569BEFDA66}"/>
    <cellStyle name="Normal 3 5 4" xfId="39908" xr:uid="{5B4DE324-AA18-4519-8A2A-1F8F2AA8A2BF}"/>
    <cellStyle name="Normal 3 5 5" xfId="39909" xr:uid="{CD66C921-DE55-4E01-B2E3-BBBAE3D38B5F}"/>
    <cellStyle name="Normal 3 5 6" xfId="39910" xr:uid="{5DEFC3AF-02CF-4B58-9697-639A4B21ED25}"/>
    <cellStyle name="Normal 3 5 7" xfId="39911" xr:uid="{33147A9D-C516-4C79-BED9-D788F7C117EF}"/>
    <cellStyle name="Normal 3 5 8" xfId="39912" xr:uid="{6E0A36FD-5036-490E-8AFC-51C25101D8EB}"/>
    <cellStyle name="Normal 3 5 9" xfId="39913" xr:uid="{0A96E58F-09D2-4CD9-8C1D-387D8F7D2C28}"/>
    <cellStyle name="Normal 3 6" xfId="273" xr:uid="{D7155EC2-C2DF-4695-ACB2-1CA948D9B79B}"/>
    <cellStyle name="Normal 3 6 10" xfId="39914" xr:uid="{B99951F9-45F8-4F3B-A877-0FF1F3CDAD5D}"/>
    <cellStyle name="Normal 3 6 11" xfId="39915" xr:uid="{70C386BA-E1CC-4733-809A-C082D6541C31}"/>
    <cellStyle name="Normal 3 6 12" xfId="39916" xr:uid="{64C1FB7E-C958-4D58-9C4F-6E944BC3839F}"/>
    <cellStyle name="Normal 3 6 13" xfId="45964" xr:uid="{735B7698-7401-49AA-A48A-0A9D8C723246}"/>
    <cellStyle name="Normal 3 6 2" xfId="39917" xr:uid="{3FDE6807-A018-4428-8F73-86F8C9B414D1}"/>
    <cellStyle name="Normal 3 6 2 10" xfId="39918" xr:uid="{24FC9BAE-5642-4658-ADF1-64A078618A22}"/>
    <cellStyle name="Normal 3 6 2 11" xfId="39919" xr:uid="{D2B15EC8-FC45-46F6-96B8-13E689620A6B}"/>
    <cellStyle name="Normal 3 6 2 12" xfId="39920" xr:uid="{31802402-B284-4B32-B79A-ED013C8A06B8}"/>
    <cellStyle name="Normal 3 6 2 2" xfId="39921" xr:uid="{CB97E03D-D599-4781-A0EC-1479181561D1}"/>
    <cellStyle name="Normal 3 6 2 2 10" xfId="39922" xr:uid="{97EA96B5-7627-40CA-AE39-669473D68C25}"/>
    <cellStyle name="Normal 3 6 2 2 11" xfId="39923" xr:uid="{4A2B761E-20D2-454C-98F7-8D86F903D0E8}"/>
    <cellStyle name="Normal 3 6 2 2 2" xfId="39924" xr:uid="{68A11EBC-426D-4682-A5F9-F1520F063495}"/>
    <cellStyle name="Normal 3 6 2 2 2 10" xfId="39925" xr:uid="{3CA7217A-BA93-42BC-9AD0-7C0816AD576E}"/>
    <cellStyle name="Normal 3 6 2 2 2 11" xfId="39926" xr:uid="{F2B40764-DEAB-46EA-B575-72D8647C4AB3}"/>
    <cellStyle name="Normal 3 6 2 2 2 2" xfId="39927" xr:uid="{CE3CC8EA-EF42-4562-B417-F4404A2E1E8F}"/>
    <cellStyle name="Normal 3 6 2 2 2 2 2" xfId="39928" xr:uid="{E9178E82-B27F-4F00-9388-254F86B75D75}"/>
    <cellStyle name="Normal 3 6 2 2 2 2 2 2" xfId="39929" xr:uid="{8653B6FC-3631-4B94-9610-8731FD777997}"/>
    <cellStyle name="Normal 3 6 2 2 2 2 2 3" xfId="39930" xr:uid="{974D6E71-5465-41F2-85C0-A62EA6AAA0FC}"/>
    <cellStyle name="Normal 3 6 2 2 2 2 2 4" xfId="39931" xr:uid="{7E8922DA-C05F-4222-BE81-DBC91F691991}"/>
    <cellStyle name="Normal 3 6 2 2 2 2 2 5" xfId="39932" xr:uid="{269C218E-A593-4CD0-967B-AE40D522953B}"/>
    <cellStyle name="Normal 3 6 2 2 2 2 3" xfId="39933" xr:uid="{36491761-91C4-40A6-897F-991843715E19}"/>
    <cellStyle name="Normal 3 6 2 2 2 2 4" xfId="39934" xr:uid="{45386D1F-58B8-4B21-919A-670CC8954B33}"/>
    <cellStyle name="Normal 3 6 2 2 2 2 5" xfId="39935" xr:uid="{165CDCB9-9D7D-4D6D-9F80-37D33F25762D}"/>
    <cellStyle name="Normal 3 6 2 2 2 3" xfId="39936" xr:uid="{665728DE-B842-453F-8BAF-C034F40A52AE}"/>
    <cellStyle name="Normal 3 6 2 2 2 4" xfId="39937" xr:uid="{607C2F37-0CBC-4996-9893-A549E1944D3C}"/>
    <cellStyle name="Normal 3 6 2 2 2 5" xfId="39938" xr:uid="{8DFDA605-95B9-4E0A-B3EA-E94631A7439E}"/>
    <cellStyle name="Normal 3 6 2 2 2 6" xfId="39939" xr:uid="{28E65080-4D1B-4C5A-90A5-1D859E0B03C4}"/>
    <cellStyle name="Normal 3 6 2 2 2 7" xfId="39940" xr:uid="{F0754323-6627-4536-8E3F-B3FFD179232E}"/>
    <cellStyle name="Normal 3 6 2 2 2 8" xfId="39941" xr:uid="{575B8502-A20A-499E-8B14-D2D5FFA81DB3}"/>
    <cellStyle name="Normal 3 6 2 2 2 9" xfId="39942" xr:uid="{7300419A-EC15-4356-8CA7-A43AFC247568}"/>
    <cellStyle name="Normal 3 6 2 2 3" xfId="39943" xr:uid="{6C0C6D11-B04C-40BC-A129-D98A54282B3E}"/>
    <cellStyle name="Normal 3 6 2 2 3 2" xfId="39944" xr:uid="{65B3E0A3-F58B-42E8-8D33-35D5043A4935}"/>
    <cellStyle name="Normal 3 6 2 2 3 2 2" xfId="39945" xr:uid="{419C9F8A-F598-476F-9152-46C4F131FA28}"/>
    <cellStyle name="Normal 3 6 2 2 3 2 3" xfId="39946" xr:uid="{C336DDF6-8B9B-463C-BBF6-D81945DE3283}"/>
    <cellStyle name="Normal 3 6 2 2 3 2 4" xfId="39947" xr:uid="{B90E5833-2C51-47B1-AC65-456C63F5BE0B}"/>
    <cellStyle name="Normal 3 6 2 2 3 2 5" xfId="39948" xr:uid="{8E9CA227-01AD-4A4C-BA39-0037DD95C981}"/>
    <cellStyle name="Normal 3 6 2 2 3 3" xfId="39949" xr:uid="{5A594D0D-4497-4E7D-9DB8-16EA1C589045}"/>
    <cellStyle name="Normal 3 6 2 2 3 4" xfId="39950" xr:uid="{CF7A58A6-BEE8-4412-BCB3-A3C8F4BFB2AF}"/>
    <cellStyle name="Normal 3 6 2 2 3 5" xfId="39951" xr:uid="{BDEDF27E-8787-460F-818E-CD64279B2702}"/>
    <cellStyle name="Normal 3 6 2 2 4" xfId="39952" xr:uid="{27AF29D3-197B-4EC3-B4A2-02DBA7FF6635}"/>
    <cellStyle name="Normal 3 6 2 2 5" xfId="39953" xr:uid="{CC80970B-CF5D-415E-B223-E026F2B8C666}"/>
    <cellStyle name="Normal 3 6 2 2 6" xfId="39954" xr:uid="{8478AB16-968D-4DB4-A770-D249FD0A39EC}"/>
    <cellStyle name="Normal 3 6 2 2 7" xfId="39955" xr:uid="{C08CEB21-B15B-4EC9-9C96-D03702F5590F}"/>
    <cellStyle name="Normal 3 6 2 2 8" xfId="39956" xr:uid="{4A070E81-CBE3-4900-889B-6235CB5F5D43}"/>
    <cellStyle name="Normal 3 6 2 2 9" xfId="39957" xr:uid="{5589D7BE-36D9-4E60-AE9C-FEE750BCCAF0}"/>
    <cellStyle name="Normal 3 6 2 3" xfId="39958" xr:uid="{A3417401-7A9C-4817-A1FF-7C31BA023A6F}"/>
    <cellStyle name="Normal 3 6 2 3 2" xfId="39959" xr:uid="{CFF2923B-F81E-4F08-85A4-3D8C3D576719}"/>
    <cellStyle name="Normal 3 6 2 3 2 2" xfId="39960" xr:uid="{46667CE5-4AD4-49E2-A8DB-FC03DA86F47D}"/>
    <cellStyle name="Normal 3 6 2 3 2 3" xfId="39961" xr:uid="{7BE670FF-9E06-434A-B4FA-87BB2D028F40}"/>
    <cellStyle name="Normal 3 6 2 3 2 4" xfId="39962" xr:uid="{7A977179-B28C-499B-9840-272965E59A67}"/>
    <cellStyle name="Normal 3 6 2 3 2 5" xfId="39963" xr:uid="{40C76B53-9C91-4F90-90C3-9B71874FF588}"/>
    <cellStyle name="Normal 3 6 2 3 3" xfId="39964" xr:uid="{AAFC756F-77A1-4ADF-8FC6-2AE24196FE30}"/>
    <cellStyle name="Normal 3 6 2 3 4" xfId="39965" xr:uid="{C461D28F-3248-429E-A13C-A42E8F6AFD20}"/>
    <cellStyle name="Normal 3 6 2 3 5" xfId="39966" xr:uid="{DF3A9556-C12C-4A45-9AF9-5E207CAE1248}"/>
    <cellStyle name="Normal 3 6 2 4" xfId="39967" xr:uid="{0395934A-A8AC-421E-878C-FA3343DE738B}"/>
    <cellStyle name="Normal 3 6 2 5" xfId="39968" xr:uid="{8BCCD08B-9537-4D05-8331-F36511E3E083}"/>
    <cellStyle name="Normal 3 6 2 6" xfId="39969" xr:uid="{110BD05B-CE12-41BA-907E-1E51DAE837A3}"/>
    <cellStyle name="Normal 3 6 2 7" xfId="39970" xr:uid="{308BA8FC-9210-4446-8297-15CBB93FAEAF}"/>
    <cellStyle name="Normal 3 6 2 8" xfId="39971" xr:uid="{B10EB263-1E3F-4474-800F-33C16796FC8F}"/>
    <cellStyle name="Normal 3 6 2 9" xfId="39972" xr:uid="{2E359032-D2B9-4F4D-B57D-0A8A8E7BB46D}"/>
    <cellStyle name="Normal 3 6 3" xfId="39973" xr:uid="{28A72C25-BD1E-49A4-8ED0-02025CBB2529}"/>
    <cellStyle name="Normal 3 6 3 10" xfId="39974" xr:uid="{AAAD1C37-B424-4CBA-B6C5-711A1C063D8F}"/>
    <cellStyle name="Normal 3 6 3 11" xfId="39975" xr:uid="{B9A4D47A-687A-4E41-8EB6-57C307D11DE5}"/>
    <cellStyle name="Normal 3 6 3 2" xfId="39976" xr:uid="{0C38C6B8-B20E-4E8B-879D-1A7EBDE6B8F8}"/>
    <cellStyle name="Normal 3 6 3 2 2" xfId="39977" xr:uid="{F1F88C53-7C06-46D6-9746-D091FFDBBF71}"/>
    <cellStyle name="Normal 3 6 3 2 2 2" xfId="39978" xr:uid="{117BA27B-BB75-4E4C-8329-B9B955ADB21F}"/>
    <cellStyle name="Normal 3 6 3 2 2 3" xfId="39979" xr:uid="{487F7D3B-F794-445F-8E40-6660590335F1}"/>
    <cellStyle name="Normal 3 6 3 2 2 4" xfId="39980" xr:uid="{8E499E1B-C253-4094-9704-25C8C8590C3E}"/>
    <cellStyle name="Normal 3 6 3 2 2 5" xfId="39981" xr:uid="{98C55E6D-8C5B-40DA-9229-39800953CE0F}"/>
    <cellStyle name="Normal 3 6 3 2 3" xfId="39982" xr:uid="{3B3B967B-6F36-4ED4-B9C9-67C74A240AF9}"/>
    <cellStyle name="Normal 3 6 3 2 4" xfId="39983" xr:uid="{5D0BDCE9-6834-469F-BCAC-424485AA4E32}"/>
    <cellStyle name="Normal 3 6 3 2 5" xfId="39984" xr:uid="{ABB3F3BC-EE01-4456-B2B4-B341AFE37BC8}"/>
    <cellStyle name="Normal 3 6 3 3" xfId="39985" xr:uid="{FBC77DF0-FBC4-4A9B-AEAA-78D05700D89D}"/>
    <cellStyle name="Normal 3 6 3 4" xfId="39986" xr:uid="{6D919A0B-3713-4372-AE24-29A1D66DEF1D}"/>
    <cellStyle name="Normal 3 6 3 5" xfId="39987" xr:uid="{C8C914AD-E497-4BE7-9620-B9DCF5EE9625}"/>
    <cellStyle name="Normal 3 6 3 6" xfId="39988" xr:uid="{EDFA71F5-E079-440A-BB83-E257D72D404F}"/>
    <cellStyle name="Normal 3 6 3 7" xfId="39989" xr:uid="{9E4B4541-816C-41D1-B4F7-77403640E3D6}"/>
    <cellStyle name="Normal 3 6 3 8" xfId="39990" xr:uid="{A754983B-3989-4459-A9F5-4C6576177B01}"/>
    <cellStyle name="Normal 3 6 3 9" xfId="39991" xr:uid="{615AB8B9-D8FF-4CB9-A947-BBBD694018FB}"/>
    <cellStyle name="Normal 3 6 4" xfId="39992" xr:uid="{775D0D70-F31A-4A1A-8442-698812FDFA39}"/>
    <cellStyle name="Normal 3 6 4 2" xfId="39993" xr:uid="{751C9A55-A89D-44A1-B294-C55174AA22A1}"/>
    <cellStyle name="Normal 3 6 4 2 2" xfId="39994" xr:uid="{2ECD37D3-C55A-443E-8C58-C41D82EB5AFD}"/>
    <cellStyle name="Normal 3 6 4 2 3" xfId="39995" xr:uid="{95E31646-3E22-44DD-945C-EEA8346DEF2B}"/>
    <cellStyle name="Normal 3 6 4 2 4" xfId="39996" xr:uid="{3069764D-C526-4304-B095-83C4F50C4FCC}"/>
    <cellStyle name="Normal 3 6 4 2 5" xfId="39997" xr:uid="{BDCA80D8-32BC-439F-AF45-0DEBCAA42160}"/>
    <cellStyle name="Normal 3 6 4 3" xfId="39998" xr:uid="{DFB860AA-A5A1-45FF-B5C8-5B349BB33D72}"/>
    <cellStyle name="Normal 3 6 4 4" xfId="39999" xr:uid="{2D00E053-44BB-4BA0-AE88-43AEF81086E4}"/>
    <cellStyle name="Normal 3 6 4 5" xfId="40000" xr:uid="{BDF81990-D018-4D61-870B-8CDFFBEA34CA}"/>
    <cellStyle name="Normal 3 6 5" xfId="40001" xr:uid="{3C0AEB5E-FDAC-41B8-91BB-A26DD804FAEB}"/>
    <cellStyle name="Normal 3 6 6" xfId="40002" xr:uid="{87CB920B-E5C0-4DFE-96DA-6AF474338584}"/>
    <cellStyle name="Normal 3 6 7" xfId="40003" xr:uid="{3552B7B5-6D62-44D8-92EF-6F1F29571C3B}"/>
    <cellStyle name="Normal 3 6 8" xfId="40004" xr:uid="{A7E6430C-800D-447F-84F9-07A831A35170}"/>
    <cellStyle name="Normal 3 6 9" xfId="40005" xr:uid="{DD6A09FB-D3EB-45BB-8AD8-7C13DE4DC997}"/>
    <cellStyle name="Normal 3 7" xfId="274" xr:uid="{E44532AF-421A-4894-948F-927882195730}"/>
    <cellStyle name="Normal 3 8" xfId="275" xr:uid="{3B8E673D-667B-47DC-B24A-DAA81B0DB6B0}"/>
    <cellStyle name="Normal 3 9" xfId="276" xr:uid="{755C973F-B03F-4F98-9834-C00BDC0DFCA0}"/>
    <cellStyle name="Normal 30" xfId="40006" xr:uid="{3F941232-2732-4855-B852-1E354BB8FF91}"/>
    <cellStyle name="Normal 31" xfId="40007" xr:uid="{DAB19E5D-1BAC-4206-8EF7-A3BEE58CCC77}"/>
    <cellStyle name="Normal 32" xfId="40008" xr:uid="{A4B5EA0E-FF3F-4678-8444-0C00B5ABBE4E}"/>
    <cellStyle name="Normal 32 2" xfId="40009" xr:uid="{1F1BE211-6655-49E6-95CE-AA6C79B5F930}"/>
    <cellStyle name="Normal 32 2 2" xfId="40010" xr:uid="{EA307CC0-699E-4454-AEF0-5CCE3A26A75B}"/>
    <cellStyle name="Normal 32 2 3" xfId="40011" xr:uid="{FE7CC4A6-E1FB-4C2B-8833-A69CC82C63F5}"/>
    <cellStyle name="Normal 32 2 4" xfId="40012" xr:uid="{A36AD784-717F-46E0-919E-DC387960A911}"/>
    <cellStyle name="Normal 32 2 5" xfId="40013" xr:uid="{891CA128-677E-42AB-9A47-7A5655AF5AE0}"/>
    <cellStyle name="Normal 32 3" xfId="40014" xr:uid="{024D1AE6-3102-4195-8DB8-20521897429F}"/>
    <cellStyle name="Normal 32 4" xfId="40015" xr:uid="{4D5D08CA-BE8C-4CC8-B4D8-28C6E4D84040}"/>
    <cellStyle name="Normal 32 5" xfId="40016" xr:uid="{92F342A9-5612-4843-842D-CCBBF354EB9F}"/>
    <cellStyle name="Normal 32 6" xfId="40017" xr:uid="{C2B50B43-733C-411B-A6CA-FF63E9CB4505}"/>
    <cellStyle name="Normal 32 7" xfId="45965" xr:uid="{9EE21D75-B8A4-4D39-8D0D-2199A6DFEBF0}"/>
    <cellStyle name="Normal 33" xfId="40018" xr:uid="{37A5466F-1650-427D-9B96-B1DDA17F9DF3}"/>
    <cellStyle name="Normal 33 2" xfId="40019" xr:uid="{BF1993E4-F619-448A-A200-3AD52DB54FCF}"/>
    <cellStyle name="Normal 33 2 2" xfId="40020" xr:uid="{4E982487-D98C-42C6-ADD8-7D3F3D6A8D80}"/>
    <cellStyle name="Normal 33 2 3" xfId="40021" xr:uid="{A8BA8593-352E-4310-8548-61935176370F}"/>
    <cellStyle name="Normal 33 2 4" xfId="40022" xr:uid="{FA753B6F-0EA8-4C24-9502-7EE5A28A7D19}"/>
    <cellStyle name="Normal 33 2 5" xfId="40023" xr:uid="{86C332FB-64F7-4709-9B2F-9C33FFBCB985}"/>
    <cellStyle name="Normal 33 3" xfId="40024" xr:uid="{A7C1E9E5-1B21-49DC-8C6E-9E9F82CACD6E}"/>
    <cellStyle name="Normal 33 4" xfId="40025" xr:uid="{E578B7DA-F086-445A-B113-A87AB5D7B5BC}"/>
    <cellStyle name="Normal 33 5" xfId="40026" xr:uid="{7535DD31-31C2-4A5F-BD5E-0216062A1E63}"/>
    <cellStyle name="Normal 33 6" xfId="40027" xr:uid="{1B92717A-50DE-4E06-9BDE-3894C0F5D5E7}"/>
    <cellStyle name="Normal 33 7" xfId="45966" xr:uid="{3CD36603-E293-4586-9EB9-ADBF49890AE0}"/>
    <cellStyle name="Normal 34" xfId="40028" xr:uid="{546E232C-7B8C-4A76-B93D-06AC930EDD86}"/>
    <cellStyle name="Normal 34 2" xfId="40029" xr:uid="{A04A63FB-1878-4753-8D67-963796CE9DB8}"/>
    <cellStyle name="Normal 34 2 2" xfId="40030" xr:uid="{F998C6A0-F859-4332-8ED1-710AF9E0C7C1}"/>
    <cellStyle name="Normal 34 2 3" xfId="40031" xr:uid="{C0B96300-A7D6-4B5B-978F-5279659F76BC}"/>
    <cellStyle name="Normal 34 2 4" xfId="40032" xr:uid="{D73883BA-23D3-4632-8640-ED71A45DAB0E}"/>
    <cellStyle name="Normal 34 2 5" xfId="40033" xr:uid="{AC103B76-6D93-4B62-8D7C-11809B6D85DC}"/>
    <cellStyle name="Normal 34 3" xfId="40034" xr:uid="{27E5AE45-9126-4B06-BF9E-563D98C47522}"/>
    <cellStyle name="Normal 34 4" xfId="40035" xr:uid="{5A5E8DE0-9E04-4406-9C7D-55151C48C7A9}"/>
    <cellStyle name="Normal 34 5" xfId="40036" xr:uid="{0F822529-916D-4B7E-89CC-EA872260622B}"/>
    <cellStyle name="Normal 34 6" xfId="40037" xr:uid="{B0321A8C-2F74-45A0-8708-A26AFF277FDF}"/>
    <cellStyle name="Normal 34 7" xfId="45967" xr:uid="{3A85A12A-37E1-407A-B69C-D63C82EB3385}"/>
    <cellStyle name="Normal 35" xfId="40038" xr:uid="{F4A7A7BB-B9D5-4678-9D33-E6A68E123019}"/>
    <cellStyle name="Normal 35 2" xfId="40039" xr:uid="{4214FB5A-FD1F-44C8-801E-C3C2D5D41D77}"/>
    <cellStyle name="Normal 35 2 2" xfId="40040" xr:uid="{DD907FB2-06F8-4934-818A-D00FE7F8664C}"/>
    <cellStyle name="Normal 35 2 3" xfId="40041" xr:uid="{86DCDF03-76A4-4066-BFB3-1A84F2C61579}"/>
    <cellStyle name="Normal 35 2 4" xfId="40042" xr:uid="{AAF5491B-D4A1-4F29-9015-EF10BAD40F75}"/>
    <cellStyle name="Normal 35 2 5" xfId="40043" xr:uid="{144D46DC-C119-476B-ABE9-EDC73F639A29}"/>
    <cellStyle name="Normal 35 3" xfId="40044" xr:uid="{554172A1-8991-42BB-B690-C5F9CAD012A3}"/>
    <cellStyle name="Normal 35 4" xfId="40045" xr:uid="{0DEDDF62-8739-4719-B835-BEAA55B18A8C}"/>
    <cellStyle name="Normal 35 5" xfId="40046" xr:uid="{D9C745D8-C27F-48A9-AA09-669022AE7AEF}"/>
    <cellStyle name="Normal 35 6" xfId="40047" xr:uid="{20F9BAA1-B729-4D40-B268-0AE92CEAECDA}"/>
    <cellStyle name="Normal 36" xfId="40048" xr:uid="{41BA0D2A-C5D0-4EA4-B0A6-135CAD557376}"/>
    <cellStyle name="Normal 36 2" xfId="40049" xr:uid="{6C73CB16-FFDD-45C3-96E1-06B8B7098344}"/>
    <cellStyle name="Normal 36 2 2" xfId="40050" xr:uid="{0B5177F9-C8D2-4BC8-9E8A-04167BB97F26}"/>
    <cellStyle name="Normal 36 2 3" xfId="40051" xr:uid="{954038DD-89FA-47C0-B317-581079BD2B79}"/>
    <cellStyle name="Normal 36 2 4" xfId="40052" xr:uid="{37DC1AB3-8E1D-4A70-AFA0-1B43BF12EE72}"/>
    <cellStyle name="Normal 36 2 5" xfId="40053" xr:uid="{A01CB602-3CAE-4589-BC4B-129EACF2DBE8}"/>
    <cellStyle name="Normal 36 3" xfId="40054" xr:uid="{9696F8E4-D209-4EF3-A0E9-D3363851C73D}"/>
    <cellStyle name="Normal 36 4" xfId="40055" xr:uid="{F63D95E6-7BC8-486B-88F9-10EDC687EA91}"/>
    <cellStyle name="Normal 36 5" xfId="40056" xr:uid="{FFC99224-BF9F-4B80-BCE0-F0865464EBA4}"/>
    <cellStyle name="Normal 36 6" xfId="40057" xr:uid="{0B597DA3-E0E7-4B43-B4A3-A0A534A3B898}"/>
    <cellStyle name="Normal 37" xfId="40058" xr:uid="{CDE13381-8BF5-4FCD-81AF-28E73BC8A48C}"/>
    <cellStyle name="Normal 37 2" xfId="40059" xr:uid="{11656106-CC65-478C-BF6B-88792E6FB666}"/>
    <cellStyle name="Normal 37 3" xfId="40060" xr:uid="{18D0A1F7-AECE-49CB-847C-3E6BED7E31A5}"/>
    <cellStyle name="Normal 37 4" xfId="40061" xr:uid="{DC58CF18-7EBC-4EEB-8452-353D9B869FA2}"/>
    <cellStyle name="Normal 37 5" xfId="40062" xr:uid="{982C0EE2-C468-45B4-B429-34637D71C61A}"/>
    <cellStyle name="Normal 37 6" xfId="40063" xr:uid="{16576B0A-0555-4E25-B122-AA113E8CE683}"/>
    <cellStyle name="Normal 38" xfId="40064" xr:uid="{9F091614-1BA6-473C-8721-02653B517BFC}"/>
    <cellStyle name="Normal 38 10" xfId="40065" xr:uid="{706F826B-8595-4C7F-A1CE-E0A3216D5A7E}"/>
    <cellStyle name="Normal 38 11" xfId="40066" xr:uid="{FCF0BA58-7F97-44BF-A77A-FB04723BBBED}"/>
    <cellStyle name="Normal 38 12" xfId="40067" xr:uid="{3E1D1092-3395-4B88-B5A8-28CA94CD7041}"/>
    <cellStyle name="Normal 38 13" xfId="40068" xr:uid="{BEAF0D03-B080-4EFD-8F45-FD101447C7AA}"/>
    <cellStyle name="Normal 38 2" xfId="40069" xr:uid="{433C1251-896F-451E-82E5-BE9632F2AA40}"/>
    <cellStyle name="Normal 38 2 10" xfId="40070" xr:uid="{F104479D-8D64-40B9-8094-A98C80D1AC58}"/>
    <cellStyle name="Normal 38 2 11" xfId="40071" xr:uid="{842B9083-024E-4880-80D7-96D20F96257A}"/>
    <cellStyle name="Normal 38 2 2" xfId="40072" xr:uid="{9465BF85-CA34-44DB-85A3-EBDE9DE99B3A}"/>
    <cellStyle name="Normal 38 2 3" xfId="40073" xr:uid="{423C6739-0A14-49FC-AC02-6C1A0ED45856}"/>
    <cellStyle name="Normal 38 2 4" xfId="40074" xr:uid="{5C7D8EAC-24E2-4A72-A8DC-DF3B83D91709}"/>
    <cellStyle name="Normal 38 2 5" xfId="40075" xr:uid="{72C6CC88-4453-4793-9B6B-E05687049713}"/>
    <cellStyle name="Normal 38 2 6" xfId="40076" xr:uid="{A9BB92EF-66E7-42E1-B1FD-65844905F9E6}"/>
    <cellStyle name="Normal 38 2 7" xfId="40077" xr:uid="{B9091BB7-00C8-48D9-AF6F-40D083708689}"/>
    <cellStyle name="Normal 38 2 8" xfId="40078" xr:uid="{4259AA32-8DEC-4168-A91C-813AB7E92342}"/>
    <cellStyle name="Normal 38 2 9" xfId="40079" xr:uid="{06B46041-E66F-4194-AD18-42ECE87649FB}"/>
    <cellStyle name="Normal 38 3" xfId="40080" xr:uid="{1230F224-7AA3-44C2-A081-CC7A8286ECCB}"/>
    <cellStyle name="Normal 38 3 10" xfId="40081" xr:uid="{03EFEA3E-F594-4CDF-B90F-8FB1EECA91C7}"/>
    <cellStyle name="Normal 38 3 11" xfId="40082" xr:uid="{F57C3500-A15B-4C26-AEE4-02759A0C7201}"/>
    <cellStyle name="Normal 38 3 2" xfId="40083" xr:uid="{5369C427-894A-4D87-BF8A-B63067FB714E}"/>
    <cellStyle name="Normal 38 3 3" xfId="40084" xr:uid="{FF639D78-D28D-4421-AE97-FE05A56908C6}"/>
    <cellStyle name="Normal 38 3 4" xfId="40085" xr:uid="{FA0022DD-816B-4F9B-AF52-8BF57E88A343}"/>
    <cellStyle name="Normal 38 3 5" xfId="40086" xr:uid="{4B6A65AE-A3E1-48C9-9EBA-87853705A6CD}"/>
    <cellStyle name="Normal 38 3 6" xfId="40087" xr:uid="{D271EA6D-8388-46D8-B5F2-A3D9C706D69B}"/>
    <cellStyle name="Normal 38 3 7" xfId="40088" xr:uid="{F77BB8F8-F93B-4369-900E-9085D7D99E63}"/>
    <cellStyle name="Normal 38 3 8" xfId="40089" xr:uid="{359AF367-55AC-4A3F-A582-A5B84A4DF88D}"/>
    <cellStyle name="Normal 38 3 9" xfId="40090" xr:uid="{F96FDE2A-23A5-4577-B2AE-DE801B508689}"/>
    <cellStyle name="Normal 38 4" xfId="40091" xr:uid="{D1F1CA32-28BA-4FBB-BD81-BE88B305F37F}"/>
    <cellStyle name="Normal 38 5" xfId="40092" xr:uid="{F1709C0B-EB43-4F1A-909B-76DA4A45ED77}"/>
    <cellStyle name="Normal 38 6" xfId="40093" xr:uid="{771D7D29-208D-4FBF-91F7-D463772CFC41}"/>
    <cellStyle name="Normal 38 7" xfId="40094" xr:uid="{780A0C5A-7C7A-446F-AAF0-2334E1DFB493}"/>
    <cellStyle name="Normal 38 8" xfId="40095" xr:uid="{13CEC5F6-96EE-4D49-B6BC-380A8B3456E9}"/>
    <cellStyle name="Normal 38 9" xfId="40096" xr:uid="{9D32AB94-29BF-4E6B-AFF3-9B6078130639}"/>
    <cellStyle name="Normal 39" xfId="40097" xr:uid="{079B2584-B562-4E9A-B917-95B4F3651945}"/>
    <cellStyle name="Normal 4" xfId="40098" xr:uid="{207211F8-9CDF-4801-B492-D458D2D587A4}"/>
    <cellStyle name="Normal 4 10" xfId="277" xr:uid="{47D328F1-BD7F-4AEC-8B31-54F04173D1F4}"/>
    <cellStyle name="Normal 4 11" xfId="278" xr:uid="{A8962D5C-99E4-40B4-A95E-7BCE538EDBD5}"/>
    <cellStyle name="Normal 4 11 2" xfId="279" xr:uid="{3B970447-E38F-405B-93FC-3154D601B3DD}"/>
    <cellStyle name="Normal 4 11 3" xfId="40099" xr:uid="{5CD771C4-BB92-4B52-B91C-66856DBFAFD6}"/>
    <cellStyle name="Normal 4 12" xfId="280" xr:uid="{5995C0A6-1875-4B8C-A99A-735CC1DB9E37}"/>
    <cellStyle name="Normal 4 12 2" xfId="281" xr:uid="{289F13B7-674A-418E-BB49-7E8762AED673}"/>
    <cellStyle name="Normal 4 13" xfId="282" xr:uid="{88889DFD-DF55-4F41-A87C-7B60EE59B81F}"/>
    <cellStyle name="Normal 4 13 2" xfId="283" xr:uid="{C78E4E5F-49A9-4F1C-B5FB-49658E5CACA0}"/>
    <cellStyle name="Normal 4 14" xfId="40100" xr:uid="{C94E00A4-3CFB-47EC-9F7E-4F0C50A0E569}"/>
    <cellStyle name="Normal 4 15" xfId="40101" xr:uid="{07197141-B705-42A7-88BF-EAC9CDBDEFB9}"/>
    <cellStyle name="Normal 4 2" xfId="284" xr:uid="{798EAB70-CCFE-4E6B-B46F-37996A67BCBE}"/>
    <cellStyle name="Normal 4 2 10" xfId="40102" xr:uid="{382424EE-33CA-4D1E-B46F-9AF9D63EB971}"/>
    <cellStyle name="Normal 4 2 11" xfId="40103" xr:uid="{9611C078-64B7-409C-A3F9-59AF55E9D578}"/>
    <cellStyle name="Normal 4 2 12" xfId="45969" xr:uid="{4B2208CA-5E3B-4542-851D-52CE14FD3E65}"/>
    <cellStyle name="Normal 4 2 2" xfId="40104" xr:uid="{57B2D59E-23F2-44FD-81B4-F66EFE0D7C52}"/>
    <cellStyle name="Normal 4 2 2 2" xfId="45971" xr:uid="{AC1003BA-58D7-4DA0-B992-D481C33EB208}"/>
    <cellStyle name="Normal 4 2 2 2 2" xfId="45972" xr:uid="{11163C43-2956-417C-9439-6DFE45B12AEA}"/>
    <cellStyle name="Normal 4 2 2 2 2 2" xfId="45973" xr:uid="{31CB236C-F3C7-463F-A746-24D19F704265}"/>
    <cellStyle name="Normal 4 2 2 2 3" xfId="45974" xr:uid="{7351D0AF-3B15-490F-9BA2-C4997BB299A6}"/>
    <cellStyle name="Normal 4 2 2 3" xfId="45975" xr:uid="{7514666E-6B04-4172-949A-B73E92FED5C1}"/>
    <cellStyle name="Normal 4 2 2 3 2" xfId="45976" xr:uid="{FD752E8D-9BA3-4978-93D5-A0C99AD8EA17}"/>
    <cellStyle name="Normal 4 2 2 4" xfId="45977" xr:uid="{B0C3FCE0-4CDB-4AE5-9F5A-A4A3E86EDFFC}"/>
    <cellStyle name="Normal 4 2 2 5" xfId="45970" xr:uid="{22D7BA49-C1A0-4DC0-A051-6C10C8EEA5D2}"/>
    <cellStyle name="Normal 4 2 3" xfId="40105" xr:uid="{67BD06CC-F793-48A7-A346-55ECA6A2F4FA}"/>
    <cellStyle name="Normal 4 2 3 2" xfId="45979" xr:uid="{3A748FE4-9E7E-486E-8724-37A544654497}"/>
    <cellStyle name="Normal 4 2 3 2 2" xfId="45980" xr:uid="{AB4D5C6C-A142-4D73-95D1-6159AEA09CBB}"/>
    <cellStyle name="Normal 4 2 3 3" xfId="45981" xr:uid="{51FB52A5-31D1-48E9-B32B-08CF4EF27A65}"/>
    <cellStyle name="Normal 4 2 3 4" xfId="45978" xr:uid="{F2ABE3CE-8B58-4617-9EFF-7C7F33654B92}"/>
    <cellStyle name="Normal 4 2 4" xfId="40106" xr:uid="{07BDB03F-227A-453A-AC05-93DFB807F1BB}"/>
    <cellStyle name="Normal 4 2 4 2" xfId="45983" xr:uid="{D6BD3A43-EE2B-4512-ACDD-834632309DA4}"/>
    <cellStyle name="Normal 4 2 4 3" xfId="45982" xr:uid="{E3B892B9-3B05-4076-A27E-6AC890978162}"/>
    <cellStyle name="Normal 4 2 5" xfId="40107" xr:uid="{57937C80-2908-4270-99B9-E1761B1957F1}"/>
    <cellStyle name="Normal 4 2 5 2" xfId="45984" xr:uid="{9B9B68E8-0BD0-4710-91E9-E8955F3227E8}"/>
    <cellStyle name="Normal 4 2 6" xfId="40108" xr:uid="{84992230-376C-4F9D-8DDB-B7E64946F416}"/>
    <cellStyle name="Normal 4 2 7" xfId="40109" xr:uid="{C1C0825F-DEF3-46FB-88EB-4CC666F2462F}"/>
    <cellStyle name="Normal 4 2 8" xfId="40110" xr:uid="{B69BEA17-2A81-4882-9EAD-ED7CAF3AD04E}"/>
    <cellStyle name="Normal 4 2 9" xfId="40111" xr:uid="{D609E305-BF38-4CBA-8EBA-CA2E111676C1}"/>
    <cellStyle name="Normal 4 3" xfId="285" xr:uid="{54B13C3A-BA77-44E6-9279-85FDC153A1A7}"/>
    <cellStyle name="Normal 4 3 10" xfId="40112" xr:uid="{45F6DC1B-79BF-47DF-88D8-E69D8EF58EA2}"/>
    <cellStyle name="Normal 4 3 11" xfId="40113" xr:uid="{CB3FAEE6-3D9A-43FB-8A9E-3A948540EBD5}"/>
    <cellStyle name="Normal 4 3 12" xfId="45985" xr:uid="{F71EB141-85B1-4EDA-A03C-79CBC9C38F40}"/>
    <cellStyle name="Normal 4 3 2" xfId="40114" xr:uid="{73659368-81B8-4156-98EF-64D918052C3C}"/>
    <cellStyle name="Normal 4 3 2 2" xfId="45987" xr:uid="{047E8790-C9E0-4235-8E11-A871472F69E1}"/>
    <cellStyle name="Normal 4 3 2 2 2" xfId="45988" xr:uid="{8186F580-C2CA-4C4C-A586-C15F0047EE4E}"/>
    <cellStyle name="Normal 4 3 2 3" xfId="45989" xr:uid="{A6837B38-CDAF-40BA-940B-8E2BC3B0FC1B}"/>
    <cellStyle name="Normal 4 3 2 4" xfId="45986" xr:uid="{9799BC89-8078-4876-B950-AD3E6146B36A}"/>
    <cellStyle name="Normal 4 3 3" xfId="40115" xr:uid="{77523CDA-6A9D-407E-9E56-AF5B9E5072D9}"/>
    <cellStyle name="Normal 4 3 3 2" xfId="45991" xr:uid="{C787C577-815C-47AC-9409-D81E88C7455D}"/>
    <cellStyle name="Normal 4 3 3 3" xfId="45990" xr:uid="{CE7ACDDC-17C5-4A36-964B-6BADAA626AD1}"/>
    <cellStyle name="Normal 4 3 4" xfId="40116" xr:uid="{70D4ABCC-71CE-40AF-B352-39652F601964}"/>
    <cellStyle name="Normal 4 3 4 2" xfId="45992" xr:uid="{B477E64E-899A-4839-8761-4BC951C8C4AD}"/>
    <cellStyle name="Normal 4 3 5" xfId="40117" xr:uid="{859826F8-E2BE-445C-88FC-DF3A36202F2D}"/>
    <cellStyle name="Normal 4 3 6" xfId="40118" xr:uid="{6C35329B-87D6-4308-AAB4-AE5E81715FF9}"/>
    <cellStyle name="Normal 4 3 7" xfId="40119" xr:uid="{38CB961B-EEB8-4809-BD58-9BD461E9AE07}"/>
    <cellStyle name="Normal 4 3 8" xfId="40120" xr:uid="{34BA2B94-8314-48C2-B577-1BC02FD822B5}"/>
    <cellStyle name="Normal 4 3 9" xfId="40121" xr:uid="{F02F324F-B0AE-47D8-9245-73BA0627DB6D}"/>
    <cellStyle name="Normal 4 4" xfId="286" xr:uid="{D7BB33A5-54B7-4E3D-A112-E166D3884ABA}"/>
    <cellStyle name="Normal 4 4 2" xfId="40122" xr:uid="{09405C30-7038-40C6-8793-30A4D2E6CF59}"/>
    <cellStyle name="Normal 4 4 2 2" xfId="45995" xr:uid="{A3A0F142-3C73-495B-AAFD-0E9869F578FA}"/>
    <cellStyle name="Normal 4 4 2 3" xfId="45994" xr:uid="{DEFEAAFC-9766-47FD-9A3C-022F1D87CA1C}"/>
    <cellStyle name="Normal 4 4 3" xfId="40123" xr:uid="{AD35E75F-EF40-4F08-958C-DB55A421F748}"/>
    <cellStyle name="Normal 4 4 3 2" xfId="45996" xr:uid="{D99D4AFB-103E-43E8-8531-9416EBF7B8A4}"/>
    <cellStyle name="Normal 4 4 4" xfId="40124" xr:uid="{83035B6F-3CEF-42D8-A387-FD3C81D79155}"/>
    <cellStyle name="Normal 4 4 5" xfId="40125" xr:uid="{120EB20F-CDBC-433A-A831-9AF8AB6A1D72}"/>
    <cellStyle name="Normal 4 4 6" xfId="40126" xr:uid="{D582A6DD-8D02-43D0-9AB5-9E6FD047F4F5}"/>
    <cellStyle name="Normal 4 4 7" xfId="40127" xr:uid="{E5CD813C-CE61-47FF-A2E5-37F9A2199BA7}"/>
    <cellStyle name="Normal 4 4 8" xfId="45993" xr:uid="{20FE4AAC-84D3-4F94-BB11-01DB0BC17AB4}"/>
    <cellStyle name="Normal 4 5" xfId="287" xr:uid="{28D54BD6-BE8B-4412-B71F-E51305C576E6}"/>
    <cellStyle name="Normal 4 5 2" xfId="40128" xr:uid="{9E2D922C-8EBE-488D-8889-AB5F7DEE7C25}"/>
    <cellStyle name="Normal 4 5 2 2" xfId="45998" xr:uid="{E1DF1988-E79D-47B3-97E4-892B9737D239}"/>
    <cellStyle name="Normal 4 5 3" xfId="40129" xr:uid="{B7D4D461-0E88-4744-95C2-77643F96AE9F}"/>
    <cellStyle name="Normal 4 5 4" xfId="40130" xr:uid="{DC01AB6E-519F-432F-B1F8-4B0C89545400}"/>
    <cellStyle name="Normal 4 5 5" xfId="40131" xr:uid="{D575C24B-0A75-426F-9F5F-1BFFD73C42CB}"/>
    <cellStyle name="Normal 4 5 6" xfId="40132" xr:uid="{7167B099-C7B4-4F11-BF10-028272079ED0}"/>
    <cellStyle name="Normal 4 5 7" xfId="40133" xr:uid="{799A6A5B-1CE6-4226-B645-F77ED6C643ED}"/>
    <cellStyle name="Normal 4 5 8" xfId="45997" xr:uid="{6BCE90D0-1420-472B-A54C-1BB710DD10A9}"/>
    <cellStyle name="Normal 4 6" xfId="288" xr:uid="{8A91286A-AE77-4AD7-8E6A-290736E281D2}"/>
    <cellStyle name="Normal 4 6 2" xfId="45999" xr:uid="{002AFE47-BFBD-4269-881C-90CF170BE002}"/>
    <cellStyle name="Normal 4 7" xfId="289" xr:uid="{3BB1EC73-61F7-4BB2-8DC3-501B7717BCF4}"/>
    <cellStyle name="Normal 4 7 2" xfId="45968" xr:uid="{6E2B1948-4A42-4205-AC1D-5358B2508381}"/>
    <cellStyle name="Normal 4 8" xfId="290" xr:uid="{8A9D98A0-3F2E-4C27-A98A-1B8C8BB78C5A}"/>
    <cellStyle name="Normal 4 9" xfId="291" xr:uid="{F3C2747C-9FE7-42C4-940C-758F885B62C0}"/>
    <cellStyle name="Normal 40" xfId="40134" xr:uid="{3F85998B-0139-4061-8657-BC6E44E6164B}"/>
    <cellStyle name="Normal 41" xfId="40135" xr:uid="{D2383691-BC2B-406B-BCC3-B06C1F0F5F99}"/>
    <cellStyle name="Normal 42" xfId="40136" xr:uid="{296E1D3F-0CDA-4DFB-9393-10F875B855EC}"/>
    <cellStyle name="Normal 44" xfId="40137" xr:uid="{9AF17CB7-35B0-4E20-80E2-127DC6CFCA6C}"/>
    <cellStyle name="Normal 46" xfId="40138" xr:uid="{714AB4A7-326A-445F-B3A1-B0281E61C7F9}"/>
    <cellStyle name="Normal 47" xfId="43549" xr:uid="{5D9A73EE-3FC3-4568-81C8-67DD512E1AA4}"/>
    <cellStyle name="Normal 49 10" xfId="292" xr:uid="{92D91503-64FB-416E-8EEF-AE531DF462A1}"/>
    <cellStyle name="Normal 49 2" xfId="293" xr:uid="{C5131930-62F7-43AC-A6E5-FBD905E31672}"/>
    <cellStyle name="Normal 49 3" xfId="294" xr:uid="{32324A6A-D4AC-49A4-9AD1-2A99CCAC5895}"/>
    <cellStyle name="Normal 49 4" xfId="295" xr:uid="{32F4123C-5D98-453A-B79F-A587DEF96BD1}"/>
    <cellStyle name="Normal 49 5" xfId="296" xr:uid="{A08FF042-3C05-47C9-9010-34DD6F530A90}"/>
    <cellStyle name="Normal 49 6" xfId="297" xr:uid="{773D54D8-45A6-43CE-A090-0FF42749D116}"/>
    <cellStyle name="Normal 49 7" xfId="298" xr:uid="{96BE73AB-641E-46EF-B622-96F4C7934A99}"/>
    <cellStyle name="Normal 49 8" xfId="299" xr:uid="{781523A8-304F-47E3-ADB9-14F7A2E621E2}"/>
    <cellStyle name="Normal 49 9" xfId="300" xr:uid="{2030C5E8-72D7-41EB-BB2D-76128124ADE3}"/>
    <cellStyle name="Normal 5" xfId="40139" xr:uid="{F70DDACD-1ABF-423A-8A94-0F9E4DD7C626}"/>
    <cellStyle name="Normal 5 10" xfId="301" xr:uid="{8BB9F87A-19EF-4517-B205-E19732618EB9}"/>
    <cellStyle name="Normal 5 11" xfId="302" xr:uid="{DB0D8B99-B1DD-4B91-AA57-F4ED2C225C78}"/>
    <cellStyle name="Normal 5 11 2" xfId="303" xr:uid="{9BA7CDD3-9853-4A65-81BF-456191BE239D}"/>
    <cellStyle name="Normal 5 12" xfId="304" xr:uid="{441DAFFE-DDB1-46AD-8688-4F8F633DA097}"/>
    <cellStyle name="Normal 5 12 2" xfId="305" xr:uid="{1C204544-B56D-4711-A85B-0CFE5129B906}"/>
    <cellStyle name="Normal 5 13" xfId="306" xr:uid="{4E13DED1-ACF9-4089-8654-0A1E4B57D815}"/>
    <cellStyle name="Normal 5 14" xfId="40140" xr:uid="{413914DD-D409-4A3B-BD59-0D2926A24C18}"/>
    <cellStyle name="Normal 5 15" xfId="40141" xr:uid="{B679E730-3703-4B79-AEDB-60D0DC63F1B1}"/>
    <cellStyle name="Normal 5 2" xfId="307" xr:uid="{793BF140-5571-40C2-8688-BCEAE51BAE1F}"/>
    <cellStyle name="Normal 5 2 10" xfId="40142" xr:uid="{5CC5A52B-2146-4B71-8B4C-DD85153CB591}"/>
    <cellStyle name="Normal 5 2 11" xfId="40143" xr:uid="{66F7377D-11DB-4457-BD4D-0A0805CBAA64}"/>
    <cellStyle name="Normal 5 2 12" xfId="46001" xr:uid="{C726038F-3BB6-4113-823C-313CD8E94275}"/>
    <cellStyle name="Normal 5 2 2" xfId="40144" xr:uid="{95B732A3-0DB7-42F5-B12C-B217DFDDE799}"/>
    <cellStyle name="Normal 5 2 2 2" xfId="46003" xr:uid="{C7DBA4AA-C442-48D6-8EFE-A221579AC1A3}"/>
    <cellStyle name="Normal 5 2 2 2 2" xfId="46004" xr:uid="{41E5D86E-BBB3-4495-9883-B3D41878B755}"/>
    <cellStyle name="Normal 5 2 2 2 2 2" xfId="46005" xr:uid="{C57FCF99-44DE-4EDB-BFDB-9C3CDAF82990}"/>
    <cellStyle name="Normal 5 2 2 2 3" xfId="46006" xr:uid="{9E6827D3-DCB0-491A-90B4-0C16491702A7}"/>
    <cellStyle name="Normal 5 2 2 3" xfId="46007" xr:uid="{37CFEFF3-D81C-4EEF-A5A1-A2AC0463228B}"/>
    <cellStyle name="Normal 5 2 2 3 2" xfId="46008" xr:uid="{291E5FBC-2775-4ED5-BF17-42BD67F26F68}"/>
    <cellStyle name="Normal 5 2 2 4" xfId="46009" xr:uid="{21494D3D-AD62-418D-8E66-75CDD1C1D949}"/>
    <cellStyle name="Normal 5 2 2 5" xfId="46002" xr:uid="{F0AED256-8526-463D-89FF-C445A8E7E697}"/>
    <cellStyle name="Normal 5 2 3" xfId="40145" xr:uid="{E69CCE98-4A15-4EDA-BFC4-F4A57E97CA06}"/>
    <cellStyle name="Normal 5 2 3 2" xfId="46011" xr:uid="{A64DB803-8B91-4902-A918-4D5E994B04E5}"/>
    <cellStyle name="Normal 5 2 3 2 2" xfId="46012" xr:uid="{95B5EAFF-659B-4A00-8947-DB81DEDCBCAD}"/>
    <cellStyle name="Normal 5 2 3 3" xfId="46013" xr:uid="{F8055AD3-289A-461B-A27F-26C80BDA1930}"/>
    <cellStyle name="Normal 5 2 3 4" xfId="46010" xr:uid="{2E7B14E8-E56C-4AF5-8E2D-6B7A40DC8017}"/>
    <cellStyle name="Normal 5 2 4" xfId="40146" xr:uid="{18BEBAC6-EE44-4B97-9CF3-71399867F76A}"/>
    <cellStyle name="Normal 5 2 4 2" xfId="46015" xr:uid="{6C5849B8-E8B6-4F8F-B89B-E62D91973E80}"/>
    <cellStyle name="Normal 5 2 4 3" xfId="46014" xr:uid="{5BF87CBD-7363-43CD-AB8F-E684149840C8}"/>
    <cellStyle name="Normal 5 2 5" xfId="40147" xr:uid="{A6C0FBAB-1B21-46F8-809D-D622635D5D35}"/>
    <cellStyle name="Normal 5 2 5 2" xfId="46016" xr:uid="{7E64BC1E-11E2-4AAA-BF52-095BCAE0D784}"/>
    <cellStyle name="Normal 5 2 6" xfId="40148" xr:uid="{E851C1C1-582F-4431-AB86-14D8535FA9C0}"/>
    <cellStyle name="Normal 5 2 7" xfId="40149" xr:uid="{FEFA744A-398C-4F22-BBF4-D2BED64E76F1}"/>
    <cellStyle name="Normal 5 2 8" xfId="40150" xr:uid="{35FBFA33-D1B1-4EEA-8B6E-81908C0AE5AF}"/>
    <cellStyle name="Normal 5 2 9" xfId="40151" xr:uid="{F67C9F21-CDC0-491F-BAAE-8F3630561359}"/>
    <cellStyle name="Normal 5 3" xfId="308" xr:uid="{E4885F38-45D0-458A-9EA3-398CE6FFF88B}"/>
    <cellStyle name="Normal 5 3 10" xfId="40152" xr:uid="{23DB20B0-3BAA-48CE-B558-2E4C60902227}"/>
    <cellStyle name="Normal 5 3 11" xfId="40153" xr:uid="{1E7E3C1A-1C26-41B8-9FB7-BD4D21B3A609}"/>
    <cellStyle name="Normal 5 3 12" xfId="46017" xr:uid="{05E816C2-02E9-4BC0-AA44-22C85B3A45B8}"/>
    <cellStyle name="Normal 5 3 2" xfId="40154" xr:uid="{D632EF2D-2262-4D4A-9F78-3CF87E329289}"/>
    <cellStyle name="Normal 5 3 2 2" xfId="46019" xr:uid="{091FD4E1-704D-4782-B8B7-FBBE26C8DB52}"/>
    <cellStyle name="Normal 5 3 2 2 2" xfId="46020" xr:uid="{CB0F2DC3-BA31-4042-9771-B8E7782C56B9}"/>
    <cellStyle name="Normal 5 3 2 3" xfId="46021" xr:uid="{32982FFA-ACD5-470C-8708-87CE3EA028A8}"/>
    <cellStyle name="Normal 5 3 2 4" xfId="46018" xr:uid="{66BF5884-92B9-4886-B531-E692B5F21B46}"/>
    <cellStyle name="Normal 5 3 3" xfId="40155" xr:uid="{A92BE456-816D-4033-AED0-BBE42D4374B9}"/>
    <cellStyle name="Normal 5 3 3 2" xfId="46023" xr:uid="{189F1020-21B5-407A-98AE-4230FA2E1746}"/>
    <cellStyle name="Normal 5 3 3 3" xfId="46022" xr:uid="{DC1899AB-E68C-472E-8E95-F2C73830F3CB}"/>
    <cellStyle name="Normal 5 3 4" xfId="40156" xr:uid="{04A4AAA1-DB4E-477B-B9EA-83733756D44B}"/>
    <cellStyle name="Normal 5 3 4 2" xfId="46024" xr:uid="{2C5CF728-09EF-4702-A83F-CDA65DC9AB52}"/>
    <cellStyle name="Normal 5 3 5" xfId="40157" xr:uid="{492BA8BA-A61A-4AEE-A150-22FD036AA24E}"/>
    <cellStyle name="Normal 5 3 6" xfId="40158" xr:uid="{E9C536B8-7DA2-4F74-A236-D77E46B94C83}"/>
    <cellStyle name="Normal 5 3 7" xfId="40159" xr:uid="{D6ABE82D-E5FD-4AC3-AC29-9F624E0B2FD3}"/>
    <cellStyle name="Normal 5 3 8" xfId="40160" xr:uid="{CBB554FA-8A52-4143-B173-2CD55003398E}"/>
    <cellStyle name="Normal 5 3 9" xfId="40161" xr:uid="{A37DD676-2194-4C29-ADE7-7C546D21950A}"/>
    <cellStyle name="Normal 5 4" xfId="309" xr:uid="{D0DE193C-34F6-42C8-9723-587221B0E09C}"/>
    <cellStyle name="Normal 5 4 2" xfId="40162" xr:uid="{C8F6AA93-FAC9-447D-B981-5A4DEF32B88A}"/>
    <cellStyle name="Normal 5 4 2 2" xfId="46027" xr:uid="{AAA6917F-67F1-4AF3-ABDA-4E86EB5349DF}"/>
    <cellStyle name="Normal 5 4 2 3" xfId="46026" xr:uid="{771BDB71-4AB7-45E6-8F85-C7FD3DE5BBC7}"/>
    <cellStyle name="Normal 5 4 3" xfId="40163" xr:uid="{6EBD1EDC-21D9-4D09-ADA0-2D2D3680C9C6}"/>
    <cellStyle name="Normal 5 4 3 2" xfId="46028" xr:uid="{9573BC2E-61BD-4328-A7F1-2C41D686F3E2}"/>
    <cellStyle name="Normal 5 4 4" xfId="40164" xr:uid="{5E0355DB-D97B-4DEB-95B2-1F5303409E56}"/>
    <cellStyle name="Normal 5 4 5" xfId="40165" xr:uid="{F673F18F-5296-4B9C-BE91-7A1471D0E737}"/>
    <cellStyle name="Normal 5 4 6" xfId="40166" xr:uid="{565F2DC5-75C9-465B-9493-494F0613D9F3}"/>
    <cellStyle name="Normal 5 4 7" xfId="40167" xr:uid="{F7F8F868-97E5-4369-9A47-DF5E3C368719}"/>
    <cellStyle name="Normal 5 4 8" xfId="46025" xr:uid="{F30A5215-582C-47DE-A034-44FACA32EB33}"/>
    <cellStyle name="Normal 5 5" xfId="310" xr:uid="{C0B93C9E-CF17-46EA-89E2-8A8F0EEEFD0C}"/>
    <cellStyle name="Normal 5 5 2" xfId="40168" xr:uid="{C1DD6066-B44B-4687-8805-5D82E6753F4F}"/>
    <cellStyle name="Normal 5 5 2 2" xfId="46030" xr:uid="{4210D430-A353-4B67-9FAB-0C51D0C3DF06}"/>
    <cellStyle name="Normal 5 5 3" xfId="40169" xr:uid="{B8A9EAF4-3C31-4255-A368-09A6BCA29F6E}"/>
    <cellStyle name="Normal 5 5 4" xfId="40170" xr:uid="{E9F6C817-3A28-4229-99E9-19FA75B42356}"/>
    <cellStyle name="Normal 5 5 5" xfId="40171" xr:uid="{445542C3-C77A-4007-B9C8-8E4CFEABABCF}"/>
    <cellStyle name="Normal 5 5 6" xfId="40172" xr:uid="{F9F4BB44-8611-4749-B7DA-DB1143BD921A}"/>
    <cellStyle name="Normal 5 5 7" xfId="40173" xr:uid="{39394043-6465-49A0-90B2-350E98203B23}"/>
    <cellStyle name="Normal 5 5 8" xfId="46029" xr:uid="{F977C3A2-B37F-4059-9559-E91B31706CFC}"/>
    <cellStyle name="Normal 5 6" xfId="311" xr:uid="{BE710214-0243-474F-95B4-86E881ABBBA0}"/>
    <cellStyle name="Normal 5 6 2" xfId="46031" xr:uid="{40E1C0E3-8976-4D94-ACD8-470D1F484A50}"/>
    <cellStyle name="Normal 5 7" xfId="312" xr:uid="{B11AAC51-7ED8-40D4-A9EE-F4E2E8EF3405}"/>
    <cellStyle name="Normal 5 7 2" xfId="46000" xr:uid="{F321D78C-9396-4BAF-AA16-6A4C419C5BE7}"/>
    <cellStyle name="Normal 5 8" xfId="313" xr:uid="{231FAC69-3BC7-4CB6-8218-4E37720692B2}"/>
    <cellStyle name="Normal 5 9" xfId="314" xr:uid="{CF02BFD8-FFDD-46B2-A6E3-24C246E5F9B1}"/>
    <cellStyle name="Normal 53" xfId="40174" xr:uid="{9F75C506-65BF-4E3E-9EDA-9FACC3F558BF}"/>
    <cellStyle name="Normal 53 2" xfId="40175" xr:uid="{5723EC5D-25FC-4454-973D-81EA04B63E81}"/>
    <cellStyle name="Normal 53 3" xfId="40176" xr:uid="{116092D6-5054-481A-A1FC-688334867B3C}"/>
    <cellStyle name="Normal 53 4" xfId="40177" xr:uid="{6620BC9F-3C7C-43DB-BB84-D1EE060AAB8F}"/>
    <cellStyle name="Normal 6" xfId="40178" xr:uid="{C5C3209F-2050-4D09-87BB-B8A394C9AA32}"/>
    <cellStyle name="Normal 6 10" xfId="315" xr:uid="{ECA26599-1412-425D-BBB7-101E7775E61F}"/>
    <cellStyle name="Normal 6 10 2" xfId="316" xr:uid="{450BD07D-434A-43C7-821C-4BDAB260E3C6}"/>
    <cellStyle name="Normal 6 11" xfId="317" xr:uid="{ECAE4B9F-EFBD-46DE-83BE-CEB957C64632}"/>
    <cellStyle name="Normal 6 11 2" xfId="318" xr:uid="{4F6A4F38-D4C0-419C-8238-15EAEC924E7B}"/>
    <cellStyle name="Normal 6 12" xfId="319" xr:uid="{FF2CE0D0-782C-4F85-B11C-DFCC6DBD5C9C}"/>
    <cellStyle name="Normal 6 12 2" xfId="320" xr:uid="{032E8387-1059-422A-99D6-9D64FF6FED76}"/>
    <cellStyle name="Normal 6 13" xfId="40179" xr:uid="{F7741E50-C004-4AD7-9E35-760AA51D8169}"/>
    <cellStyle name="Normal 6 14" xfId="40180" xr:uid="{C5E806E0-02E9-4A48-BCE9-FE14BA0F0074}"/>
    <cellStyle name="Normal 6 15" xfId="40181" xr:uid="{0525212E-C42E-4742-8FFB-47871E90EB78}"/>
    <cellStyle name="Normal 6 2" xfId="321" xr:uid="{2EE039FC-024A-41BD-A6A9-0F7C9311A7A6}"/>
    <cellStyle name="Normal 6 2 10" xfId="40182" xr:uid="{F441101B-4CDB-4F5F-867A-8B7572760DC9}"/>
    <cellStyle name="Normal 6 2 11" xfId="40183" xr:uid="{90C4BF32-C67B-4AF7-9FC1-FCDFF3D4047A}"/>
    <cellStyle name="Normal 6 2 2" xfId="322" xr:uid="{85FC2376-0553-466D-BCC5-D2D49DF0F8FB}"/>
    <cellStyle name="Normal 6 2 3" xfId="323" xr:uid="{CF629663-065A-4A16-A844-108E060DF8E2}"/>
    <cellStyle name="Normal 6 2 4" xfId="324" xr:uid="{C2039390-ACF6-4968-9283-978A111A677B}"/>
    <cellStyle name="Normal 6 2 5" xfId="40184" xr:uid="{DAB04896-4857-4239-A7F4-AB22B9F23EEE}"/>
    <cellStyle name="Normal 6 2 6" xfId="40185" xr:uid="{198F998F-C447-43BD-9351-554B4B7F9B71}"/>
    <cellStyle name="Normal 6 2 7" xfId="40186" xr:uid="{6214CDA4-E83F-4BB4-88BE-D36F6443ACAB}"/>
    <cellStyle name="Normal 6 2 8" xfId="40187" xr:uid="{9A8024AF-72DC-435C-953C-42F2078FCA6C}"/>
    <cellStyle name="Normal 6 2 9" xfId="40188" xr:uid="{94895DE8-DC88-431D-8673-91AA3729BAF5}"/>
    <cellStyle name="Normal 6 3" xfId="325" xr:uid="{74E6C449-F8CC-4523-9D08-B6BB96ECD6D2}"/>
    <cellStyle name="Normal 6 3 10" xfId="40189" xr:uid="{D21C7D0C-1AA2-4151-AC32-6880621FCFA9}"/>
    <cellStyle name="Normal 6 3 11" xfId="40190" xr:uid="{9FC21400-2B7F-4E47-80BC-CCD65C8D22B0}"/>
    <cellStyle name="Normal 6 3 12" xfId="46032" xr:uid="{BE168517-A233-45B8-B3CE-CE509F2D293D}"/>
    <cellStyle name="Normal 6 3 2" xfId="326" xr:uid="{E5EB0B2B-2678-49B5-A997-88B4C54B4080}"/>
    <cellStyle name="Normal 6 3 3" xfId="327" xr:uid="{B7D219E0-19C5-4CD0-B867-AD930139A509}"/>
    <cellStyle name="Normal 6 3 4" xfId="328" xr:uid="{A47FA30E-975D-494F-88EA-B596A4AD79BC}"/>
    <cellStyle name="Normal 6 3 5" xfId="40191" xr:uid="{AFED9576-AC55-4644-8301-B63E74257941}"/>
    <cellStyle name="Normal 6 3 6" xfId="40192" xr:uid="{BD03BBCB-CB97-47AF-96F0-E5B149E35D42}"/>
    <cellStyle name="Normal 6 3 7" xfId="40193" xr:uid="{E3BF2E2B-8254-4030-AFF9-32C9E2C65CC3}"/>
    <cellStyle name="Normal 6 3 8" xfId="40194" xr:uid="{3F4529D6-4654-46BF-9B1A-4F730BD7FCFE}"/>
    <cellStyle name="Normal 6 3 9" xfId="40195" xr:uid="{CFE275D3-C76C-4C85-B25C-750BACA435C7}"/>
    <cellStyle name="Normal 6 4" xfId="329" xr:uid="{90F9CF62-0F94-4E2F-BA3A-7DC7549110AE}"/>
    <cellStyle name="Normal 6 4 2" xfId="330" xr:uid="{608E4626-619F-48FC-AC9D-255D28789BF3}"/>
    <cellStyle name="Normal 6 4 3" xfId="331" xr:uid="{F1316304-332D-4A9C-B278-43573D9DE050}"/>
    <cellStyle name="Normal 6 4 4" xfId="332" xr:uid="{1D8E0FC1-1EDC-47FC-A123-7BEB432764CB}"/>
    <cellStyle name="Normal 6 4 5" xfId="40196" xr:uid="{BBD0E8CD-D7B1-4CBF-BABA-217FA4811245}"/>
    <cellStyle name="Normal 6 4 6" xfId="40197" xr:uid="{2926AB2C-92DE-42C6-8DBB-57619181DEC0}"/>
    <cellStyle name="Normal 6 4 7" xfId="40198" xr:uid="{0DAAEBBA-27A3-461F-9E22-8637CF213A3C}"/>
    <cellStyle name="Normal 6 5" xfId="333" xr:uid="{CF7F0162-1C7A-4C83-AF65-72EE06C1BBCB}"/>
    <cellStyle name="Normal 6 5 2" xfId="334" xr:uid="{D046B0E6-7A70-4ED1-8348-1B4885670CB8}"/>
    <cellStyle name="Normal 6 5 3" xfId="335" xr:uid="{3EB83C64-9404-4ABD-A12C-DFDA1F8924A3}"/>
    <cellStyle name="Normal 6 5 4" xfId="336" xr:uid="{ADDEF4E2-A2FE-48E0-99D6-A3DAB40C4CD0}"/>
    <cellStyle name="Normal 6 5 5" xfId="40199" xr:uid="{211B62BF-3C60-4D72-92B5-4D95322D1865}"/>
    <cellStyle name="Normal 6 5 6" xfId="40200" xr:uid="{40461975-6E1F-4780-AC9F-8A3927B6C8E4}"/>
    <cellStyle name="Normal 6 5 7" xfId="40201" xr:uid="{E89C9BA0-A578-484E-8C98-15D53A953CF5}"/>
    <cellStyle name="Normal 6 6" xfId="337" xr:uid="{9A23098E-DF9D-40D6-9D54-BAE47A01EC31}"/>
    <cellStyle name="Normal 6 6 2" xfId="338" xr:uid="{7D5A7DDB-4A31-4398-B60C-AD76657BDC1D}"/>
    <cellStyle name="Normal 6 6 2 2" xfId="339" xr:uid="{02F3141E-B075-44FA-BA55-A1BCD7729DD2}"/>
    <cellStyle name="Normal 6 6 2 3" xfId="340" xr:uid="{0E491D96-E1BA-4A51-9460-33D78093A5E0}"/>
    <cellStyle name="Normal 6 6 2 4" xfId="341" xr:uid="{2B31A3B5-E2C1-42C5-9A3D-0EC53086FE92}"/>
    <cellStyle name="Normal 6 6 3" xfId="342" xr:uid="{2A75AE76-8C55-4451-8749-5F3E10322345}"/>
    <cellStyle name="Normal 6 6 3 2" xfId="343" xr:uid="{52CE0DB5-0B99-4027-8ABD-F4EF0628F798}"/>
    <cellStyle name="Normal 6 6 3 3" xfId="344" xr:uid="{0A5FC877-2FEE-4960-83A4-AFEBC42C8009}"/>
    <cellStyle name="Normal 6 6 3 4" xfId="345" xr:uid="{733D3FD2-0FCD-4C7B-9CDD-1096D9629C16}"/>
    <cellStyle name="Normal 6 7" xfId="346" xr:uid="{29A31875-55BB-48CB-8112-DA59742E616E}"/>
    <cellStyle name="Normal 6 7 2" xfId="347" xr:uid="{E0715EA7-F222-4BB9-883A-B672D2AAEBB4}"/>
    <cellStyle name="Normal 6 7 3" xfId="348" xr:uid="{28E8AF47-883A-48C2-9D1C-24216ABFD19B}"/>
    <cellStyle name="Normal 6 7 4" xfId="349" xr:uid="{AAED7B1B-1D6B-4245-81E9-91362C1C0F60}"/>
    <cellStyle name="Normal 6 8" xfId="350" xr:uid="{2BCB9901-FABF-4715-A728-4E36680FD10F}"/>
    <cellStyle name="Normal 6 8 2" xfId="351" xr:uid="{51FD27F7-4ED1-4A38-8DD2-62A7A3DB3CE5}"/>
    <cellStyle name="Normal 6 8 3" xfId="352" xr:uid="{347CE94E-6F59-43A0-827A-28BDADE5E54A}"/>
    <cellStyle name="Normal 6 8 4" xfId="353" xr:uid="{9AA24FB9-E079-4B69-A779-E582E357B92B}"/>
    <cellStyle name="Normal 6 9" xfId="354" xr:uid="{32D2D86E-EC48-4C4A-9616-B36E3359CDC7}"/>
    <cellStyle name="Normal 6 9 2" xfId="355" xr:uid="{2CF03DD5-81CD-4AC7-A912-1E7B1864BD4C}"/>
    <cellStyle name="Normal 6 9 3" xfId="356" xr:uid="{6D6FFAEA-A79B-4EE1-869B-E1FF0831C968}"/>
    <cellStyle name="Normal 6 9 4" xfId="357" xr:uid="{5E033DE6-A8B7-4B54-A2BD-4D0A787659EE}"/>
    <cellStyle name="Normal 64 10" xfId="358" xr:uid="{96694EE7-C246-465A-985B-893F88CAC902}"/>
    <cellStyle name="Normal 64 2" xfId="359" xr:uid="{3490C392-25B3-4EF6-86E1-AC4AD1AA3A8C}"/>
    <cellStyle name="Normal 64 3" xfId="360" xr:uid="{E0AAC157-DD4F-4F38-AFB0-0EB481BEF049}"/>
    <cellStyle name="Normal 64 4" xfId="361" xr:uid="{AA958C69-505B-4682-BCA5-D2854ABDB07D}"/>
    <cellStyle name="Normal 64 5" xfId="362" xr:uid="{20DE4748-409A-4404-83C5-36E9E4D40D67}"/>
    <cellStyle name="Normal 64 6" xfId="363" xr:uid="{91D00F89-FBBB-467E-90EE-02565E769168}"/>
    <cellStyle name="Normal 64 7" xfId="364" xr:uid="{C2F47E57-ED24-42F5-9624-EB9FBBA13419}"/>
    <cellStyle name="Normal 64 8" xfId="365" xr:uid="{271412A6-CFA2-44C8-A4E2-E43879B06A51}"/>
    <cellStyle name="Normal 64 9" xfId="366" xr:uid="{769FA19B-791A-4A35-A43C-4798C5A8E977}"/>
    <cellStyle name="Normal 66" xfId="40202" xr:uid="{824B9F3B-A494-46B9-9EBA-BA2AB20FEDD6}"/>
    <cellStyle name="Normal 66 10" xfId="367" xr:uid="{A3076FD5-06F5-4C4E-8577-E01A5A349EE2}"/>
    <cellStyle name="Normal 66 2" xfId="368" xr:uid="{3CD32C8F-BD0A-45B3-999E-4EEE18763B76}"/>
    <cellStyle name="Normal 66 3" xfId="369" xr:uid="{CB0E9B0D-3C36-4B92-9AFC-4B48465515E8}"/>
    <cellStyle name="Normal 66 4" xfId="370" xr:uid="{A93BD708-D623-4056-8D2F-F2ED81B5C9F1}"/>
    <cellStyle name="Normal 66 5" xfId="371" xr:uid="{14CB6A1F-9CE7-46C3-941C-3333F27DFF86}"/>
    <cellStyle name="Normal 66 6" xfId="372" xr:uid="{AD57ACF2-0F29-4CD4-9FAC-718A77A388E4}"/>
    <cellStyle name="Normal 66 7" xfId="373" xr:uid="{6CA426A8-6617-499E-A95D-4EADBD5AEDBB}"/>
    <cellStyle name="Normal 66 8" xfId="374" xr:uid="{8E5D74A1-DA4C-45B9-BB33-DA32C8D33701}"/>
    <cellStyle name="Normal 66 9" xfId="375" xr:uid="{23994C60-5FFC-467C-91B4-53734854C04E}"/>
    <cellStyle name="Normal 67" xfId="40203" xr:uid="{2B133BF0-DC37-442A-9183-702D3083215C}"/>
    <cellStyle name="Normal 68" xfId="40204" xr:uid="{412FE31E-970F-48F7-8187-71EB34D52A8F}"/>
    <cellStyle name="Normal 7" xfId="40205" xr:uid="{58526956-D152-4865-B371-076E294110BE}"/>
    <cellStyle name="Normal 7 10" xfId="376" xr:uid="{5B332DA4-7D54-4634-88DF-5120360A24E4}"/>
    <cellStyle name="Normal 7 10 2" xfId="377" xr:uid="{2B4CDB73-7C65-406C-97B1-3BCAD1AE9100}"/>
    <cellStyle name="Normal 7 11" xfId="40206" xr:uid="{1CD468B4-C04A-45D6-8DC1-279CD759D60A}"/>
    <cellStyle name="Normal 7 12" xfId="40207" xr:uid="{A6B1EA74-C44C-43D7-BE87-8941FEE3C337}"/>
    <cellStyle name="Normal 7 13" xfId="40208" xr:uid="{92EF5A7A-C6AA-4213-B061-D3160F79A10E}"/>
    <cellStyle name="Normal 7 14" xfId="40209" xr:uid="{1ADE76FF-C429-41B9-A225-A7C642AE5B5C}"/>
    <cellStyle name="Normal 7 15" xfId="40210" xr:uid="{14C31130-ACC4-4FC3-9B75-0F35B1C1F674}"/>
    <cellStyle name="Normal 7 16" xfId="46033" xr:uid="{BAD6AD9C-77C0-4163-919D-144CF2CBC028}"/>
    <cellStyle name="Normal 7 2" xfId="378" xr:uid="{FE4C892E-4EC1-4BAB-BEA1-FDA7B7D271FA}"/>
    <cellStyle name="Normal 7 2 10" xfId="40211" xr:uid="{59D9D5CD-A80E-4007-85AC-55B08DC84543}"/>
    <cellStyle name="Normal 7 2 11" xfId="40212" xr:uid="{E2F87C65-C3BC-42B2-900C-67085EB966DE}"/>
    <cellStyle name="Normal 7 2 12" xfId="46034" xr:uid="{F0E6E430-2C46-40AF-8528-1359CF71B99F}"/>
    <cellStyle name="Normal 7 2 2" xfId="379" xr:uid="{C03C4DC9-6E13-43D8-B677-22A7601F382F}"/>
    <cellStyle name="Normal 7 2 2 2" xfId="46036" xr:uid="{F3C662ED-C83A-488A-9ED4-7C4B1ECC2CD8}"/>
    <cellStyle name="Normal 7 2 2 2 2" xfId="46037" xr:uid="{8295B703-2B0C-4057-AFE1-65744C6A88A8}"/>
    <cellStyle name="Normal 7 2 2 3" xfId="46038" xr:uid="{7A349D7A-3111-4151-BE8F-11FE53C437B5}"/>
    <cellStyle name="Normal 7 2 2 4" xfId="46035" xr:uid="{B1B28AE5-8A00-40D2-9F5B-A8BC5025E2CA}"/>
    <cellStyle name="Normal 7 2 3" xfId="380" xr:uid="{2BEB3812-5795-4133-BB2F-C87E08A04956}"/>
    <cellStyle name="Normal 7 2 3 2" xfId="46040" xr:uid="{18AEEDC1-3767-4B99-910C-0135889DB225}"/>
    <cellStyle name="Normal 7 2 3 3" xfId="46039" xr:uid="{096F74E2-9DB7-4E02-A4EE-23B331AC29E3}"/>
    <cellStyle name="Normal 7 2 4" xfId="381" xr:uid="{F9FECCF8-1D61-4364-80ED-579D09CAD1FE}"/>
    <cellStyle name="Normal 7 2 4 2" xfId="46041" xr:uid="{CFFF4759-F21F-4230-B92C-9CBD908CF4A9}"/>
    <cellStyle name="Normal 7 2 5" xfId="40213" xr:uid="{CADB9C52-40B2-4FD2-9B99-E566B365918F}"/>
    <cellStyle name="Normal 7 2 6" xfId="40214" xr:uid="{C8A5A49A-1FAF-4066-BCD7-91743BE540BD}"/>
    <cellStyle name="Normal 7 2 7" xfId="40215" xr:uid="{1D023699-FE24-46BF-A9BF-E24974A8A777}"/>
    <cellStyle name="Normal 7 2 8" xfId="40216" xr:uid="{6B94D87C-DC68-4DF0-A249-9965766097C1}"/>
    <cellStyle name="Normal 7 2 9" xfId="40217" xr:uid="{C44F84DE-F6E2-4619-95B1-842570EDBF46}"/>
    <cellStyle name="Normal 7 3" xfId="382" xr:uid="{037E1761-0C42-4F1D-B653-E132ED63A906}"/>
    <cellStyle name="Normal 7 3 10" xfId="40218" xr:uid="{6F25D180-4A25-4892-8A86-44303FD09808}"/>
    <cellStyle name="Normal 7 3 11" xfId="40219" xr:uid="{5D981B15-BFB4-4054-8640-1F972BB53345}"/>
    <cellStyle name="Normal 7 3 12" xfId="46042" xr:uid="{7D7BBC45-99BB-4A39-BBD3-F714C94DEE48}"/>
    <cellStyle name="Normal 7 3 2" xfId="383" xr:uid="{5F5678B0-E95B-4230-A07B-85FC8A5AA834}"/>
    <cellStyle name="Normal 7 3 2 2" xfId="46044" xr:uid="{0DE06E64-7EEC-4AFC-8A0B-6437D8594DC1}"/>
    <cellStyle name="Normal 7 3 2 3" xfId="46043" xr:uid="{C461E7F8-5A31-4036-A1C5-2FADE0608721}"/>
    <cellStyle name="Normal 7 3 3" xfId="384" xr:uid="{0602DAC7-24FC-47FB-9B64-D9295722E81E}"/>
    <cellStyle name="Normal 7 3 3 2" xfId="46045" xr:uid="{4182B5AE-4285-4EFC-ADD7-16A95D7D21F8}"/>
    <cellStyle name="Normal 7 3 4" xfId="385" xr:uid="{3B69F641-A5DC-44E8-BC26-1C00B2C75E33}"/>
    <cellStyle name="Normal 7 3 5" xfId="40220" xr:uid="{3348DB5E-3CC6-4011-ADEF-5D19DAE22311}"/>
    <cellStyle name="Normal 7 3 6" xfId="40221" xr:uid="{9A60CB29-907B-482A-91DF-6D2C5A039DCF}"/>
    <cellStyle name="Normal 7 3 7" xfId="40222" xr:uid="{C33A347D-3DAA-4734-9E73-A91C07ACB5D5}"/>
    <cellStyle name="Normal 7 3 8" xfId="40223" xr:uid="{075E9C8F-4DEC-4C11-83E0-8E50BDA76256}"/>
    <cellStyle name="Normal 7 3 9" xfId="40224" xr:uid="{CED896D1-42F9-4E1A-AA7F-DDCF8A2AFD4B}"/>
    <cellStyle name="Normal 7 4" xfId="386" xr:uid="{DA67F4DA-98EE-4D48-A058-88F9B59061C7}"/>
    <cellStyle name="Normal 7 4 2" xfId="387" xr:uid="{9108A0BD-4619-4DD9-9330-CBA6CBF3A6E0}"/>
    <cellStyle name="Normal 7 4 2 2" xfId="46047" xr:uid="{17F56B39-FC4A-4BC7-A667-50380DCB2F3F}"/>
    <cellStyle name="Normal 7 4 3" xfId="388" xr:uid="{2E38FAC7-196A-42BF-A9D4-0DEB9E7560BC}"/>
    <cellStyle name="Normal 7 4 4" xfId="389" xr:uid="{BEB87B0C-94B1-47DB-90AF-BA580D44B54D}"/>
    <cellStyle name="Normal 7 4 5" xfId="40225" xr:uid="{9A3F77AE-3927-401D-A012-3D94053A309A}"/>
    <cellStyle name="Normal 7 4 6" xfId="40226" xr:uid="{05FF0764-6962-4F22-A973-1FF614E8DF09}"/>
    <cellStyle name="Normal 7 4 7" xfId="40227" xr:uid="{5ADF2CFD-A453-4E7A-A2DF-8FA217000DAE}"/>
    <cellStyle name="Normal 7 4 8" xfId="46046" xr:uid="{A3CA0904-C5CE-4CD2-B3D2-3328AE3E8A86}"/>
    <cellStyle name="Normal 7 5" xfId="390" xr:uid="{3921E32A-8AFF-4532-8B7E-1CD2786CE1B6}"/>
    <cellStyle name="Normal 7 5 2" xfId="391" xr:uid="{0BADD3AB-18D2-489A-A76E-791BD9AB010F}"/>
    <cellStyle name="Normal 7 5 3" xfId="392" xr:uid="{816CE041-1D7F-4729-8E70-6548323314C0}"/>
    <cellStyle name="Normal 7 5 4" xfId="393" xr:uid="{46655C47-D6CF-43E7-8CBB-40861D870104}"/>
    <cellStyle name="Normal 7 5 5" xfId="40228" xr:uid="{20DF026F-23B5-4BE1-ABA6-7107DC89F0D8}"/>
    <cellStyle name="Normal 7 5 6" xfId="40229" xr:uid="{DA762EF3-B2EE-4E3F-AB93-B78696C0AAC0}"/>
    <cellStyle name="Normal 7 5 7" xfId="40230" xr:uid="{F7C10B14-5252-478B-BEE8-AAC5586A311F}"/>
    <cellStyle name="Normal 7 5 8" xfId="46048" xr:uid="{8C289CC3-08D5-4457-869B-271AFEFA009D}"/>
    <cellStyle name="Normal 7 6" xfId="394" xr:uid="{3D85ACD6-2AF9-48A9-9AE4-1301195DD408}"/>
    <cellStyle name="Normal 7 6 2" xfId="395" xr:uid="{7260FD24-853D-42E7-91E4-ECB0C0329584}"/>
    <cellStyle name="Normal 7 6 2 2" xfId="396" xr:uid="{599A53EF-3FA6-4960-B4AC-26D62E0CA3BD}"/>
    <cellStyle name="Normal 7 6 2 3" xfId="397" xr:uid="{2492D7D2-EFD7-408B-A289-AF8C02DF9B93}"/>
    <cellStyle name="Normal 7 6 2 4" xfId="398" xr:uid="{BB74C6BA-6FB9-495B-941B-580CDAC80168}"/>
    <cellStyle name="Normal 7 6 3" xfId="399" xr:uid="{BA76952E-569D-40FD-B8BC-AF8A0B92AB59}"/>
    <cellStyle name="Normal 7 6 3 2" xfId="400" xr:uid="{980CC451-54EF-4EBF-A8D3-DF3BC62152D0}"/>
    <cellStyle name="Normal 7 6 3 3" xfId="401" xr:uid="{50F8B403-D0E5-4750-9684-63483AF8CA1F}"/>
    <cellStyle name="Normal 7 6 3 4" xfId="402" xr:uid="{DEAF436D-F1D6-43A7-9275-84EDB3854EFA}"/>
    <cellStyle name="Normal 7 7" xfId="403" xr:uid="{3BB7B108-2A60-45B0-8078-0A6C10CC8827}"/>
    <cellStyle name="Normal 7 7 2" xfId="404" xr:uid="{F78FFF2D-1977-472E-9478-918B6E3B2AD0}"/>
    <cellStyle name="Normal 7 7 3" xfId="405" xr:uid="{815EE379-D57A-497D-A8DA-F41D46C37C24}"/>
    <cellStyle name="Normal 7 7 4" xfId="406" xr:uid="{A5A28991-FB9C-4ECA-A1A3-708C26879051}"/>
    <cellStyle name="Normal 7 8" xfId="407" xr:uid="{167743E9-C312-40D2-8B95-396F1248D7AE}"/>
    <cellStyle name="Normal 7 8 2" xfId="408" xr:uid="{F5289CF5-7F58-4BB9-86C3-A26D0DD82DDD}"/>
    <cellStyle name="Normal 7 8 3" xfId="409" xr:uid="{38B04996-85FD-4485-A07B-F4664C83DC26}"/>
    <cellStyle name="Normal 7 8 4" xfId="410" xr:uid="{14AFCB28-F381-4B74-917E-2D981FF656DC}"/>
    <cellStyle name="Normal 7 9" xfId="411" xr:uid="{913132FC-5349-40EB-BF6F-FB5F55B490EF}"/>
    <cellStyle name="Normal 7 9 2" xfId="412" xr:uid="{4322575A-9240-4CC7-B5C5-F14E658298EB}"/>
    <cellStyle name="Normal 7 9 3" xfId="413" xr:uid="{A48858DB-94F1-48D6-A538-C7E0AE07862D}"/>
    <cellStyle name="Normal 7 9 4" xfId="414" xr:uid="{0F04AD59-E36D-4ABB-873F-C1E709023EBF}"/>
    <cellStyle name="Normal 71 10" xfId="415" xr:uid="{2AF8AA59-D437-4A15-9576-0EB9C555D15E}"/>
    <cellStyle name="Normal 71 2" xfId="416" xr:uid="{010D5F8C-3149-4F30-A42D-53DE23154468}"/>
    <cellStyle name="Normal 71 3" xfId="417" xr:uid="{5FE3ECD2-1E11-43BB-9281-AAE486D71C07}"/>
    <cellStyle name="Normal 71 4" xfId="418" xr:uid="{5BA6879E-FC03-4CAD-B1E7-74ABA5FE44B6}"/>
    <cellStyle name="Normal 71 5" xfId="419" xr:uid="{4F6E9A47-642A-4B64-8E88-35F3B1BCE4E0}"/>
    <cellStyle name="Normal 71 6" xfId="420" xr:uid="{9DBD747D-6294-4649-846D-EAFA829D23F2}"/>
    <cellStyle name="Normal 71 7" xfId="421" xr:uid="{9E2B3C32-B71F-48D6-B357-CCF3FA85A373}"/>
    <cellStyle name="Normal 71 8" xfId="422" xr:uid="{9012000D-A2AB-47F5-BE50-3BB1DFCDD843}"/>
    <cellStyle name="Normal 71 9" xfId="423" xr:uid="{D6C8D879-8AB1-4CFA-8364-B43298B17649}"/>
    <cellStyle name="Normal 72 10" xfId="424" xr:uid="{1F27C122-7219-40F4-9C20-FB9021774890}"/>
    <cellStyle name="Normal 72 2" xfId="425" xr:uid="{6FFA2775-F738-42AA-98D5-BA1182746A86}"/>
    <cellStyle name="Normal 72 3" xfId="426" xr:uid="{4FDB5F3B-B7D4-43E1-A964-596298F39588}"/>
    <cellStyle name="Normal 72 4" xfId="427" xr:uid="{DDD7A9C8-5E1B-4FEC-8177-197D2B607397}"/>
    <cellStyle name="Normal 72 5" xfId="428" xr:uid="{CF26C6C3-36CC-4CBA-B933-4BC028D90929}"/>
    <cellStyle name="Normal 72 6" xfId="429" xr:uid="{56B6D040-9346-482D-A932-7BB131EC6E5D}"/>
    <cellStyle name="Normal 72 7" xfId="430" xr:uid="{A8C928DC-2647-4D22-AA50-1349DA4FF8DC}"/>
    <cellStyle name="Normal 72 8" xfId="431" xr:uid="{9BC0A48E-DC2C-4A33-84EB-FB19A1B134D3}"/>
    <cellStyle name="Normal 72 9" xfId="432" xr:uid="{9E0EA6C6-A583-470D-B8FA-92AFE28AD457}"/>
    <cellStyle name="Normal 73 10" xfId="433" xr:uid="{0F2379DB-57B9-4A01-9B4D-9D08AF41F5EA}"/>
    <cellStyle name="Normal 73 2" xfId="434" xr:uid="{9EB15454-5851-4CD5-AA80-045462AEAD3B}"/>
    <cellStyle name="Normal 73 3" xfId="435" xr:uid="{CBD8E1CD-BE27-497B-A196-768EBAE7062F}"/>
    <cellStyle name="Normal 73 4" xfId="436" xr:uid="{342314B6-C94F-47ED-BB85-7368347822B8}"/>
    <cellStyle name="Normal 73 5" xfId="437" xr:uid="{83D55540-7065-41BA-B14F-F9133DB0EF92}"/>
    <cellStyle name="Normal 73 6" xfId="438" xr:uid="{8F1942CF-9263-4B45-8F06-F5FED7D2F173}"/>
    <cellStyle name="Normal 73 7" xfId="439" xr:uid="{CC9A579F-0E6B-4AAE-90C7-2912488C2303}"/>
    <cellStyle name="Normal 73 8" xfId="440" xr:uid="{A54A95BD-B717-477A-98AE-546E1D083E6D}"/>
    <cellStyle name="Normal 73 9" xfId="441" xr:uid="{D9217BD2-89A9-4C18-AEBD-B3B9F337C86E}"/>
    <cellStyle name="Normal 76 10" xfId="442" xr:uid="{623B113E-7242-4CA1-AD7B-E4A876E431CF}"/>
    <cellStyle name="Normal 76 2" xfId="443" xr:uid="{1775A93E-7A90-4BDF-82FB-B493AB3BF488}"/>
    <cellStyle name="Normal 76 3" xfId="444" xr:uid="{59BD5206-F1D4-4559-B8CC-30E8185BFE91}"/>
    <cellStyle name="Normal 76 4" xfId="445" xr:uid="{A8549AAF-9FD3-44B0-88E4-02F4A7D00185}"/>
    <cellStyle name="Normal 76 5" xfId="446" xr:uid="{17E7CD54-E81C-45CA-8ABE-DB47E566E8BA}"/>
    <cellStyle name="Normal 76 6" xfId="447" xr:uid="{05AE7DA2-B5CD-44D5-A4E1-67EEED5502CC}"/>
    <cellStyle name="Normal 76 7" xfId="448" xr:uid="{4EF2E77A-0310-4ABF-A5B0-DEAD5F6C135B}"/>
    <cellStyle name="Normal 76 8" xfId="449" xr:uid="{A5129218-2235-4EBF-945B-A15552FB9060}"/>
    <cellStyle name="Normal 76 9" xfId="450" xr:uid="{4FD8275B-C37C-469F-A2BD-BF5445225196}"/>
    <cellStyle name="Normal 78 10" xfId="451" xr:uid="{66CF4C22-246E-4381-BA07-E9FAA91286B4}"/>
    <cellStyle name="Normal 78 2" xfId="452" xr:uid="{5D5C4B34-8175-4DC5-94E3-824FB8DEB24B}"/>
    <cellStyle name="Normal 78 3" xfId="453" xr:uid="{F6336E6E-A44D-4198-B2A2-C67A229F6E23}"/>
    <cellStyle name="Normal 78 4" xfId="454" xr:uid="{7D5155F9-F721-4CC1-A09B-28054D777828}"/>
    <cellStyle name="Normal 78 5" xfId="455" xr:uid="{7E488EE8-91BD-403C-A051-699DFA301895}"/>
    <cellStyle name="Normal 78 6" xfId="456" xr:uid="{5B6D2B88-6E93-412E-875C-C9BEA1A12D1F}"/>
    <cellStyle name="Normal 78 7" xfId="457" xr:uid="{0A6DFBF6-0DD7-43C2-87FE-343891026824}"/>
    <cellStyle name="Normal 78 8" xfId="458" xr:uid="{6E032E27-501F-4C7E-B5FE-8BA582808C70}"/>
    <cellStyle name="Normal 78 9" xfId="459" xr:uid="{F462FECB-9564-45EC-A5D5-9DE2D0373D78}"/>
    <cellStyle name="Normal 79 10" xfId="460" xr:uid="{FCC017FD-88C1-424C-9AA0-52F8F36A559E}"/>
    <cellStyle name="Normal 79 2" xfId="461" xr:uid="{013B4807-BA41-46BB-B5AF-5F42DD68C078}"/>
    <cellStyle name="Normal 79 3" xfId="462" xr:uid="{60E08E8D-4176-4067-8911-143C68C290B3}"/>
    <cellStyle name="Normal 79 4" xfId="463" xr:uid="{08AEFA7A-751F-4AAD-8883-F56644BE301A}"/>
    <cellStyle name="Normal 79 5" xfId="464" xr:uid="{6EF14C02-9261-4CB9-A93E-7CDC3B139E75}"/>
    <cellStyle name="Normal 79 6" xfId="465" xr:uid="{5F0A1890-D632-4568-B0DE-4BF05E8EE2FA}"/>
    <cellStyle name="Normal 79 7" xfId="466" xr:uid="{ADD00294-A643-43EE-B343-46C14BB94F6A}"/>
    <cellStyle name="Normal 79 8" xfId="467" xr:uid="{0080AE5F-23AC-452F-B986-9B6882A51077}"/>
    <cellStyle name="Normal 79 9" xfId="468" xr:uid="{F490EDEE-3BDE-45DF-ACE6-9611B445FB19}"/>
    <cellStyle name="Normal 8" xfId="40231" xr:uid="{95439533-5570-4CFE-B2CC-1C1CEDA911E9}"/>
    <cellStyle name="Normal 8 10" xfId="40232" xr:uid="{15D8FA52-0133-4450-A1F0-EC9607842975}"/>
    <cellStyle name="Normal 8 11" xfId="40233" xr:uid="{FF3991B8-C938-4188-A71A-4D90024A8DCE}"/>
    <cellStyle name="Normal 8 12" xfId="40234" xr:uid="{5BA7959F-E071-4F02-8590-BA99B2BC7C55}"/>
    <cellStyle name="Normal 8 13" xfId="40235" xr:uid="{09F60886-4AE0-4EA9-9662-FAD24F0AA2F8}"/>
    <cellStyle name="Normal 8 14" xfId="40236" xr:uid="{C8E49F6A-8E5F-4329-8D3C-7D6C5CD680FC}"/>
    <cellStyle name="Normal 8 15" xfId="40237" xr:uid="{9A497DE0-C8A9-43FA-BFFD-F396EC355DE0}"/>
    <cellStyle name="Normal 8 16" xfId="46049" xr:uid="{5B1808AE-9FF3-4BFA-B0C1-6503BCFBAF6F}"/>
    <cellStyle name="Normal 8 2" xfId="469" xr:uid="{5BCD2A9E-6470-4973-BA76-2D83906269AE}"/>
    <cellStyle name="Normal 8 2 10" xfId="40238" xr:uid="{584CE6CC-6548-4656-AD21-4C1E9297B700}"/>
    <cellStyle name="Normal 8 2 11" xfId="40239" xr:uid="{0791A1DA-4B2A-4BA3-9D9F-A089989BBD2A}"/>
    <cellStyle name="Normal 8 2 2" xfId="470" xr:uid="{0F842603-7658-4AB6-B317-27D4FF978ED8}"/>
    <cellStyle name="Normal 8 2 3" xfId="471" xr:uid="{E2A36FB1-39A3-4DFD-9D7A-BFADE4C2FC04}"/>
    <cellStyle name="Normal 8 2 4" xfId="472" xr:uid="{8A7D8EB9-28B8-46B2-A5FB-3317EB4AC4F4}"/>
    <cellStyle name="Normal 8 2 5" xfId="40240" xr:uid="{5A07C1C8-6652-4E59-9EA7-5E984C123A3F}"/>
    <cellStyle name="Normal 8 2 6" xfId="40241" xr:uid="{7FE79F12-F2FA-4AB0-B600-488151D5DAF9}"/>
    <cellStyle name="Normal 8 2 7" xfId="40242" xr:uid="{CB66CB91-E904-4D03-AFC9-E9A7253C5C20}"/>
    <cellStyle name="Normal 8 2 8" xfId="40243" xr:uid="{B8C7E6A5-3FC4-4694-99F8-3549A44CB471}"/>
    <cellStyle name="Normal 8 2 9" xfId="40244" xr:uid="{EEC82325-ABE9-4320-98CA-5955DEA08C08}"/>
    <cellStyle name="Normal 8 3" xfId="473" xr:uid="{40BA70DD-477E-4A84-B5C6-7D4A2A94BF03}"/>
    <cellStyle name="Normal 8 3 10" xfId="40245" xr:uid="{C9FC1FEB-4C6A-44F0-8362-EFE2724F2B77}"/>
    <cellStyle name="Normal 8 3 11" xfId="40246" xr:uid="{DF8A1271-ADB2-4812-93D9-3F0829198409}"/>
    <cellStyle name="Normal 8 3 2" xfId="474" xr:uid="{D2C35F3B-9C62-40F8-8723-B8FD01A5E93A}"/>
    <cellStyle name="Normal 8 3 3" xfId="475" xr:uid="{60FB0612-B7DB-4C61-9E99-91EB4B40179E}"/>
    <cellStyle name="Normal 8 3 4" xfId="476" xr:uid="{07A8BCF2-020A-4306-B33C-B471B7295B3C}"/>
    <cellStyle name="Normal 8 3 5" xfId="40247" xr:uid="{B9E7013E-8236-4CAE-9EAC-6A5C78C2FEC4}"/>
    <cellStyle name="Normal 8 3 6" xfId="40248" xr:uid="{EA0C49F8-6C59-456D-8A9C-321C3210D6C6}"/>
    <cellStyle name="Normal 8 3 7" xfId="40249" xr:uid="{98D397A9-9D0F-47D3-A24C-434C80E55C35}"/>
    <cellStyle name="Normal 8 3 8" xfId="40250" xr:uid="{1E66FBC9-746C-48F4-BC10-6A7F97FBD4E5}"/>
    <cellStyle name="Normal 8 3 9" xfId="40251" xr:uid="{BF80FDA1-6F55-40A8-A17C-E84F5221232D}"/>
    <cellStyle name="Normal 8 4" xfId="477" xr:uid="{E7E21E05-52E6-4E1C-A8FF-7C1454E80DE3}"/>
    <cellStyle name="Normal 8 4 2" xfId="478" xr:uid="{59B44E23-E8E2-4722-8EC5-FC0E0A1D49AA}"/>
    <cellStyle name="Normal 8 4 3" xfId="479" xr:uid="{DFE5E462-42E7-48DE-98CB-19D8B3A9F0FF}"/>
    <cellStyle name="Normal 8 4 4" xfId="480" xr:uid="{EF7AB841-C247-4C6E-8830-FFEA66E1B1BB}"/>
    <cellStyle name="Normal 8 4 5" xfId="40252" xr:uid="{D3114E01-7CA9-46D8-982D-7D4927C2256C}"/>
    <cellStyle name="Normal 8 4 6" xfId="40253" xr:uid="{C05FA366-3D98-4E3D-8E56-1A34F405349E}"/>
    <cellStyle name="Normal 8 4 7" xfId="40254" xr:uid="{03D372D5-D07C-425E-BF72-1BFD47ABFEB7}"/>
    <cellStyle name="Normal 8 5" xfId="481" xr:uid="{284F7206-708E-4283-B7DF-E590A4A0109F}"/>
    <cellStyle name="Normal 8 5 2" xfId="482" xr:uid="{03A349F4-0D2A-4983-AF17-3716F04596AF}"/>
    <cellStyle name="Normal 8 5 3" xfId="483" xr:uid="{D77043BC-D29D-43F8-B2D4-03F23CAE9713}"/>
    <cellStyle name="Normal 8 5 4" xfId="484" xr:uid="{2C4258D7-B7B0-4452-A238-9B62DF417200}"/>
    <cellStyle name="Normal 8 5 5" xfId="40255" xr:uid="{601509A8-3D5B-49D8-A577-37C25A681A22}"/>
    <cellStyle name="Normal 8 5 6" xfId="40256" xr:uid="{BF188F59-9888-4275-B695-4485DFF81B7D}"/>
    <cellStyle name="Normal 8 5 7" xfId="40257" xr:uid="{DF378150-DCE9-4658-B65B-FF9FC7F4AABE}"/>
    <cellStyle name="Normal 8 6" xfId="485" xr:uid="{3D9E037C-BE02-4413-BDAF-863EA7DC7F74}"/>
    <cellStyle name="Normal 8 6 2" xfId="486" xr:uid="{15884649-FF96-43C4-A91F-168A66913866}"/>
    <cellStyle name="Normal 8 6 2 2" xfId="487" xr:uid="{9C46D136-B326-4807-AA68-23C560137012}"/>
    <cellStyle name="Normal 8 6 2 3" xfId="488" xr:uid="{F91B277D-BE0C-48F6-9455-D39AE7A4EED5}"/>
    <cellStyle name="Normal 8 6 2 4" xfId="489" xr:uid="{5EDB2419-F54D-47DF-A287-9B87CB923B67}"/>
    <cellStyle name="Normal 8 6 3" xfId="490" xr:uid="{1A056902-0E26-42E6-B651-B251AB898ED9}"/>
    <cellStyle name="Normal 8 6 3 2" xfId="491" xr:uid="{446DBDCE-84D1-4E99-BB41-C24F403AA730}"/>
    <cellStyle name="Normal 8 6 3 3" xfId="492" xr:uid="{AB65BBFC-E21E-47C6-AC18-668CABD68AE4}"/>
    <cellStyle name="Normal 8 6 3 4" xfId="493" xr:uid="{74BB83A2-414E-4828-94DB-0E70C7A363CA}"/>
    <cellStyle name="Normal 8 7" xfId="494" xr:uid="{F8A0010C-58A2-4E85-BB98-DA47B532CFCA}"/>
    <cellStyle name="Normal 8 7 2" xfId="495" xr:uid="{79187932-2762-4846-9782-DF3914BD4C54}"/>
    <cellStyle name="Normal 8 7 3" xfId="496" xr:uid="{04C1381F-8947-4AF0-9AB0-9CFEAA3A8106}"/>
    <cellStyle name="Normal 8 7 4" xfId="497" xr:uid="{57670DA5-3DE3-4933-A0EB-7FB99285C8E9}"/>
    <cellStyle name="Normal 8 8" xfId="498" xr:uid="{9E68A51A-32F6-4276-B39D-F946ED9C90F8}"/>
    <cellStyle name="Normal 8 8 2" xfId="499" xr:uid="{866CEBEB-E789-4A38-98C7-5A88ACA8FAF9}"/>
    <cellStyle name="Normal 8 8 3" xfId="500" xr:uid="{1A8C3C1A-4B8A-44AE-AD75-DAB321AAC749}"/>
    <cellStyle name="Normal 8 8 4" xfId="501" xr:uid="{DE8F1BC7-4B02-4C31-93C5-FCA9D66EB81C}"/>
    <cellStyle name="Normal 8 9" xfId="502" xr:uid="{0B8C7EEB-4F14-45D9-8001-6B4CD30E9C92}"/>
    <cellStyle name="Normal 8 9 2" xfId="503" xr:uid="{3A38C2F2-C120-4B85-AF98-DEC31BBDAA58}"/>
    <cellStyle name="Normal 8 9 3" xfId="504" xr:uid="{3F38299D-FE39-45B4-997B-1F9C7D9D2B34}"/>
    <cellStyle name="Normal 8 9 4" xfId="505" xr:uid="{E6A405DC-2DDA-49FD-87A7-1F3BD94677B2}"/>
    <cellStyle name="Normal 80 10" xfId="506" xr:uid="{BD4FB5DE-01A8-4487-82D5-F4E8CF9EA8E5}"/>
    <cellStyle name="Normal 80 2" xfId="507" xr:uid="{C9AB1674-36C0-41DF-B998-87BF14A4C86B}"/>
    <cellStyle name="Normal 80 3" xfId="508" xr:uid="{35E00298-3F9B-4B0B-B153-83A2D8EE7B79}"/>
    <cellStyle name="Normal 80 4" xfId="509" xr:uid="{A62AE7DC-0C0E-4D05-A0B2-F03746A624F8}"/>
    <cellStyle name="Normal 80 5" xfId="510" xr:uid="{A1EC22CE-226C-4C43-8BB7-90A54E227B11}"/>
    <cellStyle name="Normal 80 6" xfId="511" xr:uid="{DE65C58E-F39B-4385-958D-659672046974}"/>
    <cellStyle name="Normal 80 7" xfId="512" xr:uid="{FB3DEF22-80AF-436B-9F1F-25A20B6CFE0E}"/>
    <cellStyle name="Normal 80 8" xfId="513" xr:uid="{6F142E23-0C3B-46AB-9124-9C1D984BF4F8}"/>
    <cellStyle name="Normal 80 9" xfId="514" xr:uid="{15C1B885-CB35-48D9-8ADA-09224D12A3BF}"/>
    <cellStyle name="Normal 82 10" xfId="515" xr:uid="{C50EF804-AA43-46F3-BA5E-CB45019E7BA6}"/>
    <cellStyle name="Normal 82 2" xfId="516" xr:uid="{ABE3738A-9160-4BBA-945E-6C950F97C9EC}"/>
    <cellStyle name="Normal 82 3" xfId="517" xr:uid="{334B020D-24E0-49EF-AF8A-45596939C4E1}"/>
    <cellStyle name="Normal 82 4" xfId="518" xr:uid="{8BB4AA27-E9BE-4048-B480-24A3A437C948}"/>
    <cellStyle name="Normal 82 5" xfId="519" xr:uid="{A3F3AA3B-B44F-4984-B69C-4185912D2827}"/>
    <cellStyle name="Normal 82 6" xfId="520" xr:uid="{606F3108-554C-4C09-891D-353D464C3CC1}"/>
    <cellStyle name="Normal 82 7" xfId="521" xr:uid="{079C7F9D-5CC8-4C7D-BA0E-172CFBD4D921}"/>
    <cellStyle name="Normal 82 8" xfId="522" xr:uid="{03E74371-86B9-4424-BEBE-694F1229C630}"/>
    <cellStyle name="Normal 82 9" xfId="523" xr:uid="{F66F1B35-B6DC-48E8-BF3D-5C49B7AF6A87}"/>
    <cellStyle name="Normal 89 10" xfId="524" xr:uid="{F8F3E2FD-CECB-49F8-892A-B0E904FEE83E}"/>
    <cellStyle name="Normal 89 2" xfId="525" xr:uid="{8D3A7275-C47B-446E-BAFE-EF0127E9161E}"/>
    <cellStyle name="Normal 89 3" xfId="526" xr:uid="{F30708B1-AA4C-4458-8B5F-97C1D20E986C}"/>
    <cellStyle name="Normal 89 4" xfId="527" xr:uid="{62E4FD98-7A66-4318-B650-0B7E5C0ADAD9}"/>
    <cellStyle name="Normal 89 5" xfId="528" xr:uid="{9B06756F-A84E-4084-B8BE-F79FD74B5029}"/>
    <cellStyle name="Normal 89 6" xfId="529" xr:uid="{C0A34F57-A81A-4360-A210-A502674A6FDD}"/>
    <cellStyle name="Normal 89 7" xfId="530" xr:uid="{22962152-CD99-4431-A738-C3365C9A1D0E}"/>
    <cellStyle name="Normal 89 8" xfId="531" xr:uid="{6562E028-A231-470E-8E4F-F0A0CF1E2CC1}"/>
    <cellStyle name="Normal 89 9" xfId="532" xr:uid="{C87C11F8-98F1-46CB-A9AE-72EAF8E6488F}"/>
    <cellStyle name="Normal 9" xfId="40258" xr:uid="{A0346B9F-1A40-4279-8AC7-5B2C7594BFA5}"/>
    <cellStyle name="Normal 9 10" xfId="40259" xr:uid="{63D24CEC-8BF7-4BCA-B595-E8546C95FB2E}"/>
    <cellStyle name="Normal 9 10 10" xfId="40260" xr:uid="{3CD517B1-3047-48AE-92C4-359A9AA521FB}"/>
    <cellStyle name="Normal 9 10 11" xfId="40261" xr:uid="{9B277C65-2CF1-45DE-9B50-A938368D2127}"/>
    <cellStyle name="Normal 9 10 2" xfId="40262" xr:uid="{7AD0AA45-2279-4A52-8FFD-C1FD0023FF6A}"/>
    <cellStyle name="Normal 9 10 3" xfId="40263" xr:uid="{4FE9FC35-CE47-4A2D-8101-A1E4FBB85697}"/>
    <cellStyle name="Normal 9 10 4" xfId="40264" xr:uid="{B9899251-DD63-487F-834E-F576566430A9}"/>
    <cellStyle name="Normal 9 10 5" xfId="40265" xr:uid="{949C4B67-9D82-4CCB-84C3-6A4272557CD0}"/>
    <cellStyle name="Normal 9 10 6" xfId="40266" xr:uid="{B49B20B6-CA1D-487B-80FE-514CBDA99C0A}"/>
    <cellStyle name="Normal 9 10 7" xfId="40267" xr:uid="{7F189881-2489-43E2-9EE9-8FD8B8812483}"/>
    <cellStyle name="Normal 9 10 8" xfId="40268" xr:uid="{9A298825-77E0-435A-AADB-17AEA311D5A5}"/>
    <cellStyle name="Normal 9 10 9" xfId="40269" xr:uid="{772C2D37-3556-4D63-B2A6-481144F0BBB5}"/>
    <cellStyle name="Normal 9 11" xfId="40270" xr:uid="{1A3743F3-CDD9-4E55-9FB4-468DCA7C0887}"/>
    <cellStyle name="Normal 9 11 10" xfId="40271" xr:uid="{AC374EA1-ED64-47EB-9A94-4122084B00E0}"/>
    <cellStyle name="Normal 9 11 11" xfId="40272" xr:uid="{9B4D2AD8-7497-4A87-B9C6-14DB91C48E28}"/>
    <cellStyle name="Normal 9 11 2" xfId="40273" xr:uid="{51193F49-9467-4BD1-A662-1DF0679DF653}"/>
    <cellStyle name="Normal 9 11 3" xfId="40274" xr:uid="{8272D2A3-0409-44F5-82AE-3805C250D72B}"/>
    <cellStyle name="Normal 9 11 4" xfId="40275" xr:uid="{B632C7BA-C4F2-4867-812F-ED84DA728306}"/>
    <cellStyle name="Normal 9 11 5" xfId="40276" xr:uid="{8C476456-A486-48E9-905F-FB3C9EEB1D74}"/>
    <cellStyle name="Normal 9 11 6" xfId="40277" xr:uid="{C1AC0C62-1EB2-4816-903A-6206168B45EE}"/>
    <cellStyle name="Normal 9 11 7" xfId="40278" xr:uid="{6337A846-C2D8-4514-AB21-C23654E3F55C}"/>
    <cellStyle name="Normal 9 11 8" xfId="40279" xr:uid="{6C5B9FAC-1103-4B92-A3F2-B6E77B41EDA3}"/>
    <cellStyle name="Normal 9 11 9" xfId="40280" xr:uid="{202387D3-DFE6-4340-A565-08E8F3B51202}"/>
    <cellStyle name="Normal 9 12" xfId="40281" xr:uid="{2DAC9F47-BC28-4889-BC16-0D4200994E24}"/>
    <cellStyle name="Normal 9 12 10" xfId="40282" xr:uid="{14185868-9E95-4FD7-B025-F5548AB94F21}"/>
    <cellStyle name="Normal 9 12 11" xfId="40283" xr:uid="{36D21650-D210-4981-AEBE-1A74CC45A21B}"/>
    <cellStyle name="Normal 9 12 2" xfId="40284" xr:uid="{6371EE5F-CBCC-4CCA-B5FB-AC9F37FC5A55}"/>
    <cellStyle name="Normal 9 12 3" xfId="40285" xr:uid="{E0A4A59B-534B-4DFD-9533-DF3D730A9D74}"/>
    <cellStyle name="Normal 9 12 4" xfId="40286" xr:uid="{01149FE2-8F4C-4963-A84E-236DC19600F4}"/>
    <cellStyle name="Normal 9 12 5" xfId="40287" xr:uid="{18EB3E3C-AAB7-4EDE-84FD-82E39F138F92}"/>
    <cellStyle name="Normal 9 12 6" xfId="40288" xr:uid="{25BD85C1-A15D-4E20-A0CC-521DE1C93207}"/>
    <cellStyle name="Normal 9 12 7" xfId="40289" xr:uid="{074DE240-6EFF-450A-8811-B7390A0EBE78}"/>
    <cellStyle name="Normal 9 12 8" xfId="40290" xr:uid="{5A7399D4-F1DF-4500-BE79-9AED0073F8E9}"/>
    <cellStyle name="Normal 9 12 9" xfId="40291" xr:uid="{FE806CBC-8081-4E1B-B1D7-F2D22E809486}"/>
    <cellStyle name="Normal 9 13" xfId="40292" xr:uid="{66B61F24-E689-4CE2-A9C6-6A6DB4AD394F}"/>
    <cellStyle name="Normal 9 13 10" xfId="40293" xr:uid="{8F62CD43-1633-4A78-BDA9-212B058162EB}"/>
    <cellStyle name="Normal 9 13 11" xfId="40294" xr:uid="{2B8FAA63-BADC-42F0-AC9E-95C0DA839E5A}"/>
    <cellStyle name="Normal 9 13 2" xfId="40295" xr:uid="{D047B62A-A92D-4117-91E0-A6C85A3B3692}"/>
    <cellStyle name="Normal 9 13 3" xfId="40296" xr:uid="{C7F16CC9-8A89-4C6B-9B8F-1AB496FFBFE3}"/>
    <cellStyle name="Normal 9 13 4" xfId="40297" xr:uid="{7CA3EAB1-EB1E-4EC0-BE67-D295517C222E}"/>
    <cellStyle name="Normal 9 13 5" xfId="40298" xr:uid="{99B0A1AE-067A-4A9C-95F4-91B6A81C3F6C}"/>
    <cellStyle name="Normal 9 13 6" xfId="40299" xr:uid="{D1C7E425-6CBE-426C-829B-B0C7789BC8BA}"/>
    <cellStyle name="Normal 9 13 7" xfId="40300" xr:uid="{F4E51423-0332-463F-915E-D03F42547EF1}"/>
    <cellStyle name="Normal 9 13 8" xfId="40301" xr:uid="{6DCBAA70-CA80-4DDE-B088-EE7D950EAA9A}"/>
    <cellStyle name="Normal 9 13 9" xfId="40302" xr:uid="{AF8AFD42-5936-42A2-8E50-068BDE09917C}"/>
    <cellStyle name="Normal 9 14" xfId="40303" xr:uid="{7432AB9C-A513-4B53-B4B5-FF593B9DEA00}"/>
    <cellStyle name="Normal 9 14 10" xfId="40304" xr:uid="{191A1C82-F910-46AB-81A0-EE5FB6A034F8}"/>
    <cellStyle name="Normal 9 14 11" xfId="40305" xr:uid="{BC4E2335-4BC7-4C85-9EA4-50BC688A85D7}"/>
    <cellStyle name="Normal 9 14 2" xfId="40306" xr:uid="{D7503EA8-4B8C-4E1F-BE38-2DBDB00B49FF}"/>
    <cellStyle name="Normal 9 14 3" xfId="40307" xr:uid="{2F6CE00D-5693-431A-9855-8B675554E1FF}"/>
    <cellStyle name="Normal 9 14 4" xfId="40308" xr:uid="{85D633F8-0D20-46A2-A7D4-82940969F3D7}"/>
    <cellStyle name="Normal 9 14 5" xfId="40309" xr:uid="{9A35412C-028F-4AD7-8093-9A5CEE459F51}"/>
    <cellStyle name="Normal 9 14 6" xfId="40310" xr:uid="{4F314490-F610-4CE3-8113-9DE168DBCD75}"/>
    <cellStyle name="Normal 9 14 7" xfId="40311" xr:uid="{F87941E3-5FA2-40B9-AF2D-43AE5256CEFF}"/>
    <cellStyle name="Normal 9 14 8" xfId="40312" xr:uid="{1EE799D3-1543-4284-ADA7-1DBD4A36BEA9}"/>
    <cellStyle name="Normal 9 14 9" xfId="40313" xr:uid="{F591184A-FDAE-41DC-A866-BBE1B58530C8}"/>
    <cellStyle name="Normal 9 15" xfId="40314" xr:uid="{89721BAC-709C-46FE-B26E-D74A61101010}"/>
    <cellStyle name="Normal 9 15 10" xfId="40315" xr:uid="{E8CD3DEA-D5F5-43FD-A653-BCDD0C84973A}"/>
    <cellStyle name="Normal 9 15 11" xfId="40316" xr:uid="{3695A717-E53F-4970-B6EF-63D5D0ED8D5D}"/>
    <cellStyle name="Normal 9 15 2" xfId="40317" xr:uid="{4E36CFE9-C404-4D1F-AAD6-257BEF7A3013}"/>
    <cellStyle name="Normal 9 15 3" xfId="40318" xr:uid="{3445EA94-EBE2-45BA-8101-7BBC9A9DEAE5}"/>
    <cellStyle name="Normal 9 15 4" xfId="40319" xr:uid="{F4B435AB-6214-40B7-9D71-C7A986558B1C}"/>
    <cellStyle name="Normal 9 15 5" xfId="40320" xr:uid="{FFADAB8A-D57D-4617-84EF-7932BF332D97}"/>
    <cellStyle name="Normal 9 15 6" xfId="40321" xr:uid="{3A9F8E8F-3957-4DB9-BF46-3F9F3FA213E8}"/>
    <cellStyle name="Normal 9 15 7" xfId="40322" xr:uid="{49D01A53-66B8-4C4F-B68D-FF2F040633E7}"/>
    <cellStyle name="Normal 9 15 8" xfId="40323" xr:uid="{BA1BC321-F24E-48E4-949F-59BEF4415EB9}"/>
    <cellStyle name="Normal 9 15 9" xfId="40324" xr:uid="{AD3FD298-9954-41A1-81ED-94DDFDA6C232}"/>
    <cellStyle name="Normal 9 16" xfId="40325" xr:uid="{1AF883D1-7FED-4EE1-A109-DCC56F54835A}"/>
    <cellStyle name="Normal 9 16 10" xfId="40326" xr:uid="{9D76798F-4EC4-4353-8351-31DF54244064}"/>
    <cellStyle name="Normal 9 16 11" xfId="40327" xr:uid="{B7154349-F0E2-4A0C-8BCE-FB7BD2868B83}"/>
    <cellStyle name="Normal 9 16 2" xfId="40328" xr:uid="{378AD1BA-6D1D-4E8D-8FC1-550A4CDB0C4D}"/>
    <cellStyle name="Normal 9 16 3" xfId="40329" xr:uid="{DF03D7C4-2DE6-4ACF-92D6-3967AC21EF74}"/>
    <cellStyle name="Normal 9 16 4" xfId="40330" xr:uid="{6F1C50BC-7EBC-432B-8014-2F81053A1811}"/>
    <cellStyle name="Normal 9 16 5" xfId="40331" xr:uid="{1EF0028C-5794-446D-9B89-BD14DC751CF4}"/>
    <cellStyle name="Normal 9 16 6" xfId="40332" xr:uid="{0E5EC0FC-9B53-4A6E-9483-9B00BF669E78}"/>
    <cellStyle name="Normal 9 16 7" xfId="40333" xr:uid="{C6338618-669D-42C9-BD46-0F07820643A9}"/>
    <cellStyle name="Normal 9 16 8" xfId="40334" xr:uid="{BF5954A1-8F82-41A4-B64B-A8993F33C203}"/>
    <cellStyle name="Normal 9 16 9" xfId="40335" xr:uid="{3F246C36-2956-455A-A648-987FE0B0ED59}"/>
    <cellStyle name="Normal 9 17" xfId="40336" xr:uid="{F5393409-C10A-4345-8DA6-0F0B7C71B59E}"/>
    <cellStyle name="Normal 9 17 10" xfId="40337" xr:uid="{F910F0E5-2722-4870-834F-E68E8D0915D7}"/>
    <cellStyle name="Normal 9 17 11" xfId="40338" xr:uid="{4AE71999-D8C2-4838-9F60-DBDD8D7B95E1}"/>
    <cellStyle name="Normal 9 17 2" xfId="40339" xr:uid="{ED790499-DAE8-41A5-A1BD-01AE4F99C75A}"/>
    <cellStyle name="Normal 9 17 3" xfId="40340" xr:uid="{6B49C16E-B338-40AD-A1A4-154E6E6BC832}"/>
    <cellStyle name="Normal 9 17 4" xfId="40341" xr:uid="{E3E7D068-738B-4A2A-94BF-07484F189A83}"/>
    <cellStyle name="Normal 9 17 5" xfId="40342" xr:uid="{A4B10924-592A-465A-B274-B275DFEE9D15}"/>
    <cellStyle name="Normal 9 17 6" xfId="40343" xr:uid="{73758FAF-CB43-4C40-A1D9-76D9DBED5258}"/>
    <cellStyle name="Normal 9 17 7" xfId="40344" xr:uid="{4F2C97E2-F01F-4B0A-B8EC-A0F07CAB4580}"/>
    <cellStyle name="Normal 9 17 8" xfId="40345" xr:uid="{0807ED8C-882B-4E23-9CB3-E7A404E4057D}"/>
    <cellStyle name="Normal 9 17 9" xfId="40346" xr:uid="{877AB781-DF46-4F5C-9E2B-41B591386934}"/>
    <cellStyle name="Normal 9 18" xfId="40347" xr:uid="{9D36F931-465A-4C35-84AB-82D2ED7BD035}"/>
    <cellStyle name="Normal 9 18 2" xfId="40348" xr:uid="{AEB216C9-A740-45FC-96BC-229C5ED1970F}"/>
    <cellStyle name="Normal 9 18 3" xfId="40349" xr:uid="{3F533EBD-36B9-4495-979D-E7A93EEE007C}"/>
    <cellStyle name="Normal 9 18 4" xfId="40350" xr:uid="{41B50169-1DBE-4AD1-8938-9342F82018E3}"/>
    <cellStyle name="Normal 9 18 5" xfId="40351" xr:uid="{19A80143-B757-4BD9-AAAF-6FB177360568}"/>
    <cellStyle name="Normal 9 18 6" xfId="40352" xr:uid="{F111EC3F-464D-47AB-8BB0-2A7763413632}"/>
    <cellStyle name="Normal 9 18 7" xfId="40353" xr:uid="{7CC8CEE7-74F4-4CDC-8005-8F17D3D706BA}"/>
    <cellStyle name="Normal 9 19" xfId="40354" xr:uid="{206CCE12-C2B6-4189-9D30-8382B5637B32}"/>
    <cellStyle name="Normal 9 2" xfId="533" xr:uid="{71B85AFB-21DA-4ABD-B6D7-BC338059D280}"/>
    <cellStyle name="Normal 9 2 10" xfId="40355" xr:uid="{C9726103-8706-4CE8-95D1-CD6C1A386FCA}"/>
    <cellStyle name="Normal 9 2 11" xfId="40356" xr:uid="{85A24297-A6F2-4224-8C09-4E607837256E}"/>
    <cellStyle name="Normal 9 2 12" xfId="46051" xr:uid="{010248C4-0B6B-4F44-8482-1088EDF7CD95}"/>
    <cellStyle name="Normal 9 2 2" xfId="534" xr:uid="{E764F5E8-B648-4ABA-9033-404FAADAD0D5}"/>
    <cellStyle name="Normal 9 2 2 2" xfId="46053" xr:uid="{0871DEB6-F21D-4FF3-A416-F36E6068A149}"/>
    <cellStyle name="Normal 9 2 2 3" xfId="46052" xr:uid="{B476C476-90E6-4B4C-8C12-2C15013B32CD}"/>
    <cellStyle name="Normal 9 2 3" xfId="535" xr:uid="{2604FAE5-B95B-4B56-BB06-D8269724358B}"/>
    <cellStyle name="Normal 9 2 3 2" xfId="46054" xr:uid="{BCD2074E-A6CF-4283-93E4-2922894E6E75}"/>
    <cellStyle name="Normal 9 2 4" xfId="536" xr:uid="{344AA4D1-002C-44E3-A253-92C7B4AE1F22}"/>
    <cellStyle name="Normal 9 2 5" xfId="40357" xr:uid="{9E9F65BA-177B-4C46-A878-99EF014F2481}"/>
    <cellStyle name="Normal 9 2 6" xfId="40358" xr:uid="{334303B7-3689-407E-B18E-A8A4882AAF79}"/>
    <cellStyle name="Normal 9 2 7" xfId="40359" xr:uid="{ABB727EF-430D-4CBD-BD6E-0A0E3859598D}"/>
    <cellStyle name="Normal 9 2 8" xfId="40360" xr:uid="{1D34DC09-9B63-4CF7-8BF6-5D2B2E8C1DBB}"/>
    <cellStyle name="Normal 9 2 9" xfId="40361" xr:uid="{E9756281-069D-4E69-8A7E-5B25CB90497C}"/>
    <cellStyle name="Normal 9 20" xfId="40362" xr:uid="{24DCE911-E3BA-4131-B6BB-71C3ACD88DBA}"/>
    <cellStyle name="Normal 9 21" xfId="40363" xr:uid="{D4A7EA69-3A7A-4C77-8939-27516B96522A}"/>
    <cellStyle name="Normal 9 22" xfId="40364" xr:uid="{01D0A225-EE52-4B75-83E8-1463FC495439}"/>
    <cellStyle name="Normal 9 23" xfId="40365" xr:uid="{C883247B-BB53-4418-BF13-9DB1FC687CE1}"/>
    <cellStyle name="Normal 9 24" xfId="40366" xr:uid="{1C0D96E9-66A8-4AA4-A5E2-3C618C393415}"/>
    <cellStyle name="Normal 9 25" xfId="40367" xr:uid="{D556C2C6-BC14-49F3-9870-321739FA6135}"/>
    <cellStyle name="Normal 9 26" xfId="40368" xr:uid="{06E5A67B-A6C7-43B7-B6C7-9886CE6FD8D2}"/>
    <cellStyle name="Normal 9 27" xfId="40369" xr:uid="{8D9888E3-13A8-48FE-A3FD-8C97E504EFF9}"/>
    <cellStyle name="Normal 9 28" xfId="40370" xr:uid="{11A9C2FD-1F13-4C54-9E59-81BAAA69B644}"/>
    <cellStyle name="Normal 9 29" xfId="46050" xr:uid="{BBE6F277-8DC4-404F-A219-ECBE41100DF4}"/>
    <cellStyle name="Normal 9 3" xfId="537" xr:uid="{1A5F894E-15A7-4DF9-8009-ABB8EC9D121F}"/>
    <cellStyle name="Normal 9 3 10" xfId="40371" xr:uid="{4ED12DBE-5595-44E3-B4F3-15AD556E2D59}"/>
    <cellStyle name="Normal 9 3 11" xfId="40372" xr:uid="{077F4123-585B-4CD8-86A3-AC67D049DBA5}"/>
    <cellStyle name="Normal 9 3 12" xfId="46055" xr:uid="{787B078C-0A97-4465-8C2F-53567E30F2AB}"/>
    <cellStyle name="Normal 9 3 2" xfId="538" xr:uid="{2A08F6C1-90AC-43A3-8D0E-85BE317350EC}"/>
    <cellStyle name="Normal 9 3 2 2" xfId="46056" xr:uid="{AEE22A80-7A3A-4218-9084-712F9FA08386}"/>
    <cellStyle name="Normal 9 3 3" xfId="539" xr:uid="{6DF82B02-6CE8-45E3-9F1C-0BB703B8F4AD}"/>
    <cellStyle name="Normal 9 3 4" xfId="540" xr:uid="{E0A2DAC9-26BF-40B1-A989-C7384CFE013D}"/>
    <cellStyle name="Normal 9 3 5" xfId="40373" xr:uid="{A7F3E3AD-66FB-4982-B8E8-00A6B42F3AF2}"/>
    <cellStyle name="Normal 9 3 6" xfId="40374" xr:uid="{7FFC420C-99BB-4F6A-A285-8AAFE6782791}"/>
    <cellStyle name="Normal 9 3 7" xfId="40375" xr:uid="{650E4E71-98B9-46AC-B88C-DCA5C97F4A67}"/>
    <cellStyle name="Normal 9 3 8" xfId="40376" xr:uid="{68EA8E90-FEBD-4FE5-9A5A-03F424CE26CB}"/>
    <cellStyle name="Normal 9 3 9" xfId="40377" xr:uid="{730C5A4C-9AB2-451B-9BE8-097A2366E814}"/>
    <cellStyle name="Normal 9 4" xfId="541" xr:uid="{CBD8A558-3A49-4FA5-9743-1663378A97EA}"/>
    <cellStyle name="Normal 9 4 10" xfId="40378" xr:uid="{E45F26AC-87AE-4730-9968-57C92846366C}"/>
    <cellStyle name="Normal 9 4 11" xfId="40379" xr:uid="{C66029EA-F653-4D04-B20E-6F540425FC34}"/>
    <cellStyle name="Normal 9 4 12" xfId="46057" xr:uid="{4D0C720D-9E31-4AA4-BC9D-6C3D1C315582}"/>
    <cellStyle name="Normal 9 4 2" xfId="542" xr:uid="{7281BA91-323E-4DED-A2B3-59E3088C6C00}"/>
    <cellStyle name="Normal 9 4 3" xfId="543" xr:uid="{34276065-72E1-474B-A533-4AD00B6799F3}"/>
    <cellStyle name="Normal 9 4 4" xfId="544" xr:uid="{E169FBBA-5950-4B68-ADB1-CD97513C5FA3}"/>
    <cellStyle name="Normal 9 4 5" xfId="40380" xr:uid="{481F3F6E-8861-4F4E-8BA0-6A295A1DA0BA}"/>
    <cellStyle name="Normal 9 4 6" xfId="40381" xr:uid="{CF85AA28-15E9-413B-918A-0176F21704CA}"/>
    <cellStyle name="Normal 9 4 7" xfId="40382" xr:uid="{BB648ED8-AE37-470F-BFA6-EEA66F762964}"/>
    <cellStyle name="Normal 9 4 8" xfId="40383" xr:uid="{0336D159-03D8-46F8-929D-64B5B3217747}"/>
    <cellStyle name="Normal 9 4 9" xfId="40384" xr:uid="{1F2787EA-4B8D-46B9-BD79-B2419917DCD6}"/>
    <cellStyle name="Normal 9 5" xfId="545" xr:uid="{8433A848-5393-4D61-A2BF-587778310B10}"/>
    <cellStyle name="Normal 9 5 10" xfId="40385" xr:uid="{D22D20CC-C8B9-42D6-A5DB-4FC1CA724A4A}"/>
    <cellStyle name="Normal 9 5 11" xfId="40386" xr:uid="{12D84E94-0884-432A-B2AA-CDDE922C6966}"/>
    <cellStyle name="Normal 9 5 2" xfId="546" xr:uid="{760CC1F3-0467-42A4-A3B1-54B91749B232}"/>
    <cellStyle name="Normal 9 5 3" xfId="547" xr:uid="{E767AA80-6596-4A1E-A017-A8620E8E9DB3}"/>
    <cellStyle name="Normal 9 5 4" xfId="548" xr:uid="{308B0D96-C7FA-4A09-BB9D-2B9250F66A26}"/>
    <cellStyle name="Normal 9 5 5" xfId="40387" xr:uid="{0B3AB282-21DC-4554-AB24-9C3AA7DBBBEB}"/>
    <cellStyle name="Normal 9 5 6" xfId="40388" xr:uid="{5273B937-6485-48B2-A4A2-32DF3A3B83E6}"/>
    <cellStyle name="Normal 9 5 7" xfId="40389" xr:uid="{DF2B7291-A1C3-4CEB-AE6A-ECE700B08633}"/>
    <cellStyle name="Normal 9 5 8" xfId="40390" xr:uid="{C10F4031-2E10-442E-9B22-34FDA1284CC1}"/>
    <cellStyle name="Normal 9 5 9" xfId="40391" xr:uid="{31913295-F959-4CE4-AACD-2220315338D7}"/>
    <cellStyle name="Normal 9 6" xfId="549" xr:uid="{10D69006-86D1-4A57-9ABA-7767445D263C}"/>
    <cellStyle name="Normal 9 6 10" xfId="40392" xr:uid="{F01C40A3-251B-4956-8A21-466CA055496E}"/>
    <cellStyle name="Normal 9 6 11" xfId="40393" xr:uid="{9E2D05D8-FE98-4FE2-8D09-5C251E7AC2CD}"/>
    <cellStyle name="Normal 9 6 2" xfId="550" xr:uid="{732B6F19-85DF-4587-95D5-506F42E4AB48}"/>
    <cellStyle name="Normal 9 6 2 2" xfId="551" xr:uid="{5E47476A-AA25-440E-9577-0D2E3774CBA7}"/>
    <cellStyle name="Normal 9 6 2 3" xfId="552" xr:uid="{906318C5-A065-4CE2-8CFC-092B9C67FF20}"/>
    <cellStyle name="Normal 9 6 2 4" xfId="553" xr:uid="{E25BEFC3-EF2A-4768-808C-54982DF39525}"/>
    <cellStyle name="Normal 9 6 3" xfId="554" xr:uid="{2AB09EF9-45AF-4526-8AD1-E7DD3F7BA64E}"/>
    <cellStyle name="Normal 9 6 3 2" xfId="555" xr:uid="{2AABBC0B-8051-4951-A841-C9C355F79086}"/>
    <cellStyle name="Normal 9 6 3 3" xfId="556" xr:uid="{D8105D2D-4547-48DC-BD75-D6E5D27D6B70}"/>
    <cellStyle name="Normal 9 6 3 4" xfId="557" xr:uid="{8D23D5C0-B6EE-4818-8E47-3D8E30D2103D}"/>
    <cellStyle name="Normal 9 6 4" xfId="40394" xr:uid="{D3595C80-748C-40B3-A4CC-CA7D94CE611F}"/>
    <cellStyle name="Normal 9 6 5" xfId="40395" xr:uid="{3DC1C284-8C62-4419-B8A8-57D6FEB3C677}"/>
    <cellStyle name="Normal 9 6 6" xfId="40396" xr:uid="{234410E5-9B81-4B6F-8443-9FDBBDE11F1D}"/>
    <cellStyle name="Normal 9 6 7" xfId="40397" xr:uid="{2002A40A-B476-41E7-970F-CC36397D82C3}"/>
    <cellStyle name="Normal 9 6 8" xfId="40398" xr:uid="{FEA4EFC3-DAAD-4CAE-A359-0FC16CB2CDC4}"/>
    <cellStyle name="Normal 9 6 9" xfId="40399" xr:uid="{BBF0354F-6157-43DB-A147-B92D8EB7B3CD}"/>
    <cellStyle name="Normal 9 7" xfId="558" xr:uid="{32FF7F8F-43E0-47A0-B18F-6450134B843F}"/>
    <cellStyle name="Normal 9 7 10" xfId="40400" xr:uid="{4B056408-20AE-462C-A665-338D18BB7050}"/>
    <cellStyle name="Normal 9 7 11" xfId="40401" xr:uid="{8E88F389-F1FA-41D8-BFCE-DFCD2D74E3C3}"/>
    <cellStyle name="Normal 9 7 2" xfId="559" xr:uid="{A64C04F9-CDE2-4E99-AF7F-A10A707A2CCD}"/>
    <cellStyle name="Normal 9 7 3" xfId="560" xr:uid="{7487A436-D0B3-44BA-970B-1EBB0EDE8891}"/>
    <cellStyle name="Normal 9 7 4" xfId="561" xr:uid="{65A95310-D34E-4847-A37B-EDA2296C53E2}"/>
    <cellStyle name="Normal 9 7 5" xfId="40402" xr:uid="{DF3ED0F8-4D06-4DFE-BC84-DC6CF43EFD9C}"/>
    <cellStyle name="Normal 9 7 6" xfId="40403" xr:uid="{DCBC19B6-A61A-46B5-9ECA-977D7D4EA63E}"/>
    <cellStyle name="Normal 9 7 7" xfId="40404" xr:uid="{E06FB439-C2CF-4D45-9444-CC12A51D5798}"/>
    <cellStyle name="Normal 9 7 8" xfId="40405" xr:uid="{070D741F-9E14-4922-A31E-C0A3C57898E8}"/>
    <cellStyle name="Normal 9 7 9" xfId="40406" xr:uid="{A59741CB-1F2F-477F-B27D-5335EA40B852}"/>
    <cellStyle name="Normal 9 8" xfId="562" xr:uid="{416044AC-D0BE-4E2D-B9D5-C4619285FBA9}"/>
    <cellStyle name="Normal 9 8 10" xfId="40407" xr:uid="{F415AFA7-CE0A-49F8-92AD-00313246DEB4}"/>
    <cellStyle name="Normal 9 8 11" xfId="40408" xr:uid="{7AD5E924-FCA5-4CF1-8F64-D7E7BDCBF917}"/>
    <cellStyle name="Normal 9 8 2" xfId="563" xr:uid="{4A2D0261-D913-46FA-81F1-D1BE799796BD}"/>
    <cellStyle name="Normal 9 8 3" xfId="564" xr:uid="{0E610C54-4FB7-4658-B7AE-A5FA73BC6FEA}"/>
    <cellStyle name="Normal 9 8 4" xfId="565" xr:uid="{F8C60BF8-CDB1-4EAB-83C1-91CE62E9DB1F}"/>
    <cellStyle name="Normal 9 8 5" xfId="40409" xr:uid="{AA4C1660-738E-4BE6-96E9-EE05A96114D1}"/>
    <cellStyle name="Normal 9 8 6" xfId="40410" xr:uid="{10C39375-E627-4C5B-BB61-AF4F96E4DD40}"/>
    <cellStyle name="Normal 9 8 7" xfId="40411" xr:uid="{B32CCE4C-FA7E-4C30-9C4A-B1EB75657FB1}"/>
    <cellStyle name="Normal 9 8 8" xfId="40412" xr:uid="{96A2EBA5-6F46-4A48-A35F-51E0CBEED9F4}"/>
    <cellStyle name="Normal 9 8 9" xfId="40413" xr:uid="{275A4944-8E65-4F53-AE87-6A057EEC0439}"/>
    <cellStyle name="Normal 9 9" xfId="566" xr:uid="{E9CA2386-F6C9-41D1-A84F-46FC5F202D5A}"/>
    <cellStyle name="Normal 9 9 10" xfId="40414" xr:uid="{20C2F4FC-10A6-4EB2-B2C4-8B897D1F8613}"/>
    <cellStyle name="Normal 9 9 11" xfId="40415" xr:uid="{BF78FC38-2AFC-4288-9C01-AEDCDBADAD1D}"/>
    <cellStyle name="Normal 9 9 2" xfId="567" xr:uid="{E733FB6D-160C-4351-A033-04A243B9E0F0}"/>
    <cellStyle name="Normal 9 9 3" xfId="568" xr:uid="{FE0941D6-5DF7-49BD-ACC1-07219A44E9AD}"/>
    <cellStyle name="Normal 9 9 4" xfId="569" xr:uid="{961B6B1C-947E-437A-BBE3-8E3172C140A9}"/>
    <cellStyle name="Normal 9 9 5" xfId="40416" xr:uid="{EA46BAA8-65A5-4FC2-8CE5-64A709D525E2}"/>
    <cellStyle name="Normal 9 9 6" xfId="40417" xr:uid="{FEFBA397-CFBD-4D23-8E22-671829A93679}"/>
    <cellStyle name="Normal 9 9 7" xfId="40418" xr:uid="{0DB1B6A3-DF87-4792-BD59-6BFA460F9786}"/>
    <cellStyle name="Normal 9 9 8" xfId="40419" xr:uid="{57920841-2F2C-4EF5-BB29-0CDE94B7A1FA}"/>
    <cellStyle name="Normal 9 9 9" xfId="40420" xr:uid="{F0E61CE5-1B84-43A3-ABE4-BDD2A01BA553}"/>
    <cellStyle name="Normal_#de arqueos" xfId="5" xr:uid="{4BF28036-4196-49DB-9202-D585604E370B}"/>
    <cellStyle name="Normal_Hoja4" xfId="6" xr:uid="{65DAFE9D-6901-48AD-9579-284255FDEC7B}"/>
    <cellStyle name="Notas" xfId="20" builtinId="10" customBuiltin="1"/>
    <cellStyle name="Notas 10 10" xfId="570" xr:uid="{FC98FCDD-C370-40EE-9C4B-B9E6393A23FC}"/>
    <cellStyle name="Notas 10 11" xfId="571" xr:uid="{B8FDAB1E-47E6-4832-AC4C-D2D03845E15A}"/>
    <cellStyle name="Notas 10 12" xfId="572" xr:uid="{7CABB08E-0ADA-439B-B74A-FDDDA9B2C0C3}"/>
    <cellStyle name="Notas 10 13" xfId="573" xr:uid="{1DF8211D-3992-4318-8FD4-4E7BDAD9E112}"/>
    <cellStyle name="Notas 10 14" xfId="574" xr:uid="{2A03B597-32C2-466B-891A-7FF67B2DE7B3}"/>
    <cellStyle name="Notas 10 15" xfId="575" xr:uid="{30D170EB-A114-4199-8902-587B8F926AEA}"/>
    <cellStyle name="Notas 10 16" xfId="576" xr:uid="{0EC30C6B-D8CC-421F-8278-DDB882967597}"/>
    <cellStyle name="Notas 10 17" xfId="577" xr:uid="{E13D1CDE-9FCB-4E0F-A939-EB58E109EDFE}"/>
    <cellStyle name="Notas 10 18" xfId="578" xr:uid="{56850380-D35B-445F-8422-CFD83D012565}"/>
    <cellStyle name="Notas 10 19" xfId="579" xr:uid="{AABB6FAB-DE2B-40F7-8BF1-5DE85A63B885}"/>
    <cellStyle name="Notas 10 2" xfId="580" xr:uid="{DAA3E2CE-6FA9-40CC-9AA4-8A84780CDE82}"/>
    <cellStyle name="Notas 10 20" xfId="581" xr:uid="{F638D99E-46E8-46C8-AC64-4FCF9BAE66C3}"/>
    <cellStyle name="Notas 10 21" xfId="582" xr:uid="{DC882703-AAB6-4593-AC92-8A20CE597E32}"/>
    <cellStyle name="Notas 10 22" xfId="583" xr:uid="{D8EA199C-8967-4DF8-A8F3-C9EE69F54E88}"/>
    <cellStyle name="Notas 10 23" xfId="584" xr:uid="{64C791CA-52B8-41F5-B1CD-E09A4E78BE64}"/>
    <cellStyle name="Notas 10 24" xfId="585" xr:uid="{FA1A6ABD-1F2F-4198-82CE-782F5AA4EB9B}"/>
    <cellStyle name="Notas 10 25" xfId="586" xr:uid="{CBFBE971-9FF2-41B5-90D5-00E9D70D1422}"/>
    <cellStyle name="Notas 10 26" xfId="587" xr:uid="{8E101FAD-BB04-44C7-9F3C-9447B95EDD6C}"/>
    <cellStyle name="Notas 10 27" xfId="588" xr:uid="{13FA3B38-DB26-48F3-B989-A21DD6BF402D}"/>
    <cellStyle name="Notas 10 28" xfId="589" xr:uid="{50132B08-0210-4404-A857-4ABC0953162F}"/>
    <cellStyle name="Notas 10 29" xfId="590" xr:uid="{66098530-8A17-4FC4-8027-652BA511AB81}"/>
    <cellStyle name="Notas 10 3" xfId="591" xr:uid="{926DBE74-B895-4F61-B451-7D75ADAF1BEE}"/>
    <cellStyle name="Notas 10 30" xfId="592" xr:uid="{FAB956D3-F43B-4755-937D-9F78E0E9B12A}"/>
    <cellStyle name="Notas 10 31" xfId="593" xr:uid="{DC0402FF-C636-42BD-8E32-E9CADB8ABC7F}"/>
    <cellStyle name="Notas 10 32" xfId="594" xr:uid="{F97954B1-702B-4386-AB02-2E18022D9AAB}"/>
    <cellStyle name="Notas 10 33" xfId="595" xr:uid="{D44E2D77-1D19-49F9-B202-155A174DBB28}"/>
    <cellStyle name="Notas 10 34" xfId="596" xr:uid="{FC43CB4C-AF85-4B7F-BD55-3B10897512AA}"/>
    <cellStyle name="Notas 10 4" xfId="597" xr:uid="{7F601988-B591-4A79-9A46-67D5E3118FD2}"/>
    <cellStyle name="Notas 10 5" xfId="598" xr:uid="{F191D4CB-3BEE-46E3-999E-C455A6A3EC48}"/>
    <cellStyle name="Notas 10 6" xfId="599" xr:uid="{6001203D-0E31-4159-B3B9-C390C8E42E65}"/>
    <cellStyle name="Notas 10 7" xfId="600" xr:uid="{3F8156B7-E84E-4DF3-BEC1-1DA070F92A5C}"/>
    <cellStyle name="Notas 10 8" xfId="601" xr:uid="{25753F69-D282-4208-A61E-AD19167EAFAB}"/>
    <cellStyle name="Notas 10 9" xfId="602" xr:uid="{D05EFB83-6111-4DC0-AECF-7CC34892DEDA}"/>
    <cellStyle name="Notas 100 10" xfId="603" xr:uid="{E44798CA-90DC-4B20-8AA4-699B64BBFE2F}"/>
    <cellStyle name="Notas 100 11" xfId="604" xr:uid="{AD6E7B81-074F-4D54-8417-433D1F66F57E}"/>
    <cellStyle name="Notas 100 12" xfId="605" xr:uid="{9706E5EC-91DB-49DE-B1E3-2FD48D977490}"/>
    <cellStyle name="Notas 100 13" xfId="606" xr:uid="{F887E717-D837-4115-B4A2-955C5F247274}"/>
    <cellStyle name="Notas 100 14" xfId="607" xr:uid="{92F7D7A7-FF17-4344-818E-11D37CB037DA}"/>
    <cellStyle name="Notas 100 2" xfId="608" xr:uid="{9ADCF89A-6E94-49A2-A71D-79F816C04537}"/>
    <cellStyle name="Notas 100 3" xfId="609" xr:uid="{7521ED1B-543F-4912-9420-EE62B1E3C79F}"/>
    <cellStyle name="Notas 100 4" xfId="610" xr:uid="{C9724B03-8AB6-4B18-B6A4-0C1C1F073518}"/>
    <cellStyle name="Notas 100 5" xfId="611" xr:uid="{D7456538-2127-4950-A4AC-1F66CB415913}"/>
    <cellStyle name="Notas 100 6" xfId="612" xr:uid="{97B36064-76CC-4662-A7F0-EDBA6565E59C}"/>
    <cellStyle name="Notas 100 7" xfId="613" xr:uid="{EBA28A88-A098-4D52-A180-9CCC7E1C6F5A}"/>
    <cellStyle name="Notas 100 8" xfId="614" xr:uid="{BF2134DD-3C10-4FD1-AE6B-176B144BB6D3}"/>
    <cellStyle name="Notas 100 9" xfId="615" xr:uid="{AD579E3F-62D4-4114-8B43-396EE318609D}"/>
    <cellStyle name="Notas 101 2" xfId="616" xr:uid="{28A32214-5F8E-4E26-91F7-E3E6138D6CFB}"/>
    <cellStyle name="Notas 101 3" xfId="617" xr:uid="{7AF96C51-4173-4CF5-B12C-78CADB494193}"/>
    <cellStyle name="Notas 101 4" xfId="618" xr:uid="{933B50F1-6355-42C1-9EF6-BB779BF1B956}"/>
    <cellStyle name="Notas 101 5" xfId="619" xr:uid="{3AA591C4-2404-493A-BA1A-501F57FADA4B}"/>
    <cellStyle name="Notas 101 6" xfId="620" xr:uid="{C9B855FF-3A27-445F-9939-B38E32193BFA}"/>
    <cellStyle name="Notas 102 2" xfId="621" xr:uid="{12A95565-D4EA-4BE9-9C05-E1926F470A40}"/>
    <cellStyle name="Notas 102 3" xfId="622" xr:uid="{0BDA7650-F96C-4CE1-8CDA-6A4861A2B22F}"/>
    <cellStyle name="Notas 102 4" xfId="623" xr:uid="{812921D4-C69B-4230-BDDB-97041285087F}"/>
    <cellStyle name="Notas 102 5" xfId="624" xr:uid="{69B83C0C-3585-47B9-A21B-19B1C9400922}"/>
    <cellStyle name="Notas 102 6" xfId="625" xr:uid="{225C25EF-AE79-47D6-896C-BA90838227C1}"/>
    <cellStyle name="Notas 103 2" xfId="626" xr:uid="{2F2205EA-8CD7-46C2-AFA9-AC005A94E8C2}"/>
    <cellStyle name="Notas 103 3" xfId="627" xr:uid="{E66DAA23-9D4E-4788-9DFC-280AB973617E}"/>
    <cellStyle name="Notas 103 4" xfId="628" xr:uid="{97B549FA-9D02-4FA1-8A5C-B0CE2A72C407}"/>
    <cellStyle name="Notas 103 5" xfId="629" xr:uid="{B68B1A89-276D-4DFD-83C6-3809CAF9FB4F}"/>
    <cellStyle name="Notas 103 6" xfId="630" xr:uid="{27376F90-622E-431D-89CF-0E43852C68D7}"/>
    <cellStyle name="Notas 104 2" xfId="631" xr:uid="{75B1EAE5-0800-4386-AFC2-E7FACB19E9F8}"/>
    <cellStyle name="Notas 104 3" xfId="632" xr:uid="{3A3A2BAC-ABD0-4177-BF32-E4D677E2768E}"/>
    <cellStyle name="Notas 104 4" xfId="633" xr:uid="{83E3C0A6-3E0F-4F01-B1FE-F4F2A434277F}"/>
    <cellStyle name="Notas 104 5" xfId="634" xr:uid="{1F0694AD-6F1E-4306-BEF0-77C09F4B7FD2}"/>
    <cellStyle name="Notas 104 6" xfId="635" xr:uid="{10A84284-B5B1-4D6E-B2D0-4F6C6DBBB2C7}"/>
    <cellStyle name="Notas 105 2" xfId="636" xr:uid="{0B928419-DF62-4C02-9FB9-37150C6AB7A9}"/>
    <cellStyle name="Notas 105 3" xfId="637" xr:uid="{28B6E8CA-A3B2-491E-8048-A6F7A49CB2D9}"/>
    <cellStyle name="Notas 105 4" xfId="638" xr:uid="{C2CFDD78-6772-46DA-B13C-CE39E7A815B1}"/>
    <cellStyle name="Notas 105 5" xfId="639" xr:uid="{D3E7CF49-FECD-4708-822A-A54A1C66918B}"/>
    <cellStyle name="Notas 105 6" xfId="640" xr:uid="{C6EE4710-128D-4FF7-8677-EDE80D94536D}"/>
    <cellStyle name="Notas 106 2" xfId="641" xr:uid="{A2FFD6DF-6FDD-4ACA-A3B2-9FC0C3FCA278}"/>
    <cellStyle name="Notas 106 3" xfId="642" xr:uid="{DBA513B4-86BD-43D8-BAD8-E8C30DB1D3A7}"/>
    <cellStyle name="Notas 106 4" xfId="643" xr:uid="{91AD5A98-37E2-4788-945E-04AD933BC53B}"/>
    <cellStyle name="Notas 107 2" xfId="644" xr:uid="{C165E738-315D-44B4-8C1B-127E0F21694C}"/>
    <cellStyle name="Notas 107 3" xfId="645" xr:uid="{EC482F0D-8AC9-4CDE-B3AD-B74416A7358C}"/>
    <cellStyle name="Notas 107 4" xfId="646" xr:uid="{4EA3DDF4-4F27-43FC-8056-26876770922A}"/>
    <cellStyle name="Notas 108 2" xfId="647" xr:uid="{43EC7667-A601-4142-B3D2-AA1ED12E018F}"/>
    <cellStyle name="Notas 108 3" xfId="648" xr:uid="{87FE577C-604E-48F9-BBAA-E14A5ABCFF01}"/>
    <cellStyle name="Notas 108 4" xfId="649" xr:uid="{1318BCC2-2C4B-45CE-B4F6-192E100E050A}"/>
    <cellStyle name="Notas 109 2" xfId="650" xr:uid="{43BD8323-E334-41C2-BAD8-7EF9514F22C5}"/>
    <cellStyle name="Notas 109 3" xfId="651" xr:uid="{10387CF0-84D8-4909-99A2-0871EB30B329}"/>
    <cellStyle name="Notas 109 4" xfId="652" xr:uid="{25EFAFB4-B20C-43F2-9F60-5840DAB98E3E}"/>
    <cellStyle name="Notas 11 10" xfId="653" xr:uid="{2AE4A63B-A0A9-41E8-BBEA-073035D02FF1}"/>
    <cellStyle name="Notas 11 11" xfId="654" xr:uid="{8234B531-7C9C-4CD8-94D7-E225DD78E3B7}"/>
    <cellStyle name="Notas 11 12" xfId="655" xr:uid="{299C718E-11B2-4977-A5E5-42E63439563E}"/>
    <cellStyle name="Notas 11 13" xfId="656" xr:uid="{F58E2D97-DCA7-4C20-87A9-8D0190E7CCCF}"/>
    <cellStyle name="Notas 11 14" xfId="657" xr:uid="{CA635035-ECCE-4A15-AED5-7B204D4525F5}"/>
    <cellStyle name="Notas 11 15" xfId="658" xr:uid="{FE37999A-1527-4FC4-82C3-56A920F640D3}"/>
    <cellStyle name="Notas 11 16" xfId="659" xr:uid="{770F1D3B-922B-4E01-995B-D7FAE31005C7}"/>
    <cellStyle name="Notas 11 17" xfId="660" xr:uid="{30C20BF5-082A-4F66-9F5C-8F55FCB8FAED}"/>
    <cellStyle name="Notas 11 18" xfId="661" xr:uid="{F2A12E93-E105-41FD-A01D-0CA2A6BDB060}"/>
    <cellStyle name="Notas 11 19" xfId="662" xr:uid="{A63D09E3-8B43-4CDF-8F8A-2F18620FFCBD}"/>
    <cellStyle name="Notas 11 2" xfId="663" xr:uid="{60ACC658-1E68-473B-9814-AA2530A0692B}"/>
    <cellStyle name="Notas 11 20" xfId="664" xr:uid="{1F11A538-C0BC-48E2-ACA8-8749E84B445E}"/>
    <cellStyle name="Notas 11 21" xfId="665" xr:uid="{A203E9D8-E21F-4899-A9F0-02C88EC2FD05}"/>
    <cellStyle name="Notas 11 22" xfId="666" xr:uid="{81620314-6FFF-418D-AFEE-9A7C2BFBA07C}"/>
    <cellStyle name="Notas 11 23" xfId="667" xr:uid="{4C729823-176A-4180-9A85-DD0BCE595420}"/>
    <cellStyle name="Notas 11 24" xfId="668" xr:uid="{20966964-CEB9-4971-B328-6C5FFDB2C662}"/>
    <cellStyle name="Notas 11 25" xfId="669" xr:uid="{8BA3B7BA-B969-4B76-8D59-E8765E8E7AF0}"/>
    <cellStyle name="Notas 11 26" xfId="670" xr:uid="{A2CA93B7-3070-4959-B491-5E98F4E1074E}"/>
    <cellStyle name="Notas 11 27" xfId="671" xr:uid="{03814A1F-4F12-4D4E-8DCA-C626842C45C4}"/>
    <cellStyle name="Notas 11 28" xfId="672" xr:uid="{C64290AB-E8BC-49D3-820D-1790EED547CE}"/>
    <cellStyle name="Notas 11 29" xfId="673" xr:uid="{7F31C97F-50A7-4C9B-933C-29B27ED140C7}"/>
    <cellStyle name="Notas 11 3" xfId="674" xr:uid="{6C06702D-68A6-4FED-BC92-C19407C72DFD}"/>
    <cellStyle name="Notas 11 30" xfId="675" xr:uid="{9E02AD77-B199-4A58-8166-842C0AD57133}"/>
    <cellStyle name="Notas 11 31" xfId="676" xr:uid="{CF399E3C-3538-4DF1-B57A-CA7DFC292FDC}"/>
    <cellStyle name="Notas 11 32" xfId="677" xr:uid="{9B966A6B-82A0-47E0-8DAE-2FA0C4AEB6B2}"/>
    <cellStyle name="Notas 11 33" xfId="678" xr:uid="{1CAAABA7-446B-4B23-9ADA-2CB268E1D05F}"/>
    <cellStyle name="Notas 11 34" xfId="679" xr:uid="{41F8860B-F893-4498-88A6-16AF723E28C3}"/>
    <cellStyle name="Notas 11 4" xfId="680" xr:uid="{410E5775-D6C7-4BA1-B671-F2838C20871F}"/>
    <cellStyle name="Notas 11 5" xfId="681" xr:uid="{06F56513-588A-4149-9C86-6DD8E7ED0F00}"/>
    <cellStyle name="Notas 11 6" xfId="682" xr:uid="{9AEE76F2-0F66-4A9A-8EBB-93E9C7A2E4ED}"/>
    <cellStyle name="Notas 11 7" xfId="683" xr:uid="{FCBF8528-B560-42DA-B304-77729C1B1D41}"/>
    <cellStyle name="Notas 11 8" xfId="684" xr:uid="{3D129787-47B8-4D1C-A415-473D81598435}"/>
    <cellStyle name="Notas 11 9" xfId="685" xr:uid="{6D8984D8-E300-4D5D-935C-C7B9CF349A4B}"/>
    <cellStyle name="Notas 110 2" xfId="686" xr:uid="{EA0C6418-0159-46D9-8395-1F169A31936E}"/>
    <cellStyle name="Notas 110 2 2" xfId="687" xr:uid="{645F5250-375F-4643-BB50-AF5FCEBD83EF}"/>
    <cellStyle name="Notas 110 3" xfId="688" xr:uid="{BF631DC7-BD4A-4AD9-BB8A-6F6CC49836FE}"/>
    <cellStyle name="Notas 111 2" xfId="689" xr:uid="{2D3FEC40-5339-452E-B78F-765C4923B399}"/>
    <cellStyle name="Notas 111 2 2" xfId="690" xr:uid="{9C252C0B-F05E-42A8-BCB1-A59E2DF120F9}"/>
    <cellStyle name="Notas 111 3" xfId="691" xr:uid="{FB30C46A-039D-4497-BA72-DFE97BA43FD2}"/>
    <cellStyle name="Notas 112" xfId="692" xr:uid="{3FD0EA2F-B0BB-4FB6-8443-4081D5DF25E6}"/>
    <cellStyle name="Notas 12 10" xfId="693" xr:uid="{ABF81329-F4B2-4972-8928-6E676C29FFE8}"/>
    <cellStyle name="Notas 12 11" xfId="694" xr:uid="{2A025721-40DC-47C7-A7A5-3B183ABC9FF3}"/>
    <cellStyle name="Notas 12 12" xfId="695" xr:uid="{C3882A81-E1DA-44AC-B5C7-537B119A8D22}"/>
    <cellStyle name="Notas 12 13" xfId="696" xr:uid="{2FE409ED-4D41-40C7-92EE-0C9F27396EBB}"/>
    <cellStyle name="Notas 12 14" xfId="697" xr:uid="{A05350D4-EB34-4B54-886C-9F23F8EE2372}"/>
    <cellStyle name="Notas 12 15" xfId="698" xr:uid="{E0B54D68-8277-42E7-9585-550606B2F9E1}"/>
    <cellStyle name="Notas 12 16" xfId="699" xr:uid="{C67A4982-25B1-4863-9943-57B1E7CF60AE}"/>
    <cellStyle name="Notas 12 17" xfId="700" xr:uid="{CDD91C04-FAEB-4D55-BF6F-7DF93986C99A}"/>
    <cellStyle name="Notas 12 18" xfId="701" xr:uid="{A6282FDC-85E9-4BEA-850B-22BB16FD7079}"/>
    <cellStyle name="Notas 12 19" xfId="702" xr:uid="{71CA88F6-7172-4CED-9F9F-881E4D0880AD}"/>
    <cellStyle name="Notas 12 2" xfId="703" xr:uid="{5D339529-CA22-4051-B394-F135BD4553EE}"/>
    <cellStyle name="Notas 12 20" xfId="704" xr:uid="{B82380D9-A4C6-493B-8FEB-4A24299D429C}"/>
    <cellStyle name="Notas 12 21" xfId="705" xr:uid="{FD256E4C-437D-4F13-90F8-B19A6753092C}"/>
    <cellStyle name="Notas 12 22" xfId="706" xr:uid="{290D0BE0-4AD8-4132-8C5D-3A5164E6392B}"/>
    <cellStyle name="Notas 12 23" xfId="707" xr:uid="{5FD9315D-05EA-47C4-92EE-2CB780B15B42}"/>
    <cellStyle name="Notas 12 24" xfId="708" xr:uid="{FBBF03EF-3A6C-4CE9-814C-76E4A8D6E026}"/>
    <cellStyle name="Notas 12 25" xfId="709" xr:uid="{C9EB6FDF-3E4E-4749-A2D3-D9EDF2F5FF2C}"/>
    <cellStyle name="Notas 12 26" xfId="710" xr:uid="{ECFF25C4-C778-47F9-B2C7-A85438083C66}"/>
    <cellStyle name="Notas 12 27" xfId="711" xr:uid="{F68B6C95-33B5-4755-B201-7285C2C595E1}"/>
    <cellStyle name="Notas 12 28" xfId="712" xr:uid="{456E5216-5206-40A5-A0D7-6E24AF606ABA}"/>
    <cellStyle name="Notas 12 29" xfId="713" xr:uid="{37433026-1E9C-4B06-AF1E-4409F5611B5D}"/>
    <cellStyle name="Notas 12 3" xfId="714" xr:uid="{7259182D-9AB4-4318-BEF2-4D9FA31845F5}"/>
    <cellStyle name="Notas 12 30" xfId="715" xr:uid="{26828790-EB16-434F-9C6B-FE4384B21B9F}"/>
    <cellStyle name="Notas 12 31" xfId="716" xr:uid="{65143777-BCC2-4445-8EE1-0F527048FB5D}"/>
    <cellStyle name="Notas 12 32" xfId="717" xr:uid="{6FF5ABE8-8266-441D-B195-8813ECA5C8D0}"/>
    <cellStyle name="Notas 12 33" xfId="718" xr:uid="{B03E1D6D-2440-464A-BF1E-BCCEDF5CA86D}"/>
    <cellStyle name="Notas 12 34" xfId="719" xr:uid="{07C42DAD-27A5-4D30-B46A-5C017B9A916C}"/>
    <cellStyle name="Notas 12 4" xfId="720" xr:uid="{B61327E7-EE78-4702-B563-6013CCB31ADB}"/>
    <cellStyle name="Notas 12 5" xfId="721" xr:uid="{92149C0F-E1F1-4E42-AB2D-1BDA8A452584}"/>
    <cellStyle name="Notas 12 6" xfId="722" xr:uid="{55655D79-9458-4E1A-92C0-4724487C05FB}"/>
    <cellStyle name="Notas 12 7" xfId="723" xr:uid="{18F9F212-751F-4B21-9A2D-566766FDB670}"/>
    <cellStyle name="Notas 12 8" xfId="724" xr:uid="{BF791D0D-11CB-43B7-9FEF-84A207048235}"/>
    <cellStyle name="Notas 12 9" xfId="725" xr:uid="{4E0516E2-0AAB-4C10-A858-3B80438F0E1B}"/>
    <cellStyle name="Notas 13 10" xfId="726" xr:uid="{78247723-AA25-43C9-84C6-C39735CB02E9}"/>
    <cellStyle name="Notas 13 11" xfId="727" xr:uid="{425FDB80-E764-4639-9B01-427CFB9DAFFF}"/>
    <cellStyle name="Notas 13 12" xfId="728" xr:uid="{BAD2533C-5D28-4DCC-98D6-1521C790CD0D}"/>
    <cellStyle name="Notas 13 13" xfId="729" xr:uid="{9ACA5AB8-B305-4927-B785-BD44D27B86BF}"/>
    <cellStyle name="Notas 13 14" xfId="730" xr:uid="{AD41F0CF-A95E-43D1-8DD1-AE48F1F0D1DD}"/>
    <cellStyle name="Notas 13 15" xfId="731" xr:uid="{EC77D126-5938-4A44-8FC0-94195D5D8D78}"/>
    <cellStyle name="Notas 13 16" xfId="732" xr:uid="{6310A78E-168D-44DD-876F-5DE6C2624CE5}"/>
    <cellStyle name="Notas 13 17" xfId="733" xr:uid="{A016B54B-0F0E-4071-AB5E-210ACDB78EAF}"/>
    <cellStyle name="Notas 13 18" xfId="734" xr:uid="{78BF69D1-6759-4DDC-BC4F-F45F4981C6F3}"/>
    <cellStyle name="Notas 13 19" xfId="735" xr:uid="{8CAA07D1-4B3A-4A32-BCD7-C7C4FB9C368C}"/>
    <cellStyle name="Notas 13 2" xfId="736" xr:uid="{F873D34F-F042-4BD4-9F0C-B769D72F8338}"/>
    <cellStyle name="Notas 13 20" xfId="737" xr:uid="{273C62F4-F9CC-4105-9B48-E31BDC0304F7}"/>
    <cellStyle name="Notas 13 21" xfId="738" xr:uid="{570D6572-1C07-4534-8918-7E118E351AD0}"/>
    <cellStyle name="Notas 13 22" xfId="739" xr:uid="{771309C3-7C38-442A-B1E9-48EF7E7C710A}"/>
    <cellStyle name="Notas 13 23" xfId="740" xr:uid="{D2DDC131-BF3A-4331-AED3-C9A228626C31}"/>
    <cellStyle name="Notas 13 24" xfId="741" xr:uid="{77315145-BAB4-4C24-A1D3-CEA6A11BAC2E}"/>
    <cellStyle name="Notas 13 25" xfId="742" xr:uid="{BBE495E9-5CC7-4427-ADC7-A3DD8503DA51}"/>
    <cellStyle name="Notas 13 26" xfId="743" xr:uid="{1D9907BA-B313-4F7C-9E3B-5C29CB65121C}"/>
    <cellStyle name="Notas 13 27" xfId="744" xr:uid="{27B7DBAF-F688-4506-A77E-0B256E6DD7E1}"/>
    <cellStyle name="Notas 13 28" xfId="745" xr:uid="{1D4A61F9-7320-466F-A27F-D812734DC998}"/>
    <cellStyle name="Notas 13 29" xfId="746" xr:uid="{49D3D818-718B-4706-8892-803B7DFEE269}"/>
    <cellStyle name="Notas 13 3" xfId="747" xr:uid="{D032B7AB-C479-4EFF-8042-EC0619DFC1CF}"/>
    <cellStyle name="Notas 13 30" xfId="748" xr:uid="{C39D9885-A70B-4F77-8257-C48F69DD55D3}"/>
    <cellStyle name="Notas 13 31" xfId="749" xr:uid="{374C1B55-A2CD-42DE-A8E7-E1F3D93E5081}"/>
    <cellStyle name="Notas 13 32" xfId="750" xr:uid="{CFC31C17-FB69-48EC-8C8C-3FFF3856603F}"/>
    <cellStyle name="Notas 13 33" xfId="751" xr:uid="{4D6EB228-28F0-4924-BF76-E3BA05346C63}"/>
    <cellStyle name="Notas 13 34" xfId="752" xr:uid="{73E8A7F8-8DEC-48F7-BF6C-E8F84D2600E7}"/>
    <cellStyle name="Notas 13 4" xfId="753" xr:uid="{79D70BDB-DCC9-4175-9995-ECB086F4EA8C}"/>
    <cellStyle name="Notas 13 5" xfId="754" xr:uid="{D4B78A4A-3C01-41BF-A95B-E0A3499964BF}"/>
    <cellStyle name="Notas 13 6" xfId="755" xr:uid="{D1A12395-B404-4A65-B76F-E4708290C65B}"/>
    <cellStyle name="Notas 13 7" xfId="756" xr:uid="{B001F414-1E83-495B-9D44-304A6B4D4EEC}"/>
    <cellStyle name="Notas 13 8" xfId="757" xr:uid="{1B9B87C8-6C93-42D2-96B5-132A17929F9B}"/>
    <cellStyle name="Notas 13 9" xfId="758" xr:uid="{164991E9-94B1-4004-870F-26361CA7AFEB}"/>
    <cellStyle name="Notas 14 10" xfId="759" xr:uid="{C0106517-7977-462A-AF33-0CC0128E7F83}"/>
    <cellStyle name="Notas 14 11" xfId="760" xr:uid="{507008E6-7924-4979-B9D5-475A2145FE50}"/>
    <cellStyle name="Notas 14 12" xfId="761" xr:uid="{EE0E36AF-FAB3-44E1-A4B5-34741A299B55}"/>
    <cellStyle name="Notas 14 13" xfId="762" xr:uid="{6A942A31-32FD-48FD-BA4B-804429DF6851}"/>
    <cellStyle name="Notas 14 14" xfId="763" xr:uid="{E69D55E5-3AAD-4235-B075-FCBFF94EF60F}"/>
    <cellStyle name="Notas 14 15" xfId="764" xr:uid="{CB57A5F4-EB2E-4F7D-ADD2-F1504EB4BD09}"/>
    <cellStyle name="Notas 14 16" xfId="765" xr:uid="{E4B6816F-3E52-4FB7-B162-F231D969405B}"/>
    <cellStyle name="Notas 14 17" xfId="766" xr:uid="{FAA58CBD-80B0-464F-BB5F-4FB50AF2A29C}"/>
    <cellStyle name="Notas 14 18" xfId="767" xr:uid="{B9B235AA-113C-4513-A0CD-5BDD8968C2D4}"/>
    <cellStyle name="Notas 14 19" xfId="768" xr:uid="{86CF4038-182A-4E05-B42B-48CF05FADB78}"/>
    <cellStyle name="Notas 14 2" xfId="769" xr:uid="{C5B0942D-324E-4921-B687-7FB77F9B3303}"/>
    <cellStyle name="Notas 14 20" xfId="770" xr:uid="{5E003A85-AA40-420A-9A44-EE2C215C8F02}"/>
    <cellStyle name="Notas 14 21" xfId="771" xr:uid="{AE22BF66-0AB2-422A-81AB-87651FC44757}"/>
    <cellStyle name="Notas 14 22" xfId="772" xr:uid="{A684FA38-1990-474D-8816-C6D7D2E8D9A8}"/>
    <cellStyle name="Notas 14 23" xfId="773" xr:uid="{4318567F-CF75-4278-846B-3BEF4B1FDF0F}"/>
    <cellStyle name="Notas 14 24" xfId="774" xr:uid="{FFC19A64-62D0-4692-AC65-3C899E88CD3C}"/>
    <cellStyle name="Notas 14 25" xfId="775" xr:uid="{62F61606-2DF5-4554-A6BE-7FEB70591F18}"/>
    <cellStyle name="Notas 14 26" xfId="776" xr:uid="{6B5917CA-E56D-4867-9571-B65BEA408855}"/>
    <cellStyle name="Notas 14 27" xfId="777" xr:uid="{09F7B4EF-367E-40BE-B9C9-8CA9BA6BB268}"/>
    <cellStyle name="Notas 14 28" xfId="778" xr:uid="{8D77E009-A5F6-434B-B885-285A5B554D91}"/>
    <cellStyle name="Notas 14 29" xfId="779" xr:uid="{539ABDC3-773F-4A98-BF62-1E1F6704A644}"/>
    <cellStyle name="Notas 14 3" xfId="780" xr:uid="{9E281F59-800E-4CCE-B0A0-D3821E206BCC}"/>
    <cellStyle name="Notas 14 30" xfId="781" xr:uid="{CFEFB193-EF85-41A1-AB9C-16597FFE0FC5}"/>
    <cellStyle name="Notas 14 31" xfId="782" xr:uid="{D4E4C322-E3A2-4B6A-8479-B3C567056DD4}"/>
    <cellStyle name="Notas 14 32" xfId="783" xr:uid="{20FBE60C-190F-4C85-A105-E6BF8BC60654}"/>
    <cellStyle name="Notas 14 33" xfId="784" xr:uid="{24C87560-A560-418F-BF89-1526557E9341}"/>
    <cellStyle name="Notas 14 34" xfId="785" xr:uid="{B642A580-4D02-4B45-AA5C-BE211E0E6CBE}"/>
    <cellStyle name="Notas 14 4" xfId="786" xr:uid="{5ECBF689-CBDF-412D-BF35-FF6F4B78BF7F}"/>
    <cellStyle name="Notas 14 5" xfId="787" xr:uid="{A9B79B02-B5FE-472D-BAAC-CDE21A671ED8}"/>
    <cellStyle name="Notas 14 6" xfId="788" xr:uid="{1C742735-A4B7-4E4B-AB85-2FFC5BA82CEF}"/>
    <cellStyle name="Notas 14 7" xfId="789" xr:uid="{753D5533-3021-4E35-ACC8-81A0D8FAAEED}"/>
    <cellStyle name="Notas 14 8" xfId="790" xr:uid="{A1C3A354-929A-4C2C-842C-2CDC10BCC7F6}"/>
    <cellStyle name="Notas 14 9" xfId="791" xr:uid="{3A4ECA9D-6274-479B-96D4-AFC6E9EFEA77}"/>
    <cellStyle name="Notas 15 10" xfId="792" xr:uid="{9745440E-7B6A-431F-A926-3E0C69D55A7A}"/>
    <cellStyle name="Notas 15 11" xfId="793" xr:uid="{6D7E893B-393A-428E-8F8C-D1E88EE599A7}"/>
    <cellStyle name="Notas 15 12" xfId="794" xr:uid="{186D53DD-0F0E-4A3A-A2DB-AA99085435A3}"/>
    <cellStyle name="Notas 15 13" xfId="795" xr:uid="{7706495A-DBD5-4AC3-BC32-6158BB0818ED}"/>
    <cellStyle name="Notas 15 14" xfId="796" xr:uid="{66496980-6AB2-49EF-A070-21CA41A470EC}"/>
    <cellStyle name="Notas 15 15" xfId="797" xr:uid="{EAA3DE9B-B79E-4DDC-B599-5E6CE3066618}"/>
    <cellStyle name="Notas 15 16" xfId="798" xr:uid="{4B25E13C-2A20-47E2-A1D7-BE8A5C16100B}"/>
    <cellStyle name="Notas 15 17" xfId="799" xr:uid="{14512AD9-02DB-4EF8-AE88-311C5D5724B3}"/>
    <cellStyle name="Notas 15 18" xfId="800" xr:uid="{3F825CF5-C52C-4D3A-811B-E0B2E3294C32}"/>
    <cellStyle name="Notas 15 19" xfId="801" xr:uid="{ED263454-BF89-4CC7-A6A5-5501B1D71AB4}"/>
    <cellStyle name="Notas 15 2" xfId="802" xr:uid="{CC6B4266-A039-4C2E-A61A-DCD4A7358815}"/>
    <cellStyle name="Notas 15 20" xfId="803" xr:uid="{BB621341-ACCD-4218-A7BD-945DB778D48D}"/>
    <cellStyle name="Notas 15 21" xfId="804" xr:uid="{24056FBC-C18E-4240-9734-8724D7AC3780}"/>
    <cellStyle name="Notas 15 22" xfId="805" xr:uid="{C2EA4B03-55A0-4B7D-A619-55F691083118}"/>
    <cellStyle name="Notas 15 23" xfId="806" xr:uid="{18398352-EFD7-4039-A077-FD17C818248A}"/>
    <cellStyle name="Notas 15 24" xfId="807" xr:uid="{F11F0DC7-6DE4-4676-96C7-E9E1C55FC3E3}"/>
    <cellStyle name="Notas 15 25" xfId="808" xr:uid="{1C5710E5-0F69-4ADB-A365-86CBCB3205CE}"/>
    <cellStyle name="Notas 15 26" xfId="809" xr:uid="{7C8CA9C2-F639-4C9C-939F-41D5BC01813C}"/>
    <cellStyle name="Notas 15 27" xfId="810" xr:uid="{77C434EC-2958-4238-9573-285FEE95D9B1}"/>
    <cellStyle name="Notas 15 28" xfId="811" xr:uid="{BF5DC5C3-577E-4915-8535-5BED0628B8F5}"/>
    <cellStyle name="Notas 15 29" xfId="812" xr:uid="{545A06F0-8543-4B0D-A2AC-DA4C5E531A38}"/>
    <cellStyle name="Notas 15 3" xfId="813" xr:uid="{6A1F455C-ECC9-433D-9D85-A56F9D793725}"/>
    <cellStyle name="Notas 15 30" xfId="814" xr:uid="{DB85B9B1-BFF0-4EFD-A9E4-0D5AFC1318D1}"/>
    <cellStyle name="Notas 15 31" xfId="815" xr:uid="{8E43FBBA-AF6A-4061-B742-8C95053249AE}"/>
    <cellStyle name="Notas 15 32" xfId="816" xr:uid="{C9B898DF-3F12-450E-939C-FF618AD4389A}"/>
    <cellStyle name="Notas 15 33" xfId="817" xr:uid="{D2B06549-49E5-488A-A7DD-723FE04D826C}"/>
    <cellStyle name="Notas 15 34" xfId="818" xr:uid="{4F491424-DDAA-4724-A1E2-DCFA00050B05}"/>
    <cellStyle name="Notas 15 4" xfId="819" xr:uid="{7599067A-82BE-4B9B-B0DC-97D9BA40B19C}"/>
    <cellStyle name="Notas 15 5" xfId="820" xr:uid="{599965C3-F3D0-4983-86AD-FE95B64B662D}"/>
    <cellStyle name="Notas 15 6" xfId="821" xr:uid="{896D4F58-723D-4DBA-A060-C67015C6722F}"/>
    <cellStyle name="Notas 15 7" xfId="822" xr:uid="{7DDBD067-F869-4357-8794-39EF95678366}"/>
    <cellStyle name="Notas 15 8" xfId="823" xr:uid="{3CE77B56-A9D4-4B65-AB62-98DA1BC464D5}"/>
    <cellStyle name="Notas 15 9" xfId="824" xr:uid="{7D621339-6F16-464C-8DE4-C0D8F335F1E3}"/>
    <cellStyle name="Notas 16 10" xfId="825" xr:uid="{E48D8601-20E9-49D6-9A6A-371E37912141}"/>
    <cellStyle name="Notas 16 11" xfId="826" xr:uid="{155135C8-8234-4467-B456-8A418C778D2D}"/>
    <cellStyle name="Notas 16 12" xfId="827" xr:uid="{4A390089-B6F2-4585-B55E-7E20607E1EF8}"/>
    <cellStyle name="Notas 16 13" xfId="828" xr:uid="{DF1E4F6F-DE99-453F-A5B8-70B7AC95AE00}"/>
    <cellStyle name="Notas 16 14" xfId="829" xr:uid="{AC13164D-2126-4E5D-A019-30574B16281A}"/>
    <cellStyle name="Notas 16 15" xfId="830" xr:uid="{2FEE6280-87BA-40CD-A738-15AD66D7A282}"/>
    <cellStyle name="Notas 16 16" xfId="831" xr:uid="{CA963A18-0010-4236-8CB3-F84143D95CBB}"/>
    <cellStyle name="Notas 16 17" xfId="832" xr:uid="{9D12F002-94E8-45DE-BE35-59F50796F09D}"/>
    <cellStyle name="Notas 16 18" xfId="833" xr:uid="{57715BE6-B657-41B7-9989-A24E158CEAD7}"/>
    <cellStyle name="Notas 16 19" xfId="834" xr:uid="{8FFD0AAD-3731-4FC6-8CC4-C40FB471C8B8}"/>
    <cellStyle name="Notas 16 2" xfId="835" xr:uid="{68D4DA48-A917-41AC-99FA-93866BC97393}"/>
    <cellStyle name="Notas 16 20" xfId="836" xr:uid="{F12B0AF5-83F4-4BA1-AFEB-B0066E104F3B}"/>
    <cellStyle name="Notas 16 21" xfId="837" xr:uid="{8302DAF7-3B62-42A3-8485-199276AE2906}"/>
    <cellStyle name="Notas 16 22" xfId="838" xr:uid="{B2A3A037-38F1-4684-82BD-9C7FEE1B98A7}"/>
    <cellStyle name="Notas 16 23" xfId="839" xr:uid="{FAED86BA-76CE-45A2-92D3-876E429BF07B}"/>
    <cellStyle name="Notas 16 24" xfId="840" xr:uid="{23A8223D-4764-40CE-B8D7-96E890754F0B}"/>
    <cellStyle name="Notas 16 25" xfId="841" xr:uid="{E326D172-AE76-4E6F-AAB6-BDA159CE2EC4}"/>
    <cellStyle name="Notas 16 26" xfId="842" xr:uid="{F48FEB62-3247-4D10-BAB4-EF40D593F6D0}"/>
    <cellStyle name="Notas 16 27" xfId="843" xr:uid="{BF09CADE-5002-46E6-BEA1-1217D771A398}"/>
    <cellStyle name="Notas 16 28" xfId="844" xr:uid="{C553DDAA-E37A-4EDB-8E01-8FCA7B0289C5}"/>
    <cellStyle name="Notas 16 29" xfId="845" xr:uid="{613AB515-913C-47E9-8FB6-E7F3738188E8}"/>
    <cellStyle name="Notas 16 3" xfId="846" xr:uid="{BC1B08D8-E7D1-462C-93E3-3DF842DCB8A7}"/>
    <cellStyle name="Notas 16 30" xfId="847" xr:uid="{053C2577-DAD9-4DF6-AEFC-B65CECDBFE19}"/>
    <cellStyle name="Notas 16 31" xfId="848" xr:uid="{63EC2A94-01A9-48C0-8410-C69C0B86223D}"/>
    <cellStyle name="Notas 16 32" xfId="849" xr:uid="{8181B1A8-FA01-48FD-91F7-A3EEA6DD2790}"/>
    <cellStyle name="Notas 16 33" xfId="850" xr:uid="{942C295B-AF09-486C-B718-02CABBE288AF}"/>
    <cellStyle name="Notas 16 34" xfId="851" xr:uid="{4F9B4399-4661-459B-B304-29B5744A73FC}"/>
    <cellStyle name="Notas 16 4" xfId="852" xr:uid="{DB21C40D-FB80-491C-A06C-69A239051F62}"/>
    <cellStyle name="Notas 16 5" xfId="853" xr:uid="{1DFCC340-A3D1-4479-BEF6-F0BA337FF796}"/>
    <cellStyle name="Notas 16 6" xfId="854" xr:uid="{B8E0B474-3951-46AC-A15E-7BA21FB647B9}"/>
    <cellStyle name="Notas 16 7" xfId="855" xr:uid="{2347DDB7-884C-4E38-AC62-1BC624018B8F}"/>
    <cellStyle name="Notas 16 8" xfId="856" xr:uid="{E2B3820E-D6F7-495F-8883-CAB4CFF99ED2}"/>
    <cellStyle name="Notas 16 9" xfId="857" xr:uid="{00482530-6728-4C0E-847B-74CD92230970}"/>
    <cellStyle name="Notas 17 10" xfId="858" xr:uid="{B256B601-3F57-48ED-AAF5-A23AC607A95E}"/>
    <cellStyle name="Notas 17 11" xfId="859" xr:uid="{DFBF7DED-7892-4A95-ABF6-387AFD589712}"/>
    <cellStyle name="Notas 17 12" xfId="860" xr:uid="{838BB687-FB31-4319-8BDA-5A8FEC9CFCEF}"/>
    <cellStyle name="Notas 17 13" xfId="861" xr:uid="{38B2708F-2C70-46B4-8283-AD3FA3710FA7}"/>
    <cellStyle name="Notas 17 14" xfId="862" xr:uid="{2B260F18-D11B-4147-8B1C-86380C3D115A}"/>
    <cellStyle name="Notas 17 15" xfId="863" xr:uid="{5302FB0E-CD34-4F42-A05B-AFAB71848796}"/>
    <cellStyle name="Notas 17 16" xfId="864" xr:uid="{8C519616-090A-492C-BF2E-BCBF0A313EBC}"/>
    <cellStyle name="Notas 17 17" xfId="865" xr:uid="{0E2790D2-A235-4593-865A-ADE3958671FE}"/>
    <cellStyle name="Notas 17 18" xfId="866" xr:uid="{9B0EE395-C509-43A7-8349-42618D9373F8}"/>
    <cellStyle name="Notas 17 19" xfId="867" xr:uid="{22B088BC-34EA-44F9-AA2C-C6C8C678165F}"/>
    <cellStyle name="Notas 17 2" xfId="868" xr:uid="{2D1D2C72-7B53-4EDD-A100-D8EDD2E05799}"/>
    <cellStyle name="Notas 17 20" xfId="869" xr:uid="{6B47EEB4-BC4B-4D85-8137-B5742CA4861E}"/>
    <cellStyle name="Notas 17 21" xfId="870" xr:uid="{A11FD4BB-28B1-4E9B-BF00-C2DDAC01D709}"/>
    <cellStyle name="Notas 17 22" xfId="871" xr:uid="{5F39DA19-B134-4758-BDB9-90E7116E01A7}"/>
    <cellStyle name="Notas 17 23" xfId="872" xr:uid="{42EBF6A1-1E5D-4243-838B-09A90471F96A}"/>
    <cellStyle name="Notas 17 24" xfId="873" xr:uid="{C94EF4FF-0A3C-44A6-A61B-A1591D9661C4}"/>
    <cellStyle name="Notas 17 25" xfId="874" xr:uid="{B616B28B-BBC0-4774-8E8E-28F87FD088BD}"/>
    <cellStyle name="Notas 17 26" xfId="875" xr:uid="{7B9A8A9A-354B-44D1-B4F7-46BB7F84E367}"/>
    <cellStyle name="Notas 17 27" xfId="876" xr:uid="{9E01CC7B-B787-4379-ADC7-D57C5D6336C8}"/>
    <cellStyle name="Notas 17 28" xfId="877" xr:uid="{FD523041-564C-4F81-B85D-EAB86C399D86}"/>
    <cellStyle name="Notas 17 29" xfId="878" xr:uid="{2325A817-F3A6-4666-AE32-B96237B08700}"/>
    <cellStyle name="Notas 17 3" xfId="879" xr:uid="{F4B4F10F-E7E3-422C-A84E-DE2598316CCF}"/>
    <cellStyle name="Notas 17 30" xfId="880" xr:uid="{37E3CC96-2592-4E8D-AED7-6EAF2BA5D8AD}"/>
    <cellStyle name="Notas 17 31" xfId="881" xr:uid="{4880FA01-C67B-4E63-A4CA-384FEB679BCD}"/>
    <cellStyle name="Notas 17 32" xfId="882" xr:uid="{49027114-884A-4648-ACE2-8369D42F9691}"/>
    <cellStyle name="Notas 17 33" xfId="883" xr:uid="{43BD5047-8263-408C-A36B-7E1D2EA171B1}"/>
    <cellStyle name="Notas 17 34" xfId="884" xr:uid="{BE6F7C6D-2BB0-4449-AC85-6D2CFBB0F2E6}"/>
    <cellStyle name="Notas 17 4" xfId="885" xr:uid="{69F71E08-F265-4077-BAB7-26DCC71DC4D5}"/>
    <cellStyle name="Notas 17 5" xfId="886" xr:uid="{F4F36A38-5D8D-402C-8725-E1F288402ACE}"/>
    <cellStyle name="Notas 17 6" xfId="887" xr:uid="{37EF8C38-4B64-4073-BCFC-9F2CFBFC692F}"/>
    <cellStyle name="Notas 17 7" xfId="888" xr:uid="{E263CB53-9633-4865-9E79-69917042F8B2}"/>
    <cellStyle name="Notas 17 8" xfId="889" xr:uid="{74F68868-BEE2-483F-B070-A3BB65E831AE}"/>
    <cellStyle name="Notas 17 9" xfId="890" xr:uid="{56A0DBCB-1F70-4536-BDBF-9F1E022C7C97}"/>
    <cellStyle name="Notas 18 10" xfId="891" xr:uid="{0B8FD996-1176-46A4-945A-0E90EF04C5F5}"/>
    <cellStyle name="Notas 18 11" xfId="892" xr:uid="{36DAB95E-8F43-4259-BB2E-1A050D853AE0}"/>
    <cellStyle name="Notas 18 12" xfId="893" xr:uid="{61B47A93-62F4-4C31-A592-5CD5F93310C2}"/>
    <cellStyle name="Notas 18 13" xfId="894" xr:uid="{3FCC2106-78B1-437F-928B-478D1837D302}"/>
    <cellStyle name="Notas 18 14" xfId="895" xr:uid="{2B704872-38C9-474F-B8A6-047D94A69B72}"/>
    <cellStyle name="Notas 18 15" xfId="896" xr:uid="{D014ED6D-44AB-45E4-BCD8-7E7A15635733}"/>
    <cellStyle name="Notas 18 16" xfId="897" xr:uid="{078C9456-86CD-486E-BAB5-DAE632C834FC}"/>
    <cellStyle name="Notas 18 17" xfId="898" xr:uid="{750ABAB1-DECF-4515-9EAE-9944655F6179}"/>
    <cellStyle name="Notas 18 18" xfId="899" xr:uid="{BC7DCA50-A947-4B32-AB99-6E4EACF6E436}"/>
    <cellStyle name="Notas 18 19" xfId="900" xr:uid="{1BEA5EFF-D80B-4591-BF1C-81365C712830}"/>
    <cellStyle name="Notas 18 2" xfId="901" xr:uid="{2BD8FE9D-C606-4952-BCBD-32578698B523}"/>
    <cellStyle name="Notas 18 20" xfId="902" xr:uid="{02B3BAE5-36A7-4B13-923B-488FD9A8BBBE}"/>
    <cellStyle name="Notas 18 21" xfId="903" xr:uid="{15E9AE9D-8E6F-43C6-A91B-2FC2E292BF0A}"/>
    <cellStyle name="Notas 18 22" xfId="904" xr:uid="{BAD451BA-9A73-47C8-9A3A-AC9FBF602CB8}"/>
    <cellStyle name="Notas 18 23" xfId="905" xr:uid="{15BAA9EF-16EC-422A-9E55-74CE54CC4950}"/>
    <cellStyle name="Notas 18 24" xfId="906" xr:uid="{C6D00E73-C917-4F10-9E56-3C633984C9D1}"/>
    <cellStyle name="Notas 18 25" xfId="907" xr:uid="{27F9789C-E01E-45D7-8465-9257DCFBE388}"/>
    <cellStyle name="Notas 18 26" xfId="908" xr:uid="{CAC78FFC-23D6-4D41-ADEF-C22A7FF71033}"/>
    <cellStyle name="Notas 18 27" xfId="909" xr:uid="{3E54490B-EC20-4E33-B301-DE8B2670334F}"/>
    <cellStyle name="Notas 18 28" xfId="910" xr:uid="{3F5EC36C-DCA4-4F7F-9441-1DC9E6C6AC05}"/>
    <cellStyle name="Notas 18 29" xfId="911" xr:uid="{2AD92899-26D4-475D-BB12-2C92F68259C2}"/>
    <cellStyle name="Notas 18 3" xfId="912" xr:uid="{E97C00BD-69DE-425C-B4CC-02979162A642}"/>
    <cellStyle name="Notas 18 30" xfId="913" xr:uid="{A1BDA267-E648-413F-B880-2F98821223D3}"/>
    <cellStyle name="Notas 18 31" xfId="914" xr:uid="{A33C2AAE-4207-4128-93D9-A261C3FBC630}"/>
    <cellStyle name="Notas 18 32" xfId="915" xr:uid="{D862AD5A-57BA-49C4-A8A4-6DE978EB390B}"/>
    <cellStyle name="Notas 18 33" xfId="916" xr:uid="{F77A8BA0-3D60-42F5-B180-C440305C18C3}"/>
    <cellStyle name="Notas 18 34" xfId="917" xr:uid="{31149BDD-9B90-493D-81CF-CA3BBC8B54C8}"/>
    <cellStyle name="Notas 18 4" xfId="918" xr:uid="{BEA30E2C-734B-45EE-88AE-C802DC4585B8}"/>
    <cellStyle name="Notas 18 5" xfId="919" xr:uid="{B9EADAE8-941A-4D40-B304-543312D4B57E}"/>
    <cellStyle name="Notas 18 6" xfId="920" xr:uid="{B2747570-57DF-4D85-913C-F79CEA16A796}"/>
    <cellStyle name="Notas 18 7" xfId="921" xr:uid="{ABDF7908-23D7-475E-BCDC-DFE78FF27042}"/>
    <cellStyle name="Notas 18 8" xfId="922" xr:uid="{BF2BBB58-091F-4588-877D-57FCD6241CD2}"/>
    <cellStyle name="Notas 18 9" xfId="923" xr:uid="{C47A6E1C-D808-4EDE-8ABE-68A14CE633AF}"/>
    <cellStyle name="Notas 19 10" xfId="924" xr:uid="{CE3AC7EE-2C41-4B2F-B93D-9B8AEA33B284}"/>
    <cellStyle name="Notas 19 11" xfId="925" xr:uid="{8746A996-9677-44AA-8A0D-70B9E371F5A7}"/>
    <cellStyle name="Notas 19 12" xfId="926" xr:uid="{EBC5B840-0E89-413B-B0F3-D1CF6E06B4BA}"/>
    <cellStyle name="Notas 19 13" xfId="927" xr:uid="{6857F0BE-164F-440B-85B2-20EBCCF313AE}"/>
    <cellStyle name="Notas 19 14" xfId="928" xr:uid="{37DC7D76-0FD9-4B1F-BEE7-F3347601B22E}"/>
    <cellStyle name="Notas 19 15" xfId="929" xr:uid="{C77174CD-BF51-4D97-8D79-79E03E8A83BD}"/>
    <cellStyle name="Notas 19 16" xfId="930" xr:uid="{740104C2-0F0E-4AB3-88DB-6C62C7C8AF9F}"/>
    <cellStyle name="Notas 19 17" xfId="931" xr:uid="{22136099-22C6-4D13-8A53-E3005A6BE900}"/>
    <cellStyle name="Notas 19 18" xfId="932" xr:uid="{917FC7A2-457A-41D3-854D-1D599CAF4321}"/>
    <cellStyle name="Notas 19 19" xfId="933" xr:uid="{B4DBE9D3-2831-4685-905D-D76D0978E169}"/>
    <cellStyle name="Notas 19 2" xfId="934" xr:uid="{CA4D6B21-40AE-42F2-A896-4396C66C35D4}"/>
    <cellStyle name="Notas 19 20" xfId="935" xr:uid="{859C2733-5777-45A5-854D-782FD8937403}"/>
    <cellStyle name="Notas 19 21" xfId="936" xr:uid="{11E24DF5-E7B0-45BD-A49B-0F10182174A8}"/>
    <cellStyle name="Notas 19 22" xfId="937" xr:uid="{A2F3BB32-7CF5-4D9B-98D9-D56D9C55ACA6}"/>
    <cellStyle name="Notas 19 23" xfId="938" xr:uid="{DDA29852-6B93-4430-BFE3-A2FD5879F91A}"/>
    <cellStyle name="Notas 19 24" xfId="939" xr:uid="{5E7ACB1F-3145-41A4-8C6F-B063A1B745BF}"/>
    <cellStyle name="Notas 19 25" xfId="940" xr:uid="{3E307DFA-129C-4FC6-A46E-740A478A7913}"/>
    <cellStyle name="Notas 19 26" xfId="941" xr:uid="{29DE64E2-6F33-4A32-A74A-4515C574653A}"/>
    <cellStyle name="Notas 19 27" xfId="942" xr:uid="{9A911AF3-60EB-40A6-8CBE-FC0418886CA2}"/>
    <cellStyle name="Notas 19 28" xfId="943" xr:uid="{6DB3B38E-B4F1-4CC4-8917-CEED2E8545B6}"/>
    <cellStyle name="Notas 19 29" xfId="944" xr:uid="{30E0C241-5B2C-4E31-8119-D6B16D7D1C83}"/>
    <cellStyle name="Notas 19 3" xfId="945" xr:uid="{5E5F556F-EF46-4778-8FD2-DF5A8D7F34EC}"/>
    <cellStyle name="Notas 19 30" xfId="946" xr:uid="{35CDACC1-8AB7-4C68-AE69-96B63CB93815}"/>
    <cellStyle name="Notas 19 31" xfId="947" xr:uid="{459470C0-611A-413A-949B-0522DA5541C2}"/>
    <cellStyle name="Notas 19 32" xfId="948" xr:uid="{174F34F7-F9B1-4919-B47F-0AE2280DF88C}"/>
    <cellStyle name="Notas 19 33" xfId="949" xr:uid="{9754E1DB-7ED4-4F73-82FD-435099B2EB69}"/>
    <cellStyle name="Notas 19 34" xfId="950" xr:uid="{2DD0DC59-CFB0-44DE-B442-0EA04005F037}"/>
    <cellStyle name="Notas 19 4" xfId="951" xr:uid="{4EC6DF82-89F0-450E-A3E7-D5ACC4269433}"/>
    <cellStyle name="Notas 19 5" xfId="952" xr:uid="{326D7D91-2CD8-4D3D-ABA6-CBBE311067D5}"/>
    <cellStyle name="Notas 19 6" xfId="953" xr:uid="{6BFDBC97-2D49-4BDA-81C9-46B9938BB383}"/>
    <cellStyle name="Notas 19 7" xfId="954" xr:uid="{06348482-49D2-4FEE-B090-164B8C05538C}"/>
    <cellStyle name="Notas 19 8" xfId="955" xr:uid="{220DC71C-2FD7-4A82-B9FD-0B5EB6D24D7F}"/>
    <cellStyle name="Notas 19 9" xfId="956" xr:uid="{541DA921-6FC5-49B4-895C-B927B5F9A307}"/>
    <cellStyle name="Notas 2" xfId="40421" xr:uid="{6F32F088-370D-42BD-9D95-FE9446B8A8FB}"/>
    <cellStyle name="Notas 2 10" xfId="957" xr:uid="{9653744C-9E4F-41AC-9387-DC546646BA4B}"/>
    <cellStyle name="Notas 2 10 10" xfId="40422" xr:uid="{33C10C19-E90C-41C4-8082-E5019E5F143A}"/>
    <cellStyle name="Notas 2 10 11" xfId="40423" xr:uid="{BA4ED6B7-1ED3-472B-BC83-D1B16F159E33}"/>
    <cellStyle name="Notas 2 10 12" xfId="40424" xr:uid="{F35AB786-FC2F-4A0B-A1CF-60EEA9F3E8C7}"/>
    <cellStyle name="Notas 2 10 2" xfId="40425" xr:uid="{B2E6B983-8B33-40E0-9B3E-01412767CCE9}"/>
    <cellStyle name="Notas 2 10 2 10" xfId="40426" xr:uid="{7B6A9002-26B0-4E5E-A83C-DAFFA3C11D62}"/>
    <cellStyle name="Notas 2 10 2 11" xfId="40427" xr:uid="{B95A85B5-277A-4168-997E-D74E5DD7EE82}"/>
    <cellStyle name="Notas 2 10 2 12" xfId="40428" xr:uid="{04D8736B-557E-4166-AE78-9C29B08CE7A6}"/>
    <cellStyle name="Notas 2 10 2 2" xfId="40429" xr:uid="{7E697A36-2BB3-4697-8594-E0A42D5AD04F}"/>
    <cellStyle name="Notas 2 10 2 2 2" xfId="40430" xr:uid="{7D61D46B-704E-4440-8F30-A26B81BD5D27}"/>
    <cellStyle name="Notas 2 10 2 2 2 2" xfId="40431" xr:uid="{4B42D224-E0E8-4AC7-911C-C99C2ED86821}"/>
    <cellStyle name="Notas 2 10 2 2 2 3" xfId="40432" xr:uid="{3C65ED09-6EF7-4CEC-ABCA-FF9D20CD2EBF}"/>
    <cellStyle name="Notas 2 10 2 2 2 4" xfId="40433" xr:uid="{00771932-73DA-42A7-80EE-C90FAFE62C89}"/>
    <cellStyle name="Notas 2 10 2 2 2 5" xfId="40434" xr:uid="{58BF0675-ACFF-42F4-94C8-9A53531A7FB6}"/>
    <cellStyle name="Notas 2 10 2 2 3" xfId="40435" xr:uid="{3914FD37-EE9A-4F90-B144-7F84777199B9}"/>
    <cellStyle name="Notas 2 10 2 2 4" xfId="40436" xr:uid="{A86A9B6B-C8CE-4E41-A4CD-CB095A87C6CD}"/>
    <cellStyle name="Notas 2 10 2 2 5" xfId="40437" xr:uid="{14935304-8761-47AF-B7EC-A2A13076807F}"/>
    <cellStyle name="Notas 2 10 2 2 6" xfId="40438" xr:uid="{510DB867-7BC5-4E53-B587-3D9697F985B3}"/>
    <cellStyle name="Notas 2 10 2 3" xfId="40439" xr:uid="{203A9852-175F-42FC-B46E-1679D803D8C4}"/>
    <cellStyle name="Notas 2 10 2 3 2" xfId="40440" xr:uid="{93109723-231C-45E6-BB64-C390BD52FE73}"/>
    <cellStyle name="Notas 2 10 2 3 2 2" xfId="40441" xr:uid="{8209CC34-CE06-412D-8431-5C428DE55BDF}"/>
    <cellStyle name="Notas 2 10 2 3 2 3" xfId="40442" xr:uid="{A7AF08D0-34C1-46E9-9C32-98F4B50BB3FD}"/>
    <cellStyle name="Notas 2 10 2 3 2 4" xfId="40443" xr:uid="{A2C75B3B-A7E3-43EE-9B5E-925A5FD2C235}"/>
    <cellStyle name="Notas 2 10 2 3 2 5" xfId="40444" xr:uid="{83A78359-BA8A-495A-8148-43641D5B7B47}"/>
    <cellStyle name="Notas 2 10 2 3 3" xfId="40445" xr:uid="{463633C1-5725-4D2C-8E65-8B6EABF727F5}"/>
    <cellStyle name="Notas 2 10 2 3 4" xfId="40446" xr:uid="{F3570285-8842-4745-A9E2-28CACDBE8035}"/>
    <cellStyle name="Notas 2 10 2 3 5" xfId="40447" xr:uid="{3194D00A-E119-4CA6-8BB9-3B10849D6656}"/>
    <cellStyle name="Notas 2 10 2 3 6" xfId="40448" xr:uid="{30265C65-8BFD-4105-AD2A-03F5EA9ECC6E}"/>
    <cellStyle name="Notas 2 10 2 4" xfId="40449" xr:uid="{B80A05C2-30D5-493A-B9A5-9CC4AB6925B0}"/>
    <cellStyle name="Notas 2 10 2 4 2" xfId="40450" xr:uid="{BB8C1F4A-669C-4C42-A0E0-5287418D6FE8}"/>
    <cellStyle name="Notas 2 10 2 4 2 2" xfId="40451" xr:uid="{F476E2B8-BBBE-4F9B-8F39-BBB76D0A2E63}"/>
    <cellStyle name="Notas 2 10 2 4 2 3" xfId="40452" xr:uid="{552D878A-BAAB-4E1F-98D5-A216769E25A0}"/>
    <cellStyle name="Notas 2 10 2 4 2 4" xfId="40453" xr:uid="{A8144160-C866-4263-8A9F-B798CAF31EB2}"/>
    <cellStyle name="Notas 2 10 2 4 2 5" xfId="40454" xr:uid="{DDA39CB1-ACEB-4607-A73A-7F8534A38868}"/>
    <cellStyle name="Notas 2 10 2 4 3" xfId="40455" xr:uid="{A1864F28-9166-4C77-A8E5-6D69D91C5C78}"/>
    <cellStyle name="Notas 2 10 2 4 4" xfId="40456" xr:uid="{35EF8EB8-46A2-4CC2-9490-7950BD0888A9}"/>
    <cellStyle name="Notas 2 10 2 4 5" xfId="40457" xr:uid="{F89F8DBC-EDBA-4853-8524-E2BB22B6D849}"/>
    <cellStyle name="Notas 2 10 2 4 6" xfId="40458" xr:uid="{1A4142C1-9358-45FD-A2B0-6D20941F19AD}"/>
    <cellStyle name="Notas 2 10 2 5" xfId="40459" xr:uid="{E6A73521-240D-4216-9FD8-75FC414C8EB7}"/>
    <cellStyle name="Notas 2 10 2 5 2" xfId="40460" xr:uid="{C0B1BA6D-8C9D-4B08-9AB9-4A8712448EB9}"/>
    <cellStyle name="Notas 2 10 2 5 3" xfId="40461" xr:uid="{2A089F3A-06F9-4D16-A6BE-1CAAF65A1382}"/>
    <cellStyle name="Notas 2 10 2 5 4" xfId="40462" xr:uid="{30EE49FE-1DF2-4F6E-BAEB-FC204E35930F}"/>
    <cellStyle name="Notas 2 10 2 5 5" xfId="40463" xr:uid="{50BBFA37-9E1B-41BA-A7B2-8312A73F6A5A}"/>
    <cellStyle name="Notas 2 10 2 6" xfId="40464" xr:uid="{55D39D20-396E-4A0E-89BB-7C96B47A6E8E}"/>
    <cellStyle name="Notas 2 10 2 7" xfId="40465" xr:uid="{2B175A87-006F-4597-8C91-4FC750F4BBE7}"/>
    <cellStyle name="Notas 2 10 2 8" xfId="40466" xr:uid="{135741B0-C650-493C-B713-6DDD13E48B50}"/>
    <cellStyle name="Notas 2 10 2 9" xfId="40467" xr:uid="{D9921944-130B-4A36-AEF3-40390C4E92F6}"/>
    <cellStyle name="Notas 2 10 3" xfId="40468" xr:uid="{8DC9592E-8B0B-4CB5-809D-CF414B8947EF}"/>
    <cellStyle name="Notas 2 10 3 2" xfId="40469" xr:uid="{DA52D8D6-7871-4FE0-9A14-0151E5D79F4C}"/>
    <cellStyle name="Notas 2 10 3 2 2" xfId="40470" xr:uid="{FC78E05C-3230-4408-87F2-E6C2AE0C11DD}"/>
    <cellStyle name="Notas 2 10 3 2 3" xfId="40471" xr:uid="{715A0E59-1C4D-4330-B1A2-364C9D9E5A2F}"/>
    <cellStyle name="Notas 2 10 3 2 4" xfId="40472" xr:uid="{BE1F0696-B1D3-458C-9105-6AD3E1D1B950}"/>
    <cellStyle name="Notas 2 10 3 2 5" xfId="40473" xr:uid="{35807035-8AE0-4BCA-AD36-4340C5E05196}"/>
    <cellStyle name="Notas 2 10 3 3" xfId="40474" xr:uid="{5AAF7003-C069-47F9-9CD9-971B55DE8F57}"/>
    <cellStyle name="Notas 2 10 3 4" xfId="40475" xr:uid="{DFE7DFBC-A985-4F33-838E-A46E8F515FA3}"/>
    <cellStyle name="Notas 2 10 3 5" xfId="40476" xr:uid="{DB29D27A-456F-4C30-9376-CA5FCEB9B812}"/>
    <cellStyle name="Notas 2 10 3 6" xfId="40477" xr:uid="{D2997144-C5FB-4ED8-AA69-E0B6C396A37C}"/>
    <cellStyle name="Notas 2 10 4" xfId="40478" xr:uid="{FDFA0E50-0954-4190-BABD-15228F6685A3}"/>
    <cellStyle name="Notas 2 10 4 2" xfId="40479" xr:uid="{8F396F43-3FF4-4430-B2A6-FF469B4DD23E}"/>
    <cellStyle name="Notas 2 10 4 2 2" xfId="40480" xr:uid="{55D53A73-A028-45F9-BB45-F1666170EB60}"/>
    <cellStyle name="Notas 2 10 4 2 3" xfId="40481" xr:uid="{B9857976-FE67-4471-9E9A-221AC157F9ED}"/>
    <cellStyle name="Notas 2 10 4 2 4" xfId="40482" xr:uid="{E2218934-EAF4-4755-9F51-6F525E884D70}"/>
    <cellStyle name="Notas 2 10 4 2 5" xfId="40483" xr:uid="{9ACCCF6C-B12A-4899-BA36-EA29286AEC3E}"/>
    <cellStyle name="Notas 2 10 4 3" xfId="40484" xr:uid="{0CB0389D-6D9E-47BF-A39C-EF3613CEBF8D}"/>
    <cellStyle name="Notas 2 10 4 4" xfId="40485" xr:uid="{C82D7D9A-95D5-4335-8119-36B0442CA44E}"/>
    <cellStyle name="Notas 2 10 4 5" xfId="40486" xr:uid="{437273EC-9930-4700-91D9-F587A027B979}"/>
    <cellStyle name="Notas 2 10 4 6" xfId="40487" xr:uid="{95B70414-405B-43E6-8447-5B4BB155A01D}"/>
    <cellStyle name="Notas 2 10 5" xfId="40488" xr:uid="{D8AB1AC9-8922-44DF-9772-9AD7D137190B}"/>
    <cellStyle name="Notas 2 10 5 2" xfId="40489" xr:uid="{FF58BF87-7391-441F-8B84-59DCE6C63200}"/>
    <cellStyle name="Notas 2 10 5 3" xfId="40490" xr:uid="{C520F2AF-12C5-43E7-B5A7-E6405B5E57B9}"/>
    <cellStyle name="Notas 2 10 5 4" xfId="40491" xr:uid="{B3F91C54-D544-4321-B2FF-14F53E49B314}"/>
    <cellStyle name="Notas 2 10 5 5" xfId="40492" xr:uid="{A78CF0CF-FA77-4F66-B57D-E6EE1223665E}"/>
    <cellStyle name="Notas 2 10 6" xfId="40493" xr:uid="{1E7522CA-0DBE-4EA2-A0DA-50175537E0C8}"/>
    <cellStyle name="Notas 2 10 7" xfId="40494" xr:uid="{B93D5BB4-C664-4FF3-A7F2-85C88034C8FA}"/>
    <cellStyle name="Notas 2 10 8" xfId="40495" xr:uid="{C9C14684-7048-4CA8-A1CB-D7C3D6CC6A43}"/>
    <cellStyle name="Notas 2 10 9" xfId="40496" xr:uid="{9B748A47-1FF3-4783-8137-09E8B34A1210}"/>
    <cellStyle name="Notas 2 11" xfId="958" xr:uid="{7ADA9CE2-6872-44AC-AF60-AD3233174380}"/>
    <cellStyle name="Notas 2 11 2" xfId="40497" xr:uid="{EDB6AC3B-52B7-44D3-93C3-562D3E3989B8}"/>
    <cellStyle name="Notas 2 11 2 2" xfId="40498" xr:uid="{43409C28-E74E-4FA8-A74C-A08D37BC5AA1}"/>
    <cellStyle name="Notas 2 11 2 3" xfId="40499" xr:uid="{EC11E6E5-7079-49E3-83BA-82AB26A0F6BE}"/>
    <cellStyle name="Notas 2 11 2 4" xfId="40500" xr:uid="{8C940D51-25A2-4811-9124-5582ACC6F753}"/>
    <cellStyle name="Notas 2 11 2 5" xfId="40501" xr:uid="{0472E172-F966-4592-8764-2A04BFD9D771}"/>
    <cellStyle name="Notas 2 11 3" xfId="40502" xr:uid="{29204C1B-0390-4830-BE09-21D12724DAE0}"/>
    <cellStyle name="Notas 2 11 4" xfId="40503" xr:uid="{DDDD6B9B-0358-495C-964A-A53DADEC316E}"/>
    <cellStyle name="Notas 2 11 5" xfId="40504" xr:uid="{9093C548-88DB-4242-9BFB-A34A6AA1084D}"/>
    <cellStyle name="Notas 2 11 6" xfId="40505" xr:uid="{71038EDA-8F15-4E74-BDB2-4F5C0B188B72}"/>
    <cellStyle name="Notas 2 12" xfId="959" xr:uid="{950BE264-A916-47EA-9DFC-0FA49A5FF026}"/>
    <cellStyle name="Notas 2 12 2" xfId="40506" xr:uid="{AAB449D0-37EB-4699-A68A-BD4AD80429F2}"/>
    <cellStyle name="Notas 2 12 2 2" xfId="40507" xr:uid="{A90CB0F2-6C83-47BE-83D6-04816719AE81}"/>
    <cellStyle name="Notas 2 12 2 3" xfId="40508" xr:uid="{756EB241-EFD8-41F6-9CF8-E7B00D840F93}"/>
    <cellStyle name="Notas 2 12 2 4" xfId="40509" xr:uid="{D7E5BAB1-6DA7-4E3F-88C0-432270D1DD3A}"/>
    <cellStyle name="Notas 2 12 2 5" xfId="40510" xr:uid="{8F8627FD-28AE-4071-80E0-AF74C3E2393F}"/>
    <cellStyle name="Notas 2 12 3" xfId="40511" xr:uid="{7648E696-C94E-477E-A0AA-42CB41C17CD6}"/>
    <cellStyle name="Notas 2 12 4" xfId="40512" xr:uid="{F2D0E9A4-B155-4A4F-B0FB-D4727801ABAD}"/>
    <cellStyle name="Notas 2 12 5" xfId="40513" xr:uid="{19F8018C-328E-4EE2-AD50-C83D44474D84}"/>
    <cellStyle name="Notas 2 12 6" xfId="40514" xr:uid="{D6331089-F3D0-40B2-8DBB-193B660A6B24}"/>
    <cellStyle name="Notas 2 13" xfId="960" xr:uid="{FD7FD4A0-5264-4259-A195-9EB6DC0ABBAA}"/>
    <cellStyle name="Notas 2 13 2" xfId="40515" xr:uid="{FD785489-5E48-4179-8CB7-5AF1C0E40111}"/>
    <cellStyle name="Notas 2 13 2 2" xfId="40516" xr:uid="{E3780849-A65C-4136-9938-8CBA9F6F6494}"/>
    <cellStyle name="Notas 2 13 2 3" xfId="40517" xr:uid="{E6D71FBD-5DA3-4F1F-B02A-682408A35B14}"/>
    <cellStyle name="Notas 2 13 2 4" xfId="40518" xr:uid="{35C7FAB5-4741-4DE9-899E-4FA1E772C06E}"/>
    <cellStyle name="Notas 2 13 2 5" xfId="40519" xr:uid="{40BDAF16-5D07-44CB-9496-227E376677CA}"/>
    <cellStyle name="Notas 2 13 3" xfId="40520" xr:uid="{049074BB-5AF4-44B1-A62D-E532A7681BF2}"/>
    <cellStyle name="Notas 2 13 4" xfId="40521" xr:uid="{06256A9A-E9F5-42A4-A276-E6E21F629F90}"/>
    <cellStyle name="Notas 2 13 5" xfId="40522" xr:uid="{102B0DD7-4F31-46BF-86CB-B63DF9ED2425}"/>
    <cellStyle name="Notas 2 13 6" xfId="40523" xr:uid="{2D511B3C-1A76-4CE3-AA40-CA2937B6117B}"/>
    <cellStyle name="Notas 2 14" xfId="961" xr:uid="{FE39CF42-D4F3-4ABB-99B9-0E5B6DF1972A}"/>
    <cellStyle name="Notas 2 14 2" xfId="40524" xr:uid="{5697F299-C49B-4A86-A093-AB5E127C175C}"/>
    <cellStyle name="Notas 2 14 3" xfId="40525" xr:uid="{5ACBEA0C-CCCB-4ACB-BBC5-D2FBE92C6779}"/>
    <cellStyle name="Notas 2 14 4" xfId="40526" xr:uid="{563901BB-8143-4CA6-A6F4-6430550118BE}"/>
    <cellStyle name="Notas 2 14 5" xfId="40527" xr:uid="{559386D4-2214-44DC-829B-5512A3F074AE}"/>
    <cellStyle name="Notas 2 15" xfId="962" xr:uid="{D553C8E5-52EC-423E-ADE4-E1C50FF9C71E}"/>
    <cellStyle name="Notas 2 16" xfId="963" xr:uid="{327DBDB8-2F5C-4227-BC6B-5A0A44246DAE}"/>
    <cellStyle name="Notas 2 17" xfId="964" xr:uid="{A5B1DDFD-3046-4824-B249-C661D39E6F2C}"/>
    <cellStyle name="Notas 2 18" xfId="965" xr:uid="{A8CFE01B-1885-43BF-8349-FF3ECA45B817}"/>
    <cellStyle name="Notas 2 19" xfId="966" xr:uid="{6A8CD725-101E-457E-AA42-381B4AE1540E}"/>
    <cellStyle name="Notas 2 2" xfId="967" xr:uid="{40A27220-CDDC-42DF-BED7-484E1D69BC9A}"/>
    <cellStyle name="Notas 2 2 10" xfId="40528" xr:uid="{B2BE2F9A-19FF-415E-AA48-6A14BAA2DC93}"/>
    <cellStyle name="Notas 2 2 10 10" xfId="40529" xr:uid="{A122ED5A-3C45-4CF8-B437-7A3020DE0278}"/>
    <cellStyle name="Notas 2 2 10 11" xfId="40530" xr:uid="{89142BFB-1269-4AF3-98F1-A27F8172A751}"/>
    <cellStyle name="Notas 2 2 10 12" xfId="40531" xr:uid="{FA94091E-DCB0-4B9A-9902-AF661DDEAAC1}"/>
    <cellStyle name="Notas 2 2 10 13" xfId="47349" xr:uid="{B7D8706A-A3BA-4A1B-8828-93278612440D}"/>
    <cellStyle name="Notas 2 2 10 2" xfId="40532" xr:uid="{BF5F4D03-C577-45BB-BB91-C8C38D646F86}"/>
    <cellStyle name="Notas 2 2 10 2 10" xfId="40533" xr:uid="{68E4E1FC-BFBC-4576-A751-123C1626A99F}"/>
    <cellStyle name="Notas 2 2 10 2 11" xfId="40534" xr:uid="{C51E0671-C8CD-438B-8BFB-B97293E67EC2}"/>
    <cellStyle name="Notas 2 2 10 2 12" xfId="40535" xr:uid="{47DF6ADE-C7D9-45BF-986F-9ED211B953C8}"/>
    <cellStyle name="Notas 2 2 10 2 2" xfId="40536" xr:uid="{10E22F07-46B7-41E2-AF47-6D299E6020F5}"/>
    <cellStyle name="Notas 2 2 10 2 2 2" xfId="40537" xr:uid="{0D4B6F6E-76AE-4274-97FA-72ABFFD39BD9}"/>
    <cellStyle name="Notas 2 2 10 2 2 2 2" xfId="40538" xr:uid="{70844EAA-B7F6-48AD-8BA5-16F645F51C42}"/>
    <cellStyle name="Notas 2 2 10 2 2 2 3" xfId="40539" xr:uid="{7A9E23FC-50A9-4E43-9900-B1CF21190042}"/>
    <cellStyle name="Notas 2 2 10 2 2 2 4" xfId="40540" xr:uid="{260574F6-7BD2-42F1-9F7B-71953B102163}"/>
    <cellStyle name="Notas 2 2 10 2 2 2 5" xfId="40541" xr:uid="{010FFBD3-582B-490D-9C1F-362626A437F6}"/>
    <cellStyle name="Notas 2 2 10 2 2 3" xfId="40542" xr:uid="{61DE2695-C307-453C-8B58-7EF5B58D977A}"/>
    <cellStyle name="Notas 2 2 10 2 2 4" xfId="40543" xr:uid="{F4C06992-328D-4FBA-B0B9-2B77A1C6B597}"/>
    <cellStyle name="Notas 2 2 10 2 2 5" xfId="40544" xr:uid="{B67F3B36-26B1-44B9-A19A-91ED550CC163}"/>
    <cellStyle name="Notas 2 2 10 2 2 6" xfId="40545" xr:uid="{7817F717-09B7-4B2B-B9F9-B8F174E822E8}"/>
    <cellStyle name="Notas 2 2 10 2 3" xfId="40546" xr:uid="{5D2B0643-F58A-4EA8-89F0-FE0470F1BC2A}"/>
    <cellStyle name="Notas 2 2 10 2 3 2" xfId="40547" xr:uid="{3710785C-0E37-4A20-8CDF-5B841F06634A}"/>
    <cellStyle name="Notas 2 2 10 2 3 2 2" xfId="40548" xr:uid="{FB06FCAA-77CA-464B-A7F3-BA28A655ACF8}"/>
    <cellStyle name="Notas 2 2 10 2 3 2 3" xfId="40549" xr:uid="{F98BBEA2-7695-4829-935E-BF37EB2C0D04}"/>
    <cellStyle name="Notas 2 2 10 2 3 2 4" xfId="40550" xr:uid="{E5243B53-82D3-4C55-84FE-CD2376BFDFFD}"/>
    <cellStyle name="Notas 2 2 10 2 3 2 5" xfId="40551" xr:uid="{C364EAE2-A09E-4C5E-AA87-23DD25F9D5A7}"/>
    <cellStyle name="Notas 2 2 10 2 3 3" xfId="40552" xr:uid="{AAD816FC-C379-4AF4-B38B-24C5323882FD}"/>
    <cellStyle name="Notas 2 2 10 2 3 4" xfId="40553" xr:uid="{7E5CE6C8-EC83-4185-956F-3C1FD07F9589}"/>
    <cellStyle name="Notas 2 2 10 2 3 5" xfId="40554" xr:uid="{47163C4A-2FBB-4FE8-813D-28C0A52E45FC}"/>
    <cellStyle name="Notas 2 2 10 2 3 6" xfId="40555" xr:uid="{85DA0DEB-D57C-436C-8DFE-2139C97EF008}"/>
    <cellStyle name="Notas 2 2 10 2 4" xfId="40556" xr:uid="{B75E281A-C6E1-410F-8522-2290C9203234}"/>
    <cellStyle name="Notas 2 2 10 2 4 2" xfId="40557" xr:uid="{06937DCD-0EE7-48BA-8FCC-5AA5A7572C60}"/>
    <cellStyle name="Notas 2 2 10 2 4 2 2" xfId="40558" xr:uid="{F312B4C2-B2A0-4802-9D62-BB55F2B17751}"/>
    <cellStyle name="Notas 2 2 10 2 4 2 3" xfId="40559" xr:uid="{8FCFD623-E47D-4CA5-997F-AFC1BE996762}"/>
    <cellStyle name="Notas 2 2 10 2 4 2 4" xfId="40560" xr:uid="{65F6C250-8FA0-48CB-B3E6-D194F2CC3500}"/>
    <cellStyle name="Notas 2 2 10 2 4 2 5" xfId="40561" xr:uid="{ABFFB1D3-181A-4024-97C3-02D83356242B}"/>
    <cellStyle name="Notas 2 2 10 2 4 3" xfId="40562" xr:uid="{545D806B-DAA9-492B-81F4-929968B71B64}"/>
    <cellStyle name="Notas 2 2 10 2 4 4" xfId="40563" xr:uid="{AB9F55B0-7879-4CC8-A465-C255F02B34B6}"/>
    <cellStyle name="Notas 2 2 10 2 4 5" xfId="40564" xr:uid="{441A23E0-1F02-4C89-A362-4C2F244B3371}"/>
    <cellStyle name="Notas 2 2 10 2 4 6" xfId="40565" xr:uid="{77B41A3E-7EE8-4489-8322-9ED395F47DAB}"/>
    <cellStyle name="Notas 2 2 10 2 5" xfId="40566" xr:uid="{C318CF7F-FD06-4943-8F9D-6442519A5980}"/>
    <cellStyle name="Notas 2 2 10 2 5 2" xfId="40567" xr:uid="{D8401CDE-9F33-4B5B-8BDC-BC0FE6A34559}"/>
    <cellStyle name="Notas 2 2 10 2 5 3" xfId="40568" xr:uid="{AE448926-9D78-43EF-AE48-3FB347563F98}"/>
    <cellStyle name="Notas 2 2 10 2 5 4" xfId="40569" xr:uid="{1C30911C-6127-47BC-BE1C-33BD02E8A83D}"/>
    <cellStyle name="Notas 2 2 10 2 5 5" xfId="40570" xr:uid="{3A8F54D4-B5CE-4A44-B15D-08D09418635D}"/>
    <cellStyle name="Notas 2 2 10 2 6" xfId="40571" xr:uid="{291418B4-60C6-4CDE-A04E-96907FE9B1EF}"/>
    <cellStyle name="Notas 2 2 10 2 7" xfId="40572" xr:uid="{1FA252D2-B5B5-4067-9B13-855BB3FE83FF}"/>
    <cellStyle name="Notas 2 2 10 2 8" xfId="40573" xr:uid="{CDB18AF4-4F50-4E98-BDDA-6FA0DCE143CD}"/>
    <cellStyle name="Notas 2 2 10 2 9" xfId="40574" xr:uid="{1480F79E-D6FE-41D6-A983-4EE8698EB423}"/>
    <cellStyle name="Notas 2 2 10 3" xfId="40575" xr:uid="{47398D7D-9B29-49E7-B165-44084D23547D}"/>
    <cellStyle name="Notas 2 2 10 3 2" xfId="40576" xr:uid="{E4075031-6ABA-4D52-8FC2-0E0241A34A33}"/>
    <cellStyle name="Notas 2 2 10 3 2 2" xfId="40577" xr:uid="{42E78EC2-3D58-4AF9-AB8D-985063247A93}"/>
    <cellStyle name="Notas 2 2 10 3 2 3" xfId="40578" xr:uid="{02F942AA-8A07-4E7F-93AF-40525901F3B1}"/>
    <cellStyle name="Notas 2 2 10 3 2 4" xfId="40579" xr:uid="{4F085E4A-3B86-486A-B7B6-AC021E924CA2}"/>
    <cellStyle name="Notas 2 2 10 3 2 5" xfId="40580" xr:uid="{FF312C89-20B1-4532-8AFC-1511A71C5584}"/>
    <cellStyle name="Notas 2 2 10 3 3" xfId="40581" xr:uid="{361F787C-EEA1-4734-83F7-EB2849C581BD}"/>
    <cellStyle name="Notas 2 2 10 3 4" xfId="40582" xr:uid="{9503526E-2768-46AE-8792-446FE4D4F46E}"/>
    <cellStyle name="Notas 2 2 10 3 5" xfId="40583" xr:uid="{07F07BFB-6C81-4DFD-B076-576B7B0F34F7}"/>
    <cellStyle name="Notas 2 2 10 3 6" xfId="40584" xr:uid="{464C4A56-363A-4066-A886-BC41420C80EA}"/>
    <cellStyle name="Notas 2 2 10 4" xfId="40585" xr:uid="{446AB051-17BE-4E6B-8E62-C956476D81CA}"/>
    <cellStyle name="Notas 2 2 10 4 2" xfId="40586" xr:uid="{9861BDFA-79CA-4EE4-8F80-627A2B93EFBC}"/>
    <cellStyle name="Notas 2 2 10 4 2 2" xfId="40587" xr:uid="{1DF68ABF-F91E-4268-8450-3505B5B65D4B}"/>
    <cellStyle name="Notas 2 2 10 4 2 3" xfId="40588" xr:uid="{A35A5A7B-A2C7-47EC-BCED-A5E51EC279D4}"/>
    <cellStyle name="Notas 2 2 10 4 2 4" xfId="40589" xr:uid="{E27E0448-B699-444F-BFD8-F5223D850366}"/>
    <cellStyle name="Notas 2 2 10 4 2 5" xfId="40590" xr:uid="{1F6E1889-B451-4E24-A19D-1974680DFDA1}"/>
    <cellStyle name="Notas 2 2 10 4 3" xfId="40591" xr:uid="{CCAA4C0E-87C6-429B-8DD6-F882CF96521C}"/>
    <cellStyle name="Notas 2 2 10 4 4" xfId="40592" xr:uid="{01CAC2C7-F7A7-479C-A3A1-7993DBB23210}"/>
    <cellStyle name="Notas 2 2 10 4 5" xfId="40593" xr:uid="{00FBD89C-7641-475C-BE64-4E15C7FC98AF}"/>
    <cellStyle name="Notas 2 2 10 4 6" xfId="40594" xr:uid="{4C525836-4664-4AA2-AA5C-29C303266B48}"/>
    <cellStyle name="Notas 2 2 10 5" xfId="40595" xr:uid="{0B9C5E7B-90F8-49E0-B487-9CCAECA867D9}"/>
    <cellStyle name="Notas 2 2 10 5 2" xfId="40596" xr:uid="{10298B4B-B1EF-4F5D-92A7-2D55E0DE3135}"/>
    <cellStyle name="Notas 2 2 10 5 3" xfId="40597" xr:uid="{D38FB03F-DB7E-481F-ADA1-4E5792941CCF}"/>
    <cellStyle name="Notas 2 2 10 5 4" xfId="40598" xr:uid="{B4D416F7-549E-4670-BF2B-1771043DFE08}"/>
    <cellStyle name="Notas 2 2 10 5 5" xfId="40599" xr:uid="{87C66B6B-7707-4670-800C-B087702A5C5D}"/>
    <cellStyle name="Notas 2 2 10 6" xfId="40600" xr:uid="{66F33C41-DB85-436F-BB84-7DA507984BF0}"/>
    <cellStyle name="Notas 2 2 10 7" xfId="40601" xr:uid="{27BD6CA4-FAEC-4F4E-A667-97F5FCD16AD4}"/>
    <cellStyle name="Notas 2 2 10 8" xfId="40602" xr:uid="{0889D757-20E3-4D07-A3B5-F8877D8052D8}"/>
    <cellStyle name="Notas 2 2 10 9" xfId="40603" xr:uid="{1B38864B-E590-4A38-9E52-D9B56EB79EBB}"/>
    <cellStyle name="Notas 2 2 11" xfId="40604" xr:uid="{EA33AD98-320D-47B9-9F33-908BD51BC881}"/>
    <cellStyle name="Notas 2 2 11 2" xfId="40605" xr:uid="{7411270D-3F31-4B50-ADE8-6E2A0C2E3FF3}"/>
    <cellStyle name="Notas 2 2 11 2 2" xfId="40606" xr:uid="{BF998F78-990E-4795-9E20-7CBB98FD611B}"/>
    <cellStyle name="Notas 2 2 11 2 3" xfId="40607" xr:uid="{A2097EF3-2F37-421F-9F4E-3213E1519D89}"/>
    <cellStyle name="Notas 2 2 11 2 4" xfId="40608" xr:uid="{B96F13E5-ED7F-4645-893A-006D1D3E946A}"/>
    <cellStyle name="Notas 2 2 11 2 5" xfId="40609" xr:uid="{6300C80E-B11A-48E8-804E-2DEE4C396975}"/>
    <cellStyle name="Notas 2 2 11 3" xfId="40610" xr:uid="{BC6343AC-B18B-4D13-B63A-A28E4F43D72D}"/>
    <cellStyle name="Notas 2 2 11 4" xfId="40611" xr:uid="{E2219BF2-AE63-4957-A884-27D956DA87AF}"/>
    <cellStyle name="Notas 2 2 11 5" xfId="40612" xr:uid="{14896402-F201-4CA7-841D-3BD0E0009AB2}"/>
    <cellStyle name="Notas 2 2 11 6" xfId="40613" xr:uid="{D305E5A8-932B-4872-A04A-E23C7D9942DB}"/>
    <cellStyle name="Notas 2 2 11 7" xfId="47712" xr:uid="{FF186675-86CB-4B3A-BB97-4DA2C349EBB3}"/>
    <cellStyle name="Notas 2 2 12" xfId="40614" xr:uid="{CBC533C6-3BCD-4FA5-B547-00E32AF04F9B}"/>
    <cellStyle name="Notas 2 2 12 2" xfId="40615" xr:uid="{3DA4125D-1DC3-4BEC-BB3C-3815DAF3EB0A}"/>
    <cellStyle name="Notas 2 2 12 2 2" xfId="40616" xr:uid="{8BCE7C2A-44BC-48FA-AE6E-B92C711C942B}"/>
    <cellStyle name="Notas 2 2 12 2 3" xfId="40617" xr:uid="{001C7C2F-F33F-4EDA-A0EA-BFBCA0C14D7F}"/>
    <cellStyle name="Notas 2 2 12 2 4" xfId="40618" xr:uid="{07EA0D9B-4B67-4870-ACFA-7FF431488C22}"/>
    <cellStyle name="Notas 2 2 12 2 5" xfId="40619" xr:uid="{FCA624B9-59FD-456A-9CA2-69BE9484FCA5}"/>
    <cellStyle name="Notas 2 2 12 3" xfId="40620" xr:uid="{E363D82E-0A74-471E-A257-81728759BEFB}"/>
    <cellStyle name="Notas 2 2 12 4" xfId="40621" xr:uid="{AEAF2FF2-78DB-4E0B-B753-9446DA9893AE}"/>
    <cellStyle name="Notas 2 2 12 5" xfId="40622" xr:uid="{04F528B4-C3B4-4C7B-B06A-F0822E6BFDB5}"/>
    <cellStyle name="Notas 2 2 12 6" xfId="40623" xr:uid="{43B25E64-C4DB-4F61-B31B-4B1EDCC54963}"/>
    <cellStyle name="Notas 2 2 13" xfId="40624" xr:uid="{EDD7EFB8-DA01-493E-9B3B-E74A154CB826}"/>
    <cellStyle name="Notas 2 2 13 2" xfId="40625" xr:uid="{B0CAD425-B34C-43B6-8063-17D979FBFA97}"/>
    <cellStyle name="Notas 2 2 13 2 2" xfId="40626" xr:uid="{647BDB90-A8F3-489C-85AE-102A12E578DC}"/>
    <cellStyle name="Notas 2 2 13 2 3" xfId="40627" xr:uid="{07FBB7D0-F364-4BCC-ABC5-CCEFAB756911}"/>
    <cellStyle name="Notas 2 2 13 2 4" xfId="40628" xr:uid="{20C13DDB-BB35-4348-BBE3-8EC53E1C783D}"/>
    <cellStyle name="Notas 2 2 13 2 5" xfId="40629" xr:uid="{9169B1F3-C4FB-46D4-8BD7-65CFCB44F47F}"/>
    <cellStyle name="Notas 2 2 13 3" xfId="40630" xr:uid="{5CFBD900-D32E-4BFB-A965-6166F9F607D8}"/>
    <cellStyle name="Notas 2 2 13 4" xfId="40631" xr:uid="{09EB244F-8C63-41F1-833D-AB0DBE8B3300}"/>
    <cellStyle name="Notas 2 2 13 5" xfId="40632" xr:uid="{847BB06F-3512-498C-9DB9-00352D63CF4A}"/>
    <cellStyle name="Notas 2 2 13 6" xfId="40633" xr:uid="{12BFB123-E97C-488C-A7BC-69E8244EFC22}"/>
    <cellStyle name="Notas 2 2 14" xfId="40634" xr:uid="{39E08C65-BA04-450C-BC8F-93D9CD0966F5}"/>
    <cellStyle name="Notas 2 2 14 2" xfId="40635" xr:uid="{F70D658D-082D-4F26-B093-DEC278EA3612}"/>
    <cellStyle name="Notas 2 2 14 3" xfId="40636" xr:uid="{B7B219AF-A0D6-4B12-9220-952972132BC3}"/>
    <cellStyle name="Notas 2 2 14 4" xfId="40637" xr:uid="{98F00C9F-8C07-4640-9763-97095E4FA13D}"/>
    <cellStyle name="Notas 2 2 14 5" xfId="40638" xr:uid="{3E7B31AA-A564-4C1B-AE91-932739F5B473}"/>
    <cellStyle name="Notas 2 2 15" xfId="40639" xr:uid="{6796B1AB-7637-4CD5-B37B-0E6E60D084AF}"/>
    <cellStyle name="Notas 2 2 16" xfId="40640" xr:uid="{96E786DE-9960-41DD-BF9E-D06A9623E2EB}"/>
    <cellStyle name="Notas 2 2 17" xfId="40641" xr:uid="{2500C214-E420-4A20-AECE-43D25549D47C}"/>
    <cellStyle name="Notas 2 2 18" xfId="40642" xr:uid="{61A48379-2599-49B7-A572-A83133D25249}"/>
    <cellStyle name="Notas 2 2 19" xfId="40643" xr:uid="{B92CF3CB-C7AF-4C80-B8E1-22B84A00ABF4}"/>
    <cellStyle name="Notas 2 2 2" xfId="40644" xr:uid="{602A0A1A-AC2C-40CF-A7F9-09BD1156EB99}"/>
    <cellStyle name="Notas 2 2 2 10" xfId="40645" xr:uid="{96306FBE-660D-42C4-AA84-E4B25F757018}"/>
    <cellStyle name="Notas 2 2 2 10 2" xfId="47713" xr:uid="{264597C9-8F28-4B29-B8C0-C746AE817135}"/>
    <cellStyle name="Notas 2 2 2 11" xfId="40646" xr:uid="{2F8544F5-E95E-49A4-8485-EA6A2CF7975F}"/>
    <cellStyle name="Notas 2 2 2 12" xfId="40647" xr:uid="{80887AE7-BA0D-4FC7-A243-1AD6F7753037}"/>
    <cellStyle name="Notas 2 2 2 13" xfId="40648" xr:uid="{826D4D4A-877B-41B1-A724-D1F5F8A7353E}"/>
    <cellStyle name="Notas 2 2 2 14" xfId="40649" xr:uid="{1BADFBB9-00E2-46E4-8477-AE6E366477E8}"/>
    <cellStyle name="Notas 2 2 2 15" xfId="40650" xr:uid="{D009C656-11A9-4478-AC66-052D5EC6D581}"/>
    <cellStyle name="Notas 2 2 2 16" xfId="40651" xr:uid="{77E46D59-10B1-49BA-BA14-6F61FC22CF3B}"/>
    <cellStyle name="Notas 2 2 2 17" xfId="46060" xr:uid="{104B6260-5756-40C1-B386-DB1CD1C6A823}"/>
    <cellStyle name="Notas 2 2 2 18" xfId="46402" xr:uid="{A14569CC-1CA0-460D-9DA2-BB1BC9280BF8}"/>
    <cellStyle name="Notas 2 2 2 2" xfId="40652" xr:uid="{BC464B41-35DF-4EFB-BE9F-A3957000BD8D}"/>
    <cellStyle name="Notas 2 2 2 2 10" xfId="40653" xr:uid="{EC8C4286-2163-4E62-8ED5-2EE2ACA7A881}"/>
    <cellStyle name="Notas 2 2 2 2 11" xfId="40654" xr:uid="{06275F00-3667-47EC-81A2-D53BD383651D}"/>
    <cellStyle name="Notas 2 2 2 2 12" xfId="40655" xr:uid="{573B9889-ED0C-4325-94C1-EC974CFC15F9}"/>
    <cellStyle name="Notas 2 2 2 2 13" xfId="40656" xr:uid="{31B00C6A-9F2A-4889-95FF-6FF9A0B191AE}"/>
    <cellStyle name="Notas 2 2 2 2 14" xfId="40657" xr:uid="{03810870-C681-4207-BAEE-211CBE174B80}"/>
    <cellStyle name="Notas 2 2 2 2 15" xfId="40658" xr:uid="{3F9EAD2F-52EF-4560-AFE2-13D45566F2DE}"/>
    <cellStyle name="Notas 2 2 2 2 16" xfId="46061" xr:uid="{0BC12AA0-19E0-4D2E-8DD9-A7072408C5C2}"/>
    <cellStyle name="Notas 2 2 2 2 17" xfId="46403" xr:uid="{BAD19828-FFE8-49C6-961B-41417AC0AA64}"/>
    <cellStyle name="Notas 2 2 2 2 2" xfId="40659" xr:uid="{9AEB924C-CBF2-44DB-A68D-7AB63F1CD8CB}"/>
    <cellStyle name="Notas 2 2 2 2 2 10" xfId="40660" xr:uid="{333E84E6-CEDD-4B3F-821C-847E5DED1F3E}"/>
    <cellStyle name="Notas 2 2 2 2 2 11" xfId="40661" xr:uid="{3EB7F479-263A-4E3C-BB68-E32A95B4799F}"/>
    <cellStyle name="Notas 2 2 2 2 2 12" xfId="40662" xr:uid="{9EE77A2A-82F5-4678-9B31-6990AE9435C2}"/>
    <cellStyle name="Notas 2 2 2 2 2 13" xfId="40663" xr:uid="{987D8A7A-1A91-49D6-B871-AACA28137623}"/>
    <cellStyle name="Notas 2 2 2 2 2 14" xfId="40664" xr:uid="{2AD6EEE5-B01F-42DB-8E9D-857E96730119}"/>
    <cellStyle name="Notas 2 2 2 2 2 15" xfId="46062" xr:uid="{0F6FF399-5A53-48C9-9000-7F24675EC5C7}"/>
    <cellStyle name="Notas 2 2 2 2 2 16" xfId="46404" xr:uid="{871EB5CD-E3E1-48C9-A240-54CB5524964F}"/>
    <cellStyle name="Notas 2 2 2 2 2 2" xfId="40665" xr:uid="{49C969EF-4FC6-4445-A1B5-0F292D614516}"/>
    <cellStyle name="Notas 2 2 2 2 2 2 10" xfId="40666" xr:uid="{6578D373-5BBF-4DC5-819A-B6D9186175B4}"/>
    <cellStyle name="Notas 2 2 2 2 2 2 11" xfId="40667" xr:uid="{3380ECC4-3422-4FC4-BE77-B86FF826AA36}"/>
    <cellStyle name="Notas 2 2 2 2 2 2 12" xfId="40668" xr:uid="{30EA2C80-489D-403F-B56D-A7D0A6448D54}"/>
    <cellStyle name="Notas 2 2 2 2 2 2 13" xfId="40669" xr:uid="{3D35F91A-683E-4793-A4F9-CFBB99A41853}"/>
    <cellStyle name="Notas 2 2 2 2 2 2 14" xfId="40670" xr:uid="{06F915F0-10FD-4BBC-8483-A5471B29F09D}"/>
    <cellStyle name="Notas 2 2 2 2 2 2 15" xfId="46063" xr:uid="{62563F5D-48D1-45B3-A190-09E331730A81}"/>
    <cellStyle name="Notas 2 2 2 2 2 2 16" xfId="46405" xr:uid="{20E6F952-0AA0-4906-8EF1-CD405F128662}"/>
    <cellStyle name="Notas 2 2 2 2 2 2 2" xfId="40671" xr:uid="{38E5E9CC-9EA3-4473-8812-82B683080449}"/>
    <cellStyle name="Notas 2 2 2 2 2 2 2 10" xfId="40672" xr:uid="{E990B9E0-8A86-42BF-B0E4-8C37C9B785A1}"/>
    <cellStyle name="Notas 2 2 2 2 2 2 2 11" xfId="40673" xr:uid="{4C0A4CB3-8E1A-450C-8FA4-657241B920B0}"/>
    <cellStyle name="Notas 2 2 2 2 2 2 2 12" xfId="40674" xr:uid="{AA3FD90C-2F42-472F-9779-A032A141BDED}"/>
    <cellStyle name="Notas 2 2 2 2 2 2 2 13" xfId="40675" xr:uid="{AE74C634-EEDE-457F-BF39-DCF8E95756AE}"/>
    <cellStyle name="Notas 2 2 2 2 2 2 2 14" xfId="46805" xr:uid="{453FF360-50D9-4CD8-99F7-088640DBD25B}"/>
    <cellStyle name="Notas 2 2 2 2 2 2 2 2" xfId="40676" xr:uid="{294AA9EB-C8A4-4231-9255-74558C506864}"/>
    <cellStyle name="Notas 2 2 2 2 2 2 2 2 10" xfId="40677" xr:uid="{222F410D-A4BE-46D0-9A4B-ABD206F748A0}"/>
    <cellStyle name="Notas 2 2 2 2 2 2 2 2 11" xfId="40678" xr:uid="{0FE57824-B008-41BA-B378-EC2CBF4B76BA}"/>
    <cellStyle name="Notas 2 2 2 2 2 2 2 2 12" xfId="40679" xr:uid="{509641CB-D083-4B4F-9431-D5DB4A8FBE0D}"/>
    <cellStyle name="Notas 2 2 2 2 2 2 2 2 13" xfId="40680" xr:uid="{25100E73-A9E5-45A4-8A54-9BE88E30C2A6}"/>
    <cellStyle name="Notas 2 2 2 2 2 2 2 2 2" xfId="40681" xr:uid="{94107652-B878-4440-89E5-7472B1C33774}"/>
    <cellStyle name="Notas 2 2 2 2 2 2 2 2 2 10" xfId="40682" xr:uid="{A2591171-F121-4224-97E9-E97B54269E72}"/>
    <cellStyle name="Notas 2 2 2 2 2 2 2 2 2 11" xfId="40683" xr:uid="{D8A4A254-6FAD-4CC9-923F-6A670F6E7202}"/>
    <cellStyle name="Notas 2 2 2 2 2 2 2 2 2 12" xfId="40684" xr:uid="{D9EB1C61-863A-4356-9ECC-974248F1923D}"/>
    <cellStyle name="Notas 2 2 2 2 2 2 2 2 2 2" xfId="40685" xr:uid="{12B13981-6282-4CDD-8B11-CD4212D231B1}"/>
    <cellStyle name="Notas 2 2 2 2 2 2 2 2 2 2 10" xfId="40686" xr:uid="{9D47EEF9-29F3-4828-AB8B-44DF20803A67}"/>
    <cellStyle name="Notas 2 2 2 2 2 2 2 2 2 2 11" xfId="40687" xr:uid="{E719BB9E-BFB4-4556-9625-437937E29A0C}"/>
    <cellStyle name="Notas 2 2 2 2 2 2 2 2 2 2 12" xfId="40688" xr:uid="{C9174227-5E0A-4CA8-8346-E1946D7429F3}"/>
    <cellStyle name="Notas 2 2 2 2 2 2 2 2 2 2 2" xfId="40689" xr:uid="{0D942E6B-BA53-4951-9841-A9DA70A823DE}"/>
    <cellStyle name="Notas 2 2 2 2 2 2 2 2 2 2 2 2" xfId="40690" xr:uid="{BED39AC1-BDAC-48DC-A77E-97FEAA0ABF52}"/>
    <cellStyle name="Notas 2 2 2 2 2 2 2 2 2 2 2 2 2" xfId="40691" xr:uid="{A0E6C733-B42A-49AB-A5C8-8FE40A9A1194}"/>
    <cellStyle name="Notas 2 2 2 2 2 2 2 2 2 2 2 2 2 2" xfId="40692" xr:uid="{E9B6C955-5196-4D13-AF40-540569341FE4}"/>
    <cellStyle name="Notas 2 2 2 2 2 2 2 2 2 2 2 2 2 3" xfId="40693" xr:uid="{1F59198B-9A2F-4C96-9623-438CC6CF055B}"/>
    <cellStyle name="Notas 2 2 2 2 2 2 2 2 2 2 2 2 2 4" xfId="40694" xr:uid="{877F80D4-E05D-46CC-9C42-2179B0E33C56}"/>
    <cellStyle name="Notas 2 2 2 2 2 2 2 2 2 2 2 2 2 5" xfId="40695" xr:uid="{59B17436-E711-4F0C-80FF-D289853FACBA}"/>
    <cellStyle name="Notas 2 2 2 2 2 2 2 2 2 2 2 2 3" xfId="40696" xr:uid="{3E70DACD-FF8A-47EA-9DB4-4246DF33D1CF}"/>
    <cellStyle name="Notas 2 2 2 2 2 2 2 2 2 2 2 2 4" xfId="40697" xr:uid="{27574FC9-CCA3-4480-982C-3338902DF5A8}"/>
    <cellStyle name="Notas 2 2 2 2 2 2 2 2 2 2 2 2 5" xfId="40698" xr:uid="{30DC0B66-3959-4636-B29A-46A364E79649}"/>
    <cellStyle name="Notas 2 2 2 2 2 2 2 2 2 2 2 2 6" xfId="40699" xr:uid="{D8A3CC85-FEB3-4F92-A54D-5DE6B6757EB6}"/>
    <cellStyle name="Notas 2 2 2 2 2 2 2 2 2 2 2 3" xfId="40700" xr:uid="{149957BA-55A9-49D8-8B1D-6D16AF65F0A2}"/>
    <cellStyle name="Notas 2 2 2 2 2 2 2 2 2 2 2 3 2" xfId="40701" xr:uid="{B9025860-7562-445E-9E6C-A7C67DA717CD}"/>
    <cellStyle name="Notas 2 2 2 2 2 2 2 2 2 2 2 3 3" xfId="40702" xr:uid="{5D0BAC91-D776-4D6D-9654-62AF494E39B8}"/>
    <cellStyle name="Notas 2 2 2 2 2 2 2 2 2 2 2 3 4" xfId="40703" xr:uid="{F02317A5-1B5A-4600-82AE-5A0CD31AC015}"/>
    <cellStyle name="Notas 2 2 2 2 2 2 2 2 2 2 2 3 5" xfId="40704" xr:uid="{A681A3F7-EAE9-438C-AC61-201CD53AD73D}"/>
    <cellStyle name="Notas 2 2 2 2 2 2 2 2 2 2 2 4" xfId="40705" xr:uid="{1B3265AD-E0EE-4E7E-B389-6E063F17614E}"/>
    <cellStyle name="Notas 2 2 2 2 2 2 2 2 2 2 2 5" xfId="40706" xr:uid="{B0618809-4E9D-45F3-B6B5-02C816C9B603}"/>
    <cellStyle name="Notas 2 2 2 2 2 2 2 2 2 2 2 6" xfId="40707" xr:uid="{87516D08-9586-4690-9A66-324058AF28B7}"/>
    <cellStyle name="Notas 2 2 2 2 2 2 2 2 2 2 2 7" xfId="40708" xr:uid="{E2944BF2-0C13-4954-9460-B2173AAB40D9}"/>
    <cellStyle name="Notas 2 2 2 2 2 2 2 2 2 2 3" xfId="40709" xr:uid="{185CCDFB-6033-4E0E-87FF-33D46354873F}"/>
    <cellStyle name="Notas 2 2 2 2 2 2 2 2 2 2 3 2" xfId="40710" xr:uid="{93A5AB0F-42B4-487E-B9AE-9A9726418F16}"/>
    <cellStyle name="Notas 2 2 2 2 2 2 2 2 2 2 3 2 2" xfId="40711" xr:uid="{ECC56059-CA9B-4787-9466-9615A2426138}"/>
    <cellStyle name="Notas 2 2 2 2 2 2 2 2 2 2 3 2 3" xfId="40712" xr:uid="{47BCA8EE-DCB1-43E3-A8FA-DC49D4A442B4}"/>
    <cellStyle name="Notas 2 2 2 2 2 2 2 2 2 2 3 2 4" xfId="40713" xr:uid="{EB07CAF6-0730-4BCC-9318-52DFD822ADEC}"/>
    <cellStyle name="Notas 2 2 2 2 2 2 2 2 2 2 3 2 5" xfId="40714" xr:uid="{50761D0B-0CA0-4778-BCBD-C3AF53AC0972}"/>
    <cellStyle name="Notas 2 2 2 2 2 2 2 2 2 2 3 3" xfId="40715" xr:uid="{8535D73D-412F-4DE0-A993-67392FCE59AE}"/>
    <cellStyle name="Notas 2 2 2 2 2 2 2 2 2 2 3 4" xfId="40716" xr:uid="{73D2A41E-FA7F-4FBD-AF8B-C1C7250E74AC}"/>
    <cellStyle name="Notas 2 2 2 2 2 2 2 2 2 2 3 5" xfId="40717" xr:uid="{CEA92583-094B-446D-8D97-13F9C3D6B769}"/>
    <cellStyle name="Notas 2 2 2 2 2 2 2 2 2 2 3 6" xfId="40718" xr:uid="{513F9133-E6F7-4069-B62D-14E95269A903}"/>
    <cellStyle name="Notas 2 2 2 2 2 2 2 2 2 2 4" xfId="40719" xr:uid="{1F6F70AB-5BA2-4D71-8252-263C45BC1FBF}"/>
    <cellStyle name="Notas 2 2 2 2 2 2 2 2 2 2 4 2" xfId="40720" xr:uid="{A4B71CF8-FB15-4622-88C9-A09298D2892C}"/>
    <cellStyle name="Notas 2 2 2 2 2 2 2 2 2 2 4 2 2" xfId="40721" xr:uid="{8D54CEFF-2F24-43F8-9804-FF932B1038B2}"/>
    <cellStyle name="Notas 2 2 2 2 2 2 2 2 2 2 4 2 3" xfId="40722" xr:uid="{9EE723E5-70C5-4A29-AC89-779844ADAFFD}"/>
    <cellStyle name="Notas 2 2 2 2 2 2 2 2 2 2 4 2 4" xfId="40723" xr:uid="{397D0101-10F3-463C-B847-9BA1FEFA640A}"/>
    <cellStyle name="Notas 2 2 2 2 2 2 2 2 2 2 4 2 5" xfId="40724" xr:uid="{F3CB06BC-5A71-469A-8946-15237E3E4DA2}"/>
    <cellStyle name="Notas 2 2 2 2 2 2 2 2 2 2 4 3" xfId="40725" xr:uid="{AE7114D1-0582-4015-A33C-49C559368C42}"/>
    <cellStyle name="Notas 2 2 2 2 2 2 2 2 2 2 4 4" xfId="40726" xr:uid="{3D97C9E9-D82B-4FD2-9159-87E585F9016B}"/>
    <cellStyle name="Notas 2 2 2 2 2 2 2 2 2 2 4 5" xfId="40727" xr:uid="{62D841A9-CF12-4A5F-B286-8219F598D056}"/>
    <cellStyle name="Notas 2 2 2 2 2 2 2 2 2 2 4 6" xfId="40728" xr:uid="{6BEAA674-384B-4919-AB40-88D378B669D7}"/>
    <cellStyle name="Notas 2 2 2 2 2 2 2 2 2 2 5" xfId="40729" xr:uid="{8B16ED3C-1A5F-4C10-BD51-28FEEAD0B05F}"/>
    <cellStyle name="Notas 2 2 2 2 2 2 2 2 2 2 5 2" xfId="40730" xr:uid="{89B07C79-4FF4-46F6-A5DC-EDF5CC4722B1}"/>
    <cellStyle name="Notas 2 2 2 2 2 2 2 2 2 2 5 3" xfId="40731" xr:uid="{8B0F534A-B8EF-406C-938B-8BAE4BA0FEAB}"/>
    <cellStyle name="Notas 2 2 2 2 2 2 2 2 2 2 5 4" xfId="40732" xr:uid="{7A29626F-D841-4CFD-AEFC-9B00884A9125}"/>
    <cellStyle name="Notas 2 2 2 2 2 2 2 2 2 2 5 5" xfId="40733" xr:uid="{5CE74DCD-96B5-4C79-B278-810FFFCC3F41}"/>
    <cellStyle name="Notas 2 2 2 2 2 2 2 2 2 2 6" xfId="40734" xr:uid="{A8871270-8C9A-4BB2-BAE0-F66941945063}"/>
    <cellStyle name="Notas 2 2 2 2 2 2 2 2 2 2 7" xfId="40735" xr:uid="{4F944286-1BBA-4B77-8F0B-E07DD5CDAA1D}"/>
    <cellStyle name="Notas 2 2 2 2 2 2 2 2 2 2 8" xfId="40736" xr:uid="{A0992F85-72B2-4B03-A761-166B7FF48B1F}"/>
    <cellStyle name="Notas 2 2 2 2 2 2 2 2 2 2 9" xfId="40737" xr:uid="{C3863C92-936D-4CAD-A45A-4D8E01040158}"/>
    <cellStyle name="Notas 2 2 2 2 2 2 2 2 2 3" xfId="40738" xr:uid="{4FCDE615-28F2-4F94-921A-071FC509B089}"/>
    <cellStyle name="Notas 2 2 2 2 2 2 2 2 2 3 2" xfId="40739" xr:uid="{8C0EF8B4-21BF-4972-88F9-227F26D2E01D}"/>
    <cellStyle name="Notas 2 2 2 2 2 2 2 2 2 3 2 2" xfId="40740" xr:uid="{BD4F5BEF-7CF5-4857-B4E0-5BF2333E7446}"/>
    <cellStyle name="Notas 2 2 2 2 2 2 2 2 2 3 2 3" xfId="40741" xr:uid="{DF3144E5-46BB-4269-8FBB-AE2599D38110}"/>
    <cellStyle name="Notas 2 2 2 2 2 2 2 2 2 3 2 4" xfId="40742" xr:uid="{8BFF50DE-7D37-4C51-8800-7923CD88F9CF}"/>
    <cellStyle name="Notas 2 2 2 2 2 2 2 2 2 3 2 5" xfId="40743" xr:uid="{D9FDFEF6-D0F3-4044-A6B8-AB569CEE59E6}"/>
    <cellStyle name="Notas 2 2 2 2 2 2 2 2 2 3 3" xfId="40744" xr:uid="{4497964F-47E6-429A-BB2F-5F2B8A147F49}"/>
    <cellStyle name="Notas 2 2 2 2 2 2 2 2 2 3 4" xfId="40745" xr:uid="{63DDE393-B7E1-4807-BAD4-0A98E299A11B}"/>
    <cellStyle name="Notas 2 2 2 2 2 2 2 2 2 3 5" xfId="40746" xr:uid="{B66CE8B7-745D-4D3C-8CAE-FFB483889702}"/>
    <cellStyle name="Notas 2 2 2 2 2 2 2 2 2 3 6" xfId="40747" xr:uid="{94734196-6B9E-467F-8FFF-1C5FBDDD3742}"/>
    <cellStyle name="Notas 2 2 2 2 2 2 2 2 2 4" xfId="40748" xr:uid="{6F8BD618-C8E4-47F9-BEFC-0D02F7D93546}"/>
    <cellStyle name="Notas 2 2 2 2 2 2 2 2 2 4 2" xfId="40749" xr:uid="{A2EAB7D2-C3DE-45B2-BF3E-1D52F878BB65}"/>
    <cellStyle name="Notas 2 2 2 2 2 2 2 2 2 4 2 2" xfId="40750" xr:uid="{D68C09ED-49ED-4962-A67E-3EF8AA611B43}"/>
    <cellStyle name="Notas 2 2 2 2 2 2 2 2 2 4 2 3" xfId="40751" xr:uid="{20E507F5-C008-48E6-A315-9E9E996E726B}"/>
    <cellStyle name="Notas 2 2 2 2 2 2 2 2 2 4 2 4" xfId="40752" xr:uid="{9F34DD14-A249-493E-BE55-5DD8EEE47B43}"/>
    <cellStyle name="Notas 2 2 2 2 2 2 2 2 2 4 2 5" xfId="40753" xr:uid="{EFB0728D-7FD9-4AC9-A418-619FDF049289}"/>
    <cellStyle name="Notas 2 2 2 2 2 2 2 2 2 4 3" xfId="40754" xr:uid="{B34D8CA5-1138-40A3-9B1B-152786EAF9A5}"/>
    <cellStyle name="Notas 2 2 2 2 2 2 2 2 2 4 4" xfId="40755" xr:uid="{C5D4671D-47BB-4AA5-8A18-6134B7FA16DF}"/>
    <cellStyle name="Notas 2 2 2 2 2 2 2 2 2 4 5" xfId="40756" xr:uid="{F0991D36-238E-4415-974B-D5EC79B05050}"/>
    <cellStyle name="Notas 2 2 2 2 2 2 2 2 2 4 6" xfId="40757" xr:uid="{983C34B9-86E2-4350-B937-553B38CBF19C}"/>
    <cellStyle name="Notas 2 2 2 2 2 2 2 2 2 5" xfId="40758" xr:uid="{C9B2BD43-C810-40E5-A4A6-06C6CA59B16F}"/>
    <cellStyle name="Notas 2 2 2 2 2 2 2 2 2 5 2" xfId="40759" xr:uid="{CF71DBCF-F1F3-4F9E-B242-2A5FBA9D07F6}"/>
    <cellStyle name="Notas 2 2 2 2 2 2 2 2 2 5 3" xfId="40760" xr:uid="{6A3158BD-7EA9-47EC-9504-FD8735FBB49D}"/>
    <cellStyle name="Notas 2 2 2 2 2 2 2 2 2 5 4" xfId="40761" xr:uid="{1250A5C3-54A4-4426-8C00-B772CA23FDCB}"/>
    <cellStyle name="Notas 2 2 2 2 2 2 2 2 2 5 5" xfId="40762" xr:uid="{397B5286-13F4-41A7-AE0C-FBFDB8E1B074}"/>
    <cellStyle name="Notas 2 2 2 2 2 2 2 2 2 6" xfId="40763" xr:uid="{3D5E7EA9-D559-4651-B3FA-E2D2EA62FA07}"/>
    <cellStyle name="Notas 2 2 2 2 2 2 2 2 2 7" xfId="40764" xr:uid="{AE282505-3475-48B4-A4C9-4AD07CFC79C7}"/>
    <cellStyle name="Notas 2 2 2 2 2 2 2 2 2 8" xfId="40765" xr:uid="{7D442F84-E0DD-477D-A8DB-45E7CB35F45F}"/>
    <cellStyle name="Notas 2 2 2 2 2 2 2 2 2 9" xfId="40766" xr:uid="{F1478E47-6BF8-45BD-8E75-62D4005221E3}"/>
    <cellStyle name="Notas 2 2 2 2 2 2 2 2 3" xfId="40767" xr:uid="{E3BB6A91-0495-471B-90EC-059C896CAC1E}"/>
    <cellStyle name="Notas 2 2 2 2 2 2 2 2 3 2" xfId="40768" xr:uid="{D7799215-15D0-4DDA-9AE8-D21BC24065B7}"/>
    <cellStyle name="Notas 2 2 2 2 2 2 2 2 3 2 2" xfId="40769" xr:uid="{FEC4603E-D271-46C3-8154-A73C26546389}"/>
    <cellStyle name="Notas 2 2 2 2 2 2 2 2 3 2 3" xfId="40770" xr:uid="{A46BB1C5-23FF-4556-B759-C383E4E9BB49}"/>
    <cellStyle name="Notas 2 2 2 2 2 2 2 2 3 2 4" xfId="40771" xr:uid="{0625F754-534A-41C0-A712-023CD24E15C4}"/>
    <cellStyle name="Notas 2 2 2 2 2 2 2 2 3 2 5" xfId="40772" xr:uid="{72EA9016-FC40-4E89-8BE2-4A92292019A4}"/>
    <cellStyle name="Notas 2 2 2 2 2 2 2 2 3 3" xfId="40773" xr:uid="{AAE8F702-A61C-4E01-85BF-71925F895E50}"/>
    <cellStyle name="Notas 2 2 2 2 2 2 2 2 3 4" xfId="40774" xr:uid="{5FE825D0-FABC-4DA4-A03B-A035E39E3A8B}"/>
    <cellStyle name="Notas 2 2 2 2 2 2 2 2 3 5" xfId="40775" xr:uid="{CFD24FE1-15B8-440E-B15C-E8A420D19750}"/>
    <cellStyle name="Notas 2 2 2 2 2 2 2 2 3 6" xfId="40776" xr:uid="{83FB75E9-1404-4BAF-B32B-ECF7F8FC3864}"/>
    <cellStyle name="Notas 2 2 2 2 2 2 2 2 4" xfId="40777" xr:uid="{34D2F797-5E16-464D-A18E-2236053A3D8D}"/>
    <cellStyle name="Notas 2 2 2 2 2 2 2 2 4 2" xfId="40778" xr:uid="{2507649C-87A9-4BDA-A070-938961196978}"/>
    <cellStyle name="Notas 2 2 2 2 2 2 2 2 4 2 2" xfId="40779" xr:uid="{7B682DE9-4081-411C-892C-9502E212018A}"/>
    <cellStyle name="Notas 2 2 2 2 2 2 2 2 4 2 3" xfId="40780" xr:uid="{EB5FEEBB-EBB6-471F-ABDD-D3568EEC8FD5}"/>
    <cellStyle name="Notas 2 2 2 2 2 2 2 2 4 2 4" xfId="40781" xr:uid="{AEC64D54-B9BD-4979-884C-2C1CD52902B9}"/>
    <cellStyle name="Notas 2 2 2 2 2 2 2 2 4 2 5" xfId="40782" xr:uid="{FCB2EB36-560F-4B93-9B85-EBD05D337477}"/>
    <cellStyle name="Notas 2 2 2 2 2 2 2 2 4 3" xfId="40783" xr:uid="{C7FACD6E-16A2-4CC0-B152-1EE0D43E34CB}"/>
    <cellStyle name="Notas 2 2 2 2 2 2 2 2 4 4" xfId="40784" xr:uid="{E853A19F-CF68-4DA8-8C84-ADCAD00A8780}"/>
    <cellStyle name="Notas 2 2 2 2 2 2 2 2 4 5" xfId="40785" xr:uid="{96E6EF44-905D-482E-A52A-036BC7C2DA38}"/>
    <cellStyle name="Notas 2 2 2 2 2 2 2 2 4 6" xfId="40786" xr:uid="{C80942B5-D6AE-4A7C-8238-5CF411097FB4}"/>
    <cellStyle name="Notas 2 2 2 2 2 2 2 2 5" xfId="40787" xr:uid="{75A34442-38A7-4EF6-836E-96BB0253D802}"/>
    <cellStyle name="Notas 2 2 2 2 2 2 2 2 5 2" xfId="40788" xr:uid="{1862176F-EC5A-4674-B984-D5C09CB35682}"/>
    <cellStyle name="Notas 2 2 2 2 2 2 2 2 5 2 2" xfId="40789" xr:uid="{1080A9D0-B461-49A6-98BD-A9B3342FD508}"/>
    <cellStyle name="Notas 2 2 2 2 2 2 2 2 5 2 3" xfId="40790" xr:uid="{9DA9FDE7-6626-44E3-B6E2-C06BEF106BA5}"/>
    <cellStyle name="Notas 2 2 2 2 2 2 2 2 5 2 4" xfId="40791" xr:uid="{B2CA4C68-5548-465E-9863-CE576FA50586}"/>
    <cellStyle name="Notas 2 2 2 2 2 2 2 2 5 2 5" xfId="40792" xr:uid="{7E6182C1-785F-45FF-84F2-0AC6B7CA05F8}"/>
    <cellStyle name="Notas 2 2 2 2 2 2 2 2 5 3" xfId="40793" xr:uid="{2D5539D9-8AF0-4759-812E-60BBF5884FC4}"/>
    <cellStyle name="Notas 2 2 2 2 2 2 2 2 5 4" xfId="40794" xr:uid="{8F4CD3D3-3784-4CB9-9011-5E33507F51B5}"/>
    <cellStyle name="Notas 2 2 2 2 2 2 2 2 5 5" xfId="40795" xr:uid="{04DD00CD-4AFE-4BA9-8EA1-F33938C6FA13}"/>
    <cellStyle name="Notas 2 2 2 2 2 2 2 2 5 6" xfId="40796" xr:uid="{84A8622A-FD6D-497A-833F-98789F975C8C}"/>
    <cellStyle name="Notas 2 2 2 2 2 2 2 2 6" xfId="40797" xr:uid="{D88ED42E-FB68-4A80-8604-66486EF8E4A3}"/>
    <cellStyle name="Notas 2 2 2 2 2 2 2 2 6 2" xfId="40798" xr:uid="{E38AE653-3E02-4E56-B14F-F2CAFC52B18C}"/>
    <cellStyle name="Notas 2 2 2 2 2 2 2 2 6 3" xfId="40799" xr:uid="{0C0A5EF4-B307-43A0-BE85-BF1BD4AEEEF8}"/>
    <cellStyle name="Notas 2 2 2 2 2 2 2 2 6 4" xfId="40800" xr:uid="{77021BE8-B447-4C2A-B53C-FEF4ECD6019D}"/>
    <cellStyle name="Notas 2 2 2 2 2 2 2 2 6 5" xfId="40801" xr:uid="{C1EABBAC-353B-4D70-B674-BD0AF4B81BC8}"/>
    <cellStyle name="Notas 2 2 2 2 2 2 2 2 7" xfId="40802" xr:uid="{09E4BABE-EC13-4665-80C3-D13D29AC574B}"/>
    <cellStyle name="Notas 2 2 2 2 2 2 2 2 8" xfId="40803" xr:uid="{1D803747-95AE-4388-9B6F-3465D7E948D2}"/>
    <cellStyle name="Notas 2 2 2 2 2 2 2 2 9" xfId="40804" xr:uid="{300C1C08-A424-4653-AEF1-026CD4B1C6CF}"/>
    <cellStyle name="Notas 2 2 2 2 2 2 2 3" xfId="40805" xr:uid="{93A3B277-9FDB-4A59-BC60-685764A152D4}"/>
    <cellStyle name="Notas 2 2 2 2 2 2 2 3 10" xfId="40806" xr:uid="{B121D904-DF58-4390-B0DD-2D75DA9B4300}"/>
    <cellStyle name="Notas 2 2 2 2 2 2 2 3 11" xfId="40807" xr:uid="{9761A913-BBE3-422D-8D6A-6D9661D4A669}"/>
    <cellStyle name="Notas 2 2 2 2 2 2 2 3 12" xfId="40808" xr:uid="{0FDFC1FE-C3D1-4DF1-8858-B412D650560A}"/>
    <cellStyle name="Notas 2 2 2 2 2 2 2 3 2" xfId="40809" xr:uid="{FE45B1E0-A2F4-4956-BFFF-949F6BDC9C7A}"/>
    <cellStyle name="Notas 2 2 2 2 2 2 2 3 2 2" xfId="40810" xr:uid="{89CEE8B1-4012-44B7-8071-3C94D7AE3CE3}"/>
    <cellStyle name="Notas 2 2 2 2 2 2 2 3 2 2 2" xfId="40811" xr:uid="{60504A93-F8FC-475B-ACBA-7AA45FC9D3E7}"/>
    <cellStyle name="Notas 2 2 2 2 2 2 2 3 2 2 3" xfId="40812" xr:uid="{314D63F0-1A4E-45FE-A801-B0F63C745CFB}"/>
    <cellStyle name="Notas 2 2 2 2 2 2 2 3 2 2 4" xfId="40813" xr:uid="{F5DE8A08-7B07-4E06-993A-953276223805}"/>
    <cellStyle name="Notas 2 2 2 2 2 2 2 3 2 2 5" xfId="40814" xr:uid="{7184926F-8F64-4762-8CF9-51761753E519}"/>
    <cellStyle name="Notas 2 2 2 2 2 2 2 3 2 3" xfId="40815" xr:uid="{542E9726-9847-4240-9B03-59918DFD7D0E}"/>
    <cellStyle name="Notas 2 2 2 2 2 2 2 3 2 4" xfId="40816" xr:uid="{1AAAD18D-C7F4-46A9-BB4E-81AF7D56D8DF}"/>
    <cellStyle name="Notas 2 2 2 2 2 2 2 3 2 5" xfId="40817" xr:uid="{6138554A-2BD5-4893-82FD-C6067B7A9BF2}"/>
    <cellStyle name="Notas 2 2 2 2 2 2 2 3 2 6" xfId="40818" xr:uid="{B75DF489-4EE4-4685-A69F-61CFEDA0FDBC}"/>
    <cellStyle name="Notas 2 2 2 2 2 2 2 3 3" xfId="40819" xr:uid="{B63EF69C-764A-4D5C-9DC5-CAC8185C2890}"/>
    <cellStyle name="Notas 2 2 2 2 2 2 2 3 3 2" xfId="40820" xr:uid="{C4AD5D02-0043-4718-A1F8-1D2ED6FA7C7C}"/>
    <cellStyle name="Notas 2 2 2 2 2 2 2 3 3 2 2" xfId="40821" xr:uid="{BF301F94-84C8-4359-845B-6D76E38EC388}"/>
    <cellStyle name="Notas 2 2 2 2 2 2 2 3 3 2 3" xfId="40822" xr:uid="{5BA0C31E-F9B6-4F32-B32D-080A5AC90DB9}"/>
    <cellStyle name="Notas 2 2 2 2 2 2 2 3 3 2 4" xfId="40823" xr:uid="{153A21D2-0C70-4653-85B5-48D67A3A74E1}"/>
    <cellStyle name="Notas 2 2 2 2 2 2 2 3 3 2 5" xfId="40824" xr:uid="{7A82E267-E840-49C7-BD79-4F6C9120BD2A}"/>
    <cellStyle name="Notas 2 2 2 2 2 2 2 3 3 3" xfId="40825" xr:uid="{7E4A46FC-C352-4CF0-AEEA-127E5EFA0654}"/>
    <cellStyle name="Notas 2 2 2 2 2 2 2 3 3 4" xfId="40826" xr:uid="{F95FCFEB-12A2-4039-B7D3-48BECD9C6174}"/>
    <cellStyle name="Notas 2 2 2 2 2 2 2 3 3 5" xfId="40827" xr:uid="{A3989213-5006-460A-8692-0F118D334990}"/>
    <cellStyle name="Notas 2 2 2 2 2 2 2 3 3 6" xfId="40828" xr:uid="{079121F3-1D39-4225-B5EC-4854A6467273}"/>
    <cellStyle name="Notas 2 2 2 2 2 2 2 3 4" xfId="40829" xr:uid="{436957A2-7A1B-446A-B4F0-B4197FAC2498}"/>
    <cellStyle name="Notas 2 2 2 2 2 2 2 3 4 2" xfId="40830" xr:uid="{D4672ECC-CB85-4E39-9B32-8A872C755BC2}"/>
    <cellStyle name="Notas 2 2 2 2 2 2 2 3 4 2 2" xfId="40831" xr:uid="{8FC49167-4E30-43A1-89CE-FE351F46B045}"/>
    <cellStyle name="Notas 2 2 2 2 2 2 2 3 4 2 3" xfId="40832" xr:uid="{09F77A1A-B192-41BB-B779-1CC182B0E4DC}"/>
    <cellStyle name="Notas 2 2 2 2 2 2 2 3 4 2 4" xfId="40833" xr:uid="{F40345B4-48B1-4EB5-8380-07C6A10BC8FF}"/>
    <cellStyle name="Notas 2 2 2 2 2 2 2 3 4 2 5" xfId="40834" xr:uid="{B1A8F995-85FB-4A3C-87BC-3398465F9BE5}"/>
    <cellStyle name="Notas 2 2 2 2 2 2 2 3 4 3" xfId="40835" xr:uid="{2B6BA5E1-7B82-4AB7-8B50-AB666F14AB00}"/>
    <cellStyle name="Notas 2 2 2 2 2 2 2 3 4 4" xfId="40836" xr:uid="{43667460-5A92-49CE-9CFE-E088B2F107B2}"/>
    <cellStyle name="Notas 2 2 2 2 2 2 2 3 4 5" xfId="40837" xr:uid="{2F71840F-25B1-4C33-97B5-8D53C3E039A7}"/>
    <cellStyle name="Notas 2 2 2 2 2 2 2 3 4 6" xfId="40838" xr:uid="{F27C9A75-ECF2-4BD1-8B50-F7F676F5507C}"/>
    <cellStyle name="Notas 2 2 2 2 2 2 2 3 5" xfId="40839" xr:uid="{2FA8EFE9-D8EA-4010-9924-D8AA9EAEC444}"/>
    <cellStyle name="Notas 2 2 2 2 2 2 2 3 5 2" xfId="40840" xr:uid="{016016B4-8A25-4396-854C-19E81593BA91}"/>
    <cellStyle name="Notas 2 2 2 2 2 2 2 3 5 3" xfId="40841" xr:uid="{6FED8770-4B89-4C65-9D18-67AD3B52A1F9}"/>
    <cellStyle name="Notas 2 2 2 2 2 2 2 3 5 4" xfId="40842" xr:uid="{F7AAD8E8-6BE4-45A9-BC1F-A5AE8B1D6599}"/>
    <cellStyle name="Notas 2 2 2 2 2 2 2 3 5 5" xfId="40843" xr:uid="{0BD3C5B1-688E-413F-AD83-C9BB85CBBA54}"/>
    <cellStyle name="Notas 2 2 2 2 2 2 2 3 6" xfId="40844" xr:uid="{5A531831-FC61-4F8E-96A3-B5C162EDF257}"/>
    <cellStyle name="Notas 2 2 2 2 2 2 2 3 7" xfId="40845" xr:uid="{C635E97B-8CD0-484D-B780-948C9E275CD6}"/>
    <cellStyle name="Notas 2 2 2 2 2 2 2 3 8" xfId="40846" xr:uid="{06ADA3A4-18BC-4E05-9919-45C820E8F184}"/>
    <cellStyle name="Notas 2 2 2 2 2 2 2 3 9" xfId="40847" xr:uid="{A0FFEC25-02E4-4935-94A8-A7FF26CB5B66}"/>
    <cellStyle name="Notas 2 2 2 2 2 2 2 4" xfId="40848" xr:uid="{8762870E-8938-430D-B684-C3F801B635D0}"/>
    <cellStyle name="Notas 2 2 2 2 2 2 2 4 2" xfId="40849" xr:uid="{A48D3DED-6293-4A46-B43C-4FACF24F030B}"/>
    <cellStyle name="Notas 2 2 2 2 2 2 2 4 2 2" xfId="40850" xr:uid="{B068B4A7-4401-4032-80BA-4C65A3150910}"/>
    <cellStyle name="Notas 2 2 2 2 2 2 2 4 2 3" xfId="40851" xr:uid="{30E82DD4-F47E-4A09-AE6A-AD9064847F07}"/>
    <cellStyle name="Notas 2 2 2 2 2 2 2 4 2 4" xfId="40852" xr:uid="{C9EAA763-F53C-4754-8D53-EA4A54B64F5A}"/>
    <cellStyle name="Notas 2 2 2 2 2 2 2 4 2 5" xfId="40853" xr:uid="{B124B85A-3A83-4CCB-809B-02B0F08291E5}"/>
    <cellStyle name="Notas 2 2 2 2 2 2 2 4 3" xfId="40854" xr:uid="{DDB0E757-7AF4-4C42-B8E0-F17BC64DD0B6}"/>
    <cellStyle name="Notas 2 2 2 2 2 2 2 4 4" xfId="40855" xr:uid="{86127CB3-C126-4A72-A51A-5FE79F257071}"/>
    <cellStyle name="Notas 2 2 2 2 2 2 2 4 5" xfId="40856" xr:uid="{7A2BD24D-5C85-4530-A1B5-55F8B90726A1}"/>
    <cellStyle name="Notas 2 2 2 2 2 2 2 4 6" xfId="40857" xr:uid="{F76A57CE-CB01-425A-9A4D-488E4DD0ACC3}"/>
    <cellStyle name="Notas 2 2 2 2 2 2 2 5" xfId="40858" xr:uid="{8CE165C6-3794-4498-A539-12B5784D33C3}"/>
    <cellStyle name="Notas 2 2 2 2 2 2 2 5 2" xfId="40859" xr:uid="{A04DFBE2-C161-4F79-8EDF-42EABF2B2B5E}"/>
    <cellStyle name="Notas 2 2 2 2 2 2 2 5 2 2" xfId="40860" xr:uid="{88DEB475-86AC-4C30-AA60-2C252024B998}"/>
    <cellStyle name="Notas 2 2 2 2 2 2 2 5 2 3" xfId="40861" xr:uid="{C4AD9A4E-BAEA-4D23-9268-5813952D7E0E}"/>
    <cellStyle name="Notas 2 2 2 2 2 2 2 5 2 4" xfId="40862" xr:uid="{FC1282F9-5995-401C-B97B-598C5BB2A996}"/>
    <cellStyle name="Notas 2 2 2 2 2 2 2 5 2 5" xfId="40863" xr:uid="{11A43350-5370-4805-B86B-9FD69D850804}"/>
    <cellStyle name="Notas 2 2 2 2 2 2 2 5 3" xfId="40864" xr:uid="{66FBD6A4-785D-44FA-98BC-244E171518D9}"/>
    <cellStyle name="Notas 2 2 2 2 2 2 2 5 4" xfId="40865" xr:uid="{AB4B8FF0-B3DB-4B75-AD0D-6EC2983A1B6E}"/>
    <cellStyle name="Notas 2 2 2 2 2 2 2 5 5" xfId="40866" xr:uid="{DA0A632F-A3B5-4C4B-B61B-89A4CEA71B57}"/>
    <cellStyle name="Notas 2 2 2 2 2 2 2 5 6" xfId="40867" xr:uid="{8F4DD4AB-D158-4561-AA56-5E78ADDD0B19}"/>
    <cellStyle name="Notas 2 2 2 2 2 2 2 6" xfId="40868" xr:uid="{3AD0CD45-3ACA-4102-8571-3C6FA085B2EA}"/>
    <cellStyle name="Notas 2 2 2 2 2 2 2 6 2" xfId="40869" xr:uid="{C4C7607C-64C1-47B1-A8F9-25307949B205}"/>
    <cellStyle name="Notas 2 2 2 2 2 2 2 6 3" xfId="40870" xr:uid="{8DE484E8-B756-4F73-82A7-C9419B836A03}"/>
    <cellStyle name="Notas 2 2 2 2 2 2 2 6 4" xfId="40871" xr:uid="{FBB555CB-A88D-479D-BAA1-047F90984EDA}"/>
    <cellStyle name="Notas 2 2 2 2 2 2 2 6 5" xfId="40872" xr:uid="{66DE3289-46D1-41C6-B4C3-8B8A71175955}"/>
    <cellStyle name="Notas 2 2 2 2 2 2 2 7" xfId="40873" xr:uid="{00C302BC-D64D-46DB-9ABB-A8CB6DD71505}"/>
    <cellStyle name="Notas 2 2 2 2 2 2 2 8" xfId="40874" xr:uid="{006035F0-8C35-4A75-8D8E-3453224F03FF}"/>
    <cellStyle name="Notas 2 2 2 2 2 2 2 9" xfId="40875" xr:uid="{509A3DFF-B37C-4300-A201-74B091BAA9B7}"/>
    <cellStyle name="Notas 2 2 2 2 2 2 3" xfId="40876" xr:uid="{1184463A-6B09-44F7-A690-9F393066A1A4}"/>
    <cellStyle name="Notas 2 2 2 2 2 2 3 10" xfId="40877" xr:uid="{C98C97BC-3298-4A13-95ED-56DB06E5C684}"/>
    <cellStyle name="Notas 2 2 2 2 2 2 3 11" xfId="40878" xr:uid="{48759903-BBB5-4BE3-935E-046405F91963}"/>
    <cellStyle name="Notas 2 2 2 2 2 2 3 12" xfId="40879" xr:uid="{FD88A3FE-7C95-497F-A077-0FC726FE42B9}"/>
    <cellStyle name="Notas 2 2 2 2 2 2 3 13" xfId="46870" xr:uid="{13909AC2-8339-4BA8-ACE1-894772526CD6}"/>
    <cellStyle name="Notas 2 2 2 2 2 2 3 14" xfId="47035" xr:uid="{C634E8A3-E20B-49C6-A408-5B7678CD5907}"/>
    <cellStyle name="Notas 2 2 2 2 2 2 3 2" xfId="40880" xr:uid="{533A39EA-E31D-4AF5-B084-427FAAF87C35}"/>
    <cellStyle name="Notas 2 2 2 2 2 2 3 2 10" xfId="40881" xr:uid="{9AE6B7DE-88CC-4C27-BF00-D25B533DC479}"/>
    <cellStyle name="Notas 2 2 2 2 2 2 3 2 11" xfId="40882" xr:uid="{8CABD065-423E-4632-AA71-9E68074A465B}"/>
    <cellStyle name="Notas 2 2 2 2 2 2 3 2 12" xfId="40883" xr:uid="{CB3EBE88-B2BB-41B0-8D35-68EBD719249D}"/>
    <cellStyle name="Notas 2 2 2 2 2 2 3 2 2" xfId="40884" xr:uid="{EA78981F-0928-4386-ADFC-D36CB84507D9}"/>
    <cellStyle name="Notas 2 2 2 2 2 2 3 2 2 2" xfId="40885" xr:uid="{CF7EEFE0-C1B7-46BA-AA82-36AC819F9DD7}"/>
    <cellStyle name="Notas 2 2 2 2 2 2 3 2 2 2 2" xfId="40886" xr:uid="{E5365C82-17FC-4CA1-8D14-975674304208}"/>
    <cellStyle name="Notas 2 2 2 2 2 2 3 2 2 2 3" xfId="40887" xr:uid="{B01C672A-6066-4BDD-B1F1-8B2E851EF233}"/>
    <cellStyle name="Notas 2 2 2 2 2 2 3 2 2 2 4" xfId="40888" xr:uid="{263C5143-C47D-4F08-9162-160FE0CFBF0D}"/>
    <cellStyle name="Notas 2 2 2 2 2 2 3 2 2 2 5" xfId="40889" xr:uid="{05ED4B1A-F3F3-4FF3-ACD2-467FFD549DEC}"/>
    <cellStyle name="Notas 2 2 2 2 2 2 3 2 2 3" xfId="40890" xr:uid="{407EB7D4-F0A5-4133-A16C-18569BF58673}"/>
    <cellStyle name="Notas 2 2 2 2 2 2 3 2 2 4" xfId="40891" xr:uid="{E84EF7D7-FD74-48A8-B64A-034C0453BCB5}"/>
    <cellStyle name="Notas 2 2 2 2 2 2 3 2 2 5" xfId="40892" xr:uid="{B4CA2EB1-807D-4187-B607-C4A1D4C1423A}"/>
    <cellStyle name="Notas 2 2 2 2 2 2 3 2 2 6" xfId="40893" xr:uid="{9FB897F9-4516-468D-A284-DD40808E1643}"/>
    <cellStyle name="Notas 2 2 2 2 2 2 3 2 3" xfId="40894" xr:uid="{1058A203-0466-4A60-B62A-6ABAE03B1693}"/>
    <cellStyle name="Notas 2 2 2 2 2 2 3 2 3 2" xfId="40895" xr:uid="{47EA5C02-1FB9-441F-9C1C-5F66ABC3CCD8}"/>
    <cellStyle name="Notas 2 2 2 2 2 2 3 2 3 2 2" xfId="40896" xr:uid="{685B3A4D-8E39-4761-B6E5-CCBE5C98EDC3}"/>
    <cellStyle name="Notas 2 2 2 2 2 2 3 2 3 2 3" xfId="40897" xr:uid="{74AB7181-9D35-44DB-945F-8208D828F60A}"/>
    <cellStyle name="Notas 2 2 2 2 2 2 3 2 3 2 4" xfId="40898" xr:uid="{9CF98106-6A9C-473D-AB2A-50460579BC30}"/>
    <cellStyle name="Notas 2 2 2 2 2 2 3 2 3 2 5" xfId="40899" xr:uid="{6B421E6B-0725-4288-AE71-AA00A8B366AA}"/>
    <cellStyle name="Notas 2 2 2 2 2 2 3 2 3 3" xfId="40900" xr:uid="{D700BA8F-4F98-496F-918C-0DE9631D7884}"/>
    <cellStyle name="Notas 2 2 2 2 2 2 3 2 3 4" xfId="40901" xr:uid="{90ED8E95-C622-4252-82D2-62EF007B6291}"/>
    <cellStyle name="Notas 2 2 2 2 2 2 3 2 3 5" xfId="40902" xr:uid="{A747D1D1-224C-428E-8F00-63FAA3FD6CE4}"/>
    <cellStyle name="Notas 2 2 2 2 2 2 3 2 3 6" xfId="40903" xr:uid="{ECC8657F-FA76-47A8-99B2-FA724A871E4E}"/>
    <cellStyle name="Notas 2 2 2 2 2 2 3 2 4" xfId="40904" xr:uid="{16C6628D-97D1-4CA1-A2B3-246E44672D30}"/>
    <cellStyle name="Notas 2 2 2 2 2 2 3 2 4 2" xfId="40905" xr:uid="{2CC05E9A-8A94-41E8-9F75-44332800CF01}"/>
    <cellStyle name="Notas 2 2 2 2 2 2 3 2 4 2 2" xfId="40906" xr:uid="{C53DA3DB-A92E-497E-885D-C93416CADFD5}"/>
    <cellStyle name="Notas 2 2 2 2 2 2 3 2 4 2 3" xfId="40907" xr:uid="{AE5C25F0-DA6F-4BD6-8F8B-0950A9AA67D8}"/>
    <cellStyle name="Notas 2 2 2 2 2 2 3 2 4 2 4" xfId="40908" xr:uid="{64319E5F-2DFC-44B0-B33D-2EE4C08E2B00}"/>
    <cellStyle name="Notas 2 2 2 2 2 2 3 2 4 2 5" xfId="40909" xr:uid="{266FE1CB-FA46-4680-8D9C-2CB5BF7F51CE}"/>
    <cellStyle name="Notas 2 2 2 2 2 2 3 2 4 3" xfId="40910" xr:uid="{9E0E9B24-0DAA-4934-AD45-5955F041B397}"/>
    <cellStyle name="Notas 2 2 2 2 2 2 3 2 4 4" xfId="40911" xr:uid="{2D9CD4B5-0451-407C-8D8C-C7AECBA319E5}"/>
    <cellStyle name="Notas 2 2 2 2 2 2 3 2 4 5" xfId="40912" xr:uid="{5DD7E27F-18C1-460C-BC8E-2153B64D1F47}"/>
    <cellStyle name="Notas 2 2 2 2 2 2 3 2 4 6" xfId="40913" xr:uid="{B3CA1DA3-0D4B-4786-B75B-A0D7B4DEC0A8}"/>
    <cellStyle name="Notas 2 2 2 2 2 2 3 2 5" xfId="40914" xr:uid="{2BE530E4-06D2-47A0-B5E1-632D59BEE9B4}"/>
    <cellStyle name="Notas 2 2 2 2 2 2 3 2 5 2" xfId="40915" xr:uid="{4616CC96-B556-4A5E-8CFF-FF8DD03E7545}"/>
    <cellStyle name="Notas 2 2 2 2 2 2 3 2 5 3" xfId="40916" xr:uid="{778E8918-46E1-4FA7-ACE3-E3CFB900FADC}"/>
    <cellStyle name="Notas 2 2 2 2 2 2 3 2 5 4" xfId="40917" xr:uid="{749F12E0-45C9-4FFA-AFC9-036916EBA4A4}"/>
    <cellStyle name="Notas 2 2 2 2 2 2 3 2 5 5" xfId="40918" xr:uid="{A54AB045-EE1B-4335-8A5F-A7F15194B44A}"/>
    <cellStyle name="Notas 2 2 2 2 2 2 3 2 6" xfId="40919" xr:uid="{5404E7C0-77E5-49F1-9541-F8A96ED89B46}"/>
    <cellStyle name="Notas 2 2 2 2 2 2 3 2 7" xfId="40920" xr:uid="{5C41A33A-C6DE-4EA4-8C5E-B899C392430A}"/>
    <cellStyle name="Notas 2 2 2 2 2 2 3 2 8" xfId="40921" xr:uid="{19FE8283-CAD6-4CBA-889D-9A977856E5B5}"/>
    <cellStyle name="Notas 2 2 2 2 2 2 3 2 9" xfId="40922" xr:uid="{1EB75F41-E5FD-426D-A282-BF8A33828E6E}"/>
    <cellStyle name="Notas 2 2 2 2 2 2 3 3" xfId="40923" xr:uid="{5BDC6F0C-02CA-4DAD-9406-8FB24AD02AA2}"/>
    <cellStyle name="Notas 2 2 2 2 2 2 3 3 2" xfId="40924" xr:uid="{04E98B21-E5F9-4FED-B6E2-FDA713D2BA99}"/>
    <cellStyle name="Notas 2 2 2 2 2 2 3 3 2 2" xfId="40925" xr:uid="{8D598DC1-4FB9-40C3-90DF-9A2F9EB08F12}"/>
    <cellStyle name="Notas 2 2 2 2 2 2 3 3 2 3" xfId="40926" xr:uid="{3938D939-93BD-4E42-8B8C-00B7D36261D1}"/>
    <cellStyle name="Notas 2 2 2 2 2 2 3 3 2 4" xfId="40927" xr:uid="{9EC77F0E-2747-4108-878D-D509CC80ED78}"/>
    <cellStyle name="Notas 2 2 2 2 2 2 3 3 2 5" xfId="40928" xr:uid="{6EB41711-043E-4E29-BE78-BDA251F42702}"/>
    <cellStyle name="Notas 2 2 2 2 2 2 3 3 3" xfId="40929" xr:uid="{642542C9-9DC6-4584-9966-D33444FE1695}"/>
    <cellStyle name="Notas 2 2 2 2 2 2 3 3 4" xfId="40930" xr:uid="{3832AB0F-8158-496A-897C-E1C7E917FB39}"/>
    <cellStyle name="Notas 2 2 2 2 2 2 3 3 5" xfId="40931" xr:uid="{980D72A0-33D1-4B1C-8B79-71E913E30CA4}"/>
    <cellStyle name="Notas 2 2 2 2 2 2 3 3 6" xfId="40932" xr:uid="{4BBE136A-0D91-4AB3-8B95-B2072462EEF4}"/>
    <cellStyle name="Notas 2 2 2 2 2 2 3 4" xfId="40933" xr:uid="{E238DDD4-ACF1-41AD-AEF4-6E6D291F50AD}"/>
    <cellStyle name="Notas 2 2 2 2 2 2 3 4 2" xfId="40934" xr:uid="{EA70FADE-A258-4446-BD87-04CB2CA05FD4}"/>
    <cellStyle name="Notas 2 2 2 2 2 2 3 4 2 2" xfId="40935" xr:uid="{804817F8-750C-4F20-931E-221F6ED7B26B}"/>
    <cellStyle name="Notas 2 2 2 2 2 2 3 4 2 3" xfId="40936" xr:uid="{EB70B2C3-7A05-44E8-B834-13D8F10FB290}"/>
    <cellStyle name="Notas 2 2 2 2 2 2 3 4 2 4" xfId="40937" xr:uid="{0E9564A6-0F4A-4FAC-B970-EA7FEA69BFA2}"/>
    <cellStyle name="Notas 2 2 2 2 2 2 3 4 2 5" xfId="40938" xr:uid="{71EDB158-4BC2-41FF-91DC-C5DFDC35570F}"/>
    <cellStyle name="Notas 2 2 2 2 2 2 3 4 3" xfId="40939" xr:uid="{A40136EF-CA8F-40C2-A433-74735B0096A0}"/>
    <cellStyle name="Notas 2 2 2 2 2 2 3 4 4" xfId="40940" xr:uid="{ED6C607F-ECE9-4B99-A5C5-837EFAE64F5B}"/>
    <cellStyle name="Notas 2 2 2 2 2 2 3 4 5" xfId="40941" xr:uid="{23DE4BB6-EEB9-4763-8D9F-34568247BFAF}"/>
    <cellStyle name="Notas 2 2 2 2 2 2 3 4 6" xfId="40942" xr:uid="{4F74C3A0-B9C3-45E3-8EA3-4B35B83BF84C}"/>
    <cellStyle name="Notas 2 2 2 2 2 2 3 5" xfId="40943" xr:uid="{A630CBAE-81B7-42A7-8E6B-345A78DC21CC}"/>
    <cellStyle name="Notas 2 2 2 2 2 2 3 5 2" xfId="40944" xr:uid="{CE036ACD-4923-4C07-BC54-8CFED436B25A}"/>
    <cellStyle name="Notas 2 2 2 2 2 2 3 5 3" xfId="40945" xr:uid="{35084C91-76EA-464F-B377-F2639ADA39DA}"/>
    <cellStyle name="Notas 2 2 2 2 2 2 3 5 4" xfId="40946" xr:uid="{B73040A0-BD7D-4B80-930D-1E3C195D0248}"/>
    <cellStyle name="Notas 2 2 2 2 2 2 3 5 5" xfId="40947" xr:uid="{80503BCF-8BA1-4FAE-B2A7-E45B6FEBC483}"/>
    <cellStyle name="Notas 2 2 2 2 2 2 3 6" xfId="40948" xr:uid="{3A425C34-C0E6-44CE-8D1E-F0797287210B}"/>
    <cellStyle name="Notas 2 2 2 2 2 2 3 7" xfId="40949" xr:uid="{66CF5140-BFC9-4847-9E54-326EB74F2AE3}"/>
    <cellStyle name="Notas 2 2 2 2 2 2 3 8" xfId="40950" xr:uid="{B8A439F5-5122-4E96-994A-E1D8EBF3B471}"/>
    <cellStyle name="Notas 2 2 2 2 2 2 3 9" xfId="40951" xr:uid="{0BC04DA1-E494-43FB-A693-AE13AF0F4317}"/>
    <cellStyle name="Notas 2 2 2 2 2 2 4" xfId="40952" xr:uid="{4B0BF9C5-0CFF-4A20-83CD-0A71D58941E2}"/>
    <cellStyle name="Notas 2 2 2 2 2 2 4 2" xfId="40953" xr:uid="{0679F1CF-F35A-496E-AE3A-0A950028C5C2}"/>
    <cellStyle name="Notas 2 2 2 2 2 2 4 2 2" xfId="40954" xr:uid="{1385F3FC-5D96-4F63-8B8E-0CEF4BF12B5D}"/>
    <cellStyle name="Notas 2 2 2 2 2 2 4 2 3" xfId="40955" xr:uid="{A718F922-BC84-46F8-9599-601A80A80784}"/>
    <cellStyle name="Notas 2 2 2 2 2 2 4 2 4" xfId="40956" xr:uid="{9E9C1063-B254-4BC8-BBB0-457FE020A65F}"/>
    <cellStyle name="Notas 2 2 2 2 2 2 4 2 5" xfId="40957" xr:uid="{94BA29B4-2914-4DAE-88C7-D9AEBFFC9768}"/>
    <cellStyle name="Notas 2 2 2 2 2 2 4 3" xfId="40958" xr:uid="{11952ABC-8A99-4B63-BFCF-EF893E5CD5AD}"/>
    <cellStyle name="Notas 2 2 2 2 2 2 4 4" xfId="40959" xr:uid="{C7B40C03-78AF-4CE9-BDCA-50A68C1AD83A}"/>
    <cellStyle name="Notas 2 2 2 2 2 2 4 5" xfId="40960" xr:uid="{C9589EDA-7E2D-4294-AD18-D06948717B11}"/>
    <cellStyle name="Notas 2 2 2 2 2 2 4 6" xfId="40961" xr:uid="{81B0D593-53F1-4FBA-8D5E-0274E01E6B9E}"/>
    <cellStyle name="Notas 2 2 2 2 2 2 4 7" xfId="47036" xr:uid="{E38F95B4-7010-47C4-89DE-FA2907451145}"/>
    <cellStyle name="Notas 2 2 2 2 2 2 5" xfId="40962" xr:uid="{22A14AF4-BD67-4B0B-873C-03392FB63FA5}"/>
    <cellStyle name="Notas 2 2 2 2 2 2 5 2" xfId="40963" xr:uid="{D4B85D73-8F9B-4CEE-A99E-4C92D505696B}"/>
    <cellStyle name="Notas 2 2 2 2 2 2 5 2 2" xfId="40964" xr:uid="{D4E34D8F-D32B-459F-9E44-D0A7BAE14439}"/>
    <cellStyle name="Notas 2 2 2 2 2 2 5 2 3" xfId="40965" xr:uid="{DB67924C-206D-4B4F-84E0-8F6BDAE09F66}"/>
    <cellStyle name="Notas 2 2 2 2 2 2 5 2 4" xfId="40966" xr:uid="{0DA96EDA-D319-4877-9278-9E1D5528881D}"/>
    <cellStyle name="Notas 2 2 2 2 2 2 5 2 5" xfId="40967" xr:uid="{2982C34E-A03E-4297-9B83-748930C1FB2A}"/>
    <cellStyle name="Notas 2 2 2 2 2 2 5 3" xfId="40968" xr:uid="{958F5D2B-2FB8-4317-99C3-E3823AE8DBAC}"/>
    <cellStyle name="Notas 2 2 2 2 2 2 5 4" xfId="40969" xr:uid="{CBC6202A-C289-4319-B6C3-95CC87DF6B70}"/>
    <cellStyle name="Notas 2 2 2 2 2 2 5 5" xfId="40970" xr:uid="{B60782DF-C025-4DF7-9CA4-DB45914DE09F}"/>
    <cellStyle name="Notas 2 2 2 2 2 2 5 6" xfId="40971" xr:uid="{1A5882BA-9908-412A-9DED-5135FD2DDE12}"/>
    <cellStyle name="Notas 2 2 2 2 2 2 5 7" xfId="47350" xr:uid="{D6B42E69-6056-4BBA-858C-F9D8A138B015}"/>
    <cellStyle name="Notas 2 2 2 2 2 2 6" xfId="40972" xr:uid="{AE1E90D9-44D8-46DF-BFA7-E9E126AEAFFB}"/>
    <cellStyle name="Notas 2 2 2 2 2 2 6 2" xfId="40973" xr:uid="{82AC68AF-BCE8-4613-97A5-B8E356DCF4BF}"/>
    <cellStyle name="Notas 2 2 2 2 2 2 6 2 2" xfId="40974" xr:uid="{92981B74-7D99-4A8D-A547-9E854FEBC5DA}"/>
    <cellStyle name="Notas 2 2 2 2 2 2 6 2 3" xfId="40975" xr:uid="{1A7546BB-4FB7-4540-B435-BB204DEE23D1}"/>
    <cellStyle name="Notas 2 2 2 2 2 2 6 2 4" xfId="40976" xr:uid="{2210FB78-FAE6-47D1-B602-C4D4A9C40A92}"/>
    <cellStyle name="Notas 2 2 2 2 2 2 6 2 5" xfId="40977" xr:uid="{65CBFE2A-2C7A-422B-9663-1BA7801D7F4C}"/>
    <cellStyle name="Notas 2 2 2 2 2 2 6 3" xfId="40978" xr:uid="{A1133D03-98B2-413B-8FCC-417501BF6FD0}"/>
    <cellStyle name="Notas 2 2 2 2 2 2 6 4" xfId="40979" xr:uid="{1DB62B87-56D3-41AF-AFE5-FBD4039C0321}"/>
    <cellStyle name="Notas 2 2 2 2 2 2 6 5" xfId="40980" xr:uid="{57B76D77-8471-454A-9867-48C0ED7CF754}"/>
    <cellStyle name="Notas 2 2 2 2 2 2 6 6" xfId="40981" xr:uid="{682CC810-1D8B-4092-A085-9F005667949F}"/>
    <cellStyle name="Notas 2 2 2 2 2 2 6 7" xfId="47351" xr:uid="{BBEDF015-F768-418B-AA35-A593FABFE26D}"/>
    <cellStyle name="Notas 2 2 2 2 2 2 7" xfId="40982" xr:uid="{6DD17918-3475-4F4A-A3DC-C788DF38275B}"/>
    <cellStyle name="Notas 2 2 2 2 2 2 7 2" xfId="40983" xr:uid="{915A4A50-2BBD-4141-92B5-32B3DFF7C50F}"/>
    <cellStyle name="Notas 2 2 2 2 2 2 7 3" xfId="40984" xr:uid="{00015B03-59C4-49CF-992A-C4911B94BD1E}"/>
    <cellStyle name="Notas 2 2 2 2 2 2 7 4" xfId="40985" xr:uid="{06003141-8C01-4489-BE56-26F13239B75B}"/>
    <cellStyle name="Notas 2 2 2 2 2 2 7 5" xfId="40986" xr:uid="{CFCE397A-6069-453A-9CC9-A9E3A7681162}"/>
    <cellStyle name="Notas 2 2 2 2 2 2 7 6" xfId="47714" xr:uid="{1A310F81-D563-486C-9D84-3115CD1104ED}"/>
    <cellStyle name="Notas 2 2 2 2 2 2 8" xfId="40987" xr:uid="{AF604F5A-ED12-4A2E-9F62-18B4189665E0}"/>
    <cellStyle name="Notas 2 2 2 2 2 2 9" xfId="40988" xr:uid="{3C464CC1-B9D1-43BE-9FB3-4C45BC35C3CA}"/>
    <cellStyle name="Notas 2 2 2 2 2 3" xfId="40989" xr:uid="{40F02FDF-2160-4082-AE07-9DBDBD17D777}"/>
    <cellStyle name="Notas 2 2 2 2 2 3 10" xfId="40990" xr:uid="{4A62C1FE-9536-4258-9994-22209A9E8B87}"/>
    <cellStyle name="Notas 2 2 2 2 2 3 11" xfId="40991" xr:uid="{DE789BFB-9212-44C3-8E34-12A51A6AE3CD}"/>
    <cellStyle name="Notas 2 2 2 2 2 3 12" xfId="40992" xr:uid="{BA5D97A4-8D47-4FD0-8290-A3DB961A99A7}"/>
    <cellStyle name="Notas 2 2 2 2 2 3 13" xfId="46806" xr:uid="{5DB5A325-28BF-48FB-9EDE-838ED14C7E6C}"/>
    <cellStyle name="Notas 2 2 2 2 2 3 2" xfId="40993" xr:uid="{D1CBB2FB-8926-41B3-95FB-0FC0561BA7C4}"/>
    <cellStyle name="Notas 2 2 2 2 2 3 2 10" xfId="40994" xr:uid="{86002732-5B9A-493E-B024-224BADDEFEE7}"/>
    <cellStyle name="Notas 2 2 2 2 2 3 2 11" xfId="40995" xr:uid="{5C75D6F2-E0C3-4545-A922-A240F0B4A407}"/>
    <cellStyle name="Notas 2 2 2 2 2 3 2 12" xfId="40996" xr:uid="{0B969A84-84BE-42FD-9FB7-EB15492C328A}"/>
    <cellStyle name="Notas 2 2 2 2 2 3 2 2" xfId="40997" xr:uid="{F53E3444-EB25-4C89-82B3-B967D99A7DB2}"/>
    <cellStyle name="Notas 2 2 2 2 2 3 2 2 2" xfId="40998" xr:uid="{69AA7832-8E39-4699-8952-E308633708B5}"/>
    <cellStyle name="Notas 2 2 2 2 2 3 2 2 2 2" xfId="40999" xr:uid="{89B2468F-DC31-4B9C-A6B3-7A990E0C883B}"/>
    <cellStyle name="Notas 2 2 2 2 2 3 2 2 2 3" xfId="41000" xr:uid="{3D2D5682-40B3-417F-A448-F9D2F2E59595}"/>
    <cellStyle name="Notas 2 2 2 2 2 3 2 2 2 4" xfId="41001" xr:uid="{2C0DA527-1D44-403B-BB21-E91A366D99F9}"/>
    <cellStyle name="Notas 2 2 2 2 2 3 2 2 2 5" xfId="41002" xr:uid="{DC6B629A-A50F-4918-8473-2CEBD847AD3C}"/>
    <cellStyle name="Notas 2 2 2 2 2 3 2 2 3" xfId="41003" xr:uid="{083D2528-6A7E-4E0C-9B7B-2E0BE379EF51}"/>
    <cellStyle name="Notas 2 2 2 2 2 3 2 2 4" xfId="41004" xr:uid="{06602EC6-D86F-4D39-9FA6-72B72AEE6EC1}"/>
    <cellStyle name="Notas 2 2 2 2 2 3 2 2 5" xfId="41005" xr:uid="{3A0E133B-9582-4EB8-B2CB-FC82F919F57C}"/>
    <cellStyle name="Notas 2 2 2 2 2 3 2 2 6" xfId="41006" xr:uid="{97D53D21-898E-4A72-B011-A6F9FCFCE8BF}"/>
    <cellStyle name="Notas 2 2 2 2 2 3 2 3" xfId="41007" xr:uid="{A596E222-6833-47ED-8268-8BD8EA9B9383}"/>
    <cellStyle name="Notas 2 2 2 2 2 3 2 3 2" xfId="41008" xr:uid="{2354DC45-32B0-4333-AF0D-4A671A5D0992}"/>
    <cellStyle name="Notas 2 2 2 2 2 3 2 3 2 2" xfId="41009" xr:uid="{8199821D-1D55-4889-AE9C-E51D604EA286}"/>
    <cellStyle name="Notas 2 2 2 2 2 3 2 3 2 3" xfId="41010" xr:uid="{701AA11B-F697-4FAD-8817-8D3BE59F9E2E}"/>
    <cellStyle name="Notas 2 2 2 2 2 3 2 3 2 4" xfId="41011" xr:uid="{5C10F096-E10F-46E2-A15E-18257793E0E6}"/>
    <cellStyle name="Notas 2 2 2 2 2 3 2 3 2 5" xfId="41012" xr:uid="{D9EB4CA1-2138-42B9-8B0E-8C82B9A6AC14}"/>
    <cellStyle name="Notas 2 2 2 2 2 3 2 3 3" xfId="41013" xr:uid="{0E4F2E06-736D-4A76-9312-65DC13827C73}"/>
    <cellStyle name="Notas 2 2 2 2 2 3 2 3 4" xfId="41014" xr:uid="{6AD1611A-156A-4AD0-880E-034FA272458A}"/>
    <cellStyle name="Notas 2 2 2 2 2 3 2 3 5" xfId="41015" xr:uid="{FF351CA1-B4D4-4AA5-9843-B6E22A62880A}"/>
    <cellStyle name="Notas 2 2 2 2 2 3 2 3 6" xfId="41016" xr:uid="{B66F1181-9E73-453B-87E7-51E9230700A8}"/>
    <cellStyle name="Notas 2 2 2 2 2 3 2 4" xfId="41017" xr:uid="{B3304074-C282-4503-BC27-263E582F4617}"/>
    <cellStyle name="Notas 2 2 2 2 2 3 2 4 2" xfId="41018" xr:uid="{647DF2F7-6F1E-45B7-A2B1-79457B31C305}"/>
    <cellStyle name="Notas 2 2 2 2 2 3 2 4 2 2" xfId="41019" xr:uid="{3CFA94FD-67E6-4E79-9FC3-3D689257CEFE}"/>
    <cellStyle name="Notas 2 2 2 2 2 3 2 4 2 3" xfId="41020" xr:uid="{7337859E-64A7-4394-B106-07D8B923A2F7}"/>
    <cellStyle name="Notas 2 2 2 2 2 3 2 4 2 4" xfId="41021" xr:uid="{C584127E-5B2D-4FA4-B473-C36AB6910F52}"/>
    <cellStyle name="Notas 2 2 2 2 2 3 2 4 2 5" xfId="41022" xr:uid="{D822D87C-A5A6-46A7-A03A-913544B226FE}"/>
    <cellStyle name="Notas 2 2 2 2 2 3 2 4 3" xfId="41023" xr:uid="{785422DE-060A-4DD1-B1BB-DE37FC6D620B}"/>
    <cellStyle name="Notas 2 2 2 2 2 3 2 4 4" xfId="41024" xr:uid="{2ABA1AA5-7352-41FA-8633-8D5FE6962773}"/>
    <cellStyle name="Notas 2 2 2 2 2 3 2 4 5" xfId="41025" xr:uid="{A9A22008-5D26-4F5F-9EBD-FA737B8AD839}"/>
    <cellStyle name="Notas 2 2 2 2 2 3 2 4 6" xfId="41026" xr:uid="{C7E34E7D-32AB-4556-B45E-CDBDDA4A0059}"/>
    <cellStyle name="Notas 2 2 2 2 2 3 2 5" xfId="41027" xr:uid="{658FCD53-E89C-47C8-85AD-D0C303B33AC5}"/>
    <cellStyle name="Notas 2 2 2 2 2 3 2 5 2" xfId="41028" xr:uid="{84033036-8F60-4A22-B181-6E1905CAD802}"/>
    <cellStyle name="Notas 2 2 2 2 2 3 2 5 3" xfId="41029" xr:uid="{80F028A6-43B9-4723-85E3-1AE81CA5579C}"/>
    <cellStyle name="Notas 2 2 2 2 2 3 2 5 4" xfId="41030" xr:uid="{4DB31875-0A00-420A-9C61-1BD1EC6026B9}"/>
    <cellStyle name="Notas 2 2 2 2 2 3 2 5 5" xfId="41031" xr:uid="{EDC613AF-9CB4-4A37-8417-B8D39E0DB0B3}"/>
    <cellStyle name="Notas 2 2 2 2 2 3 2 6" xfId="41032" xr:uid="{D6C1A522-4781-4FD1-8760-99E709C9868C}"/>
    <cellStyle name="Notas 2 2 2 2 2 3 2 7" xfId="41033" xr:uid="{6317C025-1E5D-45CC-8C61-2F506FCBE047}"/>
    <cellStyle name="Notas 2 2 2 2 2 3 2 8" xfId="41034" xr:uid="{EA9FF20A-6EF4-499E-8BA3-836ECA81D852}"/>
    <cellStyle name="Notas 2 2 2 2 2 3 2 9" xfId="41035" xr:uid="{6AD40245-B2C1-4DFC-840D-89235AF68D2E}"/>
    <cellStyle name="Notas 2 2 2 2 2 3 3" xfId="41036" xr:uid="{352453D2-CF13-4AC8-A67D-2335A5144116}"/>
    <cellStyle name="Notas 2 2 2 2 2 3 3 2" xfId="41037" xr:uid="{15649FF3-3147-4A9F-AD88-B318A86A30CD}"/>
    <cellStyle name="Notas 2 2 2 2 2 3 3 2 2" xfId="41038" xr:uid="{5FD26CD8-0398-4245-9304-DE1B0DA0CCE9}"/>
    <cellStyle name="Notas 2 2 2 2 2 3 3 2 3" xfId="41039" xr:uid="{98A7FC29-5ABB-4558-9184-EF3E7C3D47DB}"/>
    <cellStyle name="Notas 2 2 2 2 2 3 3 2 4" xfId="41040" xr:uid="{F99570EB-F37D-47EA-90C3-A890ED3E18D4}"/>
    <cellStyle name="Notas 2 2 2 2 2 3 3 2 5" xfId="41041" xr:uid="{AFD70801-FDDD-4CA4-BD1A-EFB70699DF9E}"/>
    <cellStyle name="Notas 2 2 2 2 2 3 3 3" xfId="41042" xr:uid="{D6F77590-7919-4D52-98F8-4DEA47AD3EF6}"/>
    <cellStyle name="Notas 2 2 2 2 2 3 3 4" xfId="41043" xr:uid="{B271D693-1F72-4827-9A71-83144EAC07E2}"/>
    <cellStyle name="Notas 2 2 2 2 2 3 3 5" xfId="41044" xr:uid="{4FF933D5-13A0-4C24-8517-3BF8CF59916D}"/>
    <cellStyle name="Notas 2 2 2 2 2 3 3 6" xfId="41045" xr:uid="{29EAD77F-21F9-4B53-A14A-6C14E583D1E9}"/>
    <cellStyle name="Notas 2 2 2 2 2 3 4" xfId="41046" xr:uid="{C3A886CB-E430-40E3-8307-25A6ED7D1A14}"/>
    <cellStyle name="Notas 2 2 2 2 2 3 4 2" xfId="41047" xr:uid="{1739BFC3-335B-4874-A412-48C02806441A}"/>
    <cellStyle name="Notas 2 2 2 2 2 3 4 2 2" xfId="41048" xr:uid="{EEA7D1B8-064B-4FE6-B0E2-E52F1DC350D2}"/>
    <cellStyle name="Notas 2 2 2 2 2 3 4 2 3" xfId="41049" xr:uid="{672A76D9-7E01-4503-AD57-E8F6AF4288F1}"/>
    <cellStyle name="Notas 2 2 2 2 2 3 4 2 4" xfId="41050" xr:uid="{DFC67119-58CF-43DC-9D9F-082684BE5EEB}"/>
    <cellStyle name="Notas 2 2 2 2 2 3 4 2 5" xfId="41051" xr:uid="{3A7E4CD3-3E8D-42F3-9A4D-47456C4D3201}"/>
    <cellStyle name="Notas 2 2 2 2 2 3 4 3" xfId="41052" xr:uid="{A82C794F-397F-47E5-8884-6B3AF691E000}"/>
    <cellStyle name="Notas 2 2 2 2 2 3 4 4" xfId="41053" xr:uid="{7EAB0E8C-6642-4E3F-8AA6-1F9E58BBB75E}"/>
    <cellStyle name="Notas 2 2 2 2 2 3 4 5" xfId="41054" xr:uid="{CE163792-97B1-4A31-AFA1-CB756551CF3A}"/>
    <cellStyle name="Notas 2 2 2 2 2 3 4 6" xfId="41055" xr:uid="{C88AE872-A757-4E50-BAA8-170BDAC849AF}"/>
    <cellStyle name="Notas 2 2 2 2 2 3 5" xfId="41056" xr:uid="{D5FAECDB-BFC4-4980-9CE0-1665727BA967}"/>
    <cellStyle name="Notas 2 2 2 2 2 3 5 2" xfId="41057" xr:uid="{11993AB4-3C7B-442C-9019-A48855BB1363}"/>
    <cellStyle name="Notas 2 2 2 2 2 3 5 3" xfId="41058" xr:uid="{E870E77D-83B4-4484-B696-2CA44267480C}"/>
    <cellStyle name="Notas 2 2 2 2 2 3 5 4" xfId="41059" xr:uid="{AA046A7A-F149-4B71-8D21-660AFE1E6A0C}"/>
    <cellStyle name="Notas 2 2 2 2 2 3 5 5" xfId="41060" xr:uid="{EC9069D5-3BE7-437F-8312-FA116B1E96C6}"/>
    <cellStyle name="Notas 2 2 2 2 2 3 6" xfId="41061" xr:uid="{D41656F2-5BD3-44CE-824F-5148AF23B89D}"/>
    <cellStyle name="Notas 2 2 2 2 2 3 7" xfId="41062" xr:uid="{1B8BD3DD-39C6-4782-AF17-F61476F7FEE4}"/>
    <cellStyle name="Notas 2 2 2 2 2 3 8" xfId="41063" xr:uid="{7BF25153-B6E3-4055-A418-3B817CF60A67}"/>
    <cellStyle name="Notas 2 2 2 2 2 3 9" xfId="41064" xr:uid="{422338ED-9AF4-4175-8DBC-B1B50FD33672}"/>
    <cellStyle name="Notas 2 2 2 2 2 4" xfId="41065" xr:uid="{5C9C874A-A8B4-4065-9EEB-FED03247F364}"/>
    <cellStyle name="Notas 2 2 2 2 2 4 2" xfId="41066" xr:uid="{D5BD05F2-4006-4C64-B652-C6DA3C2148BA}"/>
    <cellStyle name="Notas 2 2 2 2 2 4 2 2" xfId="41067" xr:uid="{F4626D18-A9AE-494D-8D73-99DB03FF841F}"/>
    <cellStyle name="Notas 2 2 2 2 2 4 2 3" xfId="41068" xr:uid="{D57283C2-CA72-497F-92A9-8CBECDB45CEC}"/>
    <cellStyle name="Notas 2 2 2 2 2 4 2 4" xfId="41069" xr:uid="{46EB8D27-4BEA-4DE3-9C60-16A61F9A771C}"/>
    <cellStyle name="Notas 2 2 2 2 2 4 2 5" xfId="41070" xr:uid="{DE36D854-C5C6-4F5B-A78E-9CCA14CB14CB}"/>
    <cellStyle name="Notas 2 2 2 2 2 4 3" xfId="41071" xr:uid="{45CE4C58-67DE-483F-9E3D-C328B0E015F1}"/>
    <cellStyle name="Notas 2 2 2 2 2 4 4" xfId="41072" xr:uid="{8A2308AB-BF8D-479D-9CDD-8F361F43FBFB}"/>
    <cellStyle name="Notas 2 2 2 2 2 4 5" xfId="41073" xr:uid="{9802AD79-3D13-4ACC-B5AF-915FBF5C6117}"/>
    <cellStyle name="Notas 2 2 2 2 2 4 6" xfId="41074" xr:uid="{19053FD2-1AF2-4CB7-8B6A-DD83D71C7245}"/>
    <cellStyle name="Notas 2 2 2 2 2 4 7" xfId="46869" xr:uid="{EFF77CBF-4E94-4618-B873-B8DF731026C0}"/>
    <cellStyle name="Notas 2 2 2 2 2 4 8" xfId="47037" xr:uid="{09C844FB-7918-4728-BD7B-BEAB2A5018D5}"/>
    <cellStyle name="Notas 2 2 2 2 2 5" xfId="41075" xr:uid="{A4F0AEEE-E129-42F6-843B-3FB9999A8BB1}"/>
    <cellStyle name="Notas 2 2 2 2 2 5 2" xfId="41076" xr:uid="{77EB7CA5-D479-4E2A-BBE8-8D5253F6896B}"/>
    <cellStyle name="Notas 2 2 2 2 2 5 2 2" xfId="41077" xr:uid="{AC43EE6F-C3C5-425E-99B6-0A938AC91EF6}"/>
    <cellStyle name="Notas 2 2 2 2 2 5 2 3" xfId="41078" xr:uid="{00AE3288-DC0E-40D3-8294-E3E4AC86EB8B}"/>
    <cellStyle name="Notas 2 2 2 2 2 5 2 4" xfId="41079" xr:uid="{A07A5298-4D88-4994-859E-C23C3DC6C4B5}"/>
    <cellStyle name="Notas 2 2 2 2 2 5 2 5" xfId="41080" xr:uid="{030BBA88-5023-431F-A3B8-3B2581936C01}"/>
    <cellStyle name="Notas 2 2 2 2 2 5 3" xfId="41081" xr:uid="{CB6D6B76-6D77-4E9A-B9EB-DE29215ADB96}"/>
    <cellStyle name="Notas 2 2 2 2 2 5 4" xfId="41082" xr:uid="{70DAACB0-E287-4A08-A2EA-EB74F7934E1C}"/>
    <cellStyle name="Notas 2 2 2 2 2 5 5" xfId="41083" xr:uid="{90F03B47-3E1E-4FD7-8570-3760083ACE17}"/>
    <cellStyle name="Notas 2 2 2 2 2 5 6" xfId="41084" xr:uid="{DBAEA199-D68B-4713-896D-5E04858952B0}"/>
    <cellStyle name="Notas 2 2 2 2 2 5 7" xfId="47038" xr:uid="{FBA3342A-5699-49D1-82C0-EEE36727F4EE}"/>
    <cellStyle name="Notas 2 2 2 2 2 6" xfId="41085" xr:uid="{EDD0B491-20C3-456C-AFAB-4C3DDD0ED396}"/>
    <cellStyle name="Notas 2 2 2 2 2 6 2" xfId="41086" xr:uid="{B4097340-CAB6-4725-9967-FD0B75D793BD}"/>
    <cellStyle name="Notas 2 2 2 2 2 6 2 2" xfId="41087" xr:uid="{B914D53A-5E81-4887-8F91-E13659D74171}"/>
    <cellStyle name="Notas 2 2 2 2 2 6 2 3" xfId="41088" xr:uid="{59ECA1E5-B497-449D-AB8E-A85B2B75B316}"/>
    <cellStyle name="Notas 2 2 2 2 2 6 2 4" xfId="41089" xr:uid="{6A63DFAA-211B-4A8C-884C-FFC3AA7C03FE}"/>
    <cellStyle name="Notas 2 2 2 2 2 6 2 5" xfId="41090" xr:uid="{465418F6-3E90-455C-A9B0-502D58FA402A}"/>
    <cellStyle name="Notas 2 2 2 2 2 6 3" xfId="41091" xr:uid="{8F594693-6AAF-408A-A08A-5974E42A9943}"/>
    <cellStyle name="Notas 2 2 2 2 2 6 4" xfId="41092" xr:uid="{243D6210-BC97-436C-AA6C-69DB0A35E759}"/>
    <cellStyle name="Notas 2 2 2 2 2 6 5" xfId="41093" xr:uid="{36127009-CA1F-400B-9C58-A52C8B01FF64}"/>
    <cellStyle name="Notas 2 2 2 2 2 6 6" xfId="41094" xr:uid="{A02A9E19-75C9-4ECB-B7E9-EBC9C17B4C4D}"/>
    <cellStyle name="Notas 2 2 2 2 2 6 7" xfId="47352" xr:uid="{2B679A67-8C15-4E75-ABD2-427313D2870F}"/>
    <cellStyle name="Notas 2 2 2 2 2 7" xfId="41095" xr:uid="{26F35198-A38A-411F-80BC-3F0297FE4099}"/>
    <cellStyle name="Notas 2 2 2 2 2 7 2" xfId="41096" xr:uid="{79D62203-7158-4A69-B31D-B3D739308CED}"/>
    <cellStyle name="Notas 2 2 2 2 2 7 3" xfId="41097" xr:uid="{73D94676-01D9-40A3-ABDF-C124FA9FAA8F}"/>
    <cellStyle name="Notas 2 2 2 2 2 7 4" xfId="41098" xr:uid="{335E31C7-A8CE-4C7E-8A66-E67BCD5A4A14}"/>
    <cellStyle name="Notas 2 2 2 2 2 7 5" xfId="41099" xr:uid="{9A81D6BC-204E-4523-A5E6-1EDCF26B85F1}"/>
    <cellStyle name="Notas 2 2 2 2 2 7 6" xfId="47353" xr:uid="{23C1022E-74A4-46A8-8EF8-FAE977ECD301}"/>
    <cellStyle name="Notas 2 2 2 2 2 8" xfId="41100" xr:uid="{32B83ADF-B97B-4DF8-96D3-0220B41215AA}"/>
    <cellStyle name="Notas 2 2 2 2 2 8 2" xfId="47715" xr:uid="{F867C7BA-D6E5-4BD2-965F-14C8D7DF7B0C}"/>
    <cellStyle name="Notas 2 2 2 2 2 9" xfId="41101" xr:uid="{3AEF7E01-610E-4D4F-9B65-F17D20D3038B}"/>
    <cellStyle name="Notas 2 2 2 2 3" xfId="41102" xr:uid="{ADB6DEE5-98C4-4755-B66E-2E953EAF1A7A}"/>
    <cellStyle name="Notas 2 2 2 2 3 10" xfId="46064" xr:uid="{5B9CCB56-8091-4BEC-8D44-AF41698063F6}"/>
    <cellStyle name="Notas 2 2 2 2 3 11" xfId="46406" xr:uid="{45307540-156E-425B-9B03-70A3500EA6F2}"/>
    <cellStyle name="Notas 2 2 2 2 3 2" xfId="41103" xr:uid="{9B98AC9B-11D6-4363-B364-6BCD1B811093}"/>
    <cellStyle name="Notas 2 2 2 2 3 2 2" xfId="41104" xr:uid="{908F21AD-7CE4-42B7-A4E4-4073B6C9580A}"/>
    <cellStyle name="Notas 2 2 2 2 3 2 3" xfId="41105" xr:uid="{34EAC3A3-CC5E-47F1-AFB4-12F5786D45C3}"/>
    <cellStyle name="Notas 2 2 2 2 3 2 4" xfId="41106" xr:uid="{3AA826BE-ED4D-4C2E-AB69-8309EC555739}"/>
    <cellStyle name="Notas 2 2 2 2 3 2 5" xfId="41107" xr:uid="{599CAC1C-827C-4E1F-A827-B89F9DB12D46}"/>
    <cellStyle name="Notas 2 2 2 2 3 2 6" xfId="46807" xr:uid="{141ACEC1-D8D1-4DD0-8B15-39C4EDC7EA86}"/>
    <cellStyle name="Notas 2 2 2 2 3 3" xfId="41108" xr:uid="{4189012C-BE78-4612-924B-A315965F67E9}"/>
    <cellStyle name="Notas 2 2 2 2 3 3 2" xfId="46871" xr:uid="{9563CEE7-62CB-412E-ACE3-FA025AFAF887}"/>
    <cellStyle name="Notas 2 2 2 2 3 3 3" xfId="47039" xr:uid="{2A11A103-C180-4DD7-8DDE-242F2C960178}"/>
    <cellStyle name="Notas 2 2 2 2 3 4" xfId="41109" xr:uid="{359153D9-D18E-448B-8F67-1EE235CC02D0}"/>
    <cellStyle name="Notas 2 2 2 2 3 4 2" xfId="47040" xr:uid="{BCE603DD-24BA-4856-B9BC-E5FD44AD318C}"/>
    <cellStyle name="Notas 2 2 2 2 3 5" xfId="41110" xr:uid="{2E63B401-D6C9-4D66-A6D1-65AAF3312814}"/>
    <cellStyle name="Notas 2 2 2 2 3 5 2" xfId="47354" xr:uid="{7B4F60C6-C203-4B36-A810-228AC2278A79}"/>
    <cellStyle name="Notas 2 2 2 2 3 6" xfId="41111" xr:uid="{8D0E3FDA-5033-434A-A43E-5BF74D4A5F80}"/>
    <cellStyle name="Notas 2 2 2 2 3 6 2" xfId="47355" xr:uid="{E8724B99-982B-401C-BC90-EF58BAC2A713}"/>
    <cellStyle name="Notas 2 2 2 2 3 7" xfId="41112" xr:uid="{6E0B02F5-0BCB-4939-8C7C-EAD9B9357BA4}"/>
    <cellStyle name="Notas 2 2 2 2 3 7 2" xfId="47716" xr:uid="{95BA7EDA-CFED-41B4-BD62-F82AFE4F1164}"/>
    <cellStyle name="Notas 2 2 2 2 3 8" xfId="41113" xr:uid="{9BCBA179-924F-4E46-8019-929AE67CC196}"/>
    <cellStyle name="Notas 2 2 2 2 3 9" xfId="41114" xr:uid="{E0CE368F-E335-4D51-896F-BC4249198528}"/>
    <cellStyle name="Notas 2 2 2 2 4" xfId="41115" xr:uid="{906E9FB4-C007-45D3-AA00-F5308A9A063C}"/>
    <cellStyle name="Notas 2 2 2 2 4 10" xfId="41116" xr:uid="{2B434875-8508-4471-A018-BA16922C6C39}"/>
    <cellStyle name="Notas 2 2 2 2 4 11" xfId="41117" xr:uid="{0F4BCADE-16E7-4D42-8243-79A906281FEB}"/>
    <cellStyle name="Notas 2 2 2 2 4 12" xfId="41118" xr:uid="{E6CA203B-2B0F-46CD-B1AA-DD6E50768CAD}"/>
    <cellStyle name="Notas 2 2 2 2 4 13" xfId="46808" xr:uid="{F95DD404-63E1-4145-9392-0420D834D746}"/>
    <cellStyle name="Notas 2 2 2 2 4 2" xfId="41119" xr:uid="{67D424FF-DA7A-447A-AFF0-13E3D35B2E30}"/>
    <cellStyle name="Notas 2 2 2 2 4 2 10" xfId="41120" xr:uid="{807956F5-2ACB-494F-8B6F-32212B697826}"/>
    <cellStyle name="Notas 2 2 2 2 4 2 11" xfId="41121" xr:uid="{9E09312B-FCB9-4E69-811A-F65228BCFC5C}"/>
    <cellStyle name="Notas 2 2 2 2 4 2 12" xfId="41122" xr:uid="{CBC1BC64-4354-44B4-B711-EE9DBA5B52D2}"/>
    <cellStyle name="Notas 2 2 2 2 4 2 2" xfId="41123" xr:uid="{579113ED-4CAE-44C0-89F9-1D7EB896BE7E}"/>
    <cellStyle name="Notas 2 2 2 2 4 2 2 2" xfId="41124" xr:uid="{6BD5161A-A805-4E1B-98C2-4B3CF9FFD2EF}"/>
    <cellStyle name="Notas 2 2 2 2 4 2 2 2 2" xfId="41125" xr:uid="{F6760754-ED6B-4A3B-981C-D9205170010E}"/>
    <cellStyle name="Notas 2 2 2 2 4 2 2 2 3" xfId="41126" xr:uid="{54753FCA-6617-4BD8-8648-A7C5750260FA}"/>
    <cellStyle name="Notas 2 2 2 2 4 2 2 2 4" xfId="41127" xr:uid="{91ACDDD6-1C27-45B9-B600-31AED7C3D831}"/>
    <cellStyle name="Notas 2 2 2 2 4 2 2 2 5" xfId="41128" xr:uid="{9139B770-3ECD-4BA3-BAD4-BA6582CF67CA}"/>
    <cellStyle name="Notas 2 2 2 2 4 2 2 3" xfId="41129" xr:uid="{9D902DEA-21F7-4AFE-AE26-A64696AB0FC0}"/>
    <cellStyle name="Notas 2 2 2 2 4 2 2 4" xfId="41130" xr:uid="{E77FABA2-DC0A-425C-89BF-76F8872B2651}"/>
    <cellStyle name="Notas 2 2 2 2 4 2 2 5" xfId="41131" xr:uid="{90C8C915-5387-42E3-8692-C07521FBE7C2}"/>
    <cellStyle name="Notas 2 2 2 2 4 2 2 6" xfId="41132" xr:uid="{171C410B-966D-40BB-84E3-228E167B0536}"/>
    <cellStyle name="Notas 2 2 2 2 4 2 3" xfId="41133" xr:uid="{EF0A4139-A774-4A65-8054-0D82C6CCBCEE}"/>
    <cellStyle name="Notas 2 2 2 2 4 2 3 2" xfId="41134" xr:uid="{026A9313-4770-4C11-B8CC-7B68AD177B7A}"/>
    <cellStyle name="Notas 2 2 2 2 4 2 3 2 2" xfId="41135" xr:uid="{CE68DDDA-CA19-4265-8E33-20CEAC0E19F2}"/>
    <cellStyle name="Notas 2 2 2 2 4 2 3 2 3" xfId="41136" xr:uid="{78E06CF6-6F38-4367-8B31-C633130AA295}"/>
    <cellStyle name="Notas 2 2 2 2 4 2 3 2 4" xfId="41137" xr:uid="{1AB3B680-86B5-4643-8EE4-6C09F9B947C1}"/>
    <cellStyle name="Notas 2 2 2 2 4 2 3 2 5" xfId="41138" xr:uid="{D275C6DB-674E-4B41-AAB8-23345C56E56D}"/>
    <cellStyle name="Notas 2 2 2 2 4 2 3 3" xfId="41139" xr:uid="{E63118ED-BB60-497A-B0FA-22DB9348C8FA}"/>
    <cellStyle name="Notas 2 2 2 2 4 2 3 4" xfId="41140" xr:uid="{CEF6E6F0-45B6-4C2B-8548-C835504A0B20}"/>
    <cellStyle name="Notas 2 2 2 2 4 2 3 5" xfId="41141" xr:uid="{DB19D713-3542-4A97-ACAB-A46B2A10F9B1}"/>
    <cellStyle name="Notas 2 2 2 2 4 2 3 6" xfId="41142" xr:uid="{38ACA16B-21F9-49F9-A10D-AC7CD93A3AD1}"/>
    <cellStyle name="Notas 2 2 2 2 4 2 4" xfId="41143" xr:uid="{99DC013D-D47B-4389-9EC3-10CBB281A378}"/>
    <cellStyle name="Notas 2 2 2 2 4 2 4 2" xfId="41144" xr:uid="{7C7D0D50-2AB8-4C98-8B6E-77746A307222}"/>
    <cellStyle name="Notas 2 2 2 2 4 2 4 2 2" xfId="41145" xr:uid="{6FA4A0F8-67FE-48EA-A150-9258B0536685}"/>
    <cellStyle name="Notas 2 2 2 2 4 2 4 2 3" xfId="41146" xr:uid="{4200BDA5-BD43-443A-9B9B-96C9F8D9189F}"/>
    <cellStyle name="Notas 2 2 2 2 4 2 4 2 4" xfId="41147" xr:uid="{9F4991AC-BB0C-4931-B262-C6BA848C495E}"/>
    <cellStyle name="Notas 2 2 2 2 4 2 4 2 5" xfId="41148" xr:uid="{2FC137E4-8352-4D30-8BCC-0A2381A0A57C}"/>
    <cellStyle name="Notas 2 2 2 2 4 2 4 3" xfId="41149" xr:uid="{5E1DB661-8953-4AE5-BBE7-0C5D29DBA6B9}"/>
    <cellStyle name="Notas 2 2 2 2 4 2 4 4" xfId="41150" xr:uid="{895262AA-DFA8-4216-8AAE-BF7604BDB6D2}"/>
    <cellStyle name="Notas 2 2 2 2 4 2 4 5" xfId="41151" xr:uid="{4366BAD7-1351-441A-A5D9-F2E64704F1FB}"/>
    <cellStyle name="Notas 2 2 2 2 4 2 4 6" xfId="41152" xr:uid="{2C2DF679-2370-4C85-88FA-3C8487BA0BA3}"/>
    <cellStyle name="Notas 2 2 2 2 4 2 5" xfId="41153" xr:uid="{30D0F2FB-A0D8-47BE-9CDB-77E47E6FC882}"/>
    <cellStyle name="Notas 2 2 2 2 4 2 5 2" xfId="41154" xr:uid="{36A49BF3-1779-4444-BCB1-8A60AF99EFB9}"/>
    <cellStyle name="Notas 2 2 2 2 4 2 5 3" xfId="41155" xr:uid="{CEFF100B-7349-44BA-80A0-608D6EF56C7A}"/>
    <cellStyle name="Notas 2 2 2 2 4 2 5 4" xfId="41156" xr:uid="{6BC428DA-01CF-4B31-8666-9A31E987FC32}"/>
    <cellStyle name="Notas 2 2 2 2 4 2 5 5" xfId="41157" xr:uid="{D7C18687-2521-41B9-A5C3-D89845D22AFA}"/>
    <cellStyle name="Notas 2 2 2 2 4 2 6" xfId="41158" xr:uid="{244072F9-347B-4623-90CB-CD5BDBD6C720}"/>
    <cellStyle name="Notas 2 2 2 2 4 2 7" xfId="41159" xr:uid="{49DBE92A-3B4B-49EC-9A6C-F1F4BE8DB791}"/>
    <cellStyle name="Notas 2 2 2 2 4 2 8" xfId="41160" xr:uid="{00662FA1-FFF4-45EB-A792-F6E527F33E18}"/>
    <cellStyle name="Notas 2 2 2 2 4 2 9" xfId="41161" xr:uid="{58A561E6-CDBD-4A2B-8DC4-F47BE00FE07B}"/>
    <cellStyle name="Notas 2 2 2 2 4 3" xfId="41162" xr:uid="{43000C73-C63E-4E0B-9E74-04182ADF93C2}"/>
    <cellStyle name="Notas 2 2 2 2 4 3 2" xfId="41163" xr:uid="{1C084E10-8AA5-4A65-955E-2A949920C4CA}"/>
    <cellStyle name="Notas 2 2 2 2 4 3 2 2" xfId="41164" xr:uid="{9D35CDD3-5EC0-4796-A310-FE9B1FC9A634}"/>
    <cellStyle name="Notas 2 2 2 2 4 3 2 3" xfId="41165" xr:uid="{2D78705C-0C91-4C0A-B511-99E80531D6FF}"/>
    <cellStyle name="Notas 2 2 2 2 4 3 2 4" xfId="41166" xr:uid="{0E834548-9A27-49E1-8F03-45BA75434A52}"/>
    <cellStyle name="Notas 2 2 2 2 4 3 2 5" xfId="41167" xr:uid="{B45858C1-87D2-45C5-9677-F8E5D29A68A0}"/>
    <cellStyle name="Notas 2 2 2 2 4 3 3" xfId="41168" xr:uid="{252B72B9-914D-4A0C-AC6D-29A40C240E56}"/>
    <cellStyle name="Notas 2 2 2 2 4 3 4" xfId="41169" xr:uid="{690421A6-C3BD-4B9F-87BB-5FCE7C70EA01}"/>
    <cellStyle name="Notas 2 2 2 2 4 3 5" xfId="41170" xr:uid="{2106FA08-1EA1-4C04-A76B-680205CA7FEE}"/>
    <cellStyle name="Notas 2 2 2 2 4 3 6" xfId="41171" xr:uid="{AF351564-7BBB-41D2-AF32-7943AEAC627F}"/>
    <cellStyle name="Notas 2 2 2 2 4 4" xfId="41172" xr:uid="{46C31B2C-DC32-4E6C-A154-285F30945186}"/>
    <cellStyle name="Notas 2 2 2 2 4 4 2" xfId="41173" xr:uid="{4B3F77FA-2D91-438E-9B89-166AD2193BAD}"/>
    <cellStyle name="Notas 2 2 2 2 4 4 2 2" xfId="41174" xr:uid="{60643940-2809-4A0F-9CAE-3BBD8063B206}"/>
    <cellStyle name="Notas 2 2 2 2 4 4 2 3" xfId="41175" xr:uid="{2D58731B-8F2C-4469-BF35-54D3C70AE240}"/>
    <cellStyle name="Notas 2 2 2 2 4 4 2 4" xfId="41176" xr:uid="{D14A5574-0511-488C-B282-26575416014C}"/>
    <cellStyle name="Notas 2 2 2 2 4 4 2 5" xfId="41177" xr:uid="{4CBC458A-A95A-4D67-8AFB-CE6A96902E28}"/>
    <cellStyle name="Notas 2 2 2 2 4 4 3" xfId="41178" xr:uid="{2A3AC5E8-52F0-445F-8925-2268A5BEB560}"/>
    <cellStyle name="Notas 2 2 2 2 4 4 4" xfId="41179" xr:uid="{7D681544-B957-491D-A4B3-A8E2C76C5984}"/>
    <cellStyle name="Notas 2 2 2 2 4 4 5" xfId="41180" xr:uid="{9E6CDF63-0AD7-4C9E-B792-1F5CBB2E3514}"/>
    <cellStyle name="Notas 2 2 2 2 4 4 6" xfId="41181" xr:uid="{C2A6A31D-D5D2-464C-9F30-3AC32BFAC768}"/>
    <cellStyle name="Notas 2 2 2 2 4 5" xfId="41182" xr:uid="{3E5B318D-9EF2-42A8-80D2-3E773C484D37}"/>
    <cellStyle name="Notas 2 2 2 2 4 5 2" xfId="41183" xr:uid="{3494F54F-F9A2-40CD-8474-7960373286BB}"/>
    <cellStyle name="Notas 2 2 2 2 4 5 3" xfId="41184" xr:uid="{98108D15-2660-4253-B33F-C8839CD899D2}"/>
    <cellStyle name="Notas 2 2 2 2 4 5 4" xfId="41185" xr:uid="{1AA56B0C-39F7-436E-BD59-688A9964FE1E}"/>
    <cellStyle name="Notas 2 2 2 2 4 5 5" xfId="41186" xr:uid="{10AF3635-1A69-4F62-B27E-D34E1E1FC429}"/>
    <cellStyle name="Notas 2 2 2 2 4 6" xfId="41187" xr:uid="{F6E44C17-88F8-4F24-BBE3-7438B5DB1C7D}"/>
    <cellStyle name="Notas 2 2 2 2 4 7" xfId="41188" xr:uid="{AA26512D-FCA2-4B5E-9800-9E00CA6925CE}"/>
    <cellStyle name="Notas 2 2 2 2 4 8" xfId="41189" xr:uid="{5916A27D-FF2D-4D8B-B490-525BD0A585D6}"/>
    <cellStyle name="Notas 2 2 2 2 4 9" xfId="41190" xr:uid="{41C75901-E37C-4666-B55F-0B22ACF92145}"/>
    <cellStyle name="Notas 2 2 2 2 5" xfId="41191" xr:uid="{93271AA0-C007-4E91-8425-30F28467BAF4}"/>
    <cellStyle name="Notas 2 2 2 2 5 2" xfId="41192" xr:uid="{8B6C6C6B-0CAE-4640-B434-164198F3F5ED}"/>
    <cellStyle name="Notas 2 2 2 2 5 2 2" xfId="41193" xr:uid="{D4ADA159-84A7-4947-972E-459A2CD4E7D0}"/>
    <cellStyle name="Notas 2 2 2 2 5 2 3" xfId="41194" xr:uid="{C3AB4369-4BB0-455A-B674-4D8055FB949A}"/>
    <cellStyle name="Notas 2 2 2 2 5 2 4" xfId="41195" xr:uid="{0A1CDAEA-BB6B-4324-AB2F-2CB4A5E5420D}"/>
    <cellStyle name="Notas 2 2 2 2 5 2 5" xfId="41196" xr:uid="{DB785AB5-5C64-4341-AC07-DE0DF8BCA4AE}"/>
    <cellStyle name="Notas 2 2 2 2 5 3" xfId="41197" xr:uid="{9F1C6B27-7B89-4408-B191-BAC56B2F66BE}"/>
    <cellStyle name="Notas 2 2 2 2 5 4" xfId="41198" xr:uid="{7C9C68B7-5665-4CCF-9DB2-1B77C8A7CDCC}"/>
    <cellStyle name="Notas 2 2 2 2 5 5" xfId="41199" xr:uid="{89A94CFE-36B6-4896-8C7E-8C985350AF44}"/>
    <cellStyle name="Notas 2 2 2 2 5 6" xfId="41200" xr:uid="{2BA3558C-9200-482C-ABF4-17E23345A22F}"/>
    <cellStyle name="Notas 2 2 2 2 5 7" xfId="46868" xr:uid="{FDD6E80C-FC6B-4E68-8D0B-FE10AD3E1555}"/>
    <cellStyle name="Notas 2 2 2 2 5 8" xfId="47041" xr:uid="{80C35AC7-F8F7-43AB-A577-C8E568426841}"/>
    <cellStyle name="Notas 2 2 2 2 6" xfId="41201" xr:uid="{35BA4B18-3F2B-4F55-BD13-2D761EDBF771}"/>
    <cellStyle name="Notas 2 2 2 2 6 2" xfId="41202" xr:uid="{31497C25-A563-4741-8554-C5DC614EDF0D}"/>
    <cellStyle name="Notas 2 2 2 2 6 2 2" xfId="41203" xr:uid="{8828489A-249D-4040-827C-FD6722A6AB8B}"/>
    <cellStyle name="Notas 2 2 2 2 6 2 3" xfId="41204" xr:uid="{58A53C03-B0F8-4820-9E1E-21A032F8024C}"/>
    <cellStyle name="Notas 2 2 2 2 6 2 4" xfId="41205" xr:uid="{67AD310B-EF18-4B7E-8780-665C00A780F4}"/>
    <cellStyle name="Notas 2 2 2 2 6 2 5" xfId="41206" xr:uid="{42B11E29-82CD-4260-B0D7-9C712512BC5B}"/>
    <cellStyle name="Notas 2 2 2 2 6 3" xfId="41207" xr:uid="{C7D31E14-967F-4BD9-8B54-D763F3A7A988}"/>
    <cellStyle name="Notas 2 2 2 2 6 4" xfId="41208" xr:uid="{552C7C41-B40E-4E9A-A818-C5195176B003}"/>
    <cellStyle name="Notas 2 2 2 2 6 5" xfId="41209" xr:uid="{CACFB745-5B44-467C-92D2-B61212E75025}"/>
    <cellStyle name="Notas 2 2 2 2 6 6" xfId="41210" xr:uid="{ECA4F6E4-D987-4134-A8A1-9780F3F8885F}"/>
    <cellStyle name="Notas 2 2 2 2 6 7" xfId="47042" xr:uid="{1B2400CA-1357-4878-A38A-EF88D8F1CDB9}"/>
    <cellStyle name="Notas 2 2 2 2 7" xfId="41211" xr:uid="{FE58E140-979D-4F34-9E87-FD663F43DD40}"/>
    <cellStyle name="Notas 2 2 2 2 7 2" xfId="41212" xr:uid="{22801F42-7A81-4754-9594-9A9A30FBDAF4}"/>
    <cellStyle name="Notas 2 2 2 2 7 2 2" xfId="41213" xr:uid="{1F10696F-40C3-4A41-BBC8-8490D7F38241}"/>
    <cellStyle name="Notas 2 2 2 2 7 2 3" xfId="41214" xr:uid="{4A53B9C9-DC69-47ED-B257-DDBF6D5437B2}"/>
    <cellStyle name="Notas 2 2 2 2 7 2 4" xfId="41215" xr:uid="{0078C1C7-0655-4CEB-8D7D-2DB49E57C415}"/>
    <cellStyle name="Notas 2 2 2 2 7 2 5" xfId="41216" xr:uid="{13E539DD-277A-4A06-A074-EC928F88CC99}"/>
    <cellStyle name="Notas 2 2 2 2 7 3" xfId="41217" xr:uid="{99D5352B-1A75-4632-B021-D896B02EECF7}"/>
    <cellStyle name="Notas 2 2 2 2 7 4" xfId="41218" xr:uid="{749D9ACD-EB95-450B-93EB-43F6278A5EEE}"/>
    <cellStyle name="Notas 2 2 2 2 7 5" xfId="41219" xr:uid="{9FD3E661-BAB4-4CE1-BA29-8293C9CF8CD5}"/>
    <cellStyle name="Notas 2 2 2 2 7 6" xfId="41220" xr:uid="{6CD412A0-A219-42E8-B75F-A88C08BF3113}"/>
    <cellStyle name="Notas 2 2 2 2 7 7" xfId="47356" xr:uid="{1D573B1D-BAA8-4B03-A401-326E0B8DB8DA}"/>
    <cellStyle name="Notas 2 2 2 2 8" xfId="41221" xr:uid="{3BBE9514-2728-4B3B-8D56-C836C7B4DC18}"/>
    <cellStyle name="Notas 2 2 2 2 8 2" xfId="41222" xr:uid="{8FCA1F74-951F-4462-B58C-22D1FCE4D60C}"/>
    <cellStyle name="Notas 2 2 2 2 8 3" xfId="41223" xr:uid="{09312F42-AE84-433B-8C08-D42255D29E5C}"/>
    <cellStyle name="Notas 2 2 2 2 8 4" xfId="41224" xr:uid="{D12DC25C-65B9-48A1-BB23-6EB531D536E6}"/>
    <cellStyle name="Notas 2 2 2 2 8 5" xfId="41225" xr:uid="{88AACE49-6409-45FF-ABC2-DDAF1AF7D5EB}"/>
    <cellStyle name="Notas 2 2 2 2 8 6" xfId="47357" xr:uid="{CB0607AD-B87A-43F4-8F0D-F8E0C792F8C7}"/>
    <cellStyle name="Notas 2 2 2 2 9" xfId="41226" xr:uid="{92FDA2F7-84A4-43D3-9ABE-D441C43A9D9D}"/>
    <cellStyle name="Notas 2 2 2 2 9 2" xfId="47717" xr:uid="{0133902A-1E6B-4542-B53B-EBEA486F4A91}"/>
    <cellStyle name="Notas 2 2 2 3" xfId="41227" xr:uid="{BD5177B4-31ED-4610-94B5-9CB61F5114AB}"/>
    <cellStyle name="Notas 2 2 2 3 10" xfId="46065" xr:uid="{D8BDA837-E36A-4E7F-9817-654F8165E4E1}"/>
    <cellStyle name="Notas 2 2 2 3 11" xfId="46407" xr:uid="{C368AFC5-8741-4315-B106-AF394769B61D}"/>
    <cellStyle name="Notas 2 2 2 3 2" xfId="41228" xr:uid="{525FE129-29E4-494F-9059-3DC27D5BBC26}"/>
    <cellStyle name="Notas 2 2 2 3 2 2" xfId="41229" xr:uid="{E9198B82-1D98-4E47-A9E5-E214F3E53409}"/>
    <cellStyle name="Notas 2 2 2 3 2 2 2" xfId="46809" xr:uid="{D125385F-0B2E-4508-B6E7-717DEFEEEDB7}"/>
    <cellStyle name="Notas 2 2 2 3 2 3" xfId="41230" xr:uid="{9CC7FADF-EC86-46E9-AA8C-6FE127993E89}"/>
    <cellStyle name="Notas 2 2 2 3 2 3 2" xfId="46873" xr:uid="{86DE2BB3-C49C-4AEA-B01C-7A46CDC99ECE}"/>
    <cellStyle name="Notas 2 2 2 3 2 3 3" xfId="47043" xr:uid="{C073CB0E-5DE7-444D-AF0C-97699AFECEC1}"/>
    <cellStyle name="Notas 2 2 2 3 2 4" xfId="41231" xr:uid="{3D5EDED5-0D3C-4C3D-9150-9B072CC91437}"/>
    <cellStyle name="Notas 2 2 2 3 2 4 2" xfId="47044" xr:uid="{618197BF-6B9C-4068-996F-8DCCC42A2A39}"/>
    <cellStyle name="Notas 2 2 2 3 2 5" xfId="41232" xr:uid="{5B9608C9-7BB3-4B15-BB43-DD753A95779D}"/>
    <cellStyle name="Notas 2 2 2 3 2 5 2" xfId="47358" xr:uid="{2998B08D-EF38-44EA-8A98-9E5DB507CAD1}"/>
    <cellStyle name="Notas 2 2 2 3 2 6" xfId="46066" xr:uid="{D42AC0B1-850D-47ED-8990-E253D312084F}"/>
    <cellStyle name="Notas 2 2 2 3 2 6 2" xfId="47359" xr:uid="{38B01E6C-F4B3-4033-88B9-60E5B7DD4EA4}"/>
    <cellStyle name="Notas 2 2 2 3 2 7" xfId="46408" xr:uid="{9054F4C5-2806-4A85-9641-8F343F3E665E}"/>
    <cellStyle name="Notas 2 2 2 3 3" xfId="41233" xr:uid="{67981A7C-6AE3-44FE-982F-BBF8ACCE69E8}"/>
    <cellStyle name="Notas 2 2 2 3 3 2" xfId="46810" xr:uid="{B328A217-D54C-4A26-9290-C4EF5166F95E}"/>
    <cellStyle name="Notas 2 2 2 3 4" xfId="41234" xr:uid="{0415F972-3B9A-4793-858F-1CBF76E23AD8}"/>
    <cellStyle name="Notas 2 2 2 3 4 2" xfId="46872" xr:uid="{9981F0D5-BBF7-4E90-BC26-BEC7CC669326}"/>
    <cellStyle name="Notas 2 2 2 3 4 3" xfId="47045" xr:uid="{EA80F2B4-874D-49BB-B072-33F787250477}"/>
    <cellStyle name="Notas 2 2 2 3 5" xfId="41235" xr:uid="{EA7A432D-C84E-44BF-BACE-FC491DB31665}"/>
    <cellStyle name="Notas 2 2 2 3 5 2" xfId="47046" xr:uid="{E1FCBE9D-18B5-444E-B3E2-943C1BBBAB9E}"/>
    <cellStyle name="Notas 2 2 2 3 6" xfId="41236" xr:uid="{F112FB6A-0B06-4948-BEB1-4877EE653663}"/>
    <cellStyle name="Notas 2 2 2 3 6 2" xfId="47360" xr:uid="{210752A0-DD71-45F1-8823-82080C9F6CE6}"/>
    <cellStyle name="Notas 2 2 2 3 7" xfId="41237" xr:uid="{1FD3D87D-1C20-4D54-B93D-C87D8BE05A2F}"/>
    <cellStyle name="Notas 2 2 2 3 7 2" xfId="47361" xr:uid="{A903A932-376C-40DE-B9FB-601966A9264B}"/>
    <cellStyle name="Notas 2 2 2 3 8" xfId="41238" xr:uid="{0AE5388A-6974-4F5A-9E86-1E7A2EB0740D}"/>
    <cellStyle name="Notas 2 2 2 3 8 2" xfId="47718" xr:uid="{61B23187-1DD9-427C-ADD0-61769DE6F723}"/>
    <cellStyle name="Notas 2 2 2 3 9" xfId="41239" xr:uid="{D61C4AAE-5F14-4DBB-921A-A2229AFFF527}"/>
    <cellStyle name="Notas 2 2 2 4" xfId="41240" xr:uid="{31DB07C4-3396-4C19-9A80-203F28C083A8}"/>
    <cellStyle name="Notas 2 2 2 4 10" xfId="46067" xr:uid="{59A5AD18-6FC5-47FD-94E3-0B6E7FFF53EB}"/>
    <cellStyle name="Notas 2 2 2 4 11" xfId="46409" xr:uid="{51E693DA-4914-4D63-A74D-5B7F545DEA4F}"/>
    <cellStyle name="Notas 2 2 2 4 2" xfId="41241" xr:uid="{CB10F220-F912-4B32-9AD2-54CFFB0AC095}"/>
    <cellStyle name="Notas 2 2 2 4 2 2" xfId="41242" xr:uid="{76F257C1-96FB-46C5-8A06-C66B2774A476}"/>
    <cellStyle name="Notas 2 2 2 4 2 3" xfId="41243" xr:uid="{3CA7AA2B-41B2-4270-A324-EAE534FA9424}"/>
    <cellStyle name="Notas 2 2 2 4 2 4" xfId="41244" xr:uid="{D074C0A9-A100-40A5-B9B6-2508D1DEFDF6}"/>
    <cellStyle name="Notas 2 2 2 4 2 5" xfId="41245" xr:uid="{D4A1FFF2-0196-47B9-955D-2E18B0AC69E6}"/>
    <cellStyle name="Notas 2 2 2 4 2 6" xfId="46811" xr:uid="{8D0212DC-049A-47AF-83BE-79B83EA264DD}"/>
    <cellStyle name="Notas 2 2 2 4 3" xfId="41246" xr:uid="{5DBE3885-EDBB-4C7E-A814-10BC56B12356}"/>
    <cellStyle name="Notas 2 2 2 4 3 2" xfId="46874" xr:uid="{BEE29AEA-A944-4794-B30A-3ED38D7D30DC}"/>
    <cellStyle name="Notas 2 2 2 4 3 3" xfId="47047" xr:uid="{86E5CE08-24C6-4E21-8886-B68A888EEDE2}"/>
    <cellStyle name="Notas 2 2 2 4 4" xfId="41247" xr:uid="{44BEB166-6310-415F-B3C6-C5C84422C0D1}"/>
    <cellStyle name="Notas 2 2 2 4 4 2" xfId="47048" xr:uid="{30D45469-1180-42E3-9547-9CF5EDC077E5}"/>
    <cellStyle name="Notas 2 2 2 4 5" xfId="41248" xr:uid="{DA618EB2-869D-4729-9027-E5D5037F68C2}"/>
    <cellStyle name="Notas 2 2 2 4 5 2" xfId="47362" xr:uid="{2CF33DCF-8187-4015-9723-2B3F20D589D4}"/>
    <cellStyle name="Notas 2 2 2 4 6" xfId="41249" xr:uid="{2F8993E0-3B3B-4DBA-AEDE-689BD91278B7}"/>
    <cellStyle name="Notas 2 2 2 4 6 2" xfId="47363" xr:uid="{9AD92EA1-154A-4524-99EE-9740CAD4C3F9}"/>
    <cellStyle name="Notas 2 2 2 4 7" xfId="41250" xr:uid="{DE88D2FF-DF7B-47C8-B77C-E92C63E1DCDE}"/>
    <cellStyle name="Notas 2 2 2 4 7 2" xfId="47719" xr:uid="{FA9F6493-3AFF-41AB-8849-9ED1ACA83FD1}"/>
    <cellStyle name="Notas 2 2 2 4 8" xfId="41251" xr:uid="{7D7C92A9-3217-4D2E-B312-242F8715F6AC}"/>
    <cellStyle name="Notas 2 2 2 4 9" xfId="41252" xr:uid="{FD50BCA3-57AE-47A1-850D-C29AC2A33997}"/>
    <cellStyle name="Notas 2 2 2 5" xfId="41253" xr:uid="{1F763F4C-D5CD-43EF-A921-B91FABD31C54}"/>
    <cellStyle name="Notas 2 2 2 5 10" xfId="41254" xr:uid="{9FF729BF-EE2E-4975-9E4F-9D55DC6A85F9}"/>
    <cellStyle name="Notas 2 2 2 5 11" xfId="41255" xr:uid="{59E44B42-DAE3-4532-AE78-C27C8D06E9F5}"/>
    <cellStyle name="Notas 2 2 2 5 12" xfId="41256" xr:uid="{CB68AC08-2415-4724-9F17-1D2C733B7744}"/>
    <cellStyle name="Notas 2 2 2 5 13" xfId="46812" xr:uid="{D88F2F93-9908-4E49-906A-036D300EA161}"/>
    <cellStyle name="Notas 2 2 2 5 2" xfId="41257" xr:uid="{B93C7EF0-A9CF-44ED-873D-50A92EA36001}"/>
    <cellStyle name="Notas 2 2 2 5 2 10" xfId="41258" xr:uid="{69A9814E-81EC-49A0-91E2-23D67E8C60CB}"/>
    <cellStyle name="Notas 2 2 2 5 2 11" xfId="41259" xr:uid="{961F6579-1660-4326-89B0-B0B0FDC70FCC}"/>
    <cellStyle name="Notas 2 2 2 5 2 12" xfId="41260" xr:uid="{0FBCE365-C0AD-4385-8081-A6E15D629D7B}"/>
    <cellStyle name="Notas 2 2 2 5 2 2" xfId="41261" xr:uid="{B1FA0F92-DE95-483C-9E14-A6535F3B45C5}"/>
    <cellStyle name="Notas 2 2 2 5 2 2 2" xfId="41262" xr:uid="{8AC51FED-B28F-4231-BE62-FF288815246D}"/>
    <cellStyle name="Notas 2 2 2 5 2 2 2 2" xfId="41263" xr:uid="{AF15E850-8A8A-4690-8F55-F123A69FC204}"/>
    <cellStyle name="Notas 2 2 2 5 2 2 2 3" xfId="41264" xr:uid="{98CC6E4F-A50E-44DD-9EEB-5F560994CF7D}"/>
    <cellStyle name="Notas 2 2 2 5 2 2 2 4" xfId="41265" xr:uid="{70DA63BC-41E0-4CB9-8C59-8EDC626017CC}"/>
    <cellStyle name="Notas 2 2 2 5 2 2 2 5" xfId="41266" xr:uid="{4310FC16-76E2-48ED-9B81-6E25D2B55CCC}"/>
    <cellStyle name="Notas 2 2 2 5 2 2 3" xfId="41267" xr:uid="{2DA0C791-90C1-41C5-9B64-FB887251E2F0}"/>
    <cellStyle name="Notas 2 2 2 5 2 2 4" xfId="41268" xr:uid="{B5DF2FC1-C0B0-4C96-AACB-F49C3FBE05FE}"/>
    <cellStyle name="Notas 2 2 2 5 2 2 5" xfId="41269" xr:uid="{1754DCA8-56C2-4BC5-87F9-24257AA3D59A}"/>
    <cellStyle name="Notas 2 2 2 5 2 2 6" xfId="41270" xr:uid="{EEAFD20A-4656-43A9-9C47-EFD47BD801C9}"/>
    <cellStyle name="Notas 2 2 2 5 2 3" xfId="41271" xr:uid="{6D455A92-AEFA-4C60-9E82-4BAB982F4960}"/>
    <cellStyle name="Notas 2 2 2 5 2 3 2" xfId="41272" xr:uid="{A86EED94-A5BC-4A4C-BBD1-05C081920105}"/>
    <cellStyle name="Notas 2 2 2 5 2 3 2 2" xfId="41273" xr:uid="{08917AAD-9654-4B17-B2B6-9BC5FD3239C0}"/>
    <cellStyle name="Notas 2 2 2 5 2 3 2 3" xfId="41274" xr:uid="{5AF57EF2-D2B7-4D0E-BEFC-5468A23F1693}"/>
    <cellStyle name="Notas 2 2 2 5 2 3 2 4" xfId="41275" xr:uid="{6EB6AD2A-644F-4C1C-84B9-50E8AC41FAFC}"/>
    <cellStyle name="Notas 2 2 2 5 2 3 2 5" xfId="41276" xr:uid="{666F47C1-1E72-4EFA-B34F-F1E731FA4D86}"/>
    <cellStyle name="Notas 2 2 2 5 2 3 3" xfId="41277" xr:uid="{12B34F48-114E-491D-B216-0878B914BC59}"/>
    <cellStyle name="Notas 2 2 2 5 2 3 4" xfId="41278" xr:uid="{13323921-C25B-4328-ABC5-3E4425750970}"/>
    <cellStyle name="Notas 2 2 2 5 2 3 5" xfId="41279" xr:uid="{9678D3D3-8D1D-4135-84B7-39A3BEEEBD90}"/>
    <cellStyle name="Notas 2 2 2 5 2 3 6" xfId="41280" xr:uid="{F5F9E0F9-0982-4F54-9316-7E134D1C3EAD}"/>
    <cellStyle name="Notas 2 2 2 5 2 4" xfId="41281" xr:uid="{F98D518A-5A83-414D-9A2C-FCA7791AE865}"/>
    <cellStyle name="Notas 2 2 2 5 2 4 2" xfId="41282" xr:uid="{22C45F8E-6EBC-478C-993E-E83213BF6BFB}"/>
    <cellStyle name="Notas 2 2 2 5 2 4 2 2" xfId="41283" xr:uid="{202C9663-C987-4302-8D7F-46D5DC5D4C21}"/>
    <cellStyle name="Notas 2 2 2 5 2 4 2 3" xfId="41284" xr:uid="{7F53BA2A-758E-4891-BD1D-B68C03BF4B7C}"/>
    <cellStyle name="Notas 2 2 2 5 2 4 2 4" xfId="41285" xr:uid="{FAD5A381-5105-4C94-844C-7D2CB7514CBA}"/>
    <cellStyle name="Notas 2 2 2 5 2 4 2 5" xfId="41286" xr:uid="{7D79D6E5-CA94-4B89-A0BD-C111E5979D87}"/>
    <cellStyle name="Notas 2 2 2 5 2 4 3" xfId="41287" xr:uid="{453CEB6A-B91E-4A3B-87BE-0D5915AA6CB0}"/>
    <cellStyle name="Notas 2 2 2 5 2 4 4" xfId="41288" xr:uid="{020B28CB-26F6-4562-AD88-13F75BBE8972}"/>
    <cellStyle name="Notas 2 2 2 5 2 4 5" xfId="41289" xr:uid="{5B1B5264-3042-475C-A396-B1D432002C40}"/>
    <cellStyle name="Notas 2 2 2 5 2 4 6" xfId="41290" xr:uid="{5BDF49CF-BEE4-4D56-9DE5-B0F129D6DFC1}"/>
    <cellStyle name="Notas 2 2 2 5 2 5" xfId="41291" xr:uid="{4CB794A4-93A7-4A7A-BD3E-CF82B2104282}"/>
    <cellStyle name="Notas 2 2 2 5 2 5 2" xfId="41292" xr:uid="{6B1F41B7-80A6-49EC-BA75-D7EC74C1A3B3}"/>
    <cellStyle name="Notas 2 2 2 5 2 5 3" xfId="41293" xr:uid="{72F39EC9-B45F-4236-B3BA-1ED55C535102}"/>
    <cellStyle name="Notas 2 2 2 5 2 5 4" xfId="41294" xr:uid="{37E46303-5A54-4FE0-A3DB-209649672FC2}"/>
    <cellStyle name="Notas 2 2 2 5 2 5 5" xfId="41295" xr:uid="{63EFB4F6-24B1-44B5-8628-C910DD0A7486}"/>
    <cellStyle name="Notas 2 2 2 5 2 6" xfId="41296" xr:uid="{7732A108-1A85-45B6-8839-DC6E04E125FB}"/>
    <cellStyle name="Notas 2 2 2 5 2 7" xfId="41297" xr:uid="{4FC8AE51-FBD8-42CC-A43C-EDCE66384C5A}"/>
    <cellStyle name="Notas 2 2 2 5 2 8" xfId="41298" xr:uid="{747802DF-659E-4290-898D-599E6D4ADA30}"/>
    <cellStyle name="Notas 2 2 2 5 2 9" xfId="41299" xr:uid="{3673AD25-2E5E-4B2C-863E-3DB7633A0F74}"/>
    <cellStyle name="Notas 2 2 2 5 3" xfId="41300" xr:uid="{E1749CDB-225E-4998-9D1C-20F96C60E471}"/>
    <cellStyle name="Notas 2 2 2 5 3 2" xfId="41301" xr:uid="{EB9F1DD6-C4E2-4E64-88AE-8343FA3C2E14}"/>
    <cellStyle name="Notas 2 2 2 5 3 2 2" xfId="41302" xr:uid="{2E8CC1A7-5CC3-401C-81C2-19B295E2A1E9}"/>
    <cellStyle name="Notas 2 2 2 5 3 2 3" xfId="41303" xr:uid="{3A8C9A32-31D1-4180-A17A-857455E612F6}"/>
    <cellStyle name="Notas 2 2 2 5 3 2 4" xfId="41304" xr:uid="{BAD0D3CB-979E-4359-B31A-174DC829223B}"/>
    <cellStyle name="Notas 2 2 2 5 3 2 5" xfId="41305" xr:uid="{E3BD5993-DEF0-4F32-9DDD-6F37EB9E88EF}"/>
    <cellStyle name="Notas 2 2 2 5 3 3" xfId="41306" xr:uid="{B443D8F3-EEBB-48A3-A8DB-7704DCDE2E7D}"/>
    <cellStyle name="Notas 2 2 2 5 3 4" xfId="41307" xr:uid="{E4F9A01E-D540-48EC-9D82-390A19750D3E}"/>
    <cellStyle name="Notas 2 2 2 5 3 5" xfId="41308" xr:uid="{EAF678A1-9454-429C-ACC4-169C721F54D1}"/>
    <cellStyle name="Notas 2 2 2 5 3 6" xfId="41309" xr:uid="{6AAD645D-5821-484D-8B7E-2C5462F88747}"/>
    <cellStyle name="Notas 2 2 2 5 4" xfId="41310" xr:uid="{DBECBB1C-FCC7-4EB5-A9D1-7DF9AC3C785E}"/>
    <cellStyle name="Notas 2 2 2 5 4 2" xfId="41311" xr:uid="{C7026551-7091-435F-83EE-F397EAD6E4A1}"/>
    <cellStyle name="Notas 2 2 2 5 4 2 2" xfId="41312" xr:uid="{9DF327B7-31D1-4313-8A9B-1321ECFE64EB}"/>
    <cellStyle name="Notas 2 2 2 5 4 2 3" xfId="41313" xr:uid="{9371707E-5FA5-44B4-AC0E-A519D97152AC}"/>
    <cellStyle name="Notas 2 2 2 5 4 2 4" xfId="41314" xr:uid="{B39D0708-06CC-47ED-AA65-0E535355FE36}"/>
    <cellStyle name="Notas 2 2 2 5 4 2 5" xfId="41315" xr:uid="{F3480295-E175-4B90-BFD7-8498DAB4184C}"/>
    <cellStyle name="Notas 2 2 2 5 4 3" xfId="41316" xr:uid="{DEE479DC-E8E0-4036-ADC7-5DA3744B6A77}"/>
    <cellStyle name="Notas 2 2 2 5 4 4" xfId="41317" xr:uid="{A0EED911-EBAA-452E-98CD-FF303DD037AE}"/>
    <cellStyle name="Notas 2 2 2 5 4 5" xfId="41318" xr:uid="{08A0AD72-14EC-4B1B-B3BB-62CB6EA68862}"/>
    <cellStyle name="Notas 2 2 2 5 4 6" xfId="41319" xr:uid="{E9E900CA-5DA4-4F62-AF5B-5CED5BD2C163}"/>
    <cellStyle name="Notas 2 2 2 5 5" xfId="41320" xr:uid="{CDFEF001-44E9-4A2E-BD51-BEA0A46207BA}"/>
    <cellStyle name="Notas 2 2 2 5 5 2" xfId="41321" xr:uid="{3D466538-F380-48DC-90EB-01D8B5D41ABE}"/>
    <cellStyle name="Notas 2 2 2 5 5 3" xfId="41322" xr:uid="{B60BD815-749C-418A-BC01-7D6933AF39D3}"/>
    <cellStyle name="Notas 2 2 2 5 5 4" xfId="41323" xr:uid="{3C4A2EF2-F4C3-4188-A245-24A2BBC89D34}"/>
    <cellStyle name="Notas 2 2 2 5 5 5" xfId="41324" xr:uid="{0F431A2A-C71F-4D5E-861D-D5499252C735}"/>
    <cellStyle name="Notas 2 2 2 5 6" xfId="41325" xr:uid="{043D90C6-9AA7-490B-887D-719839F46C89}"/>
    <cellStyle name="Notas 2 2 2 5 7" xfId="41326" xr:uid="{FAA68832-B419-4BEB-AEB5-C1AB0BF404A1}"/>
    <cellStyle name="Notas 2 2 2 5 8" xfId="41327" xr:uid="{1D7231A6-E8C1-4317-BB99-D497EA8E8E44}"/>
    <cellStyle name="Notas 2 2 2 5 9" xfId="41328" xr:uid="{92852424-2696-45CE-9905-08F26FE55919}"/>
    <cellStyle name="Notas 2 2 2 6" xfId="41329" xr:uid="{21D4E1FE-6C21-421D-BC18-83E17B40BBCF}"/>
    <cellStyle name="Notas 2 2 2 6 2" xfId="41330" xr:uid="{381EA5E5-867A-4197-B4DE-665A1010C0EC}"/>
    <cellStyle name="Notas 2 2 2 6 2 2" xfId="41331" xr:uid="{3F12E00F-8B31-4E5D-93A1-CAD724D2D6DE}"/>
    <cellStyle name="Notas 2 2 2 6 2 3" xfId="41332" xr:uid="{273901AF-F2C3-4FB6-B725-1A37CA539ACA}"/>
    <cellStyle name="Notas 2 2 2 6 2 4" xfId="41333" xr:uid="{1AA5F459-E0E6-4106-84CB-5260C05F8C49}"/>
    <cellStyle name="Notas 2 2 2 6 2 5" xfId="41334" xr:uid="{3F7D81D2-A22C-4F2B-94C6-993AF9E667F1}"/>
    <cellStyle name="Notas 2 2 2 6 3" xfId="41335" xr:uid="{567EAE32-D3C5-41E4-9592-71A9AE7BC206}"/>
    <cellStyle name="Notas 2 2 2 6 4" xfId="41336" xr:uid="{5CEBAF2B-4C3D-4B8D-B497-8747A86BD5BE}"/>
    <cellStyle name="Notas 2 2 2 6 5" xfId="41337" xr:uid="{2961E301-0208-4F0C-9174-F623B540FA40}"/>
    <cellStyle name="Notas 2 2 2 6 6" xfId="41338" xr:uid="{E5116238-938E-4383-9FFC-BE44EC939C5A}"/>
    <cellStyle name="Notas 2 2 2 6 7" xfId="46867" xr:uid="{4ACC1CC7-29CB-4CBA-B675-07CF0ABAD47D}"/>
    <cellStyle name="Notas 2 2 2 6 8" xfId="47049" xr:uid="{EA160F6F-B31B-4C3A-B2FD-763086F0F68A}"/>
    <cellStyle name="Notas 2 2 2 7" xfId="41339" xr:uid="{D5CC88A4-EFF0-462A-B859-4BFCC0573B45}"/>
    <cellStyle name="Notas 2 2 2 7 2" xfId="41340" xr:uid="{CAD80F7A-96BD-4DB8-91BF-119B4E6EFE4D}"/>
    <cellStyle name="Notas 2 2 2 7 2 2" xfId="41341" xr:uid="{59735F97-9617-4C02-BC3E-F7A941478FDA}"/>
    <cellStyle name="Notas 2 2 2 7 2 3" xfId="41342" xr:uid="{208DE8A9-E96D-40EB-926F-883FAA9AFA92}"/>
    <cellStyle name="Notas 2 2 2 7 2 4" xfId="41343" xr:uid="{10BE1FB4-5CA5-41C7-81D5-C2A8FDDF9A9C}"/>
    <cellStyle name="Notas 2 2 2 7 2 5" xfId="41344" xr:uid="{EB0DADCA-3007-4861-A9A7-73706EA72DD7}"/>
    <cellStyle name="Notas 2 2 2 7 3" xfId="41345" xr:uid="{F218BA3F-3369-4BE5-BC19-00B93E39F4B7}"/>
    <cellStyle name="Notas 2 2 2 7 4" xfId="41346" xr:uid="{16EC67AF-F7C7-4FC4-BF7C-E63051BD58F8}"/>
    <cellStyle name="Notas 2 2 2 7 5" xfId="41347" xr:uid="{8B310F1A-7216-41B6-89F6-23370053642F}"/>
    <cellStyle name="Notas 2 2 2 7 6" xfId="41348" xr:uid="{96873D0B-C0DA-4287-A299-C4B7C7EE95E0}"/>
    <cellStyle name="Notas 2 2 2 7 7" xfId="47050" xr:uid="{C15A4FFA-A27E-4AC5-BB68-316A2EB7DBE6}"/>
    <cellStyle name="Notas 2 2 2 8" xfId="41349" xr:uid="{B59B720C-50B2-4E94-9F8E-4E2E2BCDA0AB}"/>
    <cellStyle name="Notas 2 2 2 8 2" xfId="41350" xr:uid="{27A4F8FE-EF03-4086-AA57-086D365EA104}"/>
    <cellStyle name="Notas 2 2 2 8 2 2" xfId="41351" xr:uid="{35492278-81BC-4DF6-A7C5-108E613E15CC}"/>
    <cellStyle name="Notas 2 2 2 8 2 3" xfId="41352" xr:uid="{D6CD8E4C-A082-49CA-BF8B-BA32ED79F942}"/>
    <cellStyle name="Notas 2 2 2 8 2 4" xfId="41353" xr:uid="{8755BBB6-B391-459C-BFAC-C024D6497E08}"/>
    <cellStyle name="Notas 2 2 2 8 2 5" xfId="41354" xr:uid="{96B1998D-6FFB-4D14-AE30-51495CF394A1}"/>
    <cellStyle name="Notas 2 2 2 8 3" xfId="41355" xr:uid="{3FCD4CE3-264A-4872-A714-684A56BA8831}"/>
    <cellStyle name="Notas 2 2 2 8 4" xfId="41356" xr:uid="{DC910D96-67A2-4558-AC1F-5349406123C8}"/>
    <cellStyle name="Notas 2 2 2 8 5" xfId="41357" xr:uid="{9739B636-47B8-4050-90C7-1016D7BC36A6}"/>
    <cellStyle name="Notas 2 2 2 8 6" xfId="41358" xr:uid="{4476FBC8-39E2-4457-937E-A6BD648BA624}"/>
    <cellStyle name="Notas 2 2 2 8 7" xfId="47364" xr:uid="{2B9817A8-1A9A-445D-A75E-B7B56B1D53C1}"/>
    <cellStyle name="Notas 2 2 2 9" xfId="41359" xr:uid="{10AA0E4E-CFA1-4BD8-ADDA-BA07ACC28494}"/>
    <cellStyle name="Notas 2 2 2 9 2" xfId="41360" xr:uid="{C5B9F6D8-AA95-4BDD-930E-E6831D75D34C}"/>
    <cellStyle name="Notas 2 2 2 9 3" xfId="41361" xr:uid="{67C7F4F5-8F0B-4C12-B4F9-82F2A157FB01}"/>
    <cellStyle name="Notas 2 2 2 9 4" xfId="41362" xr:uid="{6696F8D7-9266-47D3-A48B-A7840B3DD5DE}"/>
    <cellStyle name="Notas 2 2 2 9 5" xfId="41363" xr:uid="{E9D69614-8C3E-4E1E-B1F4-D0514C7DD004}"/>
    <cellStyle name="Notas 2 2 2 9 6" xfId="47365" xr:uid="{2ECD231D-664D-40BA-855E-8B392B448BE8}"/>
    <cellStyle name="Notas 2 2 20" xfId="41364" xr:uid="{57057E8E-7F07-423B-AB43-FF42EF477E12}"/>
    <cellStyle name="Notas 2 2 21" xfId="41365" xr:uid="{52C972CC-2877-49F6-A087-89BBD11A2314}"/>
    <cellStyle name="Notas 2 2 22" xfId="46059" xr:uid="{3868DD3F-BD9B-4B86-9479-072DB0463E71}"/>
    <cellStyle name="Notas 2 2 3" xfId="41366" xr:uid="{CC60A4CB-439B-46BA-9076-9499E00A100D}"/>
    <cellStyle name="Notas 2 2 3 10" xfId="46068" xr:uid="{16610E54-EAF1-4BA4-A2AB-4522F5862723}"/>
    <cellStyle name="Notas 2 2 3 11" xfId="46410" xr:uid="{C793A4AB-7590-4784-A265-840C0130BDA7}"/>
    <cellStyle name="Notas 2 2 3 2" xfId="41367" xr:uid="{A083EB39-A2CF-4FB7-A756-5C68CB43CED7}"/>
    <cellStyle name="Notas 2 2 3 2 2" xfId="41368" xr:uid="{780312E7-58A0-41BB-93B0-6006DFDA3246}"/>
    <cellStyle name="Notas 2 2 3 2 2 2" xfId="46070" xr:uid="{8C36CAC7-A7A6-4824-8450-12812943F172}"/>
    <cellStyle name="Notas 2 2 3 2 2 2 2" xfId="46813" xr:uid="{5907C3C4-54B0-441D-998B-03EB007A7A45}"/>
    <cellStyle name="Notas 2 2 3 2 2 3" xfId="46412" xr:uid="{3705FE39-E3AF-4278-8F75-6D5E09CEFD23}"/>
    <cellStyle name="Notas 2 2 3 2 2 3 2" xfId="46877" xr:uid="{42B7FFFC-C4DD-403C-9765-F00E00CBE1CD}"/>
    <cellStyle name="Notas 2 2 3 2 2 4" xfId="47051" xr:uid="{62571CF0-AC06-48A4-A923-F167D14B5FDC}"/>
    <cellStyle name="Notas 2 2 3 2 2 5" xfId="47366" xr:uid="{844E01BD-B050-4DEF-8D05-D6B484EF5012}"/>
    <cellStyle name="Notas 2 2 3 2 2 6" xfId="47367" xr:uid="{A0D058B4-B687-4B1C-AEFE-AE0A7443058C}"/>
    <cellStyle name="Notas 2 2 3 2 2 7" xfId="47720" xr:uid="{341843E5-DF41-44B6-AE3D-BB12D6452C2B}"/>
    <cellStyle name="Notas 2 2 3 2 3" xfId="41369" xr:uid="{60AF7DCD-0B6D-46C4-8495-F5B2519B7EDB}"/>
    <cellStyle name="Notas 2 2 3 2 3 2" xfId="46814" xr:uid="{7A778706-CC00-4F6C-B1C9-AC3F3D5F3F31}"/>
    <cellStyle name="Notas 2 2 3 2 4" xfId="41370" xr:uid="{44760B64-5A11-4136-BE2C-11E79A42533F}"/>
    <cellStyle name="Notas 2 2 3 2 4 2" xfId="46876" xr:uid="{868CD67A-F934-44E9-B45B-F419A9A24F10}"/>
    <cellStyle name="Notas 2 2 3 2 4 3" xfId="47052" xr:uid="{EF61AF3C-402B-4E9A-B60B-96EE93BDBE7F}"/>
    <cellStyle name="Notas 2 2 3 2 5" xfId="41371" xr:uid="{951EF022-C064-41B6-88E4-27480DB19306}"/>
    <cellStyle name="Notas 2 2 3 2 5 2" xfId="47053" xr:uid="{E20DB6DA-23CC-4B6E-A0CB-1C473764BCB2}"/>
    <cellStyle name="Notas 2 2 3 2 6" xfId="46069" xr:uid="{E8131B20-079D-40C3-85DA-D0BC54039341}"/>
    <cellStyle name="Notas 2 2 3 2 6 2" xfId="47368" xr:uid="{88BC0ABB-45A9-4843-A63E-B08FB70CF100}"/>
    <cellStyle name="Notas 2 2 3 2 7" xfId="46411" xr:uid="{B81453FB-EDCE-4E0B-9DC0-0C6F098497BD}"/>
    <cellStyle name="Notas 2 2 3 2 8" xfId="47721" xr:uid="{11560EA8-F495-46B7-B821-7D7CA6C45F9C}"/>
    <cellStyle name="Notas 2 2 3 3" xfId="41372" xr:uid="{ACFA2A11-274F-4A2D-8776-320672561036}"/>
    <cellStyle name="Notas 2 2 3 3 2" xfId="46071" xr:uid="{EF70023D-DFF4-437D-BECF-BEB1C1EEABA5}"/>
    <cellStyle name="Notas 2 2 3 3 2 2" xfId="46815" xr:uid="{A43EDB68-1640-4744-984F-33D0A9D0733E}"/>
    <cellStyle name="Notas 2 2 3 3 3" xfId="46413" xr:uid="{04EE14A2-44C2-42B4-8DCA-67193E93C9DE}"/>
    <cellStyle name="Notas 2 2 3 3 3 2" xfId="46878" xr:uid="{A2DE52CC-372F-4A83-A73E-E09307932A7A}"/>
    <cellStyle name="Notas 2 2 3 3 4" xfId="47054" xr:uid="{2D571FD2-9F0E-41EC-BAA1-F7223B2893A6}"/>
    <cellStyle name="Notas 2 2 3 3 5" xfId="47369" xr:uid="{49DD7178-F153-4132-90FE-36D913C86B83}"/>
    <cellStyle name="Notas 2 2 3 3 6" xfId="47370" xr:uid="{E689FD82-DAE3-438F-AFCE-3B87E48DC0E5}"/>
    <cellStyle name="Notas 2 2 3 3 7" xfId="47722" xr:uid="{3CC97339-D3CE-44B9-9D09-FBFCADB116C7}"/>
    <cellStyle name="Notas 2 2 3 4" xfId="41373" xr:uid="{EA8F0E18-4A60-4A67-8098-D472A2DFF4B6}"/>
    <cellStyle name="Notas 2 2 3 4 2" xfId="46816" xr:uid="{920F85A9-1EEF-408A-9A1C-0F1FFC09C2E9}"/>
    <cellStyle name="Notas 2 2 3 5" xfId="41374" xr:uid="{60B6C581-D12D-4C64-A4F5-A650B960869C}"/>
    <cellStyle name="Notas 2 2 3 5 2" xfId="46875" xr:uid="{BEFA76B8-C09E-4B43-9475-65DD50A73B20}"/>
    <cellStyle name="Notas 2 2 3 5 3" xfId="47055" xr:uid="{9A8EFC8D-F615-4547-9699-0CFA56FCB46D}"/>
    <cellStyle name="Notas 2 2 3 6" xfId="41375" xr:uid="{88227F16-84CA-4CAA-8DF7-95FBE8A72D0E}"/>
    <cellStyle name="Notas 2 2 3 6 2" xfId="47056" xr:uid="{E150EA69-FEBD-417F-B0A3-E903A0F97E7D}"/>
    <cellStyle name="Notas 2 2 3 7" xfId="41376" xr:uid="{C0F0AFB8-D399-47A9-B03F-1AA9986CA122}"/>
    <cellStyle name="Notas 2 2 3 7 2" xfId="47371" xr:uid="{A20E099A-9B66-4CE8-ACA7-35F63673A748}"/>
    <cellStyle name="Notas 2 2 3 8" xfId="41377" xr:uid="{89DB197F-862C-4360-8640-EDCA1E13C76E}"/>
    <cellStyle name="Notas 2 2 3 8 2" xfId="47372" xr:uid="{DDF1A89B-80A0-4E39-9FCA-63C75583CEE7}"/>
    <cellStyle name="Notas 2 2 3 9" xfId="41378" xr:uid="{0E46CA42-68EE-4432-8E41-FF7FD64AC3CE}"/>
    <cellStyle name="Notas 2 2 3 9 2" xfId="47723" xr:uid="{1C35FE00-87E2-407D-99C1-2A8FFDCD2300}"/>
    <cellStyle name="Notas 2 2 4" xfId="41379" xr:uid="{6D83FD75-1086-42D9-A84F-B67DBD2EE2D9}"/>
    <cellStyle name="Notas 2 2 4 10" xfId="46072" xr:uid="{F8E94DB2-0447-4ACE-BE65-E76A4E7AF5D4}"/>
    <cellStyle name="Notas 2 2 4 11" xfId="46414" xr:uid="{2704F9A9-9D6D-427E-A65F-C691D3725A90}"/>
    <cellStyle name="Notas 2 2 4 2" xfId="41380" xr:uid="{8D3BA662-FBB7-4748-9C9A-5BAB8EBC7EA7}"/>
    <cellStyle name="Notas 2 2 4 2 2" xfId="41381" xr:uid="{8DA8A26E-03BE-4932-A424-2CCEEE44DD54}"/>
    <cellStyle name="Notas 2 2 4 2 2 2" xfId="46817" xr:uid="{6F685EFF-934C-4C80-AA72-145F4D30667E}"/>
    <cellStyle name="Notas 2 2 4 2 3" xfId="41382" xr:uid="{4849D0E0-62CA-48F4-92AC-874EC890EC13}"/>
    <cellStyle name="Notas 2 2 4 2 3 2" xfId="46880" xr:uid="{D92BF455-9935-4C86-B434-9F73DA5AA965}"/>
    <cellStyle name="Notas 2 2 4 2 3 3" xfId="47057" xr:uid="{58EEFE14-F54B-4EA1-BA28-7B0DD06EEDB8}"/>
    <cellStyle name="Notas 2 2 4 2 4" xfId="41383" xr:uid="{A56A5F6D-20D7-4B2D-8145-9117F5639BCB}"/>
    <cellStyle name="Notas 2 2 4 2 4 2" xfId="47058" xr:uid="{D7DE77D4-FFBB-43C0-9B10-F5A49BB3305C}"/>
    <cellStyle name="Notas 2 2 4 2 5" xfId="41384" xr:uid="{4D408E82-1317-4EA6-8E83-4C0E6AAF0466}"/>
    <cellStyle name="Notas 2 2 4 2 5 2" xfId="47373" xr:uid="{47FFBD96-75E5-4C23-9731-57BC745997DF}"/>
    <cellStyle name="Notas 2 2 4 2 6" xfId="46073" xr:uid="{B877961A-6A40-4C43-8F52-1B0405BEA7C9}"/>
    <cellStyle name="Notas 2 2 4 2 6 2" xfId="47374" xr:uid="{9347A610-F339-457C-AB46-76E942CCC9BB}"/>
    <cellStyle name="Notas 2 2 4 2 7" xfId="46415" xr:uid="{4BC4CD4E-A16F-4E37-B01E-71A660FA10C5}"/>
    <cellStyle name="Notas 2 2 4 3" xfId="41385" xr:uid="{D71DBA8D-F108-43F3-87F2-1E45A6A861E1}"/>
    <cellStyle name="Notas 2 2 4 3 2" xfId="46818" xr:uid="{9AD1966F-D9FA-43BF-A93D-FFA772A239C4}"/>
    <cellStyle name="Notas 2 2 4 4" xfId="41386" xr:uid="{7452A683-A989-48F7-B151-3B671CD185C1}"/>
    <cellStyle name="Notas 2 2 4 4 2" xfId="46879" xr:uid="{11602F4C-2CD0-4ED3-B1FE-1A1F87CAFC35}"/>
    <cellStyle name="Notas 2 2 4 4 3" xfId="47059" xr:uid="{1E27A868-6936-43A1-8451-5BB1716DE4E8}"/>
    <cellStyle name="Notas 2 2 4 5" xfId="41387" xr:uid="{F5C0FC01-92FC-4E9C-898E-B9C460A55D43}"/>
    <cellStyle name="Notas 2 2 4 5 2" xfId="47060" xr:uid="{13E0913C-3AF4-40D3-9577-CBB083F8141C}"/>
    <cellStyle name="Notas 2 2 4 6" xfId="41388" xr:uid="{AB59F471-864B-40F7-8E64-4BBF83D2A33D}"/>
    <cellStyle name="Notas 2 2 4 6 2" xfId="47375" xr:uid="{43C29C47-3D3D-4A73-9BD3-0B79F233D238}"/>
    <cellStyle name="Notas 2 2 4 7" xfId="41389" xr:uid="{3C685F9A-CC46-4871-8D2D-D04A43CDF214}"/>
    <cellStyle name="Notas 2 2 4 7 2" xfId="47376" xr:uid="{0449C14B-EDD1-4EB0-A1B2-3625AC31C22C}"/>
    <cellStyle name="Notas 2 2 4 8" xfId="41390" xr:uid="{2FD604BC-093D-4801-93C8-604C395701CF}"/>
    <cellStyle name="Notas 2 2 4 8 2" xfId="47724" xr:uid="{F6DEEA6E-90D9-4F69-BEA5-2CE95B5E614D}"/>
    <cellStyle name="Notas 2 2 4 9" xfId="41391" xr:uid="{3C4C1159-8D40-432A-9BBB-3AC4ABA1C8AB}"/>
    <cellStyle name="Notas 2 2 5" xfId="41392" xr:uid="{3F1B62C3-B619-4D0A-A90A-015B7685D522}"/>
    <cellStyle name="Notas 2 2 5 10" xfId="46074" xr:uid="{C709BCFA-E5CB-4C0B-9942-52C51EFFFDB1}"/>
    <cellStyle name="Notas 2 2 5 11" xfId="46416" xr:uid="{8A361F44-336F-4AAF-850C-72A5EF95A167}"/>
    <cellStyle name="Notas 2 2 5 2" xfId="41393" xr:uid="{F900222B-0F27-4F0A-871A-B31B03A86083}"/>
    <cellStyle name="Notas 2 2 5 2 2" xfId="41394" xr:uid="{B550D17D-4587-4A3B-9E1D-83AC19A1A1DE}"/>
    <cellStyle name="Notas 2 2 5 2 3" xfId="41395" xr:uid="{9383C4CD-B6DC-45F4-81DC-02B67D4EDEB4}"/>
    <cellStyle name="Notas 2 2 5 2 4" xfId="41396" xr:uid="{015ECE64-9BAF-4383-B80A-32BD5B01BD51}"/>
    <cellStyle name="Notas 2 2 5 2 5" xfId="41397" xr:uid="{F41A58FD-480F-43F3-BF2D-03F7F75BD6A6}"/>
    <cellStyle name="Notas 2 2 5 2 6" xfId="46819" xr:uid="{3584A887-770B-4EE3-9E3D-6D1A2453871E}"/>
    <cellStyle name="Notas 2 2 5 3" xfId="41398" xr:uid="{26C5296C-906A-4BF4-93C6-AAA8E5D34635}"/>
    <cellStyle name="Notas 2 2 5 3 2" xfId="46881" xr:uid="{342F9425-9C67-45D2-A5D1-AF6850E84305}"/>
    <cellStyle name="Notas 2 2 5 3 3" xfId="47061" xr:uid="{518563B3-E81E-4CC2-902B-6B7C5C96B311}"/>
    <cellStyle name="Notas 2 2 5 4" xfId="41399" xr:uid="{7F9A2748-0D22-4430-A5AA-88D479B93672}"/>
    <cellStyle name="Notas 2 2 5 4 2" xfId="47062" xr:uid="{6C3EC55B-8836-4E0B-A723-4D5E51F13A04}"/>
    <cellStyle name="Notas 2 2 5 5" xfId="41400" xr:uid="{27D7907F-6138-4026-8EF8-40D16D4EF84E}"/>
    <cellStyle name="Notas 2 2 5 5 2" xfId="47377" xr:uid="{D5730157-F010-44F8-A18F-BA68BB96D3D9}"/>
    <cellStyle name="Notas 2 2 5 6" xfId="41401" xr:uid="{AF343DD0-97F9-405F-8282-44D917B556D8}"/>
    <cellStyle name="Notas 2 2 5 6 2" xfId="47378" xr:uid="{0F15968B-8E12-4F70-85FC-1D6935F056DB}"/>
    <cellStyle name="Notas 2 2 5 7" xfId="41402" xr:uid="{FD4E924D-F97E-42F6-86D7-1E5A2C5BEC4F}"/>
    <cellStyle name="Notas 2 2 5 7 2" xfId="47725" xr:uid="{97C1A92A-ACEB-4504-929E-6E5E674991CE}"/>
    <cellStyle name="Notas 2 2 5 8" xfId="41403" xr:uid="{3459BC7A-F6CA-4B06-9B9F-7213C4F7D3E3}"/>
    <cellStyle name="Notas 2 2 5 9" xfId="41404" xr:uid="{0213F928-389B-414C-8463-7D87825C7929}"/>
    <cellStyle name="Notas 2 2 6" xfId="41405" xr:uid="{47163883-C06B-427D-80A9-97CA701B8FC4}"/>
    <cellStyle name="Notas 2 2 6 10" xfId="46820" xr:uid="{04626681-8FFD-4D30-B11E-C4A30CEADA89}"/>
    <cellStyle name="Notas 2 2 6 2" xfId="41406" xr:uid="{15A1E524-038E-4223-8DA9-AE03C9D40D76}"/>
    <cellStyle name="Notas 2 2 6 2 2" xfId="41407" xr:uid="{39FDE4AC-2E38-4CAF-AD77-10A359EB0FDF}"/>
    <cellStyle name="Notas 2 2 6 2 3" xfId="41408" xr:uid="{D2BB83E0-DE24-40DE-9DF9-4CDE1DE60914}"/>
    <cellStyle name="Notas 2 2 6 2 4" xfId="41409" xr:uid="{8D0DFA0A-98F5-419E-8AC7-CF1881660802}"/>
    <cellStyle name="Notas 2 2 6 2 5" xfId="41410" xr:uid="{FC0C7733-24A4-456E-B3C8-E4C9E8CAED99}"/>
    <cellStyle name="Notas 2 2 6 3" xfId="41411" xr:uid="{CBD408AD-0DE0-4502-A630-C1E62011C4A4}"/>
    <cellStyle name="Notas 2 2 6 4" xfId="41412" xr:uid="{103E4EDE-2960-4F73-82B7-A42B5BC9A6A4}"/>
    <cellStyle name="Notas 2 2 6 5" xfId="41413" xr:uid="{1B9E203B-9C13-48E3-993A-FAE859DA4298}"/>
    <cellStyle name="Notas 2 2 6 6" xfId="41414" xr:uid="{F2A5F7A9-A640-4C9C-B763-BD54F94B248B}"/>
    <cellStyle name="Notas 2 2 6 7" xfId="41415" xr:uid="{291C4F12-3D1A-4984-81EF-CCD88A6AC49A}"/>
    <cellStyle name="Notas 2 2 6 8" xfId="41416" xr:uid="{DA712DE1-4FC9-4B9C-9FCD-55FDC1714A55}"/>
    <cellStyle name="Notas 2 2 6 9" xfId="41417" xr:uid="{967EC117-F497-4153-BD8C-4C936B9A6490}"/>
    <cellStyle name="Notas 2 2 7" xfId="41418" xr:uid="{3330CE38-D591-4112-BA4C-F89DD5DC8656}"/>
    <cellStyle name="Notas 2 2 7 10" xfId="46866" xr:uid="{7D0FBAEA-E218-4050-89D0-66CBA52CDDAE}"/>
    <cellStyle name="Notas 2 2 7 11" xfId="47063" xr:uid="{AB5CE6AB-F470-491B-B9A1-8FDCB0C67643}"/>
    <cellStyle name="Notas 2 2 7 2" xfId="41419" xr:uid="{F8CBFB08-F27E-40A1-BCAD-E26015229106}"/>
    <cellStyle name="Notas 2 2 7 2 2" xfId="41420" xr:uid="{B0461FB2-6060-40C2-B005-DCF39C5CF025}"/>
    <cellStyle name="Notas 2 2 7 2 3" xfId="41421" xr:uid="{225BBC87-4C4D-46B5-B970-AD9A8C82CE4A}"/>
    <cellStyle name="Notas 2 2 7 2 4" xfId="41422" xr:uid="{6F49743F-34C4-4425-A89F-511C8D51406C}"/>
    <cellStyle name="Notas 2 2 7 2 5" xfId="41423" xr:uid="{5277CF2E-9B8A-4B70-B1F3-8AF00C960C2E}"/>
    <cellStyle name="Notas 2 2 7 3" xfId="41424" xr:uid="{253C920C-98D8-40C4-8F7A-E579283A008C}"/>
    <cellStyle name="Notas 2 2 7 4" xfId="41425" xr:uid="{5DA86472-D899-4123-9D72-149A68463066}"/>
    <cellStyle name="Notas 2 2 7 5" xfId="41426" xr:uid="{31474E18-0103-4D40-A56A-1F7651F77EB9}"/>
    <cellStyle name="Notas 2 2 7 6" xfId="41427" xr:uid="{364467F0-8CB5-4759-BB50-B7EE6C0E05DC}"/>
    <cellStyle name="Notas 2 2 7 7" xfId="41428" xr:uid="{8FDDB9AB-303E-48EC-A45F-9271B42974FA}"/>
    <cellStyle name="Notas 2 2 7 8" xfId="41429" xr:uid="{862AAFB9-D718-4315-846C-29AA069C3864}"/>
    <cellStyle name="Notas 2 2 7 9" xfId="41430" xr:uid="{947E0FD9-9524-4AE3-9AEE-C9B69C8B1581}"/>
    <cellStyle name="Notas 2 2 8" xfId="41431" xr:uid="{8A5BF324-D056-42E0-AC2A-A3AF2C12131D}"/>
    <cellStyle name="Notas 2 2 8 10" xfId="41432" xr:uid="{5CE954A9-DE47-405F-AF43-4A46EB307AAA}"/>
    <cellStyle name="Notas 2 2 8 11" xfId="47064" xr:uid="{FA0F2720-716F-4BFF-AB0B-A86CF2AC43B2}"/>
    <cellStyle name="Notas 2 2 8 2" xfId="41433" xr:uid="{964CAE84-D370-4745-9C61-EA0938830F6E}"/>
    <cellStyle name="Notas 2 2 8 2 2" xfId="41434" xr:uid="{50C06397-CC16-499F-8AE7-256332B6D664}"/>
    <cellStyle name="Notas 2 2 8 2 2 2" xfId="41435" xr:uid="{3A310752-37FE-4A5E-9E0F-F145CEFAFB7D}"/>
    <cellStyle name="Notas 2 2 8 2 2 3" xfId="41436" xr:uid="{4907EE89-501D-4232-B735-AFCCB03148E6}"/>
    <cellStyle name="Notas 2 2 8 2 2 4" xfId="41437" xr:uid="{17685473-C1BB-45A8-A523-A25F2C12FE9E}"/>
    <cellStyle name="Notas 2 2 8 2 2 5" xfId="41438" xr:uid="{5E8F31ED-E796-427C-9DC8-D2A8B344F82B}"/>
    <cellStyle name="Notas 2 2 8 2 3" xfId="41439" xr:uid="{F9E4DDB5-34CB-4869-A9A6-6CA1CFA50954}"/>
    <cellStyle name="Notas 2 2 8 2 4" xfId="41440" xr:uid="{F041C8E6-90ED-465F-8FD7-7A450B36793D}"/>
    <cellStyle name="Notas 2 2 8 2 5" xfId="41441" xr:uid="{752795FB-1157-4E06-91D7-FB5D4DC24860}"/>
    <cellStyle name="Notas 2 2 8 2 6" xfId="41442" xr:uid="{E9737506-3367-49E9-8B99-3EA1D51FAD0A}"/>
    <cellStyle name="Notas 2 2 8 2 7" xfId="41443" xr:uid="{EEA696D2-6F2E-4A20-A112-C17C780FE487}"/>
    <cellStyle name="Notas 2 2 8 2 8" xfId="41444" xr:uid="{6D3A6629-D917-468B-B63B-9078708CF293}"/>
    <cellStyle name="Notas 2 2 8 2 9" xfId="41445" xr:uid="{E151CEF2-7152-4234-BCCC-EC6D763E178C}"/>
    <cellStyle name="Notas 2 2 8 3" xfId="41446" xr:uid="{E0ABF209-0B13-40FB-8B58-B884C08EA009}"/>
    <cellStyle name="Notas 2 2 8 3 2" xfId="41447" xr:uid="{144A9946-262A-4BB1-9003-F7B47550C25C}"/>
    <cellStyle name="Notas 2 2 8 3 3" xfId="41448" xr:uid="{EB1F8DF8-7EFE-4D14-AA31-D577AA1EE150}"/>
    <cellStyle name="Notas 2 2 8 3 4" xfId="41449" xr:uid="{9E584C7C-ACC4-462F-8581-98774E985C58}"/>
    <cellStyle name="Notas 2 2 8 3 5" xfId="41450" xr:uid="{E01A74DC-50E9-4D6F-B171-B1C27B069100}"/>
    <cellStyle name="Notas 2 2 8 4" xfId="41451" xr:uid="{B93F83B1-F996-42B6-B256-B690438D9C5B}"/>
    <cellStyle name="Notas 2 2 8 5" xfId="41452" xr:uid="{A4F365FA-F859-4F94-A1BA-18F71C4EF8D8}"/>
    <cellStyle name="Notas 2 2 8 6" xfId="41453" xr:uid="{8A79A09C-978B-4E10-B6F5-4FEECDB132EF}"/>
    <cellStyle name="Notas 2 2 8 7" xfId="41454" xr:uid="{1743B3A5-10E7-4642-B097-3CBB3B7D3369}"/>
    <cellStyle name="Notas 2 2 8 8" xfId="41455" xr:uid="{60A9AE7F-9084-4C75-BC00-43D53F123A90}"/>
    <cellStyle name="Notas 2 2 8 9" xfId="41456" xr:uid="{789829C8-3097-441E-B8D1-D3383A24422C}"/>
    <cellStyle name="Notas 2 2 9" xfId="41457" xr:uid="{7282F0B2-D9B3-4C57-AE32-4BF2B97C3DA9}"/>
    <cellStyle name="Notas 2 2 9 10" xfId="47379" xr:uid="{52F1BA0F-BF9E-4958-AD88-191FD984840B}"/>
    <cellStyle name="Notas 2 2 9 2" xfId="41458" xr:uid="{F7F0A9A5-1A05-4B38-B03E-B0F1230034AE}"/>
    <cellStyle name="Notas 2 2 9 2 2" xfId="41459" xr:uid="{6E7C8644-6AA8-4080-9819-1DC6B11B3BE1}"/>
    <cellStyle name="Notas 2 2 9 2 3" xfId="41460" xr:uid="{2679FA74-4A15-4C30-8277-3364166FB8D0}"/>
    <cellStyle name="Notas 2 2 9 2 4" xfId="41461" xr:uid="{49538AC7-1323-434B-8A3B-3300C9C56876}"/>
    <cellStyle name="Notas 2 2 9 2 5" xfId="41462" xr:uid="{7C76B7AA-2308-430D-A615-7AE4900D4257}"/>
    <cellStyle name="Notas 2 2 9 3" xfId="41463" xr:uid="{4BD541D8-01C6-4EC5-A63E-38BE2D8E4E78}"/>
    <cellStyle name="Notas 2 2 9 4" xfId="41464" xr:uid="{EC0C3242-1698-4EF4-8C6C-FB373EBD8452}"/>
    <cellStyle name="Notas 2 2 9 5" xfId="41465" xr:uid="{CEED0836-3503-489C-B12D-B3B1825553DD}"/>
    <cellStyle name="Notas 2 2 9 6" xfId="41466" xr:uid="{5D0ADD48-7620-4C85-AEB6-6FE10DA7354B}"/>
    <cellStyle name="Notas 2 2 9 7" xfId="41467" xr:uid="{15D9492A-8B92-4C20-810E-C741C1EE7C84}"/>
    <cellStyle name="Notas 2 2 9 8" xfId="41468" xr:uid="{C51CB4E0-1740-41D1-8484-83503DC8605F}"/>
    <cellStyle name="Notas 2 2 9 9" xfId="41469" xr:uid="{38D071AC-D5AC-4881-8475-B85EA14F20B1}"/>
    <cellStyle name="Notas 2 20" xfId="968" xr:uid="{E18F98CE-BD0E-4C7C-869C-EC555B301EE9}"/>
    <cellStyle name="Notas 2 21" xfId="969" xr:uid="{48579DEC-FE62-49FF-9113-3261B0F380CE}"/>
    <cellStyle name="Notas 2 22" xfId="970" xr:uid="{5E53A9C2-7FD9-4DDE-BA60-9EB77E09EC9D}"/>
    <cellStyle name="Notas 2 23" xfId="971" xr:uid="{C32FB907-6C40-4918-9796-68F4A5B549DF}"/>
    <cellStyle name="Notas 2 24" xfId="972" xr:uid="{44C4FEC1-B3BB-408A-A1AF-615C377C9AD5}"/>
    <cellStyle name="Notas 2 25" xfId="973" xr:uid="{C58B0F6A-18F4-4BD6-A97C-6C56043F6157}"/>
    <cellStyle name="Notas 2 26" xfId="974" xr:uid="{D5C76848-955E-4E29-8A1E-F7E28985C099}"/>
    <cellStyle name="Notas 2 27" xfId="975" xr:uid="{FED80845-F3D0-4D81-8614-1C3F7D60CBC4}"/>
    <cellStyle name="Notas 2 28" xfId="976" xr:uid="{5D088650-322D-4491-9B36-12CA92CA3F94}"/>
    <cellStyle name="Notas 2 29" xfId="977" xr:uid="{68EDD75F-8463-40F7-884D-01679545B7AD}"/>
    <cellStyle name="Notas 2 3" xfId="978" xr:uid="{FF627419-8DFB-4C6E-9EE7-F06F2B18A0C0}"/>
    <cellStyle name="Notas 2 3 10" xfId="41470" xr:uid="{7BF96EE5-4F38-4A30-8A1D-2FE9B1509843}"/>
    <cellStyle name="Notas 2 3 10 2" xfId="41471" xr:uid="{5E4A2B78-077E-42A9-A89C-8D3104DD5992}"/>
    <cellStyle name="Notas 2 3 10 2 2" xfId="41472" xr:uid="{A5768EB5-8F11-4704-A110-46E97FF6704F}"/>
    <cellStyle name="Notas 2 3 10 2 3" xfId="41473" xr:uid="{84314D70-A49C-4DA0-84FA-890178AFCA6E}"/>
    <cellStyle name="Notas 2 3 10 2 4" xfId="41474" xr:uid="{24F7E8F1-06F0-4A4F-A06A-B47D2E3D8ED6}"/>
    <cellStyle name="Notas 2 3 10 2 5" xfId="41475" xr:uid="{7E334348-6079-4AE9-8AB2-2CF32AAF5AB2}"/>
    <cellStyle name="Notas 2 3 10 3" xfId="41476" xr:uid="{4CE5CF19-C052-41ED-ABD7-F369E2B3D13B}"/>
    <cellStyle name="Notas 2 3 10 4" xfId="41477" xr:uid="{1C8E45C7-91A4-4DC2-B54C-FAED8F7FF7D5}"/>
    <cellStyle name="Notas 2 3 10 5" xfId="41478" xr:uid="{7D350F2A-9589-47BA-B1E9-A6A273AE0EE8}"/>
    <cellStyle name="Notas 2 3 10 6" xfId="41479" xr:uid="{66DA1337-5EAA-4842-A99E-75BAF7C676DC}"/>
    <cellStyle name="Notas 2 3 10 7" xfId="47726" xr:uid="{54A90D6D-F435-49CF-8C53-91A6F3EC7A9F}"/>
    <cellStyle name="Notas 2 3 11" xfId="41480" xr:uid="{54B3CE25-B5E1-4F68-B92A-7209F7161943}"/>
    <cellStyle name="Notas 2 3 11 2" xfId="41481" xr:uid="{A0547895-5583-4285-8377-65E0B0579CB5}"/>
    <cellStyle name="Notas 2 3 11 2 2" xfId="41482" xr:uid="{51B732E9-87E4-4030-921E-3600F7F54436}"/>
    <cellStyle name="Notas 2 3 11 2 3" xfId="41483" xr:uid="{C71CA7B9-A7C9-4B80-A3F7-6C3341D92BF7}"/>
    <cellStyle name="Notas 2 3 11 2 4" xfId="41484" xr:uid="{9F7DE3DF-2242-4D20-B922-DBE04B7000A2}"/>
    <cellStyle name="Notas 2 3 11 2 5" xfId="41485" xr:uid="{7372674F-0F1A-4FB1-AFE0-050458470E4E}"/>
    <cellStyle name="Notas 2 3 11 3" xfId="41486" xr:uid="{80C662D6-4831-468B-86C7-33A9D9196A42}"/>
    <cellStyle name="Notas 2 3 11 4" xfId="41487" xr:uid="{B092031B-1122-4555-9B78-D730D96F1573}"/>
    <cellStyle name="Notas 2 3 11 5" xfId="41488" xr:uid="{62B90877-CC95-47D6-890B-4486A7682B18}"/>
    <cellStyle name="Notas 2 3 11 6" xfId="41489" xr:uid="{EE228025-0DD1-461B-8771-4C72359EC4A2}"/>
    <cellStyle name="Notas 2 3 12" xfId="41490" xr:uid="{1FB72B51-39EB-415C-84F0-F998CF4A6022}"/>
    <cellStyle name="Notas 2 3 12 2" xfId="41491" xr:uid="{2B4A77B8-E46A-4CF3-84BE-CC0455C747D7}"/>
    <cellStyle name="Notas 2 3 12 3" xfId="41492" xr:uid="{BD02797C-3F86-46EE-82E5-712383EC42AD}"/>
    <cellStyle name="Notas 2 3 12 4" xfId="41493" xr:uid="{527A5B5A-E332-44AC-848C-38BDFFBCE5E7}"/>
    <cellStyle name="Notas 2 3 12 5" xfId="41494" xr:uid="{37AE286B-5AB4-425D-96E9-A6A85EDB2566}"/>
    <cellStyle name="Notas 2 3 13" xfId="41495" xr:uid="{07F2DF6F-A944-4AEC-A751-16737CE1C7A7}"/>
    <cellStyle name="Notas 2 3 14" xfId="41496" xr:uid="{C767DE10-F699-406E-A230-6C1C1557C6B1}"/>
    <cellStyle name="Notas 2 3 15" xfId="41497" xr:uid="{EA50BF62-9A1B-4A8E-B7BA-BC331570F8EA}"/>
    <cellStyle name="Notas 2 3 16" xfId="41498" xr:uid="{38B55F04-128A-4C5E-A653-8AFF5D4B7B26}"/>
    <cellStyle name="Notas 2 3 17" xfId="41499" xr:uid="{5138BDD6-914D-44C7-9E8C-2FE787438925}"/>
    <cellStyle name="Notas 2 3 18" xfId="41500" xr:uid="{2FAD6C76-152D-43B0-90F4-5792512A6DB3}"/>
    <cellStyle name="Notas 2 3 19" xfId="41501" xr:uid="{80024C9A-E96A-41C4-AB66-A44E5DC3DAF7}"/>
    <cellStyle name="Notas 2 3 2" xfId="41502" xr:uid="{CA808C8E-7461-429C-878B-9FB87535670D}"/>
    <cellStyle name="Notas 2 3 2 10" xfId="46076" xr:uid="{380BF8F7-00DC-4DFE-834D-E2F54E14C3D4}"/>
    <cellStyle name="Notas 2 3 2 11" xfId="46417" xr:uid="{ECA3D142-B8F8-44C9-9369-2E1829283193}"/>
    <cellStyle name="Notas 2 3 2 2" xfId="41503" xr:uid="{AF27FBE9-974D-4D28-A16B-25AF5888E56A}"/>
    <cellStyle name="Notas 2 3 2 2 2" xfId="41504" xr:uid="{367E84AC-76B1-46AC-996A-921E0EE69A53}"/>
    <cellStyle name="Notas 2 3 2 2 2 2" xfId="46078" xr:uid="{C95F563D-8624-474F-923B-9B5027AA02A5}"/>
    <cellStyle name="Notas 2 3 2 2 2 2 2" xfId="46821" xr:uid="{8AA26011-73C3-466F-AFD7-979D1C8F4F11}"/>
    <cellStyle name="Notas 2 3 2 2 2 3" xfId="46419" xr:uid="{C214BF55-5B8F-4A53-9C07-54E2D8E883E6}"/>
    <cellStyle name="Notas 2 3 2 2 2 3 2" xfId="46885" xr:uid="{C7569087-1079-4B5B-908E-D7A30275AB03}"/>
    <cellStyle name="Notas 2 3 2 2 2 4" xfId="47065" xr:uid="{CDB3C2B7-1F24-4650-B198-AA2B74223C5A}"/>
    <cellStyle name="Notas 2 3 2 2 2 5" xfId="47380" xr:uid="{C5F55156-6D94-49DF-AB25-234F6C788D50}"/>
    <cellStyle name="Notas 2 3 2 2 2 6" xfId="47381" xr:uid="{FFB6BEFB-1A01-443B-849D-0603EAE6A7D8}"/>
    <cellStyle name="Notas 2 3 2 2 2 7" xfId="47727" xr:uid="{34DCC7AF-D479-41E4-9042-470600F75CF3}"/>
    <cellStyle name="Notas 2 3 2 2 3" xfId="41505" xr:uid="{8BD564EB-9002-4DD6-99D0-9F6D18A55C90}"/>
    <cellStyle name="Notas 2 3 2 2 3 2" xfId="46822" xr:uid="{ACFBD279-4464-4988-9A5C-B6E2CBEB4595}"/>
    <cellStyle name="Notas 2 3 2 2 4" xfId="41506" xr:uid="{43DFD6E3-66CB-48B8-8BA0-2A2E005CD120}"/>
    <cellStyle name="Notas 2 3 2 2 4 2" xfId="46884" xr:uid="{5234D7B0-3C41-4A3C-9F35-22956E7829B5}"/>
    <cellStyle name="Notas 2 3 2 2 4 3" xfId="47066" xr:uid="{BB7E9CC7-A606-4007-9ABC-C0DA6DCBBEDF}"/>
    <cellStyle name="Notas 2 3 2 2 5" xfId="41507" xr:uid="{D833B4A1-8739-4C4A-8320-DE186372C6EE}"/>
    <cellStyle name="Notas 2 3 2 2 5 2" xfId="47067" xr:uid="{37247CAD-54B2-4C32-BAA4-7F319F2B84F3}"/>
    <cellStyle name="Notas 2 3 2 2 6" xfId="46077" xr:uid="{98B65EB5-36FE-447A-A3B4-0812B751AD8A}"/>
    <cellStyle name="Notas 2 3 2 2 6 2" xfId="47382" xr:uid="{F278149A-B8FC-464D-B484-BA81D1328441}"/>
    <cellStyle name="Notas 2 3 2 2 7" xfId="46418" xr:uid="{FA8001C6-A8D9-4058-A8EB-ACB95E33A90C}"/>
    <cellStyle name="Notas 2 3 2 2 8" xfId="47728" xr:uid="{94A8C21A-F49F-4D05-9A97-E413182660FD}"/>
    <cellStyle name="Notas 2 3 2 3" xfId="41508" xr:uid="{1A8CA977-C2B9-476C-A473-C7381247A3EF}"/>
    <cellStyle name="Notas 2 3 2 3 2" xfId="46079" xr:uid="{7BB63127-D737-4472-9F88-2A01575CEE57}"/>
    <cellStyle name="Notas 2 3 2 3 2 2" xfId="46823" xr:uid="{FC11EAF1-8DC9-46E2-97CF-D05BDC6DA7FA}"/>
    <cellStyle name="Notas 2 3 2 3 3" xfId="46420" xr:uid="{12E0D932-2F0F-4329-8856-F6938A7AF5E9}"/>
    <cellStyle name="Notas 2 3 2 3 3 2" xfId="46886" xr:uid="{091D4440-6631-4BC7-9FA1-DBE080AAF3AB}"/>
    <cellStyle name="Notas 2 3 2 3 4" xfId="47068" xr:uid="{7339372C-47EC-4BA6-96AE-36EAC7A3D5E4}"/>
    <cellStyle name="Notas 2 3 2 3 5" xfId="47383" xr:uid="{C26B1369-81F3-4A1E-9473-7AED8EECAA5A}"/>
    <cellStyle name="Notas 2 3 2 3 6" xfId="47384" xr:uid="{B1551B0C-92CA-473C-A1A8-F02A88CEABAE}"/>
    <cellStyle name="Notas 2 3 2 3 7" xfId="47729" xr:uid="{44F28626-9B0C-49E1-AE09-7983FE1E9A3A}"/>
    <cellStyle name="Notas 2 3 2 4" xfId="41509" xr:uid="{7185F880-A43B-4ACF-A5BB-76497B7D500C}"/>
    <cellStyle name="Notas 2 3 2 4 2" xfId="46824" xr:uid="{F8BCAF70-68DA-4170-A3EC-504929A7B496}"/>
    <cellStyle name="Notas 2 3 2 5" xfId="41510" xr:uid="{6D47CFCE-B0D4-4754-A5B0-36B142487E81}"/>
    <cellStyle name="Notas 2 3 2 5 2" xfId="46883" xr:uid="{06FCACEB-E630-42CB-A0D3-8E009D0C2173}"/>
    <cellStyle name="Notas 2 3 2 5 3" xfId="47069" xr:uid="{B7E35C18-B266-462A-81E6-1CB6F4257591}"/>
    <cellStyle name="Notas 2 3 2 6" xfId="41511" xr:uid="{3D4B0C45-F771-4062-AA9B-E4750D4931CC}"/>
    <cellStyle name="Notas 2 3 2 6 2" xfId="47070" xr:uid="{58AFC776-F8DF-497F-AB1E-80B7E2191506}"/>
    <cellStyle name="Notas 2 3 2 7" xfId="41512" xr:uid="{1E5325CC-9F91-4D05-949A-82C336349EAE}"/>
    <cellStyle name="Notas 2 3 2 7 2" xfId="47385" xr:uid="{18E07D28-B544-44D7-A5FD-039BBDC5B9D3}"/>
    <cellStyle name="Notas 2 3 2 8" xfId="41513" xr:uid="{518A5D8B-8FE7-421C-A1B7-B8E03895CEE2}"/>
    <cellStyle name="Notas 2 3 2 8 2" xfId="47386" xr:uid="{9626DD42-A395-474E-B5DF-53AE85388EDC}"/>
    <cellStyle name="Notas 2 3 2 9" xfId="41514" xr:uid="{1DB834F4-BE25-4450-A20F-B31677DD0181}"/>
    <cellStyle name="Notas 2 3 2 9 2" xfId="47730" xr:uid="{E5694CEC-5630-4D0D-A346-E7FFBFCDECC0}"/>
    <cellStyle name="Notas 2 3 20" xfId="46075" xr:uid="{380E3A71-5ED3-4195-AD6F-7EC7FAA40AA9}"/>
    <cellStyle name="Notas 2 3 3" xfId="41515" xr:uid="{2B29BB32-07FF-44FE-A31B-E11797FEE6F1}"/>
    <cellStyle name="Notas 2 3 3 10" xfId="46080" xr:uid="{9C6D578C-64AC-418F-AAEC-1737D2FC8E57}"/>
    <cellStyle name="Notas 2 3 3 11" xfId="46421" xr:uid="{7E70EC37-815E-4B66-A5BA-7D9895A48136}"/>
    <cellStyle name="Notas 2 3 3 2" xfId="41516" xr:uid="{55D3E859-46C2-4A6C-96FD-91A3C481BB1A}"/>
    <cellStyle name="Notas 2 3 3 2 2" xfId="41517" xr:uid="{7C41F655-B4D0-4F4D-B9F0-8EFEE4825564}"/>
    <cellStyle name="Notas 2 3 3 2 2 2" xfId="46825" xr:uid="{84ABDCE8-F8EB-49B7-907F-CC74782B4CAF}"/>
    <cellStyle name="Notas 2 3 3 2 3" xfId="41518" xr:uid="{8333F539-0E95-4A99-9C11-F59906DCA855}"/>
    <cellStyle name="Notas 2 3 3 2 3 2" xfId="46888" xr:uid="{F688F2FC-168F-488E-A0F1-FD0C017A233C}"/>
    <cellStyle name="Notas 2 3 3 2 3 3" xfId="47071" xr:uid="{6E78F1F8-9231-43AC-8877-68A294C73A18}"/>
    <cellStyle name="Notas 2 3 3 2 4" xfId="41519" xr:uid="{5BA41059-7710-458D-851C-E0E71D38AB0F}"/>
    <cellStyle name="Notas 2 3 3 2 4 2" xfId="47072" xr:uid="{D2D43815-85B6-404F-B89E-08D954E940D3}"/>
    <cellStyle name="Notas 2 3 3 2 5" xfId="41520" xr:uid="{0E90DF2C-43B2-4EF9-AB20-0D79656FA8C6}"/>
    <cellStyle name="Notas 2 3 3 2 5 2" xfId="47387" xr:uid="{A7AF7DB9-1901-4A07-9392-2C6D08C60C30}"/>
    <cellStyle name="Notas 2 3 3 2 6" xfId="46081" xr:uid="{6736941A-3178-40AD-A582-DED91D98AC15}"/>
    <cellStyle name="Notas 2 3 3 2 6 2" xfId="47388" xr:uid="{6410A966-B951-4EE4-987C-2230BF01646B}"/>
    <cellStyle name="Notas 2 3 3 2 7" xfId="46422" xr:uid="{A35C85F1-B0A5-4B2C-BF6F-C53AEC153DDE}"/>
    <cellStyle name="Notas 2 3 3 3" xfId="41521" xr:uid="{8F471A51-5EA2-4A06-8914-E2D2A61217EA}"/>
    <cellStyle name="Notas 2 3 3 3 2" xfId="46826" xr:uid="{0851976C-0D53-455F-84EE-3833E9914623}"/>
    <cellStyle name="Notas 2 3 3 4" xfId="41522" xr:uid="{3475CF58-CAD7-4CD0-848F-42DC2E0F3C83}"/>
    <cellStyle name="Notas 2 3 3 4 2" xfId="46887" xr:uid="{B96DCA4F-1FA8-49B6-981A-13BAACC8A513}"/>
    <cellStyle name="Notas 2 3 3 4 3" xfId="47073" xr:uid="{E8E0C3FF-D62A-41C3-92E0-B8E5EBF3D2E3}"/>
    <cellStyle name="Notas 2 3 3 5" xfId="41523" xr:uid="{36A79D4E-DD86-446A-8EB4-748B58DFCB83}"/>
    <cellStyle name="Notas 2 3 3 5 2" xfId="47074" xr:uid="{92BBDE2A-00CA-4257-8BDB-309B7FB53478}"/>
    <cellStyle name="Notas 2 3 3 6" xfId="41524" xr:uid="{5F6E7CE6-D0FD-4F83-909D-789049601FDA}"/>
    <cellStyle name="Notas 2 3 3 6 2" xfId="47389" xr:uid="{748C4434-5A87-4FDD-B394-B604B0042614}"/>
    <cellStyle name="Notas 2 3 3 7" xfId="41525" xr:uid="{0D3D93BC-44D3-4D4D-A536-36610DDB53FB}"/>
    <cellStyle name="Notas 2 3 3 7 2" xfId="47390" xr:uid="{BD0285EF-7ED3-4C74-ABE8-B9443E4EB610}"/>
    <cellStyle name="Notas 2 3 3 8" xfId="41526" xr:uid="{38795C2D-5DD9-403E-A1FB-5FB010C3531C}"/>
    <cellStyle name="Notas 2 3 3 8 2" xfId="47731" xr:uid="{FA774F71-09C6-4E34-8A9E-0061CA4F0B19}"/>
    <cellStyle name="Notas 2 3 3 9" xfId="41527" xr:uid="{1B351D23-8DB8-4F45-AAAA-3E0660D06CD9}"/>
    <cellStyle name="Notas 2 3 4" xfId="41528" xr:uid="{B3EEF993-BEB7-4CAC-97FA-E7AB6285B113}"/>
    <cellStyle name="Notas 2 3 4 10" xfId="46082" xr:uid="{A0A35B20-6C6E-4A74-B5FC-F8AF9AAE997C}"/>
    <cellStyle name="Notas 2 3 4 11" xfId="46423" xr:uid="{CDCCD7DD-B373-4CA1-94CD-B5DCD467DB1E}"/>
    <cellStyle name="Notas 2 3 4 2" xfId="41529" xr:uid="{5ED0D835-A895-4165-8D44-F934E31403AD}"/>
    <cellStyle name="Notas 2 3 4 2 2" xfId="41530" xr:uid="{BD692468-CA0C-4CBA-9574-11635B4EFE36}"/>
    <cellStyle name="Notas 2 3 4 2 3" xfId="41531" xr:uid="{EF186C36-F423-4597-ADF7-ABAB2F4907A9}"/>
    <cellStyle name="Notas 2 3 4 2 4" xfId="41532" xr:uid="{D0E547B2-68B9-4BC9-960E-AF8B939EB8A0}"/>
    <cellStyle name="Notas 2 3 4 2 5" xfId="41533" xr:uid="{7C0F173B-0726-4D12-8C65-E83FEED2775E}"/>
    <cellStyle name="Notas 2 3 4 2 6" xfId="46827" xr:uid="{715AC3BD-CE50-4731-ADBC-566834271AFC}"/>
    <cellStyle name="Notas 2 3 4 3" xfId="41534" xr:uid="{B15FEFAA-D7F1-4F86-9EF6-CDB1163B323D}"/>
    <cellStyle name="Notas 2 3 4 3 2" xfId="46889" xr:uid="{5D45227E-C627-4D6A-9B7D-3187E51CEBFE}"/>
    <cellStyle name="Notas 2 3 4 3 3" xfId="47075" xr:uid="{31327AED-122C-41D7-912E-F1A7BC6CA68A}"/>
    <cellStyle name="Notas 2 3 4 4" xfId="41535" xr:uid="{27D5CAE4-A416-4E9F-9E33-9E6BD77FD5FC}"/>
    <cellStyle name="Notas 2 3 4 4 2" xfId="47076" xr:uid="{6879ED93-FDE2-4A26-9881-88B941324063}"/>
    <cellStyle name="Notas 2 3 4 5" xfId="41536" xr:uid="{5273861E-693E-4234-B157-0F798E4407E8}"/>
    <cellStyle name="Notas 2 3 4 5 2" xfId="47391" xr:uid="{82553815-B9C9-49A2-AB7B-9BE15B05B374}"/>
    <cellStyle name="Notas 2 3 4 6" xfId="41537" xr:uid="{91255A46-E28A-45CA-9FC1-2F90B319971A}"/>
    <cellStyle name="Notas 2 3 4 6 2" xfId="47392" xr:uid="{D0CFD8D4-995F-41C6-989D-42BE254400C3}"/>
    <cellStyle name="Notas 2 3 4 7" xfId="41538" xr:uid="{E27DF46A-789E-4D28-92EE-5B9FF4D31D26}"/>
    <cellStyle name="Notas 2 3 4 7 2" xfId="47732" xr:uid="{5732AF32-6593-4185-A392-32E82C88E0EB}"/>
    <cellStyle name="Notas 2 3 4 8" xfId="41539" xr:uid="{4708DD18-CCF8-4424-89DA-48249301BECC}"/>
    <cellStyle name="Notas 2 3 4 9" xfId="41540" xr:uid="{A75165D3-899E-4722-8296-32B56EABC2CC}"/>
    <cellStyle name="Notas 2 3 5" xfId="41541" xr:uid="{D6C30796-9FE2-4748-BB7E-2E5C810844C4}"/>
    <cellStyle name="Notas 2 3 5 10" xfId="46828" xr:uid="{D3E33373-8A5E-4933-AF80-78EDF294812B}"/>
    <cellStyle name="Notas 2 3 5 2" xfId="41542" xr:uid="{81317CA3-32E0-497D-87AE-96881C378185}"/>
    <cellStyle name="Notas 2 3 5 2 2" xfId="41543" xr:uid="{080469A6-294E-42D7-BD39-B823B6D03EA6}"/>
    <cellStyle name="Notas 2 3 5 2 3" xfId="41544" xr:uid="{DAE44333-14A9-43E4-A6DF-ADF9606543ED}"/>
    <cellStyle name="Notas 2 3 5 2 4" xfId="41545" xr:uid="{FC9FAF64-CD7A-41E0-AEFD-E5E5A33D4FFA}"/>
    <cellStyle name="Notas 2 3 5 2 5" xfId="41546" xr:uid="{6DFA10C7-7AA8-432C-B972-75D933296FA3}"/>
    <cellStyle name="Notas 2 3 5 3" xfId="41547" xr:uid="{815D783F-BD5E-47A1-87FF-14A59330A175}"/>
    <cellStyle name="Notas 2 3 5 4" xfId="41548" xr:uid="{7798AB5F-6E89-4C5D-A39A-98EA1232E28A}"/>
    <cellStyle name="Notas 2 3 5 5" xfId="41549" xr:uid="{3FB5BCF6-97F0-4DBD-8A17-8683B97D7B55}"/>
    <cellStyle name="Notas 2 3 5 6" xfId="41550" xr:uid="{539D705E-9FA2-46B5-B350-B91453869E95}"/>
    <cellStyle name="Notas 2 3 5 7" xfId="41551" xr:uid="{A3541A4F-08FE-48E9-A677-0BEB59E91E31}"/>
    <cellStyle name="Notas 2 3 5 8" xfId="41552" xr:uid="{AFEC0740-0989-4251-9E3A-8DD89D7287D6}"/>
    <cellStyle name="Notas 2 3 5 9" xfId="41553" xr:uid="{0D31618A-771A-40A0-A8E4-BDD296930B2A}"/>
    <cellStyle name="Notas 2 3 6" xfId="41554" xr:uid="{A37F2F23-2FA8-481E-8D9D-589EF3B3D0CD}"/>
    <cellStyle name="Notas 2 3 6 10" xfId="46882" xr:uid="{45519B63-4774-4525-B39F-07707A586849}"/>
    <cellStyle name="Notas 2 3 6 11" xfId="47077" xr:uid="{3F9915C0-92A3-495B-9AC0-88048D60753B}"/>
    <cellStyle name="Notas 2 3 6 2" xfId="41555" xr:uid="{934DB4D9-92CC-4BD2-809A-FEFC87EE05B2}"/>
    <cellStyle name="Notas 2 3 6 2 2" xfId="41556" xr:uid="{73C3A51F-C170-45A9-A238-43213CCCDC79}"/>
    <cellStyle name="Notas 2 3 6 2 3" xfId="41557" xr:uid="{93886374-22A2-46E6-971B-11BEC83D7540}"/>
    <cellStyle name="Notas 2 3 6 2 4" xfId="41558" xr:uid="{217476C7-D4C8-43A7-9E53-391A44AAF1C3}"/>
    <cellStyle name="Notas 2 3 6 2 5" xfId="41559" xr:uid="{94E787F5-DAFF-4683-B368-49FB88C28ECE}"/>
    <cellStyle name="Notas 2 3 6 3" xfId="41560" xr:uid="{2BDD0BEA-1ECC-4E67-8330-449D14AA242C}"/>
    <cellStyle name="Notas 2 3 6 4" xfId="41561" xr:uid="{4E943A22-37FB-4019-BC85-3CE410FB7E78}"/>
    <cellStyle name="Notas 2 3 6 5" xfId="41562" xr:uid="{F6E18A00-F0C5-44C3-8009-CAA45875DA76}"/>
    <cellStyle name="Notas 2 3 6 6" xfId="41563" xr:uid="{930472DB-37FC-41A4-9EFF-BA86FFB6310B}"/>
    <cellStyle name="Notas 2 3 6 7" xfId="41564" xr:uid="{98DFBB6D-B9D7-4D7D-B374-E3A4863FF2AD}"/>
    <cellStyle name="Notas 2 3 6 8" xfId="41565" xr:uid="{6EA874B1-1310-4DA3-882C-EE3A13575471}"/>
    <cellStyle name="Notas 2 3 6 9" xfId="41566" xr:uid="{CB85B219-4E92-4840-9676-BCD98A925392}"/>
    <cellStyle name="Notas 2 3 7" xfId="41567" xr:uid="{0CFF2C3A-F942-4FAE-B7D3-1E118C935031}"/>
    <cellStyle name="Notas 2 3 7 10" xfId="47078" xr:uid="{87C00FD7-1B15-43EC-9DF7-6BBCF2FDBA0C}"/>
    <cellStyle name="Notas 2 3 7 2" xfId="41568" xr:uid="{5C6C298D-6D24-49BC-8256-2268D380A1AA}"/>
    <cellStyle name="Notas 2 3 7 2 2" xfId="41569" xr:uid="{42BA57CC-BDF1-4BE1-A85B-1FD9680A1C41}"/>
    <cellStyle name="Notas 2 3 7 2 3" xfId="41570" xr:uid="{C7C05239-2EC1-445E-AC55-6EF279FFF510}"/>
    <cellStyle name="Notas 2 3 7 2 4" xfId="41571" xr:uid="{AFE37849-D074-41F5-ACCB-A32BD10C7F2D}"/>
    <cellStyle name="Notas 2 3 7 2 5" xfId="41572" xr:uid="{1B253297-735B-436A-AADC-2BE8B4499B86}"/>
    <cellStyle name="Notas 2 3 7 3" xfId="41573" xr:uid="{B8F5463A-14F1-4286-BB0C-2F90AB359D22}"/>
    <cellStyle name="Notas 2 3 7 4" xfId="41574" xr:uid="{06CA0AE4-DE75-445E-AA89-821A860F7588}"/>
    <cellStyle name="Notas 2 3 7 5" xfId="41575" xr:uid="{606B4542-7153-4F19-8154-22EE884A4C0C}"/>
    <cellStyle name="Notas 2 3 7 6" xfId="41576" xr:uid="{A54856B5-AB89-4D7A-BCEE-48A0A0A41CFE}"/>
    <cellStyle name="Notas 2 3 7 7" xfId="41577" xr:uid="{65992373-714C-496F-8DF7-C785B8A3D8BC}"/>
    <cellStyle name="Notas 2 3 7 8" xfId="41578" xr:uid="{C73BD4A5-6FD6-4B9E-9657-7186D1B0916D}"/>
    <cellStyle name="Notas 2 3 7 9" xfId="41579" xr:uid="{70F00A49-E4C3-4C8E-B01E-1FDADF69EF86}"/>
    <cellStyle name="Notas 2 3 8" xfId="41580" xr:uid="{504568E4-5B49-43D0-9910-C2B65C675598}"/>
    <cellStyle name="Notas 2 3 8 10" xfId="47393" xr:uid="{D13EF503-09FA-455A-AABF-C9836A2FDE2D}"/>
    <cellStyle name="Notas 2 3 8 2" xfId="41581" xr:uid="{059D0A5D-D22D-4EB4-8503-0B5D8E0E89A0}"/>
    <cellStyle name="Notas 2 3 8 2 2" xfId="41582" xr:uid="{EE63B0BD-9EDA-4469-8FFF-465BC3CF5ED6}"/>
    <cellStyle name="Notas 2 3 8 2 3" xfId="41583" xr:uid="{4C9A6956-5FDC-40FB-AB73-0A1D87CF8408}"/>
    <cellStyle name="Notas 2 3 8 2 4" xfId="41584" xr:uid="{7DA6BCB4-7D11-40C4-9C1E-50B948C6654E}"/>
    <cellStyle name="Notas 2 3 8 2 5" xfId="41585" xr:uid="{6B33C3A3-447E-452A-80F6-E5E541B13754}"/>
    <cellStyle name="Notas 2 3 8 3" xfId="41586" xr:uid="{3D01A3D1-23CB-4E00-A149-523260A3C3CF}"/>
    <cellStyle name="Notas 2 3 8 4" xfId="41587" xr:uid="{3A56165D-6F47-47FF-B08B-888AC94A8530}"/>
    <cellStyle name="Notas 2 3 8 5" xfId="41588" xr:uid="{37255E93-1E53-4971-BF62-01DF4D7599EC}"/>
    <cellStyle name="Notas 2 3 8 6" xfId="41589" xr:uid="{95A65A8E-C843-4C57-A60C-87214CB63541}"/>
    <cellStyle name="Notas 2 3 8 7" xfId="41590" xr:uid="{4742277E-8EEE-4107-8E0E-0B79780A7785}"/>
    <cellStyle name="Notas 2 3 8 8" xfId="41591" xr:uid="{7A5F00A9-9797-4425-B40B-3A8B43D37FBC}"/>
    <cellStyle name="Notas 2 3 8 9" xfId="41592" xr:uid="{0FF8DBE0-6D51-4330-A661-36BC484EB93E}"/>
    <cellStyle name="Notas 2 3 9" xfId="41593" xr:uid="{860BE4B2-9699-45E7-AAE6-0E1AB6C3FB50}"/>
    <cellStyle name="Notas 2 3 9 2" xfId="41594" xr:uid="{AE9F58C1-8811-4F94-BCD0-9BD0F794EA8C}"/>
    <cellStyle name="Notas 2 3 9 2 2" xfId="41595" xr:uid="{E244222C-FA22-4786-A1F4-3A030F037995}"/>
    <cellStyle name="Notas 2 3 9 2 3" xfId="41596" xr:uid="{751E0085-12F8-4AD9-BA51-7E8B2F358E9B}"/>
    <cellStyle name="Notas 2 3 9 2 4" xfId="41597" xr:uid="{E485E2B3-926D-43BE-A38B-CE13A70642C1}"/>
    <cellStyle name="Notas 2 3 9 2 5" xfId="41598" xr:uid="{98C19FF0-AAA6-482D-ACB6-B41B0DEC15F4}"/>
    <cellStyle name="Notas 2 3 9 3" xfId="41599" xr:uid="{A63EE9EA-F21A-4363-8850-6B7A5C679984}"/>
    <cellStyle name="Notas 2 3 9 4" xfId="41600" xr:uid="{21620241-07B7-4C8D-8E7E-15696F89A648}"/>
    <cellStyle name="Notas 2 3 9 5" xfId="41601" xr:uid="{766DFEEF-2CAC-4D78-950D-50877A740690}"/>
    <cellStyle name="Notas 2 3 9 6" xfId="41602" xr:uid="{AEA22249-5151-46FF-8085-4753266131E4}"/>
    <cellStyle name="Notas 2 3 9 7" xfId="47394" xr:uid="{586B9E2C-990C-478B-AF9D-23183959EC32}"/>
    <cellStyle name="Notas 2 30" xfId="979" xr:uid="{F57D2D13-8047-4949-A180-129656EA17D8}"/>
    <cellStyle name="Notas 2 31" xfId="980" xr:uid="{F795329D-1678-4521-929C-37C3CC8CE534}"/>
    <cellStyle name="Notas 2 32" xfId="981" xr:uid="{DCA666ED-B348-41D4-9CFC-4176EB98781E}"/>
    <cellStyle name="Notas 2 33" xfId="982" xr:uid="{6E26D72B-04A4-4F49-A0A3-530E5DC7F780}"/>
    <cellStyle name="Notas 2 34" xfId="983" xr:uid="{98C8E22B-9DC8-4EC5-80BC-CC0F6332D19D}"/>
    <cellStyle name="Notas 2 35" xfId="46058" xr:uid="{25480FCA-3E95-4A8B-863B-1051D88CF26C}"/>
    <cellStyle name="Notas 2 4" xfId="984" xr:uid="{D0BE7FB2-DFA3-4A2B-A1A8-89C7ADB23BF8}"/>
    <cellStyle name="Notas 2 4 10" xfId="41603" xr:uid="{780CCBBA-FCFE-40D2-9B0E-13DB1561B857}"/>
    <cellStyle name="Notas 2 4 11" xfId="41604" xr:uid="{BD6C6E4E-0CFC-41B5-AB43-E9D5BC47FA5E}"/>
    <cellStyle name="Notas 2 4 12" xfId="41605" xr:uid="{AD000B0C-CA50-4C1B-9C90-04ECB884A84C}"/>
    <cellStyle name="Notas 2 4 13" xfId="41606" xr:uid="{57D49248-D736-4119-97BB-1C2AABA69C07}"/>
    <cellStyle name="Notas 2 4 14" xfId="46083" xr:uid="{39C8BD01-D117-40B1-875E-E3C981ADDC66}"/>
    <cellStyle name="Notas 2 4 2" xfId="41607" xr:uid="{CA328462-C297-4903-AC28-4C7859BB0BCD}"/>
    <cellStyle name="Notas 2 4 2 10" xfId="41608" xr:uid="{B1B2796A-3EE9-4053-96BA-6727EE224D54}"/>
    <cellStyle name="Notas 2 4 2 11" xfId="41609" xr:uid="{C4119363-B204-4337-96A0-E2B673304A53}"/>
    <cellStyle name="Notas 2 4 2 12" xfId="41610" xr:uid="{30EF72C1-F730-4D05-B02F-5495569206D4}"/>
    <cellStyle name="Notas 2 4 2 13" xfId="41611" xr:uid="{3372FD62-7973-41C8-9CFC-43545C489D36}"/>
    <cellStyle name="Notas 2 4 2 14" xfId="46084" xr:uid="{E83FAB62-B269-4AD5-B544-225D62338113}"/>
    <cellStyle name="Notas 2 4 2 15" xfId="46424" xr:uid="{C7001D6C-3125-4E11-B55E-BBCCCC766DCC}"/>
    <cellStyle name="Notas 2 4 2 2" xfId="41612" xr:uid="{E816AD4E-EF6B-4EA7-A92F-45A6382B4E97}"/>
    <cellStyle name="Notas 2 4 2 2 10" xfId="41613" xr:uid="{AA8AB95E-ED93-4791-A8F9-64CF7E3F7881}"/>
    <cellStyle name="Notas 2 4 2 2 11" xfId="41614" xr:uid="{4BEC8BB8-C466-43BE-A45E-7E475DDF4EFB}"/>
    <cellStyle name="Notas 2 4 2 2 12" xfId="41615" xr:uid="{618D6071-6A64-48D1-BA31-504D969A9FFA}"/>
    <cellStyle name="Notas 2 4 2 2 13" xfId="46085" xr:uid="{2774B46D-AD5E-49A0-ADD8-F583859A1FE1}"/>
    <cellStyle name="Notas 2 4 2 2 14" xfId="46425" xr:uid="{B3C444CC-5189-4BA7-AE5D-D3F9FCAF68AD}"/>
    <cellStyle name="Notas 2 4 2 2 2" xfId="41616" xr:uid="{F09150AD-B9D5-4782-806D-3591DE718B05}"/>
    <cellStyle name="Notas 2 4 2 2 2 10" xfId="41617" xr:uid="{DC91EA9D-7AC4-4E88-B590-E11D4740315D}"/>
    <cellStyle name="Notas 2 4 2 2 2 11" xfId="41618" xr:uid="{D2C646AA-6D68-41D1-BA73-65200F6E4557}"/>
    <cellStyle name="Notas 2 4 2 2 2 12" xfId="41619" xr:uid="{128948AD-E427-461F-8662-711192EE40DE}"/>
    <cellStyle name="Notas 2 4 2 2 2 13" xfId="46829" xr:uid="{8BD195FE-F7F5-478F-A6BD-6A5E7F367AAB}"/>
    <cellStyle name="Notas 2 4 2 2 2 2" xfId="41620" xr:uid="{A587C7E3-D00A-4766-8F0B-94B8E7D53B7F}"/>
    <cellStyle name="Notas 2 4 2 2 2 2 2" xfId="41621" xr:uid="{EDFE3ADA-E0C5-41F6-872E-6519067C785C}"/>
    <cellStyle name="Notas 2 4 2 2 2 2 2 2" xfId="41622" xr:uid="{31BD980D-B284-4DAE-8183-E9D0C4E2AC71}"/>
    <cellStyle name="Notas 2 4 2 2 2 2 2 3" xfId="41623" xr:uid="{C6D2319A-FBED-4F14-A82D-680B25B66288}"/>
    <cellStyle name="Notas 2 4 2 2 2 2 2 4" xfId="41624" xr:uid="{6EC062B6-5CF3-43B3-A21B-66736CA1CA42}"/>
    <cellStyle name="Notas 2 4 2 2 2 2 2 5" xfId="41625" xr:uid="{C932E39D-DDAC-4130-AB7B-C52845D6DFDA}"/>
    <cellStyle name="Notas 2 4 2 2 2 2 3" xfId="41626" xr:uid="{BEACF01C-0C3D-405E-8C72-7453F0ECA801}"/>
    <cellStyle name="Notas 2 4 2 2 2 2 4" xfId="41627" xr:uid="{28B2E0FB-16E1-4418-8F8D-08A8758288CC}"/>
    <cellStyle name="Notas 2 4 2 2 2 2 5" xfId="41628" xr:uid="{3419D310-D3C3-4483-8C29-31B707102347}"/>
    <cellStyle name="Notas 2 4 2 2 2 2 6" xfId="41629" xr:uid="{7436187B-49AE-408C-BE0C-DAF25AC1F784}"/>
    <cellStyle name="Notas 2 4 2 2 2 3" xfId="41630" xr:uid="{94FFA587-6780-4A39-8CFF-80535E596A91}"/>
    <cellStyle name="Notas 2 4 2 2 2 3 2" xfId="41631" xr:uid="{7A01DC5C-A965-41F1-A261-7AA3945C2AA7}"/>
    <cellStyle name="Notas 2 4 2 2 2 3 2 2" xfId="41632" xr:uid="{C7C2BB49-843E-4822-B2A5-EFF91DCD5538}"/>
    <cellStyle name="Notas 2 4 2 2 2 3 2 3" xfId="41633" xr:uid="{13DDDE18-9AD1-4F24-9D33-10391DDE1F82}"/>
    <cellStyle name="Notas 2 4 2 2 2 3 2 4" xfId="41634" xr:uid="{47C7527B-C5D1-4888-B05E-05C17D055152}"/>
    <cellStyle name="Notas 2 4 2 2 2 3 2 5" xfId="41635" xr:uid="{6FA2F2A8-0A40-4937-849B-89E1B53CE9D1}"/>
    <cellStyle name="Notas 2 4 2 2 2 3 3" xfId="41636" xr:uid="{44117A8B-DA4D-42D4-AE7E-BCE0B5FA56D4}"/>
    <cellStyle name="Notas 2 4 2 2 2 3 4" xfId="41637" xr:uid="{EB88C827-3FC5-4C16-A41E-7D397FBF85FD}"/>
    <cellStyle name="Notas 2 4 2 2 2 3 5" xfId="41638" xr:uid="{0FE978BE-F05E-4409-909A-E16A60C0B059}"/>
    <cellStyle name="Notas 2 4 2 2 2 3 6" xfId="41639" xr:uid="{AB907CE3-5078-4A09-BA0D-EDA335926A24}"/>
    <cellStyle name="Notas 2 4 2 2 2 4" xfId="41640" xr:uid="{36B704CB-1946-4116-9547-9340167DCECA}"/>
    <cellStyle name="Notas 2 4 2 2 2 4 2" xfId="41641" xr:uid="{F7CD4270-1D60-4BD4-B049-00A6F85850CC}"/>
    <cellStyle name="Notas 2 4 2 2 2 4 2 2" xfId="41642" xr:uid="{36C9CE10-521B-42A1-B43B-0D2AA615A6BE}"/>
    <cellStyle name="Notas 2 4 2 2 2 4 2 3" xfId="41643" xr:uid="{C7FD9F23-92D8-46BB-B23E-A7B0C338A94D}"/>
    <cellStyle name="Notas 2 4 2 2 2 4 2 4" xfId="41644" xr:uid="{F29860FA-46D2-479D-B4F0-B507BD6BD617}"/>
    <cellStyle name="Notas 2 4 2 2 2 4 2 5" xfId="41645" xr:uid="{524AD715-ED09-4204-B58A-C1EB9951507B}"/>
    <cellStyle name="Notas 2 4 2 2 2 4 3" xfId="41646" xr:uid="{8675011F-80B6-4755-B64B-836B994FEF35}"/>
    <cellStyle name="Notas 2 4 2 2 2 4 4" xfId="41647" xr:uid="{4FE4A854-5549-486A-B47D-CDCA6078F798}"/>
    <cellStyle name="Notas 2 4 2 2 2 4 5" xfId="41648" xr:uid="{310DF2B7-8606-45C5-B6E8-0D2FF697AA7D}"/>
    <cellStyle name="Notas 2 4 2 2 2 4 6" xfId="41649" xr:uid="{FBD8E88E-EEBE-4334-A234-08E6697EC1A0}"/>
    <cellStyle name="Notas 2 4 2 2 2 5" xfId="41650" xr:uid="{4E575352-B6D3-4137-BB9D-62CFB066DBB7}"/>
    <cellStyle name="Notas 2 4 2 2 2 5 2" xfId="41651" xr:uid="{5F4A53DD-95D0-4BB7-ACE8-AA5B2BD615B3}"/>
    <cellStyle name="Notas 2 4 2 2 2 5 3" xfId="41652" xr:uid="{AA6332B1-6223-41AD-AD0D-B330CF0F6B71}"/>
    <cellStyle name="Notas 2 4 2 2 2 5 4" xfId="41653" xr:uid="{290125DB-2276-4907-8C4C-6DFA0C14262C}"/>
    <cellStyle name="Notas 2 4 2 2 2 5 5" xfId="41654" xr:uid="{A2C9F15A-5646-4C1B-8AFF-8806EB6FD73A}"/>
    <cellStyle name="Notas 2 4 2 2 2 6" xfId="41655" xr:uid="{2FFE64FA-8BDF-412D-93CE-306CCF408966}"/>
    <cellStyle name="Notas 2 4 2 2 2 7" xfId="41656" xr:uid="{02003BE4-5E91-4D02-BFA7-76F63ABF0F5C}"/>
    <cellStyle name="Notas 2 4 2 2 2 8" xfId="41657" xr:uid="{5B90D7C6-7B37-4EDF-BCDE-1DE71CC667B0}"/>
    <cellStyle name="Notas 2 4 2 2 2 9" xfId="41658" xr:uid="{E5AFC626-F54F-4AF3-8CE0-6A2D4128E141}"/>
    <cellStyle name="Notas 2 4 2 2 3" xfId="41659" xr:uid="{CD57FF0A-8ACA-4E9D-AC1E-BB4AD797B9EB}"/>
    <cellStyle name="Notas 2 4 2 2 3 2" xfId="41660" xr:uid="{6DD5E8D6-4EB6-4D93-8A7C-50C033525D53}"/>
    <cellStyle name="Notas 2 4 2 2 3 2 2" xfId="41661" xr:uid="{E56C4718-EFE8-4C7F-AF0A-C444402EAF92}"/>
    <cellStyle name="Notas 2 4 2 2 3 2 3" xfId="41662" xr:uid="{9192731F-E62A-4190-AB33-7BAFD967E23F}"/>
    <cellStyle name="Notas 2 4 2 2 3 2 4" xfId="41663" xr:uid="{5134231D-0869-4755-A761-8CF0A079A701}"/>
    <cellStyle name="Notas 2 4 2 2 3 2 5" xfId="41664" xr:uid="{745D8D70-9D17-4510-927F-548F4213411B}"/>
    <cellStyle name="Notas 2 4 2 2 3 3" xfId="41665" xr:uid="{71E6ACD9-525C-4667-8A74-9E3C97BF2712}"/>
    <cellStyle name="Notas 2 4 2 2 3 4" xfId="41666" xr:uid="{FE1C77F2-E2DA-4921-A2C2-FEBE191CCE6E}"/>
    <cellStyle name="Notas 2 4 2 2 3 5" xfId="41667" xr:uid="{3B443241-1F93-4ADD-8D22-2A4D3FC38B4B}"/>
    <cellStyle name="Notas 2 4 2 2 3 6" xfId="41668" xr:uid="{91CE2DE6-5C8A-4D1A-B048-6E0BA2DD7D39}"/>
    <cellStyle name="Notas 2 4 2 2 3 7" xfId="46892" xr:uid="{057FAE15-02A2-48EF-BEF2-58A934DE207C}"/>
    <cellStyle name="Notas 2 4 2 2 3 8" xfId="47079" xr:uid="{650ED090-72D7-4225-8AB1-99B0889B8C41}"/>
    <cellStyle name="Notas 2 4 2 2 4" xfId="41669" xr:uid="{0A820B96-85BE-4F44-895A-F610E47DFFFF}"/>
    <cellStyle name="Notas 2 4 2 2 4 2" xfId="41670" xr:uid="{255911BD-FC99-4122-8411-7AB7521287E5}"/>
    <cellStyle name="Notas 2 4 2 2 4 2 2" xfId="41671" xr:uid="{B9050BFF-E6ED-4B96-9E67-3F9E91D7514A}"/>
    <cellStyle name="Notas 2 4 2 2 4 2 3" xfId="41672" xr:uid="{58D073ED-015B-474C-B34C-688CC9D60D88}"/>
    <cellStyle name="Notas 2 4 2 2 4 2 4" xfId="41673" xr:uid="{40BC1B81-14E4-45B6-B511-59F8395DE7DF}"/>
    <cellStyle name="Notas 2 4 2 2 4 2 5" xfId="41674" xr:uid="{F7FA870B-BE63-48BB-8774-315A7B6BA004}"/>
    <cellStyle name="Notas 2 4 2 2 4 3" xfId="41675" xr:uid="{269AAF7E-33E2-4B9D-A0FA-6CDFF3B6CC88}"/>
    <cellStyle name="Notas 2 4 2 2 4 4" xfId="41676" xr:uid="{46C8ADBF-E5F6-4384-B969-315CD3F2ECAC}"/>
    <cellStyle name="Notas 2 4 2 2 4 5" xfId="41677" xr:uid="{871DD3AA-6826-4BDD-BA7F-3C8F7061F5DE}"/>
    <cellStyle name="Notas 2 4 2 2 4 6" xfId="41678" xr:uid="{30E5FCD0-64AB-4CBD-9043-1ED54895C1B1}"/>
    <cellStyle name="Notas 2 4 2 2 4 7" xfId="47080" xr:uid="{8AAAE560-820C-42BE-932D-58FDA4562E92}"/>
    <cellStyle name="Notas 2 4 2 2 5" xfId="41679" xr:uid="{2D4D01CD-277F-43C6-AE9B-0F2FB8908D36}"/>
    <cellStyle name="Notas 2 4 2 2 5 2" xfId="41680" xr:uid="{1D027895-EAA4-4DD7-B5B1-8251ADEF2EE4}"/>
    <cellStyle name="Notas 2 4 2 2 5 3" xfId="41681" xr:uid="{1E1A9E55-676F-431C-B36B-1FAEA128FD60}"/>
    <cellStyle name="Notas 2 4 2 2 5 4" xfId="41682" xr:uid="{3C158735-8531-4A73-9BED-1021357A0C69}"/>
    <cellStyle name="Notas 2 4 2 2 5 5" xfId="41683" xr:uid="{D401F674-3868-4D25-8767-C6832FE40ACA}"/>
    <cellStyle name="Notas 2 4 2 2 5 6" xfId="47395" xr:uid="{DECDB63D-5531-4BE8-BCBA-4990B834BA60}"/>
    <cellStyle name="Notas 2 4 2 2 6" xfId="41684" xr:uid="{E5FB0813-0688-48F9-95CD-D636F1DC4E5B}"/>
    <cellStyle name="Notas 2 4 2 2 6 2" xfId="47396" xr:uid="{BFDCE135-B672-4ECD-AD1F-5C43801DC0D0}"/>
    <cellStyle name="Notas 2 4 2 2 7" xfId="41685" xr:uid="{D538E341-ADE9-473E-B779-66179C24E907}"/>
    <cellStyle name="Notas 2 4 2 2 7 2" xfId="47733" xr:uid="{59E1032F-424C-4E3B-B379-03A67A3A5AF8}"/>
    <cellStyle name="Notas 2 4 2 2 8" xfId="41686" xr:uid="{C6D920B4-421D-4E01-958C-098CBC8BB02B}"/>
    <cellStyle name="Notas 2 4 2 2 9" xfId="41687" xr:uid="{ECAFD718-B06E-45BD-BEB4-644547BD3A7C}"/>
    <cellStyle name="Notas 2 4 2 3" xfId="41688" xr:uid="{E4E8BDF9-73C0-46D8-8DC8-87F9265A73BE}"/>
    <cellStyle name="Notas 2 4 2 3 2" xfId="41689" xr:uid="{436D48FB-2CA5-4062-8A8C-0A1B44BBBD6F}"/>
    <cellStyle name="Notas 2 4 2 3 2 2" xfId="41690" xr:uid="{FD72F095-284B-4057-B72E-7C9AA0B84AA1}"/>
    <cellStyle name="Notas 2 4 2 3 2 3" xfId="41691" xr:uid="{C4D13632-1DD4-4C26-9EFF-0AEFFD0B9C26}"/>
    <cellStyle name="Notas 2 4 2 3 2 4" xfId="41692" xr:uid="{2C555248-D593-41B2-B048-5E34B7FA0647}"/>
    <cellStyle name="Notas 2 4 2 3 2 5" xfId="41693" xr:uid="{3083D421-E018-4165-9D3D-BD1EA7EFFD88}"/>
    <cellStyle name="Notas 2 4 2 3 3" xfId="41694" xr:uid="{47D6DE33-8FAA-4ABC-9A28-3720E4F8521E}"/>
    <cellStyle name="Notas 2 4 2 3 4" xfId="41695" xr:uid="{46EFAA5A-755E-42FA-8058-3B9A768597EB}"/>
    <cellStyle name="Notas 2 4 2 3 5" xfId="41696" xr:uid="{15E34AA5-8107-4806-8CB4-F90532236E25}"/>
    <cellStyle name="Notas 2 4 2 3 6" xfId="41697" xr:uid="{F0C80E04-89DB-40D6-8ABC-A10E09A7BD9B}"/>
    <cellStyle name="Notas 2 4 2 3 7" xfId="46830" xr:uid="{3AE2F9BC-0797-48E0-A41D-0431B476E4D0}"/>
    <cellStyle name="Notas 2 4 2 4" xfId="41698" xr:uid="{84F11766-5D71-4A36-8E61-FD8ED0301AEF}"/>
    <cellStyle name="Notas 2 4 2 4 2" xfId="41699" xr:uid="{930879BB-AB91-45E9-A7E2-FE6407CB039B}"/>
    <cellStyle name="Notas 2 4 2 4 2 2" xfId="41700" xr:uid="{B02BEE4F-73D2-4062-B1F3-5A7F7A36A3DC}"/>
    <cellStyle name="Notas 2 4 2 4 2 3" xfId="41701" xr:uid="{6E815A7B-04E7-4F8D-986E-876C7D1B5C31}"/>
    <cellStyle name="Notas 2 4 2 4 2 4" xfId="41702" xr:uid="{6E516226-460D-4CD0-BFE9-C8AD5E8250B6}"/>
    <cellStyle name="Notas 2 4 2 4 2 5" xfId="41703" xr:uid="{EBE2BB8C-F8E2-4E53-A54E-37C1692BD2D6}"/>
    <cellStyle name="Notas 2 4 2 4 3" xfId="41704" xr:uid="{BB65D8EF-19D2-45C8-AAF0-AB77C20A462C}"/>
    <cellStyle name="Notas 2 4 2 4 4" xfId="41705" xr:uid="{C9B011A1-E886-47EC-8D7D-94DDE2ED4A48}"/>
    <cellStyle name="Notas 2 4 2 4 5" xfId="41706" xr:uid="{46FB4183-8668-4F7B-8F0A-EDAE17F53FEF}"/>
    <cellStyle name="Notas 2 4 2 4 6" xfId="41707" xr:uid="{D79F6D85-F30B-477D-BC09-DA000201550A}"/>
    <cellStyle name="Notas 2 4 2 4 7" xfId="46891" xr:uid="{368008F6-EAF7-4420-9B04-88EB1881C0B9}"/>
    <cellStyle name="Notas 2 4 2 4 8" xfId="47081" xr:uid="{4A4F14D6-22EA-47B7-B01F-18DF2BFD3F9C}"/>
    <cellStyle name="Notas 2 4 2 5" xfId="41708" xr:uid="{29C9BB09-4910-45F2-B07C-0C522328C3EB}"/>
    <cellStyle name="Notas 2 4 2 5 2" xfId="41709" xr:uid="{BCB651AF-6DB4-400C-9776-AA8EBE7B3DCA}"/>
    <cellStyle name="Notas 2 4 2 5 2 2" xfId="41710" xr:uid="{641322F4-FED0-4F24-9497-C9958E37FE0E}"/>
    <cellStyle name="Notas 2 4 2 5 2 3" xfId="41711" xr:uid="{9F7B4CBC-0B9C-42CE-AA4E-764302D37ADB}"/>
    <cellStyle name="Notas 2 4 2 5 2 4" xfId="41712" xr:uid="{C5B38C83-12D2-4977-8947-4C460F52F9A4}"/>
    <cellStyle name="Notas 2 4 2 5 2 5" xfId="41713" xr:uid="{6ECE4473-53CC-4CF4-9687-4B2C540801F8}"/>
    <cellStyle name="Notas 2 4 2 5 3" xfId="41714" xr:uid="{9AA2C7AF-7DD3-4B8F-A0D3-B89316CA0B11}"/>
    <cellStyle name="Notas 2 4 2 5 4" xfId="41715" xr:uid="{BB8D7464-9EEF-4FC1-8C0E-5149A947CFD8}"/>
    <cellStyle name="Notas 2 4 2 5 5" xfId="41716" xr:uid="{DB6F8247-B2C0-426C-93B8-E054C51D7705}"/>
    <cellStyle name="Notas 2 4 2 5 6" xfId="41717" xr:uid="{0BDEF230-A3FB-4F6A-A7F8-CAB33E36E184}"/>
    <cellStyle name="Notas 2 4 2 5 7" xfId="47082" xr:uid="{D8C7FDE9-299F-4472-A77C-821D56280EAA}"/>
    <cellStyle name="Notas 2 4 2 6" xfId="41718" xr:uid="{9CFA61CA-3394-43A7-B4DE-43C43CA0F4A1}"/>
    <cellStyle name="Notas 2 4 2 6 2" xfId="41719" xr:uid="{9E305E37-0F8E-4BAA-A7A9-722853D6520C}"/>
    <cellStyle name="Notas 2 4 2 6 3" xfId="41720" xr:uid="{9F714973-9CBB-4BF9-9669-47F36D5603D6}"/>
    <cellStyle name="Notas 2 4 2 6 4" xfId="41721" xr:uid="{F525D465-AB8C-4CAA-8CA8-D8F3F3FD892A}"/>
    <cellStyle name="Notas 2 4 2 6 5" xfId="41722" xr:uid="{3C932942-AE97-42F7-9E52-CA1F05151EDD}"/>
    <cellStyle name="Notas 2 4 2 6 6" xfId="47397" xr:uid="{E2DCA7E1-419C-4415-897D-50FD358D7E32}"/>
    <cellStyle name="Notas 2 4 2 7" xfId="41723" xr:uid="{5CAF7B90-0583-466C-BE91-CBAAE67A9880}"/>
    <cellStyle name="Notas 2 4 2 7 2" xfId="47398" xr:uid="{7A49F1BC-81FD-4038-95C1-A3F536733C35}"/>
    <cellStyle name="Notas 2 4 2 8" xfId="41724" xr:uid="{EEFD6664-2138-49ED-BE2A-BCB17603DD59}"/>
    <cellStyle name="Notas 2 4 2 8 2" xfId="47734" xr:uid="{855FA0E1-5A18-4D19-81AC-F309DF74F0F0}"/>
    <cellStyle name="Notas 2 4 2 9" xfId="41725" xr:uid="{8D081F6A-C48D-4E91-8AAF-0CE1F263AECE}"/>
    <cellStyle name="Notas 2 4 3" xfId="41726" xr:uid="{A55FB62B-3E6F-4D29-92E7-D41C7783AD2E}"/>
    <cellStyle name="Notas 2 4 3 10" xfId="41727" xr:uid="{B61B7958-9ED4-4699-ACED-CCF0A5BE5260}"/>
    <cellStyle name="Notas 2 4 3 11" xfId="41728" xr:uid="{1DF329F7-6172-42D3-9AA4-E0720AD1739E}"/>
    <cellStyle name="Notas 2 4 3 12" xfId="41729" xr:uid="{A3E5F9BF-CC8D-4C2E-BD79-723FC67C3BA0}"/>
    <cellStyle name="Notas 2 4 3 13" xfId="46086" xr:uid="{3F550B69-46E5-4E74-8A72-DDE3ACDA6025}"/>
    <cellStyle name="Notas 2 4 3 14" xfId="46426" xr:uid="{0703EE36-4D12-4231-BCD3-93AB320EAA20}"/>
    <cellStyle name="Notas 2 4 3 2" xfId="41730" xr:uid="{F7881931-BE0B-4264-984D-07A625831221}"/>
    <cellStyle name="Notas 2 4 3 2 2" xfId="41731" xr:uid="{C61D80E1-7A60-4995-88FB-927E6BC0A5F4}"/>
    <cellStyle name="Notas 2 4 3 2 2 2" xfId="41732" xr:uid="{234C23B2-AE4B-43B3-A858-E5F87A40A5EC}"/>
    <cellStyle name="Notas 2 4 3 2 2 3" xfId="41733" xr:uid="{56A0353F-4F79-4BB5-8A22-E3A3BBCB5E02}"/>
    <cellStyle name="Notas 2 4 3 2 2 4" xfId="41734" xr:uid="{A15362E3-BBEF-4D61-AEB6-7DC3075A8D6A}"/>
    <cellStyle name="Notas 2 4 3 2 2 5" xfId="41735" xr:uid="{7E7AC5C1-7801-49C4-A08C-5DBA9E04F9FA}"/>
    <cellStyle name="Notas 2 4 3 2 3" xfId="41736" xr:uid="{C1A27801-1DB6-4D73-B5CF-8FC51744A9C0}"/>
    <cellStyle name="Notas 2 4 3 2 4" xfId="41737" xr:uid="{F8A05C5D-048F-4C2F-A767-17D949BB3715}"/>
    <cellStyle name="Notas 2 4 3 2 5" xfId="41738" xr:uid="{4E7439ED-9D58-46C2-8B3A-122287ED1D5F}"/>
    <cellStyle name="Notas 2 4 3 2 6" xfId="41739" xr:uid="{9492EC3F-D9FE-4EFB-ABAC-2750E448E459}"/>
    <cellStyle name="Notas 2 4 3 2 7" xfId="46831" xr:uid="{36F0EAB1-1D9C-495A-9623-B43F6281379E}"/>
    <cellStyle name="Notas 2 4 3 3" xfId="41740" xr:uid="{D4D5C9FC-31D1-4DF7-9C83-AB45B18E3AF2}"/>
    <cellStyle name="Notas 2 4 3 3 2" xfId="41741" xr:uid="{CA85B29D-E728-4805-B657-F2569E89859C}"/>
    <cellStyle name="Notas 2 4 3 3 2 2" xfId="41742" xr:uid="{98A83639-87A1-4DEF-B521-9DC88543FA87}"/>
    <cellStyle name="Notas 2 4 3 3 2 3" xfId="41743" xr:uid="{1F54C1F4-4618-47E8-9557-1FD93F6E5DE6}"/>
    <cellStyle name="Notas 2 4 3 3 2 4" xfId="41744" xr:uid="{42C22D5A-3A38-4F78-A888-AE61AD7602C9}"/>
    <cellStyle name="Notas 2 4 3 3 2 5" xfId="41745" xr:uid="{22DAF45E-428C-4432-B1FC-3DB6A071EE34}"/>
    <cellStyle name="Notas 2 4 3 3 3" xfId="41746" xr:uid="{3DD30F7D-77E9-49E4-A01D-7114FD70A2B4}"/>
    <cellStyle name="Notas 2 4 3 3 4" xfId="41747" xr:uid="{672F6F82-16AA-483E-9B90-1B4E1780EDE5}"/>
    <cellStyle name="Notas 2 4 3 3 5" xfId="41748" xr:uid="{E8CDC565-E29D-4CE8-9D5B-49719464654B}"/>
    <cellStyle name="Notas 2 4 3 3 6" xfId="41749" xr:uid="{0326CE3D-5F8C-4588-97FF-C4498A0FD09C}"/>
    <cellStyle name="Notas 2 4 3 3 7" xfId="46893" xr:uid="{428D9784-EDAF-4549-88C1-A549733CD406}"/>
    <cellStyle name="Notas 2 4 3 3 8" xfId="47083" xr:uid="{19954DED-AD19-4BEB-BB53-7639CA31A042}"/>
    <cellStyle name="Notas 2 4 3 4" xfId="41750" xr:uid="{F9D8D4C7-879F-4A0E-9ACE-2E9A29E3BC63}"/>
    <cellStyle name="Notas 2 4 3 4 2" xfId="41751" xr:uid="{3A4776ED-A44C-4C09-8674-FAA522413AD4}"/>
    <cellStyle name="Notas 2 4 3 4 2 2" xfId="41752" xr:uid="{1A97A16E-0AE5-4B80-B5C2-17862509A9F7}"/>
    <cellStyle name="Notas 2 4 3 4 2 3" xfId="41753" xr:uid="{D6325373-9130-4BE0-BB94-52AE3F98F117}"/>
    <cellStyle name="Notas 2 4 3 4 2 4" xfId="41754" xr:uid="{A8CBB0A6-FD4D-4D47-990A-5561326E5259}"/>
    <cellStyle name="Notas 2 4 3 4 2 5" xfId="41755" xr:uid="{1FA48B0A-C85A-44BB-86EF-8016D27C21B2}"/>
    <cellStyle name="Notas 2 4 3 4 3" xfId="41756" xr:uid="{26C60AB0-4C26-492C-96D0-4B95B4B1E836}"/>
    <cellStyle name="Notas 2 4 3 4 4" xfId="41757" xr:uid="{B9A67FCB-83D4-42D4-879B-843D5C569084}"/>
    <cellStyle name="Notas 2 4 3 4 5" xfId="41758" xr:uid="{CA6B618C-A873-4E39-8690-FCC2C7BDB87A}"/>
    <cellStyle name="Notas 2 4 3 4 6" xfId="41759" xr:uid="{A321E967-1CCB-4C17-B15C-D80D979B8366}"/>
    <cellStyle name="Notas 2 4 3 4 7" xfId="47084" xr:uid="{4CDD05A5-51D5-4A65-9360-3D59D64464B3}"/>
    <cellStyle name="Notas 2 4 3 5" xfId="41760" xr:uid="{E27A8AE3-3441-4C64-AB49-183580431C3E}"/>
    <cellStyle name="Notas 2 4 3 5 2" xfId="41761" xr:uid="{B930510B-04F8-4035-9CC9-223FD599EEFB}"/>
    <cellStyle name="Notas 2 4 3 5 3" xfId="41762" xr:uid="{80DC8201-CD04-41F3-8976-A07A8A86A5FF}"/>
    <cellStyle name="Notas 2 4 3 5 4" xfId="41763" xr:uid="{9CCB6E47-4136-4501-8276-C322931CB527}"/>
    <cellStyle name="Notas 2 4 3 5 5" xfId="41764" xr:uid="{9086FD00-BF38-4599-B91D-04DB14F043DD}"/>
    <cellStyle name="Notas 2 4 3 5 6" xfId="47399" xr:uid="{D4CED546-0AB2-4CF2-B969-96493A168D35}"/>
    <cellStyle name="Notas 2 4 3 6" xfId="41765" xr:uid="{52EA5C41-A30A-456D-AC4F-BBE22B7D928A}"/>
    <cellStyle name="Notas 2 4 3 6 2" xfId="47400" xr:uid="{A9A908DB-BB48-4F25-B3AB-23189721C9A1}"/>
    <cellStyle name="Notas 2 4 3 7" xfId="41766" xr:uid="{7F0BD235-0037-4369-822A-8951F4EC07AC}"/>
    <cellStyle name="Notas 2 4 3 7 2" xfId="47735" xr:uid="{DCAF245D-D3EE-41AB-8C7B-43766F6EAB93}"/>
    <cellStyle name="Notas 2 4 3 8" xfId="41767" xr:uid="{F75BFAF7-0F65-4883-B0E1-55AEED51D033}"/>
    <cellStyle name="Notas 2 4 3 9" xfId="41768" xr:uid="{87A51374-31F1-4953-890E-88BB92D2052B}"/>
    <cellStyle name="Notas 2 4 4" xfId="41769" xr:uid="{B33C19DC-4067-4E54-9DAF-D282AA760121}"/>
    <cellStyle name="Notas 2 4 4 2" xfId="41770" xr:uid="{79365715-CECE-47FC-AEC0-BA4748CA071F}"/>
    <cellStyle name="Notas 2 4 4 2 2" xfId="41771" xr:uid="{4A5D481F-BCD2-49E3-B0F7-26AA667CD1A7}"/>
    <cellStyle name="Notas 2 4 4 2 3" xfId="41772" xr:uid="{670F85D8-121F-4CB4-9BB8-81CEF40C0458}"/>
    <cellStyle name="Notas 2 4 4 2 4" xfId="41773" xr:uid="{EBCF3242-791A-442A-9C68-2DFEF4AB0D81}"/>
    <cellStyle name="Notas 2 4 4 2 5" xfId="41774" xr:uid="{47822ED3-45AD-4237-9AE5-60E34324E6C6}"/>
    <cellStyle name="Notas 2 4 4 3" xfId="41775" xr:uid="{E82E5650-A6F4-43E6-B324-9182AA53C5E0}"/>
    <cellStyle name="Notas 2 4 4 4" xfId="41776" xr:uid="{660B0043-B94A-40C8-B28E-E44BF65E9CE2}"/>
    <cellStyle name="Notas 2 4 4 5" xfId="41777" xr:uid="{D24C3F06-0B2B-4981-B9FE-CBDF237880E4}"/>
    <cellStyle name="Notas 2 4 4 6" xfId="41778" xr:uid="{04AB60BC-3F09-42B8-9F81-527F9B06E5AD}"/>
    <cellStyle name="Notas 2 4 4 7" xfId="46832" xr:uid="{9870C924-6032-4B5A-B84D-C3352CF56B20}"/>
    <cellStyle name="Notas 2 4 5" xfId="41779" xr:uid="{972F2DBE-DD0C-46A3-B714-E504431AA5AC}"/>
    <cellStyle name="Notas 2 4 5 2" xfId="41780" xr:uid="{939F6758-720D-48D3-A9BF-6E779541C1F4}"/>
    <cellStyle name="Notas 2 4 5 2 2" xfId="41781" xr:uid="{A0C8A789-E3AD-46B6-B6FE-90525EFF626D}"/>
    <cellStyle name="Notas 2 4 5 2 3" xfId="41782" xr:uid="{778C37FE-3A27-40CB-AD7E-45923FF13887}"/>
    <cellStyle name="Notas 2 4 5 2 4" xfId="41783" xr:uid="{083C9E77-9300-411E-A209-3D17C9715D86}"/>
    <cellStyle name="Notas 2 4 5 2 5" xfId="41784" xr:uid="{3C094B1B-4DFC-4218-A96A-2225D950F08F}"/>
    <cellStyle name="Notas 2 4 5 3" xfId="41785" xr:uid="{0A2ED44B-C417-4F0A-9B6D-1D10C71AAE17}"/>
    <cellStyle name="Notas 2 4 5 4" xfId="41786" xr:uid="{C88462A3-1E66-4AB6-92A7-DB686C80ED18}"/>
    <cellStyle name="Notas 2 4 5 5" xfId="41787" xr:uid="{31DCBC7E-1934-43D8-9ED4-F678774A23F2}"/>
    <cellStyle name="Notas 2 4 5 6" xfId="41788" xr:uid="{950AA5B3-5EB7-4ABC-9630-3596B11BFC7F}"/>
    <cellStyle name="Notas 2 4 5 7" xfId="46890" xr:uid="{61582EA7-969F-47F1-AB80-8D4598012799}"/>
    <cellStyle name="Notas 2 4 5 8" xfId="47085" xr:uid="{4981EC14-1EA3-4DFA-9DDA-E775AEAEA661}"/>
    <cellStyle name="Notas 2 4 6" xfId="41789" xr:uid="{A2AFB5F2-3A1A-403D-B786-3DE940191720}"/>
    <cellStyle name="Notas 2 4 6 2" xfId="41790" xr:uid="{119FF867-7D99-48D7-B173-77E78B2A30A3}"/>
    <cellStyle name="Notas 2 4 6 3" xfId="41791" xr:uid="{7318C946-F11F-4F81-A938-AEF92D877A73}"/>
    <cellStyle name="Notas 2 4 6 4" xfId="41792" xr:uid="{BE83E504-BD30-450A-80EE-7584176D2686}"/>
    <cellStyle name="Notas 2 4 6 5" xfId="41793" xr:uid="{D99705D4-BDB4-432D-95B7-F2457028FCF4}"/>
    <cellStyle name="Notas 2 4 6 6" xfId="47086" xr:uid="{0D61D10D-DDF8-4046-B300-9733B664AF28}"/>
    <cellStyle name="Notas 2 4 7" xfId="41794" xr:uid="{6E3A959D-9E5C-4D04-90C1-155DCED8F084}"/>
    <cellStyle name="Notas 2 4 7 2" xfId="47401" xr:uid="{B35B6140-60D8-43BA-A4C3-265AEDBBD222}"/>
    <cellStyle name="Notas 2 4 8" xfId="41795" xr:uid="{F78411C8-858F-479E-AA39-08B2CAC3D30D}"/>
    <cellStyle name="Notas 2 4 8 2" xfId="47402" xr:uid="{EA9BF2ED-1680-4238-808F-ED83FB4A9EDC}"/>
    <cellStyle name="Notas 2 4 9" xfId="41796" xr:uid="{8BDB55CB-FE88-47ED-B2FC-CF12DBA6D964}"/>
    <cellStyle name="Notas 2 4 9 2" xfId="47736" xr:uid="{AD0EDCED-1C83-4590-983E-C7C557A17168}"/>
    <cellStyle name="Notas 2 5" xfId="985" xr:uid="{6CA3600A-7844-44E0-B138-556B8C96FD28}"/>
    <cellStyle name="Notas 2 5 10" xfId="46087" xr:uid="{75EFA5E4-9A02-437F-AD6A-0E3AB28D4BA4}"/>
    <cellStyle name="Notas 2 5 2" xfId="41797" xr:uid="{4D5F16CF-417C-4D4C-849B-2F6B95DCBD1D}"/>
    <cellStyle name="Notas 2 5 2 2" xfId="41798" xr:uid="{4991540C-33C1-40CA-A85C-8FDD78719E80}"/>
    <cellStyle name="Notas 2 5 2 2 2" xfId="46833" xr:uid="{87CAC1A4-82A5-4A34-8C22-DC34C25522B2}"/>
    <cellStyle name="Notas 2 5 2 3" xfId="41799" xr:uid="{BFCAAE08-A21D-4426-BA08-5D9EB71CFBAB}"/>
    <cellStyle name="Notas 2 5 2 3 2" xfId="46895" xr:uid="{A18CD775-86D8-4FEA-8946-1B41C99BF901}"/>
    <cellStyle name="Notas 2 5 2 3 3" xfId="47087" xr:uid="{F917E15D-6E99-4B2D-894A-CAEA97D7E994}"/>
    <cellStyle name="Notas 2 5 2 4" xfId="41800" xr:uid="{C297842C-7C1C-4D9B-8117-7BCBC5077951}"/>
    <cellStyle name="Notas 2 5 2 4 2" xfId="47088" xr:uid="{225B60D3-E3E4-4705-85EB-52A477534BB7}"/>
    <cellStyle name="Notas 2 5 2 5" xfId="41801" xr:uid="{23374719-C7DD-4EB8-8E4F-950C47539713}"/>
    <cellStyle name="Notas 2 5 2 5 2" xfId="47403" xr:uid="{58EFF74A-A176-4E25-8943-43D8F75024F7}"/>
    <cellStyle name="Notas 2 5 2 6" xfId="46088" xr:uid="{BBA6BB68-71C4-4421-985B-9F81CC8D88CC}"/>
    <cellStyle name="Notas 2 5 2 6 2" xfId="47404" xr:uid="{344AFB1F-098F-41D6-8C14-0B2F4837D970}"/>
    <cellStyle name="Notas 2 5 2 7" xfId="46427" xr:uid="{75F2E9D6-CB22-47C5-BDAF-007D8A733550}"/>
    <cellStyle name="Notas 2 5 3" xfId="41802" xr:uid="{B87D84F7-2429-4D71-8AFB-EDC2F3A20208}"/>
    <cellStyle name="Notas 2 5 3 2" xfId="46834" xr:uid="{64B9785E-D12B-43F3-B575-1D00C1A59491}"/>
    <cellStyle name="Notas 2 5 4" xfId="41803" xr:uid="{91E164C9-9E97-4D54-B658-DAA7995F7ACF}"/>
    <cellStyle name="Notas 2 5 4 2" xfId="46894" xr:uid="{31FBB3CD-A920-4B2F-AEAF-2DB4FDCB2FB7}"/>
    <cellStyle name="Notas 2 5 4 3" xfId="47089" xr:uid="{960EF54D-91DA-4479-B064-B7F32ED43589}"/>
    <cellStyle name="Notas 2 5 5" xfId="41804" xr:uid="{A01C201F-4666-41A2-9D40-0CA640578C64}"/>
    <cellStyle name="Notas 2 5 5 2" xfId="47090" xr:uid="{9880956D-26EF-4806-9F03-48B9B6B60200}"/>
    <cellStyle name="Notas 2 5 6" xfId="41805" xr:uid="{3570FD62-FE24-43CF-9E49-52F3FBB3DE68}"/>
    <cellStyle name="Notas 2 5 6 2" xfId="47405" xr:uid="{DAEC9A1D-ED94-41E5-9CDE-791B803BE5CE}"/>
    <cellStyle name="Notas 2 5 7" xfId="41806" xr:uid="{21EC82B0-289D-4D23-A19D-69A9CB9443DB}"/>
    <cellStyle name="Notas 2 5 7 2" xfId="47406" xr:uid="{9488C2A1-ACC1-4D75-BC7A-E94B95FE6E7F}"/>
    <cellStyle name="Notas 2 5 8" xfId="41807" xr:uid="{A2BF298E-0CC6-4580-ACBD-3E40F61ED96D}"/>
    <cellStyle name="Notas 2 5 8 2" xfId="47737" xr:uid="{D7A68A39-FA06-4BE6-AC15-0C55417C9B32}"/>
    <cellStyle name="Notas 2 5 9" xfId="41808" xr:uid="{59F4489F-2368-46AD-A374-E6EDF811E436}"/>
    <cellStyle name="Notas 2 6" xfId="986" xr:uid="{5D467DA7-53CD-4A71-A452-5713B13F80B0}"/>
    <cellStyle name="Notas 2 6 10" xfId="46089" xr:uid="{9AB2944C-7D6D-4A24-A9DB-0827375EAD7B}"/>
    <cellStyle name="Notas 2 6 2" xfId="41809" xr:uid="{EE73D250-13F4-48A5-8C31-C62915BDB053}"/>
    <cellStyle name="Notas 2 6 2 2" xfId="41810" xr:uid="{0E7D41FB-4C15-418C-ADC1-1AA47979D945}"/>
    <cellStyle name="Notas 2 6 2 3" xfId="41811" xr:uid="{C4DB3BF4-9EEF-4996-9639-15CA08E25223}"/>
    <cellStyle name="Notas 2 6 2 4" xfId="41812" xr:uid="{08FAF320-406E-4D33-9CE8-C943FA475AA9}"/>
    <cellStyle name="Notas 2 6 2 5" xfId="41813" xr:uid="{02BBBF73-4ED4-4F3B-959E-E96A7A1BE26F}"/>
    <cellStyle name="Notas 2 6 2 6" xfId="46835" xr:uid="{C838F29F-5BD3-4520-8E76-0AE7298C3575}"/>
    <cellStyle name="Notas 2 6 3" xfId="41814" xr:uid="{EB819BA7-FFB2-43B1-91EF-9F773EAFB8C8}"/>
    <cellStyle name="Notas 2 6 3 2" xfId="46896" xr:uid="{5F1BBAAB-6E21-49C9-9FFF-A2CEE131A6BE}"/>
    <cellStyle name="Notas 2 6 3 3" xfId="47091" xr:uid="{D24B0C60-D342-4AD7-AA03-A46D0D7667A0}"/>
    <cellStyle name="Notas 2 6 4" xfId="41815" xr:uid="{AB07E0CC-FCEC-4788-A66B-EB12054DC712}"/>
    <cellStyle name="Notas 2 6 4 2" xfId="47092" xr:uid="{807B8D23-54D5-4532-91DD-2A4F861FAFD4}"/>
    <cellStyle name="Notas 2 6 5" xfId="41816" xr:uid="{1F7D19B9-8D6F-4271-8DD4-8C8658639C8C}"/>
    <cellStyle name="Notas 2 6 5 2" xfId="47407" xr:uid="{C35D801F-5A4D-4DC2-8D91-EA75FCFD7D37}"/>
    <cellStyle name="Notas 2 6 6" xfId="41817" xr:uid="{C02323CE-2167-49C8-8238-60B5751DB15C}"/>
    <cellStyle name="Notas 2 6 6 2" xfId="47408" xr:uid="{E696F19E-DA8D-4322-A317-8D191D08E0FE}"/>
    <cellStyle name="Notas 2 6 7" xfId="41818" xr:uid="{7512EF24-40C8-40A6-B524-DC7FDCF46BD2}"/>
    <cellStyle name="Notas 2 6 7 2" xfId="47738" xr:uid="{334C6823-4410-4FA2-82F5-9D7F437BBA02}"/>
    <cellStyle name="Notas 2 6 8" xfId="41819" xr:uid="{8A7B6AD2-6470-4B85-8D4A-CE5622CED7D4}"/>
    <cellStyle name="Notas 2 6 9" xfId="41820" xr:uid="{B4579195-7A7D-4285-B093-40229111F9C8}"/>
    <cellStyle name="Notas 2 7" xfId="987" xr:uid="{1A80C2F7-D4AE-4EBE-98CE-A82DA25B97CA}"/>
    <cellStyle name="Notas 2 7 2" xfId="41821" xr:uid="{3F9E41A1-1D4A-48E2-AB4D-971E2A35EE57}"/>
    <cellStyle name="Notas 2 7 2 2" xfId="41822" xr:uid="{D1B036D9-A7C7-4DCF-BC84-FCC700CC79C4}"/>
    <cellStyle name="Notas 2 7 2 3" xfId="41823" xr:uid="{F0B6D12B-8E46-4D93-8507-C0C1615038B6}"/>
    <cellStyle name="Notas 2 7 2 4" xfId="41824" xr:uid="{90E0F440-01F1-4598-A722-003E70D88052}"/>
    <cellStyle name="Notas 2 7 2 5" xfId="41825" xr:uid="{5D4A4FF3-FBB7-48C8-B55D-B6BA59FA7947}"/>
    <cellStyle name="Notas 2 7 3" xfId="41826" xr:uid="{664A1CB7-B2ED-4A55-9119-228BAF240CB1}"/>
    <cellStyle name="Notas 2 7 4" xfId="41827" xr:uid="{C3561656-CDE6-4ACD-94C4-93FD48810AB2}"/>
    <cellStyle name="Notas 2 7 5" xfId="41828" xr:uid="{5C302A27-5E1D-4013-8C34-49FA1F785E7A}"/>
    <cellStyle name="Notas 2 7 6" xfId="41829" xr:uid="{A4E6A50E-7495-41C3-8343-8E03DE8FEED5}"/>
    <cellStyle name="Notas 2 7 7" xfId="41830" xr:uid="{01D1900A-C3B5-4BE6-B6C6-C35F98E4DCCA}"/>
    <cellStyle name="Notas 2 7 8" xfId="41831" xr:uid="{C99AC74C-076C-45A8-AE11-63224E944B26}"/>
    <cellStyle name="Notas 2 7 9" xfId="41832" xr:uid="{8E333618-B199-4D3E-9440-4CB07B6F22AC}"/>
    <cellStyle name="Notas 2 8" xfId="988" xr:uid="{7848EFFB-A8A6-463C-8B5B-FEDB6178862C}"/>
    <cellStyle name="Notas 2 8 10" xfId="41833" xr:uid="{4696D3D9-FDF5-401E-9A8C-6C1698A14C51}"/>
    <cellStyle name="Notas 2 8 11" xfId="46865" xr:uid="{BF7105ED-9C7E-47CF-80FB-BFD47FC0FC41}"/>
    <cellStyle name="Notas 2 8 2" xfId="41834" xr:uid="{C1CE69F7-0804-4070-83BD-55A19FBB23AD}"/>
    <cellStyle name="Notas 2 8 2 2" xfId="41835" xr:uid="{34ED121E-CA03-4755-84D1-60FD8C4D8AA2}"/>
    <cellStyle name="Notas 2 8 2 2 2" xfId="41836" xr:uid="{78204646-7CB9-4BF2-8F02-35E4E9492936}"/>
    <cellStyle name="Notas 2 8 2 2 3" xfId="41837" xr:uid="{5FADD0FF-43D7-4CD9-94D6-DDFFF79658F8}"/>
    <cellStyle name="Notas 2 8 2 2 4" xfId="41838" xr:uid="{F2EA9837-B0D4-4879-BE97-B1527C91B794}"/>
    <cellStyle name="Notas 2 8 2 2 5" xfId="41839" xr:uid="{9BDBF2CC-025F-400B-914C-21BDB9DBC9AC}"/>
    <cellStyle name="Notas 2 8 2 3" xfId="41840" xr:uid="{A1EE81CC-25F9-4B17-A61E-8CA94182D10F}"/>
    <cellStyle name="Notas 2 8 2 4" xfId="41841" xr:uid="{A8075382-2C9D-42A4-AF07-B72D37F59FEA}"/>
    <cellStyle name="Notas 2 8 2 5" xfId="41842" xr:uid="{E95F0A92-1FBB-43F1-B0C4-7CE72FE40D91}"/>
    <cellStyle name="Notas 2 8 2 6" xfId="41843" xr:uid="{111751EC-344B-4A1C-A1A4-E16E0D131053}"/>
    <cellStyle name="Notas 2 8 2 7" xfId="41844" xr:uid="{32278B86-D5B6-4F24-BE4F-90C858AC02A6}"/>
    <cellStyle name="Notas 2 8 2 8" xfId="41845" xr:uid="{755957DC-10CE-4D10-A768-A4589EFB0585}"/>
    <cellStyle name="Notas 2 8 2 9" xfId="41846" xr:uid="{C05FC3C3-9239-4A55-B411-66FD30F42859}"/>
    <cellStyle name="Notas 2 8 3" xfId="41847" xr:uid="{F1DA80E1-248E-4963-BA4E-324E0C9652A6}"/>
    <cellStyle name="Notas 2 8 3 2" xfId="41848" xr:uid="{14B0B528-C6F2-4788-95C9-EA1D4FEE1733}"/>
    <cellStyle name="Notas 2 8 3 3" xfId="41849" xr:uid="{5CA6772E-4F52-42D5-95F4-3C410D4B0B40}"/>
    <cellStyle name="Notas 2 8 3 4" xfId="41850" xr:uid="{21B9025A-4FBF-4294-BD46-20A2BD6693FB}"/>
    <cellStyle name="Notas 2 8 3 5" xfId="41851" xr:uid="{4979FE5B-2C10-4AD3-B381-30F09AB75C08}"/>
    <cellStyle name="Notas 2 8 4" xfId="41852" xr:uid="{16437081-5AA5-41D4-8F4A-E99B28618610}"/>
    <cellStyle name="Notas 2 8 5" xfId="41853" xr:uid="{E3B052A9-3549-4986-8A16-2A2E280967C7}"/>
    <cellStyle name="Notas 2 8 6" xfId="41854" xr:uid="{68672345-1FC7-4709-84D4-949B25152174}"/>
    <cellStyle name="Notas 2 8 7" xfId="41855" xr:uid="{A409F9AD-A6B4-4DAB-9703-E0667A28FDBD}"/>
    <cellStyle name="Notas 2 8 8" xfId="41856" xr:uid="{8A48B5C6-4B30-47EB-A3D1-9905768B3AFE}"/>
    <cellStyle name="Notas 2 8 9" xfId="41857" xr:uid="{E9C4F2E4-7EB1-46F3-88FD-8F2135363137}"/>
    <cellStyle name="Notas 2 9" xfId="989" xr:uid="{E4B693B7-B066-40F0-A3F2-3E24D27E54FB}"/>
    <cellStyle name="Notas 2 9 2" xfId="41858" xr:uid="{3A3EEC44-0857-4670-8B6B-D39D2D6B1C86}"/>
    <cellStyle name="Notas 2 9 2 2" xfId="41859" xr:uid="{EE9C5127-2F6B-422C-993D-13F2E21E0E38}"/>
    <cellStyle name="Notas 2 9 2 3" xfId="41860" xr:uid="{E3D67DB3-2AA2-47D6-8440-475EA8A1C7D7}"/>
    <cellStyle name="Notas 2 9 2 4" xfId="41861" xr:uid="{9057416B-655A-46E3-97B4-7C7F9B3EC9B3}"/>
    <cellStyle name="Notas 2 9 2 5" xfId="41862" xr:uid="{2B07BBF1-2B10-4053-88A1-78921D3BC924}"/>
    <cellStyle name="Notas 2 9 3" xfId="41863" xr:uid="{7E0D8700-EA7B-4359-83ED-E06BEFF14CE0}"/>
    <cellStyle name="Notas 2 9 4" xfId="41864" xr:uid="{D430B84B-3798-436F-9844-E639E44F4AFC}"/>
    <cellStyle name="Notas 2 9 5" xfId="41865" xr:uid="{ACFF44A3-59A9-40A8-8559-23B1122F6C4F}"/>
    <cellStyle name="Notas 2 9 6" xfId="41866" xr:uid="{B5D05340-F268-4D3D-987E-5B86F57280ED}"/>
    <cellStyle name="Notas 2 9 7" xfId="41867" xr:uid="{870EE92C-620C-4109-8F82-9E1E3841BFC6}"/>
    <cellStyle name="Notas 2 9 8" xfId="41868" xr:uid="{6F2047EB-5CCD-437F-A8D7-4EE78DC9B551}"/>
    <cellStyle name="Notas 2 9 9" xfId="41869" xr:uid="{7F884173-D0B8-493F-9B44-361316374404}"/>
    <cellStyle name="Notas 20 10" xfId="990" xr:uid="{328D8E26-6433-43F0-A133-E161E06B8C0B}"/>
    <cellStyle name="Notas 20 11" xfId="991" xr:uid="{8F468F5C-51C0-45E6-9F6A-06C18762459F}"/>
    <cellStyle name="Notas 20 12" xfId="992" xr:uid="{15B9909E-3219-412E-9844-52C3FC3B2F55}"/>
    <cellStyle name="Notas 20 13" xfId="993" xr:uid="{149D728D-8726-4A4E-9B1D-9066AD920EBE}"/>
    <cellStyle name="Notas 20 14" xfId="994" xr:uid="{6DE42986-7D18-42A5-84BE-4F3790E76A2F}"/>
    <cellStyle name="Notas 20 15" xfId="995" xr:uid="{3378483D-A4E9-42D4-8189-83223F401B8B}"/>
    <cellStyle name="Notas 20 16" xfId="996" xr:uid="{18838A7F-69EE-4098-88EF-0864FAA524FC}"/>
    <cellStyle name="Notas 20 17" xfId="997" xr:uid="{4BDAE9BA-E8FC-4906-A126-DF3444538B1D}"/>
    <cellStyle name="Notas 20 18" xfId="998" xr:uid="{0DA8B202-9047-4DCB-A51C-3F5491DF2B5C}"/>
    <cellStyle name="Notas 20 19" xfId="999" xr:uid="{ECC8F412-F7EE-46EE-9AD5-4A4A101AF484}"/>
    <cellStyle name="Notas 20 2" xfId="1000" xr:uid="{A41839B1-2733-4C50-862B-0F1DD2A66EA5}"/>
    <cellStyle name="Notas 20 20" xfId="1001" xr:uid="{77128BB4-E7E1-4903-B3AD-9C42784E9953}"/>
    <cellStyle name="Notas 20 21" xfId="1002" xr:uid="{F0AEB539-CF8A-41C7-9A2F-2FF30544F6CB}"/>
    <cellStyle name="Notas 20 22" xfId="1003" xr:uid="{1C0AAEEF-E358-49C0-8561-828C39CF05F6}"/>
    <cellStyle name="Notas 20 23" xfId="1004" xr:uid="{D969DC9A-6F7C-4000-A5B4-3BE709DF8B85}"/>
    <cellStyle name="Notas 20 24" xfId="1005" xr:uid="{60CE6774-B048-4E4D-AD97-93DA4D4257D4}"/>
    <cellStyle name="Notas 20 25" xfId="1006" xr:uid="{F8A28ADB-7B90-4B63-82FC-FA586BFD2E37}"/>
    <cellStyle name="Notas 20 26" xfId="1007" xr:uid="{8F46C91C-E27E-4D46-90BB-778D627F878E}"/>
    <cellStyle name="Notas 20 27" xfId="1008" xr:uid="{2F194A64-FA63-4A2B-8EDD-5AF2A0B0655E}"/>
    <cellStyle name="Notas 20 28" xfId="1009" xr:uid="{01430A65-C7C6-4C23-A0C6-4B55B4490472}"/>
    <cellStyle name="Notas 20 29" xfId="1010" xr:uid="{D43DB8D6-2ACA-40A6-BB50-BD828F8F07DE}"/>
    <cellStyle name="Notas 20 3" xfId="1011" xr:uid="{F10946C2-F96C-4296-A439-F6125DF25A98}"/>
    <cellStyle name="Notas 20 30" xfId="1012" xr:uid="{C05086B9-2754-44C0-8205-4209EEF19993}"/>
    <cellStyle name="Notas 20 31" xfId="1013" xr:uid="{39316574-46A7-415E-85CD-20AFB92E190C}"/>
    <cellStyle name="Notas 20 32" xfId="1014" xr:uid="{D257094D-392B-4985-98A3-A661ECDC0BEB}"/>
    <cellStyle name="Notas 20 33" xfId="1015" xr:uid="{35998396-829D-4F16-ACEB-8451479FB1A0}"/>
    <cellStyle name="Notas 20 34" xfId="1016" xr:uid="{CC36BB37-6372-49C3-88A7-61382F4F2DDD}"/>
    <cellStyle name="Notas 20 4" xfId="1017" xr:uid="{70688481-680C-4A04-8228-1AD41736EEE7}"/>
    <cellStyle name="Notas 20 5" xfId="1018" xr:uid="{7DAB6A83-A104-4F45-AFF2-F1FDA29FD4C6}"/>
    <cellStyle name="Notas 20 6" xfId="1019" xr:uid="{61382D8C-CDF8-4F25-A9AA-FB13D9DD8B80}"/>
    <cellStyle name="Notas 20 7" xfId="1020" xr:uid="{DD2512A9-C67E-46DA-8917-349CF53F79F3}"/>
    <cellStyle name="Notas 20 8" xfId="1021" xr:uid="{769692EA-AE53-42B5-9ED5-B876A0B68D56}"/>
    <cellStyle name="Notas 20 9" xfId="1022" xr:uid="{A63275D6-9FDA-47E3-89FD-E00D2DF7713C}"/>
    <cellStyle name="Notas 21 10" xfId="1023" xr:uid="{581AE4A3-A947-4ACA-99B3-C907A62A9340}"/>
    <cellStyle name="Notas 21 11" xfId="1024" xr:uid="{213D7F21-50C2-4BF5-98CC-69CAAC77D13A}"/>
    <cellStyle name="Notas 21 12" xfId="1025" xr:uid="{4C559424-1F61-4C7F-A85B-1EFAC56C9865}"/>
    <cellStyle name="Notas 21 13" xfId="1026" xr:uid="{46A2DA1A-B5EE-4DD1-93F7-73177CC89C49}"/>
    <cellStyle name="Notas 21 14" xfId="1027" xr:uid="{50373EDE-1B51-47CE-A63C-29E6905C2D69}"/>
    <cellStyle name="Notas 21 15" xfId="1028" xr:uid="{FF3A8921-6D77-4F23-99AE-EF2B306AFA31}"/>
    <cellStyle name="Notas 21 16" xfId="1029" xr:uid="{BA1600CE-9020-432A-A020-77F3FAB8607B}"/>
    <cellStyle name="Notas 21 17" xfId="1030" xr:uid="{ED0A13BF-9050-40B5-9B50-EC7FBF77FC28}"/>
    <cellStyle name="Notas 21 18" xfId="1031" xr:uid="{EEC25D14-CEB0-4129-994B-A50C41D9BD7C}"/>
    <cellStyle name="Notas 21 19" xfId="1032" xr:uid="{257D1642-48FC-45A6-858F-73C5125569B1}"/>
    <cellStyle name="Notas 21 2" xfId="1033" xr:uid="{FBB4C707-5691-47B6-84FA-AE47BCC064C7}"/>
    <cellStyle name="Notas 21 20" xfId="1034" xr:uid="{1B163FC2-315B-47B8-B3D5-91AE16D08735}"/>
    <cellStyle name="Notas 21 21" xfId="1035" xr:uid="{1DBA682C-CA3F-47CB-AAC3-1F7A9CFAA1B5}"/>
    <cellStyle name="Notas 21 22" xfId="1036" xr:uid="{7467A361-4C95-4B02-9F1D-104AD2A2F63B}"/>
    <cellStyle name="Notas 21 23" xfId="1037" xr:uid="{8A9D1936-03F3-4E8C-A6A6-6AF07580909C}"/>
    <cellStyle name="Notas 21 24" xfId="1038" xr:uid="{B55B7D11-9942-46FD-B062-EC1315BE53F2}"/>
    <cellStyle name="Notas 21 25" xfId="1039" xr:uid="{0496E6F6-78EE-4FB2-8EEC-87EDF0940DE0}"/>
    <cellStyle name="Notas 21 26" xfId="1040" xr:uid="{9733516D-B8C8-45DE-8E8B-CE6F9E5D9767}"/>
    <cellStyle name="Notas 21 27" xfId="1041" xr:uid="{92205164-2189-4503-AFA0-C686DE5E2584}"/>
    <cellStyle name="Notas 21 28" xfId="1042" xr:uid="{ABEB34CD-14AB-43BA-BC76-3554C4D5F60D}"/>
    <cellStyle name="Notas 21 29" xfId="1043" xr:uid="{88F2E44A-1847-46F3-BBDE-18D25AF566AD}"/>
    <cellStyle name="Notas 21 3" xfId="1044" xr:uid="{ABA3841D-2FB7-4480-A92D-F50616326C00}"/>
    <cellStyle name="Notas 21 30" xfId="1045" xr:uid="{08B31112-4BBA-454A-A295-6EB833DB7DDE}"/>
    <cellStyle name="Notas 21 31" xfId="1046" xr:uid="{170CCF3D-98E7-41E4-9ED1-38DC22403BF9}"/>
    <cellStyle name="Notas 21 32" xfId="1047" xr:uid="{3027D76A-8CA7-4DC7-8FA5-450FA94BE429}"/>
    <cellStyle name="Notas 21 33" xfId="1048" xr:uid="{F93B8119-6F15-4F71-B459-8A6794BB53A9}"/>
    <cellStyle name="Notas 21 34" xfId="1049" xr:uid="{96C00AE6-50F6-45A9-9832-DEF45DD4FEF6}"/>
    <cellStyle name="Notas 21 4" xfId="1050" xr:uid="{4BB6BE86-C471-4187-A964-62214BB420C0}"/>
    <cellStyle name="Notas 21 5" xfId="1051" xr:uid="{A81AADC6-3804-4757-B355-204801F39E62}"/>
    <cellStyle name="Notas 21 6" xfId="1052" xr:uid="{8F682DC1-E156-4951-B558-DB4BAD726CC5}"/>
    <cellStyle name="Notas 21 7" xfId="1053" xr:uid="{F4E7117C-0F3F-4D85-867C-D59D29C952DC}"/>
    <cellStyle name="Notas 21 8" xfId="1054" xr:uid="{40B4F437-CF92-48CC-8BDA-D79409783342}"/>
    <cellStyle name="Notas 21 9" xfId="1055" xr:uid="{D95DDA32-10FE-40CE-8707-17D260967061}"/>
    <cellStyle name="Notas 22 10" xfId="1056" xr:uid="{63D74911-A215-4D61-BE92-53CD7EE9136E}"/>
    <cellStyle name="Notas 22 11" xfId="1057" xr:uid="{9CE35C2A-0BA9-4273-BD8A-4DB09F8D400C}"/>
    <cellStyle name="Notas 22 12" xfId="1058" xr:uid="{A693926B-8A9E-492D-BBCD-C9DBD11A6A13}"/>
    <cellStyle name="Notas 22 13" xfId="1059" xr:uid="{4C8DED5F-2C1A-44AF-803C-5108A67FDFFD}"/>
    <cellStyle name="Notas 22 14" xfId="1060" xr:uid="{07FE9E6A-7ABB-4D86-ADF0-3493BE7C9B41}"/>
    <cellStyle name="Notas 22 15" xfId="1061" xr:uid="{F9759161-D18F-40EA-A22D-0090C3EA6AEB}"/>
    <cellStyle name="Notas 22 16" xfId="1062" xr:uid="{6F30CD21-A535-4738-B36A-842ABBA2609B}"/>
    <cellStyle name="Notas 22 17" xfId="1063" xr:uid="{E7FE26B4-EEC6-4432-8626-55D3B8406B88}"/>
    <cellStyle name="Notas 22 18" xfId="1064" xr:uid="{A83019C9-04F7-4015-945A-B66A25363587}"/>
    <cellStyle name="Notas 22 19" xfId="1065" xr:uid="{CEAE121D-3B7E-44E0-80C4-26B0A5F28F65}"/>
    <cellStyle name="Notas 22 2" xfId="1066" xr:uid="{8EF40A1A-DC98-45FE-BEE3-043293ADE96F}"/>
    <cellStyle name="Notas 22 20" xfId="1067" xr:uid="{93D3A1CE-3E6B-41D0-97B0-9AECB49B188C}"/>
    <cellStyle name="Notas 22 21" xfId="1068" xr:uid="{284A2015-35C9-489C-B6BF-86123D0D2F89}"/>
    <cellStyle name="Notas 22 22" xfId="1069" xr:uid="{147CB448-B71D-415E-83B9-8F9174C885BD}"/>
    <cellStyle name="Notas 22 23" xfId="1070" xr:uid="{1105A9B6-8EAF-47E7-8A7D-C86C5A81BBB8}"/>
    <cellStyle name="Notas 22 24" xfId="1071" xr:uid="{90FB33FD-6FCC-400E-A41D-DFCCBAC365AC}"/>
    <cellStyle name="Notas 22 25" xfId="1072" xr:uid="{F6CDF7E7-7104-4B9C-B739-9BA259DD21B8}"/>
    <cellStyle name="Notas 22 26" xfId="1073" xr:uid="{1A9765C0-286E-49F5-9EE3-54ACFD588351}"/>
    <cellStyle name="Notas 22 27" xfId="1074" xr:uid="{36C6952C-1497-4848-8498-AD4D95CF8EFE}"/>
    <cellStyle name="Notas 22 28" xfId="1075" xr:uid="{B966CCEB-5722-49B6-A641-60350BF2BDFD}"/>
    <cellStyle name="Notas 22 29" xfId="1076" xr:uid="{368A2440-BC0F-4BB2-8139-569212A94AE6}"/>
    <cellStyle name="Notas 22 3" xfId="1077" xr:uid="{5390363A-559F-4586-A064-7420FCE3DE8A}"/>
    <cellStyle name="Notas 22 30" xfId="1078" xr:uid="{6D209CBA-9B15-4B41-B936-FA895CD8E7F0}"/>
    <cellStyle name="Notas 22 31" xfId="1079" xr:uid="{5F21654B-10D6-42B4-828F-B716CED0F663}"/>
    <cellStyle name="Notas 22 32" xfId="1080" xr:uid="{D811F8D7-BE6E-4719-A500-23FD13F668FA}"/>
    <cellStyle name="Notas 22 33" xfId="1081" xr:uid="{A1DA272D-1506-4368-BF40-8D71C880865E}"/>
    <cellStyle name="Notas 22 34" xfId="1082" xr:uid="{9F9BFCC8-E87E-475C-8C25-4C742C52B962}"/>
    <cellStyle name="Notas 22 4" xfId="1083" xr:uid="{03E6DED0-9947-47E5-9D07-A8970282FD01}"/>
    <cellStyle name="Notas 22 5" xfId="1084" xr:uid="{75AA8A9F-19FB-43FF-A323-6F01A8198D59}"/>
    <cellStyle name="Notas 22 6" xfId="1085" xr:uid="{266461C0-0DF9-4262-8F03-647B8FD12AF7}"/>
    <cellStyle name="Notas 22 7" xfId="1086" xr:uid="{1A7F6220-7236-4047-9A4D-285A861BBB39}"/>
    <cellStyle name="Notas 22 8" xfId="1087" xr:uid="{0A031574-7BBB-40C5-B7DD-E82DCBD1919E}"/>
    <cellStyle name="Notas 22 9" xfId="1088" xr:uid="{7823CF34-C087-4F63-A89E-9CB5E6D509D4}"/>
    <cellStyle name="Notas 23 10" xfId="1089" xr:uid="{5CBF6308-B7B0-4B9B-BEEB-0A16DD71F155}"/>
    <cellStyle name="Notas 23 11" xfId="1090" xr:uid="{53828996-6B50-4EBA-A15E-B51199EA623E}"/>
    <cellStyle name="Notas 23 12" xfId="1091" xr:uid="{E289EAD8-BAB6-4197-A17F-B4615EE0A656}"/>
    <cellStyle name="Notas 23 13" xfId="1092" xr:uid="{788FC8A0-DF6B-47F7-BD67-B80EB5615D6A}"/>
    <cellStyle name="Notas 23 14" xfId="1093" xr:uid="{9A9E7D1D-72AE-4E5B-AD96-6BBD00595879}"/>
    <cellStyle name="Notas 23 15" xfId="1094" xr:uid="{C2DACE07-89F5-4337-80CF-BCCAC5E02729}"/>
    <cellStyle name="Notas 23 16" xfId="1095" xr:uid="{5D26B766-74EE-474D-9781-67A64F0F5E27}"/>
    <cellStyle name="Notas 23 17" xfId="1096" xr:uid="{D9365EEC-EDDE-4FF7-A960-4B6082539272}"/>
    <cellStyle name="Notas 23 18" xfId="1097" xr:uid="{E08BB582-29A3-4236-9A3F-F7DA429E6C5D}"/>
    <cellStyle name="Notas 23 19" xfId="1098" xr:uid="{E86AE9BC-F51C-4D50-A842-5B1DCBF7753D}"/>
    <cellStyle name="Notas 23 2" xfId="1099" xr:uid="{E2945B38-6D6A-4D15-9AB5-C840F59D3448}"/>
    <cellStyle name="Notas 23 20" xfId="1100" xr:uid="{B7E55A21-A080-485A-A7C8-98C15E4CC840}"/>
    <cellStyle name="Notas 23 21" xfId="1101" xr:uid="{34E4FE9B-96D9-4620-8A87-C4C6866132F5}"/>
    <cellStyle name="Notas 23 22" xfId="1102" xr:uid="{EF8C1A7A-15C4-4122-8893-CEB2596D10F3}"/>
    <cellStyle name="Notas 23 23" xfId="1103" xr:uid="{A2937DFF-8E17-4579-B88D-BA05B169BB49}"/>
    <cellStyle name="Notas 23 24" xfId="1104" xr:uid="{67CC9E02-E56B-4B9E-88D0-B85312608C98}"/>
    <cellStyle name="Notas 23 25" xfId="1105" xr:uid="{11276C4B-E60C-4DF9-AB01-3DA577000BF3}"/>
    <cellStyle name="Notas 23 26" xfId="1106" xr:uid="{17823E86-0CFE-4097-AF42-61E24A0C7BEC}"/>
    <cellStyle name="Notas 23 27" xfId="1107" xr:uid="{A3A909FC-69DB-455B-BB27-6533D05CD6DE}"/>
    <cellStyle name="Notas 23 28" xfId="1108" xr:uid="{7A258F55-DFCF-4D45-8DD8-32E24F20BAAD}"/>
    <cellStyle name="Notas 23 29" xfId="1109" xr:uid="{0C2CB2A2-FEC1-4522-9F82-AC478BD0A82B}"/>
    <cellStyle name="Notas 23 3" xfId="1110" xr:uid="{0E4AD922-7847-4A17-8FEE-88D1BFF38A3B}"/>
    <cellStyle name="Notas 23 30" xfId="1111" xr:uid="{2E756304-1504-436F-8272-0615BE387C02}"/>
    <cellStyle name="Notas 23 31" xfId="1112" xr:uid="{1EE4A11A-F892-4AA8-9991-99695ECBF04F}"/>
    <cellStyle name="Notas 23 32" xfId="1113" xr:uid="{750F31EA-6F53-4B76-B4C5-E011030C03CE}"/>
    <cellStyle name="Notas 23 33" xfId="1114" xr:uid="{06D8355D-7F5C-4EC2-B6DB-47442344ED66}"/>
    <cellStyle name="Notas 23 34" xfId="1115" xr:uid="{86784C60-D608-469E-9662-B1AFFCF7A45B}"/>
    <cellStyle name="Notas 23 4" xfId="1116" xr:uid="{7E1218A5-A996-4148-B821-36D47F98790E}"/>
    <cellStyle name="Notas 23 5" xfId="1117" xr:uid="{610ECEC0-EAC3-4125-AEEB-27A19AB30E42}"/>
    <cellStyle name="Notas 23 6" xfId="1118" xr:uid="{1145E566-916D-48E1-BEE1-2C360AE89F8E}"/>
    <cellStyle name="Notas 23 7" xfId="1119" xr:uid="{C9E36548-4FF4-4466-B2F8-E14046FE57D5}"/>
    <cellStyle name="Notas 23 8" xfId="1120" xr:uid="{318FD30D-40D3-4360-83BD-2EC2CED64770}"/>
    <cellStyle name="Notas 23 9" xfId="1121" xr:uid="{64F48A82-09F1-4EF3-9888-BEAE4916490B}"/>
    <cellStyle name="Notas 24 10" xfId="1122" xr:uid="{6C4038DB-3DE5-471C-A3B8-6C15F7A682C7}"/>
    <cellStyle name="Notas 24 11" xfId="1123" xr:uid="{BC8A7490-2376-4908-B3A0-066B76904013}"/>
    <cellStyle name="Notas 24 12" xfId="1124" xr:uid="{281E0480-91EC-4BF3-A001-70CBEACED985}"/>
    <cellStyle name="Notas 24 13" xfId="1125" xr:uid="{A628E9EC-0A5A-4457-8712-9266D8BBE1A2}"/>
    <cellStyle name="Notas 24 14" xfId="1126" xr:uid="{BAFE731D-A176-4F18-A88D-F3DD85EAABE4}"/>
    <cellStyle name="Notas 24 15" xfId="1127" xr:uid="{17BC18B1-418B-436B-A0DF-074DA4C25120}"/>
    <cellStyle name="Notas 24 16" xfId="1128" xr:uid="{CF36CC4D-446D-4797-BCEA-8E480A76D6FC}"/>
    <cellStyle name="Notas 24 17" xfId="1129" xr:uid="{ACA8CCAC-06EC-4F64-841D-C3E1646072FB}"/>
    <cellStyle name="Notas 24 18" xfId="1130" xr:uid="{EB5B0FE6-0DAB-43F0-B49B-A04AA41AF051}"/>
    <cellStyle name="Notas 24 19" xfId="1131" xr:uid="{6729DFC6-DEFE-40CE-A798-6D23CE40C46A}"/>
    <cellStyle name="Notas 24 2" xfId="1132" xr:uid="{D0E5C237-88E5-43DF-A2FE-C6887C3690A9}"/>
    <cellStyle name="Notas 24 20" xfId="1133" xr:uid="{AEFD0793-9216-44CB-BB40-0E121B048407}"/>
    <cellStyle name="Notas 24 21" xfId="1134" xr:uid="{E10F2309-FDCB-477D-B593-39847B6D7D2D}"/>
    <cellStyle name="Notas 24 22" xfId="1135" xr:uid="{CE61460D-E03E-47DE-9B12-2C5E856620B9}"/>
    <cellStyle name="Notas 24 23" xfId="1136" xr:uid="{D27C1009-5466-42C3-AA81-579621E47A89}"/>
    <cellStyle name="Notas 24 24" xfId="1137" xr:uid="{A7F86B04-7C91-4A23-8E17-363FFEF2F803}"/>
    <cellStyle name="Notas 24 25" xfId="1138" xr:uid="{32B7A352-2479-494D-BFAC-E22D41E91664}"/>
    <cellStyle name="Notas 24 26" xfId="1139" xr:uid="{B9C14097-C091-4FC7-AED1-C68084894F76}"/>
    <cellStyle name="Notas 24 27" xfId="1140" xr:uid="{CDA70445-91BD-40F3-80D8-6C9587316195}"/>
    <cellStyle name="Notas 24 28" xfId="1141" xr:uid="{E6B794FE-BF80-439F-A0A6-D5ADEBCFBE8F}"/>
    <cellStyle name="Notas 24 29" xfId="1142" xr:uid="{2D6868CC-8DBD-4BEE-B178-E815C5B3AADA}"/>
    <cellStyle name="Notas 24 3" xfId="1143" xr:uid="{2DBF646C-DEAD-4CAA-95B4-928F57556C65}"/>
    <cellStyle name="Notas 24 30" xfId="1144" xr:uid="{BFF52E9D-2AF8-477E-91A3-A9824A1945F8}"/>
    <cellStyle name="Notas 24 31" xfId="1145" xr:uid="{AFBA458B-D02A-4AA9-B4A2-60FAD19BD079}"/>
    <cellStyle name="Notas 24 32" xfId="1146" xr:uid="{E1ABFD6C-A364-4892-8F9E-E155FC853925}"/>
    <cellStyle name="Notas 24 33" xfId="1147" xr:uid="{0A3B48EA-9BE3-4897-8EF6-391E958213A4}"/>
    <cellStyle name="Notas 24 34" xfId="1148" xr:uid="{81230C2E-75F8-422D-A7CE-00F4D2DB0EEE}"/>
    <cellStyle name="Notas 24 4" xfId="1149" xr:uid="{333DB6D3-E4ED-4F54-B3D9-98BC87B8F451}"/>
    <cellStyle name="Notas 24 5" xfId="1150" xr:uid="{1E4862AB-B364-46CF-B9A7-82A9CF7BA600}"/>
    <cellStyle name="Notas 24 6" xfId="1151" xr:uid="{15E06CCA-FD5F-4EE9-BFA3-7E1D9F1E026A}"/>
    <cellStyle name="Notas 24 7" xfId="1152" xr:uid="{D2B7763E-3E82-4B76-8431-81282E480EA1}"/>
    <cellStyle name="Notas 24 8" xfId="1153" xr:uid="{F49F4E69-C7D7-45AD-92F5-C9D42F710C3F}"/>
    <cellStyle name="Notas 24 9" xfId="1154" xr:uid="{3583CF39-1036-44F0-BB00-F7246E5179BC}"/>
    <cellStyle name="Notas 25 10" xfId="1155" xr:uid="{0A2C72DB-05B1-4343-BE38-8BD5A9A8F2BD}"/>
    <cellStyle name="Notas 25 11" xfId="1156" xr:uid="{CF9F1F61-FADD-49AC-9530-7A02A169E484}"/>
    <cellStyle name="Notas 25 12" xfId="1157" xr:uid="{D8D6E0F3-6F00-4826-AF44-675EFF289B44}"/>
    <cellStyle name="Notas 25 13" xfId="1158" xr:uid="{5BA1FA25-3146-4A4D-AA53-22BD9E9429AB}"/>
    <cellStyle name="Notas 25 14" xfId="1159" xr:uid="{23CD98C6-7629-4424-A65F-55C4FDCBF339}"/>
    <cellStyle name="Notas 25 15" xfId="1160" xr:uid="{8B5FD063-E6F5-4B11-8EE9-A1BDE0B0D926}"/>
    <cellStyle name="Notas 25 16" xfId="1161" xr:uid="{8CED7740-5EF9-4F68-82DC-41EC0AFF17C2}"/>
    <cellStyle name="Notas 25 17" xfId="1162" xr:uid="{C7E9343C-BC2D-42FD-8C93-F938FF9CDBA1}"/>
    <cellStyle name="Notas 25 18" xfId="1163" xr:uid="{6E5EF893-B1BD-4CCC-938E-C76B50D7D741}"/>
    <cellStyle name="Notas 25 19" xfId="1164" xr:uid="{0E7FCD8A-68DC-4215-BC8E-0FFFFBD502DC}"/>
    <cellStyle name="Notas 25 2" xfId="1165" xr:uid="{5F81221B-F4DF-4028-8D3D-4321FB6E281B}"/>
    <cellStyle name="Notas 25 20" xfId="1166" xr:uid="{261FE0EA-8D0C-48C6-85FB-116C85B0102A}"/>
    <cellStyle name="Notas 25 21" xfId="1167" xr:uid="{BA5D4CEC-73C7-41BA-91FE-8895967DCDE6}"/>
    <cellStyle name="Notas 25 22" xfId="1168" xr:uid="{5593CD03-658D-40CF-B95A-C1BBCB3D24E0}"/>
    <cellStyle name="Notas 25 23" xfId="1169" xr:uid="{32918252-1790-41D5-8416-349D28BAF2B0}"/>
    <cellStyle name="Notas 25 24" xfId="1170" xr:uid="{97EDC036-DFA7-4438-AD60-1B2DDA57D028}"/>
    <cellStyle name="Notas 25 25" xfId="1171" xr:uid="{764219E1-66A5-47A9-98F8-13D63F0694AB}"/>
    <cellStyle name="Notas 25 26" xfId="1172" xr:uid="{8DD7A044-C40C-46FC-8604-3D00A1F652E2}"/>
    <cellStyle name="Notas 25 27" xfId="1173" xr:uid="{38324D69-42E0-4B99-8094-565ABAC7719E}"/>
    <cellStyle name="Notas 25 28" xfId="1174" xr:uid="{8E28CA30-FE1C-4929-98F9-89732AB5DDAE}"/>
    <cellStyle name="Notas 25 29" xfId="1175" xr:uid="{A2B6B97D-0D08-445A-AEF9-BA65CC4361AA}"/>
    <cellStyle name="Notas 25 3" xfId="1176" xr:uid="{6F74A752-F929-48FF-B08B-E1F32B2A51C6}"/>
    <cellStyle name="Notas 25 30" xfId="1177" xr:uid="{8CAFD766-6FE3-49B4-A193-497F2F335F80}"/>
    <cellStyle name="Notas 25 31" xfId="1178" xr:uid="{67411736-093F-4DE5-B90C-E6F36CDF4B45}"/>
    <cellStyle name="Notas 25 32" xfId="1179" xr:uid="{4CCDCB69-BCD8-45AB-941D-D812F1D3C6FF}"/>
    <cellStyle name="Notas 25 33" xfId="1180" xr:uid="{485599B4-453A-4766-B4BD-0086474127D3}"/>
    <cellStyle name="Notas 25 34" xfId="1181" xr:uid="{220253DD-3F13-4592-92F9-59AB6BF28FFD}"/>
    <cellStyle name="Notas 25 4" xfId="1182" xr:uid="{63704A03-6210-4125-9596-CF433F3BB572}"/>
    <cellStyle name="Notas 25 5" xfId="1183" xr:uid="{F72AD1D7-0B2C-42C3-9AB0-1C1DF73AA0BC}"/>
    <cellStyle name="Notas 25 6" xfId="1184" xr:uid="{6D924D0C-E438-405D-93F5-19A857B13DD4}"/>
    <cellStyle name="Notas 25 7" xfId="1185" xr:uid="{968F0FB8-125C-44A1-B4BE-C18F8AD488BD}"/>
    <cellStyle name="Notas 25 8" xfId="1186" xr:uid="{02FEFA32-D961-40E7-A43D-6BA97B78F55B}"/>
    <cellStyle name="Notas 25 9" xfId="1187" xr:uid="{022A9E56-1324-4A9B-B0D2-92476A680C9B}"/>
    <cellStyle name="Notas 26 10" xfId="1188" xr:uid="{EC14FE7A-69F7-4967-BCCA-15706E8D6F3B}"/>
    <cellStyle name="Notas 26 11" xfId="1189" xr:uid="{595350FC-29F1-4EFC-804D-FB07E6FF082D}"/>
    <cellStyle name="Notas 26 12" xfId="1190" xr:uid="{5E78ABE3-9227-47CF-B961-A0D8719CECA4}"/>
    <cellStyle name="Notas 26 13" xfId="1191" xr:uid="{CDEFDDD5-52BE-4923-94FF-A5A806BC7941}"/>
    <cellStyle name="Notas 26 14" xfId="1192" xr:uid="{44C14051-745D-4D04-8EFF-118739FCFC02}"/>
    <cellStyle name="Notas 26 15" xfId="1193" xr:uid="{C8322CF4-AEAE-4285-A4AB-B4F5F6828AF5}"/>
    <cellStyle name="Notas 26 16" xfId="1194" xr:uid="{0AC79A4F-BE88-4191-8AA6-98B77C80479C}"/>
    <cellStyle name="Notas 26 17" xfId="1195" xr:uid="{AD97A7FB-C62E-4DA0-9884-1E939C930084}"/>
    <cellStyle name="Notas 26 18" xfId="1196" xr:uid="{1554DF00-3905-4B0C-A650-05E8B56A9ED4}"/>
    <cellStyle name="Notas 26 19" xfId="1197" xr:uid="{1E90CCE8-4D2E-4AEE-A6E2-D294253C6328}"/>
    <cellStyle name="Notas 26 2" xfId="1198" xr:uid="{A8A298C8-BE81-432A-9CED-F2624457B1A6}"/>
    <cellStyle name="Notas 26 20" xfId="1199" xr:uid="{E8B51D9B-488E-494C-946C-B4337017E2A9}"/>
    <cellStyle name="Notas 26 21" xfId="1200" xr:uid="{A0CA41E7-B564-4C9D-88AD-E9658B9FA724}"/>
    <cellStyle name="Notas 26 22" xfId="1201" xr:uid="{D8CA4DE8-9B32-4D54-8BE5-34EA8506818B}"/>
    <cellStyle name="Notas 26 23" xfId="1202" xr:uid="{A18A03FE-11E7-4559-A0EA-A797E9E44DDC}"/>
    <cellStyle name="Notas 26 24" xfId="1203" xr:uid="{A11EF297-BDE0-4C04-A30F-1D9077CBCD64}"/>
    <cellStyle name="Notas 26 25" xfId="1204" xr:uid="{D0FD38E1-C11A-4910-8678-996677A41B6B}"/>
    <cellStyle name="Notas 26 26" xfId="1205" xr:uid="{45FFA08B-FF61-49F1-A7FC-3F514DDF96FF}"/>
    <cellStyle name="Notas 26 27" xfId="1206" xr:uid="{525C4FA3-7E53-4DC1-B712-900EE06A1A5A}"/>
    <cellStyle name="Notas 26 28" xfId="1207" xr:uid="{943D050C-7524-40A3-9BA6-9377B2C1735F}"/>
    <cellStyle name="Notas 26 29" xfId="1208" xr:uid="{7298E95A-AEBA-4F30-91C2-6E28582936EA}"/>
    <cellStyle name="Notas 26 3" xfId="1209" xr:uid="{E7B4FE7F-5752-4B97-8227-CE3B6A4C9A71}"/>
    <cellStyle name="Notas 26 30" xfId="1210" xr:uid="{AD9DC59C-833F-4CF3-904F-07A8E8DAA187}"/>
    <cellStyle name="Notas 26 31" xfId="1211" xr:uid="{6F96B892-8743-482D-ADC2-B8ED94EDD3E5}"/>
    <cellStyle name="Notas 26 32" xfId="1212" xr:uid="{FA0344F4-A044-4BEC-B4A3-E316D895EC59}"/>
    <cellStyle name="Notas 26 33" xfId="1213" xr:uid="{AB112F1E-9FC4-4C26-96C9-1AC4CBA0247D}"/>
    <cellStyle name="Notas 26 34" xfId="1214" xr:uid="{D54D96BF-A230-4E50-91C2-3387D8C92314}"/>
    <cellStyle name="Notas 26 4" xfId="1215" xr:uid="{B10473D5-FE68-44BE-BE09-11CC4D09A867}"/>
    <cellStyle name="Notas 26 5" xfId="1216" xr:uid="{502A26F5-D96C-4997-90E3-26052BB5AB99}"/>
    <cellStyle name="Notas 26 6" xfId="1217" xr:uid="{D0A7B8BC-4BD7-4B50-A847-639BD66F5161}"/>
    <cellStyle name="Notas 26 7" xfId="1218" xr:uid="{59242B77-0B16-478A-B5CF-6B38C83ED742}"/>
    <cellStyle name="Notas 26 8" xfId="1219" xr:uid="{7A02E0D3-1FC6-4109-834C-0AA4F47CB827}"/>
    <cellStyle name="Notas 26 9" xfId="1220" xr:uid="{3F706353-149E-4B94-B3D3-D020BB25FE7A}"/>
    <cellStyle name="Notas 27 10" xfId="1221" xr:uid="{0A5D9E60-9E27-4803-BB1A-D6495C706E48}"/>
    <cellStyle name="Notas 27 11" xfId="1222" xr:uid="{FC4B2BDC-A1A9-4E60-863D-2FFA9B9EBC7D}"/>
    <cellStyle name="Notas 27 12" xfId="1223" xr:uid="{C82871FD-9266-4467-9A81-0F3DAFA9AA29}"/>
    <cellStyle name="Notas 27 13" xfId="1224" xr:uid="{A890A04D-6B85-4E54-9CE4-F0002749C89A}"/>
    <cellStyle name="Notas 27 14" xfId="1225" xr:uid="{B4A86DCF-A699-4E93-B1FB-367F79D95BE0}"/>
    <cellStyle name="Notas 27 15" xfId="1226" xr:uid="{2C09FEB0-4300-4773-B3B8-C70413130D5B}"/>
    <cellStyle name="Notas 27 16" xfId="1227" xr:uid="{CE366590-DA24-4B21-A8B4-77468B5EE2AF}"/>
    <cellStyle name="Notas 27 17" xfId="1228" xr:uid="{07A058A9-AA2C-4C6C-8447-CBD958D1AA2A}"/>
    <cellStyle name="Notas 27 18" xfId="1229" xr:uid="{A77976E9-39B0-428C-AECB-1B57944C6476}"/>
    <cellStyle name="Notas 27 19" xfId="1230" xr:uid="{2BA21C63-CEC1-476D-A0E8-4226E5430ED1}"/>
    <cellStyle name="Notas 27 2" xfId="1231" xr:uid="{427785AC-58B6-43D4-9E46-F2941ED39056}"/>
    <cellStyle name="Notas 27 20" xfId="1232" xr:uid="{5F17C2B4-96A0-43B3-8CD0-84DD28F1C275}"/>
    <cellStyle name="Notas 27 21" xfId="1233" xr:uid="{55603E63-57F2-48B8-B61D-66553BCE6FFB}"/>
    <cellStyle name="Notas 27 22" xfId="1234" xr:uid="{D230E250-6BF6-4A69-82D8-433E5E305B35}"/>
    <cellStyle name="Notas 27 23" xfId="1235" xr:uid="{506C6A5F-166C-4AA8-97A5-772E2FD01D7B}"/>
    <cellStyle name="Notas 27 24" xfId="1236" xr:uid="{3222B770-FDCC-405C-8DC1-1DAE098FA732}"/>
    <cellStyle name="Notas 27 25" xfId="1237" xr:uid="{66C090DD-1210-461E-B6C7-62E750F25F84}"/>
    <cellStyle name="Notas 27 26" xfId="1238" xr:uid="{FBAC9D77-534F-4D8D-9415-B6D573904577}"/>
    <cellStyle name="Notas 27 27" xfId="1239" xr:uid="{60E20CD2-3081-46B4-B24F-33CB8515C229}"/>
    <cellStyle name="Notas 27 28" xfId="1240" xr:uid="{B8DFFE05-F4BB-472D-9138-337263D670D2}"/>
    <cellStyle name="Notas 27 29" xfId="1241" xr:uid="{E2D82C99-65B7-4119-B9CF-6A2D6101FE6E}"/>
    <cellStyle name="Notas 27 3" xfId="1242" xr:uid="{CBD7A30F-3B94-41E3-A8AB-CF2645B902CB}"/>
    <cellStyle name="Notas 27 30" xfId="1243" xr:uid="{29BD78BC-CF8C-4645-8753-C4ADBE58C6CB}"/>
    <cellStyle name="Notas 27 31" xfId="1244" xr:uid="{565723A1-4757-4321-AF68-AD80D4C4E6D5}"/>
    <cellStyle name="Notas 27 32" xfId="1245" xr:uid="{EBA7A9F9-E24E-4B36-88BB-021D9031F445}"/>
    <cellStyle name="Notas 27 33" xfId="1246" xr:uid="{CD2781A9-98CD-4A41-BB10-7005B4ACB93E}"/>
    <cellStyle name="Notas 27 34" xfId="1247" xr:uid="{09540CEB-0963-4712-A92E-39D32D77025C}"/>
    <cellStyle name="Notas 27 4" xfId="1248" xr:uid="{A242CC2D-162D-40B7-BC81-654C77D4752C}"/>
    <cellStyle name="Notas 27 5" xfId="1249" xr:uid="{0F019EB4-ACA9-464F-A440-BCB9FA8C3456}"/>
    <cellStyle name="Notas 27 6" xfId="1250" xr:uid="{A30A23AA-C39A-451A-8CF4-8105A6A3FDAF}"/>
    <cellStyle name="Notas 27 7" xfId="1251" xr:uid="{9B8EACBF-A95C-44D5-974B-C15FF9A9E562}"/>
    <cellStyle name="Notas 27 8" xfId="1252" xr:uid="{8ECFFECB-36F5-424B-93C5-A85FE8A60077}"/>
    <cellStyle name="Notas 27 9" xfId="1253" xr:uid="{44A3F78B-5875-41D0-B9CD-327C43759F5D}"/>
    <cellStyle name="Notas 28 10" xfId="1254" xr:uid="{FB28C274-A832-4C6E-A5C6-005E449BC05C}"/>
    <cellStyle name="Notas 28 11" xfId="1255" xr:uid="{6D2BF863-E5E2-4810-90BA-C4B53CFD53EE}"/>
    <cellStyle name="Notas 28 12" xfId="1256" xr:uid="{290D6D72-EF55-4771-8AF7-5F7540F971F3}"/>
    <cellStyle name="Notas 28 13" xfId="1257" xr:uid="{85C248D6-CDBA-472E-A734-188D2D5CE48F}"/>
    <cellStyle name="Notas 28 14" xfId="1258" xr:uid="{CA360BC0-7596-45E9-8838-86FDC5FE01F5}"/>
    <cellStyle name="Notas 28 15" xfId="1259" xr:uid="{DB6776C2-AB37-47B0-85F5-666941B0356A}"/>
    <cellStyle name="Notas 28 16" xfId="1260" xr:uid="{9880A121-8D78-44AD-9C25-D2E3077FCA5B}"/>
    <cellStyle name="Notas 28 17" xfId="1261" xr:uid="{A6D0E1DA-4F89-4061-BF32-B62B2C80A732}"/>
    <cellStyle name="Notas 28 18" xfId="1262" xr:uid="{ECFDE97C-0A63-4729-B068-6CF3B8B7CFD6}"/>
    <cellStyle name="Notas 28 19" xfId="1263" xr:uid="{F7B35BD3-004B-49E8-A24E-10269B69B2A6}"/>
    <cellStyle name="Notas 28 2" xfId="1264" xr:uid="{EAEEBCE3-42F1-43C8-8AB4-7490B33E8603}"/>
    <cellStyle name="Notas 28 20" xfId="1265" xr:uid="{1B8E9661-C718-47B7-856D-B306B2DCF261}"/>
    <cellStyle name="Notas 28 21" xfId="1266" xr:uid="{779E8D89-0176-4420-ABAD-9A1B6CA51E46}"/>
    <cellStyle name="Notas 28 22" xfId="1267" xr:uid="{3E5455FD-FEDD-43E7-B410-DEA9E4D12D5B}"/>
    <cellStyle name="Notas 28 23" xfId="1268" xr:uid="{93A1F598-1449-40E4-B914-C27AF296F751}"/>
    <cellStyle name="Notas 28 24" xfId="1269" xr:uid="{2CB751E4-2D0A-4391-BA5A-4106E84DA351}"/>
    <cellStyle name="Notas 28 25" xfId="1270" xr:uid="{A15ED2A9-25DA-4A9B-AA14-AA8D0115C522}"/>
    <cellStyle name="Notas 28 26" xfId="1271" xr:uid="{EE14E159-545E-467F-B4C0-36919F79BEC1}"/>
    <cellStyle name="Notas 28 27" xfId="1272" xr:uid="{E2B8E631-C2D1-47A5-8E6A-E2E4A94CEFA6}"/>
    <cellStyle name="Notas 28 28" xfId="1273" xr:uid="{8BA21CDA-DE05-434B-910D-4B39A02964CD}"/>
    <cellStyle name="Notas 28 29" xfId="1274" xr:uid="{1D8C0B66-39E3-42B6-8EF7-0D08CE6A5702}"/>
    <cellStyle name="Notas 28 3" xfId="1275" xr:uid="{550552BA-427D-405B-A36E-0271F73478E6}"/>
    <cellStyle name="Notas 28 30" xfId="1276" xr:uid="{8D0F599F-F57D-418D-9D46-566827EA0A37}"/>
    <cellStyle name="Notas 28 31" xfId="1277" xr:uid="{0D954539-6C69-40A5-86F0-A01AF5396DF2}"/>
    <cellStyle name="Notas 28 32" xfId="1278" xr:uid="{50921FB9-E082-4FE7-A845-9081FBD816BD}"/>
    <cellStyle name="Notas 28 33" xfId="1279" xr:uid="{8FA21CDD-B74B-4076-9918-9E61A7A849A1}"/>
    <cellStyle name="Notas 28 34" xfId="1280" xr:uid="{90391E62-CB11-4508-86D4-D8B5C4191D63}"/>
    <cellStyle name="Notas 28 4" xfId="1281" xr:uid="{FABF7523-7A55-44C4-B04E-0F93FE3CB2DA}"/>
    <cellStyle name="Notas 28 5" xfId="1282" xr:uid="{F6070148-6326-457F-8EB3-BEF537769B38}"/>
    <cellStyle name="Notas 28 6" xfId="1283" xr:uid="{FAB50DCE-CCFB-4AF6-A6FD-A5B8A9D9C4E8}"/>
    <cellStyle name="Notas 28 7" xfId="1284" xr:uid="{653088FE-E4B0-4290-BED9-2675CBA9AE83}"/>
    <cellStyle name="Notas 28 8" xfId="1285" xr:uid="{10024C30-1073-4816-A4DD-8D4D6506BBEA}"/>
    <cellStyle name="Notas 28 9" xfId="1286" xr:uid="{A0F765B8-C3A2-4611-B480-051EF7539F6C}"/>
    <cellStyle name="Notas 29 10" xfId="1287" xr:uid="{E33DE70B-5075-4B7E-8245-982F281A3950}"/>
    <cellStyle name="Notas 29 11" xfId="1288" xr:uid="{99983B24-C62C-4563-A0EB-4AA7A8B193A8}"/>
    <cellStyle name="Notas 29 12" xfId="1289" xr:uid="{746804BF-5DB0-4BDE-A402-971BA02707AB}"/>
    <cellStyle name="Notas 29 13" xfId="1290" xr:uid="{35F915C4-DBEA-450F-9BB4-587C37367DA0}"/>
    <cellStyle name="Notas 29 14" xfId="1291" xr:uid="{9ECE0791-1FDB-4B8A-AA3D-DA324A7E9A86}"/>
    <cellStyle name="Notas 29 15" xfId="1292" xr:uid="{1A91AF96-A303-4310-B34C-262C5C47C9AC}"/>
    <cellStyle name="Notas 29 16" xfId="1293" xr:uid="{A765AF2F-F6EE-488C-A4FA-FC62C9E44E7E}"/>
    <cellStyle name="Notas 29 17" xfId="1294" xr:uid="{9676E4AC-4754-4DA9-8849-EC6BCEA7804C}"/>
    <cellStyle name="Notas 29 18" xfId="1295" xr:uid="{3CE2D22D-7D2D-42D1-BC2F-59996A25E963}"/>
    <cellStyle name="Notas 29 19" xfId="1296" xr:uid="{7645317B-9C4D-4204-8721-BBF1BFDF79FB}"/>
    <cellStyle name="Notas 29 2" xfId="1297" xr:uid="{DB2B6194-7F37-470C-9C7E-A5F6797A6E8B}"/>
    <cellStyle name="Notas 29 20" xfId="1298" xr:uid="{B10BA6B0-4978-4A3A-9EAD-07B1B6E2205E}"/>
    <cellStyle name="Notas 29 21" xfId="1299" xr:uid="{99956E77-072B-4C08-94CB-60CD01AFD69C}"/>
    <cellStyle name="Notas 29 22" xfId="1300" xr:uid="{E6387DDA-54C7-4CC2-8EA0-FB9D8EDC9911}"/>
    <cellStyle name="Notas 29 23" xfId="1301" xr:uid="{CD429DB1-4B49-4342-98A2-09E2065EBA09}"/>
    <cellStyle name="Notas 29 24" xfId="1302" xr:uid="{873F1A5A-6E2D-494D-9816-5CC6D9618D47}"/>
    <cellStyle name="Notas 29 25" xfId="1303" xr:uid="{D1247C18-9E9A-43C4-A91B-8DDAE15B6DC2}"/>
    <cellStyle name="Notas 29 26" xfId="1304" xr:uid="{26205015-22E4-4B90-A6D9-8D185C5A824C}"/>
    <cellStyle name="Notas 29 27" xfId="1305" xr:uid="{E656998E-7E67-4A0A-9973-CB7094946F44}"/>
    <cellStyle name="Notas 29 28" xfId="1306" xr:uid="{3BB25A3D-4D99-4A9B-A810-B271673211A7}"/>
    <cellStyle name="Notas 29 29" xfId="1307" xr:uid="{AE21A13A-2A71-42DC-8D6F-C08968BCF202}"/>
    <cellStyle name="Notas 29 3" xfId="1308" xr:uid="{83028FDD-8837-41BD-93E0-93CCB0204BB8}"/>
    <cellStyle name="Notas 29 30" xfId="1309" xr:uid="{0DB19DEF-2546-4E1F-9999-1A7B11991696}"/>
    <cellStyle name="Notas 29 31" xfId="1310" xr:uid="{CEDE74F5-D4DF-4E97-8639-50201E644DAB}"/>
    <cellStyle name="Notas 29 32" xfId="1311" xr:uid="{6021DABF-5F20-478D-B422-5D54FCA49DFF}"/>
    <cellStyle name="Notas 29 33" xfId="1312" xr:uid="{45B3FF95-19E8-4522-8B17-A8F90B617064}"/>
    <cellStyle name="Notas 29 34" xfId="1313" xr:uid="{578E9EBB-5B4E-4C6F-B05A-C132593B03E0}"/>
    <cellStyle name="Notas 29 4" xfId="1314" xr:uid="{DA7114D5-F8C4-4D4A-BCCD-146B517E195B}"/>
    <cellStyle name="Notas 29 5" xfId="1315" xr:uid="{D88B4A19-5AF4-421C-A36C-AF5FB7658181}"/>
    <cellStyle name="Notas 29 6" xfId="1316" xr:uid="{25C45EBF-E644-4C0E-B594-F30CEF7E2636}"/>
    <cellStyle name="Notas 29 7" xfId="1317" xr:uid="{7392D426-6F9D-43DF-980E-09833AF29316}"/>
    <cellStyle name="Notas 29 8" xfId="1318" xr:uid="{24F88436-4084-4102-AD43-A5CEA0216A6D}"/>
    <cellStyle name="Notas 29 9" xfId="1319" xr:uid="{FBBFDDCF-504F-425B-BB5E-11E9419ED287}"/>
    <cellStyle name="Notas 3" xfId="41870" xr:uid="{5BC69D24-258B-45D9-9F8B-2381F357A48A}"/>
    <cellStyle name="Notas 3 10" xfId="1320" xr:uid="{70F785A5-194D-4623-B3EC-C49C1536BD95}"/>
    <cellStyle name="Notas 3 11" xfId="1321" xr:uid="{FAFAC0BA-2A8C-4431-B04E-0581323AA08D}"/>
    <cellStyle name="Notas 3 12" xfId="1322" xr:uid="{3B6923E9-5D89-4F46-A85D-ADBCA8D789AD}"/>
    <cellStyle name="Notas 3 13" xfId="1323" xr:uid="{B821314D-3C27-4D55-83DF-40CA9123E22E}"/>
    <cellStyle name="Notas 3 14" xfId="1324" xr:uid="{2C3D09FE-E44F-4CE9-9757-5B6D8E85284B}"/>
    <cellStyle name="Notas 3 15" xfId="1325" xr:uid="{E187F0DF-85FC-4D59-ADE1-7521F8D63856}"/>
    <cellStyle name="Notas 3 16" xfId="1326" xr:uid="{DDA2787B-1537-457A-B7AE-10B9316BF8F3}"/>
    <cellStyle name="Notas 3 17" xfId="1327" xr:uid="{ED76D86D-7C82-4280-A519-ABB51D2D9FE3}"/>
    <cellStyle name="Notas 3 18" xfId="1328" xr:uid="{F5EE213C-545F-41A6-A75C-09C51F0D55EE}"/>
    <cellStyle name="Notas 3 19" xfId="1329" xr:uid="{BC6C868F-29C0-45B6-BC07-8F0E0D8EFD64}"/>
    <cellStyle name="Notas 3 2" xfId="1330" xr:uid="{58230608-066E-4E94-B980-A309E2D25171}"/>
    <cellStyle name="Notas 3 2 10" xfId="46091" xr:uid="{AE569439-A3CA-418B-9F89-B6DBDAC536DD}"/>
    <cellStyle name="Notas 3 2 10 2" xfId="47409" xr:uid="{B7646FD2-64AA-4C00-956D-95B57D07EAE2}"/>
    <cellStyle name="Notas 3 2 11" xfId="47739" xr:uid="{7145C6E4-B7E6-4690-B0B8-35ABF6C81FBC}"/>
    <cellStyle name="Notas 3 2 2" xfId="41871" xr:uid="{EB511AFC-66EE-4DD3-8104-A2A7D1D00C7E}"/>
    <cellStyle name="Notas 3 2 2 10" xfId="47740" xr:uid="{303BDC91-19E4-4359-8673-93333AA0CA23}"/>
    <cellStyle name="Notas 3 2 2 2" xfId="41872" xr:uid="{53F59114-E41E-43C7-9F41-99E2071DB084}"/>
    <cellStyle name="Notas 3 2 2 2 2" xfId="46094" xr:uid="{B2B11B78-FA26-4594-9556-DE98DE6AF5C7}"/>
    <cellStyle name="Notas 3 2 2 2 2 2" xfId="46095" xr:uid="{E996ED9A-AF85-4484-9885-0C92EC1BDD18}"/>
    <cellStyle name="Notas 3 2 2 2 2 2 2" xfId="46431" xr:uid="{0BA980C1-AEA0-4287-A6A7-95AE958D2ABB}"/>
    <cellStyle name="Notas 3 2 2 2 2 2 3" xfId="46901" xr:uid="{9709136D-E05D-4C57-A1B4-952DFA5922E0}"/>
    <cellStyle name="Notas 3 2 2 2 2 2 3 2" xfId="47093" xr:uid="{EDA40268-1362-425B-A90F-214B2BE52427}"/>
    <cellStyle name="Notas 3 2 2 2 2 2 4" xfId="47094" xr:uid="{412D712A-4A3A-46A9-8B29-2211A6CCAFE0}"/>
    <cellStyle name="Notas 3 2 2 2 2 2 5" xfId="47410" xr:uid="{96218F41-54B4-47C7-AB6C-DEEEC59FFB34}"/>
    <cellStyle name="Notas 3 2 2 2 2 2 6" xfId="47411" xr:uid="{FCEE05EC-78B4-43A6-9C53-F00AA7A98773}"/>
    <cellStyle name="Notas 3 2 2 2 2 2 7" xfId="47741" xr:uid="{E24F2090-8CBE-4CCC-9095-9D7D3933DEC8}"/>
    <cellStyle name="Notas 3 2 2 2 2 3" xfId="46430" xr:uid="{E349C221-26AE-4631-B587-689D28E8B098}"/>
    <cellStyle name="Notas 3 2 2 2 2 4" xfId="46900" xr:uid="{7345D684-9C38-432C-AEE7-9D8723C96764}"/>
    <cellStyle name="Notas 3 2 2 2 2 4 2" xfId="47095" xr:uid="{280342AA-9F51-4547-86E1-5DD806F95C39}"/>
    <cellStyle name="Notas 3 2 2 2 2 5" xfId="47096" xr:uid="{FB713783-2D9F-4599-9AB2-B8D5DDE28075}"/>
    <cellStyle name="Notas 3 2 2 2 2 6" xfId="47412" xr:uid="{F41D8D2B-3FA9-47DD-825D-390ADFB80775}"/>
    <cellStyle name="Notas 3 2 2 2 2 7" xfId="47413" xr:uid="{E29CF599-4BFA-47E4-8074-560B1B7D1EE8}"/>
    <cellStyle name="Notas 3 2 2 2 2 8" xfId="47742" xr:uid="{17F24B9F-8743-48FC-9233-88693358DCAD}"/>
    <cellStyle name="Notas 3 2 2 2 3" xfId="46096" xr:uid="{2F645434-041A-488C-9D7E-853BBCF709C0}"/>
    <cellStyle name="Notas 3 2 2 2 3 2" xfId="46432" xr:uid="{D7578B3D-F8D0-49C4-8504-70D71D5F0CFF}"/>
    <cellStyle name="Notas 3 2 2 2 3 3" xfId="46902" xr:uid="{3C1DD807-CE53-4A78-8651-774A796F2DCC}"/>
    <cellStyle name="Notas 3 2 2 2 3 3 2" xfId="47097" xr:uid="{0FE2A9D8-C127-4947-868E-1EDAAC87D34C}"/>
    <cellStyle name="Notas 3 2 2 2 3 4" xfId="47098" xr:uid="{9D4AF154-75C4-475C-AEC1-67D201E2459F}"/>
    <cellStyle name="Notas 3 2 2 2 3 5" xfId="47414" xr:uid="{86ABD18C-D936-443E-9CB8-4401E9D64BF4}"/>
    <cellStyle name="Notas 3 2 2 2 3 6" xfId="47415" xr:uid="{8DB25191-B11E-4E5B-A6E9-21E54D9F8635}"/>
    <cellStyle name="Notas 3 2 2 2 3 7" xfId="47743" xr:uid="{D07E7B91-DF5E-4F42-A285-D4A86A84882E}"/>
    <cellStyle name="Notas 3 2 2 2 4" xfId="46093" xr:uid="{B1882192-49E3-4255-A117-7BC883614FAD}"/>
    <cellStyle name="Notas 3 2 2 2 4 2" xfId="46836" xr:uid="{D9A6BDCB-AC27-4C58-8EF6-7BEA08C6F213}"/>
    <cellStyle name="Notas 3 2 2 2 5" xfId="46429" xr:uid="{65B5BE51-2D9F-45E2-AEC1-8FF71CF73B9E}"/>
    <cellStyle name="Notas 3 2 2 2 5 2" xfId="46899" xr:uid="{C37242A4-4811-435C-90FF-B732501966BC}"/>
    <cellStyle name="Notas 3 2 2 2 6" xfId="47099" xr:uid="{69B7E287-F62B-4F25-853B-347F3417F40E}"/>
    <cellStyle name="Notas 3 2 2 2 7" xfId="47416" xr:uid="{ADEC1672-5E8C-411F-A609-92B70422FCD5}"/>
    <cellStyle name="Notas 3 2 2 2 8" xfId="47417" xr:uid="{0DAEE532-5A1C-4310-9215-C5CC23A868F3}"/>
    <cellStyle name="Notas 3 2 2 2 9" xfId="47744" xr:uid="{D7B3A6FA-5E13-4079-B8C7-8C7C431B1B51}"/>
    <cellStyle name="Notas 3 2 2 3" xfId="41873" xr:uid="{9AC7E4D9-6579-4B61-80C2-B2AC7F89AC12}"/>
    <cellStyle name="Notas 3 2 2 3 2" xfId="46098" xr:uid="{091E6976-51C6-4685-947A-9B944C613AEB}"/>
    <cellStyle name="Notas 3 2 2 3 2 2" xfId="46434" xr:uid="{22454C1C-947B-46E6-ACC2-66D207DD9179}"/>
    <cellStyle name="Notas 3 2 2 3 2 3" xfId="46904" xr:uid="{7BD76808-D593-4050-9A68-02CAB29E05DA}"/>
    <cellStyle name="Notas 3 2 2 3 2 3 2" xfId="47100" xr:uid="{B7C8CFCA-8BDC-480B-8B65-197E4B005C62}"/>
    <cellStyle name="Notas 3 2 2 3 2 4" xfId="47101" xr:uid="{5DABFF27-5C4B-4787-9ECA-405A742F0C87}"/>
    <cellStyle name="Notas 3 2 2 3 2 5" xfId="47418" xr:uid="{B4C8879F-9FC2-4384-B754-A5DF3A4EA623}"/>
    <cellStyle name="Notas 3 2 2 3 2 6" xfId="47419" xr:uid="{22332F65-E97A-4FA3-8D32-392359914DE6}"/>
    <cellStyle name="Notas 3 2 2 3 2 7" xfId="47745" xr:uid="{1BE9B35A-B999-433C-ADA7-18FD434F1F62}"/>
    <cellStyle name="Notas 3 2 2 3 3" xfId="46097" xr:uid="{03BFF574-C615-4AAB-810B-213D31B0A4BB}"/>
    <cellStyle name="Notas 3 2 2 3 3 2" xfId="46837" xr:uid="{F05DB120-B0FE-4965-AF39-F94E9ED0FFD0}"/>
    <cellStyle name="Notas 3 2 2 3 4" xfId="46433" xr:uid="{98FA199D-7402-4D09-B1E5-93C5AFE8DD2D}"/>
    <cellStyle name="Notas 3 2 2 3 4 2" xfId="46903" xr:uid="{19691AB1-4148-4E67-B9A3-6691C036A6FD}"/>
    <cellStyle name="Notas 3 2 2 3 5" xfId="47102" xr:uid="{958606A2-A82A-4FCB-94E8-9018B4B783D1}"/>
    <cellStyle name="Notas 3 2 2 3 6" xfId="47420" xr:uid="{A87A8891-4D4A-471D-854B-7B5179B90EA7}"/>
    <cellStyle name="Notas 3 2 2 3 7" xfId="47421" xr:uid="{F0CD210A-EF47-4EDD-8F7F-1F7E631EC2EE}"/>
    <cellStyle name="Notas 3 2 2 3 8" xfId="47746" xr:uid="{3892FFCC-A2B1-4659-BB72-90991F75C0D2}"/>
    <cellStyle name="Notas 3 2 2 4" xfId="41874" xr:uid="{F7472C7E-16A4-437D-A084-C25D8F831A3E}"/>
    <cellStyle name="Notas 3 2 2 4 2" xfId="46099" xr:uid="{C480870D-0EB1-48AE-A78D-591E4FC5956F}"/>
    <cellStyle name="Notas 3 2 2 4 2 2" xfId="46838" xr:uid="{3C33E3B6-7768-4C4F-B2A3-2BA074D7AC9E}"/>
    <cellStyle name="Notas 3 2 2 4 3" xfId="46435" xr:uid="{91799C76-1665-4AD6-B6FD-52ADCCBC0B3F}"/>
    <cellStyle name="Notas 3 2 2 4 3 2" xfId="46905" xr:uid="{7710D02E-7913-4745-B29B-4EBA6A304976}"/>
    <cellStyle name="Notas 3 2 2 4 4" xfId="47103" xr:uid="{867B7317-6C5E-4B41-A943-D3C8C56B14EE}"/>
    <cellStyle name="Notas 3 2 2 4 5" xfId="47422" xr:uid="{42F118A2-83F7-4019-876F-B85291F0879D}"/>
    <cellStyle name="Notas 3 2 2 4 6" xfId="47423" xr:uid="{C72BA9BA-C35D-497C-899A-DD90DE4C84F1}"/>
    <cellStyle name="Notas 3 2 2 4 7" xfId="47747" xr:uid="{BEE891D7-11F1-42A4-A7B3-9202A45ED1C3}"/>
    <cellStyle name="Notas 3 2 2 5" xfId="41875" xr:uid="{426A2C5A-7EBC-4325-9172-5E441413AF09}"/>
    <cellStyle name="Notas 3 2 2 5 2" xfId="46839" xr:uid="{0A6C1F8A-3B9A-4837-A8F1-04E93603F3EB}"/>
    <cellStyle name="Notas 3 2 2 6" xfId="46092" xr:uid="{D93A7178-662B-4902-B1C8-F3AAD05B5EC7}"/>
    <cellStyle name="Notas 3 2 2 6 2" xfId="47104" xr:uid="{0A14AFE8-14F6-40CD-8B53-46AAEB8CFB5E}"/>
    <cellStyle name="Notas 3 2 2 7" xfId="46428" xr:uid="{26A938CA-498F-4199-B27A-CE42CC4183EF}"/>
    <cellStyle name="Notas 3 2 2 8" xfId="47424" xr:uid="{C256477C-FC3A-4C16-A59E-B7B2917524D6}"/>
    <cellStyle name="Notas 3 2 2 9" xfId="47425" xr:uid="{334EBA72-31DC-4EC4-B177-BCD74B1A6339}"/>
    <cellStyle name="Notas 3 2 3" xfId="41876" xr:uid="{A1A46CD7-54BE-4C1D-8367-175E6149BABB}"/>
    <cellStyle name="Notas 3 2 3 2" xfId="46101" xr:uid="{8744487F-7148-47B9-81D4-24EBA6745DCA}"/>
    <cellStyle name="Notas 3 2 3 2 2" xfId="46102" xr:uid="{194B9E31-C850-477E-8C6F-54AFF5CAC745}"/>
    <cellStyle name="Notas 3 2 3 2 2 2" xfId="46438" xr:uid="{840EC262-7448-45C6-A52A-96BF62B03AB9}"/>
    <cellStyle name="Notas 3 2 3 2 2 3" xfId="46908" xr:uid="{7F7F7AB1-3A84-4450-B763-65F26DFAAF78}"/>
    <cellStyle name="Notas 3 2 3 2 2 3 2" xfId="47105" xr:uid="{7147D7EA-4962-4F9D-9D24-324B19F83CFA}"/>
    <cellStyle name="Notas 3 2 3 2 2 4" xfId="47106" xr:uid="{C6363D38-A5C6-4C57-AA66-BD7451F481A9}"/>
    <cellStyle name="Notas 3 2 3 2 2 5" xfId="47426" xr:uid="{CD1410A9-A8DD-41B2-9608-FA8CF4F07F5F}"/>
    <cellStyle name="Notas 3 2 3 2 2 6" xfId="47427" xr:uid="{C497C94F-A96B-42DF-9CD5-925D0AD3C7BD}"/>
    <cellStyle name="Notas 3 2 3 2 2 7" xfId="47748" xr:uid="{BEE2E0C8-B94B-44CD-B03E-C994114505B3}"/>
    <cellStyle name="Notas 3 2 3 2 3" xfId="46437" xr:uid="{E53D8102-ADF7-4FD8-8AF9-5D745AE9F500}"/>
    <cellStyle name="Notas 3 2 3 2 4" xfId="46907" xr:uid="{EEFA450E-E781-45E3-8FE8-25E256B49CCC}"/>
    <cellStyle name="Notas 3 2 3 2 4 2" xfId="47107" xr:uid="{A4F6789D-8ADA-4A14-8556-65A7526C03FA}"/>
    <cellStyle name="Notas 3 2 3 2 5" xfId="47108" xr:uid="{0FEAB951-CC0F-4C94-8347-032AB2555A1A}"/>
    <cellStyle name="Notas 3 2 3 2 6" xfId="47428" xr:uid="{C9C9EB9D-033D-4133-8F3B-D65A9B8B7304}"/>
    <cellStyle name="Notas 3 2 3 2 7" xfId="47429" xr:uid="{CE0BC62A-0300-40FF-A112-584508C7BF42}"/>
    <cellStyle name="Notas 3 2 3 2 8" xfId="47749" xr:uid="{08511323-11E1-4A34-8B1E-291F6EEB4500}"/>
    <cellStyle name="Notas 3 2 3 3" xfId="46103" xr:uid="{C1D86615-98C9-4919-A546-D99B35FC0F1C}"/>
    <cellStyle name="Notas 3 2 3 3 2" xfId="46439" xr:uid="{2FF07129-027D-473B-952C-2B7E3C4A029B}"/>
    <cellStyle name="Notas 3 2 3 3 3" xfId="46909" xr:uid="{694C6170-07F7-482A-B205-889F5B321935}"/>
    <cellStyle name="Notas 3 2 3 3 3 2" xfId="47109" xr:uid="{48DE2177-38EF-4E14-AC63-614D3BC077B9}"/>
    <cellStyle name="Notas 3 2 3 3 4" xfId="47110" xr:uid="{9A49A9E4-7123-4500-8811-0C700BB76A69}"/>
    <cellStyle name="Notas 3 2 3 3 5" xfId="47430" xr:uid="{2A47DC14-C35F-4D14-9A75-B9B09F0DD335}"/>
    <cellStyle name="Notas 3 2 3 3 6" xfId="47431" xr:uid="{3AC1EB49-3958-42BE-95CB-D163780E14CA}"/>
    <cellStyle name="Notas 3 2 3 3 7" xfId="47750" xr:uid="{E712356F-D594-41C6-AD2F-8D6A58280027}"/>
    <cellStyle name="Notas 3 2 3 4" xfId="46100" xr:uid="{FC9981D8-345D-4955-95FC-E81177803F48}"/>
    <cellStyle name="Notas 3 2 3 4 2" xfId="46840" xr:uid="{06472BCB-7F91-4966-AE8C-D173E78F25BE}"/>
    <cellStyle name="Notas 3 2 3 5" xfId="46436" xr:uid="{127B1505-4774-4F8D-857F-7065B7FDC467}"/>
    <cellStyle name="Notas 3 2 3 5 2" xfId="46906" xr:uid="{D3E42F3B-79E0-4638-B88C-6D4C7CE79DF0}"/>
    <cellStyle name="Notas 3 2 3 6" xfId="47111" xr:uid="{EEA77D8E-CC6F-48DE-A1EB-A23414457482}"/>
    <cellStyle name="Notas 3 2 3 7" xfId="47432" xr:uid="{852DE2F3-F50D-4981-A411-B98EA8DB1F28}"/>
    <cellStyle name="Notas 3 2 3 8" xfId="47433" xr:uid="{7F4F311A-CF02-4AAE-B3A7-D04B4FB58DE0}"/>
    <cellStyle name="Notas 3 2 3 9" xfId="47751" xr:uid="{8F15CEA2-C2B3-40B2-8783-77FF1EFEBC55}"/>
    <cellStyle name="Notas 3 2 4" xfId="41877" xr:uid="{EF688BAB-83F2-476E-97B2-E49CA2AFB1A1}"/>
    <cellStyle name="Notas 3 2 4 2" xfId="46105" xr:uid="{DF9938CE-AA3D-4B16-8BED-0E3FC1175243}"/>
    <cellStyle name="Notas 3 2 4 2 2" xfId="46441" xr:uid="{E3B52831-34D5-406E-87AE-59E923C5796C}"/>
    <cellStyle name="Notas 3 2 4 2 3" xfId="46911" xr:uid="{8E3A518D-7915-4266-A854-F6C749C568AD}"/>
    <cellStyle name="Notas 3 2 4 2 3 2" xfId="47112" xr:uid="{D1EE6055-8E04-4C23-9A29-AB036256543A}"/>
    <cellStyle name="Notas 3 2 4 2 4" xfId="47113" xr:uid="{6DD500AD-FB47-435C-B74C-247755E92312}"/>
    <cellStyle name="Notas 3 2 4 2 5" xfId="47434" xr:uid="{CE9D2D08-A235-4BC1-97C8-4A72290C68A7}"/>
    <cellStyle name="Notas 3 2 4 2 6" xfId="47435" xr:uid="{59E0F873-57E4-4016-968B-6F1E30F9AFD4}"/>
    <cellStyle name="Notas 3 2 4 2 7" xfId="47752" xr:uid="{4CD354E0-401D-4D8F-86AF-79CEA839A0F2}"/>
    <cellStyle name="Notas 3 2 4 3" xfId="46104" xr:uid="{4B49EE79-1515-47F3-AC58-95BE3C586C9D}"/>
    <cellStyle name="Notas 3 2 4 3 2" xfId="46841" xr:uid="{367346E3-BCC6-4470-843F-73A81126E81E}"/>
    <cellStyle name="Notas 3 2 4 4" xfId="46440" xr:uid="{9A2534E9-1896-4F2A-9FF3-6D52D6B79978}"/>
    <cellStyle name="Notas 3 2 4 4 2" xfId="46910" xr:uid="{4C58F006-3171-4CF8-A3F6-9E2E801406A1}"/>
    <cellStyle name="Notas 3 2 4 5" xfId="47114" xr:uid="{94FF9AB4-780A-4CE7-A6FF-039670948844}"/>
    <cellStyle name="Notas 3 2 4 6" xfId="47436" xr:uid="{B82359EA-29F5-4CC9-8302-4D380962C2E6}"/>
    <cellStyle name="Notas 3 2 4 7" xfId="47437" xr:uid="{C78643A9-3921-4755-BDA4-CF7E9D12FD27}"/>
    <cellStyle name="Notas 3 2 4 8" xfId="47753" xr:uid="{3037E807-BD94-46F6-91EE-38CDEC2D6165}"/>
    <cellStyle name="Notas 3 2 5" xfId="41878" xr:uid="{FBF82204-0DE6-43D7-87E1-8CA33F29FB04}"/>
    <cellStyle name="Notas 3 2 5 2" xfId="46106" xr:uid="{35CDC256-D368-498B-B38B-A4EC9DB68472}"/>
    <cellStyle name="Notas 3 2 5 2 2" xfId="46842" xr:uid="{E85CFD1C-C738-48AA-B8D2-9A99428926E1}"/>
    <cellStyle name="Notas 3 2 5 3" xfId="46442" xr:uid="{2CF03EDE-BF26-44EC-99FB-237063821DC7}"/>
    <cellStyle name="Notas 3 2 5 3 2" xfId="46912" xr:uid="{2F290E12-A3A3-4BEE-9D6D-ADC89E2D6950}"/>
    <cellStyle name="Notas 3 2 5 4" xfId="47115" xr:uid="{8F8878AE-54CA-48E4-B644-54037F92D3C8}"/>
    <cellStyle name="Notas 3 2 5 5" xfId="47438" xr:uid="{1B463265-9D2D-403D-8BB9-73D053C6DF24}"/>
    <cellStyle name="Notas 3 2 5 6" xfId="47439" xr:uid="{DE08AA68-7CE3-4536-8AEB-FBFC1E799F1B}"/>
    <cellStyle name="Notas 3 2 5 7" xfId="47754" xr:uid="{7DDB09DD-952F-4A5D-A736-A06FE9640962}"/>
    <cellStyle name="Notas 3 2 6" xfId="41879" xr:uid="{6288A417-CE6C-4B10-B292-0BE1FE0CC46A}"/>
    <cellStyle name="Notas 3 2 6 2" xfId="46843" xr:uid="{97A360B0-CD87-4C5A-A14B-E655DBFEAF29}"/>
    <cellStyle name="Notas 3 2 7" xfId="41880" xr:uid="{DEFD3EEC-66EF-495E-8860-C8CA2E605347}"/>
    <cellStyle name="Notas 3 2 7 2" xfId="46898" xr:uid="{8D99ACD6-0637-4C07-B109-5153429807F9}"/>
    <cellStyle name="Notas 3 2 7 3" xfId="47116" xr:uid="{5A3F865A-C60C-46E2-82E2-E6CF0EBF7D84}"/>
    <cellStyle name="Notas 3 2 8" xfId="41881" xr:uid="{7FB36B3E-EEB3-4066-8B6F-1EC1436679B3}"/>
    <cellStyle name="Notas 3 2 8 2" xfId="47117" xr:uid="{1D2D7F26-CF43-4922-85E6-42C33337D3AA}"/>
    <cellStyle name="Notas 3 2 9" xfId="41882" xr:uid="{69194AF0-A09E-4D89-9200-0AAF0291C5C5}"/>
    <cellStyle name="Notas 3 2 9 2" xfId="47440" xr:uid="{4D1BDD02-69CC-41BC-BD61-2136DF7114F9}"/>
    <cellStyle name="Notas 3 20" xfId="1331" xr:uid="{9C9BB681-DF27-4FB2-94FB-43EFAA6EB386}"/>
    <cellStyle name="Notas 3 21" xfId="1332" xr:uid="{1D9E26EA-0FBA-4C1E-A4BB-9B42480F69EE}"/>
    <cellStyle name="Notas 3 22" xfId="1333" xr:uid="{A70166F5-EFDE-4932-9FBB-FCEDC371D7AD}"/>
    <cellStyle name="Notas 3 23" xfId="1334" xr:uid="{103E4DB1-3D70-483E-BCA5-9FBB6C318730}"/>
    <cellStyle name="Notas 3 24" xfId="1335" xr:uid="{8B534AE2-3606-4CC4-84C4-15D6134EBEB1}"/>
    <cellStyle name="Notas 3 25" xfId="1336" xr:uid="{C00D6E39-6829-416E-A7F3-B12979F81612}"/>
    <cellStyle name="Notas 3 26" xfId="1337" xr:uid="{583E30DE-3EE0-416F-8332-E74DCA2BCFEE}"/>
    <cellStyle name="Notas 3 27" xfId="1338" xr:uid="{9DBD78DD-1189-4D55-AE22-BF0ED9BF1639}"/>
    <cellStyle name="Notas 3 28" xfId="1339" xr:uid="{8E532904-90DB-4B00-A891-61D979AB63F6}"/>
    <cellStyle name="Notas 3 29" xfId="1340" xr:uid="{810A73FF-9B21-4D22-93D0-61A6CA2B93BB}"/>
    <cellStyle name="Notas 3 3" xfId="1341" xr:uid="{70639F41-8098-4681-962E-D09594C80DD6}"/>
    <cellStyle name="Notas 3 3 10" xfId="46107" xr:uid="{D60696E7-56AA-459A-A667-98EE9194684B}"/>
    <cellStyle name="Notas 3 3 10 2" xfId="47755" xr:uid="{980C60D2-AE59-4565-949C-9FBA6951E466}"/>
    <cellStyle name="Notas 3 3 2" xfId="41883" xr:uid="{43AFAB21-FA66-4F1E-892B-D4A54FDFC45D}"/>
    <cellStyle name="Notas 3 3 2 2" xfId="41884" xr:uid="{7CB0ABD7-09FD-45F3-AF1B-90B687AE340B}"/>
    <cellStyle name="Notas 3 3 2 2 2" xfId="46110" xr:uid="{DCDB0B33-37A2-42EB-BE1D-EF7A464EE0AB}"/>
    <cellStyle name="Notas 3 3 2 2 2 2" xfId="46445" xr:uid="{A50D0270-D4D4-4C48-9125-5BEBA59585E5}"/>
    <cellStyle name="Notas 3 3 2 2 2 3" xfId="46916" xr:uid="{79B8085C-9FAB-451B-AF93-F1DB67AD2834}"/>
    <cellStyle name="Notas 3 3 2 2 2 3 2" xfId="47118" xr:uid="{678AFF9C-9814-440B-BA49-D4CE8BDEABEB}"/>
    <cellStyle name="Notas 3 3 2 2 2 4" xfId="47119" xr:uid="{7BB66402-3395-4A2E-8ADD-230379F8129F}"/>
    <cellStyle name="Notas 3 3 2 2 2 5" xfId="47441" xr:uid="{074ECB22-F610-4F95-8AA2-B3E3138A6803}"/>
    <cellStyle name="Notas 3 3 2 2 2 6" xfId="47442" xr:uid="{197227F5-E5D0-449E-A3B9-95C718273B02}"/>
    <cellStyle name="Notas 3 3 2 2 2 7" xfId="47756" xr:uid="{3A86A552-92D2-47C1-A747-1575D238CA3D}"/>
    <cellStyle name="Notas 3 3 2 2 3" xfId="46109" xr:uid="{B8F18460-2A30-4016-A167-1770681DE842}"/>
    <cellStyle name="Notas 3 3 2 2 3 2" xfId="46844" xr:uid="{A056A1F1-C84C-4E5B-B681-F55BC9283B55}"/>
    <cellStyle name="Notas 3 3 2 2 4" xfId="46444" xr:uid="{22C82EB6-8C4E-4F5E-A4A5-53D477E196B3}"/>
    <cellStyle name="Notas 3 3 2 2 4 2" xfId="46915" xr:uid="{59431F40-F7DB-4487-9E75-2924EFB0E21B}"/>
    <cellStyle name="Notas 3 3 2 2 5" xfId="47120" xr:uid="{7E64A5D8-DAFE-4DC5-8A85-8799F21F17CA}"/>
    <cellStyle name="Notas 3 3 2 2 6" xfId="47443" xr:uid="{A907AFEE-218D-4DA0-91F3-D975999F79D8}"/>
    <cellStyle name="Notas 3 3 2 2 7" xfId="47444" xr:uid="{4D1CC9B6-5C74-45D8-8CE4-19ACADEBF1BE}"/>
    <cellStyle name="Notas 3 3 2 2 8" xfId="47757" xr:uid="{41EC4C52-7543-424D-86DD-EFDF74DE205B}"/>
    <cellStyle name="Notas 3 3 2 3" xfId="41885" xr:uid="{16302A77-A42B-49FB-A6AC-6B7B646AAB6D}"/>
    <cellStyle name="Notas 3 3 2 3 2" xfId="46111" xr:uid="{6FEC6060-F7AB-43E5-A610-99101898ADA0}"/>
    <cellStyle name="Notas 3 3 2 3 2 2" xfId="46845" xr:uid="{E7702D48-6934-42B9-A88C-C8EE82E23AFE}"/>
    <cellStyle name="Notas 3 3 2 3 3" xfId="46446" xr:uid="{3D1F2F66-3527-4CA5-A3BA-E32E8C59BD2C}"/>
    <cellStyle name="Notas 3 3 2 3 3 2" xfId="46917" xr:uid="{A64B946F-51B3-41F4-94C3-ED0629AB93A9}"/>
    <cellStyle name="Notas 3 3 2 3 4" xfId="47121" xr:uid="{BA62DB90-8A00-41CC-BD04-B6F17E67AC21}"/>
    <cellStyle name="Notas 3 3 2 3 5" xfId="47445" xr:uid="{6BE2C418-DB03-48E3-85C4-FCC55072B8FB}"/>
    <cellStyle name="Notas 3 3 2 3 6" xfId="47446" xr:uid="{9EA41EF5-566E-4F37-AADF-734B22EBD205}"/>
    <cellStyle name="Notas 3 3 2 3 7" xfId="47758" xr:uid="{AFC621D7-F29B-454B-B24D-86D4A510D139}"/>
    <cellStyle name="Notas 3 3 2 4" xfId="41886" xr:uid="{EB454119-9624-402A-9FF5-948106FF12AD}"/>
    <cellStyle name="Notas 3 3 2 4 2" xfId="46846" xr:uid="{3127FBA2-FA03-4A20-A8DF-06920F7E43D6}"/>
    <cellStyle name="Notas 3 3 2 5" xfId="41887" xr:uid="{F50A4E2F-AC70-438B-B06C-88127D472273}"/>
    <cellStyle name="Notas 3 3 2 5 2" xfId="46914" xr:uid="{5B2FE392-463A-490F-B257-C3BFA52111F8}"/>
    <cellStyle name="Notas 3 3 2 5 3" xfId="47122" xr:uid="{FC656072-9635-45F5-935B-286C96E5AADE}"/>
    <cellStyle name="Notas 3 3 2 6" xfId="46108" xr:uid="{B5D88D7D-9939-4640-8622-059DDF0840B0}"/>
    <cellStyle name="Notas 3 3 2 6 2" xfId="47123" xr:uid="{360877AE-3969-4BBF-8220-D6A3C58F1678}"/>
    <cellStyle name="Notas 3 3 2 7" xfId="46443" xr:uid="{7BF2F0CD-CD79-4A38-A0E0-B42F705AF6E1}"/>
    <cellStyle name="Notas 3 3 2 8" xfId="47447" xr:uid="{46720E0A-EF1F-4B36-A8CC-F972F1D7CCDB}"/>
    <cellStyle name="Notas 3 3 2 9" xfId="47759" xr:uid="{6B2AB8A5-7710-4D1F-8272-F64F05266B87}"/>
    <cellStyle name="Notas 3 3 3" xfId="41888" xr:uid="{A0B007BB-4B76-47C0-9810-7192589E12DC}"/>
    <cellStyle name="Notas 3 3 3 2" xfId="46113" xr:uid="{B8A4071E-FFD0-4876-81E9-27FF2FB74AEF}"/>
    <cellStyle name="Notas 3 3 3 2 2" xfId="46448" xr:uid="{77964253-EF13-47D3-9675-095512AC5FB4}"/>
    <cellStyle name="Notas 3 3 3 2 3" xfId="46919" xr:uid="{382601EB-E2F4-46E2-A28E-5FD068D22EB2}"/>
    <cellStyle name="Notas 3 3 3 2 3 2" xfId="47124" xr:uid="{163BDC05-33F2-4749-8945-535659FCA7A9}"/>
    <cellStyle name="Notas 3 3 3 2 4" xfId="47125" xr:uid="{B7E02902-5E06-4587-8272-04E80CC81651}"/>
    <cellStyle name="Notas 3 3 3 2 5" xfId="47448" xr:uid="{AE44CA86-9684-407B-A829-DA01B5556298}"/>
    <cellStyle name="Notas 3 3 3 2 6" xfId="47449" xr:uid="{FAC0B3AB-B6FB-44A9-9549-352F70C8C0A4}"/>
    <cellStyle name="Notas 3 3 3 2 7" xfId="47760" xr:uid="{4D2A8ACA-340D-4D41-BCB7-4A396D2E46F8}"/>
    <cellStyle name="Notas 3 3 3 3" xfId="46112" xr:uid="{CD5F34A8-1255-4669-ADC7-CBA9D6BB1CBC}"/>
    <cellStyle name="Notas 3 3 3 3 2" xfId="46847" xr:uid="{1B6B4BA8-1D21-4F4D-8EE1-3DD3B455656C}"/>
    <cellStyle name="Notas 3 3 3 4" xfId="46447" xr:uid="{2B9BA580-EDFD-4DC5-989D-41DA6FE475AE}"/>
    <cellStyle name="Notas 3 3 3 4 2" xfId="46918" xr:uid="{A5FAF95C-E4B3-43DB-B222-8489B43CF175}"/>
    <cellStyle name="Notas 3 3 3 5" xfId="47126" xr:uid="{498F5ED1-3DC3-4041-8D84-7456BE92DFDA}"/>
    <cellStyle name="Notas 3 3 3 6" xfId="47450" xr:uid="{934AA432-5D98-408D-8388-4C3C1EA727F1}"/>
    <cellStyle name="Notas 3 3 3 7" xfId="47451" xr:uid="{DB10C2CF-6AD1-476C-A5D6-385FB994282B}"/>
    <cellStyle name="Notas 3 3 3 8" xfId="47761" xr:uid="{2819C0BA-0D3A-4EB1-97B6-45894666EBA2}"/>
    <cellStyle name="Notas 3 3 4" xfId="41889" xr:uid="{28D5D02B-2DE5-4829-8345-D3B692C2D0BF}"/>
    <cellStyle name="Notas 3 3 4 2" xfId="46114" xr:uid="{B8A5C158-A054-418A-B022-45B88F59948D}"/>
    <cellStyle name="Notas 3 3 4 2 2" xfId="46848" xr:uid="{080C6FFC-AB88-44D6-832C-F14FF7E00208}"/>
    <cellStyle name="Notas 3 3 4 3" xfId="46449" xr:uid="{FE180648-997A-4924-BE99-B11C10747D61}"/>
    <cellStyle name="Notas 3 3 4 3 2" xfId="46920" xr:uid="{99AF9526-8903-474D-AB33-385044FEC7E2}"/>
    <cellStyle name="Notas 3 3 4 4" xfId="47127" xr:uid="{4B5572F3-D6E2-4CA7-A555-EF4F491AB4AE}"/>
    <cellStyle name="Notas 3 3 4 5" xfId="47452" xr:uid="{8DFB1294-B8A0-49C2-9955-0E119FA74E9E}"/>
    <cellStyle name="Notas 3 3 4 6" xfId="47453" xr:uid="{BF63F063-5EF7-4126-B9A1-DE097BC6D3B2}"/>
    <cellStyle name="Notas 3 3 4 7" xfId="47762" xr:uid="{F0B967C0-1011-41A7-9D9F-E0076F49AF2F}"/>
    <cellStyle name="Notas 3 3 5" xfId="41890" xr:uid="{08C119C9-1841-4370-8F74-6A6730320A8C}"/>
    <cellStyle name="Notas 3 3 5 2" xfId="46849" xr:uid="{B221903C-3BA7-4C0F-869C-7A841D35D135}"/>
    <cellStyle name="Notas 3 3 6" xfId="41891" xr:uid="{6A17FD5E-322D-4EC7-91E2-88CA186C0BD8}"/>
    <cellStyle name="Notas 3 3 6 2" xfId="46913" xr:uid="{F1A1F4BC-6EAC-4EB7-89E3-7CEE11DFDFCE}"/>
    <cellStyle name="Notas 3 3 6 3" xfId="47128" xr:uid="{46F15257-DF7C-460A-AA87-71FA35B17033}"/>
    <cellStyle name="Notas 3 3 7" xfId="41892" xr:uid="{3F0E34B9-7A9F-4A0A-9531-E2787E453750}"/>
    <cellStyle name="Notas 3 3 7 2" xfId="47129" xr:uid="{DB95D570-5817-42AB-9CA1-E8A7ABB221A4}"/>
    <cellStyle name="Notas 3 3 8" xfId="41893" xr:uid="{2E79CA85-91D5-4551-B3D9-F5E4DBF021F1}"/>
    <cellStyle name="Notas 3 3 8 2" xfId="47454" xr:uid="{563CAAAC-3D39-4FCD-89B6-572502870495}"/>
    <cellStyle name="Notas 3 3 9" xfId="41894" xr:uid="{C9EDD6D9-7922-4A7B-AEB1-4C3862976195}"/>
    <cellStyle name="Notas 3 3 9 2" xfId="47455" xr:uid="{AC76B712-DFB5-4F34-85BB-CD2F8DD5174E}"/>
    <cellStyle name="Notas 3 30" xfId="1342" xr:uid="{CB351B67-7344-4CDE-A1CE-84794BD2A3C0}"/>
    <cellStyle name="Notas 3 31" xfId="1343" xr:uid="{53881EF7-4D18-4CEB-8D5A-B77DD62737BE}"/>
    <cellStyle name="Notas 3 32" xfId="1344" xr:uid="{F485E026-776D-47F7-8657-7C6E2F49D587}"/>
    <cellStyle name="Notas 3 33" xfId="1345" xr:uid="{C7DF2231-1505-42A6-8B35-2DB2BDDA2090}"/>
    <cellStyle name="Notas 3 34" xfId="1346" xr:uid="{B3787FF7-7A09-4341-BD75-E95C372222BD}"/>
    <cellStyle name="Notas 3 35" xfId="46090" xr:uid="{896F7B30-6ABD-4913-847D-BB3ECD1C99FE}"/>
    <cellStyle name="Notas 3 4" xfId="1347" xr:uid="{E4E2D729-8432-4E62-8340-57BAD3F7D8D4}"/>
    <cellStyle name="Notas 3 4 2" xfId="41895" xr:uid="{9E4D6EA7-BE57-4E8A-97BC-D2B66B00D15F}"/>
    <cellStyle name="Notas 3 4 2 2" xfId="46117" xr:uid="{4DD6AFD0-612F-4044-9622-EB8965ECCBEF}"/>
    <cellStyle name="Notas 3 4 2 2 2" xfId="46451" xr:uid="{DD920D1F-D3E0-4F2F-81C4-7266C122D973}"/>
    <cellStyle name="Notas 3 4 2 2 3" xfId="46923" xr:uid="{D101C038-C8A8-441D-AA6B-D699A5E20DEB}"/>
    <cellStyle name="Notas 3 4 2 2 3 2" xfId="47130" xr:uid="{8BB0ECD2-4416-48B1-A099-939235C24075}"/>
    <cellStyle name="Notas 3 4 2 2 4" xfId="47131" xr:uid="{EBCD7279-E1FA-401B-92F5-E9034EB4DDEC}"/>
    <cellStyle name="Notas 3 4 2 2 5" xfId="47456" xr:uid="{4B672D48-D41D-473B-8C49-D0BE6BB155DC}"/>
    <cellStyle name="Notas 3 4 2 2 6" xfId="47457" xr:uid="{B0247273-0254-4EA9-B086-9399EBD28696}"/>
    <cellStyle name="Notas 3 4 2 2 7" xfId="47763" xr:uid="{68E61476-8F89-4618-88FB-34529F6C64A4}"/>
    <cellStyle name="Notas 3 4 2 3" xfId="46116" xr:uid="{4CAC2FA3-C2BD-4718-B6B0-041E7D5D79D2}"/>
    <cellStyle name="Notas 3 4 2 3 2" xfId="46850" xr:uid="{443294F2-B8B1-4CAD-9AB9-614D0B245FB1}"/>
    <cellStyle name="Notas 3 4 2 4" xfId="46450" xr:uid="{51B210E8-B694-4149-9F74-5D4308D02BAF}"/>
    <cellStyle name="Notas 3 4 2 4 2" xfId="46922" xr:uid="{BC0CD597-BAEA-4595-A362-6DFF98C7BF76}"/>
    <cellStyle name="Notas 3 4 2 5" xfId="47132" xr:uid="{8411F7C5-1B2B-467C-B1C5-7022C35B734C}"/>
    <cellStyle name="Notas 3 4 2 6" xfId="47458" xr:uid="{2134354C-BEAD-41F7-87BB-6562703E2BE1}"/>
    <cellStyle name="Notas 3 4 2 7" xfId="47459" xr:uid="{607CF1C5-BDFB-4EBD-AB66-58AF700957C6}"/>
    <cellStyle name="Notas 3 4 2 8" xfId="47764" xr:uid="{DA9BD142-0033-4982-AEF0-48A1FF2BC77E}"/>
    <cellStyle name="Notas 3 4 3" xfId="41896" xr:uid="{F6F401C4-355C-4A68-B052-12DF7E1A1D85}"/>
    <cellStyle name="Notas 3 4 3 2" xfId="46118" xr:uid="{DEB231C3-6BB3-4D44-9A2F-F14512C9D10F}"/>
    <cellStyle name="Notas 3 4 3 2 2" xfId="46851" xr:uid="{356EE4A4-1DCF-4E91-AD45-3B13E64A3FFA}"/>
    <cellStyle name="Notas 3 4 3 3" xfId="46452" xr:uid="{B1008017-EE2C-4AA0-983E-09B355C9C67D}"/>
    <cellStyle name="Notas 3 4 3 3 2" xfId="46924" xr:uid="{F7D391B2-C003-4AB1-8929-DF371363829A}"/>
    <cellStyle name="Notas 3 4 3 4" xfId="47133" xr:uid="{9DBD078F-B4CE-40E6-9F9E-2114230912FB}"/>
    <cellStyle name="Notas 3 4 3 5" xfId="47460" xr:uid="{F0FBF4E9-2303-4DF3-AFEB-1D1230365EA6}"/>
    <cellStyle name="Notas 3 4 3 6" xfId="47461" xr:uid="{9D273614-48D6-49A7-BE24-269803D91D75}"/>
    <cellStyle name="Notas 3 4 3 7" xfId="47765" xr:uid="{058964F2-7F0C-4900-B059-19AF4A2C7BFC}"/>
    <cellStyle name="Notas 3 4 4" xfId="41897" xr:uid="{79172596-6040-4C11-BE13-0DEC890FAE0C}"/>
    <cellStyle name="Notas 3 4 4 2" xfId="46852" xr:uid="{983C3C99-F2E1-4922-A4C5-D46A703177E4}"/>
    <cellStyle name="Notas 3 4 5" xfId="41898" xr:uid="{EE21FE8E-1C78-4575-A9CF-EF39B8A0892B}"/>
    <cellStyle name="Notas 3 4 5 2" xfId="46921" xr:uid="{2FB29312-37DA-4E5E-B1BC-1CFF80D9041C}"/>
    <cellStyle name="Notas 3 4 5 3" xfId="47134" xr:uid="{B17CE714-AB1B-465B-8E8F-C92E5A069E51}"/>
    <cellStyle name="Notas 3 4 6" xfId="46115" xr:uid="{AA43BCC2-F819-4B7C-AE4E-38E7CFA48297}"/>
    <cellStyle name="Notas 3 4 6 2" xfId="47135" xr:uid="{0F1CD33B-BCC7-4724-A76D-7B75E11B4209}"/>
    <cellStyle name="Notas 3 4 7" xfId="47462" xr:uid="{860FC632-628D-4033-A7E4-F13305E0FBC4}"/>
    <cellStyle name="Notas 3 4 8" xfId="47463" xr:uid="{6422B22A-A753-4CAC-AB92-405CB53546EC}"/>
    <cellStyle name="Notas 3 4 9" xfId="47766" xr:uid="{066F5F9B-BFAA-49A9-B2B5-079B97EAB36D}"/>
    <cellStyle name="Notas 3 5" xfId="1348" xr:uid="{E50C9B77-0D64-497D-840A-03F4EDA14476}"/>
    <cellStyle name="Notas 3 5 2" xfId="46120" xr:uid="{6E18F302-FE1E-42CD-85AC-550BE285F039}"/>
    <cellStyle name="Notas 3 5 2 2" xfId="46453" xr:uid="{37148BAA-6AA0-410F-A792-8D807313C4EC}"/>
    <cellStyle name="Notas 3 5 2 3" xfId="46926" xr:uid="{04893F65-0100-4B8E-99C2-839BFA7B0B8B}"/>
    <cellStyle name="Notas 3 5 2 3 2" xfId="47136" xr:uid="{0143C3E5-5438-4989-B6D2-09410D00CAD7}"/>
    <cellStyle name="Notas 3 5 2 4" xfId="47137" xr:uid="{51BD7B34-5930-4815-B586-6EF11245E49E}"/>
    <cellStyle name="Notas 3 5 2 5" xfId="47464" xr:uid="{19667646-A88A-4BF5-A2FF-54CE7AFC1012}"/>
    <cellStyle name="Notas 3 5 2 6" xfId="47465" xr:uid="{7DFC48D2-1803-44E9-8F54-A2134CF8C6A2}"/>
    <cellStyle name="Notas 3 5 2 7" xfId="47767" xr:uid="{EC1725FE-B851-4940-A607-05D6A3D45552}"/>
    <cellStyle name="Notas 3 5 3" xfId="46119" xr:uid="{BC9FD31B-F1C7-403A-80D8-5557FD7F7C75}"/>
    <cellStyle name="Notas 3 5 3 2" xfId="46853" xr:uid="{6A36D1F6-7969-488A-ADA6-43203740D948}"/>
    <cellStyle name="Notas 3 5 4" xfId="46925" xr:uid="{6262D8AF-0324-416F-A4C7-4CBE7B5E2300}"/>
    <cellStyle name="Notas 3 5 4 2" xfId="47138" xr:uid="{9924904D-C911-41D1-BAF8-9B800F2E51BB}"/>
    <cellStyle name="Notas 3 5 5" xfId="47139" xr:uid="{B90205F1-A909-4B08-9EB3-FDF899839DF0}"/>
    <cellStyle name="Notas 3 5 6" xfId="47466" xr:uid="{D58B5E8E-F171-4F37-B7FB-6FF1D63EBD2D}"/>
    <cellStyle name="Notas 3 5 7" xfId="47467" xr:uid="{6FFDBB20-C1E6-4E6A-A59B-7EB8F1794086}"/>
    <cellStyle name="Notas 3 5 8" xfId="47768" xr:uid="{BC43193C-8421-4033-BCD5-D39AA0A885A9}"/>
    <cellStyle name="Notas 3 6" xfId="1349" xr:uid="{FB8AF3F4-E4F5-4320-BAE0-D33F3574CA0B}"/>
    <cellStyle name="Notas 3 6 2" xfId="46121" xr:uid="{D7ED17C3-25A4-4C30-A168-700387CB8603}"/>
    <cellStyle name="Notas 3 6 2 2" xfId="46854" xr:uid="{A43739AF-062A-462B-9E33-1A827684DADC}"/>
    <cellStyle name="Notas 3 6 3" xfId="46927" xr:uid="{FEBD665E-3E29-4652-A4A1-3288CEAB8B23}"/>
    <cellStyle name="Notas 3 6 3 2" xfId="47140" xr:uid="{8C483726-A8F7-4DEF-BD0A-DBC2E5879E97}"/>
    <cellStyle name="Notas 3 6 4" xfId="47141" xr:uid="{DD383388-759E-4ECC-9440-2F21E80888AD}"/>
    <cellStyle name="Notas 3 6 5" xfId="47468" xr:uid="{13FFA7ED-1B66-4E83-9D10-60B2CC9CDB5F}"/>
    <cellStyle name="Notas 3 6 6" xfId="47469" xr:uid="{04D4DD5E-0CDA-475D-8370-D87609386AE7}"/>
    <cellStyle name="Notas 3 6 7" xfId="47769" xr:uid="{6F3470C2-C311-4C02-9452-F78B0D776B96}"/>
    <cellStyle name="Notas 3 7" xfId="1350" xr:uid="{0C7361BA-ECCC-4615-A378-176A29975AF7}"/>
    <cellStyle name="Notas 3 8" xfId="1351" xr:uid="{44A50D20-CEE9-4A47-B0C7-D86599058117}"/>
    <cellStyle name="Notas 3 8 2" xfId="46897" xr:uid="{01184134-0AAA-40ED-8B8C-0D096713C9E6}"/>
    <cellStyle name="Notas 3 9" xfId="1352" xr:uid="{26F4B695-8E4E-4FB2-AEFD-8AEA38488E07}"/>
    <cellStyle name="Notas 30 10" xfId="1353" xr:uid="{9BD2D2E8-09F9-457B-9F3F-598AC8421590}"/>
    <cellStyle name="Notas 30 11" xfId="1354" xr:uid="{BBF61378-8FCD-4BD4-9F05-83CE2E92920F}"/>
    <cellStyle name="Notas 30 12" xfId="1355" xr:uid="{81307212-AB7F-4FA1-B3F6-9430D90AC148}"/>
    <cellStyle name="Notas 30 13" xfId="1356" xr:uid="{7828AC39-3574-479E-A540-04B5137ADF70}"/>
    <cellStyle name="Notas 30 14" xfId="1357" xr:uid="{76A670D7-2BB5-4C1A-A8F1-BA8950CA07F3}"/>
    <cellStyle name="Notas 30 15" xfId="1358" xr:uid="{357B4C1B-62FD-40A6-A737-B979DA7959B8}"/>
    <cellStyle name="Notas 30 16" xfId="1359" xr:uid="{409BC171-F1AD-485A-A6C5-737C8B5B30EC}"/>
    <cellStyle name="Notas 30 17" xfId="1360" xr:uid="{EB40CD71-972C-4D76-9A8E-90F95E8FCB48}"/>
    <cellStyle name="Notas 30 18" xfId="1361" xr:uid="{3ECB6875-257B-40AD-AD47-6993A4206C01}"/>
    <cellStyle name="Notas 30 19" xfId="1362" xr:uid="{A9DDE53A-4B16-45BC-8515-E3E3C729B876}"/>
    <cellStyle name="Notas 30 2" xfId="1363" xr:uid="{FBBD93D7-58FE-404E-9B88-2992246DA253}"/>
    <cellStyle name="Notas 30 20" xfId="1364" xr:uid="{D26B0516-7956-44C6-A12A-403027B0F80D}"/>
    <cellStyle name="Notas 30 21" xfId="1365" xr:uid="{0E0FB9FA-7465-4234-A14D-CDF9BFCF0B34}"/>
    <cellStyle name="Notas 30 22" xfId="1366" xr:uid="{774A13F5-889C-4F1B-8E9D-D787B956D52D}"/>
    <cellStyle name="Notas 30 23" xfId="1367" xr:uid="{5CE3E9F7-0F4F-4A72-A7D6-13A060B7F2DC}"/>
    <cellStyle name="Notas 30 24" xfId="1368" xr:uid="{752C99B3-24AF-49CE-8CF2-FA544E869B37}"/>
    <cellStyle name="Notas 30 25" xfId="1369" xr:uid="{CE61ABFF-FF15-4E1D-852A-73EA7A9F7855}"/>
    <cellStyle name="Notas 30 26" xfId="1370" xr:uid="{6F70424F-CDFD-4A2B-BCC7-FDAC07221F42}"/>
    <cellStyle name="Notas 30 27" xfId="1371" xr:uid="{FE47D471-96DA-42A7-A4EA-2D595719B838}"/>
    <cellStyle name="Notas 30 28" xfId="1372" xr:uid="{CA43F1B0-F094-4774-8D53-D4C9B49F213F}"/>
    <cellStyle name="Notas 30 29" xfId="1373" xr:uid="{AEA88147-3544-40A9-B0BB-8CFCE542ED03}"/>
    <cellStyle name="Notas 30 3" xfId="1374" xr:uid="{BE8211A0-3ADB-414B-B4AD-430B082BBFC8}"/>
    <cellStyle name="Notas 30 30" xfId="1375" xr:uid="{5D0C8919-4C06-44E7-9EC1-B1949F9CFE96}"/>
    <cellStyle name="Notas 30 31" xfId="1376" xr:uid="{21DF1BCA-1631-4284-9B93-8AD93113BAD0}"/>
    <cellStyle name="Notas 30 32" xfId="1377" xr:uid="{6846FC33-48E0-4A30-8C6C-815F223BDAD6}"/>
    <cellStyle name="Notas 30 33" xfId="1378" xr:uid="{53D14900-B287-4311-AB1C-F37DB6879E9A}"/>
    <cellStyle name="Notas 30 34" xfId="1379" xr:uid="{2C8E5697-6522-42F8-A414-05B441AD38A1}"/>
    <cellStyle name="Notas 30 4" xfId="1380" xr:uid="{A31F0BAD-4E46-42BE-AF61-1D84D46E8874}"/>
    <cellStyle name="Notas 30 5" xfId="1381" xr:uid="{11736BD4-C913-4F8D-B96C-D0BD5EFDF4D8}"/>
    <cellStyle name="Notas 30 6" xfId="1382" xr:uid="{80F50341-4C56-418A-B27A-2CD9899466AB}"/>
    <cellStyle name="Notas 30 7" xfId="1383" xr:uid="{7F652186-B0F8-4BEE-A0BD-F64E0196C9ED}"/>
    <cellStyle name="Notas 30 8" xfId="1384" xr:uid="{9069C017-422D-49F5-90C3-092F6BE09128}"/>
    <cellStyle name="Notas 30 9" xfId="1385" xr:uid="{515E8F1B-A065-439D-B761-DCEFC2A31928}"/>
    <cellStyle name="Notas 31 10" xfId="1386" xr:uid="{7445452F-21C8-4BD5-9ED0-92DB369094BB}"/>
    <cellStyle name="Notas 31 11" xfId="1387" xr:uid="{88F3465F-2644-467F-958A-210312E26C52}"/>
    <cellStyle name="Notas 31 12" xfId="1388" xr:uid="{6D9AFA16-5A22-4ED2-9DE0-7C278B21A3CB}"/>
    <cellStyle name="Notas 31 13" xfId="1389" xr:uid="{AB285B1E-DDFF-4A21-80BF-E439E80E3355}"/>
    <cellStyle name="Notas 31 14" xfId="1390" xr:uid="{A7009C73-084B-4383-95EE-D340F8B64248}"/>
    <cellStyle name="Notas 31 15" xfId="1391" xr:uid="{7514A25E-F914-4C28-83BB-62B2B1AB5D2D}"/>
    <cellStyle name="Notas 31 16" xfId="1392" xr:uid="{DAA86145-035B-43AB-8BFB-25D737D5CDFF}"/>
    <cellStyle name="Notas 31 17" xfId="1393" xr:uid="{32BF2FF3-FA18-4EE6-AD72-619DCF2AF535}"/>
    <cellStyle name="Notas 31 18" xfId="1394" xr:uid="{835AB5B5-A853-473F-BC5A-EB54ECBDED78}"/>
    <cellStyle name="Notas 31 19" xfId="1395" xr:uid="{E2E02A2E-A3CD-47BC-850B-B46D009A5C65}"/>
    <cellStyle name="Notas 31 2" xfId="1396" xr:uid="{6D4E8C7B-7DDB-46F9-BEE5-937A043D1847}"/>
    <cellStyle name="Notas 31 20" xfId="1397" xr:uid="{0C80037C-2F28-4998-8988-94CF9593ADB3}"/>
    <cellStyle name="Notas 31 21" xfId="1398" xr:uid="{47AA0C23-A957-4BD6-BE1C-0EF2237F5107}"/>
    <cellStyle name="Notas 31 22" xfId="1399" xr:uid="{4542C317-B50A-40F9-8C72-68DB972AD90E}"/>
    <cellStyle name="Notas 31 23" xfId="1400" xr:uid="{22B2C903-D554-4B15-A1BE-8D511CD819DE}"/>
    <cellStyle name="Notas 31 24" xfId="1401" xr:uid="{3A6244F9-2653-4A4B-967E-A5ECA330DEF1}"/>
    <cellStyle name="Notas 31 25" xfId="1402" xr:uid="{DF047AB5-0A14-4F5E-B7AA-15C963D346CC}"/>
    <cellStyle name="Notas 31 26" xfId="1403" xr:uid="{823408D5-F0BF-4052-B73D-A7697814D683}"/>
    <cellStyle name="Notas 31 27" xfId="1404" xr:uid="{3A5E44BA-FCCA-4E72-8C1E-D11B1565F6F0}"/>
    <cellStyle name="Notas 31 28" xfId="1405" xr:uid="{212D77C1-CC74-4CA6-84FE-6EEFBD7D8606}"/>
    <cellStyle name="Notas 31 29" xfId="1406" xr:uid="{F40CD770-7460-43C4-80B9-3BC43931DF65}"/>
    <cellStyle name="Notas 31 3" xfId="1407" xr:uid="{C83A679E-A0F3-4692-B583-C3D8A56338E2}"/>
    <cellStyle name="Notas 31 30" xfId="1408" xr:uid="{19514E3C-E74B-4A6A-A2CE-5F38BD143B5C}"/>
    <cellStyle name="Notas 31 31" xfId="1409" xr:uid="{0D7FB9F2-5722-41BB-B02F-B116A9061CB8}"/>
    <cellStyle name="Notas 31 32" xfId="1410" xr:uid="{BFEA8109-75BE-4315-8A6B-76D00294A56B}"/>
    <cellStyle name="Notas 31 33" xfId="1411" xr:uid="{2F2620DC-D304-45EA-8C11-9FE02AB33C6F}"/>
    <cellStyle name="Notas 31 34" xfId="1412" xr:uid="{604459CF-3D5F-4D16-9802-E3E7E184E1D8}"/>
    <cellStyle name="Notas 31 4" xfId="1413" xr:uid="{1F59E1A9-D78E-4A84-A503-9E4C24B41C51}"/>
    <cellStyle name="Notas 31 5" xfId="1414" xr:uid="{12B360F8-6306-4D04-91BE-A62332DCC282}"/>
    <cellStyle name="Notas 31 6" xfId="1415" xr:uid="{E69EC1EA-709E-4E9B-A248-E91AF5064C94}"/>
    <cellStyle name="Notas 31 7" xfId="1416" xr:uid="{8150228C-569E-4E92-8F9C-F67E11E4D1EC}"/>
    <cellStyle name="Notas 31 8" xfId="1417" xr:uid="{2A440ADE-BA96-4844-8398-735FB54F72DF}"/>
    <cellStyle name="Notas 31 9" xfId="1418" xr:uid="{2E69962C-6F1E-4CAA-85C9-EC98535D72DA}"/>
    <cellStyle name="Notas 32 10" xfId="1419" xr:uid="{FE2DB1C7-662F-4413-8A6D-84A593324C14}"/>
    <cellStyle name="Notas 32 11" xfId="1420" xr:uid="{B2FB6727-EC79-4E28-A9CD-C21991578E43}"/>
    <cellStyle name="Notas 32 12" xfId="1421" xr:uid="{1F88D77C-8E15-4199-BFA2-796185A5823D}"/>
    <cellStyle name="Notas 32 13" xfId="1422" xr:uid="{7D0751C1-6487-4F1C-80D7-9D32FEECFE83}"/>
    <cellStyle name="Notas 32 14" xfId="1423" xr:uid="{7D9BA1C6-59A2-41ED-851F-BB8C68AB2D5C}"/>
    <cellStyle name="Notas 32 15" xfId="1424" xr:uid="{8AAF81DC-4BE8-4043-B536-04B51462E256}"/>
    <cellStyle name="Notas 32 16" xfId="1425" xr:uid="{95922CC2-52B1-40C1-BA4D-12E84D14D716}"/>
    <cellStyle name="Notas 32 17" xfId="1426" xr:uid="{15B7DD2B-4088-4C3E-82DB-F99D66EA035E}"/>
    <cellStyle name="Notas 32 18" xfId="1427" xr:uid="{06CAB66E-0248-43E1-8584-2B9D535EDBA2}"/>
    <cellStyle name="Notas 32 19" xfId="1428" xr:uid="{46D50371-57A4-4E3D-8C4A-A38721051739}"/>
    <cellStyle name="Notas 32 2" xfId="1429" xr:uid="{30C1E67E-94A8-4FFC-B717-74947A63D904}"/>
    <cellStyle name="Notas 32 20" xfId="1430" xr:uid="{7AC828F8-35BC-4C4B-86B2-745732022A41}"/>
    <cellStyle name="Notas 32 21" xfId="1431" xr:uid="{83F96C77-3104-4ED2-B76C-94F411630A03}"/>
    <cellStyle name="Notas 32 22" xfId="1432" xr:uid="{AA856081-83C3-4612-936B-AF9F749EED25}"/>
    <cellStyle name="Notas 32 23" xfId="1433" xr:uid="{01B153E5-6681-45CE-B7F0-C5C27C8345D7}"/>
    <cellStyle name="Notas 32 24" xfId="1434" xr:uid="{24434D66-D2B5-491E-B6F5-4CC5A19E6CBE}"/>
    <cellStyle name="Notas 32 25" xfId="1435" xr:uid="{86D412E0-1E48-4F25-8E77-4473B99BD977}"/>
    <cellStyle name="Notas 32 26" xfId="1436" xr:uid="{39972DD9-9C36-4CE8-A6C8-F27B24998CD6}"/>
    <cellStyle name="Notas 32 27" xfId="1437" xr:uid="{A0E8D3D9-4A6A-4144-8CA0-770D943C5143}"/>
    <cellStyle name="Notas 32 28" xfId="1438" xr:uid="{CCD51952-54B5-4D95-ACCB-FD6EA911724A}"/>
    <cellStyle name="Notas 32 29" xfId="1439" xr:uid="{BA0EFBA2-F282-4250-AFAA-F0A93E7EACDF}"/>
    <cellStyle name="Notas 32 3" xfId="1440" xr:uid="{BF8BF49A-2FF1-46C2-96DD-A766378ED60E}"/>
    <cellStyle name="Notas 32 30" xfId="1441" xr:uid="{D21F5454-996B-4122-AE1A-58DA7ACE23C2}"/>
    <cellStyle name="Notas 32 31" xfId="1442" xr:uid="{C40CA99B-9D6B-46B0-B821-9879C4C5BABA}"/>
    <cellStyle name="Notas 32 32" xfId="1443" xr:uid="{1D1B209F-E0DD-4136-9AD1-440D3E67A494}"/>
    <cellStyle name="Notas 32 33" xfId="1444" xr:uid="{95B2434E-444C-4BBF-ABD8-8A89A0565995}"/>
    <cellStyle name="Notas 32 34" xfId="1445" xr:uid="{FE4FE448-053F-439F-902F-F887E7DEBA0B}"/>
    <cellStyle name="Notas 32 4" xfId="1446" xr:uid="{6163A36B-5D05-4934-A62B-D47D4D9BB443}"/>
    <cellStyle name="Notas 32 5" xfId="1447" xr:uid="{B4461200-C7BE-493A-B641-AD61F81814A4}"/>
    <cellStyle name="Notas 32 6" xfId="1448" xr:uid="{80F95466-5DD7-45F9-9A29-41947FA1E659}"/>
    <cellStyle name="Notas 32 7" xfId="1449" xr:uid="{F144232C-E35A-4744-8BB5-EBA1006AA3B3}"/>
    <cellStyle name="Notas 32 8" xfId="1450" xr:uid="{8A1E05C9-7229-438E-8B71-6B210185D9A5}"/>
    <cellStyle name="Notas 32 9" xfId="1451" xr:uid="{341881C2-7B03-47E9-B8C5-17EEBEB61F1D}"/>
    <cellStyle name="Notas 33 10" xfId="1452" xr:uid="{58904632-CBAC-4124-829D-12829D2270F7}"/>
    <cellStyle name="Notas 33 11" xfId="1453" xr:uid="{B4BCB519-3B4F-42F3-9DAC-F07C2D5F0C1C}"/>
    <cellStyle name="Notas 33 12" xfId="1454" xr:uid="{1510CB9F-8E2A-4F28-BD2E-E9C70C9DC16C}"/>
    <cellStyle name="Notas 33 13" xfId="1455" xr:uid="{233C0965-3367-40D9-8C71-3FCE5D581E5D}"/>
    <cellStyle name="Notas 33 14" xfId="1456" xr:uid="{F637CD4C-99CA-4277-81FF-180AEDBCB48F}"/>
    <cellStyle name="Notas 33 15" xfId="1457" xr:uid="{399018E9-E548-4D55-8807-264C6F49721A}"/>
    <cellStyle name="Notas 33 16" xfId="1458" xr:uid="{A0B58601-9A6E-4CF9-8613-BD2FA9F96C7D}"/>
    <cellStyle name="Notas 33 17" xfId="1459" xr:uid="{BF8D6146-CC72-4E7D-8C9D-EA644EEBB833}"/>
    <cellStyle name="Notas 33 18" xfId="1460" xr:uid="{B51700D8-8140-42BF-825F-65776098EFA5}"/>
    <cellStyle name="Notas 33 19" xfId="1461" xr:uid="{DB018C75-AD74-4A5B-A580-E232C87E45C6}"/>
    <cellStyle name="Notas 33 2" xfId="1462" xr:uid="{9AE1E2A0-4A2B-4A9A-BB2F-ABF4F38324BE}"/>
    <cellStyle name="Notas 33 20" xfId="1463" xr:uid="{A102E6B9-BDF7-46FF-B907-1A84ED53511D}"/>
    <cellStyle name="Notas 33 21" xfId="1464" xr:uid="{333BB061-A896-475D-A0FF-05188F79F472}"/>
    <cellStyle name="Notas 33 22" xfId="1465" xr:uid="{13F293EB-554D-49E6-88D5-F226DC8CA97B}"/>
    <cellStyle name="Notas 33 23" xfId="1466" xr:uid="{4C17BF03-5630-44BA-B546-02525AF65F60}"/>
    <cellStyle name="Notas 33 24" xfId="1467" xr:uid="{362F5DD8-400A-4A27-972F-7497A5D7E8C1}"/>
    <cellStyle name="Notas 33 25" xfId="1468" xr:uid="{D08D918C-A69D-4C8E-A0A8-C2B7B674D06C}"/>
    <cellStyle name="Notas 33 26" xfId="1469" xr:uid="{026D7498-9B1E-419C-9125-A237E5BA6D55}"/>
    <cellStyle name="Notas 33 27" xfId="1470" xr:uid="{2D4379C6-A43A-4F9E-BD4A-3EC91F2157C7}"/>
    <cellStyle name="Notas 33 28" xfId="1471" xr:uid="{30ECA6D2-71AC-465C-BC28-F1BF08B89E0E}"/>
    <cellStyle name="Notas 33 29" xfId="1472" xr:uid="{4263DED2-6CFF-4473-82E5-DC24F8B2E0FD}"/>
    <cellStyle name="Notas 33 3" xfId="1473" xr:uid="{B4F03CC9-D3D4-48F3-B410-EDA4170C5E96}"/>
    <cellStyle name="Notas 33 30" xfId="1474" xr:uid="{2E6383F7-BB21-453D-8175-C7BE20D1D8FE}"/>
    <cellStyle name="Notas 33 31" xfId="1475" xr:uid="{3FABBD02-15E3-48A6-9754-A72D11043289}"/>
    <cellStyle name="Notas 33 32" xfId="1476" xr:uid="{F9FB2DCD-4416-4CFB-8B37-F824DE8CE4AD}"/>
    <cellStyle name="Notas 33 33" xfId="1477" xr:uid="{A6155A50-B1F8-4CE2-8FB7-95DDBE887AF8}"/>
    <cellStyle name="Notas 33 34" xfId="1478" xr:uid="{5C803C01-FB04-4451-A853-4E4B4F6BFD08}"/>
    <cellStyle name="Notas 33 4" xfId="1479" xr:uid="{3567767A-44AC-4141-BEC7-2A44B4A0E3F4}"/>
    <cellStyle name="Notas 33 5" xfId="1480" xr:uid="{B421E31C-C9A1-4ED5-A956-0112A48B484E}"/>
    <cellStyle name="Notas 33 6" xfId="1481" xr:uid="{7D857A34-E34D-4BEC-8866-3C641E24CCC2}"/>
    <cellStyle name="Notas 33 7" xfId="1482" xr:uid="{9711F0B4-946D-4680-822F-3C047EB98258}"/>
    <cellStyle name="Notas 33 8" xfId="1483" xr:uid="{F5A90BD1-24F7-4355-8159-6C00D07663A6}"/>
    <cellStyle name="Notas 33 9" xfId="1484" xr:uid="{A2CA366A-33F2-4F07-AE58-41F99C35C2AE}"/>
    <cellStyle name="Notas 34 10" xfId="1485" xr:uid="{695CFB39-67A5-403A-A2EC-F4DAC7B8C03C}"/>
    <cellStyle name="Notas 34 11" xfId="1486" xr:uid="{3F078A61-B37A-4F93-A685-F835A94186AD}"/>
    <cellStyle name="Notas 34 12" xfId="1487" xr:uid="{1FAB1CCC-D631-4706-B72D-9A5E2EAB3A52}"/>
    <cellStyle name="Notas 34 13" xfId="1488" xr:uid="{670C5B10-17F7-4698-9109-E34B263D380D}"/>
    <cellStyle name="Notas 34 14" xfId="1489" xr:uid="{A7351CE7-BC33-4A70-8EC1-06C3EAB6552B}"/>
    <cellStyle name="Notas 34 15" xfId="1490" xr:uid="{489C67D9-741C-40D9-927E-8FF1C1216F47}"/>
    <cellStyle name="Notas 34 16" xfId="1491" xr:uid="{CECC62C7-7EFD-444C-9C16-8BE7D5E25174}"/>
    <cellStyle name="Notas 34 17" xfId="1492" xr:uid="{E5F98B09-1872-4388-8B0A-6AC86593C575}"/>
    <cellStyle name="Notas 34 18" xfId="1493" xr:uid="{D72635DA-1159-4EE0-B313-555A111AE9B1}"/>
    <cellStyle name="Notas 34 19" xfId="1494" xr:uid="{4763CEBB-60D0-4E77-9C49-5153BF1305E3}"/>
    <cellStyle name="Notas 34 2" xfId="1495" xr:uid="{91F94B6F-5CC0-4561-922F-175B68D66177}"/>
    <cellStyle name="Notas 34 20" xfId="1496" xr:uid="{4835C1A3-818E-4DC3-854A-20B6EEC1F699}"/>
    <cellStyle name="Notas 34 21" xfId="1497" xr:uid="{A33E716D-2888-4759-B8C9-967F21A2B21F}"/>
    <cellStyle name="Notas 34 22" xfId="1498" xr:uid="{39CC645A-308D-408E-8405-DC766D83FE31}"/>
    <cellStyle name="Notas 34 23" xfId="1499" xr:uid="{83283EA5-FB98-40E6-84A7-3BA4524F9A47}"/>
    <cellStyle name="Notas 34 24" xfId="1500" xr:uid="{D1E36677-DE2F-4B17-BFBA-435CE11668C1}"/>
    <cellStyle name="Notas 34 25" xfId="1501" xr:uid="{A989D9BA-9CCD-4D5E-BA41-0B8D888F325D}"/>
    <cellStyle name="Notas 34 26" xfId="1502" xr:uid="{00F15310-3990-4070-9828-CD587BC65162}"/>
    <cellStyle name="Notas 34 27" xfId="1503" xr:uid="{FC37E957-9FA3-4660-B2B9-770F32259AB4}"/>
    <cellStyle name="Notas 34 28" xfId="1504" xr:uid="{87CA891D-62E8-425A-B860-73C8B880FCB2}"/>
    <cellStyle name="Notas 34 29" xfId="1505" xr:uid="{273913C1-D7FA-4AB6-9B42-69200043AD22}"/>
    <cellStyle name="Notas 34 3" xfId="1506" xr:uid="{18BA8E77-B600-40FF-81F1-D8FEBB1D2D26}"/>
    <cellStyle name="Notas 34 30" xfId="1507" xr:uid="{E549172E-B8D5-4FC8-8E69-0E170F6652B4}"/>
    <cellStyle name="Notas 34 31" xfId="1508" xr:uid="{E3BAB2A0-4101-4CF2-B848-44D764CB285A}"/>
    <cellStyle name="Notas 34 32" xfId="1509" xr:uid="{BF7370F9-22C4-4978-9D7C-001AB31558E8}"/>
    <cellStyle name="Notas 34 33" xfId="1510" xr:uid="{16ADAD3E-F39A-4FBB-AAFF-B3A2DECAE2D1}"/>
    <cellStyle name="Notas 34 34" xfId="1511" xr:uid="{31749835-A317-48BC-8919-0DC42F1E4958}"/>
    <cellStyle name="Notas 34 4" xfId="1512" xr:uid="{B72A3912-DAC5-4CC1-8B70-9CF94E8CF899}"/>
    <cellStyle name="Notas 34 5" xfId="1513" xr:uid="{6F5EA9D4-908F-4783-BEE4-68D8EC28ED3C}"/>
    <cellStyle name="Notas 34 6" xfId="1514" xr:uid="{6F4464B2-0635-4487-94FF-7909D455E2A2}"/>
    <cellStyle name="Notas 34 7" xfId="1515" xr:uid="{71E4FD9A-C8EB-4B73-8062-012F2541619C}"/>
    <cellStyle name="Notas 34 8" xfId="1516" xr:uid="{47C4773F-5299-420B-A73C-CC80C9D6CB32}"/>
    <cellStyle name="Notas 34 9" xfId="1517" xr:uid="{1E0F5138-BEA4-49F8-8885-02B41E23E37C}"/>
    <cellStyle name="Notas 35 10" xfId="1518" xr:uid="{2324BC08-BCFE-4524-A48D-53A5B7754E53}"/>
    <cellStyle name="Notas 35 11" xfId="1519" xr:uid="{BAE433DD-E4F7-46F3-9ED7-663C0A6EE240}"/>
    <cellStyle name="Notas 35 12" xfId="1520" xr:uid="{E35199E7-70CB-42CE-B0BB-584B901C17EE}"/>
    <cellStyle name="Notas 35 13" xfId="1521" xr:uid="{D904788B-7ED4-46C0-B7E3-D9FABD906DFD}"/>
    <cellStyle name="Notas 35 14" xfId="1522" xr:uid="{7CD8640E-A2DD-4058-A284-0873FB68B5BB}"/>
    <cellStyle name="Notas 35 15" xfId="1523" xr:uid="{540F43D0-C5D5-496C-9C44-ED1274EED2D9}"/>
    <cellStyle name="Notas 35 16" xfId="1524" xr:uid="{C06453E1-93BC-4118-94B5-F7D742CC9807}"/>
    <cellStyle name="Notas 35 17" xfId="1525" xr:uid="{341C5729-231E-4B1E-BF9D-7F0DFE8986BA}"/>
    <cellStyle name="Notas 35 18" xfId="1526" xr:uid="{84A2756E-57F1-47BE-AC01-97184D0E84C2}"/>
    <cellStyle name="Notas 35 19" xfId="1527" xr:uid="{2B4CA04C-8F60-405E-83B0-6546D4442F10}"/>
    <cellStyle name="Notas 35 2" xfId="1528" xr:uid="{D51122EE-FD00-405F-85B7-2C214067B842}"/>
    <cellStyle name="Notas 35 20" xfId="1529" xr:uid="{90C0715E-C283-4375-BB43-6DDFC59F0AD3}"/>
    <cellStyle name="Notas 35 21" xfId="1530" xr:uid="{6D3545B3-97BF-4B78-BE93-7053701E657F}"/>
    <cellStyle name="Notas 35 22" xfId="1531" xr:uid="{303DD3D1-BB9C-4401-AC63-D4336EE37ACB}"/>
    <cellStyle name="Notas 35 23" xfId="1532" xr:uid="{76D660DB-75F7-4E3E-9E37-B3D8CFA88D8A}"/>
    <cellStyle name="Notas 35 24" xfId="1533" xr:uid="{8A0AB029-0FAF-4215-B433-BE1F6FFD2778}"/>
    <cellStyle name="Notas 35 25" xfId="1534" xr:uid="{4504FE7B-8281-4269-893B-8A33F5DC5A2D}"/>
    <cellStyle name="Notas 35 26" xfId="1535" xr:uid="{48A479A8-6014-43A8-A18A-2D9FD64FC7F1}"/>
    <cellStyle name="Notas 35 27" xfId="1536" xr:uid="{EDAE126A-159D-486B-9B7B-F5C1A1C31F8C}"/>
    <cellStyle name="Notas 35 28" xfId="1537" xr:uid="{58F7E8CE-9D74-47DA-AB82-93CD1772C11B}"/>
    <cellStyle name="Notas 35 29" xfId="1538" xr:uid="{5B785170-0750-4037-A705-312514F89453}"/>
    <cellStyle name="Notas 35 3" xfId="1539" xr:uid="{C4B0F901-5DF8-42DB-9B14-F2F00B7CF45A}"/>
    <cellStyle name="Notas 35 30" xfId="1540" xr:uid="{314F9BEC-5391-42CD-815E-B28507517117}"/>
    <cellStyle name="Notas 35 31" xfId="1541" xr:uid="{F1A3CB3E-1C48-48A0-A23F-FFD585AF6A37}"/>
    <cellStyle name="Notas 35 32" xfId="1542" xr:uid="{67355529-26E1-46FF-A746-DE3E9EEEF610}"/>
    <cellStyle name="Notas 35 33" xfId="1543" xr:uid="{32629A57-A819-4C2E-ADA1-0F52627F5CDA}"/>
    <cellStyle name="Notas 35 34" xfId="1544" xr:uid="{B85FC7C8-9D62-4DAD-8675-B756154762F7}"/>
    <cellStyle name="Notas 35 4" xfId="1545" xr:uid="{EAB22DDA-9807-4960-B234-6B3C821998E8}"/>
    <cellStyle name="Notas 35 5" xfId="1546" xr:uid="{7255632C-3611-400B-BF43-101183C6F24D}"/>
    <cellStyle name="Notas 35 6" xfId="1547" xr:uid="{420DDE5F-E3C9-41AF-8779-78DC1D7A3009}"/>
    <cellStyle name="Notas 35 7" xfId="1548" xr:uid="{F8F0C477-A313-4956-A830-F412FCF8ED9B}"/>
    <cellStyle name="Notas 35 8" xfId="1549" xr:uid="{07D8CCFB-5FA3-46AC-8CBE-8EAEF4EE4670}"/>
    <cellStyle name="Notas 35 9" xfId="1550" xr:uid="{8E25276B-0A78-48B2-B1D5-09850C5CBC82}"/>
    <cellStyle name="Notas 36 10" xfId="1551" xr:uid="{89CAE5B1-5634-4DF7-8DF1-F7FCA58D0F5D}"/>
    <cellStyle name="Notas 36 11" xfId="1552" xr:uid="{FD0D573E-9F74-400E-A948-B19929E6512F}"/>
    <cellStyle name="Notas 36 12" xfId="1553" xr:uid="{990CAD2B-92BF-41BE-B0F9-717B7310BD9D}"/>
    <cellStyle name="Notas 36 13" xfId="1554" xr:uid="{8D6392DE-A988-4D87-BADF-55B1936009BF}"/>
    <cellStyle name="Notas 36 14" xfId="1555" xr:uid="{6CB28164-6CD9-4898-BE29-3966C0C5712F}"/>
    <cellStyle name="Notas 36 15" xfId="1556" xr:uid="{1613907B-280C-4106-9158-E0E17AC34D3C}"/>
    <cellStyle name="Notas 36 16" xfId="1557" xr:uid="{7F5A7AFB-26BD-433C-92A7-505DB63B16B5}"/>
    <cellStyle name="Notas 36 17" xfId="1558" xr:uid="{AEC212B2-4444-4BFF-AA91-A07187FFB63B}"/>
    <cellStyle name="Notas 36 18" xfId="1559" xr:uid="{439E6227-BD84-444E-8629-DA85EA9A5364}"/>
    <cellStyle name="Notas 36 19" xfId="1560" xr:uid="{428EB298-FA6C-44EB-B71D-E1DD3EA13F8D}"/>
    <cellStyle name="Notas 36 2" xfId="1561" xr:uid="{3382250E-D840-4C2F-A8CF-7BAC5F97D83A}"/>
    <cellStyle name="Notas 36 20" xfId="1562" xr:uid="{463B34B7-291E-442C-99AA-1F700155D5C6}"/>
    <cellStyle name="Notas 36 21" xfId="1563" xr:uid="{CC30D0D5-8591-4711-B2B8-D5FDEF83B78A}"/>
    <cellStyle name="Notas 36 22" xfId="1564" xr:uid="{9982D11E-BC18-41F8-A7A3-9B65EE16B005}"/>
    <cellStyle name="Notas 36 23" xfId="1565" xr:uid="{DC6D2DCC-C5C0-400B-815F-92C4B5ED2C13}"/>
    <cellStyle name="Notas 36 24" xfId="1566" xr:uid="{A352F312-78CF-436E-8340-B8333ACF5F91}"/>
    <cellStyle name="Notas 36 25" xfId="1567" xr:uid="{B32F88FD-15A4-41BF-95C7-3813E2EC5C8B}"/>
    <cellStyle name="Notas 36 26" xfId="1568" xr:uid="{ED242E44-5403-46B5-8EEF-2C85F2B5784D}"/>
    <cellStyle name="Notas 36 27" xfId="1569" xr:uid="{963F88A4-F3D6-46E8-8D27-180461008401}"/>
    <cellStyle name="Notas 36 28" xfId="1570" xr:uid="{EB626E96-E650-45C5-9951-F6FE6C552AF3}"/>
    <cellStyle name="Notas 36 29" xfId="1571" xr:uid="{7EDBA481-B771-4871-AB53-5E992F3BE433}"/>
    <cellStyle name="Notas 36 3" xfId="1572" xr:uid="{3771DD28-9784-4CB3-A1DA-B94FD0A9CD69}"/>
    <cellStyle name="Notas 36 30" xfId="1573" xr:uid="{BF90A48E-5CD1-40AC-B057-5266B75561EA}"/>
    <cellStyle name="Notas 36 31" xfId="1574" xr:uid="{D2477EF2-9D26-462D-81D5-F29E6A1BC6BF}"/>
    <cellStyle name="Notas 36 32" xfId="1575" xr:uid="{00103EE3-C0E9-47AC-9C3E-F1E2E54631E9}"/>
    <cellStyle name="Notas 36 33" xfId="1576" xr:uid="{D1BA51CE-3750-4C07-B4AB-E41449FB0957}"/>
    <cellStyle name="Notas 36 34" xfId="1577" xr:uid="{43ADA266-C83A-4D7B-8A33-DAE156F08C1E}"/>
    <cellStyle name="Notas 36 4" xfId="1578" xr:uid="{D87C8925-C7B8-4C80-8912-DC20DEE3CF94}"/>
    <cellStyle name="Notas 36 5" xfId="1579" xr:uid="{B371FC71-D887-475E-941D-4E0410787B2F}"/>
    <cellStyle name="Notas 36 6" xfId="1580" xr:uid="{C11F0061-5430-4F30-9318-8EBF005BE91C}"/>
    <cellStyle name="Notas 36 7" xfId="1581" xr:uid="{EB07C73F-FCDD-4B23-98CC-DF6C6E76E72C}"/>
    <cellStyle name="Notas 36 8" xfId="1582" xr:uid="{57BA0908-1BAB-4E03-87B6-8FB901E6F98E}"/>
    <cellStyle name="Notas 36 9" xfId="1583" xr:uid="{2A5C6375-9C3A-4410-BD10-4A8114DA0269}"/>
    <cellStyle name="Notas 37 10" xfId="1584" xr:uid="{A2752EB9-EE59-4BE8-BA40-F6A59B7F968B}"/>
    <cellStyle name="Notas 37 11" xfId="1585" xr:uid="{30959FEC-FD47-4FF6-B883-49E03C99AE7B}"/>
    <cellStyle name="Notas 37 12" xfId="1586" xr:uid="{5DE2F2D7-E823-4CF1-AF50-B3AA81F83499}"/>
    <cellStyle name="Notas 37 13" xfId="1587" xr:uid="{86846CE1-58CE-4D56-BAB1-99960D472D77}"/>
    <cellStyle name="Notas 37 14" xfId="1588" xr:uid="{EF0505CD-1AE7-43AD-A888-CDB2E2227D27}"/>
    <cellStyle name="Notas 37 15" xfId="1589" xr:uid="{7710F3F0-6C94-4D4B-B8F3-F1BED753EF28}"/>
    <cellStyle name="Notas 37 16" xfId="1590" xr:uid="{F0846464-FC4B-4B24-B0CE-316B5E404C6A}"/>
    <cellStyle name="Notas 37 17" xfId="1591" xr:uid="{85078AAE-25B5-4718-956A-4E41ECD44A61}"/>
    <cellStyle name="Notas 37 18" xfId="1592" xr:uid="{C3206CEA-5477-4601-AEFF-055F4BD10937}"/>
    <cellStyle name="Notas 37 19" xfId="1593" xr:uid="{01ADB99F-5A42-4E04-8120-4A043F00CC13}"/>
    <cellStyle name="Notas 37 2" xfId="1594" xr:uid="{6BE11B72-A35F-41B6-84BB-DF02E412C5BD}"/>
    <cellStyle name="Notas 37 20" xfId="1595" xr:uid="{F0D2E0A8-B05A-40DC-9DA4-7A1259FBC8C2}"/>
    <cellStyle name="Notas 37 21" xfId="1596" xr:uid="{EED2C3D2-D021-41AF-8DA0-2CF718311C40}"/>
    <cellStyle name="Notas 37 22" xfId="1597" xr:uid="{EF4EB73E-6305-4909-B4B7-47047797C4E3}"/>
    <cellStyle name="Notas 37 23" xfId="1598" xr:uid="{FEA4B57A-982B-491A-B2D9-9EEC1E0AA242}"/>
    <cellStyle name="Notas 37 24" xfId="1599" xr:uid="{A27D7AB9-7358-45B6-82A2-8D59EF7F7DBE}"/>
    <cellStyle name="Notas 37 25" xfId="1600" xr:uid="{ABBA0924-7615-441A-A71C-2B44CABF3DA4}"/>
    <cellStyle name="Notas 37 26" xfId="1601" xr:uid="{98A8CBAD-F4DD-4EF5-9520-EE1A41A714C3}"/>
    <cellStyle name="Notas 37 27" xfId="1602" xr:uid="{7B569DDA-11BA-40C7-BE85-005AAB0067F1}"/>
    <cellStyle name="Notas 37 28" xfId="1603" xr:uid="{AADC3064-84C1-4825-9546-9EE959D2339B}"/>
    <cellStyle name="Notas 37 29" xfId="1604" xr:uid="{5B53FA97-A5B9-4B1B-B3B6-AD3CA1D763F0}"/>
    <cellStyle name="Notas 37 3" xfId="1605" xr:uid="{2E0AB911-7657-4C5F-B7CC-0E92DE7813F2}"/>
    <cellStyle name="Notas 37 30" xfId="1606" xr:uid="{F42A785F-58A1-47C3-8B57-FD5A5B6E2971}"/>
    <cellStyle name="Notas 37 31" xfId="1607" xr:uid="{DEAA4125-2AA8-4035-9140-3978449B21C3}"/>
    <cellStyle name="Notas 37 32" xfId="1608" xr:uid="{C57BE122-CA82-4656-AA57-01F41009863C}"/>
    <cellStyle name="Notas 37 33" xfId="1609" xr:uid="{148E805A-6956-4A7C-977E-4A4E6B3FB4BA}"/>
    <cellStyle name="Notas 37 34" xfId="1610" xr:uid="{E6C3BC46-3378-4AAB-987C-A88178B862B6}"/>
    <cellStyle name="Notas 37 4" xfId="1611" xr:uid="{9AE2CDB6-B15D-4B9B-8FC5-2A201CB50DB1}"/>
    <cellStyle name="Notas 37 5" xfId="1612" xr:uid="{AEDA8777-7488-420D-8E45-088FD3EB70BB}"/>
    <cellStyle name="Notas 37 6" xfId="1613" xr:uid="{42517E08-A68D-420A-AAF0-7F298E131668}"/>
    <cellStyle name="Notas 37 7" xfId="1614" xr:uid="{7E4A3CEF-3E85-483C-8419-2FF918E13AF7}"/>
    <cellStyle name="Notas 37 8" xfId="1615" xr:uid="{B63B580B-06BB-4655-B245-4131B97F6FB1}"/>
    <cellStyle name="Notas 37 9" xfId="1616" xr:uid="{EBCFD873-62C4-4EC3-B92D-96C8337E9E2F}"/>
    <cellStyle name="Notas 38 10" xfId="1617" xr:uid="{55CC59F2-227C-4D25-A130-F5E76CFF7531}"/>
    <cellStyle name="Notas 38 11" xfId="1618" xr:uid="{CCA657EF-A2B2-4F6A-970C-04091D3569C6}"/>
    <cellStyle name="Notas 38 12" xfId="1619" xr:uid="{9BAB22B5-2749-41E4-B5F4-8A7190513C09}"/>
    <cellStyle name="Notas 38 13" xfId="1620" xr:uid="{F8607923-A113-45E2-8E9F-DB2F0EAA5E26}"/>
    <cellStyle name="Notas 38 14" xfId="1621" xr:uid="{B2C45107-B0DB-460B-AAF5-EA472574AC03}"/>
    <cellStyle name="Notas 38 15" xfId="1622" xr:uid="{FE82A2B3-D151-4DAA-B34F-7D0ADE4EAC00}"/>
    <cellStyle name="Notas 38 2" xfId="1623" xr:uid="{8292E5C6-0C75-4B22-BF4B-8EBAE42C0FCD}"/>
    <cellStyle name="Notas 38 3" xfId="1624" xr:uid="{B34D8679-983C-49BB-B0F1-8C4F68D406BB}"/>
    <cellStyle name="Notas 38 4" xfId="1625" xr:uid="{91FA34B1-82DC-49C2-B328-2266F6824006}"/>
    <cellStyle name="Notas 38 5" xfId="1626" xr:uid="{4F583657-23D6-49F0-8C13-CF494B6396A6}"/>
    <cellStyle name="Notas 38 6" xfId="1627" xr:uid="{69446F66-2DC9-4E6C-96FC-C5CF55142460}"/>
    <cellStyle name="Notas 38 7" xfId="1628" xr:uid="{A79D5815-79FF-4117-96E3-7920FA03D594}"/>
    <cellStyle name="Notas 38 8" xfId="1629" xr:uid="{97F2397E-AF22-42B3-8D29-BD0380EA5F08}"/>
    <cellStyle name="Notas 38 9" xfId="1630" xr:uid="{DFFB1645-1148-45FD-9382-CA2FC5AE6CDB}"/>
    <cellStyle name="Notas 39 10" xfId="1631" xr:uid="{1980545B-C1D5-4DFF-AC6C-CFF382C2F9E1}"/>
    <cellStyle name="Notas 39 11" xfId="1632" xr:uid="{E31218AE-6581-43AF-BC1E-FC851351DCB1}"/>
    <cellStyle name="Notas 39 12" xfId="1633" xr:uid="{E5B08642-7D75-498F-8359-901D62A59AB9}"/>
    <cellStyle name="Notas 39 13" xfId="1634" xr:uid="{3ED7F428-8939-4CFD-8CAB-8B5406450C95}"/>
    <cellStyle name="Notas 39 14" xfId="1635" xr:uid="{5A3A215A-0ED7-4B58-A95A-98976585C010}"/>
    <cellStyle name="Notas 39 15" xfId="1636" xr:uid="{D1B51B16-50F4-4D86-9BE1-4E443C519109}"/>
    <cellStyle name="Notas 39 2" xfId="1637" xr:uid="{5716B557-1CE9-4739-A4FF-0DAEEA82D82F}"/>
    <cellStyle name="Notas 39 3" xfId="1638" xr:uid="{DA8E5CED-DCCA-4890-BF36-CC3848E13F13}"/>
    <cellStyle name="Notas 39 4" xfId="1639" xr:uid="{88FE13D4-F6E1-46AB-B209-6D9DBA8D624B}"/>
    <cellStyle name="Notas 39 5" xfId="1640" xr:uid="{2EC8218C-F38D-4C5E-85A7-C88E45FACDE8}"/>
    <cellStyle name="Notas 39 6" xfId="1641" xr:uid="{B4B87F79-CA67-44B4-9A9B-CCEEBC209210}"/>
    <cellStyle name="Notas 39 7" xfId="1642" xr:uid="{E4D4F0BB-72ED-4C40-A7F6-DDBFAF555E52}"/>
    <cellStyle name="Notas 39 8" xfId="1643" xr:uid="{55AF83E6-A4C7-482F-9712-633505006E23}"/>
    <cellStyle name="Notas 39 9" xfId="1644" xr:uid="{169D3FF6-24C7-42A1-9C58-0A3CDDFFB5E9}"/>
    <cellStyle name="Notas 4" xfId="41899" xr:uid="{2DACF01D-93D8-4465-85FB-ABBF0673BA48}"/>
    <cellStyle name="Notas 4 10" xfId="1645" xr:uid="{BE2E6BF1-65D3-4A53-B2B4-82675E2835D0}"/>
    <cellStyle name="Notas 4 11" xfId="1646" xr:uid="{49183221-5CA2-4797-BABC-3E6B92C99F03}"/>
    <cellStyle name="Notas 4 12" xfId="1647" xr:uid="{1CDFCC95-705C-4CD7-8BFD-D50E836228DF}"/>
    <cellStyle name="Notas 4 13" xfId="1648" xr:uid="{9231B74E-2A12-42C7-ACCC-090CAB48BFFF}"/>
    <cellStyle name="Notas 4 14" xfId="1649" xr:uid="{A583E4A8-339B-49F2-B132-B7CF1ABB81C1}"/>
    <cellStyle name="Notas 4 15" xfId="1650" xr:uid="{B53A8BAA-1170-4F2E-8AB9-2F89835762BB}"/>
    <cellStyle name="Notas 4 16" xfId="1651" xr:uid="{63B7B2F5-A77A-4486-92EF-8AE4FB88CEF6}"/>
    <cellStyle name="Notas 4 17" xfId="1652" xr:uid="{1F8FC5AB-7BA4-482F-92DF-559E80006E88}"/>
    <cellStyle name="Notas 4 18" xfId="1653" xr:uid="{2A09885A-2587-476A-AD80-3F775D75BB84}"/>
    <cellStyle name="Notas 4 19" xfId="1654" xr:uid="{00CE8363-E8AC-48BC-A7FD-05D67E8AB335}"/>
    <cellStyle name="Notas 4 2" xfId="1655" xr:uid="{BD9592CC-453D-478E-93A3-5B53CB627EA5}"/>
    <cellStyle name="Notas 4 2 2" xfId="41900" xr:uid="{3D5542B5-4F55-4445-9C51-3E74B9902A1C}"/>
    <cellStyle name="Notas 4 2 2 2" xfId="46125" xr:uid="{F3A228E0-A950-4811-B2C9-46EB5561F9A9}"/>
    <cellStyle name="Notas 4 2 2 2 2" xfId="46455" xr:uid="{FFF189A1-28C5-4571-861C-02690591CF80}"/>
    <cellStyle name="Notas 4 2 2 2 3" xfId="46931" xr:uid="{FB302626-694D-43BE-9E7E-DF84CFEDE75E}"/>
    <cellStyle name="Notas 4 2 2 2 3 2" xfId="47142" xr:uid="{454F2305-CA32-4A5E-AAC6-8F536379B298}"/>
    <cellStyle name="Notas 4 2 2 2 4" xfId="47143" xr:uid="{255236F1-B92F-423E-ABFB-3E0E999B38BC}"/>
    <cellStyle name="Notas 4 2 2 2 5" xfId="47470" xr:uid="{206A0B40-B7D4-49F0-9569-20A299AB4BF6}"/>
    <cellStyle name="Notas 4 2 2 2 6" xfId="47471" xr:uid="{99CA695F-9025-4C17-9FF8-A153A8A08210}"/>
    <cellStyle name="Notas 4 2 2 2 7" xfId="47770" xr:uid="{A7399C4B-38C4-4F5C-B52B-4D4212F9848B}"/>
    <cellStyle name="Notas 4 2 2 3" xfId="46124" xr:uid="{FD58B688-EF02-43BD-858F-A67D9132311A}"/>
    <cellStyle name="Notas 4 2 2 3 2" xfId="46855" xr:uid="{A534D974-D90E-4236-8B27-AD824B6D347E}"/>
    <cellStyle name="Notas 4 2 2 4" xfId="46454" xr:uid="{A0C9FEAC-5C8F-4599-87D5-11EE25A3CEFA}"/>
    <cellStyle name="Notas 4 2 2 4 2" xfId="46930" xr:uid="{2B9D612C-1AAF-48F0-859E-9E6F39BE7905}"/>
    <cellStyle name="Notas 4 2 2 5" xfId="47144" xr:uid="{366A1C87-F1F3-4CAE-85E0-EFE7B3FBB4DF}"/>
    <cellStyle name="Notas 4 2 2 6" xfId="47472" xr:uid="{05D0CED8-A807-4B45-BB0C-AFCF23D3B2C0}"/>
    <cellStyle name="Notas 4 2 2 7" xfId="47473" xr:uid="{6BB25652-66D1-4798-9AD5-BC9A6697ADA2}"/>
    <cellStyle name="Notas 4 2 2 8" xfId="47771" xr:uid="{ED9C9B04-E4F6-45AA-91C0-BBA144151C85}"/>
    <cellStyle name="Notas 4 2 3" xfId="41901" xr:uid="{B36CCC42-EEBD-449F-B2B8-19D413DAF92A}"/>
    <cellStyle name="Notas 4 2 3 2" xfId="46126" xr:uid="{95347C0A-E1C2-47E5-8F7F-5A07831C5032}"/>
    <cellStyle name="Notas 4 2 3 2 2" xfId="46856" xr:uid="{D979BCE1-5BAE-4CA3-96F2-631AB6C7C797}"/>
    <cellStyle name="Notas 4 2 3 3" xfId="46456" xr:uid="{C5563BCA-1517-462F-AFB9-E7692711DBE7}"/>
    <cellStyle name="Notas 4 2 3 3 2" xfId="46932" xr:uid="{67138A73-25E7-416A-9D84-136197CFD6DB}"/>
    <cellStyle name="Notas 4 2 3 4" xfId="47145" xr:uid="{886DF8DE-C3DF-4EA3-AEFB-804C2FFC54A1}"/>
    <cellStyle name="Notas 4 2 3 5" xfId="47474" xr:uid="{2EA3049C-0949-4752-916D-7793B6EA9E47}"/>
    <cellStyle name="Notas 4 2 3 6" xfId="47475" xr:uid="{15637BDC-97D5-4543-888B-6995F3E04AF6}"/>
    <cellStyle name="Notas 4 2 3 7" xfId="47772" xr:uid="{AE1DEE2B-F366-4B70-AC6A-E6F694C38460}"/>
    <cellStyle name="Notas 4 2 4" xfId="41902" xr:uid="{7C00A78C-78A0-486B-8B38-6D8377F91891}"/>
    <cellStyle name="Notas 4 2 4 2" xfId="46857" xr:uid="{9FFF3CD2-EAFE-4D76-A7E4-54B342B5AA0D}"/>
    <cellStyle name="Notas 4 2 5" xfId="41903" xr:uid="{19E14933-71B8-468F-AF94-DC467E2F85A9}"/>
    <cellStyle name="Notas 4 2 5 2" xfId="46929" xr:uid="{BE965A27-C857-4F20-8537-3C62F29E65C8}"/>
    <cellStyle name="Notas 4 2 5 3" xfId="47146" xr:uid="{97815D6C-EE08-41DA-AE48-AB95F796DE4B}"/>
    <cellStyle name="Notas 4 2 6" xfId="46123" xr:uid="{3CB50CE1-A781-41A3-B640-63C2FAE3685F}"/>
    <cellStyle name="Notas 4 2 6 2" xfId="47147" xr:uid="{24E0542E-44A5-456C-9573-B901C7083CE0}"/>
    <cellStyle name="Notas 4 2 7" xfId="47476" xr:uid="{1B0BA7ED-713C-445E-8052-BE7E733B5919}"/>
    <cellStyle name="Notas 4 2 8" xfId="47477" xr:uid="{B1F8BD0D-6A94-45FE-8562-B71B5CC97AFF}"/>
    <cellStyle name="Notas 4 2 9" xfId="47773" xr:uid="{240155FF-F9D0-4EE2-8F0D-6F7CA04681C0}"/>
    <cellStyle name="Notas 4 20" xfId="1656" xr:uid="{42EE15E0-D345-4A77-940D-E0CD5A7FD2F5}"/>
    <cellStyle name="Notas 4 21" xfId="1657" xr:uid="{1E75A8A0-3F84-4E14-BF14-03AA98F05846}"/>
    <cellStyle name="Notas 4 22" xfId="1658" xr:uid="{B4714CFB-2E18-46A1-9493-6845CE56FFC0}"/>
    <cellStyle name="Notas 4 23" xfId="1659" xr:uid="{A9A9C494-BBBA-43B0-A33E-FC6368B7059A}"/>
    <cellStyle name="Notas 4 24" xfId="1660" xr:uid="{F7BB67BC-016F-4DEB-90D1-3E1F80599CD4}"/>
    <cellStyle name="Notas 4 25" xfId="1661" xr:uid="{BD0DBEB5-9D75-4BEE-8598-76DCBB8A8C65}"/>
    <cellStyle name="Notas 4 26" xfId="1662" xr:uid="{595D01E0-7CC4-4F4D-9EBF-2E18828381A0}"/>
    <cellStyle name="Notas 4 27" xfId="1663" xr:uid="{09D4C271-E095-4E03-8FA2-08507C4B9CB7}"/>
    <cellStyle name="Notas 4 28" xfId="1664" xr:uid="{28272CBA-4904-4B69-9951-F64B7E1C1125}"/>
    <cellStyle name="Notas 4 29" xfId="1665" xr:uid="{30AD78E2-B1FA-409A-B283-38248A00F655}"/>
    <cellStyle name="Notas 4 3" xfId="1666" xr:uid="{AD1FB87D-5F56-4EEA-B7AF-A8C7F7AF2FF8}"/>
    <cellStyle name="Notas 4 3 2" xfId="46128" xr:uid="{EC281200-440D-4393-8A09-3B0BD0161180}"/>
    <cellStyle name="Notas 4 3 2 2" xfId="46457" xr:uid="{A74C4482-013B-4FEE-8C22-95CB5F06604D}"/>
    <cellStyle name="Notas 4 3 2 3" xfId="46934" xr:uid="{6DAF4948-E583-4155-A117-54014C067ECA}"/>
    <cellStyle name="Notas 4 3 2 3 2" xfId="47148" xr:uid="{8378D1F7-E4F2-487A-B267-92693D190590}"/>
    <cellStyle name="Notas 4 3 2 4" xfId="47149" xr:uid="{2622514A-6E78-4993-9FFB-49BC7D7B60D9}"/>
    <cellStyle name="Notas 4 3 2 5" xfId="47478" xr:uid="{E8FBF70B-E03D-4A6E-9E4E-DBD23848C0C4}"/>
    <cellStyle name="Notas 4 3 2 6" xfId="47479" xr:uid="{4840A554-BB9F-49C2-A780-258AD97A3D71}"/>
    <cellStyle name="Notas 4 3 2 7" xfId="47774" xr:uid="{F279BDAE-93C7-4546-B814-82520BFE006E}"/>
    <cellStyle name="Notas 4 3 3" xfId="46127" xr:uid="{70D3F4B5-8B84-451E-9FA2-D114D6A2C383}"/>
    <cellStyle name="Notas 4 3 3 2" xfId="46858" xr:uid="{37714914-60B4-4F37-A055-CE5C5A1B2AF6}"/>
    <cellStyle name="Notas 4 3 4" xfId="46933" xr:uid="{38E681FE-172A-4221-81F4-AA18933E5F27}"/>
    <cellStyle name="Notas 4 3 4 2" xfId="47150" xr:uid="{7F40DFBD-6944-44E9-90B1-DE4D58B09DD3}"/>
    <cellStyle name="Notas 4 3 5" xfId="47151" xr:uid="{CB1B4DB9-5300-4136-BA57-5D7C6A4E758C}"/>
    <cellStyle name="Notas 4 3 6" xfId="47480" xr:uid="{0953305A-197F-4BBC-B268-E47C774F0385}"/>
    <cellStyle name="Notas 4 3 7" xfId="47481" xr:uid="{C5C421D0-7610-42B7-A3B7-37F2FCF17385}"/>
    <cellStyle name="Notas 4 3 8" xfId="47775" xr:uid="{9459EC45-701C-43A3-8B1C-D535EBEF1F02}"/>
    <cellStyle name="Notas 4 30" xfId="1667" xr:uid="{BA82B605-2BD7-4BF7-9BC3-7DB5DFAB9AE5}"/>
    <cellStyle name="Notas 4 31" xfId="1668" xr:uid="{04F08594-0D0D-4926-B240-D355D1CEB97E}"/>
    <cellStyle name="Notas 4 32" xfId="1669" xr:uid="{B6F0C51D-C2A8-4398-80C4-ED1F0FB037DA}"/>
    <cellStyle name="Notas 4 33" xfId="1670" xr:uid="{B05F38E5-E465-4DB0-A6C6-C87C60002BEE}"/>
    <cellStyle name="Notas 4 34" xfId="1671" xr:uid="{BDDC2C02-1B11-45E3-9759-C37EC3E2AC6A}"/>
    <cellStyle name="Notas 4 35" xfId="46122" xr:uid="{75F8DE72-CAA4-4E51-9936-DE65A56BC56B}"/>
    <cellStyle name="Notas 4 4" xfId="1672" xr:uid="{B1BFCD54-6103-4574-A446-1B6FEC9543D3}"/>
    <cellStyle name="Notas 4 4 2" xfId="46129" xr:uid="{A9D537C9-4250-4BB8-9ECC-071420BB792E}"/>
    <cellStyle name="Notas 4 4 2 2" xfId="46859" xr:uid="{FC0FDAC0-8F50-46BD-BFD1-CD6B8377F81D}"/>
    <cellStyle name="Notas 4 4 3" xfId="46935" xr:uid="{222DAC22-68BB-4C23-9FE4-7D9E1973BED2}"/>
    <cellStyle name="Notas 4 4 3 2" xfId="47152" xr:uid="{CD3B8C6A-6621-493B-A298-93779698AB6F}"/>
    <cellStyle name="Notas 4 4 4" xfId="47153" xr:uid="{D8AE8832-3AAE-461F-A803-858C66367F68}"/>
    <cellStyle name="Notas 4 4 5" xfId="47482" xr:uid="{6C8D12B9-47C9-44D4-B672-5345F39217E3}"/>
    <cellStyle name="Notas 4 4 6" xfId="47483" xr:uid="{A42C20E7-8C7A-4662-BA78-A6C502CE30A9}"/>
    <cellStyle name="Notas 4 4 7" xfId="47776" xr:uid="{E74585E0-6604-43D2-85D6-682F1673D535}"/>
    <cellStyle name="Notas 4 5" xfId="1673" xr:uid="{33830CCB-6300-4452-B38C-0E578C9E822E}"/>
    <cellStyle name="Notas 4 6" xfId="1674" xr:uid="{B614A011-E984-4648-8AF5-D6B4315F8444}"/>
    <cellStyle name="Notas 4 6 2" xfId="46928" xr:uid="{6E4C4C5C-0647-40F9-8085-5C9A7D7F3510}"/>
    <cellStyle name="Notas 4 7" xfId="1675" xr:uid="{16BB5C9E-AD38-4892-AF19-D7D94C438101}"/>
    <cellStyle name="Notas 4 8" xfId="1676" xr:uid="{9CB289D7-5A65-4AAC-946D-5D6C7C5CC004}"/>
    <cellStyle name="Notas 4 9" xfId="1677" xr:uid="{933D6ACD-1FA7-49D2-A769-679A204ABB11}"/>
    <cellStyle name="Notas 40 10" xfId="1678" xr:uid="{D02147B5-0392-44B9-9A84-F7ED6DDAFE66}"/>
    <cellStyle name="Notas 40 11" xfId="1679" xr:uid="{44DAD9A8-8F2A-404A-AEFA-2DAA6EC7DB5B}"/>
    <cellStyle name="Notas 40 12" xfId="1680" xr:uid="{774C64ED-8877-4E71-9048-B4A407BDF426}"/>
    <cellStyle name="Notas 40 13" xfId="1681" xr:uid="{5B9D9DEF-114C-46B1-8CC9-1901331E4492}"/>
    <cellStyle name="Notas 40 14" xfId="1682" xr:uid="{DDA4C04F-ADFC-465F-9BF0-4750F68CF6B0}"/>
    <cellStyle name="Notas 40 15" xfId="1683" xr:uid="{5E9858AA-76AC-45D0-9441-D71D2DAF7651}"/>
    <cellStyle name="Notas 40 2" xfId="1684" xr:uid="{1F41DEC4-143F-477C-93A6-B0EBA847895F}"/>
    <cellStyle name="Notas 40 3" xfId="1685" xr:uid="{8CC6EB2B-9126-475E-8849-8CBD34A1283B}"/>
    <cellStyle name="Notas 40 4" xfId="1686" xr:uid="{C55C7B3D-7836-4EEE-81E0-77CDAA03EC4C}"/>
    <cellStyle name="Notas 40 5" xfId="1687" xr:uid="{CF090D2A-C8EB-49B5-9AD9-D18CA013E3EE}"/>
    <cellStyle name="Notas 40 6" xfId="1688" xr:uid="{7C665B21-081E-484A-9C3A-12E1C063AD2B}"/>
    <cellStyle name="Notas 40 7" xfId="1689" xr:uid="{7D93C725-46B5-4850-99C7-F5BDB8C92FA2}"/>
    <cellStyle name="Notas 40 8" xfId="1690" xr:uid="{15C0CC76-4587-4578-86B8-D14727C15C53}"/>
    <cellStyle name="Notas 40 9" xfId="1691" xr:uid="{DF780977-104C-4308-84E8-18C36AA0EE12}"/>
    <cellStyle name="Notas 41 10" xfId="1692" xr:uid="{8A870BEF-C352-4828-B714-54376A20FD6E}"/>
    <cellStyle name="Notas 41 11" xfId="1693" xr:uid="{0E85FEC4-E967-4AF2-83D2-9D1E4725A9B9}"/>
    <cellStyle name="Notas 41 12" xfId="1694" xr:uid="{7C61C618-20D8-4667-A6D5-E9BFA23AB3D8}"/>
    <cellStyle name="Notas 41 13" xfId="1695" xr:uid="{1828A4B5-BA16-495F-8044-74A1E8370B3A}"/>
    <cellStyle name="Notas 41 14" xfId="1696" xr:uid="{329B0157-0C95-419A-B0F6-2103BF7A719D}"/>
    <cellStyle name="Notas 41 15" xfId="1697" xr:uid="{473DC9F3-38EF-43F0-84EC-A8090F2AE1D3}"/>
    <cellStyle name="Notas 41 2" xfId="1698" xr:uid="{2CD72959-D703-4820-991D-4DB9AE622529}"/>
    <cellStyle name="Notas 41 3" xfId="1699" xr:uid="{AAFFA4BC-9990-48EC-9379-61B8CF7B7454}"/>
    <cellStyle name="Notas 41 4" xfId="1700" xr:uid="{40E4D15B-66E4-451B-A248-AB4E7EB526B5}"/>
    <cellStyle name="Notas 41 5" xfId="1701" xr:uid="{365B8D26-AB0B-4831-BE94-798E8FCB6B94}"/>
    <cellStyle name="Notas 41 6" xfId="1702" xr:uid="{197581FE-102F-4870-9A22-886B8535B169}"/>
    <cellStyle name="Notas 41 7" xfId="1703" xr:uid="{86898C25-8556-45E5-A407-9DF79FA62823}"/>
    <cellStyle name="Notas 41 8" xfId="1704" xr:uid="{72804838-ED31-4746-97E5-DE7F3F5EEC69}"/>
    <cellStyle name="Notas 41 9" xfId="1705" xr:uid="{B6502231-DE91-4308-9589-75618799F7D4}"/>
    <cellStyle name="Notas 42 10" xfId="1706" xr:uid="{CCE93F64-141C-4A19-91B4-919F017D6CBE}"/>
    <cellStyle name="Notas 42 11" xfId="1707" xr:uid="{1353B551-DB47-4602-8564-BCE764754254}"/>
    <cellStyle name="Notas 42 12" xfId="1708" xr:uid="{72582615-B8CB-4811-AC7A-A291F04C1D46}"/>
    <cellStyle name="Notas 42 13" xfId="1709" xr:uid="{359D3741-DC02-401C-8E4B-FD3287BCA603}"/>
    <cellStyle name="Notas 42 14" xfId="1710" xr:uid="{45B35AC2-D9ED-4AEC-BEE3-BF15A2936E0A}"/>
    <cellStyle name="Notas 42 15" xfId="1711" xr:uid="{AA0C4493-3659-4E1F-84BE-9C5292127AF3}"/>
    <cellStyle name="Notas 42 2" xfId="1712" xr:uid="{0F63645C-F1F2-4295-8D63-7B13F6600898}"/>
    <cellStyle name="Notas 42 3" xfId="1713" xr:uid="{D9D0948C-8A09-4374-8263-604A907F4445}"/>
    <cellStyle name="Notas 42 4" xfId="1714" xr:uid="{BCA22931-F98E-4178-AD26-C9C2199D49E2}"/>
    <cellStyle name="Notas 42 5" xfId="1715" xr:uid="{8041AD6C-4C75-4270-A665-61C679FC81FF}"/>
    <cellStyle name="Notas 42 6" xfId="1716" xr:uid="{D509514D-70FD-4011-942E-5ACC74601797}"/>
    <cellStyle name="Notas 42 7" xfId="1717" xr:uid="{45E23EEA-60AC-46B4-8E20-B9C53442ED0E}"/>
    <cellStyle name="Notas 42 8" xfId="1718" xr:uid="{7C1746B3-855B-4B90-8AB6-FB22E6D9AF8B}"/>
    <cellStyle name="Notas 42 9" xfId="1719" xr:uid="{A8A3FBA4-1FD1-40AA-904A-252E64ADBECB}"/>
    <cellStyle name="Notas 43 10" xfId="1720" xr:uid="{DB29DD8D-1F6B-4EB4-A9BF-E416010F3066}"/>
    <cellStyle name="Notas 43 11" xfId="1721" xr:uid="{4509F77A-2901-4C9C-B8A4-7429DC67508D}"/>
    <cellStyle name="Notas 43 12" xfId="1722" xr:uid="{C5A0FAB9-E3E2-48AA-940D-9DD4CA5F1506}"/>
    <cellStyle name="Notas 43 13" xfId="1723" xr:uid="{6CB42CA3-6284-4D82-AADA-9AA7E81FB97B}"/>
    <cellStyle name="Notas 43 14" xfId="1724" xr:uid="{65AA8BA7-8A8F-4E87-B290-D58889270E4D}"/>
    <cellStyle name="Notas 43 15" xfId="1725" xr:uid="{9143C747-5B98-43BF-A0CC-7A5F5634C343}"/>
    <cellStyle name="Notas 43 2" xfId="1726" xr:uid="{EE7EEC5A-5777-4276-9841-28CF83DAAE6F}"/>
    <cellStyle name="Notas 43 3" xfId="1727" xr:uid="{26CE162F-D80C-4393-926C-C697B20EA2EF}"/>
    <cellStyle name="Notas 43 4" xfId="1728" xr:uid="{C0102741-29A0-4618-9AB3-51D35ABDE793}"/>
    <cellStyle name="Notas 43 5" xfId="1729" xr:uid="{4837ACA9-1316-46EB-B973-E09563E906C0}"/>
    <cellStyle name="Notas 43 6" xfId="1730" xr:uid="{3E296A60-5B34-4A13-9CA9-A05F47F720F6}"/>
    <cellStyle name="Notas 43 7" xfId="1731" xr:uid="{420777C6-047E-4073-B756-8C86C7351746}"/>
    <cellStyle name="Notas 43 8" xfId="1732" xr:uid="{57E32E8B-A5FF-4999-A7A3-00A9CB48FED8}"/>
    <cellStyle name="Notas 43 9" xfId="1733" xr:uid="{20948283-C92D-47AF-BD45-0EB8507F9840}"/>
    <cellStyle name="Notas 44 10" xfId="1734" xr:uid="{63475D31-DCB5-4B1A-BEA9-4F7B70EEF7E2}"/>
    <cellStyle name="Notas 44 11" xfId="1735" xr:uid="{DDE02ECA-474E-4D14-879C-3A352362689E}"/>
    <cellStyle name="Notas 44 12" xfId="1736" xr:uid="{EFDFB376-DB89-4C91-999C-28E25B6701CD}"/>
    <cellStyle name="Notas 44 13" xfId="1737" xr:uid="{5AB22D1A-8405-428D-93C4-66E12E05A091}"/>
    <cellStyle name="Notas 44 14" xfId="1738" xr:uid="{F959FE20-07C8-4748-A332-FAF183DE88F3}"/>
    <cellStyle name="Notas 44 15" xfId="1739" xr:uid="{EA58C85B-19DE-47BE-A3F6-2E8AC777DD60}"/>
    <cellStyle name="Notas 44 2" xfId="1740" xr:uid="{BF2C964D-E35B-4865-8AF3-E41A807B1577}"/>
    <cellStyle name="Notas 44 3" xfId="1741" xr:uid="{2F9E632A-94B7-4F18-B6B6-8ADADFACAAF9}"/>
    <cellStyle name="Notas 44 4" xfId="1742" xr:uid="{C3847BEC-117D-4939-88B9-7AF752B95E64}"/>
    <cellStyle name="Notas 44 5" xfId="1743" xr:uid="{26113EB5-26D6-4F2C-B1F6-AAD01B280ED3}"/>
    <cellStyle name="Notas 44 6" xfId="1744" xr:uid="{4A7622BC-5B8B-436E-A519-C99BB305CCA1}"/>
    <cellStyle name="Notas 44 7" xfId="1745" xr:uid="{1DCF9FE8-4A87-4761-8269-F0868C2AAD06}"/>
    <cellStyle name="Notas 44 8" xfId="1746" xr:uid="{065BADA4-71F0-49C1-A8D9-78FD186C11C2}"/>
    <cellStyle name="Notas 44 9" xfId="1747" xr:uid="{EC0AADDD-DE9F-4FC4-A3F8-646607EA0B7D}"/>
    <cellStyle name="Notas 45 10" xfId="1748" xr:uid="{79E8F8A2-CA9D-49AB-A53B-AE87E50CC111}"/>
    <cellStyle name="Notas 45 11" xfId="1749" xr:uid="{FB8F74FB-44E0-4BA9-B516-D1E9B2FADCD7}"/>
    <cellStyle name="Notas 45 12" xfId="1750" xr:uid="{2705BDBF-40FF-423C-94CE-AAFA0D119296}"/>
    <cellStyle name="Notas 45 13" xfId="1751" xr:uid="{D841AF7E-F82E-4DCD-813E-ED7AF4D8DD8D}"/>
    <cellStyle name="Notas 45 14" xfId="1752" xr:uid="{C3034E45-ED51-433D-8100-D78F4D376E26}"/>
    <cellStyle name="Notas 45 15" xfId="1753" xr:uid="{4EE18343-B8E7-43F9-96DA-7A549B3C0078}"/>
    <cellStyle name="Notas 45 2" xfId="1754" xr:uid="{2B3BB6A8-34F7-4664-9CF7-7589E8B1D0B5}"/>
    <cellStyle name="Notas 45 3" xfId="1755" xr:uid="{BABD9275-C2F3-4C2C-A439-B385498B8F76}"/>
    <cellStyle name="Notas 45 4" xfId="1756" xr:uid="{8571F824-0FBB-4F7B-AADE-4283EBDA1F7D}"/>
    <cellStyle name="Notas 45 5" xfId="1757" xr:uid="{3CF108AB-DFC1-4310-B868-8BDBE64B533C}"/>
    <cellStyle name="Notas 45 6" xfId="1758" xr:uid="{36F26C05-08BF-4A28-8CF2-BCE1615E888E}"/>
    <cellStyle name="Notas 45 7" xfId="1759" xr:uid="{F1F672CD-B6C0-4A08-BA7E-383E1A9C2857}"/>
    <cellStyle name="Notas 45 8" xfId="1760" xr:uid="{37BBB587-F499-46DE-BB9F-2D70D5A8E4B4}"/>
    <cellStyle name="Notas 45 9" xfId="1761" xr:uid="{9F9A4327-7F3B-48B4-8C13-94A5004B9C57}"/>
    <cellStyle name="Notas 46 10" xfId="1762" xr:uid="{2936716B-B8FC-48FD-802E-F80CB99D25C8}"/>
    <cellStyle name="Notas 46 11" xfId="1763" xr:uid="{BF16285A-2180-4321-A300-717170847D8D}"/>
    <cellStyle name="Notas 46 12" xfId="1764" xr:uid="{A56DFD1A-5E84-4E39-8D5C-E3AA853AEEBF}"/>
    <cellStyle name="Notas 46 13" xfId="1765" xr:uid="{F0AC2D4E-7152-47E4-A912-45700C885CF4}"/>
    <cellStyle name="Notas 46 14" xfId="1766" xr:uid="{542A23F3-9D9B-46E1-ABAA-03328DEF2DB5}"/>
    <cellStyle name="Notas 46 15" xfId="1767" xr:uid="{22093E8C-F2C1-413C-B0F6-030B061518B6}"/>
    <cellStyle name="Notas 46 2" xfId="1768" xr:uid="{2F15E5F3-A738-4985-8585-931704B5E689}"/>
    <cellStyle name="Notas 46 3" xfId="1769" xr:uid="{CD7B4DE5-8D14-49A2-9B68-9E60841D411D}"/>
    <cellStyle name="Notas 46 4" xfId="1770" xr:uid="{4C38957A-CBCF-4E74-9AE1-AB7E0EB96F01}"/>
    <cellStyle name="Notas 46 5" xfId="1771" xr:uid="{4A7C34CA-9A84-4DD4-B724-A56D7669C933}"/>
    <cellStyle name="Notas 46 6" xfId="1772" xr:uid="{4F65884F-09D8-44FE-9983-7225F967615D}"/>
    <cellStyle name="Notas 46 7" xfId="1773" xr:uid="{AF8538A2-8E96-4678-896E-CB51A74E1DB1}"/>
    <cellStyle name="Notas 46 8" xfId="1774" xr:uid="{71CE4DB3-EA21-44BC-9961-FF5A920B9722}"/>
    <cellStyle name="Notas 46 9" xfId="1775" xr:uid="{C5E9357C-6972-4607-B0DB-8E76B67D9FD7}"/>
    <cellStyle name="Notas 47 10" xfId="1776" xr:uid="{0519EF19-C43B-487D-9798-9CB66D568A8F}"/>
    <cellStyle name="Notas 47 11" xfId="1777" xr:uid="{71FAFD7D-E357-4063-97E0-AF7CF1389D03}"/>
    <cellStyle name="Notas 47 12" xfId="1778" xr:uid="{BC5AEC23-E53B-46B5-BB90-F9742A1EBC5E}"/>
    <cellStyle name="Notas 47 13" xfId="1779" xr:uid="{7EB11861-15D7-4C2C-BCA4-CE55F7BEE5EF}"/>
    <cellStyle name="Notas 47 14" xfId="1780" xr:uid="{576DF439-A2B4-4C96-B92E-811FB6FFB19B}"/>
    <cellStyle name="Notas 47 15" xfId="1781" xr:uid="{3D69B1D7-8C21-4732-94A0-4064CC7F37A3}"/>
    <cellStyle name="Notas 47 2" xfId="1782" xr:uid="{4138652D-96A4-40FB-B0D8-0C7EAB7058FE}"/>
    <cellStyle name="Notas 47 3" xfId="1783" xr:uid="{A665E1F1-582E-4390-882A-FEF0E43ACAE2}"/>
    <cellStyle name="Notas 47 4" xfId="1784" xr:uid="{B2A451CC-8F84-4654-801A-56738A8F9F37}"/>
    <cellStyle name="Notas 47 5" xfId="1785" xr:uid="{177205AB-59DD-40B6-A2F9-E654D250476D}"/>
    <cellStyle name="Notas 47 6" xfId="1786" xr:uid="{65B87991-EB3B-409E-B663-F0ABC11A1EFD}"/>
    <cellStyle name="Notas 47 7" xfId="1787" xr:uid="{DB0B924A-C17E-4E8B-BBDF-B09ED5338DC1}"/>
    <cellStyle name="Notas 47 8" xfId="1788" xr:uid="{EEF7A986-744A-4A50-B85A-A3A4CA8D51B9}"/>
    <cellStyle name="Notas 47 9" xfId="1789" xr:uid="{06BB1DE8-DD31-4130-BB4D-E80B97C9408D}"/>
    <cellStyle name="Notas 48 10" xfId="1790" xr:uid="{4E93E0AA-49AE-474D-9B15-2F33D8281B63}"/>
    <cellStyle name="Notas 48 11" xfId="1791" xr:uid="{10A72240-A8B4-4B26-A9FD-F41E6537E3C4}"/>
    <cellStyle name="Notas 48 12" xfId="1792" xr:uid="{7934E724-F832-4332-AD2A-7CD2A275A4CB}"/>
    <cellStyle name="Notas 48 13" xfId="1793" xr:uid="{201F9EF8-D4A5-4275-A199-408A5534E710}"/>
    <cellStyle name="Notas 48 14" xfId="1794" xr:uid="{E5B15A2B-B9E5-4651-BA66-066FA2801527}"/>
    <cellStyle name="Notas 48 15" xfId="1795" xr:uid="{28CC03F6-1219-40F0-AC0C-FF2D2903DC1F}"/>
    <cellStyle name="Notas 48 2" xfId="1796" xr:uid="{0A91AA6D-5200-4F7C-B018-0650307F0E79}"/>
    <cellStyle name="Notas 48 3" xfId="1797" xr:uid="{89C92E59-72BD-442A-8CF5-7F875D0EB59C}"/>
    <cellStyle name="Notas 48 4" xfId="1798" xr:uid="{158F0B29-DDF1-49BB-B344-E325821BD931}"/>
    <cellStyle name="Notas 48 5" xfId="1799" xr:uid="{504B0845-1296-4E1A-9DAD-3D5C3C49E049}"/>
    <cellStyle name="Notas 48 6" xfId="1800" xr:uid="{269CAAEC-A621-4063-8D70-280399EC3F6E}"/>
    <cellStyle name="Notas 48 7" xfId="1801" xr:uid="{93B4280E-B83A-4ADE-B2F8-2DCD86134D1D}"/>
    <cellStyle name="Notas 48 8" xfId="1802" xr:uid="{4CEA0390-6448-4BDA-B9E6-EDF7A385D7DA}"/>
    <cellStyle name="Notas 48 9" xfId="1803" xr:uid="{26F0C82F-3F9B-441D-9055-7797781ECCA2}"/>
    <cellStyle name="Notas 49 10" xfId="1804" xr:uid="{F747AFFC-826E-48C1-B906-C9DDAB3FC0D1}"/>
    <cellStyle name="Notas 49 11" xfId="1805" xr:uid="{F78C7C74-FA73-4EE0-AD02-518026D37F15}"/>
    <cellStyle name="Notas 49 12" xfId="1806" xr:uid="{B93CBA84-4CCE-44B9-A5AC-81A7934E46B2}"/>
    <cellStyle name="Notas 49 13" xfId="1807" xr:uid="{D89AE31C-1D43-455C-84D2-DDE79D10230B}"/>
    <cellStyle name="Notas 49 14" xfId="1808" xr:uid="{FA5ECC56-D873-490F-AC5B-7F53123B6074}"/>
    <cellStyle name="Notas 49 15" xfId="1809" xr:uid="{F7968671-484E-4234-907A-030784C67797}"/>
    <cellStyle name="Notas 49 2" xfId="1810" xr:uid="{1794ECA9-953B-4B64-86D6-F15401B693AD}"/>
    <cellStyle name="Notas 49 3" xfId="1811" xr:uid="{03E2A93D-FA2B-421B-A38D-0BEA0E9135F1}"/>
    <cellStyle name="Notas 49 4" xfId="1812" xr:uid="{91AEBF8E-E6D4-4484-A675-728236738AC8}"/>
    <cellStyle name="Notas 49 5" xfId="1813" xr:uid="{8C098554-4905-4BE1-9231-77CD93A923D4}"/>
    <cellStyle name="Notas 49 6" xfId="1814" xr:uid="{3FA32F69-F4DE-4809-8639-2AEEF9FFE4B8}"/>
    <cellStyle name="Notas 49 7" xfId="1815" xr:uid="{AD36F8DA-BFF6-4D9F-885D-6A10BAAC075D}"/>
    <cellStyle name="Notas 49 8" xfId="1816" xr:uid="{8032A061-CF33-4AED-B4CC-6A6D975C5A1D}"/>
    <cellStyle name="Notas 49 9" xfId="1817" xr:uid="{749A60E5-F62A-4045-A58A-38E0B729B698}"/>
    <cellStyle name="Notas 5" xfId="46130" xr:uid="{4B50E764-E814-4DBE-B441-E8A50B9F2044}"/>
    <cellStyle name="Notas 5 10" xfId="1818" xr:uid="{609D73B8-C5CA-4320-B8C6-7DAF68037E07}"/>
    <cellStyle name="Notas 5 11" xfId="1819" xr:uid="{2AEB338E-2DCA-4658-AB0C-D3CC95DF1BD4}"/>
    <cellStyle name="Notas 5 12" xfId="1820" xr:uid="{4B56C1D8-808E-44DA-A34E-CEA2BEBC91DD}"/>
    <cellStyle name="Notas 5 13" xfId="1821" xr:uid="{D3BF2580-04A9-41B6-BAC6-3B6661B67DE1}"/>
    <cellStyle name="Notas 5 14" xfId="1822" xr:uid="{8B165238-DCAB-49FE-AE0F-6B1DE04D020F}"/>
    <cellStyle name="Notas 5 15" xfId="1823" xr:uid="{67B996AF-D749-4909-BC47-211187FF590A}"/>
    <cellStyle name="Notas 5 16" xfId="1824" xr:uid="{97546B42-1A82-4D11-BFD6-DFAF70D001FD}"/>
    <cellStyle name="Notas 5 17" xfId="1825" xr:uid="{97D618BA-8133-4131-B46D-11BEDD63F61C}"/>
    <cellStyle name="Notas 5 18" xfId="1826" xr:uid="{760DBADE-EC41-4D08-A4AC-A06A92662EC4}"/>
    <cellStyle name="Notas 5 19" xfId="1827" xr:uid="{7317BF24-707C-4D1B-BC22-38FE58C552CE}"/>
    <cellStyle name="Notas 5 2" xfId="1828" xr:uid="{D7C7A2CD-8A22-4B58-815F-F4017E92B6F8}"/>
    <cellStyle name="Notas 5 2 2" xfId="46132" xr:uid="{E5DA8340-F53A-447E-A6BC-712EC1F27249}"/>
    <cellStyle name="Notas 5 2 2 2" xfId="46458" xr:uid="{8E13A5E8-C339-4F37-8F16-21046769D1A6}"/>
    <cellStyle name="Notas 5 2 2 3" xfId="46938" xr:uid="{93418B10-34AA-42C7-93CC-449D7CD1E833}"/>
    <cellStyle name="Notas 5 2 2 3 2" xfId="47154" xr:uid="{A61B69FA-4357-4735-9BBE-69ADF3B1E373}"/>
    <cellStyle name="Notas 5 2 2 4" xfId="47155" xr:uid="{B1C02E9D-765D-4D43-B1DD-296D94A38A36}"/>
    <cellStyle name="Notas 5 2 2 5" xfId="47484" xr:uid="{A1D7E657-0FD5-47D0-835B-7B96361A9A0F}"/>
    <cellStyle name="Notas 5 2 2 6" xfId="47485" xr:uid="{284A56A7-AA98-4D5C-8908-641AF14C40CA}"/>
    <cellStyle name="Notas 5 2 2 7" xfId="47777" xr:uid="{E82A46D4-9883-48E4-B8E1-CF5FE937EDD6}"/>
    <cellStyle name="Notas 5 2 3" xfId="46131" xr:uid="{0562B434-8BFB-4D91-B816-F1F5F578D2E4}"/>
    <cellStyle name="Notas 5 2 3 2" xfId="46860" xr:uid="{D132C159-38FA-4B3E-9BD4-854C432427B4}"/>
    <cellStyle name="Notas 5 2 4" xfId="46937" xr:uid="{B13FEB6D-9FF0-4430-BAC8-DDD14C65EA29}"/>
    <cellStyle name="Notas 5 2 4 2" xfId="47156" xr:uid="{75EFA7AA-CCE6-4296-BF31-360CE6726958}"/>
    <cellStyle name="Notas 5 2 5" xfId="47157" xr:uid="{13A899D4-D0C4-4597-85B7-502F8967143A}"/>
    <cellStyle name="Notas 5 2 6" xfId="47486" xr:uid="{2B1A6954-DE41-449D-8DE2-925F323E61B1}"/>
    <cellStyle name="Notas 5 2 7" xfId="47487" xr:uid="{BBD6CCF9-A421-4B51-A30C-338514DE951E}"/>
    <cellStyle name="Notas 5 2 8" xfId="47778" xr:uid="{4716BE85-9435-4EA0-8DFD-4249F6349E84}"/>
    <cellStyle name="Notas 5 20" xfId="1829" xr:uid="{04BDA1A2-88BB-4A30-AE35-5A84721A167F}"/>
    <cellStyle name="Notas 5 21" xfId="1830" xr:uid="{C7AA31F1-0F85-4743-AD2A-64EEE07E4FB7}"/>
    <cellStyle name="Notas 5 22" xfId="1831" xr:uid="{E757375F-88F5-4B34-9ADD-E1B4E69F19B4}"/>
    <cellStyle name="Notas 5 23" xfId="1832" xr:uid="{C7F80BC0-C23D-47AA-BA28-48D8C6497381}"/>
    <cellStyle name="Notas 5 24" xfId="1833" xr:uid="{3F30469A-13B4-4F26-80C1-2B4B0C7E3A2C}"/>
    <cellStyle name="Notas 5 25" xfId="1834" xr:uid="{D7CD114F-465C-4520-A2A9-6750164DEF5F}"/>
    <cellStyle name="Notas 5 26" xfId="1835" xr:uid="{65639975-AB86-467E-9EED-D14D12A4BF9F}"/>
    <cellStyle name="Notas 5 27" xfId="1836" xr:uid="{75BF6B3A-A8E1-442B-8452-8AF93DA2C543}"/>
    <cellStyle name="Notas 5 28" xfId="1837" xr:uid="{A976619C-F9B2-42BD-8002-BE189C39FEAB}"/>
    <cellStyle name="Notas 5 29" xfId="1838" xr:uid="{33981D9B-3254-47A4-B417-2949E62896AF}"/>
    <cellStyle name="Notas 5 3" xfId="1839" xr:uid="{988D921D-C769-4ABB-8D03-D0ACBB34446D}"/>
    <cellStyle name="Notas 5 3 2" xfId="46133" xr:uid="{D25ABBAD-C89B-4AC8-8D20-0286F3DFDDA7}"/>
    <cellStyle name="Notas 5 3 2 2" xfId="46861" xr:uid="{D4EB3F1D-A7B4-4826-9CFF-48C86F26918B}"/>
    <cellStyle name="Notas 5 3 3" xfId="46939" xr:uid="{31F8F96D-8BEB-479A-A55B-962CEEB166B9}"/>
    <cellStyle name="Notas 5 3 3 2" xfId="47158" xr:uid="{54FD2F62-59B4-4580-906C-4D4277656A10}"/>
    <cellStyle name="Notas 5 3 4" xfId="47159" xr:uid="{FE0837F9-2DD0-4FF0-9572-D9FB153CF651}"/>
    <cellStyle name="Notas 5 3 5" xfId="47488" xr:uid="{CC5AADA7-F55E-4A84-AF3F-8A08B92E0660}"/>
    <cellStyle name="Notas 5 3 6" xfId="47489" xr:uid="{82D7FF69-C6E3-4098-AAD4-6CA8A4D5ED07}"/>
    <cellStyle name="Notas 5 3 7" xfId="47779" xr:uid="{4E6FADC7-8FAE-407E-B58C-CAD9F6950F0A}"/>
    <cellStyle name="Notas 5 30" xfId="1840" xr:uid="{1C433CAB-A82A-4842-BC9D-82EC59AB0D00}"/>
    <cellStyle name="Notas 5 31" xfId="1841" xr:uid="{0B73C1B5-6510-409D-AF00-97A9D45EE979}"/>
    <cellStyle name="Notas 5 32" xfId="1842" xr:uid="{E7E66BF7-96A9-4113-9D6D-2505F0F10809}"/>
    <cellStyle name="Notas 5 33" xfId="1843" xr:uid="{6F601C1F-3883-433F-8AC0-24500D900771}"/>
    <cellStyle name="Notas 5 34" xfId="1844" xr:uid="{218203FD-6AB6-4105-AFC6-242326EC1358}"/>
    <cellStyle name="Notas 5 4" xfId="1845" xr:uid="{4626840D-5489-4F08-BF3A-076714C2B59B}"/>
    <cellStyle name="Notas 5 5" xfId="1846" xr:uid="{FA87FC9E-D47D-4187-B048-295AFA0D4F90}"/>
    <cellStyle name="Notas 5 5 2" xfId="46936" xr:uid="{07BE7D38-10D3-439C-A168-F05837431539}"/>
    <cellStyle name="Notas 5 6" xfId="1847" xr:uid="{C9CB1165-776B-459A-B590-22F899B873E7}"/>
    <cellStyle name="Notas 5 7" xfId="1848" xr:uid="{DB8498F9-C4A4-42FA-A4DF-FC7A4DFF5CF7}"/>
    <cellStyle name="Notas 5 8" xfId="1849" xr:uid="{0F4E590F-0F3E-43DE-B171-B5D625F366D1}"/>
    <cellStyle name="Notas 5 9" xfId="1850" xr:uid="{13D6C905-532C-40CB-8494-EB45E6C78222}"/>
    <cellStyle name="Notas 50 10" xfId="1851" xr:uid="{86FBE174-2313-4C07-A101-05D91741E5C7}"/>
    <cellStyle name="Notas 50 11" xfId="1852" xr:uid="{F9C9E060-4D28-4B44-9144-514E3115D5E9}"/>
    <cellStyle name="Notas 50 12" xfId="1853" xr:uid="{7933B60A-5E13-45B6-A594-E1EDF851CC52}"/>
    <cellStyle name="Notas 50 13" xfId="1854" xr:uid="{7C0637DE-BFB4-41BA-BC08-C6FA2BF2917D}"/>
    <cellStyle name="Notas 50 14" xfId="1855" xr:uid="{F8488215-5EF3-47AE-A3AD-F5E48CF005AA}"/>
    <cellStyle name="Notas 50 15" xfId="1856" xr:uid="{F499266E-ABA3-4202-9759-D22C48FA5C18}"/>
    <cellStyle name="Notas 50 2" xfId="1857" xr:uid="{0FEAE7ED-81B3-48B6-882B-DE20666F5345}"/>
    <cellStyle name="Notas 50 3" xfId="1858" xr:uid="{D16A6679-D03D-4BCB-8053-C156E5718606}"/>
    <cellStyle name="Notas 50 4" xfId="1859" xr:uid="{41905C5A-A6C5-41D4-824F-24D1C9BAFD70}"/>
    <cellStyle name="Notas 50 5" xfId="1860" xr:uid="{200604ED-A5AF-4E19-B567-83697BB92AE2}"/>
    <cellStyle name="Notas 50 6" xfId="1861" xr:uid="{A10AE678-0970-4F98-B4EB-755107207D7E}"/>
    <cellStyle name="Notas 50 7" xfId="1862" xr:uid="{F55B373B-481B-4116-A3B5-BA02C9DCFD42}"/>
    <cellStyle name="Notas 50 8" xfId="1863" xr:uid="{BBE2DE4A-9E25-4FEF-B5EB-E5F7439CB9FD}"/>
    <cellStyle name="Notas 50 9" xfId="1864" xr:uid="{B4F5FDC4-0336-4A0C-8D83-40F547C149CE}"/>
    <cellStyle name="Notas 51 10" xfId="1865" xr:uid="{FCDEFC36-D7A5-41DB-BA9B-6E538D6FB57A}"/>
    <cellStyle name="Notas 51 11" xfId="1866" xr:uid="{0AB0D67A-8F94-4C32-BA46-186D8EA29C97}"/>
    <cellStyle name="Notas 51 12" xfId="1867" xr:uid="{DC87AE5D-0B11-41C4-8679-6A0A579319CB}"/>
    <cellStyle name="Notas 51 13" xfId="1868" xr:uid="{1A99F523-BD19-486D-A9DD-B28BC5D7BD9D}"/>
    <cellStyle name="Notas 51 14" xfId="1869" xr:uid="{118843C7-F4A5-4B92-9275-495A2D738C16}"/>
    <cellStyle name="Notas 51 15" xfId="1870" xr:uid="{ACA235D2-F7CD-45CF-8497-1A5F21EE3D40}"/>
    <cellStyle name="Notas 51 2" xfId="1871" xr:uid="{5C889269-1168-4EC1-94B0-A4A59524B8AC}"/>
    <cellStyle name="Notas 51 3" xfId="1872" xr:uid="{AF137916-56BC-44B8-BB62-3BF49CADC71A}"/>
    <cellStyle name="Notas 51 4" xfId="1873" xr:uid="{E225AE9E-8BD6-49BF-A752-479EC0547C37}"/>
    <cellStyle name="Notas 51 5" xfId="1874" xr:uid="{493CE1A9-8ABF-44BA-8CB3-25A3C261B59F}"/>
    <cellStyle name="Notas 51 6" xfId="1875" xr:uid="{06CB3E75-9930-4EE4-8F73-7E39EF2B73C6}"/>
    <cellStyle name="Notas 51 7" xfId="1876" xr:uid="{8B265830-C646-4191-83D5-77AB410AA09E}"/>
    <cellStyle name="Notas 51 8" xfId="1877" xr:uid="{F366FA3C-A57C-4B53-9B12-C17C5B2DDC6A}"/>
    <cellStyle name="Notas 51 9" xfId="1878" xr:uid="{C7700ECF-06A8-4371-96D9-E4B48AE1FAB0}"/>
    <cellStyle name="Notas 52 10" xfId="1879" xr:uid="{E13D1CD2-9030-4273-8BFE-893759770C66}"/>
    <cellStyle name="Notas 52 11" xfId="1880" xr:uid="{38060651-56A3-466C-A8F3-5930868A5502}"/>
    <cellStyle name="Notas 52 12" xfId="1881" xr:uid="{4B960FB1-5EDD-425D-AEC6-8D71FDD3D1BE}"/>
    <cellStyle name="Notas 52 13" xfId="1882" xr:uid="{69EC77F4-B86C-4D14-800C-1527016CE448}"/>
    <cellStyle name="Notas 52 14" xfId="1883" xr:uid="{8A3F1DCF-B0AE-44E9-BCE1-E2C5B4E3EE9A}"/>
    <cellStyle name="Notas 52 15" xfId="1884" xr:uid="{2F3D9578-C807-4315-B392-FA97D1BBD056}"/>
    <cellStyle name="Notas 52 2" xfId="1885" xr:uid="{A98A1414-8895-4034-9B20-C0AB5B8EA715}"/>
    <cellStyle name="Notas 52 3" xfId="1886" xr:uid="{314073A1-3782-46D9-B068-8488BA3249C3}"/>
    <cellStyle name="Notas 52 4" xfId="1887" xr:uid="{D63CE5D6-A8F6-4CC5-801F-017EBF697E7C}"/>
    <cellStyle name="Notas 52 5" xfId="1888" xr:uid="{9CA93304-BC21-45FD-B799-E3706F91A6E8}"/>
    <cellStyle name="Notas 52 6" xfId="1889" xr:uid="{FE346280-C9E6-464C-A4A8-C02112F50C29}"/>
    <cellStyle name="Notas 52 7" xfId="1890" xr:uid="{8CFAEFFD-6452-4A6C-A481-094C889C19C6}"/>
    <cellStyle name="Notas 52 8" xfId="1891" xr:uid="{8E408EBC-511A-4871-B148-3BF202193E52}"/>
    <cellStyle name="Notas 52 9" xfId="1892" xr:uid="{B718CD6A-FB68-40FF-8537-01FB77E45763}"/>
    <cellStyle name="Notas 53 10" xfId="1893" xr:uid="{683A5891-3719-4E16-87F9-034DF388D48F}"/>
    <cellStyle name="Notas 53 11" xfId="1894" xr:uid="{EE1CA68E-6881-4278-ADA6-164A667FF32E}"/>
    <cellStyle name="Notas 53 12" xfId="1895" xr:uid="{2E525B3C-7DA8-4D54-A42F-0A78F730B4C8}"/>
    <cellStyle name="Notas 53 13" xfId="1896" xr:uid="{9CB525EC-319E-4762-A29F-FCB60327376C}"/>
    <cellStyle name="Notas 53 14" xfId="1897" xr:uid="{B63BBB10-4ADF-4612-B498-10773BAB8D6C}"/>
    <cellStyle name="Notas 53 15" xfId="1898" xr:uid="{A54938E9-2A5B-4C9C-A61E-63402D90D595}"/>
    <cellStyle name="Notas 53 2" xfId="1899" xr:uid="{B2F5560A-FB58-420B-BBDB-42AB8F8EF9E8}"/>
    <cellStyle name="Notas 53 3" xfId="1900" xr:uid="{56FEDF80-99B0-4148-8E5B-F3672872BFF9}"/>
    <cellStyle name="Notas 53 4" xfId="1901" xr:uid="{9499C805-916C-451B-A035-EEBAF97B751D}"/>
    <cellStyle name="Notas 53 5" xfId="1902" xr:uid="{0208BEE0-B88D-48EB-B6AC-A742C2B115FE}"/>
    <cellStyle name="Notas 53 6" xfId="1903" xr:uid="{E6A80B2E-4109-4C40-8F6A-66711A5BD759}"/>
    <cellStyle name="Notas 53 7" xfId="1904" xr:uid="{A98DD815-C353-4BC0-8B73-B92B109E02B6}"/>
    <cellStyle name="Notas 53 8" xfId="1905" xr:uid="{36876566-076F-4161-AD87-C91C96BB897D}"/>
    <cellStyle name="Notas 53 9" xfId="1906" xr:uid="{22F84CDE-18D8-49C6-A1A8-AF7D3E3EB027}"/>
    <cellStyle name="Notas 54 10" xfId="1907" xr:uid="{CC939479-7A34-4B91-8677-F10B58EEB57A}"/>
    <cellStyle name="Notas 54 11" xfId="1908" xr:uid="{533C1720-72DA-4059-9D6E-1F6D517D68F0}"/>
    <cellStyle name="Notas 54 12" xfId="1909" xr:uid="{C68710AD-591C-4D23-9E76-A94FBE268875}"/>
    <cellStyle name="Notas 54 13" xfId="1910" xr:uid="{08703621-4678-4541-87C1-711C21A4EFB6}"/>
    <cellStyle name="Notas 54 14" xfId="1911" xr:uid="{179A6CE3-062A-42A6-AE2B-288E90C536BC}"/>
    <cellStyle name="Notas 54 15" xfId="1912" xr:uid="{C7BA10FF-2F41-4DF6-A91D-DBF9959CCB6F}"/>
    <cellStyle name="Notas 54 2" xfId="1913" xr:uid="{01584BC6-1D09-4A1D-A2F0-1932F99FA9FA}"/>
    <cellStyle name="Notas 54 3" xfId="1914" xr:uid="{F4E3BC5C-C815-45A8-AD2A-EA55EBFD8622}"/>
    <cellStyle name="Notas 54 4" xfId="1915" xr:uid="{46B0F871-B7CB-4357-8ED4-101C6C4EA8DC}"/>
    <cellStyle name="Notas 54 5" xfId="1916" xr:uid="{89AF76E9-D344-4E60-99C3-4978C3B46C68}"/>
    <cellStyle name="Notas 54 6" xfId="1917" xr:uid="{52EB9E9F-71A0-4BDB-AE7A-0E56314111CA}"/>
    <cellStyle name="Notas 54 7" xfId="1918" xr:uid="{6C28A0FF-D99A-4C75-A24C-E35190A1C5BA}"/>
    <cellStyle name="Notas 54 8" xfId="1919" xr:uid="{7EB8D77E-9644-4A3E-8FF4-329E4CFD2009}"/>
    <cellStyle name="Notas 54 9" xfId="1920" xr:uid="{928C7D22-367E-448F-9CA2-F2400369742C}"/>
    <cellStyle name="Notas 55 10" xfId="1921" xr:uid="{F5643CA0-1057-4CC5-99EC-AB5A516BC2BA}"/>
    <cellStyle name="Notas 55 11" xfId="1922" xr:uid="{7BA6D0B9-59F9-4269-B09B-9ED52D84CF1C}"/>
    <cellStyle name="Notas 55 12" xfId="1923" xr:uid="{DC3846DB-F2D1-4975-ABB5-624592FE8053}"/>
    <cellStyle name="Notas 55 13" xfId="1924" xr:uid="{9176D2F0-8307-4A28-973D-8B6A7DFF25BC}"/>
    <cellStyle name="Notas 55 14" xfId="1925" xr:uid="{40D9ED19-9D5D-4549-A8CF-1254D50C5963}"/>
    <cellStyle name="Notas 55 15" xfId="1926" xr:uid="{7B9FBDAD-4CAC-4AF0-BE52-477E4917002F}"/>
    <cellStyle name="Notas 55 2" xfId="1927" xr:uid="{81183D82-5246-41D1-AC5A-87F30F89E3AB}"/>
    <cellStyle name="Notas 55 3" xfId="1928" xr:uid="{4DE3DD24-2CDF-4972-9DF5-A486C6878381}"/>
    <cellStyle name="Notas 55 4" xfId="1929" xr:uid="{26CC3954-C1D3-4721-87DA-FF01A3D50B2E}"/>
    <cellStyle name="Notas 55 5" xfId="1930" xr:uid="{28D4302D-9D64-4776-9D81-A9F30F1ED415}"/>
    <cellStyle name="Notas 55 6" xfId="1931" xr:uid="{997FFA97-03C8-4BA2-B580-7679A9AC304E}"/>
    <cellStyle name="Notas 55 7" xfId="1932" xr:uid="{7DCC0AFE-31C8-4CFE-9FFE-124DC11B6B74}"/>
    <cellStyle name="Notas 55 8" xfId="1933" xr:uid="{C1F98DE2-BF0A-4C9B-A0C7-C1F755E5EFE4}"/>
    <cellStyle name="Notas 55 9" xfId="1934" xr:uid="{91511272-045A-4627-A22D-AE5BBF7CAB76}"/>
    <cellStyle name="Notas 56 10" xfId="1935" xr:uid="{206CD187-6C4C-4EF6-9E93-9B4DC474A44E}"/>
    <cellStyle name="Notas 56 11" xfId="1936" xr:uid="{A6DEFE64-5F25-448A-92F5-88D6ACF7D586}"/>
    <cellStyle name="Notas 56 12" xfId="1937" xr:uid="{289167B5-B2B1-4FF8-BD0D-D8E1E3BCEA28}"/>
    <cellStyle name="Notas 56 13" xfId="1938" xr:uid="{03D83CAB-51DA-4BC2-85DF-B89A7BD68DF1}"/>
    <cellStyle name="Notas 56 14" xfId="1939" xr:uid="{E0DB8EC7-840C-41CF-9DB3-1E7ABBB1FBC2}"/>
    <cellStyle name="Notas 56 15" xfId="1940" xr:uid="{2483BF9A-078E-4DEB-84A3-C9883CB16939}"/>
    <cellStyle name="Notas 56 2" xfId="1941" xr:uid="{01C32A09-0B5B-47EE-AB73-EE398E548A47}"/>
    <cellStyle name="Notas 56 3" xfId="1942" xr:uid="{707F511A-4272-443A-90A7-A0D6CA1F0208}"/>
    <cellStyle name="Notas 56 4" xfId="1943" xr:uid="{897D6FB7-9D39-4D95-92DD-B01A42D1F5EC}"/>
    <cellStyle name="Notas 56 5" xfId="1944" xr:uid="{70D8D6AA-1211-4B19-8FEA-5D2EF079461E}"/>
    <cellStyle name="Notas 56 6" xfId="1945" xr:uid="{BBA1F4E0-C01D-41C4-A648-F8E2BC2BE0BD}"/>
    <cellStyle name="Notas 56 7" xfId="1946" xr:uid="{39A61E02-ACF2-44AE-B4A6-0033720EDFE7}"/>
    <cellStyle name="Notas 56 8" xfId="1947" xr:uid="{855A1587-DF4F-4249-9A89-239D6FD2B813}"/>
    <cellStyle name="Notas 56 9" xfId="1948" xr:uid="{C2E65283-B0E5-46D2-9F4A-B4E46B7F3E36}"/>
    <cellStyle name="Notas 57 10" xfId="1949" xr:uid="{418373D8-612A-4493-918A-E9AE21F4815F}"/>
    <cellStyle name="Notas 57 11" xfId="1950" xr:uid="{18B328BC-BC0B-494A-B90F-BB9D1C07B6C9}"/>
    <cellStyle name="Notas 57 12" xfId="1951" xr:uid="{6C6CBE8F-4795-403A-96E2-7B1009448635}"/>
    <cellStyle name="Notas 57 13" xfId="1952" xr:uid="{A9ACDCA3-A105-4EC0-B7AC-EC876311B0F8}"/>
    <cellStyle name="Notas 57 14" xfId="1953" xr:uid="{AFA15A90-2F6E-49F4-A6DA-8CD86AAE44FC}"/>
    <cellStyle name="Notas 57 15" xfId="1954" xr:uid="{B8D261E6-B945-4833-B5B8-3CEAFE358E53}"/>
    <cellStyle name="Notas 57 2" xfId="1955" xr:uid="{07D3E3AB-04BE-4A20-8A7C-BFC8C064FD02}"/>
    <cellStyle name="Notas 57 3" xfId="1956" xr:uid="{5A351F3E-3696-4B18-B35E-37EB7B3DC497}"/>
    <cellStyle name="Notas 57 4" xfId="1957" xr:uid="{72DEECD6-7E62-4765-A04B-CC68F5DBC63A}"/>
    <cellStyle name="Notas 57 5" xfId="1958" xr:uid="{AAFB04EC-4D14-441F-9A57-1C581C294402}"/>
    <cellStyle name="Notas 57 6" xfId="1959" xr:uid="{3E898A42-5726-4DC5-B3CD-363F1D15EF8A}"/>
    <cellStyle name="Notas 57 7" xfId="1960" xr:uid="{D65C3364-DB45-4397-81A3-03C6CA65AA42}"/>
    <cellStyle name="Notas 57 8" xfId="1961" xr:uid="{39F48EBA-637C-4C62-A608-C01E687EB3B1}"/>
    <cellStyle name="Notas 57 9" xfId="1962" xr:uid="{C6F172F5-7213-4AC9-888E-F903F1C3E568}"/>
    <cellStyle name="Notas 58 10" xfId="1963" xr:uid="{4057F995-D8AB-408D-963C-624B23F0F474}"/>
    <cellStyle name="Notas 58 11" xfId="1964" xr:uid="{F52C6BAB-0B43-4B78-8B4E-80D640EC9DC1}"/>
    <cellStyle name="Notas 58 12" xfId="1965" xr:uid="{0DCA8EF3-127A-4C8C-A8EB-37CE25328ABA}"/>
    <cellStyle name="Notas 58 13" xfId="1966" xr:uid="{91D541AA-0E1A-4B69-9F34-3186167F8D3F}"/>
    <cellStyle name="Notas 58 14" xfId="1967" xr:uid="{F3EF4014-DDA5-4A94-B6F6-CDAD90FA0AC7}"/>
    <cellStyle name="Notas 58 15" xfId="1968" xr:uid="{7C2B7A7F-1342-4EAB-B787-0F9937C57DAE}"/>
    <cellStyle name="Notas 58 2" xfId="1969" xr:uid="{E4A94116-2BD7-496A-A696-23C7B8282254}"/>
    <cellStyle name="Notas 58 3" xfId="1970" xr:uid="{4F256888-FB5E-4D16-B163-6737445742C3}"/>
    <cellStyle name="Notas 58 4" xfId="1971" xr:uid="{7C35AD46-2072-4C73-835D-C6C6BA4F2006}"/>
    <cellStyle name="Notas 58 5" xfId="1972" xr:uid="{FE486C3E-669A-49EB-ADEF-1872268C5DF5}"/>
    <cellStyle name="Notas 58 6" xfId="1973" xr:uid="{EADE45E4-5797-4E9F-B6C9-89DA187DA3E6}"/>
    <cellStyle name="Notas 58 7" xfId="1974" xr:uid="{89368A43-12EB-459D-AEA6-6C211DBE651D}"/>
    <cellStyle name="Notas 58 8" xfId="1975" xr:uid="{5118E6D2-CD3B-4187-AD65-990279B9F528}"/>
    <cellStyle name="Notas 58 9" xfId="1976" xr:uid="{94F4DC29-A559-4B89-BB80-F299CF32F698}"/>
    <cellStyle name="Notas 59 10" xfId="1977" xr:uid="{DCDA879F-7E4D-4B07-A011-6D4B47430790}"/>
    <cellStyle name="Notas 59 11" xfId="1978" xr:uid="{D872BBBA-6B8C-45A2-9E46-7CED3D5A4EF2}"/>
    <cellStyle name="Notas 59 12" xfId="1979" xr:uid="{612C864F-2994-431A-A07E-BA8CBB9158C9}"/>
    <cellStyle name="Notas 59 13" xfId="1980" xr:uid="{35CA1195-C408-4A18-BBA5-AC64F57B13B8}"/>
    <cellStyle name="Notas 59 14" xfId="1981" xr:uid="{C65945B2-0F5A-4BFE-B368-4D590AF1971D}"/>
    <cellStyle name="Notas 59 15" xfId="1982" xr:uid="{5553BAE5-7F1A-43F7-A507-141C0BFBC653}"/>
    <cellStyle name="Notas 59 2" xfId="1983" xr:uid="{AF15E43E-9E2A-4622-8FA8-EE83A414D617}"/>
    <cellStyle name="Notas 59 3" xfId="1984" xr:uid="{217BC870-C0AD-43EA-9C9E-80B3B0A5573B}"/>
    <cellStyle name="Notas 59 4" xfId="1985" xr:uid="{73E7834A-5944-4E93-968A-AEC96F5D0A2F}"/>
    <cellStyle name="Notas 59 5" xfId="1986" xr:uid="{E50A153F-8C64-4D93-8564-04F730B25925}"/>
    <cellStyle name="Notas 59 6" xfId="1987" xr:uid="{B6BCAB8F-EACD-4131-9AD0-2FDFF0B756C7}"/>
    <cellStyle name="Notas 59 7" xfId="1988" xr:uid="{861D31AF-75E9-4542-967B-8F321F806A23}"/>
    <cellStyle name="Notas 59 8" xfId="1989" xr:uid="{AC243DD7-8D6C-4EE1-A9D4-46AE0CB47965}"/>
    <cellStyle name="Notas 59 9" xfId="1990" xr:uid="{4DD0D509-F7C3-4FCB-AF6A-49E296C108E2}"/>
    <cellStyle name="Notas 6 10" xfId="1991" xr:uid="{2ABABBEA-ECB9-4E67-95E4-4A45985861BC}"/>
    <cellStyle name="Notas 6 11" xfId="1992" xr:uid="{E9443FE9-6BE6-4534-B687-DD7D8DD82AC2}"/>
    <cellStyle name="Notas 6 12" xfId="1993" xr:uid="{011591DC-2F19-408D-98E0-AF6589C74F5E}"/>
    <cellStyle name="Notas 6 13" xfId="1994" xr:uid="{B84AE492-4D33-4DFA-8BC7-2E454F196828}"/>
    <cellStyle name="Notas 6 14" xfId="1995" xr:uid="{3BB6468E-63D2-4A72-A5AE-48B955051BEA}"/>
    <cellStyle name="Notas 6 15" xfId="1996" xr:uid="{8145CADC-A1BA-43A2-BBB1-4D4CF5A41035}"/>
    <cellStyle name="Notas 6 16" xfId="1997" xr:uid="{554B1A41-AFDA-4678-B9D8-BF3AD6341FB8}"/>
    <cellStyle name="Notas 6 17" xfId="1998" xr:uid="{B642B984-8581-4C63-ABF9-147BFE76885D}"/>
    <cellStyle name="Notas 6 18" xfId="1999" xr:uid="{D2646C19-277D-4E61-B813-5F283D80F6E5}"/>
    <cellStyle name="Notas 6 19" xfId="2000" xr:uid="{2E601197-51EB-4299-9A10-3F1FBF470D24}"/>
    <cellStyle name="Notas 6 2" xfId="2001" xr:uid="{20821285-888D-4762-96BB-539E4473EB19}"/>
    <cellStyle name="Notas 6 20" xfId="2002" xr:uid="{E42B6718-F6BF-4F80-B7CB-C458D0B24419}"/>
    <cellStyle name="Notas 6 21" xfId="2003" xr:uid="{2C18441C-2B9E-4E03-99A4-D8F40AFD486F}"/>
    <cellStyle name="Notas 6 22" xfId="2004" xr:uid="{12566ACF-71D4-45B7-8DD9-8CE30738FA46}"/>
    <cellStyle name="Notas 6 23" xfId="2005" xr:uid="{940CCF32-0BFB-4B0E-9ED2-4F619C5B71D2}"/>
    <cellStyle name="Notas 6 24" xfId="2006" xr:uid="{3C3B2C86-F7FD-4D3B-8EC2-6582294006B8}"/>
    <cellStyle name="Notas 6 25" xfId="2007" xr:uid="{551673F1-3639-48F6-B84D-C9ABBF8A6E24}"/>
    <cellStyle name="Notas 6 26" xfId="2008" xr:uid="{DF4529C3-E3A9-4340-B276-8FEF41CA5B0D}"/>
    <cellStyle name="Notas 6 27" xfId="2009" xr:uid="{B85AB18C-78B8-4B80-9E75-DE830D5BA4A1}"/>
    <cellStyle name="Notas 6 28" xfId="2010" xr:uid="{C0A601E9-2F63-46D5-BE71-1AD6CCB897A3}"/>
    <cellStyle name="Notas 6 29" xfId="2011" xr:uid="{14CF78C2-8C61-4D71-B0DD-D02D5D50E8D2}"/>
    <cellStyle name="Notas 6 3" xfId="2012" xr:uid="{B3AD3887-45D7-48C4-A782-FC1B5673E837}"/>
    <cellStyle name="Notas 6 30" xfId="2013" xr:uid="{FC608EC8-7FFA-4721-88BC-97A07AFF31A2}"/>
    <cellStyle name="Notas 6 31" xfId="2014" xr:uid="{73FAEAEF-FBFB-4A8B-9790-FE18C64823F2}"/>
    <cellStyle name="Notas 6 32" xfId="2015" xr:uid="{D72EAD6A-FF96-4253-8E43-C14E2036D340}"/>
    <cellStyle name="Notas 6 33" xfId="2016" xr:uid="{42D7474B-3A5D-4EA4-8FC3-45949B67F719}"/>
    <cellStyle name="Notas 6 34" xfId="2017" xr:uid="{9E276A6D-E120-448F-B2E1-910585873280}"/>
    <cellStyle name="Notas 6 4" xfId="2018" xr:uid="{A1C1AE0D-064B-4234-845B-96040304F66B}"/>
    <cellStyle name="Notas 6 5" xfId="2019" xr:uid="{B38AB9BE-9EEB-4DDF-BCA2-2B6DC1146AE0}"/>
    <cellStyle name="Notas 6 6" xfId="2020" xr:uid="{37B9B3E0-5DC5-4CE7-BC27-43C69C262DE1}"/>
    <cellStyle name="Notas 6 7" xfId="2021" xr:uid="{9B8118F3-9314-49F7-A93A-86866F8B781C}"/>
    <cellStyle name="Notas 6 8" xfId="2022" xr:uid="{146BAB41-10A8-4B0F-A35E-CEAB7E5F2C16}"/>
    <cellStyle name="Notas 6 9" xfId="2023" xr:uid="{C9BF055B-0CA0-4084-BDBE-C6EE73ABCA19}"/>
    <cellStyle name="Notas 60 10" xfId="2024" xr:uid="{E242DA7A-9A92-420D-8BF2-7742730921CD}"/>
    <cellStyle name="Notas 60 11" xfId="2025" xr:uid="{7ADE6622-8BD0-4215-8BB1-28E9005E2D55}"/>
    <cellStyle name="Notas 60 12" xfId="2026" xr:uid="{B79967F3-5910-493A-BBB2-CB55957CDF04}"/>
    <cellStyle name="Notas 60 13" xfId="2027" xr:uid="{EF85CEB6-EB57-47C5-A873-EE0827CD4079}"/>
    <cellStyle name="Notas 60 14" xfId="2028" xr:uid="{E4C05F35-631E-4F0C-8A95-7E3502F5A2E3}"/>
    <cellStyle name="Notas 60 15" xfId="2029" xr:uid="{CC8925D9-E425-4093-9362-D4369FE4FE4B}"/>
    <cellStyle name="Notas 60 2" xfId="2030" xr:uid="{A84013F9-8DEA-4BEA-8F52-23D17349077E}"/>
    <cellStyle name="Notas 60 3" xfId="2031" xr:uid="{90039617-4B98-48F9-AE7C-7BC401026C9B}"/>
    <cellStyle name="Notas 60 4" xfId="2032" xr:uid="{D3F37ECB-47AD-4829-BE87-77EC82164325}"/>
    <cellStyle name="Notas 60 5" xfId="2033" xr:uid="{CF4E6313-1861-4239-B9E4-0AE592F1B22F}"/>
    <cellStyle name="Notas 60 6" xfId="2034" xr:uid="{F99658B2-BF43-4A83-B037-A414D9DB07EC}"/>
    <cellStyle name="Notas 60 7" xfId="2035" xr:uid="{4E5B5BFA-2C3D-4B38-9928-3ABC57D4B522}"/>
    <cellStyle name="Notas 60 8" xfId="2036" xr:uid="{5A899BFD-E9F3-48B1-981E-3EB5D8A2CF29}"/>
    <cellStyle name="Notas 60 9" xfId="2037" xr:uid="{874A0853-71EB-4C94-A0BD-DD9A9E9B9CB7}"/>
    <cellStyle name="Notas 61 10" xfId="2038" xr:uid="{9F572A54-39B2-47F7-8B3B-99DC24FB2D47}"/>
    <cellStyle name="Notas 61 11" xfId="2039" xr:uid="{6F1BC42C-BFB5-4105-81B2-2C3B87677842}"/>
    <cellStyle name="Notas 61 12" xfId="2040" xr:uid="{45BC1CB2-230A-4E1F-BAC3-C4BDDF91B2D7}"/>
    <cellStyle name="Notas 61 13" xfId="2041" xr:uid="{80EE257B-6A0F-4ACD-A3F1-A9806647BFAC}"/>
    <cellStyle name="Notas 61 14" xfId="2042" xr:uid="{4986BF82-BD4C-4F6F-B7B9-52EE9B3AE842}"/>
    <cellStyle name="Notas 61 15" xfId="2043" xr:uid="{5536244C-CB05-42D1-88A1-84099293705C}"/>
    <cellStyle name="Notas 61 2" xfId="2044" xr:uid="{3575C0FD-B711-4C49-B51A-90120D012406}"/>
    <cellStyle name="Notas 61 3" xfId="2045" xr:uid="{AFF78AF3-F0E6-4D6D-B2C6-6827FDEF8E75}"/>
    <cellStyle name="Notas 61 4" xfId="2046" xr:uid="{4A019457-D5AA-43EE-8EBE-27E6AB8A2584}"/>
    <cellStyle name="Notas 61 5" xfId="2047" xr:uid="{2A042243-5BC1-4179-B213-69A2C527ECC3}"/>
    <cellStyle name="Notas 61 6" xfId="2048" xr:uid="{ED17E048-7E07-4580-9F78-DBA372FDC461}"/>
    <cellStyle name="Notas 61 7" xfId="2049" xr:uid="{E3CBBCB0-5FC1-48CD-94CB-A8840DFFD48A}"/>
    <cellStyle name="Notas 61 8" xfId="2050" xr:uid="{5887658A-B893-4045-B0F3-E5D073AF6189}"/>
    <cellStyle name="Notas 61 9" xfId="2051" xr:uid="{953FC795-BCB0-4F46-AA6E-614B53273C23}"/>
    <cellStyle name="Notas 62 10" xfId="2052" xr:uid="{022B0DA7-22BF-4588-900A-216078E528D9}"/>
    <cellStyle name="Notas 62 11" xfId="2053" xr:uid="{41FD0AE1-C3A0-45EB-8CD6-7C44B8A6BE16}"/>
    <cellStyle name="Notas 62 12" xfId="2054" xr:uid="{BF6AB6CE-6BAA-4BA7-8083-2E40DD03A813}"/>
    <cellStyle name="Notas 62 13" xfId="2055" xr:uid="{E87C88C1-8C89-4018-881B-60E00172BE34}"/>
    <cellStyle name="Notas 62 14" xfId="2056" xr:uid="{053F8B82-776A-4446-B26E-8A83504D4F26}"/>
    <cellStyle name="Notas 62 15" xfId="2057" xr:uid="{EC5D9992-3161-48B4-8683-63792958D489}"/>
    <cellStyle name="Notas 62 2" xfId="2058" xr:uid="{EFE714A1-AF7F-4B97-A8F9-BA8B1161E2F1}"/>
    <cellStyle name="Notas 62 3" xfId="2059" xr:uid="{23D06A8F-B27A-404D-9EF2-1D22451314FB}"/>
    <cellStyle name="Notas 62 4" xfId="2060" xr:uid="{94D33B55-DAFF-48B8-9F4D-3135B02D967B}"/>
    <cellStyle name="Notas 62 5" xfId="2061" xr:uid="{47967FCB-09CC-4FCD-A066-98C9D977B6ED}"/>
    <cellStyle name="Notas 62 6" xfId="2062" xr:uid="{CECA508A-D4EB-4595-9A91-66093BEFFB3E}"/>
    <cellStyle name="Notas 62 7" xfId="2063" xr:uid="{31761F34-977A-47F7-AE7E-3596C55FD032}"/>
    <cellStyle name="Notas 62 8" xfId="2064" xr:uid="{58EE3B29-1156-4EE7-BF2F-CB93712B93A4}"/>
    <cellStyle name="Notas 62 9" xfId="2065" xr:uid="{2193EBB7-EB62-424F-9C49-D26A7BA17980}"/>
    <cellStyle name="Notas 63 10" xfId="2066" xr:uid="{59B9284D-C0E1-41E9-800A-FFB2D7FF554D}"/>
    <cellStyle name="Notas 63 11" xfId="2067" xr:uid="{BEB550DB-5E46-4F20-88CA-7B0AE1B7F751}"/>
    <cellStyle name="Notas 63 12" xfId="2068" xr:uid="{FD95A514-E67E-4ED2-BF84-B56810526D4D}"/>
    <cellStyle name="Notas 63 13" xfId="2069" xr:uid="{190AB992-C011-4F93-80F5-34F32A86779C}"/>
    <cellStyle name="Notas 63 14" xfId="2070" xr:uid="{4DA63736-D196-4C85-81DD-019182FF0F8D}"/>
    <cellStyle name="Notas 63 15" xfId="2071" xr:uid="{6DF30B88-1ACA-4A36-BD1D-ED163F739DE1}"/>
    <cellStyle name="Notas 63 2" xfId="2072" xr:uid="{46621A9F-9042-424D-9CB1-1D345B5B4C8F}"/>
    <cellStyle name="Notas 63 3" xfId="2073" xr:uid="{89DCBF0B-2C07-46AD-A836-4BE6E1EAA07B}"/>
    <cellStyle name="Notas 63 4" xfId="2074" xr:uid="{0E0A7ED8-59F7-4D05-B488-64F67A48F9C6}"/>
    <cellStyle name="Notas 63 5" xfId="2075" xr:uid="{7E942799-6F4E-4CDE-ACCD-321CD0309616}"/>
    <cellStyle name="Notas 63 6" xfId="2076" xr:uid="{75A8AF77-C05D-410B-BEA5-24FC6BAF871B}"/>
    <cellStyle name="Notas 63 7" xfId="2077" xr:uid="{971BEBEF-3883-432C-9A01-A299C71990EC}"/>
    <cellStyle name="Notas 63 8" xfId="2078" xr:uid="{E6B2F128-4DDD-4D9C-B5F2-DF86CED2BCD6}"/>
    <cellStyle name="Notas 63 9" xfId="2079" xr:uid="{B642DB85-96FD-450D-A8E9-D624362B6E35}"/>
    <cellStyle name="Notas 64 10" xfId="2080" xr:uid="{62E141A4-76CE-4865-ADC7-1C907AB5FB8A}"/>
    <cellStyle name="Notas 64 11" xfId="2081" xr:uid="{9EED5B73-DA88-4AA1-A0D5-D6BE63C9DDE8}"/>
    <cellStyle name="Notas 64 12" xfId="2082" xr:uid="{7D5CCCA5-3EF0-4FAE-B34C-D508B69F8296}"/>
    <cellStyle name="Notas 64 13" xfId="2083" xr:uid="{73C2745A-4988-40E1-A8BB-F3436E55F026}"/>
    <cellStyle name="Notas 64 14" xfId="2084" xr:uid="{7815E4F6-ACC4-4D24-ACF8-F281538FB1D1}"/>
    <cellStyle name="Notas 64 15" xfId="2085" xr:uid="{7B00F50D-1D90-4BA4-88A2-5212D298840B}"/>
    <cellStyle name="Notas 64 2" xfId="2086" xr:uid="{457EA289-72B6-498F-BB72-F0994DFAFBB9}"/>
    <cellStyle name="Notas 64 3" xfId="2087" xr:uid="{9383C103-24ED-42E0-8688-7054C7CA90FB}"/>
    <cellStyle name="Notas 64 4" xfId="2088" xr:uid="{557F0AF8-7B98-47C3-BC11-CDC78E9E52E2}"/>
    <cellStyle name="Notas 64 5" xfId="2089" xr:uid="{04FA0E0D-C35F-403C-8C15-B15A46CD7F0E}"/>
    <cellStyle name="Notas 64 6" xfId="2090" xr:uid="{022EE7B4-DFA2-49D3-A0CD-ADB79F866002}"/>
    <cellStyle name="Notas 64 7" xfId="2091" xr:uid="{6113F011-238F-41E9-B998-27DD824E6AD8}"/>
    <cellStyle name="Notas 64 8" xfId="2092" xr:uid="{19C42060-42BC-4023-8C4A-B4B15D9F74E4}"/>
    <cellStyle name="Notas 64 9" xfId="2093" xr:uid="{25CB7A6E-90CB-4F53-8187-12FBEF1AD07A}"/>
    <cellStyle name="Notas 65 10" xfId="2094" xr:uid="{DD5D97BC-F0DE-4613-BB05-52B91B797E56}"/>
    <cellStyle name="Notas 65 11" xfId="2095" xr:uid="{88C04BE8-485F-46E8-AF4E-144B2E5AEB0B}"/>
    <cellStyle name="Notas 65 12" xfId="2096" xr:uid="{E2F8C46D-D7ED-4D2F-B7FA-FF2245F8536D}"/>
    <cellStyle name="Notas 65 13" xfId="2097" xr:uid="{577D4327-C8C8-4A26-9F18-8876490C85D9}"/>
    <cellStyle name="Notas 65 14" xfId="2098" xr:uid="{49562998-869C-4491-BFB9-97927EFDE589}"/>
    <cellStyle name="Notas 65 15" xfId="2099" xr:uid="{5268EAA1-FD00-4CF7-AE74-92AB9E55412D}"/>
    <cellStyle name="Notas 65 2" xfId="2100" xr:uid="{9FC6227B-A2BE-43C7-80DD-C1B24D1A94BE}"/>
    <cellStyle name="Notas 65 3" xfId="2101" xr:uid="{4868D0BE-30CA-4871-A41F-1B9ABF27F5B8}"/>
    <cellStyle name="Notas 65 4" xfId="2102" xr:uid="{F3E27345-6F8C-4CEA-A466-98484662ABCF}"/>
    <cellStyle name="Notas 65 5" xfId="2103" xr:uid="{C7F48FD0-6053-49C6-B3EF-D2988E5C13F3}"/>
    <cellStyle name="Notas 65 6" xfId="2104" xr:uid="{827F40F2-A779-4A58-877B-AEB1CD6C1458}"/>
    <cellStyle name="Notas 65 7" xfId="2105" xr:uid="{F0AB8784-7ADF-4E69-BDA1-29EFD6EF97D1}"/>
    <cellStyle name="Notas 65 8" xfId="2106" xr:uid="{E22BE197-9D86-431D-B772-C17FB5093B6A}"/>
    <cellStyle name="Notas 65 9" xfId="2107" xr:uid="{870376AF-97C7-427D-9618-75C94B42DBBB}"/>
    <cellStyle name="Notas 66 10" xfId="2108" xr:uid="{8941DCB2-64F0-47BD-99A3-05D9B932A84E}"/>
    <cellStyle name="Notas 66 11" xfId="2109" xr:uid="{BAEDE549-167E-4BB5-B6D9-C9CE1AA8521C}"/>
    <cellStyle name="Notas 66 12" xfId="2110" xr:uid="{D877DF16-3D96-4A9B-8772-7262DFA12B96}"/>
    <cellStyle name="Notas 66 13" xfId="2111" xr:uid="{8AD9DCDC-5133-4110-8640-A0993795334F}"/>
    <cellStyle name="Notas 66 14" xfId="2112" xr:uid="{9BB00080-31E9-45D7-A666-55DA99158CD6}"/>
    <cellStyle name="Notas 66 15" xfId="2113" xr:uid="{D5C4C483-C844-4238-ABC0-170DDFD9D3A1}"/>
    <cellStyle name="Notas 66 2" xfId="2114" xr:uid="{8E5A78FD-C97F-48B8-A741-501FFEE50D3D}"/>
    <cellStyle name="Notas 66 3" xfId="2115" xr:uid="{9A817219-4E27-4771-B682-5C17CCBD20D4}"/>
    <cellStyle name="Notas 66 4" xfId="2116" xr:uid="{A5722CC2-0462-4240-B3FB-CCAA5340B1F5}"/>
    <cellStyle name="Notas 66 5" xfId="2117" xr:uid="{888D2A0D-FB8D-4B8A-9BDC-61A41FC12654}"/>
    <cellStyle name="Notas 66 6" xfId="2118" xr:uid="{4F1A4F62-DA39-4AF0-A3B4-3395E56BD2C9}"/>
    <cellStyle name="Notas 66 7" xfId="2119" xr:uid="{BA46A7B9-4BA6-41F7-9D25-0EE739C50C5B}"/>
    <cellStyle name="Notas 66 8" xfId="2120" xr:uid="{FA36DEB5-5195-4A79-94FB-B8E38EF40133}"/>
    <cellStyle name="Notas 66 9" xfId="2121" xr:uid="{787D6A28-DEBD-4956-817A-8B8C3D740667}"/>
    <cellStyle name="Notas 67 10" xfId="2122" xr:uid="{E0C75D20-CB7C-47AA-AF31-46E09C3F8286}"/>
    <cellStyle name="Notas 67 11" xfId="2123" xr:uid="{952356BA-55AD-4436-9D1A-BA9758AC7044}"/>
    <cellStyle name="Notas 67 12" xfId="2124" xr:uid="{A46BDEDF-AE6F-4259-B531-BB512B700796}"/>
    <cellStyle name="Notas 67 13" xfId="2125" xr:uid="{3D733185-CE65-420A-A9D9-7CE4817002D6}"/>
    <cellStyle name="Notas 67 14" xfId="2126" xr:uid="{A54DE8B9-EBB0-497F-B435-3358F14298BE}"/>
    <cellStyle name="Notas 67 15" xfId="2127" xr:uid="{7B74FF4C-1F73-4167-A987-E678F406DE77}"/>
    <cellStyle name="Notas 67 2" xfId="2128" xr:uid="{36032EFA-AB51-4F08-98C0-8C95D0071A68}"/>
    <cellStyle name="Notas 67 3" xfId="2129" xr:uid="{9AFE7FF4-5948-41AA-BC03-3C46952DB97A}"/>
    <cellStyle name="Notas 67 4" xfId="2130" xr:uid="{C2A707E8-6829-4563-80C1-B3AA1ECC3459}"/>
    <cellStyle name="Notas 67 5" xfId="2131" xr:uid="{316156A3-EC76-4FEE-8550-1CEB6C86A36E}"/>
    <cellStyle name="Notas 67 6" xfId="2132" xr:uid="{8FA98F65-7111-47D8-A078-BF06114A1379}"/>
    <cellStyle name="Notas 67 7" xfId="2133" xr:uid="{B3B64E7F-C530-4B5B-9FA2-D9FC1E4BCCE3}"/>
    <cellStyle name="Notas 67 8" xfId="2134" xr:uid="{67A32B83-E9E6-47D0-9A3F-EF363FEEF86A}"/>
    <cellStyle name="Notas 67 9" xfId="2135" xr:uid="{FCC50A39-4B1C-42B4-A39F-29F0B6294323}"/>
    <cellStyle name="Notas 68 10" xfId="2136" xr:uid="{04262AE8-5A18-4702-A636-312B4EFAC9AC}"/>
    <cellStyle name="Notas 68 11" xfId="2137" xr:uid="{916F104A-A997-45EC-AAC0-10DAA5710DEC}"/>
    <cellStyle name="Notas 68 12" xfId="2138" xr:uid="{E8BE0CAD-AA91-4B57-ADD0-6BC3E6D712BE}"/>
    <cellStyle name="Notas 68 13" xfId="2139" xr:uid="{BC368F7A-20E2-4F98-B1FD-83865473C0E5}"/>
    <cellStyle name="Notas 68 14" xfId="2140" xr:uid="{357A50E2-F0CA-4B69-A0E7-D606128110AA}"/>
    <cellStyle name="Notas 68 15" xfId="2141" xr:uid="{42D9BF8C-058B-43CA-8D8A-ECA68E630756}"/>
    <cellStyle name="Notas 68 2" xfId="2142" xr:uid="{52CF2469-9E4C-4441-A248-6BD9A9D389FD}"/>
    <cellStyle name="Notas 68 3" xfId="2143" xr:uid="{685709F3-9962-4343-BDDB-38484F26FAC8}"/>
    <cellStyle name="Notas 68 4" xfId="2144" xr:uid="{B953FFA9-F4A6-43F8-B4D9-8B5609BACCA8}"/>
    <cellStyle name="Notas 68 5" xfId="2145" xr:uid="{405F3AFF-C1F9-419D-AEB8-22BF117F68C1}"/>
    <cellStyle name="Notas 68 6" xfId="2146" xr:uid="{AE795AB3-4CE6-4472-9A04-41416F145A59}"/>
    <cellStyle name="Notas 68 7" xfId="2147" xr:uid="{708037E8-5A03-4773-9069-11874D2966B8}"/>
    <cellStyle name="Notas 68 8" xfId="2148" xr:uid="{7B53D4C1-D28F-4E3C-9C5E-E72372EE62ED}"/>
    <cellStyle name="Notas 68 9" xfId="2149" xr:uid="{2D680249-50C1-428F-B881-61AC295F508F}"/>
    <cellStyle name="Notas 69 10" xfId="2150" xr:uid="{61158F4C-BCB8-45C6-9538-69E6046CB3B5}"/>
    <cellStyle name="Notas 69 11" xfId="2151" xr:uid="{6012F55C-0880-4A90-899A-D210C6F3EE5C}"/>
    <cellStyle name="Notas 69 12" xfId="2152" xr:uid="{F3730F60-738B-4EFD-AD7B-5ACA7DD82E98}"/>
    <cellStyle name="Notas 69 13" xfId="2153" xr:uid="{3062E7F9-3678-415B-8057-B6E7E95E7E42}"/>
    <cellStyle name="Notas 69 14" xfId="2154" xr:uid="{F90C9FD9-377D-4223-951C-605C81057B8D}"/>
    <cellStyle name="Notas 69 15" xfId="2155" xr:uid="{939ACF53-74A0-4383-A8AB-CD46BBCC3595}"/>
    <cellStyle name="Notas 69 2" xfId="2156" xr:uid="{6268A170-D58A-406F-AFA4-A59F662825FF}"/>
    <cellStyle name="Notas 69 3" xfId="2157" xr:uid="{AD3A7F4C-3BE3-4EE0-AA41-08B42D0E2751}"/>
    <cellStyle name="Notas 69 4" xfId="2158" xr:uid="{C93E341F-2880-4A8A-8243-EF6EFEA43F2E}"/>
    <cellStyle name="Notas 69 5" xfId="2159" xr:uid="{FB352D92-0B9C-46ED-BAC8-6A6D2025B003}"/>
    <cellStyle name="Notas 69 6" xfId="2160" xr:uid="{D56CA667-7ACB-462F-B3F1-6E11A05ADA4A}"/>
    <cellStyle name="Notas 69 7" xfId="2161" xr:uid="{886D850B-78C5-4F35-9CA0-0423B2619FA4}"/>
    <cellStyle name="Notas 69 8" xfId="2162" xr:uid="{E66CF186-5DD3-4238-8396-2BD6E6AE7902}"/>
    <cellStyle name="Notas 69 9" xfId="2163" xr:uid="{ED7CDF1D-F5BF-4041-8AA9-3C0FB6C05F2E}"/>
    <cellStyle name="Notas 7 10" xfId="2164" xr:uid="{038345C4-38A6-4760-B56B-3ADEEB51465C}"/>
    <cellStyle name="Notas 7 11" xfId="2165" xr:uid="{4EEE20AD-40F4-4B55-BA31-5F55D40325DD}"/>
    <cellStyle name="Notas 7 12" xfId="2166" xr:uid="{86E960C2-6D0E-4624-9E9F-5BB93D893A2C}"/>
    <cellStyle name="Notas 7 13" xfId="2167" xr:uid="{5B945986-5018-40DE-BC60-FD0FE56C156C}"/>
    <cellStyle name="Notas 7 14" xfId="2168" xr:uid="{7C8A74DE-C5A7-4D55-9039-F83B8E5EFF6E}"/>
    <cellStyle name="Notas 7 15" xfId="2169" xr:uid="{A3B04A96-991A-44D8-A18F-2AC27ED2EEE3}"/>
    <cellStyle name="Notas 7 16" xfId="2170" xr:uid="{32315F26-9BC6-4390-91A1-F42B0CB0BCE4}"/>
    <cellStyle name="Notas 7 17" xfId="2171" xr:uid="{439F7E1A-B399-4131-880D-81AE4C792A0D}"/>
    <cellStyle name="Notas 7 18" xfId="2172" xr:uid="{ED755A5E-EC31-4A27-B952-B989E9A0C4F2}"/>
    <cellStyle name="Notas 7 19" xfId="2173" xr:uid="{2D7C9450-AE0D-455B-B476-24FFBF80D1B8}"/>
    <cellStyle name="Notas 7 2" xfId="2174" xr:uid="{BA13E306-0050-4688-B712-D4100A2E31C7}"/>
    <cellStyle name="Notas 7 20" xfId="2175" xr:uid="{FA453EAD-4E2E-44BF-9817-71DF6B5E574B}"/>
    <cellStyle name="Notas 7 21" xfId="2176" xr:uid="{065839A3-2C3C-40B5-8823-8DCF7321F548}"/>
    <cellStyle name="Notas 7 22" xfId="2177" xr:uid="{ECF230EF-4318-45F6-B6A9-D544B0F0E591}"/>
    <cellStyle name="Notas 7 23" xfId="2178" xr:uid="{9B368574-4969-4F30-949F-9104D67CB8BF}"/>
    <cellStyle name="Notas 7 24" xfId="2179" xr:uid="{133F899B-D0A5-4541-8A92-39254F9BCD9E}"/>
    <cellStyle name="Notas 7 25" xfId="2180" xr:uid="{8FD35036-F3AD-47A1-8B62-1789EDA16508}"/>
    <cellStyle name="Notas 7 26" xfId="2181" xr:uid="{53CC0BFA-8A41-43CE-A26B-507A153F9240}"/>
    <cellStyle name="Notas 7 27" xfId="2182" xr:uid="{81258CC1-153B-4228-8C9B-D0D437538A12}"/>
    <cellStyle name="Notas 7 28" xfId="2183" xr:uid="{D64978A2-6A14-4F1E-84FC-85B652295396}"/>
    <cellStyle name="Notas 7 29" xfId="2184" xr:uid="{BC3F7F49-6341-45E4-A4B7-2361E895DA28}"/>
    <cellStyle name="Notas 7 3" xfId="2185" xr:uid="{876189AD-9497-4C4D-A59D-1F177FA4D2CB}"/>
    <cellStyle name="Notas 7 30" xfId="2186" xr:uid="{17771C3E-0800-4977-874D-1D76CE9F0F69}"/>
    <cellStyle name="Notas 7 31" xfId="2187" xr:uid="{EC988852-CFD3-4A24-93DE-B9ACC6B97C18}"/>
    <cellStyle name="Notas 7 32" xfId="2188" xr:uid="{9838BE5C-BB42-4AB5-99DC-A3B3C04E9D02}"/>
    <cellStyle name="Notas 7 33" xfId="2189" xr:uid="{7D2E60DC-3A2F-4210-BA0E-1C8A6B698286}"/>
    <cellStyle name="Notas 7 34" xfId="2190" xr:uid="{C48A9F02-BD4A-46D8-914B-6BFFCB6C78DE}"/>
    <cellStyle name="Notas 7 4" xfId="2191" xr:uid="{390E345D-5AF3-4832-8803-52604FC07814}"/>
    <cellStyle name="Notas 7 5" xfId="2192" xr:uid="{7EFDF58F-E9FC-46E2-9C21-09FEB64E6D19}"/>
    <cellStyle name="Notas 7 6" xfId="2193" xr:uid="{020B049F-5744-4AA4-AC92-559602415076}"/>
    <cellStyle name="Notas 7 7" xfId="2194" xr:uid="{D8AB0538-5D99-47F2-9546-0848113E3E1F}"/>
    <cellStyle name="Notas 7 8" xfId="2195" xr:uid="{81A771EA-6658-48C1-9BD8-3B99043325D2}"/>
    <cellStyle name="Notas 7 9" xfId="2196" xr:uid="{97D42D1D-1BA4-4AE8-9EFF-8F9CF03889A8}"/>
    <cellStyle name="Notas 70 10" xfId="2197" xr:uid="{8A494510-E8E0-4241-976D-26B0AEB14EB0}"/>
    <cellStyle name="Notas 70 11" xfId="2198" xr:uid="{E45C5BD1-9518-4AED-A230-B38A7CBA1C2D}"/>
    <cellStyle name="Notas 70 12" xfId="2199" xr:uid="{FB8EC94D-FB7D-43EB-985F-0826D646CC64}"/>
    <cellStyle name="Notas 70 13" xfId="2200" xr:uid="{66552AB7-68D4-4AE0-AB7F-4ACEAE7882B0}"/>
    <cellStyle name="Notas 70 14" xfId="2201" xr:uid="{581CABC2-6273-44C9-BBA0-6A36F80FF89F}"/>
    <cellStyle name="Notas 70 15" xfId="2202" xr:uid="{A0C794A2-F23C-4037-9D13-0D2FE4D74E39}"/>
    <cellStyle name="Notas 70 2" xfId="2203" xr:uid="{A956B259-D3C3-44DC-BD5A-36F47F38E8FD}"/>
    <cellStyle name="Notas 70 3" xfId="2204" xr:uid="{F37751ED-F845-4677-9D31-0A1E93AC973C}"/>
    <cellStyle name="Notas 70 4" xfId="2205" xr:uid="{B8DFE172-B0D0-4684-A243-B7DB200B3017}"/>
    <cellStyle name="Notas 70 5" xfId="2206" xr:uid="{7B06540E-40BB-49FA-8D86-8303C0F5D1D3}"/>
    <cellStyle name="Notas 70 6" xfId="2207" xr:uid="{3F6CD73E-4CC5-4892-B9F5-9D11A48AD58C}"/>
    <cellStyle name="Notas 70 7" xfId="2208" xr:uid="{3CBD3AD1-1C8B-491D-B53F-EA5F11A17FE1}"/>
    <cellStyle name="Notas 70 8" xfId="2209" xr:uid="{2F9070CC-928F-4D6C-9AB2-722857A23BC7}"/>
    <cellStyle name="Notas 70 9" xfId="2210" xr:uid="{B8EB0FF0-FA5D-464B-A1A2-D0E1BC7A9ECF}"/>
    <cellStyle name="Notas 71 10" xfId="2211" xr:uid="{7A5C8E3F-A769-436F-966D-E4DC5CBD5FDA}"/>
    <cellStyle name="Notas 71 11" xfId="2212" xr:uid="{59E394FB-375B-41E7-8E98-4E19AD630659}"/>
    <cellStyle name="Notas 71 12" xfId="2213" xr:uid="{2C9922AD-B90B-4871-A46C-D17D152BB043}"/>
    <cellStyle name="Notas 71 13" xfId="2214" xr:uid="{39A3E90F-2645-4045-AB37-F994378A8D13}"/>
    <cellStyle name="Notas 71 14" xfId="2215" xr:uid="{6CBA6D7C-7490-4378-B951-AAE9BF9D5A19}"/>
    <cellStyle name="Notas 71 15" xfId="2216" xr:uid="{E167FABB-B736-4447-BDF1-2CADCA2A09B7}"/>
    <cellStyle name="Notas 71 2" xfId="2217" xr:uid="{32556A6B-F1C5-4E62-9727-4386139FD614}"/>
    <cellStyle name="Notas 71 3" xfId="2218" xr:uid="{D785C966-2AE1-4BC4-A9A8-8F8219AA177B}"/>
    <cellStyle name="Notas 71 4" xfId="2219" xr:uid="{4852BB7F-131D-4F55-AA6C-0A913A5CC24D}"/>
    <cellStyle name="Notas 71 5" xfId="2220" xr:uid="{D7EC2DAF-DE21-4651-AF96-5FF5725CE580}"/>
    <cellStyle name="Notas 71 6" xfId="2221" xr:uid="{917FE1E5-D9C9-4461-9962-28D698636A90}"/>
    <cellStyle name="Notas 71 7" xfId="2222" xr:uid="{26A02DF0-D364-4764-B186-A2C5E8D851EE}"/>
    <cellStyle name="Notas 71 8" xfId="2223" xr:uid="{0659D1E8-F3E2-4758-9958-65317BD3D689}"/>
    <cellStyle name="Notas 71 9" xfId="2224" xr:uid="{C08480CF-B57E-4A35-9F70-DC4AD14DBA6E}"/>
    <cellStyle name="Notas 72 10" xfId="2225" xr:uid="{62AB7703-FE52-4A18-B4C9-70250A273BF0}"/>
    <cellStyle name="Notas 72 11" xfId="2226" xr:uid="{25FFAC6E-BC09-4F96-B44B-BCBB517537A5}"/>
    <cellStyle name="Notas 72 12" xfId="2227" xr:uid="{98C8D039-D962-4D32-93B2-F6880629F8D0}"/>
    <cellStyle name="Notas 72 13" xfId="2228" xr:uid="{6247EA4B-ECD8-40EC-9CE2-60C20669FC67}"/>
    <cellStyle name="Notas 72 14" xfId="2229" xr:uid="{E2602486-42F0-4E8B-A607-5FC62452323A}"/>
    <cellStyle name="Notas 72 15" xfId="2230" xr:uid="{F8100897-898B-465F-8EC5-B8A123673667}"/>
    <cellStyle name="Notas 72 2" xfId="2231" xr:uid="{C0EDDBD8-C63B-4C25-8BB0-6FD46DFE8389}"/>
    <cellStyle name="Notas 72 3" xfId="2232" xr:uid="{251D6B6A-DF02-4139-94E9-455F617B1241}"/>
    <cellStyle name="Notas 72 4" xfId="2233" xr:uid="{AF06CDE9-AAB7-4358-BDF9-20C5AB028D9A}"/>
    <cellStyle name="Notas 72 5" xfId="2234" xr:uid="{B1575513-EFC0-4B6B-81BC-76B5C7690151}"/>
    <cellStyle name="Notas 72 6" xfId="2235" xr:uid="{D6A0473F-3D04-435D-AF73-DF5FFF01B534}"/>
    <cellStyle name="Notas 72 7" xfId="2236" xr:uid="{78885BF6-C69F-4953-B21D-CA823314C910}"/>
    <cellStyle name="Notas 72 8" xfId="2237" xr:uid="{DF29564B-96BF-42AD-864A-2706D5AA62D0}"/>
    <cellStyle name="Notas 72 9" xfId="2238" xr:uid="{BFB5F15B-68C4-453E-BE68-677C693CDD53}"/>
    <cellStyle name="Notas 73 10" xfId="2239" xr:uid="{43837C8D-170F-410A-B429-E85A313B310D}"/>
    <cellStyle name="Notas 73 11" xfId="2240" xr:uid="{23CE2D87-5E3B-4644-87E9-16F211D6AFA1}"/>
    <cellStyle name="Notas 73 12" xfId="2241" xr:uid="{077A99FA-7ECF-4632-B12A-37E8875003C3}"/>
    <cellStyle name="Notas 73 13" xfId="2242" xr:uid="{9DD2D71A-746F-40BD-BE10-9BFFE3DDDBBA}"/>
    <cellStyle name="Notas 73 14" xfId="2243" xr:uid="{A47A6FC7-D30A-454A-A88B-BFD3910EB538}"/>
    <cellStyle name="Notas 73 15" xfId="2244" xr:uid="{299F359C-9A0D-4046-AB27-3F238C999776}"/>
    <cellStyle name="Notas 73 2" xfId="2245" xr:uid="{11326A6B-E29A-4799-ACB8-14F156D3895D}"/>
    <cellStyle name="Notas 73 3" xfId="2246" xr:uid="{D1DBDE19-F806-4665-9D04-AABE24FC3BEB}"/>
    <cellStyle name="Notas 73 4" xfId="2247" xr:uid="{50D4E9FF-1F67-46F7-BBE8-36320416DC1D}"/>
    <cellStyle name="Notas 73 5" xfId="2248" xr:uid="{5B2BAFFF-68F7-4668-8512-DF42276A8D91}"/>
    <cellStyle name="Notas 73 6" xfId="2249" xr:uid="{CB19C5D4-97A4-49E9-94B6-813D8F43FD5A}"/>
    <cellStyle name="Notas 73 7" xfId="2250" xr:uid="{6B0149CD-85D1-4E7D-8214-B341D181418E}"/>
    <cellStyle name="Notas 73 8" xfId="2251" xr:uid="{A4986494-BF06-43DF-8000-D4919EA0D77D}"/>
    <cellStyle name="Notas 73 9" xfId="2252" xr:uid="{8FA422B6-F030-48C7-ADC6-E27107E4A573}"/>
    <cellStyle name="Notas 74 10" xfId="2253" xr:uid="{D1E16BF0-8968-40C7-808C-BAC1EDB5675B}"/>
    <cellStyle name="Notas 74 11" xfId="2254" xr:uid="{34399613-DAD7-48F2-BC4F-A674C06F5F97}"/>
    <cellStyle name="Notas 74 12" xfId="2255" xr:uid="{ED5ABD92-44D1-4FFD-B809-7E9FF6501798}"/>
    <cellStyle name="Notas 74 13" xfId="2256" xr:uid="{1E4AE3A8-9A67-4C36-ABD1-29AB6BA57213}"/>
    <cellStyle name="Notas 74 14" xfId="2257" xr:uid="{2DE60FC1-BA4A-4A6C-A85C-AB2AE51243B3}"/>
    <cellStyle name="Notas 74 15" xfId="2258" xr:uid="{813036C7-05B3-46E8-A16C-C01BDFB9705C}"/>
    <cellStyle name="Notas 74 2" xfId="2259" xr:uid="{9EB6E854-A255-4CCD-85E2-B45B42B3648F}"/>
    <cellStyle name="Notas 74 3" xfId="2260" xr:uid="{DFD88AFB-045B-402E-89B0-0D5D16B3FB6C}"/>
    <cellStyle name="Notas 74 4" xfId="2261" xr:uid="{45AAD16B-F8ED-44F1-8CC2-BAAF9A4A4070}"/>
    <cellStyle name="Notas 74 5" xfId="2262" xr:uid="{3B2147DB-7E8C-4FD0-B177-C2BAD1B688AB}"/>
    <cellStyle name="Notas 74 6" xfId="2263" xr:uid="{C54E6EB7-0F03-43ED-97CE-12F74EF1A85C}"/>
    <cellStyle name="Notas 74 7" xfId="2264" xr:uid="{64685111-BA2E-4B11-9F35-B97D06DE07B8}"/>
    <cellStyle name="Notas 74 8" xfId="2265" xr:uid="{E0CB217E-D5F3-4E01-A123-FE0EF9AA97C0}"/>
    <cellStyle name="Notas 74 9" xfId="2266" xr:uid="{8F69627F-5485-4C36-96D2-FAC61D70CD56}"/>
    <cellStyle name="Notas 75 10" xfId="2267" xr:uid="{5509E60A-6D02-46ED-8B8E-ACB16C67F27E}"/>
    <cellStyle name="Notas 75 11" xfId="2268" xr:uid="{17B23227-9AE7-47B7-854F-A5634C9B345B}"/>
    <cellStyle name="Notas 75 12" xfId="2269" xr:uid="{186F1F9D-4A34-4C0E-917C-00C881FB5AE2}"/>
    <cellStyle name="Notas 75 13" xfId="2270" xr:uid="{4AA0D87F-1D72-44EB-8717-8800FE9C20A8}"/>
    <cellStyle name="Notas 75 14" xfId="2271" xr:uid="{7167EE06-7036-4BC2-AB2F-C4ED6505ADE3}"/>
    <cellStyle name="Notas 75 15" xfId="2272" xr:uid="{10389BDC-BC2A-43CE-800C-E0A4EBC0F06F}"/>
    <cellStyle name="Notas 75 2" xfId="2273" xr:uid="{D0866C5A-4D4E-4A50-AEF5-298AC0B5D440}"/>
    <cellStyle name="Notas 75 3" xfId="2274" xr:uid="{91177CF7-4B9A-41BD-B24C-5C15F31BDF49}"/>
    <cellStyle name="Notas 75 4" xfId="2275" xr:uid="{6F91E4B2-BB3E-49DE-95EE-8C92265AD45E}"/>
    <cellStyle name="Notas 75 5" xfId="2276" xr:uid="{9B01809D-F7CB-4054-954A-4BC519832BF8}"/>
    <cellStyle name="Notas 75 6" xfId="2277" xr:uid="{006C69C9-EC05-41D2-BEC9-591F5C3E78DB}"/>
    <cellStyle name="Notas 75 7" xfId="2278" xr:uid="{6EAB8A9D-0476-4E16-8DDF-16CC0976AF1A}"/>
    <cellStyle name="Notas 75 8" xfId="2279" xr:uid="{46AF4951-E997-41D1-A731-01BE0B3081B4}"/>
    <cellStyle name="Notas 75 9" xfId="2280" xr:uid="{D21B2BEB-833A-4A23-A9B7-BA0738DFEC1A}"/>
    <cellStyle name="Notas 76 10" xfId="2281" xr:uid="{BC6EC270-93CE-45D9-B329-6AA10F3A9E0A}"/>
    <cellStyle name="Notas 76 11" xfId="2282" xr:uid="{01AB2479-3EA9-4D55-9383-8D942FFB376B}"/>
    <cellStyle name="Notas 76 12" xfId="2283" xr:uid="{DE18CC28-A36E-4736-84AE-8AF66F7D4E81}"/>
    <cellStyle name="Notas 76 13" xfId="2284" xr:uid="{C3BB8722-B22F-4CF9-9523-992F61A1C380}"/>
    <cellStyle name="Notas 76 14" xfId="2285" xr:uid="{B1219062-9289-4A3A-8558-968D228CB3F8}"/>
    <cellStyle name="Notas 76 15" xfId="2286" xr:uid="{DEFF0C5C-00A0-4453-A103-7A2431F719E5}"/>
    <cellStyle name="Notas 76 2" xfId="2287" xr:uid="{CDC64B24-8559-4336-8BFA-D7484DB42E1B}"/>
    <cellStyle name="Notas 76 3" xfId="2288" xr:uid="{4FDE1847-4103-4BAF-930D-F7FF492F2E82}"/>
    <cellStyle name="Notas 76 4" xfId="2289" xr:uid="{790B6D31-AF10-4B70-B506-DCDDD317F15C}"/>
    <cellStyle name="Notas 76 5" xfId="2290" xr:uid="{6DE42A6A-2A0E-4C49-A1DE-6D678C00EC85}"/>
    <cellStyle name="Notas 76 6" xfId="2291" xr:uid="{529B5C46-AB34-48B1-B163-4B7C1ABD7241}"/>
    <cellStyle name="Notas 76 7" xfId="2292" xr:uid="{C30DCE24-C949-485B-A27F-F63D682FE3C6}"/>
    <cellStyle name="Notas 76 8" xfId="2293" xr:uid="{E71A5292-820A-43C1-9BF1-47FB83D11465}"/>
    <cellStyle name="Notas 76 9" xfId="2294" xr:uid="{1C19323B-42F1-494D-9BAA-53F8D16F39BB}"/>
    <cellStyle name="Notas 77 10" xfId="2295" xr:uid="{8615CB7A-91BA-4F9A-831A-D29AC1A3004B}"/>
    <cellStyle name="Notas 77 11" xfId="2296" xr:uid="{FF83700B-6677-4D7D-87CC-465E0C10C300}"/>
    <cellStyle name="Notas 77 12" xfId="2297" xr:uid="{603D1953-675B-450F-84D9-3D2CA39E9ECF}"/>
    <cellStyle name="Notas 77 13" xfId="2298" xr:uid="{75BE9D7B-D29C-418F-8778-6067115DACA2}"/>
    <cellStyle name="Notas 77 14" xfId="2299" xr:uid="{494CB7AC-3C3D-4749-A0CC-5625480A058A}"/>
    <cellStyle name="Notas 77 15" xfId="2300" xr:uid="{3C06F821-E2F7-4688-AA50-397146E95B53}"/>
    <cellStyle name="Notas 77 2" xfId="2301" xr:uid="{2AF36FDC-B602-4E64-AC10-B0DF5641BE0B}"/>
    <cellStyle name="Notas 77 3" xfId="2302" xr:uid="{7C987BEE-D56D-4839-9B7C-4F64C49A0EC2}"/>
    <cellStyle name="Notas 77 4" xfId="2303" xr:uid="{5C3869D9-D720-4109-B9CF-EE27D19231F8}"/>
    <cellStyle name="Notas 77 5" xfId="2304" xr:uid="{AEA51E72-0D4F-4FE5-8C4F-6D50F1B3464A}"/>
    <cellStyle name="Notas 77 6" xfId="2305" xr:uid="{39C7CA12-E3AF-433B-B3AF-7E309D6D9807}"/>
    <cellStyle name="Notas 77 7" xfId="2306" xr:uid="{FA7A0A81-0084-41BA-9D5D-69DC715B66A0}"/>
    <cellStyle name="Notas 77 8" xfId="2307" xr:uid="{4AA0F12F-2E9B-47FA-962E-68819785A126}"/>
    <cellStyle name="Notas 77 9" xfId="2308" xr:uid="{A46C08BA-5E16-4CA7-B67D-3718AFF56972}"/>
    <cellStyle name="Notas 78 10" xfId="2309" xr:uid="{2E07483C-734F-4F49-9F10-754B3372FDEE}"/>
    <cellStyle name="Notas 78 11" xfId="2310" xr:uid="{E72586B1-A029-41F0-836F-37F65219C74C}"/>
    <cellStyle name="Notas 78 12" xfId="2311" xr:uid="{763A2E49-8C80-4044-8E13-E17429417FC6}"/>
    <cellStyle name="Notas 78 13" xfId="2312" xr:uid="{0E88E195-BA66-4C67-BF81-B76FBE08A8C4}"/>
    <cellStyle name="Notas 78 14" xfId="2313" xr:uid="{E8244BC1-FA79-4C9A-874D-127206C606A2}"/>
    <cellStyle name="Notas 78 15" xfId="2314" xr:uid="{C7561264-73B6-42CD-8D29-DA72F0421E40}"/>
    <cellStyle name="Notas 78 2" xfId="2315" xr:uid="{F2F4E150-91CA-43D3-AD2A-15929B532823}"/>
    <cellStyle name="Notas 78 3" xfId="2316" xr:uid="{652D8324-AE68-4D3B-8D14-0F978C389E63}"/>
    <cellStyle name="Notas 78 4" xfId="2317" xr:uid="{138A875E-9CE0-476F-8F0E-55CE35F5905C}"/>
    <cellStyle name="Notas 78 5" xfId="2318" xr:uid="{FBF848DE-6D6E-4984-941E-7283A03EABD1}"/>
    <cellStyle name="Notas 78 6" xfId="2319" xr:uid="{CDE39536-BAB9-4262-82E2-5F851563A86D}"/>
    <cellStyle name="Notas 78 7" xfId="2320" xr:uid="{30441E9F-CC86-4144-85D8-72684203B26E}"/>
    <cellStyle name="Notas 78 8" xfId="2321" xr:uid="{3CA2DE0D-C05F-40FC-B05B-8AAEF5DDC243}"/>
    <cellStyle name="Notas 78 9" xfId="2322" xr:uid="{7E75F184-EC1A-4B5F-99C0-A34D9435FC6B}"/>
    <cellStyle name="Notas 79 10" xfId="2323" xr:uid="{5DD24C9F-1046-4E49-ACBD-C7CDCA7F70E7}"/>
    <cellStyle name="Notas 79 11" xfId="2324" xr:uid="{83DE674C-4ECF-4598-B500-4629E7E10F74}"/>
    <cellStyle name="Notas 79 12" xfId="2325" xr:uid="{C27AA6E7-8850-486B-9060-55D561425549}"/>
    <cellStyle name="Notas 79 13" xfId="2326" xr:uid="{E7156B78-1FBE-4320-9010-3844056121C7}"/>
    <cellStyle name="Notas 79 14" xfId="2327" xr:uid="{E5FBE68D-7404-4292-9A90-237DE65A3A3F}"/>
    <cellStyle name="Notas 79 15" xfId="2328" xr:uid="{EEFDE5BD-E5A4-4622-A794-96AEDADF2905}"/>
    <cellStyle name="Notas 79 2" xfId="2329" xr:uid="{282701D1-0055-401C-BBD3-61D731E870A9}"/>
    <cellStyle name="Notas 79 3" xfId="2330" xr:uid="{844D7651-755E-48B6-B7EB-092FBFD36FEA}"/>
    <cellStyle name="Notas 79 4" xfId="2331" xr:uid="{CC1B1829-CFDC-4B66-B85D-DB1ED558A4F1}"/>
    <cellStyle name="Notas 79 5" xfId="2332" xr:uid="{D7A03E2B-F464-491F-A264-D2703DDE8463}"/>
    <cellStyle name="Notas 79 6" xfId="2333" xr:uid="{E28313B5-6E6E-4999-82E4-2A201E662A68}"/>
    <cellStyle name="Notas 79 7" xfId="2334" xr:uid="{28B395D8-87A2-4478-ABD9-EE0E49A277C9}"/>
    <cellStyle name="Notas 79 8" xfId="2335" xr:uid="{EC1613BC-7AD7-448A-917A-D0DAAF49ACE8}"/>
    <cellStyle name="Notas 79 9" xfId="2336" xr:uid="{6F2CAB33-4980-4D57-A41C-F10DB08F14D7}"/>
    <cellStyle name="Notas 8 10" xfId="2337" xr:uid="{89380175-40A6-4402-B125-74F6C049CD3E}"/>
    <cellStyle name="Notas 8 11" xfId="2338" xr:uid="{005A3633-2A3D-4DB3-B317-AC3DA14C22F7}"/>
    <cellStyle name="Notas 8 12" xfId="2339" xr:uid="{5B229A05-1956-4C94-A6E4-C6BF7DFCFEBD}"/>
    <cellStyle name="Notas 8 13" xfId="2340" xr:uid="{35FBB692-95B3-44A0-9492-AA9D3142E03C}"/>
    <cellStyle name="Notas 8 14" xfId="2341" xr:uid="{98308EA7-F936-4570-94E4-D31347E601EC}"/>
    <cellStyle name="Notas 8 15" xfId="2342" xr:uid="{FCA11B81-EB79-43FE-BEB5-3DDEC9208616}"/>
    <cellStyle name="Notas 8 16" xfId="2343" xr:uid="{AA8B4608-98D1-4E8D-AF47-E8DBE34BF4BF}"/>
    <cellStyle name="Notas 8 17" xfId="2344" xr:uid="{77AA5046-9D60-49E6-A785-80C2AD547A12}"/>
    <cellStyle name="Notas 8 18" xfId="2345" xr:uid="{B91544DF-B470-44BD-814C-CDB7E8BAFD2C}"/>
    <cellStyle name="Notas 8 19" xfId="2346" xr:uid="{D6EBC862-B9D3-4B08-B95E-B7F57FDCDF4E}"/>
    <cellStyle name="Notas 8 2" xfId="2347" xr:uid="{3311EA7B-FE0D-449F-A19B-746CE8700D23}"/>
    <cellStyle name="Notas 8 20" xfId="2348" xr:uid="{70DE267C-5199-48E4-935B-F6796AC6E99A}"/>
    <cellStyle name="Notas 8 21" xfId="2349" xr:uid="{38967ADC-4E3B-4F9B-B82A-2A769106DBBB}"/>
    <cellStyle name="Notas 8 22" xfId="2350" xr:uid="{03AC06DE-D3DB-4C65-B490-CF8597DE8044}"/>
    <cellStyle name="Notas 8 23" xfId="2351" xr:uid="{7FA5D649-5440-496F-8DC6-FB326338EE7E}"/>
    <cellStyle name="Notas 8 24" xfId="2352" xr:uid="{6B627E93-5828-49EF-B166-D385FA1EFD83}"/>
    <cellStyle name="Notas 8 25" xfId="2353" xr:uid="{AE9595E1-E6FF-4192-8EA9-473361F755D5}"/>
    <cellStyle name="Notas 8 26" xfId="2354" xr:uid="{A491E0C6-CEAD-426B-A3BF-141C725000FF}"/>
    <cellStyle name="Notas 8 27" xfId="2355" xr:uid="{F8CA14EA-A57F-48AD-850F-B135DDBE1307}"/>
    <cellStyle name="Notas 8 28" xfId="2356" xr:uid="{0A0F06A7-90C9-4556-8CCC-8EAE84B678BC}"/>
    <cellStyle name="Notas 8 29" xfId="2357" xr:uid="{5C7CBC55-278E-4930-9472-26B54EA5A052}"/>
    <cellStyle name="Notas 8 3" xfId="2358" xr:uid="{53A6AC20-244B-4308-9855-0CB3F35A2645}"/>
    <cellStyle name="Notas 8 30" xfId="2359" xr:uid="{03232317-E66D-4D69-A589-01DFF3315C09}"/>
    <cellStyle name="Notas 8 31" xfId="2360" xr:uid="{356C3AD1-25B0-4F78-8AAF-6FF5E12A482D}"/>
    <cellStyle name="Notas 8 32" xfId="2361" xr:uid="{6C0A0B80-3E49-47CA-A560-8CCBCF5C8195}"/>
    <cellStyle name="Notas 8 33" xfId="2362" xr:uid="{AFFD634A-0837-438F-B2F0-4BAF8F448821}"/>
    <cellStyle name="Notas 8 34" xfId="2363" xr:uid="{A028E261-A4A3-462B-B38E-4F062C4A637B}"/>
    <cellStyle name="Notas 8 4" xfId="2364" xr:uid="{DAB56D5D-A5C0-4854-8416-3A9A134413C3}"/>
    <cellStyle name="Notas 8 5" xfId="2365" xr:uid="{8B2C8CF8-E0B2-4BF5-8320-FDA6FC53EB8A}"/>
    <cellStyle name="Notas 8 6" xfId="2366" xr:uid="{5C137F20-7610-4349-BBBE-BDDB31E5E0EC}"/>
    <cellStyle name="Notas 8 7" xfId="2367" xr:uid="{4A2648F8-FC96-43F2-BF2D-7EBE8DC3E13E}"/>
    <cellStyle name="Notas 8 8" xfId="2368" xr:uid="{CDFC5098-5AED-4A87-9188-ACB6407932DC}"/>
    <cellStyle name="Notas 8 9" xfId="2369" xr:uid="{1127C373-9BDA-48A5-9E2B-3CD7737A86A9}"/>
    <cellStyle name="Notas 80 10" xfId="2370" xr:uid="{412A3809-09A6-4FF2-AB6A-F0A70428C057}"/>
    <cellStyle name="Notas 80 11" xfId="2371" xr:uid="{52611C76-AB3E-4DE1-96BA-486251296A66}"/>
    <cellStyle name="Notas 80 12" xfId="2372" xr:uid="{F5387A55-4041-494A-A702-98BB6A6C2885}"/>
    <cellStyle name="Notas 80 13" xfId="2373" xr:uid="{2B8E1D80-BDE9-4853-8B14-FF01F2C9C5AC}"/>
    <cellStyle name="Notas 80 14" xfId="2374" xr:uid="{01D7DD5F-FE69-48AA-800F-C35B30E1F310}"/>
    <cellStyle name="Notas 80 15" xfId="2375" xr:uid="{C9ABEF04-33A3-435B-B242-D58D9FDFECF8}"/>
    <cellStyle name="Notas 80 2" xfId="2376" xr:uid="{401F06B0-F341-453A-8AF8-49DDF830164C}"/>
    <cellStyle name="Notas 80 3" xfId="2377" xr:uid="{8FDCA8F2-7B3A-4408-BA87-270072D218A2}"/>
    <cellStyle name="Notas 80 4" xfId="2378" xr:uid="{A7C828E8-2298-4FA3-A80D-6AED73607715}"/>
    <cellStyle name="Notas 80 5" xfId="2379" xr:uid="{5DA70039-3310-492A-9D7A-C810E65ACD87}"/>
    <cellStyle name="Notas 80 6" xfId="2380" xr:uid="{2A1E5D82-D9B4-4DC2-8951-AE3F08E515FB}"/>
    <cellStyle name="Notas 80 7" xfId="2381" xr:uid="{B386EE33-D2AD-4A84-8E46-6D516D37D1C6}"/>
    <cellStyle name="Notas 80 8" xfId="2382" xr:uid="{52AAEDE1-4680-4167-BB0F-034A85DDE9E9}"/>
    <cellStyle name="Notas 80 9" xfId="2383" xr:uid="{BCB190BA-8C3A-4234-82A5-A716E0A8D62E}"/>
    <cellStyle name="Notas 81 10" xfId="2384" xr:uid="{B7DB1086-EF9E-490E-A581-4DEA3EAD21BF}"/>
    <cellStyle name="Notas 81 11" xfId="2385" xr:uid="{AD677A26-0C17-4C56-B4E7-055608668D65}"/>
    <cellStyle name="Notas 81 12" xfId="2386" xr:uid="{1DC628D7-5BF9-4F3D-B7EB-C45435648AFD}"/>
    <cellStyle name="Notas 81 13" xfId="2387" xr:uid="{D3C88027-AB48-48A0-955A-B7270E65732D}"/>
    <cellStyle name="Notas 81 14" xfId="2388" xr:uid="{09E90322-64BD-419C-A73D-5C036E4DCB4F}"/>
    <cellStyle name="Notas 81 15" xfId="2389" xr:uid="{1E00F91B-492C-4E05-93BD-56D8703BAA1C}"/>
    <cellStyle name="Notas 81 2" xfId="2390" xr:uid="{AD286014-3EB9-4601-ABEE-B92942D392B0}"/>
    <cellStyle name="Notas 81 3" xfId="2391" xr:uid="{F093DC64-4B63-4D6E-B3F9-6E5B869E4F12}"/>
    <cellStyle name="Notas 81 4" xfId="2392" xr:uid="{EE09F277-5811-44A3-ADA8-A25ED5D8C7E1}"/>
    <cellStyle name="Notas 81 5" xfId="2393" xr:uid="{67A08477-401A-4652-B76F-24B5A2DF4612}"/>
    <cellStyle name="Notas 81 6" xfId="2394" xr:uid="{75F1AD8F-64C5-4EED-AE31-C6586F7179AB}"/>
    <cellStyle name="Notas 81 7" xfId="2395" xr:uid="{BFB191BF-96CF-4AD0-AD18-E54468C09971}"/>
    <cellStyle name="Notas 81 8" xfId="2396" xr:uid="{58E7C0A4-8E4D-4AE7-B22A-374B83DAEC24}"/>
    <cellStyle name="Notas 81 9" xfId="2397" xr:uid="{D2B21309-A74A-4937-A6F4-8B850200FA52}"/>
    <cellStyle name="Notas 82 10" xfId="2398" xr:uid="{808D091E-6BE4-4AA0-998D-BA5234DF1047}"/>
    <cellStyle name="Notas 82 11" xfId="2399" xr:uid="{A6FA1621-121A-4FD6-9AFC-0E0AFD6CB2C5}"/>
    <cellStyle name="Notas 82 12" xfId="2400" xr:uid="{537891B4-6CAC-4B76-AE96-263A31462FE2}"/>
    <cellStyle name="Notas 82 13" xfId="2401" xr:uid="{77567A27-77DD-4021-99E3-98D685FB5918}"/>
    <cellStyle name="Notas 82 14" xfId="2402" xr:uid="{F8C39F8C-D9A6-4662-837E-6530C992E596}"/>
    <cellStyle name="Notas 82 15" xfId="2403" xr:uid="{079BAF86-750D-415C-BE78-0414AC828B13}"/>
    <cellStyle name="Notas 82 2" xfId="2404" xr:uid="{01BBD9AB-830C-4D82-A00C-4600526C259F}"/>
    <cellStyle name="Notas 82 3" xfId="2405" xr:uid="{345D8257-E79C-44C6-81AA-E54EF4F69FCA}"/>
    <cellStyle name="Notas 82 4" xfId="2406" xr:uid="{86E0BE0D-FDFF-41D6-B027-22B66DF2DBEF}"/>
    <cellStyle name="Notas 82 5" xfId="2407" xr:uid="{43E6C924-C509-4D89-BFA4-3C3704BE356A}"/>
    <cellStyle name="Notas 82 6" xfId="2408" xr:uid="{59F00FEB-37DD-408C-9FB1-92116C7B560B}"/>
    <cellStyle name="Notas 82 7" xfId="2409" xr:uid="{8D729351-5378-4416-916A-5AAEF883E472}"/>
    <cellStyle name="Notas 82 8" xfId="2410" xr:uid="{BFE70DD0-225D-476A-AF77-45C1DCCEFBAB}"/>
    <cellStyle name="Notas 82 9" xfId="2411" xr:uid="{4A83303B-834C-40EF-9C4A-E841D0F52BF5}"/>
    <cellStyle name="Notas 83 10" xfId="2412" xr:uid="{A628239B-63DE-4CDB-8F2C-4CEDF48CB3CE}"/>
    <cellStyle name="Notas 83 11" xfId="2413" xr:uid="{312D5B10-5D1C-4B07-9CBD-6E50D3CD948C}"/>
    <cellStyle name="Notas 83 12" xfId="2414" xr:uid="{DF9511A3-F550-4A1B-A0B0-2062D0214D5E}"/>
    <cellStyle name="Notas 83 13" xfId="2415" xr:uid="{27AFE23A-4944-4B74-B1D7-1A3EF6D72657}"/>
    <cellStyle name="Notas 83 14" xfId="2416" xr:uid="{E6039D76-97A4-4128-8888-B5FB9348F1F5}"/>
    <cellStyle name="Notas 83 15" xfId="2417" xr:uid="{1364A762-7DBC-4E84-B9E0-56DBC7BE8526}"/>
    <cellStyle name="Notas 83 2" xfId="2418" xr:uid="{E0A22891-5FFB-4778-B13E-C0476DBC9D5D}"/>
    <cellStyle name="Notas 83 3" xfId="2419" xr:uid="{8ECF9F3B-872A-472C-A755-C9E311D01C0F}"/>
    <cellStyle name="Notas 83 4" xfId="2420" xr:uid="{4FE7FFCA-6655-406D-86A9-29A82A0CD088}"/>
    <cellStyle name="Notas 83 5" xfId="2421" xr:uid="{25908A82-EB7F-4F11-AE88-A5A7312D1C50}"/>
    <cellStyle name="Notas 83 6" xfId="2422" xr:uid="{3E9AC674-42E2-4EDA-8800-C9C41BA2ECCA}"/>
    <cellStyle name="Notas 83 7" xfId="2423" xr:uid="{A8AC39DE-762C-4871-9E10-1861853D1315}"/>
    <cellStyle name="Notas 83 8" xfId="2424" xr:uid="{BD15AAFD-6DEE-449E-BB77-8A969C864E95}"/>
    <cellStyle name="Notas 83 9" xfId="2425" xr:uid="{E288ECB1-F423-4D5B-9428-1A7D3DA1D4EE}"/>
    <cellStyle name="Notas 84 10" xfId="2426" xr:uid="{810BD30A-052D-42A2-AA62-EA917ABD021D}"/>
    <cellStyle name="Notas 84 11" xfId="2427" xr:uid="{DAEFCA02-CB43-4358-AD16-2085BEFA4555}"/>
    <cellStyle name="Notas 84 12" xfId="2428" xr:uid="{A99C777F-7E4A-4B89-B423-34CA037D503D}"/>
    <cellStyle name="Notas 84 13" xfId="2429" xr:uid="{CB191F42-42F4-4B5F-AA52-ED78D577B37A}"/>
    <cellStyle name="Notas 84 14" xfId="2430" xr:uid="{F6E47916-9609-47F8-B0D7-E2F14BEB0FAC}"/>
    <cellStyle name="Notas 84 15" xfId="2431" xr:uid="{73EECEB3-E498-4AA7-88CA-D45145C57BD5}"/>
    <cellStyle name="Notas 84 2" xfId="2432" xr:uid="{2823EDB2-2DCB-487D-8DD3-728B27427680}"/>
    <cellStyle name="Notas 84 3" xfId="2433" xr:uid="{D97E5316-B5AD-494A-9017-847A6411C49E}"/>
    <cellStyle name="Notas 84 4" xfId="2434" xr:uid="{35806A5D-37F9-4335-8996-A9DAD5544933}"/>
    <cellStyle name="Notas 84 5" xfId="2435" xr:uid="{D0664A21-EAC2-4579-AFA7-3FAB2FC9135B}"/>
    <cellStyle name="Notas 84 6" xfId="2436" xr:uid="{D7E2530C-5C82-4A22-BA82-0CA20F2FE0E1}"/>
    <cellStyle name="Notas 84 7" xfId="2437" xr:uid="{7C450D15-4FDC-4C63-B97C-5645577D5A70}"/>
    <cellStyle name="Notas 84 8" xfId="2438" xr:uid="{B4F542EF-28D3-4847-9BD6-59C56614D1A4}"/>
    <cellStyle name="Notas 84 9" xfId="2439" xr:uid="{C042796F-A853-41A1-A2DF-CF453EAE6218}"/>
    <cellStyle name="Notas 85 10" xfId="2440" xr:uid="{1DA39C24-2BD6-4083-8A37-063C1B99B620}"/>
    <cellStyle name="Notas 85 11" xfId="2441" xr:uid="{4C237F81-8167-434E-902B-450419CEFD16}"/>
    <cellStyle name="Notas 85 12" xfId="2442" xr:uid="{71F96587-BCF1-42C2-9F89-884DD15DE66B}"/>
    <cellStyle name="Notas 85 13" xfId="2443" xr:uid="{4CAC01EF-451E-4559-B294-21460A0A5543}"/>
    <cellStyle name="Notas 85 14" xfId="2444" xr:uid="{F8052709-4745-43E3-B3AC-7080834DF8BB}"/>
    <cellStyle name="Notas 85 15" xfId="2445" xr:uid="{61B71250-BCF6-44DB-A62E-3BB317A72E9C}"/>
    <cellStyle name="Notas 85 2" xfId="2446" xr:uid="{5722A0FB-E2CE-4834-B93C-367CD6E769EB}"/>
    <cellStyle name="Notas 85 3" xfId="2447" xr:uid="{46BDB5DF-3055-476C-854B-2B8C6B95DE50}"/>
    <cellStyle name="Notas 85 4" xfId="2448" xr:uid="{198ADF31-22AE-4F47-9E1C-744FBB792045}"/>
    <cellStyle name="Notas 85 5" xfId="2449" xr:uid="{B41A9865-E487-4F51-9AEB-2069976224DC}"/>
    <cellStyle name="Notas 85 6" xfId="2450" xr:uid="{C5FA1323-BBDE-46FB-AEB0-AE48233B823D}"/>
    <cellStyle name="Notas 85 7" xfId="2451" xr:uid="{9FCC9246-663B-4E8B-ABF4-1165D6E15588}"/>
    <cellStyle name="Notas 85 8" xfId="2452" xr:uid="{98526050-460A-4ACC-8B99-8AF66A5556D2}"/>
    <cellStyle name="Notas 85 9" xfId="2453" xr:uid="{2D2560A6-5AAD-49BF-993C-33C05AA5E647}"/>
    <cellStyle name="Notas 86 10" xfId="2454" xr:uid="{3F385DE2-AB23-4853-8D90-EF123021F7F7}"/>
    <cellStyle name="Notas 86 11" xfId="2455" xr:uid="{6141E30C-A811-429C-BF1A-3C81810DD742}"/>
    <cellStyle name="Notas 86 12" xfId="2456" xr:uid="{2EDB1D08-3149-4742-9C95-1C2E5EE128D3}"/>
    <cellStyle name="Notas 86 13" xfId="2457" xr:uid="{FA1678C3-FC03-4C41-B970-6CCBBA811A37}"/>
    <cellStyle name="Notas 86 14" xfId="2458" xr:uid="{1537B08A-0B4F-4801-9FEE-EDA5A7941118}"/>
    <cellStyle name="Notas 86 15" xfId="2459" xr:uid="{4747DE70-8613-4401-9DED-2F7430AA56E0}"/>
    <cellStyle name="Notas 86 2" xfId="2460" xr:uid="{8C46DB75-1742-441B-9320-41DF81EE7504}"/>
    <cellStyle name="Notas 86 3" xfId="2461" xr:uid="{06688E0E-3AE2-42F1-BADC-F3AF8F4DEB58}"/>
    <cellStyle name="Notas 86 4" xfId="2462" xr:uid="{7A7F4DCD-7BC1-495E-8613-2CB5506B0F08}"/>
    <cellStyle name="Notas 86 5" xfId="2463" xr:uid="{94A4FB00-0302-4372-AF39-050C375C4E26}"/>
    <cellStyle name="Notas 86 6" xfId="2464" xr:uid="{ACC48F81-CAEF-4138-8E0C-DE9D25ACCED8}"/>
    <cellStyle name="Notas 86 7" xfId="2465" xr:uid="{7224BF09-158E-42DF-BF0C-3637C4C43D71}"/>
    <cellStyle name="Notas 86 8" xfId="2466" xr:uid="{C2B8D595-9790-4502-BB0D-504271DB1CD1}"/>
    <cellStyle name="Notas 86 9" xfId="2467" xr:uid="{80E61E95-AC45-4DCE-9955-163AA1B8E913}"/>
    <cellStyle name="Notas 87 10" xfId="2468" xr:uid="{ACA8461A-6DA0-460D-9C21-BB167AA627D1}"/>
    <cellStyle name="Notas 87 11" xfId="2469" xr:uid="{EABCB776-E886-4942-A6AF-95B70F8431D3}"/>
    <cellStyle name="Notas 87 12" xfId="2470" xr:uid="{3C930C8C-2145-45B5-B3BB-CB89208D6BB9}"/>
    <cellStyle name="Notas 87 13" xfId="2471" xr:uid="{D8D9EED3-30B8-4A17-9200-FA442E387726}"/>
    <cellStyle name="Notas 87 14" xfId="2472" xr:uid="{74CB2E29-D1C1-4739-89EB-92145F368880}"/>
    <cellStyle name="Notas 87 15" xfId="2473" xr:uid="{BAEB1C86-179C-41BC-81C8-AF5355B74B24}"/>
    <cellStyle name="Notas 87 2" xfId="2474" xr:uid="{C430F375-E13A-4A21-B378-93B632508202}"/>
    <cellStyle name="Notas 87 3" xfId="2475" xr:uid="{A4564E1C-55E7-4D88-882E-7F3FDBA2F72A}"/>
    <cellStyle name="Notas 87 4" xfId="2476" xr:uid="{6858C170-519C-478C-BFC9-DDC00A65E849}"/>
    <cellStyle name="Notas 87 5" xfId="2477" xr:uid="{A79E30E4-19EE-4AD2-98AA-507FDA1B856F}"/>
    <cellStyle name="Notas 87 6" xfId="2478" xr:uid="{035E2713-DB81-4E79-8905-82A2FDC90440}"/>
    <cellStyle name="Notas 87 7" xfId="2479" xr:uid="{77A7FAEC-408B-4495-8E12-B5E1A0F0B5F9}"/>
    <cellStyle name="Notas 87 8" xfId="2480" xr:uid="{876B18D2-8A85-48C3-80D2-D263E34B1576}"/>
    <cellStyle name="Notas 87 9" xfId="2481" xr:uid="{31A8C8D8-0DB3-407D-A596-23FAD658332E}"/>
    <cellStyle name="Notas 88 10" xfId="2482" xr:uid="{13A722F2-1328-4B12-BF83-972574DDA281}"/>
    <cellStyle name="Notas 88 11" xfId="2483" xr:uid="{7C7A930F-DA95-4643-B1DB-692AD5CC9A3F}"/>
    <cellStyle name="Notas 88 12" xfId="2484" xr:uid="{D55C0CC1-6A28-42E2-8147-A4EA4319EC65}"/>
    <cellStyle name="Notas 88 13" xfId="2485" xr:uid="{69393F2C-452A-44EF-9155-D6F675AAFA76}"/>
    <cellStyle name="Notas 88 14" xfId="2486" xr:uid="{9DA7D2ED-8DC4-4AEC-8D16-CDABE9F2D792}"/>
    <cellStyle name="Notas 88 15" xfId="2487" xr:uid="{6EDD6F04-080A-4285-96B5-3C06BC17F9D5}"/>
    <cellStyle name="Notas 88 2" xfId="2488" xr:uid="{713BD7FE-5241-4ECF-A83D-FBF409BA91F4}"/>
    <cellStyle name="Notas 88 3" xfId="2489" xr:uid="{4BC7E4AC-2300-4A41-A893-10427BA69D70}"/>
    <cellStyle name="Notas 88 4" xfId="2490" xr:uid="{CE066B75-C90E-4C2B-AEA9-8351B2BD470D}"/>
    <cellStyle name="Notas 88 5" xfId="2491" xr:uid="{8249FCFC-C6E9-4D85-AA96-4E31A64DBD61}"/>
    <cellStyle name="Notas 88 6" xfId="2492" xr:uid="{74619157-10D8-4641-A4EF-076D6F2E87B4}"/>
    <cellStyle name="Notas 88 7" xfId="2493" xr:uid="{11AEF91E-0F81-4BD5-A311-CC3F3E7DD953}"/>
    <cellStyle name="Notas 88 8" xfId="2494" xr:uid="{68285A42-619D-4778-961B-AE3E94CCA4A1}"/>
    <cellStyle name="Notas 88 9" xfId="2495" xr:uid="{1D6156C7-C996-40AE-88AE-C6207108CE1C}"/>
    <cellStyle name="Notas 89 10" xfId="2496" xr:uid="{E85EB0FF-80A3-4BCB-839D-67EF1E10A4D7}"/>
    <cellStyle name="Notas 89 11" xfId="2497" xr:uid="{DE87CE06-D2F1-49CD-AF5F-86F39721CEB0}"/>
    <cellStyle name="Notas 89 12" xfId="2498" xr:uid="{617C59B7-6174-4152-B9FB-77477CE55C9E}"/>
    <cellStyle name="Notas 89 13" xfId="2499" xr:uid="{4BCBA4DC-E811-4D6A-B95E-3267DCBEFD45}"/>
    <cellStyle name="Notas 89 14" xfId="2500" xr:uid="{3B157AFD-76D3-4588-9563-7E6F5FACACD6}"/>
    <cellStyle name="Notas 89 15" xfId="2501" xr:uid="{27AC4530-449C-4240-AC3C-E9572059BF07}"/>
    <cellStyle name="Notas 89 2" xfId="2502" xr:uid="{811C7D82-10DA-4BC2-B078-DD5706592F5B}"/>
    <cellStyle name="Notas 89 3" xfId="2503" xr:uid="{863DC8ED-42A2-488A-B4E1-B859F66CD5D0}"/>
    <cellStyle name="Notas 89 4" xfId="2504" xr:uid="{A3EA8D95-B76D-41B4-A2F1-080ED870F750}"/>
    <cellStyle name="Notas 89 5" xfId="2505" xr:uid="{2E26C08C-FA0C-4B24-969C-C5D0FAE3FE15}"/>
    <cellStyle name="Notas 89 6" xfId="2506" xr:uid="{A55DDB58-501E-48F8-9F3F-3381DE52AF29}"/>
    <cellStyle name="Notas 89 7" xfId="2507" xr:uid="{02537F0D-12F5-464D-80B7-1EE067093FDA}"/>
    <cellStyle name="Notas 89 8" xfId="2508" xr:uid="{11D67615-B284-48BC-A450-593D0A79F411}"/>
    <cellStyle name="Notas 89 9" xfId="2509" xr:uid="{608A4F43-1854-4B44-B58A-549F61A6824F}"/>
    <cellStyle name="Notas 9 10" xfId="2510" xr:uid="{7026ECCF-34E5-4338-877D-55C54AA858E2}"/>
    <cellStyle name="Notas 9 11" xfId="2511" xr:uid="{3470E3C5-925D-403C-B9E3-15C029B232D8}"/>
    <cellStyle name="Notas 9 12" xfId="2512" xr:uid="{234E7736-E9CF-4B84-B0AD-9C339305F56F}"/>
    <cellStyle name="Notas 9 13" xfId="2513" xr:uid="{5162C072-67C6-4AFD-AEBE-6472CFE0B673}"/>
    <cellStyle name="Notas 9 14" xfId="2514" xr:uid="{EC596E09-E755-4F6B-99BE-2E03DEF1F1D7}"/>
    <cellStyle name="Notas 9 15" xfId="2515" xr:uid="{2BA571CA-7489-4AF4-8F94-18F487D4C9AF}"/>
    <cellStyle name="Notas 9 16" xfId="2516" xr:uid="{A1672297-E44B-430A-8854-A6C6702A7EDB}"/>
    <cellStyle name="Notas 9 17" xfId="2517" xr:uid="{3BFCC2F1-67CC-41F5-A876-55B76705B6A3}"/>
    <cellStyle name="Notas 9 18" xfId="2518" xr:uid="{AEC4CDA8-93EA-4762-AEAC-F92C9E777395}"/>
    <cellStyle name="Notas 9 19" xfId="2519" xr:uid="{9AB981E4-8495-40E2-996F-EAD693C40724}"/>
    <cellStyle name="Notas 9 2" xfId="2520" xr:uid="{78C11756-8408-4863-9658-9CA74C20A1FF}"/>
    <cellStyle name="Notas 9 20" xfId="2521" xr:uid="{E70CB3AB-3D71-4AEE-A45F-82E0C38B1CF8}"/>
    <cellStyle name="Notas 9 21" xfId="2522" xr:uid="{ED772981-BAFE-4070-9783-0E5CFFA3882D}"/>
    <cellStyle name="Notas 9 22" xfId="2523" xr:uid="{CD5FC796-2E56-4CBC-AA88-5BA221B0DAEB}"/>
    <cellStyle name="Notas 9 23" xfId="2524" xr:uid="{8D4517CE-4176-4288-91DD-1144B66CC1DD}"/>
    <cellStyle name="Notas 9 24" xfId="2525" xr:uid="{414B154A-B138-4BBE-AE82-475283C8DF9C}"/>
    <cellStyle name="Notas 9 25" xfId="2526" xr:uid="{BD4D768C-53B4-4AE8-A6D2-45766E61BBE5}"/>
    <cellStyle name="Notas 9 26" xfId="2527" xr:uid="{FDD6F7A2-9B29-4F1C-AFF2-0542C5F3E2EE}"/>
    <cellStyle name="Notas 9 27" xfId="2528" xr:uid="{C9E8AF41-C2CE-468E-B223-57CE440B10B5}"/>
    <cellStyle name="Notas 9 28" xfId="2529" xr:uid="{8CBDFBBB-38C1-4F73-BBA4-E61FC6AE0039}"/>
    <cellStyle name="Notas 9 29" xfId="2530" xr:uid="{F6E82B5D-C1FA-42A8-9B57-92E530D86A79}"/>
    <cellStyle name="Notas 9 3" xfId="2531" xr:uid="{2DADCEF9-7085-4EAD-81ED-F66023A0EBCC}"/>
    <cellStyle name="Notas 9 30" xfId="2532" xr:uid="{28120959-ECA1-4724-9B55-EFBF8652AC84}"/>
    <cellStyle name="Notas 9 31" xfId="2533" xr:uid="{F45C1B2B-4619-4F0B-BC0E-69CD0D697C6F}"/>
    <cellStyle name="Notas 9 32" xfId="2534" xr:uid="{5A403263-652E-48C2-9041-118CA4BBC188}"/>
    <cellStyle name="Notas 9 33" xfId="2535" xr:uid="{FCC7AC84-81B8-4BFC-8B79-ECA5C67CC92C}"/>
    <cellStyle name="Notas 9 34" xfId="2536" xr:uid="{77B95030-2E03-484B-98D3-9D9569DBF044}"/>
    <cellStyle name="Notas 9 4" xfId="2537" xr:uid="{2D0A0AC1-1267-4FA3-8845-4DB3C9C1BAF6}"/>
    <cellStyle name="Notas 9 5" xfId="2538" xr:uid="{C87FEFC0-A1A1-4EAE-ABE3-23DF08D694A4}"/>
    <cellStyle name="Notas 9 6" xfId="2539" xr:uid="{5F4B7D90-0ECF-4769-A3B6-F4EB7D8BEBA8}"/>
    <cellStyle name="Notas 9 7" xfId="2540" xr:uid="{D2FC718A-D350-463A-B29D-FE8E44AC0093}"/>
    <cellStyle name="Notas 9 8" xfId="2541" xr:uid="{385F836A-D483-4771-B5E5-CE0081D532BD}"/>
    <cellStyle name="Notas 9 9" xfId="2542" xr:uid="{CC939C2D-5963-4751-BA7A-A5145FEFD99F}"/>
    <cellStyle name="Notas 90 10" xfId="2543" xr:uid="{A64F1C47-E347-4F59-AC06-3D88F802BEEA}"/>
    <cellStyle name="Notas 90 11" xfId="2544" xr:uid="{4546DC6A-E0B4-46B0-96E7-E5348CE0E084}"/>
    <cellStyle name="Notas 90 12" xfId="2545" xr:uid="{F6C835AB-F4E6-4B7B-8902-A4895EDA29E4}"/>
    <cellStyle name="Notas 90 13" xfId="2546" xr:uid="{C43C23D7-5094-419C-ADFA-0479063F4848}"/>
    <cellStyle name="Notas 90 14" xfId="2547" xr:uid="{5C9C05C7-B75D-421B-99B3-6AF95C2DF3B0}"/>
    <cellStyle name="Notas 90 15" xfId="2548" xr:uid="{5E3DE265-77FF-4BD0-8BCF-CD3BD8ED3F7B}"/>
    <cellStyle name="Notas 90 2" xfId="2549" xr:uid="{E85BE51E-683B-4174-8477-2A8109D6A4E3}"/>
    <cellStyle name="Notas 90 3" xfId="2550" xr:uid="{2CFF3BC9-1CFA-4852-9234-9084C02F83FB}"/>
    <cellStyle name="Notas 90 4" xfId="2551" xr:uid="{77DA082A-1F22-4B77-BC98-C21AB3C4381E}"/>
    <cellStyle name="Notas 90 5" xfId="2552" xr:uid="{2B5FB2F7-8C03-483F-8743-64043123BBBC}"/>
    <cellStyle name="Notas 90 6" xfId="2553" xr:uid="{778A4F17-85E6-4055-A87F-DE7D5FAF0B68}"/>
    <cellStyle name="Notas 90 7" xfId="2554" xr:uid="{68CBAD5C-7695-4227-B124-5D7320E83239}"/>
    <cellStyle name="Notas 90 8" xfId="2555" xr:uid="{52C6AB0C-8D4E-42E5-A186-5609B62DE765}"/>
    <cellStyle name="Notas 90 9" xfId="2556" xr:uid="{21448D2D-F8E0-441B-ABE5-996DEB15AA08}"/>
    <cellStyle name="Notas 91 10" xfId="2557" xr:uid="{C5DF377E-BEC8-4F0C-9BF7-E812C36E08BE}"/>
    <cellStyle name="Notas 91 11" xfId="2558" xr:uid="{C7AC80CB-A8F2-4EE2-81B5-7EF929182F8F}"/>
    <cellStyle name="Notas 91 12" xfId="2559" xr:uid="{9C7DBE95-6914-4112-BA9F-4DEC84324F28}"/>
    <cellStyle name="Notas 91 13" xfId="2560" xr:uid="{7FCA1732-0388-46E7-B55B-083F32B62E58}"/>
    <cellStyle name="Notas 91 14" xfId="2561" xr:uid="{A346AE10-4CF5-42A5-BFAE-8A7DD106F8F7}"/>
    <cellStyle name="Notas 91 15" xfId="2562" xr:uid="{659EB843-6ED2-430E-AA04-543ADDF63897}"/>
    <cellStyle name="Notas 91 2" xfId="2563" xr:uid="{60CC08B8-1814-4786-9ADD-C0856773369B}"/>
    <cellStyle name="Notas 91 3" xfId="2564" xr:uid="{7314D735-13A2-4434-9C9E-B77B4BBA3CC2}"/>
    <cellStyle name="Notas 91 4" xfId="2565" xr:uid="{72B93B85-7651-4E63-A431-66BE8EFAC468}"/>
    <cellStyle name="Notas 91 5" xfId="2566" xr:uid="{C0373D0A-0DE8-4603-8E26-01742E7C0C4F}"/>
    <cellStyle name="Notas 91 6" xfId="2567" xr:uid="{E07D2AB8-6269-49D7-A1A3-47CB8806AAB8}"/>
    <cellStyle name="Notas 91 7" xfId="2568" xr:uid="{DBB3E3E6-00BF-4321-B1FA-9A938B18967A}"/>
    <cellStyle name="Notas 91 8" xfId="2569" xr:uid="{21BE03DE-99E9-4791-97C6-D10A1C0B3F77}"/>
    <cellStyle name="Notas 91 9" xfId="2570" xr:uid="{37A694EF-F63E-4D47-95DB-323363707F5E}"/>
    <cellStyle name="Notas 92 10" xfId="2571" xr:uid="{9D96DCBB-428C-43A5-B14B-A323D59DE0A8}"/>
    <cellStyle name="Notas 92 11" xfId="2572" xr:uid="{444459D5-E9A8-4A9D-BCBF-48C76C26228B}"/>
    <cellStyle name="Notas 92 12" xfId="2573" xr:uid="{A6000F25-25BF-4AB3-8E83-588849B79C12}"/>
    <cellStyle name="Notas 92 13" xfId="2574" xr:uid="{FA2B5E37-8129-41B9-B0B9-47A649F2AEF1}"/>
    <cellStyle name="Notas 92 14" xfId="2575" xr:uid="{8DB4FA79-FD58-4D3B-B979-9D03EE9940A1}"/>
    <cellStyle name="Notas 92 15" xfId="2576" xr:uid="{45D823FD-0AF0-4039-95E4-54071F6D88D8}"/>
    <cellStyle name="Notas 92 2" xfId="2577" xr:uid="{F7CDFC9E-05E6-42A4-B5BB-C084B7342A55}"/>
    <cellStyle name="Notas 92 3" xfId="2578" xr:uid="{CBE274B5-D9E9-4E43-B188-7D6DA1CFBAB2}"/>
    <cellStyle name="Notas 92 4" xfId="2579" xr:uid="{75562880-3681-4FC7-896A-78BE77D39DD2}"/>
    <cellStyle name="Notas 92 5" xfId="2580" xr:uid="{47D679B6-8883-4265-B6F6-B4669B27A910}"/>
    <cellStyle name="Notas 92 6" xfId="2581" xr:uid="{E1930BB3-72B8-4BF7-A13E-61CE96A72104}"/>
    <cellStyle name="Notas 92 7" xfId="2582" xr:uid="{4A798C66-5D16-44DC-9BB0-D93575AA61FD}"/>
    <cellStyle name="Notas 92 8" xfId="2583" xr:uid="{50AFCA41-A866-4C65-A309-11208A88B138}"/>
    <cellStyle name="Notas 92 9" xfId="2584" xr:uid="{37AC711E-7C80-42B6-A156-6746D7CC206F}"/>
    <cellStyle name="Notas 93 10" xfId="2585" xr:uid="{68753F6D-2DA6-459F-B421-9D3B97D3A81E}"/>
    <cellStyle name="Notas 93 11" xfId="2586" xr:uid="{4DD7662C-9E03-4CD3-B90E-39A96E22BE2F}"/>
    <cellStyle name="Notas 93 12" xfId="2587" xr:uid="{3BE9A5BE-9C33-447A-A975-846D2951CE1B}"/>
    <cellStyle name="Notas 93 13" xfId="2588" xr:uid="{152ECC26-1012-42B5-88F6-23F1E3C33978}"/>
    <cellStyle name="Notas 93 14" xfId="2589" xr:uid="{488F4FF0-D1CE-4325-96C9-BDB6304A0830}"/>
    <cellStyle name="Notas 93 15" xfId="2590" xr:uid="{902F8C48-EAD8-4F39-932E-6BCE17AADB35}"/>
    <cellStyle name="Notas 93 2" xfId="2591" xr:uid="{F5D71E79-AC31-4271-98A4-97F563F67AA6}"/>
    <cellStyle name="Notas 93 3" xfId="2592" xr:uid="{AF9E158D-225F-4748-8B3C-0C99BCAAB0C5}"/>
    <cellStyle name="Notas 93 4" xfId="2593" xr:uid="{AE87D38C-F071-4338-B0C9-26C785D11DC0}"/>
    <cellStyle name="Notas 93 5" xfId="2594" xr:uid="{7034F43A-3B83-4A44-B43F-D71515958453}"/>
    <cellStyle name="Notas 93 6" xfId="2595" xr:uid="{193CB4ED-9E0C-4E04-8382-F6DA85F832D6}"/>
    <cellStyle name="Notas 93 7" xfId="2596" xr:uid="{11A3D962-9D37-4D7D-815F-DC33099AAB33}"/>
    <cellStyle name="Notas 93 8" xfId="2597" xr:uid="{71D5E070-7402-41D0-A35A-5A9E98B1EA2C}"/>
    <cellStyle name="Notas 93 9" xfId="2598" xr:uid="{B94BC5BF-E111-4512-BD0B-F50457EF168E}"/>
    <cellStyle name="Notas 94 10" xfId="2599" xr:uid="{55C1E9E0-6200-4242-BDE8-3D266C9ACEC9}"/>
    <cellStyle name="Notas 94 11" xfId="2600" xr:uid="{73E48285-3D40-490D-9857-851801B37749}"/>
    <cellStyle name="Notas 94 12" xfId="2601" xr:uid="{90FBFF11-A7AD-46B3-9F22-6F46C23B91AC}"/>
    <cellStyle name="Notas 94 13" xfId="2602" xr:uid="{A97AE225-8948-4F71-874B-730984179102}"/>
    <cellStyle name="Notas 94 14" xfId="2603" xr:uid="{316A6D76-7A0C-4BD4-80C2-95D213BF18DC}"/>
    <cellStyle name="Notas 94 2" xfId="2604" xr:uid="{2BF2B499-85BC-4073-BFCC-5FCFE08B10E8}"/>
    <cellStyle name="Notas 94 3" xfId="2605" xr:uid="{D75825C2-864B-4DEC-A976-1FB2B97AE98B}"/>
    <cellStyle name="Notas 94 4" xfId="2606" xr:uid="{DA2C8D12-9692-4537-9FED-D6C7A0CBD48E}"/>
    <cellStyle name="Notas 94 5" xfId="2607" xr:uid="{C0071166-06F5-4D97-B9DF-723535A16C2A}"/>
    <cellStyle name="Notas 94 6" xfId="2608" xr:uid="{A4B448B9-C502-40B5-B4BE-EA8D6F7ECC2E}"/>
    <cellStyle name="Notas 94 7" xfId="2609" xr:uid="{339AB923-B7C1-449C-876B-0BD25FDB18D2}"/>
    <cellStyle name="Notas 94 8" xfId="2610" xr:uid="{83D841E9-E98A-440E-B233-06C75F084085}"/>
    <cellStyle name="Notas 94 9" xfId="2611" xr:uid="{074643D9-3C93-4982-A410-AE40F0A27524}"/>
    <cellStyle name="Notas 95 10" xfId="2612" xr:uid="{D7F163A2-AF1F-4DA9-A16D-93BA81E43E4E}"/>
    <cellStyle name="Notas 95 11" xfId="2613" xr:uid="{91E61951-BDF5-4963-83C5-F2EC217058CF}"/>
    <cellStyle name="Notas 95 12" xfId="2614" xr:uid="{EC86E9CE-EEC1-4114-988B-7CB1105AAD70}"/>
    <cellStyle name="Notas 95 13" xfId="2615" xr:uid="{E57F3207-2B33-42A8-9C18-888C62D4645C}"/>
    <cellStyle name="Notas 95 14" xfId="2616" xr:uid="{D37AF39D-D331-4452-B19B-B166AC030EC2}"/>
    <cellStyle name="Notas 95 2" xfId="2617" xr:uid="{F617ACB7-C4A1-4B9D-BDDE-B39778880C09}"/>
    <cellStyle name="Notas 95 3" xfId="2618" xr:uid="{C106DDCD-3BA9-4CF4-A074-202BD918C864}"/>
    <cellStyle name="Notas 95 4" xfId="2619" xr:uid="{C28C74E9-1925-42C8-B28A-F39FF5898DB4}"/>
    <cellStyle name="Notas 95 5" xfId="2620" xr:uid="{C824FA75-713D-4153-A6A8-CD6829269052}"/>
    <cellStyle name="Notas 95 6" xfId="2621" xr:uid="{A5B62908-FD90-40AA-B344-DAD639BA1E6B}"/>
    <cellStyle name="Notas 95 7" xfId="2622" xr:uid="{6C4A960A-32F4-4F52-B946-867C36EC9A1D}"/>
    <cellStyle name="Notas 95 8" xfId="2623" xr:uid="{491487FF-92EE-48B9-ABE2-7143B1A123EE}"/>
    <cellStyle name="Notas 95 9" xfId="2624" xr:uid="{9156DE30-62F9-420A-8C76-26FAA277D1DC}"/>
    <cellStyle name="Notas 96 10" xfId="2625" xr:uid="{C1756325-8A68-43FE-BDC4-32DFE24197A5}"/>
    <cellStyle name="Notas 96 11" xfId="2626" xr:uid="{D04216F5-F932-4BA1-844E-B89C8A1CF71D}"/>
    <cellStyle name="Notas 96 12" xfId="2627" xr:uid="{232FD99F-9B92-42E2-BB52-9CDE1A74DD64}"/>
    <cellStyle name="Notas 96 13" xfId="2628" xr:uid="{C413D879-58B5-400E-B8CC-4EAA4114A0CB}"/>
    <cellStyle name="Notas 96 14" xfId="2629" xr:uid="{0DD078A8-821E-45FE-83F5-47FDFB28CC22}"/>
    <cellStyle name="Notas 96 2" xfId="2630" xr:uid="{612D7F0F-7F9C-4085-A311-AF3A0A9FE620}"/>
    <cellStyle name="Notas 96 3" xfId="2631" xr:uid="{B364E55C-92DC-4000-A000-5C8E0BB6327F}"/>
    <cellStyle name="Notas 96 4" xfId="2632" xr:uid="{D88CE1EF-E8F2-4D03-AA24-120DF333865B}"/>
    <cellStyle name="Notas 96 5" xfId="2633" xr:uid="{375503DB-D777-491B-8FBF-C8FEF1FA0BE4}"/>
    <cellStyle name="Notas 96 6" xfId="2634" xr:uid="{D03011C9-F533-43DA-93FE-31496C05ACC4}"/>
    <cellStyle name="Notas 96 7" xfId="2635" xr:uid="{C9B3B05B-E2DB-41CD-B723-3A8571E90315}"/>
    <cellStyle name="Notas 96 8" xfId="2636" xr:uid="{0E825855-18F8-4162-8778-7382489149AD}"/>
    <cellStyle name="Notas 96 9" xfId="2637" xr:uid="{7F8DFF71-475C-49EE-93CE-8232B21E2492}"/>
    <cellStyle name="Notas 97 10" xfId="2638" xr:uid="{F75E3AF0-8C01-4D5F-805B-DADB6C561C86}"/>
    <cellStyle name="Notas 97 11" xfId="2639" xr:uid="{653DB1FA-C7C6-4B8B-93C4-CC3D4F78ED59}"/>
    <cellStyle name="Notas 97 12" xfId="2640" xr:uid="{50D2553B-1F48-43F7-A4B7-3797417426CF}"/>
    <cellStyle name="Notas 97 13" xfId="2641" xr:uid="{BC887CB5-75BF-419E-AA95-BF06365650E1}"/>
    <cellStyle name="Notas 97 14" xfId="2642" xr:uid="{75698302-EEEC-43E4-9200-2BA5640F917C}"/>
    <cellStyle name="Notas 97 2" xfId="2643" xr:uid="{FB23A3D0-5A00-4B60-9A30-48E4631116C1}"/>
    <cellStyle name="Notas 97 3" xfId="2644" xr:uid="{D45E3611-A19B-44E6-B01B-0D374933774F}"/>
    <cellStyle name="Notas 97 4" xfId="2645" xr:uid="{D7F9AAA0-515F-4032-9903-133247F8180C}"/>
    <cellStyle name="Notas 97 5" xfId="2646" xr:uid="{BFAAE0D0-F5BF-4D43-B8A2-81DC7C681932}"/>
    <cellStyle name="Notas 97 6" xfId="2647" xr:uid="{14FBB57D-C987-40E2-82D0-26C147A65E3F}"/>
    <cellStyle name="Notas 97 7" xfId="2648" xr:uid="{5A080DBD-7668-4C0D-BAC1-2505A08C884D}"/>
    <cellStyle name="Notas 97 8" xfId="2649" xr:uid="{3665BD0F-C9D5-418C-85E4-06DBC6CFF8E9}"/>
    <cellStyle name="Notas 97 9" xfId="2650" xr:uid="{6FC0F801-8F05-4A0B-BF1A-E8DA0BF50F01}"/>
    <cellStyle name="Notas 98 10" xfId="2651" xr:uid="{64F29F6A-B7CD-4463-AFC6-C513AB38A5F8}"/>
    <cellStyle name="Notas 98 11" xfId="2652" xr:uid="{ED574531-3DA7-43CF-A80E-25476E055E17}"/>
    <cellStyle name="Notas 98 12" xfId="2653" xr:uid="{C7006A8B-A9D8-4CED-8E9E-B5ACE6C6DB0D}"/>
    <cellStyle name="Notas 98 13" xfId="2654" xr:uid="{91B8EECF-09C7-445C-95E4-438B9BB8AC75}"/>
    <cellStyle name="Notas 98 14" xfId="2655" xr:uid="{7A58185A-2003-44AD-808C-C4464AE9C170}"/>
    <cellStyle name="Notas 98 2" xfId="2656" xr:uid="{6CDFDB6D-78EC-4DF2-9F67-0F42CE3CB2FE}"/>
    <cellStyle name="Notas 98 3" xfId="2657" xr:uid="{96C9FE4F-EE6F-431E-A1D9-B4B4F8FB2F2D}"/>
    <cellStyle name="Notas 98 4" xfId="2658" xr:uid="{1AFA70DB-985F-43FF-8B43-BE5385AA4529}"/>
    <cellStyle name="Notas 98 5" xfId="2659" xr:uid="{8A6CB6B7-28B5-40F7-9BCB-58842EA8EFFA}"/>
    <cellStyle name="Notas 98 6" xfId="2660" xr:uid="{8C00975D-181D-48F4-96B1-187EE61BF57C}"/>
    <cellStyle name="Notas 98 7" xfId="2661" xr:uid="{31452238-FB41-4E9B-ADBC-EE8F85C5A045}"/>
    <cellStyle name="Notas 98 8" xfId="2662" xr:uid="{8808E4FF-35B4-471F-BE3A-7B0B0695E89F}"/>
    <cellStyle name="Notas 98 9" xfId="2663" xr:uid="{371D94EC-9C62-494F-9287-2548C309FFCA}"/>
    <cellStyle name="Notas 99 10" xfId="2664" xr:uid="{0BEC8DAC-3313-4761-994C-C4CC11484438}"/>
    <cellStyle name="Notas 99 11" xfId="2665" xr:uid="{7F4459E2-1DA0-45E4-BED8-C9E162FB8A90}"/>
    <cellStyle name="Notas 99 12" xfId="2666" xr:uid="{D52796E6-CBD4-4528-841D-D6704A675A14}"/>
    <cellStyle name="Notas 99 13" xfId="2667" xr:uid="{0FA53F04-A0FA-45EF-9B67-6233AE71ADE0}"/>
    <cellStyle name="Notas 99 14" xfId="2668" xr:uid="{37125209-61EC-49B6-A055-8BA79AE9B5C2}"/>
    <cellStyle name="Notas 99 2" xfId="2669" xr:uid="{98711BF8-1FBB-4537-B5A2-B2E47DD7C833}"/>
    <cellStyle name="Notas 99 3" xfId="2670" xr:uid="{BDBE2F58-590C-4F65-B572-4903AEB9C426}"/>
    <cellStyle name="Notas 99 4" xfId="2671" xr:uid="{17D40890-C68D-499F-AF7E-857C31DC28F5}"/>
    <cellStyle name="Notas 99 5" xfId="2672" xr:uid="{191DC3BA-C580-4B04-B7CE-24EE71EC9969}"/>
    <cellStyle name="Notas 99 6" xfId="2673" xr:uid="{682692EA-8934-455D-BA88-365FBF670912}"/>
    <cellStyle name="Notas 99 7" xfId="2674" xr:uid="{86E374E2-25F2-4CF7-AD5E-9C31F8206DEB}"/>
    <cellStyle name="Notas 99 8" xfId="2675" xr:uid="{ECB89919-E4F8-4A41-B6A9-52D9248E5F8C}"/>
    <cellStyle name="Notas 99 9" xfId="2676" xr:uid="{7B48BC7C-50E9-4F54-8FE4-DC4AB8E0AB87}"/>
    <cellStyle name="per.style" xfId="41904" xr:uid="{E31B798F-A8F6-40C5-86EC-FC68100E2D91}"/>
    <cellStyle name="Percent [2]" xfId="41905" xr:uid="{6060D291-4DAF-498A-8275-FD5BE1E1E21C}"/>
    <cellStyle name="Percent [2] 2" xfId="43550" xr:uid="{BDE89E5C-FBBC-4B05-B9EA-FD727E0A540F}"/>
    <cellStyle name="Popis" xfId="41906" xr:uid="{A39169A4-B3E2-4C64-856A-53EBD7FE429A}"/>
    <cellStyle name="Porcentaje 2" xfId="46134" xr:uid="{C7D71A1E-6194-4BE4-9332-1889BEFCF01B}"/>
    <cellStyle name="Porcentaje 3" xfId="46135" xr:uid="{E00BFF42-6369-4123-9D28-99F74C3A4AD2}"/>
    <cellStyle name="Porcentaje 4" xfId="46136" xr:uid="{5EC3585A-459E-4917-80F5-12078485AA39}"/>
    <cellStyle name="Porcentual 2" xfId="43551" xr:uid="{0FAF995A-6EC2-4939-9280-851E74B8F3A1}"/>
    <cellStyle name="Porcentual 2 2" xfId="43552" xr:uid="{E4451E0C-88E3-4CEC-8522-4815A65226B5}"/>
    <cellStyle name="Porcentual 3" xfId="46137" xr:uid="{5172CFD3-CB3A-4511-AB66-0AFE31ECB59F}"/>
    <cellStyle name="regstoresfromspecstores" xfId="41907" xr:uid="{1D560F37-B13C-4F31-830A-CF657DD07990}"/>
    <cellStyle name="RevList" xfId="41908" xr:uid="{37B92B92-8A6A-4C56-8538-32757276D27B}"/>
    <cellStyle name="Salida" xfId="15" builtinId="21" customBuiltin="1"/>
    <cellStyle name="Salida 2" xfId="41909" xr:uid="{D8790D25-D67C-426F-BA33-F59F852C0768}"/>
    <cellStyle name="Salida 2 10" xfId="41910" xr:uid="{A787225C-8235-49A8-B45D-C33EC631A620}"/>
    <cellStyle name="Salida 2 10 10" xfId="41911" xr:uid="{E33AEC73-A8B4-427B-84C2-0B67E8267B8D}"/>
    <cellStyle name="Salida 2 10 11" xfId="41912" xr:uid="{A5840165-77E1-4626-8BEA-99BC771CDC31}"/>
    <cellStyle name="Salida 2 10 12" xfId="41913" xr:uid="{32AEB9EC-22C7-4BEB-AACA-951A33AE808C}"/>
    <cellStyle name="Salida 2 10 2" xfId="41914" xr:uid="{E09E4AB9-B1BA-4E2D-AF13-14290D5A4E53}"/>
    <cellStyle name="Salida 2 10 2 10" xfId="41915" xr:uid="{73AD4F3F-2CB1-4169-8D5C-69DE3D8E77FA}"/>
    <cellStyle name="Salida 2 10 2 11" xfId="41916" xr:uid="{1E10897B-14B9-470C-8BE1-CC8B293F2C3A}"/>
    <cellStyle name="Salida 2 10 2 12" xfId="41917" xr:uid="{B952E13E-04F8-47C6-A6EA-9C96C0B8168B}"/>
    <cellStyle name="Salida 2 10 2 2" xfId="41918" xr:uid="{004C009F-2DEB-409A-A413-50315D7EDE37}"/>
    <cellStyle name="Salida 2 10 2 2 2" xfId="41919" xr:uid="{565E1C7E-F555-4DFC-BC7A-A789635BEA38}"/>
    <cellStyle name="Salida 2 10 2 2 2 2" xfId="41920" xr:uid="{B2449C7C-9FF3-41F0-AFDC-C52567F32719}"/>
    <cellStyle name="Salida 2 10 2 2 2 3" xfId="41921" xr:uid="{A3DDCC3F-AF07-4840-A808-94D1C87BFBB1}"/>
    <cellStyle name="Salida 2 10 2 2 2 4" xfId="41922" xr:uid="{961232A5-8594-4B70-8F8F-18A3A8B45EA9}"/>
    <cellStyle name="Salida 2 10 2 2 2 5" xfId="41923" xr:uid="{6851221F-EFAA-4A9C-A59E-F3CE096781CE}"/>
    <cellStyle name="Salida 2 10 2 2 3" xfId="41924" xr:uid="{0D11F36F-749F-4F19-9AF4-B0F73B8BA48A}"/>
    <cellStyle name="Salida 2 10 2 2 4" xfId="41925" xr:uid="{A412785D-7BAB-4AB0-930C-D48F7AE63A32}"/>
    <cellStyle name="Salida 2 10 2 2 5" xfId="41926" xr:uid="{95EE1E4A-C1CB-402E-856C-0C0D2D91815E}"/>
    <cellStyle name="Salida 2 10 2 2 6" xfId="41927" xr:uid="{5D676A9E-F45A-4488-99EE-8842B479FFFE}"/>
    <cellStyle name="Salida 2 10 2 3" xfId="41928" xr:uid="{A31FAE0E-F91B-4904-8F83-8BAA521DA449}"/>
    <cellStyle name="Salida 2 10 2 3 2" xfId="41929" xr:uid="{786D1A27-45C1-441E-8A8C-0DB5EF434479}"/>
    <cellStyle name="Salida 2 10 2 3 2 2" xfId="41930" xr:uid="{EC72A883-2D7E-483D-B924-5D501033D108}"/>
    <cellStyle name="Salida 2 10 2 3 2 3" xfId="41931" xr:uid="{697939A5-B3D7-48A7-B065-62508372248C}"/>
    <cellStyle name="Salida 2 10 2 3 2 4" xfId="41932" xr:uid="{D979C164-2ED3-4666-8E86-C4156B1EE44F}"/>
    <cellStyle name="Salida 2 10 2 3 2 5" xfId="41933" xr:uid="{B90B3899-C478-4481-B61C-C1400FB85326}"/>
    <cellStyle name="Salida 2 10 2 3 3" xfId="41934" xr:uid="{7BE84B3E-322B-4121-8EFC-BBC584174E99}"/>
    <cellStyle name="Salida 2 10 2 3 4" xfId="41935" xr:uid="{7B84B712-3CED-46FC-AEAA-5630F1D5D4F0}"/>
    <cellStyle name="Salida 2 10 2 3 5" xfId="41936" xr:uid="{EAB40EC4-1244-4E3C-8A65-C4FF7E057546}"/>
    <cellStyle name="Salida 2 10 2 3 6" xfId="41937" xr:uid="{6EFF0C77-14E9-41D8-B113-89AF6307408E}"/>
    <cellStyle name="Salida 2 10 2 4" xfId="41938" xr:uid="{B22E4F45-496E-408C-A274-73F5EA9156EA}"/>
    <cellStyle name="Salida 2 10 2 4 2" xfId="41939" xr:uid="{2CBB2F88-1604-481E-8940-AE5ACA2C1F13}"/>
    <cellStyle name="Salida 2 10 2 4 2 2" xfId="41940" xr:uid="{BCB78F30-852D-4BD1-B331-094DB177E1B3}"/>
    <cellStyle name="Salida 2 10 2 4 2 3" xfId="41941" xr:uid="{C1E93389-C342-4373-9ACC-DFC13C8FD926}"/>
    <cellStyle name="Salida 2 10 2 4 2 4" xfId="41942" xr:uid="{39A76A53-2C37-4754-8D86-F54198913145}"/>
    <cellStyle name="Salida 2 10 2 4 2 5" xfId="41943" xr:uid="{BD632BC2-1E63-4E8B-B522-EFC3B3DF065E}"/>
    <cellStyle name="Salida 2 10 2 4 3" xfId="41944" xr:uid="{200FC7DB-A84E-447F-8F85-0A06BBC57012}"/>
    <cellStyle name="Salida 2 10 2 4 4" xfId="41945" xr:uid="{8437333E-549C-4474-8627-19F3BF32F33E}"/>
    <cellStyle name="Salida 2 10 2 4 5" xfId="41946" xr:uid="{08E9CC42-9D29-4061-A2E6-2AB1B07767A1}"/>
    <cellStyle name="Salida 2 10 2 4 6" xfId="41947" xr:uid="{F45F5A09-A500-4534-A058-0873A59538BD}"/>
    <cellStyle name="Salida 2 10 2 5" xfId="41948" xr:uid="{058BAD9E-C875-442D-808E-6E8490D2F1C8}"/>
    <cellStyle name="Salida 2 10 2 5 2" xfId="41949" xr:uid="{534154A6-1415-47F7-B4D7-11DD629C5858}"/>
    <cellStyle name="Salida 2 10 2 5 3" xfId="41950" xr:uid="{E0171E4E-3994-4703-A84D-F195A8D5372A}"/>
    <cellStyle name="Salida 2 10 2 5 4" xfId="41951" xr:uid="{9024821C-D985-4EA6-92FC-44DC22B624BB}"/>
    <cellStyle name="Salida 2 10 2 5 5" xfId="41952" xr:uid="{E4287B48-0867-447E-9549-817159B313D8}"/>
    <cellStyle name="Salida 2 10 2 6" xfId="41953" xr:uid="{8846EBFA-E4B3-46BE-96B2-65CA8631A460}"/>
    <cellStyle name="Salida 2 10 2 7" xfId="41954" xr:uid="{605DCDE3-6F38-4967-B1E5-501F9ADCAAC1}"/>
    <cellStyle name="Salida 2 10 2 8" xfId="41955" xr:uid="{6DD68F5B-65FF-47E4-BF1A-FB8D2261F5C2}"/>
    <cellStyle name="Salida 2 10 2 9" xfId="41956" xr:uid="{FE4D7A9A-F57C-4650-879D-D3B55DBFC172}"/>
    <cellStyle name="Salida 2 10 3" xfId="41957" xr:uid="{B3DE0D57-D793-4651-9A24-63937E49940F}"/>
    <cellStyle name="Salida 2 10 3 2" xfId="41958" xr:uid="{AA8B102A-6628-4157-9CB3-63B4242A7096}"/>
    <cellStyle name="Salida 2 10 3 2 2" xfId="41959" xr:uid="{0EF20797-5543-4757-9B1E-621CD6FAE23C}"/>
    <cellStyle name="Salida 2 10 3 2 3" xfId="41960" xr:uid="{0D2FD8FF-AC5C-4086-9A95-914BB80DF0F6}"/>
    <cellStyle name="Salida 2 10 3 2 4" xfId="41961" xr:uid="{CBEFAB06-4F34-4CC8-8F2C-B100BFF184E6}"/>
    <cellStyle name="Salida 2 10 3 2 5" xfId="41962" xr:uid="{20E8E02C-52F5-476C-8EFF-7C8972F1D956}"/>
    <cellStyle name="Salida 2 10 3 3" xfId="41963" xr:uid="{48EE45BB-68D1-46EE-BC33-1C1DFCDE4239}"/>
    <cellStyle name="Salida 2 10 3 4" xfId="41964" xr:uid="{576D9488-4C94-41A8-A281-C11EFDC8B39A}"/>
    <cellStyle name="Salida 2 10 3 5" xfId="41965" xr:uid="{231DCA92-E1F0-49A3-A10F-49946137C039}"/>
    <cellStyle name="Salida 2 10 3 6" xfId="41966" xr:uid="{12646C6F-AB96-4D03-B657-43CABD81DBDD}"/>
    <cellStyle name="Salida 2 10 4" xfId="41967" xr:uid="{2725EF62-D178-4CC3-8D34-4ED5379CAA04}"/>
    <cellStyle name="Salida 2 10 4 2" xfId="41968" xr:uid="{4041AD8E-13D6-4FCF-A2C0-34FBC1F6DADA}"/>
    <cellStyle name="Salida 2 10 4 2 2" xfId="41969" xr:uid="{A4DA6CB3-EE00-4D2D-B294-9E20C593C3BA}"/>
    <cellStyle name="Salida 2 10 4 2 3" xfId="41970" xr:uid="{B67D888C-D109-440B-B642-EE4D95033399}"/>
    <cellStyle name="Salida 2 10 4 2 4" xfId="41971" xr:uid="{86B82DD4-60E6-408C-89E7-EA19844210CD}"/>
    <cellStyle name="Salida 2 10 4 2 5" xfId="41972" xr:uid="{F7E6805B-539A-4D0E-BDF7-C3BF3F65C4DC}"/>
    <cellStyle name="Salida 2 10 4 3" xfId="41973" xr:uid="{2200A8C4-3275-4E0E-9376-802BD609ADC7}"/>
    <cellStyle name="Salida 2 10 4 4" xfId="41974" xr:uid="{0F92A323-55A2-43A9-9DCC-6A89BC41DB62}"/>
    <cellStyle name="Salida 2 10 4 5" xfId="41975" xr:uid="{9B6C301A-71CF-4E85-B508-117E35DB75D5}"/>
    <cellStyle name="Salida 2 10 4 6" xfId="41976" xr:uid="{3F9E5AD0-05E4-4B78-AF9F-7141BCFA9A0E}"/>
    <cellStyle name="Salida 2 10 5" xfId="41977" xr:uid="{3412C6A6-C802-4640-8530-461071706DB9}"/>
    <cellStyle name="Salida 2 10 5 2" xfId="41978" xr:uid="{E8FEDAD3-AECC-45BE-AA9B-C5ACEE04EEBE}"/>
    <cellStyle name="Salida 2 10 5 3" xfId="41979" xr:uid="{EADA3CB1-605E-4BF0-ACCD-72E0BDD16E8F}"/>
    <cellStyle name="Salida 2 10 5 4" xfId="41980" xr:uid="{F604971E-80F5-476D-9A19-482BD8677E43}"/>
    <cellStyle name="Salida 2 10 5 5" xfId="41981" xr:uid="{AEA9AFAD-277B-4421-B0B7-3EDE17C5999B}"/>
    <cellStyle name="Salida 2 10 6" xfId="41982" xr:uid="{3A89928E-2EA4-41A0-AA64-38DED55BB5D6}"/>
    <cellStyle name="Salida 2 10 7" xfId="41983" xr:uid="{1A9A5D93-065B-4CAF-A4AE-DEBDE1DE6918}"/>
    <cellStyle name="Salida 2 10 8" xfId="41984" xr:uid="{00B248EF-D083-4D69-BCDA-13570BE2D691}"/>
    <cellStyle name="Salida 2 10 9" xfId="41985" xr:uid="{AC916473-CD00-4020-AD44-F88A70FDEA27}"/>
    <cellStyle name="Salida 2 11" xfId="41986" xr:uid="{1349DF2F-0F80-4CC5-B863-8790C17C2CD5}"/>
    <cellStyle name="Salida 2 11 2" xfId="41987" xr:uid="{ECD7A1AF-8411-4152-A85E-233B091EE2ED}"/>
    <cellStyle name="Salida 2 11 2 2" xfId="41988" xr:uid="{13857705-FCF5-4CC3-84B7-73C5CEA1D88C}"/>
    <cellStyle name="Salida 2 11 2 3" xfId="41989" xr:uid="{360B956A-335F-496C-80A7-64F613F6F62F}"/>
    <cellStyle name="Salida 2 11 2 4" xfId="41990" xr:uid="{1DAF0BA5-CDE1-4A80-8403-757FFD4CBC53}"/>
    <cellStyle name="Salida 2 11 2 5" xfId="41991" xr:uid="{2E8F30EC-C942-4C0E-BE63-17062CF423EF}"/>
    <cellStyle name="Salida 2 11 3" xfId="41992" xr:uid="{2E527029-9521-4533-A208-55A43EEA77E8}"/>
    <cellStyle name="Salida 2 11 4" xfId="41993" xr:uid="{9858955D-27D5-4360-849A-994511671D3A}"/>
    <cellStyle name="Salida 2 11 5" xfId="41994" xr:uid="{4AB5CCB5-483F-49B1-B9C0-98FEC5E4BE68}"/>
    <cellStyle name="Salida 2 11 6" xfId="41995" xr:uid="{951CE84A-4BD6-4BA0-9049-5E2A2B5D3B77}"/>
    <cellStyle name="Salida 2 12" xfId="41996" xr:uid="{C39BBB83-F338-426F-BE47-386F5DA67D4E}"/>
    <cellStyle name="Salida 2 12 2" xfId="41997" xr:uid="{1E6FB587-7AD0-4860-A0D5-922667ED3894}"/>
    <cellStyle name="Salida 2 12 2 2" xfId="41998" xr:uid="{9F9EF2ED-9E66-4375-AE2A-24F8FCB58C41}"/>
    <cellStyle name="Salida 2 12 2 3" xfId="41999" xr:uid="{D7FB0590-FA67-4364-890E-55D0BE2C32A9}"/>
    <cellStyle name="Salida 2 12 2 4" xfId="42000" xr:uid="{75321FB9-0DF6-4B19-926A-FF70A570D551}"/>
    <cellStyle name="Salida 2 12 2 5" xfId="42001" xr:uid="{40C92417-B850-49F3-8871-5B1D6CC9E06E}"/>
    <cellStyle name="Salida 2 12 3" xfId="42002" xr:uid="{BD8DB759-CF21-402D-ABDD-EAE1A8CE57A7}"/>
    <cellStyle name="Salida 2 12 4" xfId="42003" xr:uid="{49003491-DFF2-4AEA-A22D-F3236A18B9FA}"/>
    <cellStyle name="Salida 2 12 5" xfId="42004" xr:uid="{05D7CB71-6FB3-4B33-AC10-E8BF2C5D0661}"/>
    <cellStyle name="Salida 2 12 6" xfId="42005" xr:uid="{2238B0C3-72E3-46ED-B442-8FBACC176E22}"/>
    <cellStyle name="Salida 2 13" xfId="42006" xr:uid="{9928CE1B-12D3-46D0-8C4B-0BAB20E5D56D}"/>
    <cellStyle name="Salida 2 13 2" xfId="42007" xr:uid="{09D51134-819E-4556-BA76-B6DFD3722C98}"/>
    <cellStyle name="Salida 2 13 2 2" xfId="42008" xr:uid="{12E9BCD8-D898-4F4B-A3A7-8FF0E3C7B35F}"/>
    <cellStyle name="Salida 2 13 2 3" xfId="42009" xr:uid="{8B41EDE7-BA54-4BC6-ACE7-E9AA6682E179}"/>
    <cellStyle name="Salida 2 13 2 4" xfId="42010" xr:uid="{BC260628-AFF6-49C1-B23E-348BCB5F5A46}"/>
    <cellStyle name="Salida 2 13 2 5" xfId="42011" xr:uid="{07D7020E-8E87-4BE3-B020-F5A3D9FED4B4}"/>
    <cellStyle name="Salida 2 13 3" xfId="42012" xr:uid="{7F378DFD-7E53-407C-9183-B90E2C3E1678}"/>
    <cellStyle name="Salida 2 13 4" xfId="42013" xr:uid="{C95C9E61-824E-464B-99ED-72F108CDB71F}"/>
    <cellStyle name="Salida 2 13 5" xfId="42014" xr:uid="{67C4304C-56A8-4741-BB15-7D63766261C1}"/>
    <cellStyle name="Salida 2 13 6" xfId="42015" xr:uid="{538DE3A3-5D7F-40BF-A70B-58FA17049D07}"/>
    <cellStyle name="Salida 2 14" xfId="42016" xr:uid="{D68F21B3-B6D9-45B3-9DC0-C3B8AB911081}"/>
    <cellStyle name="Salida 2 14 2" xfId="42017" xr:uid="{A5432F26-1383-477F-A2CE-BE011ABA47EA}"/>
    <cellStyle name="Salida 2 14 3" xfId="42018" xr:uid="{CD301FF0-D239-48E8-9F6F-1127744915D9}"/>
    <cellStyle name="Salida 2 14 4" xfId="42019" xr:uid="{6DD88D96-AB95-4E14-BBDE-9F315A3ED49F}"/>
    <cellStyle name="Salida 2 14 5" xfId="42020" xr:uid="{DE87C89C-8248-49DC-AE60-984D148FD375}"/>
    <cellStyle name="Salida 2 15" xfId="42021" xr:uid="{1EE635AD-0F57-48BB-B7A5-A60C0BD91C6B}"/>
    <cellStyle name="Salida 2 16" xfId="42022" xr:uid="{D753501C-DA32-4B57-84CC-51D8CC302721}"/>
    <cellStyle name="Salida 2 17" xfId="42023" xr:uid="{E7AC37F3-D689-49CC-AB8C-C5FB92D78B53}"/>
    <cellStyle name="Salida 2 18" xfId="42024" xr:uid="{103733F8-3BA6-4BF0-8BA9-95CA3DF31535}"/>
    <cellStyle name="Salida 2 19" xfId="42025" xr:uid="{F304ADAA-1D4E-4C32-93DD-EF822FB71FAF}"/>
    <cellStyle name="Salida 2 2" xfId="42026" xr:uid="{BBF7D693-B09E-4412-912D-D70080ECF417}"/>
    <cellStyle name="Salida 2 2 10" xfId="42027" xr:uid="{30D7814C-FCE8-47FB-97E4-4F346CD195F5}"/>
    <cellStyle name="Salida 2 2 10 10" xfId="42028" xr:uid="{56314C6A-D57A-4B2C-B779-F7C2D738340B}"/>
    <cellStyle name="Salida 2 2 10 11" xfId="42029" xr:uid="{62B07F0E-3C04-4820-A82E-AB85D864771D}"/>
    <cellStyle name="Salida 2 2 10 12" xfId="42030" xr:uid="{99AC09E7-7072-4DE6-9F49-6CE396B1E11B}"/>
    <cellStyle name="Salida 2 2 10 2" xfId="42031" xr:uid="{1397794D-BA27-4262-80D8-A5F9CFE02598}"/>
    <cellStyle name="Salida 2 2 10 2 10" xfId="42032" xr:uid="{6E815654-6D7B-4CEB-A107-1EC0C386BAF7}"/>
    <cellStyle name="Salida 2 2 10 2 11" xfId="42033" xr:uid="{701A623B-9517-4CC0-AC0C-47192FCA1D0B}"/>
    <cellStyle name="Salida 2 2 10 2 12" xfId="42034" xr:uid="{93FDD9FD-485E-4ED9-9F6B-518D78D29BE6}"/>
    <cellStyle name="Salida 2 2 10 2 2" xfId="42035" xr:uid="{A712440A-E5EE-4B92-97E0-2A468189451F}"/>
    <cellStyle name="Salida 2 2 10 2 2 2" xfId="42036" xr:uid="{A14B18D4-0351-468D-962F-89BB6F476B90}"/>
    <cellStyle name="Salida 2 2 10 2 2 2 2" xfId="42037" xr:uid="{3AA4CCE8-0E94-4A06-982F-8D60112705B2}"/>
    <cellStyle name="Salida 2 2 10 2 2 2 3" xfId="42038" xr:uid="{FAA55242-FE8A-476C-81FA-8005E48CB4C5}"/>
    <cellStyle name="Salida 2 2 10 2 2 2 4" xfId="42039" xr:uid="{EA399F5E-2332-4EEC-BA0B-24D0E98DB9E0}"/>
    <cellStyle name="Salida 2 2 10 2 2 2 5" xfId="42040" xr:uid="{45179854-C04C-4515-95F8-CB694379711A}"/>
    <cellStyle name="Salida 2 2 10 2 2 3" xfId="42041" xr:uid="{E2126FBF-F406-4DE7-A137-CBAAF7B5C538}"/>
    <cellStyle name="Salida 2 2 10 2 2 4" xfId="42042" xr:uid="{4ACC913A-0FD6-49EA-AAEC-8DD21330CAB9}"/>
    <cellStyle name="Salida 2 2 10 2 2 5" xfId="42043" xr:uid="{0DA9AF60-D094-4DB5-8059-F24363991B78}"/>
    <cellStyle name="Salida 2 2 10 2 2 6" xfId="42044" xr:uid="{976CBCE4-904F-4B24-8349-2BC61A2D73E1}"/>
    <cellStyle name="Salida 2 2 10 2 3" xfId="42045" xr:uid="{84EB7E8B-9CA7-4D8D-AD35-D74D57927A66}"/>
    <cellStyle name="Salida 2 2 10 2 3 2" xfId="42046" xr:uid="{92605B17-B4F2-4BD5-9BCF-2A65F07F67D4}"/>
    <cellStyle name="Salida 2 2 10 2 3 2 2" xfId="42047" xr:uid="{15C00412-F61C-48DB-A421-B8E03BB3873D}"/>
    <cellStyle name="Salida 2 2 10 2 3 2 3" xfId="42048" xr:uid="{B0DE904E-0B59-4A0A-B13C-A4FCF571E46E}"/>
    <cellStyle name="Salida 2 2 10 2 3 2 4" xfId="42049" xr:uid="{2A0BAECE-B0D8-4215-8660-B96123048478}"/>
    <cellStyle name="Salida 2 2 10 2 3 2 5" xfId="42050" xr:uid="{424D132C-770F-446C-982E-179A30681AD3}"/>
    <cellStyle name="Salida 2 2 10 2 3 3" xfId="42051" xr:uid="{FC9D874D-7726-4E30-B7FF-CD4B906CF312}"/>
    <cellStyle name="Salida 2 2 10 2 3 4" xfId="42052" xr:uid="{6C5458D4-8273-4499-A007-4E8C4C9C070B}"/>
    <cellStyle name="Salida 2 2 10 2 3 5" xfId="42053" xr:uid="{802158EB-D6CC-4996-AEEE-3511D67EFF05}"/>
    <cellStyle name="Salida 2 2 10 2 3 6" xfId="42054" xr:uid="{8E5B2701-0985-4E86-9329-330150971DF2}"/>
    <cellStyle name="Salida 2 2 10 2 4" xfId="42055" xr:uid="{723AB92A-3C00-40FE-BCF1-9D4216E72E83}"/>
    <cellStyle name="Salida 2 2 10 2 4 2" xfId="42056" xr:uid="{FFE0BFC0-A3CF-4071-8EB6-94136F73E1D2}"/>
    <cellStyle name="Salida 2 2 10 2 4 2 2" xfId="42057" xr:uid="{38C08364-812C-44B4-A8F3-9B55E78E19E7}"/>
    <cellStyle name="Salida 2 2 10 2 4 2 3" xfId="42058" xr:uid="{C2E138D7-BE11-4803-A992-7B3C4B31C547}"/>
    <cellStyle name="Salida 2 2 10 2 4 2 4" xfId="42059" xr:uid="{9DDEBF6F-07DD-464B-A5BC-11A778058A9A}"/>
    <cellStyle name="Salida 2 2 10 2 4 2 5" xfId="42060" xr:uid="{81754743-F600-49E2-B436-B1823F4658DE}"/>
    <cellStyle name="Salida 2 2 10 2 4 3" xfId="42061" xr:uid="{4BB9434F-5F3E-42D5-A2B0-0E859A63A80F}"/>
    <cellStyle name="Salida 2 2 10 2 4 4" xfId="42062" xr:uid="{9E9B7510-FE47-4A4E-A50E-439B0A42FD7F}"/>
    <cellStyle name="Salida 2 2 10 2 4 5" xfId="42063" xr:uid="{A9280388-D159-4FB9-8370-5CB66CFE91A4}"/>
    <cellStyle name="Salida 2 2 10 2 4 6" xfId="42064" xr:uid="{DDEACFCA-40B4-4ADA-841F-DE35FD6C4A61}"/>
    <cellStyle name="Salida 2 2 10 2 5" xfId="42065" xr:uid="{083D5B9B-64FB-4960-ADCE-1D71EFFA7D11}"/>
    <cellStyle name="Salida 2 2 10 2 5 2" xfId="42066" xr:uid="{93C165BC-567E-417B-8620-E6EC8FBC8EFD}"/>
    <cellStyle name="Salida 2 2 10 2 5 3" xfId="42067" xr:uid="{6FAD36C5-B420-4B44-8A00-2BDB63950FD6}"/>
    <cellStyle name="Salida 2 2 10 2 5 4" xfId="42068" xr:uid="{CB33534E-5914-4FBC-B9C9-D60810ADDF3D}"/>
    <cellStyle name="Salida 2 2 10 2 5 5" xfId="42069" xr:uid="{342E7474-3282-49A9-B083-2463FDB169AA}"/>
    <cellStyle name="Salida 2 2 10 2 6" xfId="42070" xr:uid="{B5795CAA-8FE1-46B0-B272-A969F7D77741}"/>
    <cellStyle name="Salida 2 2 10 2 7" xfId="42071" xr:uid="{7C1528FD-429E-4849-AD10-209168EDEF45}"/>
    <cellStyle name="Salida 2 2 10 2 8" xfId="42072" xr:uid="{C2D3F11A-B8C3-4877-816E-9E5212A2CE6F}"/>
    <cellStyle name="Salida 2 2 10 2 9" xfId="42073" xr:uid="{BF3CB49D-BA76-476D-88C8-B49774414BB0}"/>
    <cellStyle name="Salida 2 2 10 3" xfId="42074" xr:uid="{DA2AF544-5961-4D08-B9CF-A8DA1D938DAE}"/>
    <cellStyle name="Salida 2 2 10 3 2" xfId="42075" xr:uid="{FA2A60EE-D054-4E77-8A4B-3D74E4371BE6}"/>
    <cellStyle name="Salida 2 2 10 3 2 2" xfId="42076" xr:uid="{D878CC6B-7AA8-4A96-BDE8-20C80BF7CC31}"/>
    <cellStyle name="Salida 2 2 10 3 2 3" xfId="42077" xr:uid="{899BBA77-E8D1-419B-B47A-D14B808EF5C8}"/>
    <cellStyle name="Salida 2 2 10 3 2 4" xfId="42078" xr:uid="{6BF7D519-CCF2-46D8-8C18-EB05B1334595}"/>
    <cellStyle name="Salida 2 2 10 3 2 5" xfId="42079" xr:uid="{F77EE9F6-FC7A-4A1A-8901-79270E09FEBB}"/>
    <cellStyle name="Salida 2 2 10 3 3" xfId="42080" xr:uid="{4FB54FF1-793F-4EE6-AA70-2464A9D652A4}"/>
    <cellStyle name="Salida 2 2 10 3 4" xfId="42081" xr:uid="{087D64E6-5681-4230-B8F3-5A977F6DF5DF}"/>
    <cellStyle name="Salida 2 2 10 3 5" xfId="42082" xr:uid="{F5DB4F26-FAD8-4ADE-9886-70DE20BEACC4}"/>
    <cellStyle name="Salida 2 2 10 3 6" xfId="42083" xr:uid="{06654AAF-9150-4F9B-ABA4-EC67E0664AF7}"/>
    <cellStyle name="Salida 2 2 10 4" xfId="42084" xr:uid="{C7A7A4D2-1D4B-4176-BFC2-FF0BCA998A42}"/>
    <cellStyle name="Salida 2 2 10 4 2" xfId="42085" xr:uid="{F28FEEBE-6586-4701-8E9A-555160FE4B37}"/>
    <cellStyle name="Salida 2 2 10 4 2 2" xfId="42086" xr:uid="{3232BBB9-B5F2-4BEC-A5F7-574B68076BE0}"/>
    <cellStyle name="Salida 2 2 10 4 2 3" xfId="42087" xr:uid="{A9E80985-A4C8-4CA6-864C-B3F1C3E27C08}"/>
    <cellStyle name="Salida 2 2 10 4 2 4" xfId="42088" xr:uid="{0429B39C-DD60-461C-B238-3C6297A10D25}"/>
    <cellStyle name="Salida 2 2 10 4 2 5" xfId="42089" xr:uid="{8A41D5DD-9444-49AA-9121-0A8718FEE0B0}"/>
    <cellStyle name="Salida 2 2 10 4 3" xfId="42090" xr:uid="{9D1AFAF0-ADD5-43D4-B5AF-EA0050AD918F}"/>
    <cellStyle name="Salida 2 2 10 4 4" xfId="42091" xr:uid="{2990CE4C-F567-4A87-8651-DA9A09A54355}"/>
    <cellStyle name="Salida 2 2 10 4 5" xfId="42092" xr:uid="{7B2AEA4B-6618-4C8E-B3CB-27D27F6A4700}"/>
    <cellStyle name="Salida 2 2 10 4 6" xfId="42093" xr:uid="{EA97F2C2-779D-498A-8D23-ED96581DBCC7}"/>
    <cellStyle name="Salida 2 2 10 5" xfId="42094" xr:uid="{8165C431-5BA4-468C-86ED-947021008C6D}"/>
    <cellStyle name="Salida 2 2 10 5 2" xfId="42095" xr:uid="{A0A94B5A-7976-473C-9855-891FE9CD99B1}"/>
    <cellStyle name="Salida 2 2 10 5 3" xfId="42096" xr:uid="{835AE19E-F92F-4CD8-8D5E-D8FBCFEB6D08}"/>
    <cellStyle name="Salida 2 2 10 5 4" xfId="42097" xr:uid="{CDA0B35D-4F2F-4AA0-954A-55DD5D37CD15}"/>
    <cellStyle name="Salida 2 2 10 5 5" xfId="42098" xr:uid="{F29E66AD-5637-4B85-984D-1D0E5A3AF8C6}"/>
    <cellStyle name="Salida 2 2 10 6" xfId="42099" xr:uid="{08E2A908-0603-4DF1-B7D5-06E47A3D10AE}"/>
    <cellStyle name="Salida 2 2 10 7" xfId="42100" xr:uid="{6A1AD1E8-F1C3-47D8-8AFD-7E448317B238}"/>
    <cellStyle name="Salida 2 2 10 8" xfId="42101" xr:uid="{04C4E1A8-DD6C-4519-B8D2-7D19A249CC59}"/>
    <cellStyle name="Salida 2 2 10 9" xfId="42102" xr:uid="{85ECF891-C25E-4E83-B818-A73C2A23B4C9}"/>
    <cellStyle name="Salida 2 2 11" xfId="42103" xr:uid="{70F9531D-36ED-47A1-A99C-94D399772DC1}"/>
    <cellStyle name="Salida 2 2 11 2" xfId="42104" xr:uid="{431D1293-180A-435C-8518-55FC21BC94F6}"/>
    <cellStyle name="Salida 2 2 11 2 2" xfId="42105" xr:uid="{502394E9-33AB-48DE-B921-D8773104D57C}"/>
    <cellStyle name="Salida 2 2 11 2 3" xfId="42106" xr:uid="{BE51553D-923E-4CA4-A213-942F59C56278}"/>
    <cellStyle name="Salida 2 2 11 2 4" xfId="42107" xr:uid="{582DBDE0-A5A9-40EC-AD4E-5B717B754D99}"/>
    <cellStyle name="Salida 2 2 11 2 5" xfId="42108" xr:uid="{82A6BE7F-D8F7-4C63-9D33-0499BFAB48C6}"/>
    <cellStyle name="Salida 2 2 11 3" xfId="42109" xr:uid="{835E897D-49D4-47CE-9C7F-86B1A6C4378A}"/>
    <cellStyle name="Salida 2 2 11 4" xfId="42110" xr:uid="{078F17C9-A42B-4702-B274-CFA15B3FFFFD}"/>
    <cellStyle name="Salida 2 2 11 5" xfId="42111" xr:uid="{278925BD-9E12-4B01-BB88-0872C7F18075}"/>
    <cellStyle name="Salida 2 2 11 6" xfId="42112" xr:uid="{D82515E6-0058-4B15-8811-FECF6A2F4737}"/>
    <cellStyle name="Salida 2 2 12" xfId="42113" xr:uid="{B2A2E283-F280-4FC9-B5DB-3E9A8E8ABD0C}"/>
    <cellStyle name="Salida 2 2 12 2" xfId="42114" xr:uid="{73401AFF-43D1-4F6A-8A2C-934E8E8176CA}"/>
    <cellStyle name="Salida 2 2 12 2 2" xfId="42115" xr:uid="{5B5ED6D4-AC87-4B65-84B1-933C87800C92}"/>
    <cellStyle name="Salida 2 2 12 2 3" xfId="42116" xr:uid="{46376067-69B0-499C-A53F-A064DD8B3EA8}"/>
    <cellStyle name="Salida 2 2 12 2 4" xfId="42117" xr:uid="{E5566D0A-AA64-45CC-B795-AFFEA7A9060E}"/>
    <cellStyle name="Salida 2 2 12 2 5" xfId="42118" xr:uid="{AE290918-E6B1-4044-B046-B6579AA8FA1E}"/>
    <cellStyle name="Salida 2 2 12 3" xfId="42119" xr:uid="{3B7B6348-DFBF-4098-8D05-A8BD268491BF}"/>
    <cellStyle name="Salida 2 2 12 4" xfId="42120" xr:uid="{A84A2C55-578D-4971-AD84-E6E6D81344D7}"/>
    <cellStyle name="Salida 2 2 12 5" xfId="42121" xr:uid="{675CD4ED-A564-4841-B2C2-9DCDDA478A2F}"/>
    <cellStyle name="Salida 2 2 12 6" xfId="42122" xr:uid="{1A6E1FA6-244D-47E5-BC29-90E96B882BCC}"/>
    <cellStyle name="Salida 2 2 13" xfId="42123" xr:uid="{1E8A81EF-F647-494A-96C7-28CBD3B64B5F}"/>
    <cellStyle name="Salida 2 2 13 2" xfId="42124" xr:uid="{EC5FF810-BE2B-4F2A-A775-1FE94239C6F7}"/>
    <cellStyle name="Salida 2 2 13 2 2" xfId="42125" xr:uid="{A80D4402-829E-40F0-8F15-5001F850D016}"/>
    <cellStyle name="Salida 2 2 13 2 3" xfId="42126" xr:uid="{01913F8C-8B3F-4B6C-8C6D-8959613E28F9}"/>
    <cellStyle name="Salida 2 2 13 2 4" xfId="42127" xr:uid="{E0D7DD08-67FF-41AD-B905-526A55B60221}"/>
    <cellStyle name="Salida 2 2 13 2 5" xfId="42128" xr:uid="{D5BC9DE0-4C46-4380-B8F7-838AB7A1387B}"/>
    <cellStyle name="Salida 2 2 13 3" xfId="42129" xr:uid="{9A772B5F-1B79-4961-9B05-D9FA6075EEE4}"/>
    <cellStyle name="Salida 2 2 13 4" xfId="42130" xr:uid="{8EB432BE-B4A4-47F3-A65B-2E07949FB011}"/>
    <cellStyle name="Salida 2 2 13 5" xfId="42131" xr:uid="{2547F9BD-1B1F-4CB1-AF3C-645423448AE2}"/>
    <cellStyle name="Salida 2 2 13 6" xfId="42132" xr:uid="{679D5266-743D-4ABF-8BC7-DC8EE4C786CE}"/>
    <cellStyle name="Salida 2 2 14" xfId="42133" xr:uid="{0F5FD6A3-8FDC-4630-9FFA-74E461BBDD31}"/>
    <cellStyle name="Salida 2 2 14 2" xfId="42134" xr:uid="{DB41FCC1-DD0D-4E4B-9A6F-CE9BA680DE5D}"/>
    <cellStyle name="Salida 2 2 14 3" xfId="42135" xr:uid="{105AE63A-984A-4DDC-B904-7FD44E54990C}"/>
    <cellStyle name="Salida 2 2 14 4" xfId="42136" xr:uid="{46C0459D-CCC7-484F-A018-4933C9FCE0E6}"/>
    <cellStyle name="Salida 2 2 14 5" xfId="42137" xr:uid="{83D23940-4401-4B5F-9C9A-6F4EBC79E0D1}"/>
    <cellStyle name="Salida 2 2 15" xfId="42138" xr:uid="{A6227618-5D72-43C3-91A2-49C2E54EEAE0}"/>
    <cellStyle name="Salida 2 2 16" xfId="42139" xr:uid="{5EC9EC1A-B6E9-4F25-B15B-336AD7CD8BB1}"/>
    <cellStyle name="Salida 2 2 17" xfId="42140" xr:uid="{B72D9DB5-A1CF-49C0-8B1D-C47FA493ABF6}"/>
    <cellStyle name="Salida 2 2 18" xfId="42141" xr:uid="{D38658D2-13C1-40DA-A749-47927F3BD538}"/>
    <cellStyle name="Salida 2 2 19" xfId="42142" xr:uid="{58E9B64E-B997-41F7-A82C-9B3BA8D3526C}"/>
    <cellStyle name="Salida 2 2 2" xfId="42143" xr:uid="{3E9C7D51-2E9A-46EA-86DC-5CC998D32276}"/>
    <cellStyle name="Salida 2 2 2 10" xfId="42144" xr:uid="{5B3DE97D-5823-4416-8161-9E69D63248FC}"/>
    <cellStyle name="Salida 2 2 2 11" xfId="42145" xr:uid="{814B1B67-A9F4-4C3E-AEC2-B1C9A1798A4E}"/>
    <cellStyle name="Salida 2 2 2 12" xfId="42146" xr:uid="{CA9F442A-803F-4522-A438-6F0CAECBD923}"/>
    <cellStyle name="Salida 2 2 2 13" xfId="42147" xr:uid="{8DBF938A-72BB-4068-AFFE-F8646C43BC97}"/>
    <cellStyle name="Salida 2 2 2 14" xfId="42148" xr:uid="{41AAAE75-2F87-4039-B14B-1F222DDCA368}"/>
    <cellStyle name="Salida 2 2 2 15" xfId="42149" xr:uid="{9B82D3C7-B863-4428-84E4-085CB6C14985}"/>
    <cellStyle name="Salida 2 2 2 16" xfId="42150" xr:uid="{D15B9BDD-BC58-467C-9816-C4D1A6859B2D}"/>
    <cellStyle name="Salida 2 2 2 2" xfId="42151" xr:uid="{54CD1AB5-20BD-4721-9EA4-5D3D9EFC105A}"/>
    <cellStyle name="Salida 2 2 2 2 10" xfId="42152" xr:uid="{ECF5E011-8818-467C-9E43-61B88B782645}"/>
    <cellStyle name="Salida 2 2 2 2 11" xfId="42153" xr:uid="{649032B0-CAEF-4DCD-83C0-39FB6A7C3965}"/>
    <cellStyle name="Salida 2 2 2 2 12" xfId="42154" xr:uid="{45EC6F14-C688-4BCA-80AB-836B3C2D650D}"/>
    <cellStyle name="Salida 2 2 2 2 13" xfId="42155" xr:uid="{F5B5B956-2AB1-4652-BF56-056FD96FFE92}"/>
    <cellStyle name="Salida 2 2 2 2 14" xfId="42156" xr:uid="{BA3FC4ED-8881-423E-8AE6-53EEA1A682FA}"/>
    <cellStyle name="Salida 2 2 2 2 15" xfId="42157" xr:uid="{2B6CC68B-070F-41B0-A016-65BFEED22212}"/>
    <cellStyle name="Salida 2 2 2 2 2" xfId="42158" xr:uid="{956835DB-CDAD-4901-96E0-9AF57A279E68}"/>
    <cellStyle name="Salida 2 2 2 2 2 10" xfId="42159" xr:uid="{96605040-762D-4183-B579-D61B9B3BE7F7}"/>
    <cellStyle name="Salida 2 2 2 2 2 11" xfId="42160" xr:uid="{6B0297AC-A1E3-403C-9374-3FCA204AF23B}"/>
    <cellStyle name="Salida 2 2 2 2 2 12" xfId="42161" xr:uid="{30C12E10-7B4B-4290-A2C1-B2B2CA277ABE}"/>
    <cellStyle name="Salida 2 2 2 2 2 13" xfId="42162" xr:uid="{7F20F61F-E387-431A-9665-383956573596}"/>
    <cellStyle name="Salida 2 2 2 2 2 14" xfId="42163" xr:uid="{4F21E1C9-3BF6-449A-B9D7-90B9480EF4AB}"/>
    <cellStyle name="Salida 2 2 2 2 2 2" xfId="42164" xr:uid="{BAB9C218-D372-4AE0-B456-F90737920F88}"/>
    <cellStyle name="Salida 2 2 2 2 2 2 10" xfId="42165" xr:uid="{BA238591-D9CC-4FCE-998A-979509273C56}"/>
    <cellStyle name="Salida 2 2 2 2 2 2 11" xfId="42166" xr:uid="{FFC3232C-3594-4A1C-BD5A-B5FC4C802112}"/>
    <cellStyle name="Salida 2 2 2 2 2 2 12" xfId="42167" xr:uid="{F1E88542-9A46-4DD1-89EC-C22713C5FDCB}"/>
    <cellStyle name="Salida 2 2 2 2 2 2 13" xfId="42168" xr:uid="{02B62EA9-A722-4EAB-A749-BFE1131C8224}"/>
    <cellStyle name="Salida 2 2 2 2 2 2 14" xfId="42169" xr:uid="{20EE3396-74E2-41CD-80EA-1A13D1E327A8}"/>
    <cellStyle name="Salida 2 2 2 2 2 2 2" xfId="42170" xr:uid="{1DE846DD-6354-4AF6-BB93-A00D29FDCEDF}"/>
    <cellStyle name="Salida 2 2 2 2 2 2 2 10" xfId="42171" xr:uid="{E09BA5E6-A4E8-4EAB-969D-B242CE8A6A8F}"/>
    <cellStyle name="Salida 2 2 2 2 2 2 2 11" xfId="42172" xr:uid="{760DCEF8-FD6A-4D5B-B2EE-FAF35163689F}"/>
    <cellStyle name="Salida 2 2 2 2 2 2 2 12" xfId="42173" xr:uid="{F2DBA7D0-1F2E-48B4-80FD-67578F4FF262}"/>
    <cellStyle name="Salida 2 2 2 2 2 2 2 13" xfId="42174" xr:uid="{D2DD5FE2-F374-4AF8-8035-27E39A21EF7E}"/>
    <cellStyle name="Salida 2 2 2 2 2 2 2 2" xfId="42175" xr:uid="{F1115ACF-FB80-47EE-8A64-CACDEC79617D}"/>
    <cellStyle name="Salida 2 2 2 2 2 2 2 2 10" xfId="42176" xr:uid="{B9BC49A7-EF62-456E-9AEA-64B1AD97D31F}"/>
    <cellStyle name="Salida 2 2 2 2 2 2 2 2 11" xfId="42177" xr:uid="{63B63F62-6FDC-423A-A86B-2116B04CFC19}"/>
    <cellStyle name="Salida 2 2 2 2 2 2 2 2 12" xfId="42178" xr:uid="{E405C5A9-02A2-4D80-B4F6-B09B6EB9D4E5}"/>
    <cellStyle name="Salida 2 2 2 2 2 2 2 2 13" xfId="42179" xr:uid="{79AA8310-0177-406D-A2C5-E7FA062ABBCD}"/>
    <cellStyle name="Salida 2 2 2 2 2 2 2 2 2" xfId="42180" xr:uid="{BA6E917E-6622-4A6D-8F95-A9BC27FCDED8}"/>
    <cellStyle name="Salida 2 2 2 2 2 2 2 2 2 10" xfId="42181" xr:uid="{BF446302-BC73-412E-9B95-44E01D8D08EA}"/>
    <cellStyle name="Salida 2 2 2 2 2 2 2 2 2 11" xfId="42182" xr:uid="{DE289A8F-C1B9-4B00-B344-B2DC6A5F3FB0}"/>
    <cellStyle name="Salida 2 2 2 2 2 2 2 2 2 12" xfId="42183" xr:uid="{63C480CC-94C2-408F-8541-05C16A2D39D2}"/>
    <cellStyle name="Salida 2 2 2 2 2 2 2 2 2 2" xfId="42184" xr:uid="{7E2891AB-E728-429D-A317-19280372CBC7}"/>
    <cellStyle name="Salida 2 2 2 2 2 2 2 2 2 2 10" xfId="42185" xr:uid="{417226CF-6392-4EE6-949F-B07A68077A8B}"/>
    <cellStyle name="Salida 2 2 2 2 2 2 2 2 2 2 11" xfId="42186" xr:uid="{2684271A-E6EB-4E74-BD32-63A15A423E56}"/>
    <cellStyle name="Salida 2 2 2 2 2 2 2 2 2 2 12" xfId="42187" xr:uid="{3BAA0F7C-5A81-44ED-B276-2FD766DA7AC8}"/>
    <cellStyle name="Salida 2 2 2 2 2 2 2 2 2 2 2" xfId="42188" xr:uid="{939D20A2-A081-44AA-B16F-CA85890C3C74}"/>
    <cellStyle name="Salida 2 2 2 2 2 2 2 2 2 2 2 2" xfId="42189" xr:uid="{9DCF2DC0-C0BC-43F9-BE5F-9B158DE9744F}"/>
    <cellStyle name="Salida 2 2 2 2 2 2 2 2 2 2 2 2 2" xfId="42190" xr:uid="{383B1742-0809-4C0E-8435-6A22924D49E8}"/>
    <cellStyle name="Salida 2 2 2 2 2 2 2 2 2 2 2 2 2 2" xfId="42191" xr:uid="{F0AF3916-943E-47FC-8A3D-63176CE3AD7B}"/>
    <cellStyle name="Salida 2 2 2 2 2 2 2 2 2 2 2 2 2 3" xfId="42192" xr:uid="{C967E38E-CE09-40E5-926B-0ADF00B2D554}"/>
    <cellStyle name="Salida 2 2 2 2 2 2 2 2 2 2 2 2 2 4" xfId="42193" xr:uid="{27ECEDA6-F859-4F33-9148-A97080FF9D3D}"/>
    <cellStyle name="Salida 2 2 2 2 2 2 2 2 2 2 2 2 2 5" xfId="42194" xr:uid="{3A795BDD-4FD4-4031-AB4D-730F1DA33071}"/>
    <cellStyle name="Salida 2 2 2 2 2 2 2 2 2 2 2 2 3" xfId="42195" xr:uid="{34585DD6-517B-472F-8517-7F7C6E669E2A}"/>
    <cellStyle name="Salida 2 2 2 2 2 2 2 2 2 2 2 2 4" xfId="42196" xr:uid="{87D460B9-A801-433E-95F7-B7DF8F7CEA22}"/>
    <cellStyle name="Salida 2 2 2 2 2 2 2 2 2 2 2 2 5" xfId="42197" xr:uid="{C17D9A94-0669-4071-9C35-09F2E38AF685}"/>
    <cellStyle name="Salida 2 2 2 2 2 2 2 2 2 2 2 2 6" xfId="42198" xr:uid="{B3CD9EEE-82D0-4E41-B156-CC6C4D96C6E0}"/>
    <cellStyle name="Salida 2 2 2 2 2 2 2 2 2 2 2 3" xfId="42199" xr:uid="{AE3048D1-97CD-4BCB-9612-FBE51EF17FA6}"/>
    <cellStyle name="Salida 2 2 2 2 2 2 2 2 2 2 2 3 2" xfId="42200" xr:uid="{7FACF80B-023F-4256-BCE9-5AC73C4811C2}"/>
    <cellStyle name="Salida 2 2 2 2 2 2 2 2 2 2 2 3 3" xfId="42201" xr:uid="{7772B558-5938-4F14-8563-CF2E56A02E90}"/>
    <cellStyle name="Salida 2 2 2 2 2 2 2 2 2 2 2 3 4" xfId="42202" xr:uid="{95C377F8-2245-4C36-AACF-0FB9768895D6}"/>
    <cellStyle name="Salida 2 2 2 2 2 2 2 2 2 2 2 3 5" xfId="42203" xr:uid="{787D2DEA-4E8C-4392-941A-225E88EE2455}"/>
    <cellStyle name="Salida 2 2 2 2 2 2 2 2 2 2 2 4" xfId="42204" xr:uid="{0FFE85DB-DD6D-4AEE-95D6-8C11B07AD719}"/>
    <cellStyle name="Salida 2 2 2 2 2 2 2 2 2 2 2 5" xfId="42205" xr:uid="{07EB2239-C736-49B6-83D2-9C4C731F869B}"/>
    <cellStyle name="Salida 2 2 2 2 2 2 2 2 2 2 2 6" xfId="42206" xr:uid="{899DF134-148B-4BED-8371-AF6675B5DE23}"/>
    <cellStyle name="Salida 2 2 2 2 2 2 2 2 2 2 2 7" xfId="42207" xr:uid="{8743DCE2-E27C-42F7-8F66-1D86C9A358E0}"/>
    <cellStyle name="Salida 2 2 2 2 2 2 2 2 2 2 3" xfId="42208" xr:uid="{0EF18E0B-BEEF-475E-B63F-B6EEBCBA29B0}"/>
    <cellStyle name="Salida 2 2 2 2 2 2 2 2 2 2 3 2" xfId="42209" xr:uid="{47D6100E-2BF9-44BD-B69B-28DF70F601AC}"/>
    <cellStyle name="Salida 2 2 2 2 2 2 2 2 2 2 3 2 2" xfId="42210" xr:uid="{AD1C655D-FAED-4999-B158-45E6AFC47256}"/>
    <cellStyle name="Salida 2 2 2 2 2 2 2 2 2 2 3 2 3" xfId="42211" xr:uid="{F2A30520-7347-4D90-A26F-F9DD9DCA50E9}"/>
    <cellStyle name="Salida 2 2 2 2 2 2 2 2 2 2 3 2 4" xfId="42212" xr:uid="{B6E7D24A-AFB3-4BDA-BA75-57A0DF6EE6A6}"/>
    <cellStyle name="Salida 2 2 2 2 2 2 2 2 2 2 3 2 5" xfId="42213" xr:uid="{E3EAD288-3937-4438-BBE5-CAACE8CD5D7F}"/>
    <cellStyle name="Salida 2 2 2 2 2 2 2 2 2 2 3 3" xfId="42214" xr:uid="{BE3ACE11-2E02-4E43-998C-0026B8BDB926}"/>
    <cellStyle name="Salida 2 2 2 2 2 2 2 2 2 2 3 4" xfId="42215" xr:uid="{5C685AAE-5667-4488-B924-6406E73D561F}"/>
    <cellStyle name="Salida 2 2 2 2 2 2 2 2 2 2 3 5" xfId="42216" xr:uid="{C3D5959F-07AC-4887-AAC0-74443C3F2517}"/>
    <cellStyle name="Salida 2 2 2 2 2 2 2 2 2 2 3 6" xfId="42217" xr:uid="{186CCBF0-7997-43BF-A374-D4A8B510C443}"/>
    <cellStyle name="Salida 2 2 2 2 2 2 2 2 2 2 4" xfId="42218" xr:uid="{7A719275-7EDA-48B7-8549-E7D5D86957BF}"/>
    <cellStyle name="Salida 2 2 2 2 2 2 2 2 2 2 4 2" xfId="42219" xr:uid="{580EA8B6-3EA3-425A-8D63-36E2CE6657EC}"/>
    <cellStyle name="Salida 2 2 2 2 2 2 2 2 2 2 4 2 2" xfId="42220" xr:uid="{BDCA1742-59A1-4D02-A2DB-617A21D9FB4B}"/>
    <cellStyle name="Salida 2 2 2 2 2 2 2 2 2 2 4 2 3" xfId="42221" xr:uid="{099A54C7-F70F-4861-940E-BD969E5B9626}"/>
    <cellStyle name="Salida 2 2 2 2 2 2 2 2 2 2 4 2 4" xfId="42222" xr:uid="{034F3449-EEFA-4076-BA62-A96865813B0D}"/>
    <cellStyle name="Salida 2 2 2 2 2 2 2 2 2 2 4 2 5" xfId="42223" xr:uid="{F4750FB9-25D1-4BBB-A6B4-34037D1C2D69}"/>
    <cellStyle name="Salida 2 2 2 2 2 2 2 2 2 2 4 3" xfId="42224" xr:uid="{50D4BC38-563A-4AF4-A61D-ED897CDEA77D}"/>
    <cellStyle name="Salida 2 2 2 2 2 2 2 2 2 2 4 4" xfId="42225" xr:uid="{CC93B275-C35A-4863-AAC2-698D0327AD24}"/>
    <cellStyle name="Salida 2 2 2 2 2 2 2 2 2 2 4 5" xfId="42226" xr:uid="{79694149-2694-4BDB-9107-AC740CE86D81}"/>
    <cellStyle name="Salida 2 2 2 2 2 2 2 2 2 2 4 6" xfId="42227" xr:uid="{696EF331-9CA8-4FBF-9CB9-ED22F0F73383}"/>
    <cellStyle name="Salida 2 2 2 2 2 2 2 2 2 2 5" xfId="42228" xr:uid="{CFF90791-4268-4D51-8EB3-3813510B2EDC}"/>
    <cellStyle name="Salida 2 2 2 2 2 2 2 2 2 2 5 2" xfId="42229" xr:uid="{4CC98170-48B3-4E20-87AD-FAAF8AE617C5}"/>
    <cellStyle name="Salida 2 2 2 2 2 2 2 2 2 2 5 3" xfId="42230" xr:uid="{360CE42A-B637-4973-8814-7C2849CA5AF9}"/>
    <cellStyle name="Salida 2 2 2 2 2 2 2 2 2 2 5 4" xfId="42231" xr:uid="{2BDA6B27-D26D-4738-8917-1C199AE79682}"/>
    <cellStyle name="Salida 2 2 2 2 2 2 2 2 2 2 5 5" xfId="42232" xr:uid="{7848366E-AF04-4FE9-BAF5-5F72CBBC78DD}"/>
    <cellStyle name="Salida 2 2 2 2 2 2 2 2 2 2 6" xfId="42233" xr:uid="{55DC7C6E-C14F-40CA-AD91-D46A7E0BB71C}"/>
    <cellStyle name="Salida 2 2 2 2 2 2 2 2 2 2 7" xfId="42234" xr:uid="{224AC08E-D84E-49BC-931E-3682E48F0342}"/>
    <cellStyle name="Salida 2 2 2 2 2 2 2 2 2 2 8" xfId="42235" xr:uid="{535B4EA9-3C51-41A6-9B6A-E8F31C5F8FB8}"/>
    <cellStyle name="Salida 2 2 2 2 2 2 2 2 2 2 9" xfId="42236" xr:uid="{AB8D0E2D-DF0C-4CC3-A4DA-7B151CB2B7DB}"/>
    <cellStyle name="Salida 2 2 2 2 2 2 2 2 2 3" xfId="42237" xr:uid="{0DE60DC2-6D11-4333-A455-F2967ED4AB04}"/>
    <cellStyle name="Salida 2 2 2 2 2 2 2 2 2 3 2" xfId="42238" xr:uid="{E0BADEA2-4E25-4122-A50E-9EAB6D0A6885}"/>
    <cellStyle name="Salida 2 2 2 2 2 2 2 2 2 3 2 2" xfId="42239" xr:uid="{C5827F29-88C9-41E6-B849-18DA31BEC7A5}"/>
    <cellStyle name="Salida 2 2 2 2 2 2 2 2 2 3 2 3" xfId="42240" xr:uid="{234BBC86-2ABC-4D87-A2F4-E0AB96C03CA8}"/>
    <cellStyle name="Salida 2 2 2 2 2 2 2 2 2 3 2 4" xfId="42241" xr:uid="{13683A0A-17A8-45DD-B14E-D25FFB1BA4EB}"/>
    <cellStyle name="Salida 2 2 2 2 2 2 2 2 2 3 2 5" xfId="42242" xr:uid="{24F065D1-626C-46E0-832C-EA2AA7E25662}"/>
    <cellStyle name="Salida 2 2 2 2 2 2 2 2 2 3 3" xfId="42243" xr:uid="{E212D59C-F451-4A85-8D8A-59E0D457B39E}"/>
    <cellStyle name="Salida 2 2 2 2 2 2 2 2 2 3 4" xfId="42244" xr:uid="{19D5E9BD-7A49-4C98-967F-0BCED9A61D6B}"/>
    <cellStyle name="Salida 2 2 2 2 2 2 2 2 2 3 5" xfId="42245" xr:uid="{2CE3C726-9833-42E0-B9E1-8B0769C27B1F}"/>
    <cellStyle name="Salida 2 2 2 2 2 2 2 2 2 3 6" xfId="42246" xr:uid="{C885995A-ADC6-4429-AA48-FF30432B8D8B}"/>
    <cellStyle name="Salida 2 2 2 2 2 2 2 2 2 4" xfId="42247" xr:uid="{F324B7AF-F268-4410-9D2A-B1B73C4814E9}"/>
    <cellStyle name="Salida 2 2 2 2 2 2 2 2 2 4 2" xfId="42248" xr:uid="{DD6AA4CD-1614-4796-8ABA-A5BA909B9FBC}"/>
    <cellStyle name="Salida 2 2 2 2 2 2 2 2 2 4 2 2" xfId="42249" xr:uid="{5DF270B5-C3F9-4311-B6FE-286A6F69476B}"/>
    <cellStyle name="Salida 2 2 2 2 2 2 2 2 2 4 2 3" xfId="42250" xr:uid="{014902D7-C872-41A7-9DCD-963B62353A77}"/>
    <cellStyle name="Salida 2 2 2 2 2 2 2 2 2 4 2 4" xfId="42251" xr:uid="{1C9F425A-5EE3-43E4-BFDD-FB2CA9E6D620}"/>
    <cellStyle name="Salida 2 2 2 2 2 2 2 2 2 4 2 5" xfId="42252" xr:uid="{2223FDB9-3835-45CB-B3BF-0BF804242F24}"/>
    <cellStyle name="Salida 2 2 2 2 2 2 2 2 2 4 3" xfId="42253" xr:uid="{D289CE7E-28D6-4A3B-B250-85E4685831A3}"/>
    <cellStyle name="Salida 2 2 2 2 2 2 2 2 2 4 4" xfId="42254" xr:uid="{EB36BA3B-29EE-47E9-B6E6-FB324459FE5F}"/>
    <cellStyle name="Salida 2 2 2 2 2 2 2 2 2 4 5" xfId="42255" xr:uid="{F078CE5C-F3C3-40AF-8D66-0BC9ACB55FE0}"/>
    <cellStyle name="Salida 2 2 2 2 2 2 2 2 2 4 6" xfId="42256" xr:uid="{42F838F3-9784-4867-8198-A3D8EFB2F91F}"/>
    <cellStyle name="Salida 2 2 2 2 2 2 2 2 2 5" xfId="42257" xr:uid="{DD3EEE06-27B9-47B5-9240-78E24EE08A85}"/>
    <cellStyle name="Salida 2 2 2 2 2 2 2 2 2 5 2" xfId="42258" xr:uid="{597D942E-9B3F-4EF4-BEEA-DF3AC8626430}"/>
    <cellStyle name="Salida 2 2 2 2 2 2 2 2 2 5 3" xfId="42259" xr:uid="{02C196E9-5252-4535-ACFD-FA1384CEAEAC}"/>
    <cellStyle name="Salida 2 2 2 2 2 2 2 2 2 5 4" xfId="42260" xr:uid="{B2572A1D-27DE-43AB-8972-33E7D9353B71}"/>
    <cellStyle name="Salida 2 2 2 2 2 2 2 2 2 5 5" xfId="42261" xr:uid="{5AEFDE85-2556-4BD9-B5E4-9BDA8587F02A}"/>
    <cellStyle name="Salida 2 2 2 2 2 2 2 2 2 6" xfId="42262" xr:uid="{D3EC53CC-6E43-434A-AC45-819B7BC4C10A}"/>
    <cellStyle name="Salida 2 2 2 2 2 2 2 2 2 7" xfId="42263" xr:uid="{9FCB4DDC-A318-46C1-98A3-14F8D90DD730}"/>
    <cellStyle name="Salida 2 2 2 2 2 2 2 2 2 8" xfId="42264" xr:uid="{54EDD739-A1E6-4156-B3A6-09A4D20095DD}"/>
    <cellStyle name="Salida 2 2 2 2 2 2 2 2 2 9" xfId="42265" xr:uid="{9DE645BE-AA3F-4EB9-BE36-8A9FD23EA977}"/>
    <cellStyle name="Salida 2 2 2 2 2 2 2 2 3" xfId="42266" xr:uid="{918B0093-6601-4E1B-9764-92908155420A}"/>
    <cellStyle name="Salida 2 2 2 2 2 2 2 2 3 2" xfId="42267" xr:uid="{5AE2A88D-821B-4D9B-9A5A-1CF90CF9ECB7}"/>
    <cellStyle name="Salida 2 2 2 2 2 2 2 2 3 2 2" xfId="42268" xr:uid="{70757814-3060-473D-9F93-EF64AAC242A4}"/>
    <cellStyle name="Salida 2 2 2 2 2 2 2 2 3 2 3" xfId="42269" xr:uid="{AC9A16C9-7BB7-47F3-8EAF-CE959AB9F928}"/>
    <cellStyle name="Salida 2 2 2 2 2 2 2 2 3 2 4" xfId="42270" xr:uid="{109C90A2-4CAA-4455-BA86-07658AA72B0B}"/>
    <cellStyle name="Salida 2 2 2 2 2 2 2 2 3 2 5" xfId="42271" xr:uid="{0CD253A1-3B9F-427C-A241-8B43306291A1}"/>
    <cellStyle name="Salida 2 2 2 2 2 2 2 2 3 3" xfId="42272" xr:uid="{8294CD59-3CC3-461C-BAAD-E164CDC5FB78}"/>
    <cellStyle name="Salida 2 2 2 2 2 2 2 2 3 4" xfId="42273" xr:uid="{39B93107-D0B2-4065-8157-5A637DB31F2B}"/>
    <cellStyle name="Salida 2 2 2 2 2 2 2 2 3 5" xfId="42274" xr:uid="{21F1841B-D623-4E78-A811-0E6F4E7F0D4E}"/>
    <cellStyle name="Salida 2 2 2 2 2 2 2 2 3 6" xfId="42275" xr:uid="{98CF9EE9-C014-427D-8A23-51CF798C2209}"/>
    <cellStyle name="Salida 2 2 2 2 2 2 2 2 4" xfId="42276" xr:uid="{252C8524-3A4B-4528-83FA-AF1FBDDD4D10}"/>
    <cellStyle name="Salida 2 2 2 2 2 2 2 2 4 2" xfId="42277" xr:uid="{FF94563A-D1D1-4D9D-90CF-13C2B1B0FB5E}"/>
    <cellStyle name="Salida 2 2 2 2 2 2 2 2 4 2 2" xfId="42278" xr:uid="{A19A7CD8-6892-4AFD-8E15-C64C61DE4290}"/>
    <cellStyle name="Salida 2 2 2 2 2 2 2 2 4 2 3" xfId="42279" xr:uid="{6ED07155-3BE9-440B-BDA4-3AD1C13C95FB}"/>
    <cellStyle name="Salida 2 2 2 2 2 2 2 2 4 2 4" xfId="42280" xr:uid="{1690DDEC-F0F9-401D-BB5E-B5F07E440F7E}"/>
    <cellStyle name="Salida 2 2 2 2 2 2 2 2 4 2 5" xfId="42281" xr:uid="{8949438B-1D06-49D8-A1F2-5DB037DA5AE4}"/>
    <cellStyle name="Salida 2 2 2 2 2 2 2 2 4 3" xfId="42282" xr:uid="{128967E3-97AA-4A22-8BDF-7A6ABE33D8B7}"/>
    <cellStyle name="Salida 2 2 2 2 2 2 2 2 4 4" xfId="42283" xr:uid="{F4D308F0-6C06-47E1-ACE9-3EF6755840A7}"/>
    <cellStyle name="Salida 2 2 2 2 2 2 2 2 4 5" xfId="42284" xr:uid="{FA5F0904-9229-4866-B0D8-DB8D28592AF8}"/>
    <cellStyle name="Salida 2 2 2 2 2 2 2 2 4 6" xfId="42285" xr:uid="{413ADC9B-BD2C-4143-985E-F94B7C31E746}"/>
    <cellStyle name="Salida 2 2 2 2 2 2 2 2 5" xfId="42286" xr:uid="{14F129F7-465B-4EB4-9540-D56C65C5FE51}"/>
    <cellStyle name="Salida 2 2 2 2 2 2 2 2 5 2" xfId="42287" xr:uid="{65529A7D-39F4-4785-8514-92916FB3007A}"/>
    <cellStyle name="Salida 2 2 2 2 2 2 2 2 5 2 2" xfId="42288" xr:uid="{2C35114D-607C-4C4C-8624-5C8211F141F3}"/>
    <cellStyle name="Salida 2 2 2 2 2 2 2 2 5 2 3" xfId="42289" xr:uid="{F11C39A8-D538-4B16-AB5E-3003D5B920DE}"/>
    <cellStyle name="Salida 2 2 2 2 2 2 2 2 5 2 4" xfId="42290" xr:uid="{76B2F1C1-3B32-4BC9-8705-A1BC2A2A4CED}"/>
    <cellStyle name="Salida 2 2 2 2 2 2 2 2 5 2 5" xfId="42291" xr:uid="{182117BB-3C11-4CF0-8188-D3F43ADF55D6}"/>
    <cellStyle name="Salida 2 2 2 2 2 2 2 2 5 3" xfId="42292" xr:uid="{EEDCBF2D-A1A5-4081-AD42-E5F22EF74F72}"/>
    <cellStyle name="Salida 2 2 2 2 2 2 2 2 5 4" xfId="42293" xr:uid="{C53B8D6C-F339-4AD5-A744-C8F9269F0FC0}"/>
    <cellStyle name="Salida 2 2 2 2 2 2 2 2 5 5" xfId="42294" xr:uid="{A36B95F1-944F-4F73-B55C-458F413287F5}"/>
    <cellStyle name="Salida 2 2 2 2 2 2 2 2 5 6" xfId="42295" xr:uid="{E27D54B1-A06D-4B6C-AF6F-C3C1D5DACAA6}"/>
    <cellStyle name="Salida 2 2 2 2 2 2 2 2 6" xfId="42296" xr:uid="{75DC5F23-2E74-450F-8BB2-CA67F2E0918E}"/>
    <cellStyle name="Salida 2 2 2 2 2 2 2 2 6 2" xfId="42297" xr:uid="{BEFD70BC-5137-4355-8F5C-A578EA512964}"/>
    <cellStyle name="Salida 2 2 2 2 2 2 2 2 6 3" xfId="42298" xr:uid="{74111617-F493-4C85-A1AD-287665284C33}"/>
    <cellStyle name="Salida 2 2 2 2 2 2 2 2 6 4" xfId="42299" xr:uid="{6DC800DF-9037-4027-8F68-58C53B4E7347}"/>
    <cellStyle name="Salida 2 2 2 2 2 2 2 2 6 5" xfId="42300" xr:uid="{2256DA59-D810-4D31-89FF-98F75EBBEE76}"/>
    <cellStyle name="Salida 2 2 2 2 2 2 2 2 7" xfId="42301" xr:uid="{588E05F2-7834-4EF0-85C8-F2242FEE76B7}"/>
    <cellStyle name="Salida 2 2 2 2 2 2 2 2 8" xfId="42302" xr:uid="{BFE11D3A-5877-41AB-AE46-04C5031D5486}"/>
    <cellStyle name="Salida 2 2 2 2 2 2 2 2 9" xfId="42303" xr:uid="{86B5A3F3-8497-421E-AF7D-095702EF2C97}"/>
    <cellStyle name="Salida 2 2 2 2 2 2 2 3" xfId="42304" xr:uid="{482FAE58-D2E2-491D-815E-F317259BCCAF}"/>
    <cellStyle name="Salida 2 2 2 2 2 2 2 3 10" xfId="42305" xr:uid="{2D9D0D60-4903-407D-A447-1F1F1B16907C}"/>
    <cellStyle name="Salida 2 2 2 2 2 2 2 3 11" xfId="42306" xr:uid="{806B8FDD-1A59-4CB2-A283-8607C7BF3420}"/>
    <cellStyle name="Salida 2 2 2 2 2 2 2 3 12" xfId="42307" xr:uid="{0FBD9C5F-7111-4CB5-8724-16FA1529D80F}"/>
    <cellStyle name="Salida 2 2 2 2 2 2 2 3 2" xfId="42308" xr:uid="{3EFAE290-030C-41AC-9F87-9E2C0C9513DE}"/>
    <cellStyle name="Salida 2 2 2 2 2 2 2 3 2 2" xfId="42309" xr:uid="{BFCCD29E-BA43-47B6-B6F9-36C9CDAF78F0}"/>
    <cellStyle name="Salida 2 2 2 2 2 2 2 3 2 2 2" xfId="42310" xr:uid="{FF8966D6-C06A-4E8C-95D8-1D8E790E7C81}"/>
    <cellStyle name="Salida 2 2 2 2 2 2 2 3 2 2 3" xfId="42311" xr:uid="{32111F5A-F8B2-4511-BFE3-D9EE4F9FB598}"/>
    <cellStyle name="Salida 2 2 2 2 2 2 2 3 2 2 4" xfId="42312" xr:uid="{ECAB686A-7190-4BC0-AB53-895A54F0FBDF}"/>
    <cellStyle name="Salida 2 2 2 2 2 2 2 3 2 2 5" xfId="42313" xr:uid="{461DCCD5-FF1B-4A22-9DE2-CC92A38A24D2}"/>
    <cellStyle name="Salida 2 2 2 2 2 2 2 3 2 3" xfId="42314" xr:uid="{24F62DC9-2199-4D56-8429-65422B49E9CD}"/>
    <cellStyle name="Salida 2 2 2 2 2 2 2 3 2 4" xfId="42315" xr:uid="{FA1F0598-8E97-499B-8A4C-F401A73AB375}"/>
    <cellStyle name="Salida 2 2 2 2 2 2 2 3 2 5" xfId="42316" xr:uid="{E46C56C8-7F4C-4A09-8765-2959420B2382}"/>
    <cellStyle name="Salida 2 2 2 2 2 2 2 3 2 6" xfId="42317" xr:uid="{9F263438-8CDC-422B-A10D-69099EDBF67D}"/>
    <cellStyle name="Salida 2 2 2 2 2 2 2 3 3" xfId="42318" xr:uid="{F578B6A9-AA5B-49AA-ADE2-E9BF12A33C63}"/>
    <cellStyle name="Salida 2 2 2 2 2 2 2 3 3 2" xfId="42319" xr:uid="{9B0A8BB4-A779-4F0D-AF35-2E82FF7D49FD}"/>
    <cellStyle name="Salida 2 2 2 2 2 2 2 3 3 2 2" xfId="42320" xr:uid="{3AFCB055-908F-4556-9CA1-33FA54C6AB30}"/>
    <cellStyle name="Salida 2 2 2 2 2 2 2 3 3 2 3" xfId="42321" xr:uid="{9F3ADDC4-6FD9-4498-B657-E249F151A763}"/>
    <cellStyle name="Salida 2 2 2 2 2 2 2 3 3 2 4" xfId="42322" xr:uid="{FD173A12-AC19-4DF3-9148-D1AF55E1CE9E}"/>
    <cellStyle name="Salida 2 2 2 2 2 2 2 3 3 2 5" xfId="42323" xr:uid="{DD05879B-B7AF-4ED5-AD7F-6AA06F393B5A}"/>
    <cellStyle name="Salida 2 2 2 2 2 2 2 3 3 3" xfId="42324" xr:uid="{CC03272F-DBC9-438B-A2AE-C8FCA4AD4AC6}"/>
    <cellStyle name="Salida 2 2 2 2 2 2 2 3 3 4" xfId="42325" xr:uid="{FB3D6CEC-2E10-4004-BED5-56F0D0DF69D9}"/>
    <cellStyle name="Salida 2 2 2 2 2 2 2 3 3 5" xfId="42326" xr:uid="{4A9B2CC7-AC9C-42BC-887A-586490D36DA3}"/>
    <cellStyle name="Salida 2 2 2 2 2 2 2 3 3 6" xfId="42327" xr:uid="{FD0FB91F-3EBB-462A-8A12-3D75B3BCECD5}"/>
    <cellStyle name="Salida 2 2 2 2 2 2 2 3 4" xfId="42328" xr:uid="{07444673-82A5-4ED0-8282-9F5D8E44DBE5}"/>
    <cellStyle name="Salida 2 2 2 2 2 2 2 3 4 2" xfId="42329" xr:uid="{D0A641E6-1571-428D-AEE8-BABE214C5978}"/>
    <cellStyle name="Salida 2 2 2 2 2 2 2 3 4 2 2" xfId="42330" xr:uid="{740BA355-AB5B-4BB4-8DB2-B4A0A380062A}"/>
    <cellStyle name="Salida 2 2 2 2 2 2 2 3 4 2 3" xfId="42331" xr:uid="{7A4E2B1A-08DA-452E-99CA-1CD776D6CDB4}"/>
    <cellStyle name="Salida 2 2 2 2 2 2 2 3 4 2 4" xfId="42332" xr:uid="{928BE5A1-3FBF-4203-A739-C150B6405B1B}"/>
    <cellStyle name="Salida 2 2 2 2 2 2 2 3 4 2 5" xfId="42333" xr:uid="{D3ABE0C9-F4D5-470F-BC75-B6D5EC84763E}"/>
    <cellStyle name="Salida 2 2 2 2 2 2 2 3 4 3" xfId="42334" xr:uid="{040E653D-A3A3-4038-8A8F-17758E35C2D8}"/>
    <cellStyle name="Salida 2 2 2 2 2 2 2 3 4 4" xfId="42335" xr:uid="{50153FD6-A767-4987-BF30-3ECAFCA20EFA}"/>
    <cellStyle name="Salida 2 2 2 2 2 2 2 3 4 5" xfId="42336" xr:uid="{C7793238-62E8-474B-9E7F-A31829D3CCA3}"/>
    <cellStyle name="Salida 2 2 2 2 2 2 2 3 4 6" xfId="42337" xr:uid="{A2FAA63D-9769-48C3-82C8-630373AAEA72}"/>
    <cellStyle name="Salida 2 2 2 2 2 2 2 3 5" xfId="42338" xr:uid="{5128C0C2-C0AF-440A-B768-98488F263F01}"/>
    <cellStyle name="Salida 2 2 2 2 2 2 2 3 5 2" xfId="42339" xr:uid="{40B63DBD-F977-457F-A793-D9439D768F27}"/>
    <cellStyle name="Salida 2 2 2 2 2 2 2 3 5 3" xfId="42340" xr:uid="{37384DD8-15D7-46FE-8D7E-4B3B4C1E6F9F}"/>
    <cellStyle name="Salida 2 2 2 2 2 2 2 3 5 4" xfId="42341" xr:uid="{A2E7193C-90B4-48D0-84ED-554269195198}"/>
    <cellStyle name="Salida 2 2 2 2 2 2 2 3 5 5" xfId="42342" xr:uid="{F9CAEEE3-4736-4B1C-889B-90D5243CCF8D}"/>
    <cellStyle name="Salida 2 2 2 2 2 2 2 3 6" xfId="42343" xr:uid="{0764E94E-F7D3-48A0-A8C7-68382F4FB3C5}"/>
    <cellStyle name="Salida 2 2 2 2 2 2 2 3 7" xfId="42344" xr:uid="{A1C6E9B0-630E-4551-BFCF-2744E3E507BC}"/>
    <cellStyle name="Salida 2 2 2 2 2 2 2 3 8" xfId="42345" xr:uid="{833C5D45-37A7-4953-928E-B4B8E4892B9F}"/>
    <cellStyle name="Salida 2 2 2 2 2 2 2 3 9" xfId="42346" xr:uid="{0B3D03B9-3D38-4412-9D9C-1AD2C05653A2}"/>
    <cellStyle name="Salida 2 2 2 2 2 2 2 4" xfId="42347" xr:uid="{B68DD5DB-A521-432A-9E8F-1FEFFA499E67}"/>
    <cellStyle name="Salida 2 2 2 2 2 2 2 4 2" xfId="42348" xr:uid="{669C39CB-9151-42E5-9D12-D1EE9FF559D5}"/>
    <cellStyle name="Salida 2 2 2 2 2 2 2 4 2 2" xfId="42349" xr:uid="{53EBCF8E-2066-4A44-AAD2-D8F166D5309E}"/>
    <cellStyle name="Salida 2 2 2 2 2 2 2 4 2 3" xfId="42350" xr:uid="{9DAE6F99-D5F6-4724-B1B8-55D3E68B739B}"/>
    <cellStyle name="Salida 2 2 2 2 2 2 2 4 2 4" xfId="42351" xr:uid="{9E48DEE9-D7F4-4AC5-9CF7-9EC463C29EC0}"/>
    <cellStyle name="Salida 2 2 2 2 2 2 2 4 2 5" xfId="42352" xr:uid="{2FB837CE-2BE7-40A4-AC00-734056E8F1A4}"/>
    <cellStyle name="Salida 2 2 2 2 2 2 2 4 3" xfId="42353" xr:uid="{278B0DD8-2FEF-4A56-97EE-539661D89A32}"/>
    <cellStyle name="Salida 2 2 2 2 2 2 2 4 4" xfId="42354" xr:uid="{59C7BC2E-03B2-44F6-9234-E5A576E87A9E}"/>
    <cellStyle name="Salida 2 2 2 2 2 2 2 4 5" xfId="42355" xr:uid="{91B1C383-B5CA-4395-9900-4432A46BAA74}"/>
    <cellStyle name="Salida 2 2 2 2 2 2 2 4 6" xfId="42356" xr:uid="{87617EFC-A026-4D97-9FE9-B37D0D032CBB}"/>
    <cellStyle name="Salida 2 2 2 2 2 2 2 5" xfId="42357" xr:uid="{2E2CD353-6B58-474A-A740-F8D57FAE69D0}"/>
    <cellStyle name="Salida 2 2 2 2 2 2 2 5 2" xfId="42358" xr:uid="{53BC6217-4A54-4709-8E02-E807C6A4634A}"/>
    <cellStyle name="Salida 2 2 2 2 2 2 2 5 2 2" xfId="42359" xr:uid="{58AE76E1-BBCF-4C9A-B867-2565C43306DA}"/>
    <cellStyle name="Salida 2 2 2 2 2 2 2 5 2 3" xfId="42360" xr:uid="{CC7C5970-B650-4289-A235-00825839CF65}"/>
    <cellStyle name="Salida 2 2 2 2 2 2 2 5 2 4" xfId="42361" xr:uid="{3A340403-69F8-407E-AB1C-E86694DC58AF}"/>
    <cellStyle name="Salida 2 2 2 2 2 2 2 5 2 5" xfId="42362" xr:uid="{E9CE6ED5-9226-494D-8B05-AD43303C5490}"/>
    <cellStyle name="Salida 2 2 2 2 2 2 2 5 3" xfId="42363" xr:uid="{FADDE111-6D84-4B59-9D08-ABB79F0530B7}"/>
    <cellStyle name="Salida 2 2 2 2 2 2 2 5 4" xfId="42364" xr:uid="{48E3CE7F-2246-4AF8-809A-90194EFD101D}"/>
    <cellStyle name="Salida 2 2 2 2 2 2 2 5 5" xfId="42365" xr:uid="{E805B743-B9FE-416E-B7F4-D1813DA6B216}"/>
    <cellStyle name="Salida 2 2 2 2 2 2 2 5 6" xfId="42366" xr:uid="{5D6952C9-4AE8-453F-8458-BE8D23BCFCB0}"/>
    <cellStyle name="Salida 2 2 2 2 2 2 2 6" xfId="42367" xr:uid="{83DFCE7A-5AB8-49A5-BE0D-E3BB11F767AC}"/>
    <cellStyle name="Salida 2 2 2 2 2 2 2 6 2" xfId="42368" xr:uid="{8EA26B48-AB8A-4A8D-83AA-9752FB65AACC}"/>
    <cellStyle name="Salida 2 2 2 2 2 2 2 6 3" xfId="42369" xr:uid="{B029CE41-B953-4700-952A-FFA1C6334F3B}"/>
    <cellStyle name="Salida 2 2 2 2 2 2 2 6 4" xfId="42370" xr:uid="{68070EE8-F79A-4E26-A1E0-18EC6030451E}"/>
    <cellStyle name="Salida 2 2 2 2 2 2 2 6 5" xfId="42371" xr:uid="{708A8A15-3B67-4BCC-B9B5-F48F681EF616}"/>
    <cellStyle name="Salida 2 2 2 2 2 2 2 7" xfId="42372" xr:uid="{5B37EBB8-40ED-427A-AEA3-D188A9FB6F3A}"/>
    <cellStyle name="Salida 2 2 2 2 2 2 2 8" xfId="42373" xr:uid="{E1304EF9-5CBE-4C62-B7FB-4483C29499BC}"/>
    <cellStyle name="Salida 2 2 2 2 2 2 2 9" xfId="42374" xr:uid="{38F0EC1B-8049-4520-87D9-F6DDEF115C64}"/>
    <cellStyle name="Salida 2 2 2 2 2 2 3" xfId="42375" xr:uid="{67CA2564-FFF2-44A6-BB1B-56F422346AA6}"/>
    <cellStyle name="Salida 2 2 2 2 2 2 3 10" xfId="42376" xr:uid="{8B46182A-496E-46AE-AFC5-6CD69C3C10A4}"/>
    <cellStyle name="Salida 2 2 2 2 2 2 3 11" xfId="42377" xr:uid="{592CB4C3-EDCB-4A12-B021-F2F2C5CF09AA}"/>
    <cellStyle name="Salida 2 2 2 2 2 2 3 12" xfId="42378" xr:uid="{A72F925F-0955-4460-B957-B5EDEA914C8C}"/>
    <cellStyle name="Salida 2 2 2 2 2 2 3 2" xfId="42379" xr:uid="{C910BDD5-FCFC-454D-937A-EB59B04FE809}"/>
    <cellStyle name="Salida 2 2 2 2 2 2 3 2 10" xfId="42380" xr:uid="{F34E5519-D2F7-4F85-B41A-AF811F1A6BF5}"/>
    <cellStyle name="Salida 2 2 2 2 2 2 3 2 11" xfId="42381" xr:uid="{8D7B36B0-C8F3-4B30-9A33-2B87B839C41B}"/>
    <cellStyle name="Salida 2 2 2 2 2 2 3 2 12" xfId="42382" xr:uid="{B8852EF9-8BA4-412D-91C2-82FEBCAE5EBB}"/>
    <cellStyle name="Salida 2 2 2 2 2 2 3 2 2" xfId="42383" xr:uid="{CB984C46-E9C8-4470-A04C-0582DB6A77F8}"/>
    <cellStyle name="Salida 2 2 2 2 2 2 3 2 2 2" xfId="42384" xr:uid="{0ADC1B2B-B19B-4C71-8C2F-D231E73C5E22}"/>
    <cellStyle name="Salida 2 2 2 2 2 2 3 2 2 2 2" xfId="42385" xr:uid="{58DF2A37-1C90-42E7-8C20-A804724B6DCA}"/>
    <cellStyle name="Salida 2 2 2 2 2 2 3 2 2 2 3" xfId="42386" xr:uid="{0A332B9F-643E-4A67-890C-5A3AB4BA7B31}"/>
    <cellStyle name="Salida 2 2 2 2 2 2 3 2 2 2 4" xfId="42387" xr:uid="{30D38A2A-E89A-4AAB-A95C-65C3AE199F53}"/>
    <cellStyle name="Salida 2 2 2 2 2 2 3 2 2 2 5" xfId="42388" xr:uid="{F5CC6118-D584-47EB-8072-4E393A3A476B}"/>
    <cellStyle name="Salida 2 2 2 2 2 2 3 2 2 3" xfId="42389" xr:uid="{C6BCC163-925E-4971-81F6-BF15E5E9552D}"/>
    <cellStyle name="Salida 2 2 2 2 2 2 3 2 2 4" xfId="42390" xr:uid="{E5B08700-39EC-4D59-A965-A6AFC48283D7}"/>
    <cellStyle name="Salida 2 2 2 2 2 2 3 2 2 5" xfId="42391" xr:uid="{27299380-115E-4DB1-8CD0-16733C89217C}"/>
    <cellStyle name="Salida 2 2 2 2 2 2 3 2 2 6" xfId="42392" xr:uid="{5D71B2E8-B3ED-4193-B8A6-97AF0AEC775C}"/>
    <cellStyle name="Salida 2 2 2 2 2 2 3 2 3" xfId="42393" xr:uid="{CAC513BD-E984-41D4-970B-24004DA63FC1}"/>
    <cellStyle name="Salida 2 2 2 2 2 2 3 2 3 2" xfId="42394" xr:uid="{B172D45C-4880-41A9-A7E0-C2AD76AD5330}"/>
    <cellStyle name="Salida 2 2 2 2 2 2 3 2 3 2 2" xfId="42395" xr:uid="{5756233F-878C-4440-A0E8-85FC86BE30D4}"/>
    <cellStyle name="Salida 2 2 2 2 2 2 3 2 3 2 3" xfId="42396" xr:uid="{9376A340-E5EE-421B-BEE3-2A5A1AF5D2C6}"/>
    <cellStyle name="Salida 2 2 2 2 2 2 3 2 3 2 4" xfId="42397" xr:uid="{F868FE25-7848-40FF-BFB2-F9EE6FD76B78}"/>
    <cellStyle name="Salida 2 2 2 2 2 2 3 2 3 2 5" xfId="42398" xr:uid="{443FC234-7AEA-4AD0-BCDB-1D96E37E04D6}"/>
    <cellStyle name="Salida 2 2 2 2 2 2 3 2 3 3" xfId="42399" xr:uid="{EB2DE835-F159-45F7-ADEE-6462B7535D8C}"/>
    <cellStyle name="Salida 2 2 2 2 2 2 3 2 3 4" xfId="42400" xr:uid="{B53A6C21-4BDB-4F86-8F6C-BD9469A9CFC1}"/>
    <cellStyle name="Salida 2 2 2 2 2 2 3 2 3 5" xfId="42401" xr:uid="{2DEB0197-51BE-4B78-A0A9-B11B59D74F60}"/>
    <cellStyle name="Salida 2 2 2 2 2 2 3 2 3 6" xfId="42402" xr:uid="{39240057-4FB7-46C7-9F02-588DFC1A4938}"/>
    <cellStyle name="Salida 2 2 2 2 2 2 3 2 4" xfId="42403" xr:uid="{D749E10E-6001-4247-AF79-F04B4BA2FC3A}"/>
    <cellStyle name="Salida 2 2 2 2 2 2 3 2 4 2" xfId="42404" xr:uid="{65230FAC-CDCC-4BDD-9035-54E8ACED11A0}"/>
    <cellStyle name="Salida 2 2 2 2 2 2 3 2 4 2 2" xfId="42405" xr:uid="{2F8BAD09-C1FC-41D8-8493-0965D961EF0A}"/>
    <cellStyle name="Salida 2 2 2 2 2 2 3 2 4 2 3" xfId="42406" xr:uid="{2122C63D-588A-43A9-9CDB-C069ADE10800}"/>
    <cellStyle name="Salida 2 2 2 2 2 2 3 2 4 2 4" xfId="42407" xr:uid="{580FC308-7FF6-4B37-B633-2DF6941045DF}"/>
    <cellStyle name="Salida 2 2 2 2 2 2 3 2 4 2 5" xfId="42408" xr:uid="{BF042913-D9E0-4B46-A695-FD2A9276D192}"/>
    <cellStyle name="Salida 2 2 2 2 2 2 3 2 4 3" xfId="42409" xr:uid="{56C72D5A-BD8E-46CA-AE61-44D59AC7FCBC}"/>
    <cellStyle name="Salida 2 2 2 2 2 2 3 2 4 4" xfId="42410" xr:uid="{E71CE69E-5DFB-4D86-BF40-2C37F8361176}"/>
    <cellStyle name="Salida 2 2 2 2 2 2 3 2 4 5" xfId="42411" xr:uid="{D225D421-0296-498F-8355-BA68C9EA8FAD}"/>
    <cellStyle name="Salida 2 2 2 2 2 2 3 2 4 6" xfId="42412" xr:uid="{EB10B206-81D0-4518-88C7-F2F1BF96B32F}"/>
    <cellStyle name="Salida 2 2 2 2 2 2 3 2 5" xfId="42413" xr:uid="{FECDD3DF-97FF-4E5A-8895-E51D7723541B}"/>
    <cellStyle name="Salida 2 2 2 2 2 2 3 2 5 2" xfId="42414" xr:uid="{6CBA8C2C-7A1A-4F26-AC0E-59ABDAAD2380}"/>
    <cellStyle name="Salida 2 2 2 2 2 2 3 2 5 3" xfId="42415" xr:uid="{1109F859-1A64-47DE-A73F-271B5602AC6E}"/>
    <cellStyle name="Salida 2 2 2 2 2 2 3 2 5 4" xfId="42416" xr:uid="{18C4BB76-793D-42DE-A2FC-88874BB4DD57}"/>
    <cellStyle name="Salida 2 2 2 2 2 2 3 2 5 5" xfId="42417" xr:uid="{CBCB7E0F-0FB1-4008-A7A6-BB462AF6F975}"/>
    <cellStyle name="Salida 2 2 2 2 2 2 3 2 6" xfId="42418" xr:uid="{33512E61-A677-4114-AE99-4F11CA93BB62}"/>
    <cellStyle name="Salida 2 2 2 2 2 2 3 2 7" xfId="42419" xr:uid="{4E821C6C-E406-48D9-B00C-E16F7946024E}"/>
    <cellStyle name="Salida 2 2 2 2 2 2 3 2 8" xfId="42420" xr:uid="{6D4A995A-B216-4DA8-99F1-011384F0277E}"/>
    <cellStyle name="Salida 2 2 2 2 2 2 3 2 9" xfId="42421" xr:uid="{A698980C-F51D-4716-A49A-B9135197F826}"/>
    <cellStyle name="Salida 2 2 2 2 2 2 3 3" xfId="42422" xr:uid="{F9BB6315-0A44-4718-80C1-DDB0BFA6417F}"/>
    <cellStyle name="Salida 2 2 2 2 2 2 3 3 2" xfId="42423" xr:uid="{4A39B6CA-FBC0-44CF-A31D-E40819CD51D7}"/>
    <cellStyle name="Salida 2 2 2 2 2 2 3 3 2 2" xfId="42424" xr:uid="{6A7CD0D1-54B9-4CD9-8F8A-292D326FEA40}"/>
    <cellStyle name="Salida 2 2 2 2 2 2 3 3 2 3" xfId="42425" xr:uid="{416FAAA1-4648-4422-8A3D-316794E02B54}"/>
    <cellStyle name="Salida 2 2 2 2 2 2 3 3 2 4" xfId="42426" xr:uid="{46980517-F822-467B-9409-60B775B1DB4C}"/>
    <cellStyle name="Salida 2 2 2 2 2 2 3 3 2 5" xfId="42427" xr:uid="{92DDA46C-F653-4015-83DB-ABD51CFA8474}"/>
    <cellStyle name="Salida 2 2 2 2 2 2 3 3 3" xfId="42428" xr:uid="{A4B47ED3-D6C8-4119-A9A9-981829F05FC2}"/>
    <cellStyle name="Salida 2 2 2 2 2 2 3 3 4" xfId="42429" xr:uid="{26981F41-34C4-4B46-B17B-A3A6930D1FDC}"/>
    <cellStyle name="Salida 2 2 2 2 2 2 3 3 5" xfId="42430" xr:uid="{A0230C64-C49D-4A35-AD65-23D95CC24368}"/>
    <cellStyle name="Salida 2 2 2 2 2 2 3 3 6" xfId="42431" xr:uid="{1987CCD1-2D7C-4072-B674-5AB3516E7FF6}"/>
    <cellStyle name="Salida 2 2 2 2 2 2 3 4" xfId="42432" xr:uid="{E29986E3-2C65-476F-868B-6A1B14451F6F}"/>
    <cellStyle name="Salida 2 2 2 2 2 2 3 4 2" xfId="42433" xr:uid="{3AF7BEC3-1C49-42F8-B8D0-F122156DF066}"/>
    <cellStyle name="Salida 2 2 2 2 2 2 3 4 2 2" xfId="42434" xr:uid="{B8DCC5B6-2D49-46D6-9225-C731A1E586CE}"/>
    <cellStyle name="Salida 2 2 2 2 2 2 3 4 2 3" xfId="42435" xr:uid="{C31F6398-2007-405C-B62C-D4E778A81346}"/>
    <cellStyle name="Salida 2 2 2 2 2 2 3 4 2 4" xfId="42436" xr:uid="{6B576FF0-D363-4ABA-8E51-9D134F1E28D3}"/>
    <cellStyle name="Salida 2 2 2 2 2 2 3 4 2 5" xfId="42437" xr:uid="{8D20D5DE-87E5-46DA-BFC7-04FB257E42B5}"/>
    <cellStyle name="Salida 2 2 2 2 2 2 3 4 3" xfId="42438" xr:uid="{8466E1A5-7B89-4129-BE72-B4EF12F625C1}"/>
    <cellStyle name="Salida 2 2 2 2 2 2 3 4 4" xfId="42439" xr:uid="{0BF152E3-C555-46EF-BE57-E7222E9D418A}"/>
    <cellStyle name="Salida 2 2 2 2 2 2 3 4 5" xfId="42440" xr:uid="{65DF7A20-B6E6-40B7-ACFA-493F0D95DCBF}"/>
    <cellStyle name="Salida 2 2 2 2 2 2 3 4 6" xfId="42441" xr:uid="{96D2F0D4-84A0-4CED-A2C8-F8C883722FEE}"/>
    <cellStyle name="Salida 2 2 2 2 2 2 3 5" xfId="42442" xr:uid="{989845E3-9950-4C3D-91BE-F0474FF56808}"/>
    <cellStyle name="Salida 2 2 2 2 2 2 3 5 2" xfId="42443" xr:uid="{4D327D30-8703-40B5-8434-9C3265BDC24A}"/>
    <cellStyle name="Salida 2 2 2 2 2 2 3 5 3" xfId="42444" xr:uid="{E1890401-2A4E-4E1E-808D-E2667165FA0B}"/>
    <cellStyle name="Salida 2 2 2 2 2 2 3 5 4" xfId="42445" xr:uid="{4F379CB5-55D1-4B95-8934-49639CBC7129}"/>
    <cellStyle name="Salida 2 2 2 2 2 2 3 5 5" xfId="42446" xr:uid="{70C13325-535A-4CCF-B75A-AC5A35147324}"/>
    <cellStyle name="Salida 2 2 2 2 2 2 3 6" xfId="42447" xr:uid="{171A0597-1DC8-4BFD-A1C1-2B7C4657521C}"/>
    <cellStyle name="Salida 2 2 2 2 2 2 3 7" xfId="42448" xr:uid="{660C0B77-5D2B-4A6D-A18A-C770512AD8C4}"/>
    <cellStyle name="Salida 2 2 2 2 2 2 3 8" xfId="42449" xr:uid="{C84F2BA6-7385-42F5-BBE6-FD4DC3C0482D}"/>
    <cellStyle name="Salida 2 2 2 2 2 2 3 9" xfId="42450" xr:uid="{555C2EAE-74B7-485A-AF8F-1D18598A44F2}"/>
    <cellStyle name="Salida 2 2 2 2 2 2 4" xfId="42451" xr:uid="{B5313F89-F49B-4F46-9BE3-216F43B8F16F}"/>
    <cellStyle name="Salida 2 2 2 2 2 2 4 2" xfId="42452" xr:uid="{68AD34F3-1426-4F1E-9082-BB0160C0F42C}"/>
    <cellStyle name="Salida 2 2 2 2 2 2 4 2 2" xfId="42453" xr:uid="{741E1144-2F86-4466-88C1-075951765B8B}"/>
    <cellStyle name="Salida 2 2 2 2 2 2 4 2 3" xfId="42454" xr:uid="{6A8502DF-1E83-467E-A9A4-A6D64FDFA1F8}"/>
    <cellStyle name="Salida 2 2 2 2 2 2 4 2 4" xfId="42455" xr:uid="{5DB9F8BB-3E2E-4F40-8B03-3A22B7F56BEE}"/>
    <cellStyle name="Salida 2 2 2 2 2 2 4 2 5" xfId="42456" xr:uid="{795E7F78-8DDE-4030-8C12-A44B30409E25}"/>
    <cellStyle name="Salida 2 2 2 2 2 2 4 3" xfId="42457" xr:uid="{C315A24F-712E-488C-8D3C-86E68716716E}"/>
    <cellStyle name="Salida 2 2 2 2 2 2 4 4" xfId="42458" xr:uid="{0D4D0ACE-7D3A-414F-B33E-4DFC62A9A859}"/>
    <cellStyle name="Salida 2 2 2 2 2 2 4 5" xfId="42459" xr:uid="{FC5AF29B-98D2-41C0-B722-C3B51F7462D0}"/>
    <cellStyle name="Salida 2 2 2 2 2 2 4 6" xfId="42460" xr:uid="{B62DBA13-91BE-4D78-8221-CB55BB6D5FAA}"/>
    <cellStyle name="Salida 2 2 2 2 2 2 5" xfId="42461" xr:uid="{92C4E0D7-7478-45A6-B700-6E24355DC26A}"/>
    <cellStyle name="Salida 2 2 2 2 2 2 5 2" xfId="42462" xr:uid="{7BE6D673-3F87-4E72-8174-D0F3013A1A57}"/>
    <cellStyle name="Salida 2 2 2 2 2 2 5 2 2" xfId="42463" xr:uid="{9B925A3E-0065-4CA5-BC30-78931CE2E286}"/>
    <cellStyle name="Salida 2 2 2 2 2 2 5 2 3" xfId="42464" xr:uid="{F4ED22DC-1339-4E9A-86E0-61DAAEB957C0}"/>
    <cellStyle name="Salida 2 2 2 2 2 2 5 2 4" xfId="42465" xr:uid="{4768CC0A-C027-44AC-93FF-803AA5CF0AE6}"/>
    <cellStyle name="Salida 2 2 2 2 2 2 5 2 5" xfId="42466" xr:uid="{A9E751B6-5EA3-473B-B18F-69F5B4B7BAF4}"/>
    <cellStyle name="Salida 2 2 2 2 2 2 5 3" xfId="42467" xr:uid="{F3C899BA-7FAB-4CDE-83B2-1186108837A5}"/>
    <cellStyle name="Salida 2 2 2 2 2 2 5 4" xfId="42468" xr:uid="{1938AF07-7B4B-4356-9695-72D1C2DFB680}"/>
    <cellStyle name="Salida 2 2 2 2 2 2 5 5" xfId="42469" xr:uid="{11AA941F-0925-4494-AD94-0A95A904561C}"/>
    <cellStyle name="Salida 2 2 2 2 2 2 5 6" xfId="42470" xr:uid="{675916F9-2883-44C5-B33E-8D28D0807A0C}"/>
    <cellStyle name="Salida 2 2 2 2 2 2 6" xfId="42471" xr:uid="{1D37B4B0-C82F-428D-98E5-725F38BB2E0D}"/>
    <cellStyle name="Salida 2 2 2 2 2 2 6 2" xfId="42472" xr:uid="{78A25EBA-3A72-414E-B4DC-74F4B26F1BBA}"/>
    <cellStyle name="Salida 2 2 2 2 2 2 6 2 2" xfId="42473" xr:uid="{6715D9F3-EB59-4F5F-B41F-45A62290EF8E}"/>
    <cellStyle name="Salida 2 2 2 2 2 2 6 2 3" xfId="42474" xr:uid="{4BBC5314-EEDC-4F0B-AC9F-FB3070A18DA4}"/>
    <cellStyle name="Salida 2 2 2 2 2 2 6 2 4" xfId="42475" xr:uid="{3E7F6052-57D2-4566-A026-E0DA7970BA38}"/>
    <cellStyle name="Salida 2 2 2 2 2 2 6 2 5" xfId="42476" xr:uid="{A45857D1-C78C-4176-9342-B72D99FD4B4B}"/>
    <cellStyle name="Salida 2 2 2 2 2 2 6 3" xfId="42477" xr:uid="{9D82E2F8-24B0-436B-B284-FF29D928331F}"/>
    <cellStyle name="Salida 2 2 2 2 2 2 6 4" xfId="42478" xr:uid="{B7947A7B-AE9B-4942-ABDD-927898BD6DB0}"/>
    <cellStyle name="Salida 2 2 2 2 2 2 6 5" xfId="42479" xr:uid="{CD505D0C-4683-45D2-A0EE-5B79340FD621}"/>
    <cellStyle name="Salida 2 2 2 2 2 2 6 6" xfId="42480" xr:uid="{598EBD96-5F00-4B9F-8C7E-8C833A981CF9}"/>
    <cellStyle name="Salida 2 2 2 2 2 2 7" xfId="42481" xr:uid="{5376A98D-9149-4C92-85E9-8D6A0408249D}"/>
    <cellStyle name="Salida 2 2 2 2 2 2 7 2" xfId="42482" xr:uid="{8AE6C3CA-EF00-4503-9C4B-F10AF5C18763}"/>
    <cellStyle name="Salida 2 2 2 2 2 2 7 3" xfId="42483" xr:uid="{196EC89F-5619-4DF0-8491-779735E83356}"/>
    <cellStyle name="Salida 2 2 2 2 2 2 7 4" xfId="42484" xr:uid="{BB57BD73-619C-4F94-A743-2EE1F3505F69}"/>
    <cellStyle name="Salida 2 2 2 2 2 2 7 5" xfId="42485" xr:uid="{58292142-9BE2-4393-94E5-FEE7D7FD557E}"/>
    <cellStyle name="Salida 2 2 2 2 2 2 8" xfId="42486" xr:uid="{FAD94749-CBA5-4846-833B-B316258A6D07}"/>
    <cellStyle name="Salida 2 2 2 2 2 2 9" xfId="42487" xr:uid="{93C54950-CCDA-403A-A235-17CCF906E217}"/>
    <cellStyle name="Salida 2 2 2 2 2 3" xfId="42488" xr:uid="{BE3DB941-B3B1-4F13-8D0D-0F6B5371B79E}"/>
    <cellStyle name="Salida 2 2 2 2 2 3 10" xfId="42489" xr:uid="{9F807926-991A-4C93-9257-184327F2856F}"/>
    <cellStyle name="Salida 2 2 2 2 2 3 11" xfId="42490" xr:uid="{4A24ECEC-2D2C-4FE7-B11B-876C6F64513B}"/>
    <cellStyle name="Salida 2 2 2 2 2 3 12" xfId="42491" xr:uid="{F3284D75-35CC-4515-8FD3-B362CAC3DC44}"/>
    <cellStyle name="Salida 2 2 2 2 2 3 2" xfId="42492" xr:uid="{C154D037-FA1D-43B6-A705-21427561BB77}"/>
    <cellStyle name="Salida 2 2 2 2 2 3 2 10" xfId="42493" xr:uid="{5FE36DE7-1AD2-48B8-A435-90F44CA0F2A8}"/>
    <cellStyle name="Salida 2 2 2 2 2 3 2 11" xfId="42494" xr:uid="{2001C4D9-572D-4435-8533-E1FADACEB809}"/>
    <cellStyle name="Salida 2 2 2 2 2 3 2 12" xfId="42495" xr:uid="{8DB7C6E0-C43D-40DD-A408-DEA05CA00280}"/>
    <cellStyle name="Salida 2 2 2 2 2 3 2 2" xfId="42496" xr:uid="{B733D73D-38A3-4116-A9C7-78082256C14E}"/>
    <cellStyle name="Salida 2 2 2 2 2 3 2 2 2" xfId="42497" xr:uid="{F1C3FE46-8FAA-462D-8C98-00B27C9A74F0}"/>
    <cellStyle name="Salida 2 2 2 2 2 3 2 2 2 2" xfId="42498" xr:uid="{B92D3004-29C5-46D8-864D-099F1F881B37}"/>
    <cellStyle name="Salida 2 2 2 2 2 3 2 2 2 3" xfId="42499" xr:uid="{79D49C9A-5807-4140-BA51-0C5D7A3CAADE}"/>
    <cellStyle name="Salida 2 2 2 2 2 3 2 2 2 4" xfId="42500" xr:uid="{43C5ADE5-2952-4389-B7FD-5456C68D7270}"/>
    <cellStyle name="Salida 2 2 2 2 2 3 2 2 2 5" xfId="42501" xr:uid="{670D2CA6-FD92-493C-82D4-00837C47CF7F}"/>
    <cellStyle name="Salida 2 2 2 2 2 3 2 2 3" xfId="42502" xr:uid="{6A356544-A6C5-4E54-AE4A-4405FB6C8034}"/>
    <cellStyle name="Salida 2 2 2 2 2 3 2 2 4" xfId="42503" xr:uid="{3479DBE7-6FF9-456E-A1AE-6B9209371D26}"/>
    <cellStyle name="Salida 2 2 2 2 2 3 2 2 5" xfId="42504" xr:uid="{F04C5D43-2E1B-494C-9E70-143297D474E7}"/>
    <cellStyle name="Salida 2 2 2 2 2 3 2 2 6" xfId="42505" xr:uid="{1A41B505-FF62-47B7-BCCF-AEF7EAC43BBE}"/>
    <cellStyle name="Salida 2 2 2 2 2 3 2 3" xfId="42506" xr:uid="{95C45DF8-2E5C-48A5-81E3-9B02AA7F7F7F}"/>
    <cellStyle name="Salida 2 2 2 2 2 3 2 3 2" xfId="42507" xr:uid="{04E14B5E-E880-4F80-BBD2-A2A47B27B978}"/>
    <cellStyle name="Salida 2 2 2 2 2 3 2 3 2 2" xfId="42508" xr:uid="{40668655-4E22-45FA-9239-9226063F9049}"/>
    <cellStyle name="Salida 2 2 2 2 2 3 2 3 2 3" xfId="42509" xr:uid="{0DDEEE53-E500-4C1B-96F6-C8E83384EBBF}"/>
    <cellStyle name="Salida 2 2 2 2 2 3 2 3 2 4" xfId="42510" xr:uid="{BC5CED38-118B-483B-89E7-BCF51EA3B559}"/>
    <cellStyle name="Salida 2 2 2 2 2 3 2 3 2 5" xfId="42511" xr:uid="{3801A521-9132-4690-B13B-4C8D339DBCFD}"/>
    <cellStyle name="Salida 2 2 2 2 2 3 2 3 3" xfId="42512" xr:uid="{8B852E06-01DA-4442-A9F9-ED27B6966BED}"/>
    <cellStyle name="Salida 2 2 2 2 2 3 2 3 4" xfId="42513" xr:uid="{3E1D11BD-9922-41D6-8D33-5F48C2A1AA06}"/>
    <cellStyle name="Salida 2 2 2 2 2 3 2 3 5" xfId="42514" xr:uid="{F8E87696-8DAC-4D82-92FC-35F02EC0282C}"/>
    <cellStyle name="Salida 2 2 2 2 2 3 2 3 6" xfId="42515" xr:uid="{3687706F-9197-48F2-855B-68A16E6134B0}"/>
    <cellStyle name="Salida 2 2 2 2 2 3 2 4" xfId="42516" xr:uid="{1C856092-F02A-4F30-B529-FB2F8E5D29D8}"/>
    <cellStyle name="Salida 2 2 2 2 2 3 2 4 2" xfId="42517" xr:uid="{C6EA5336-0B20-4E8A-B642-CF95CBF9DAD1}"/>
    <cellStyle name="Salida 2 2 2 2 2 3 2 4 2 2" xfId="42518" xr:uid="{1F217494-2990-407D-97E7-2AEF58E5C9B5}"/>
    <cellStyle name="Salida 2 2 2 2 2 3 2 4 2 3" xfId="42519" xr:uid="{07075A69-03DC-4621-AC36-98892772FF84}"/>
    <cellStyle name="Salida 2 2 2 2 2 3 2 4 2 4" xfId="42520" xr:uid="{6FE19DE7-FC76-458C-9E28-EB893C5D919B}"/>
    <cellStyle name="Salida 2 2 2 2 2 3 2 4 2 5" xfId="42521" xr:uid="{E03ABD41-2D56-4A6D-A404-581677CB6BED}"/>
    <cellStyle name="Salida 2 2 2 2 2 3 2 4 3" xfId="42522" xr:uid="{036691FA-7605-4F8C-BC6F-ACCDEBBA30E5}"/>
    <cellStyle name="Salida 2 2 2 2 2 3 2 4 4" xfId="42523" xr:uid="{4063AFB8-6C09-4BD6-9618-ADF22F7B5EE8}"/>
    <cellStyle name="Salida 2 2 2 2 2 3 2 4 5" xfId="42524" xr:uid="{B735D579-F75B-4BF8-9002-4C0F27E52951}"/>
    <cellStyle name="Salida 2 2 2 2 2 3 2 4 6" xfId="42525" xr:uid="{4D5892C2-F771-4C29-BEA8-08D00BD51524}"/>
    <cellStyle name="Salida 2 2 2 2 2 3 2 5" xfId="42526" xr:uid="{CE0CDC38-85C8-4ADD-8F26-63B5AD58385E}"/>
    <cellStyle name="Salida 2 2 2 2 2 3 2 5 2" xfId="42527" xr:uid="{55BB5387-D335-481C-BE35-79973353BBFC}"/>
    <cellStyle name="Salida 2 2 2 2 2 3 2 5 3" xfId="42528" xr:uid="{6A35102A-9DB4-4C6E-B0E3-CB9181A7637B}"/>
    <cellStyle name="Salida 2 2 2 2 2 3 2 5 4" xfId="42529" xr:uid="{58568559-9E16-4C16-87E0-F17B9ADC43EC}"/>
    <cellStyle name="Salida 2 2 2 2 2 3 2 5 5" xfId="42530" xr:uid="{97FC58C8-2B1D-4D97-844D-37A0D28E8F13}"/>
    <cellStyle name="Salida 2 2 2 2 2 3 2 6" xfId="42531" xr:uid="{21BE612E-9125-46FC-9634-15F61A7DB7EC}"/>
    <cellStyle name="Salida 2 2 2 2 2 3 2 7" xfId="42532" xr:uid="{D8E30962-6294-4EF9-90FC-7CBB0A1A4F94}"/>
    <cellStyle name="Salida 2 2 2 2 2 3 2 8" xfId="42533" xr:uid="{B1140DD4-A00E-444F-BCA9-8156AD915DEC}"/>
    <cellStyle name="Salida 2 2 2 2 2 3 2 9" xfId="42534" xr:uid="{5874286B-042C-4A0F-B6B2-06CE9FF010A6}"/>
    <cellStyle name="Salida 2 2 2 2 2 3 3" xfId="42535" xr:uid="{FA389ABE-7BAD-4B17-93F8-E90F1B6C4B65}"/>
    <cellStyle name="Salida 2 2 2 2 2 3 3 2" xfId="42536" xr:uid="{82463637-C692-4BA6-B7E0-B9F09952EA46}"/>
    <cellStyle name="Salida 2 2 2 2 2 3 3 2 2" xfId="42537" xr:uid="{E3949AC6-B3DA-4583-ACAA-65EA4FCB0EA9}"/>
    <cellStyle name="Salida 2 2 2 2 2 3 3 2 3" xfId="42538" xr:uid="{8A383381-F06C-4BC0-B7B0-CB740787FA5D}"/>
    <cellStyle name="Salida 2 2 2 2 2 3 3 2 4" xfId="42539" xr:uid="{7EB5C83B-C788-4BDC-AFBC-933B6D5D4ED2}"/>
    <cellStyle name="Salida 2 2 2 2 2 3 3 2 5" xfId="42540" xr:uid="{F190816F-426E-423C-A25D-BDBDC260EE76}"/>
    <cellStyle name="Salida 2 2 2 2 2 3 3 3" xfId="42541" xr:uid="{995ADE6C-0872-4A5A-A947-54F3F1D1F86F}"/>
    <cellStyle name="Salida 2 2 2 2 2 3 3 4" xfId="42542" xr:uid="{27C04D74-FA0D-4327-86F6-5D1C72E38944}"/>
    <cellStyle name="Salida 2 2 2 2 2 3 3 5" xfId="42543" xr:uid="{4A88F9D9-28C6-41FA-BE32-3828844D7F83}"/>
    <cellStyle name="Salida 2 2 2 2 2 3 3 6" xfId="42544" xr:uid="{9186C268-CD28-41DF-975F-87D169B62864}"/>
    <cellStyle name="Salida 2 2 2 2 2 3 4" xfId="42545" xr:uid="{D8B37A79-5A40-4F00-AFA2-F043067A72C0}"/>
    <cellStyle name="Salida 2 2 2 2 2 3 4 2" xfId="42546" xr:uid="{8E2BDD0B-D9D2-41D5-8F81-DEE75CB1409A}"/>
    <cellStyle name="Salida 2 2 2 2 2 3 4 2 2" xfId="42547" xr:uid="{D459F14B-EF42-4CFD-9D96-D91C068D30A1}"/>
    <cellStyle name="Salida 2 2 2 2 2 3 4 2 3" xfId="42548" xr:uid="{A3E500A8-387B-4096-8E26-B7B86296AB8F}"/>
    <cellStyle name="Salida 2 2 2 2 2 3 4 2 4" xfId="42549" xr:uid="{46B9598A-830A-488D-8852-442EC5B5D69E}"/>
    <cellStyle name="Salida 2 2 2 2 2 3 4 2 5" xfId="42550" xr:uid="{2E743E67-96EB-4189-9201-CDFB363D3AE3}"/>
    <cellStyle name="Salida 2 2 2 2 2 3 4 3" xfId="42551" xr:uid="{157F4D95-FCB7-42E1-A945-0A464D2FA441}"/>
    <cellStyle name="Salida 2 2 2 2 2 3 4 4" xfId="42552" xr:uid="{C4B54678-3D50-4E3A-A81F-528943A58B82}"/>
    <cellStyle name="Salida 2 2 2 2 2 3 4 5" xfId="42553" xr:uid="{763B7521-D0C9-41BC-9ED2-B2D54387EC64}"/>
    <cellStyle name="Salida 2 2 2 2 2 3 4 6" xfId="42554" xr:uid="{5BBA087D-8BF3-4058-AFAC-1EDDEF483D8A}"/>
    <cellStyle name="Salida 2 2 2 2 2 3 5" xfId="42555" xr:uid="{A5C897D9-40B0-4BA6-A5E5-8E4A3626B94A}"/>
    <cellStyle name="Salida 2 2 2 2 2 3 5 2" xfId="42556" xr:uid="{A65D2AE3-4CBA-4F76-A0F1-E6085A952CCD}"/>
    <cellStyle name="Salida 2 2 2 2 2 3 5 3" xfId="42557" xr:uid="{638BAC9D-2C97-4A34-BB9B-8C0DE6B765A0}"/>
    <cellStyle name="Salida 2 2 2 2 2 3 5 4" xfId="42558" xr:uid="{99BECAAE-D615-43A5-9E41-78A4EEC333D4}"/>
    <cellStyle name="Salida 2 2 2 2 2 3 5 5" xfId="42559" xr:uid="{4064A433-1F78-40B7-BA5F-5A46DE4DE9DF}"/>
    <cellStyle name="Salida 2 2 2 2 2 3 6" xfId="42560" xr:uid="{6665D7DB-22A8-4830-8CE6-620A53217636}"/>
    <cellStyle name="Salida 2 2 2 2 2 3 7" xfId="42561" xr:uid="{FCBE092A-F84B-427F-AE33-A9BF9C71DF97}"/>
    <cellStyle name="Salida 2 2 2 2 2 3 8" xfId="42562" xr:uid="{3AB5AACC-38F4-420C-8630-29413FB0CDBA}"/>
    <cellStyle name="Salida 2 2 2 2 2 3 9" xfId="42563" xr:uid="{92343374-13F8-4FFA-8F62-C21AF5861492}"/>
    <cellStyle name="Salida 2 2 2 2 2 4" xfId="42564" xr:uid="{3D38BE10-5C13-47C0-9A83-14FF9BF36871}"/>
    <cellStyle name="Salida 2 2 2 2 2 4 2" xfId="42565" xr:uid="{F4B3ECF6-6443-4533-AC68-711C10F3F848}"/>
    <cellStyle name="Salida 2 2 2 2 2 4 2 2" xfId="42566" xr:uid="{C066F09A-D318-4939-AADE-F1B8E9733B71}"/>
    <cellStyle name="Salida 2 2 2 2 2 4 2 3" xfId="42567" xr:uid="{215CB2FA-F43B-420F-9795-99A8A19E3D32}"/>
    <cellStyle name="Salida 2 2 2 2 2 4 2 4" xfId="42568" xr:uid="{F2154537-DEB5-4F0E-A96B-906F8A72625C}"/>
    <cellStyle name="Salida 2 2 2 2 2 4 2 5" xfId="42569" xr:uid="{4CC99198-DCE9-4CBF-ACA9-C64AC53D6FFF}"/>
    <cellStyle name="Salida 2 2 2 2 2 4 3" xfId="42570" xr:uid="{9298DE24-5D86-4E92-994A-074EF46C639A}"/>
    <cellStyle name="Salida 2 2 2 2 2 4 4" xfId="42571" xr:uid="{E101161D-1B1F-42F2-95B3-A9EDBD6CE718}"/>
    <cellStyle name="Salida 2 2 2 2 2 4 5" xfId="42572" xr:uid="{D227ED26-4A29-44FF-A560-224AE5982968}"/>
    <cellStyle name="Salida 2 2 2 2 2 4 6" xfId="42573" xr:uid="{1E016789-C9BA-42C4-9816-501A4DB02D9E}"/>
    <cellStyle name="Salida 2 2 2 2 2 5" xfId="42574" xr:uid="{F4DB86F4-EE32-4786-8100-F11E4F1DAB64}"/>
    <cellStyle name="Salida 2 2 2 2 2 5 2" xfId="42575" xr:uid="{1C769309-B607-41CD-9979-BD759B44F987}"/>
    <cellStyle name="Salida 2 2 2 2 2 5 2 2" xfId="42576" xr:uid="{00525F4A-2E2C-44C0-B61F-3EB7A5F3857A}"/>
    <cellStyle name="Salida 2 2 2 2 2 5 2 3" xfId="42577" xr:uid="{DE04FC25-EB2A-4182-841F-C2EDD27D75D5}"/>
    <cellStyle name="Salida 2 2 2 2 2 5 2 4" xfId="42578" xr:uid="{72D2A5AF-EFA5-4063-90C6-9FA4D41DF104}"/>
    <cellStyle name="Salida 2 2 2 2 2 5 2 5" xfId="42579" xr:uid="{19BBA899-3B79-4C8C-8F86-F67DA63C3121}"/>
    <cellStyle name="Salida 2 2 2 2 2 5 3" xfId="42580" xr:uid="{9FE3C921-16A0-4EEB-9EC4-16F53B0B92B0}"/>
    <cellStyle name="Salida 2 2 2 2 2 5 4" xfId="42581" xr:uid="{0F1EBA56-1EC3-4A1B-A118-8D59C82B3815}"/>
    <cellStyle name="Salida 2 2 2 2 2 5 5" xfId="42582" xr:uid="{57803A28-E9E3-4055-B35D-FEC4E2270576}"/>
    <cellStyle name="Salida 2 2 2 2 2 5 6" xfId="42583" xr:uid="{A49246F7-0B38-43DB-917F-621F4A132A48}"/>
    <cellStyle name="Salida 2 2 2 2 2 6" xfId="42584" xr:uid="{50A71CB3-5D71-4F8F-8899-42EC76CF3D03}"/>
    <cellStyle name="Salida 2 2 2 2 2 6 2" xfId="42585" xr:uid="{5382A378-25C8-46AE-A0CB-39A817A1F6F7}"/>
    <cellStyle name="Salida 2 2 2 2 2 6 2 2" xfId="42586" xr:uid="{B9ADE3B8-2B1D-4C11-B5BB-3F8CB2F4CB68}"/>
    <cellStyle name="Salida 2 2 2 2 2 6 2 3" xfId="42587" xr:uid="{6B5F2B4F-66B7-42FC-96D5-C9B080E6C327}"/>
    <cellStyle name="Salida 2 2 2 2 2 6 2 4" xfId="42588" xr:uid="{66C3FCBA-804A-47AA-989D-C9D3488B8C9F}"/>
    <cellStyle name="Salida 2 2 2 2 2 6 2 5" xfId="42589" xr:uid="{68BB9D06-1B77-4E6E-9990-D65FD836802F}"/>
    <cellStyle name="Salida 2 2 2 2 2 6 3" xfId="42590" xr:uid="{3D04A366-A037-45D9-A78D-40B7DC3E5F80}"/>
    <cellStyle name="Salida 2 2 2 2 2 6 4" xfId="42591" xr:uid="{E966A066-1DFD-4880-84EE-DB2FD014AA79}"/>
    <cellStyle name="Salida 2 2 2 2 2 6 5" xfId="42592" xr:uid="{D1F92EAE-AC3B-4D0C-BE3C-4D4809E0ECA6}"/>
    <cellStyle name="Salida 2 2 2 2 2 6 6" xfId="42593" xr:uid="{C13B4144-A561-47BC-A1CF-5BE27FCAE555}"/>
    <cellStyle name="Salida 2 2 2 2 2 7" xfId="42594" xr:uid="{1AF7F4F4-2625-48CF-8D04-31B6D0082CC2}"/>
    <cellStyle name="Salida 2 2 2 2 2 7 2" xfId="42595" xr:uid="{1BACA1C2-68F4-4B6D-A62C-77D7B115C87E}"/>
    <cellStyle name="Salida 2 2 2 2 2 7 3" xfId="42596" xr:uid="{D9D7B667-7996-4D53-B86D-8DC3C53B4475}"/>
    <cellStyle name="Salida 2 2 2 2 2 7 4" xfId="42597" xr:uid="{CC9A49C8-9EE2-46F5-9552-A47EDE1464FA}"/>
    <cellStyle name="Salida 2 2 2 2 2 7 5" xfId="42598" xr:uid="{6A474262-15AE-4B6E-AA44-0E2D05CF83CF}"/>
    <cellStyle name="Salida 2 2 2 2 2 8" xfId="42599" xr:uid="{7B749690-8286-468C-B2B0-3077DFF67A3D}"/>
    <cellStyle name="Salida 2 2 2 2 2 9" xfId="42600" xr:uid="{FBD84EA3-3D84-4901-AE92-5952BB73E22C}"/>
    <cellStyle name="Salida 2 2 2 2 3" xfId="42601" xr:uid="{C8907165-EEE3-4836-9BE1-409BE6D1160D}"/>
    <cellStyle name="Salida 2 2 2 2 3 2" xfId="42602" xr:uid="{196F10E9-9FA6-4E14-A7DF-8A365300DB83}"/>
    <cellStyle name="Salida 2 2 2 2 3 2 2" xfId="42603" xr:uid="{7D1B7296-4E59-4056-8542-8AAC83911569}"/>
    <cellStyle name="Salida 2 2 2 2 3 2 3" xfId="42604" xr:uid="{DFE46CB9-2EA8-491B-B8D8-F5FBECF9F114}"/>
    <cellStyle name="Salida 2 2 2 2 3 2 4" xfId="42605" xr:uid="{1ADC7614-EAB2-45A5-9882-68E26ADB5B40}"/>
    <cellStyle name="Salida 2 2 2 2 3 2 5" xfId="42606" xr:uid="{14A804E6-A04D-4F24-815E-915095DB5749}"/>
    <cellStyle name="Salida 2 2 2 2 3 3" xfId="42607" xr:uid="{A5CF4F82-AF8A-47C2-838E-4836A54C9B37}"/>
    <cellStyle name="Salida 2 2 2 2 3 4" xfId="42608" xr:uid="{1BE9EEE9-6410-4C7D-BD32-D50D2247382C}"/>
    <cellStyle name="Salida 2 2 2 2 3 5" xfId="42609" xr:uid="{D89096D7-FC79-4E14-A803-93A39C0E563C}"/>
    <cellStyle name="Salida 2 2 2 2 3 6" xfId="42610" xr:uid="{8F36CFC8-AFC8-43CA-93AA-432C1CA14F59}"/>
    <cellStyle name="Salida 2 2 2 2 3 7" xfId="42611" xr:uid="{E489C984-D92E-4A89-A45D-868AD074FE21}"/>
    <cellStyle name="Salida 2 2 2 2 3 8" xfId="42612" xr:uid="{371192D3-FF8A-4F36-AA33-D74AC26F0890}"/>
    <cellStyle name="Salida 2 2 2 2 3 9" xfId="42613" xr:uid="{4E652159-0D67-4758-8264-A2A5FC864A1B}"/>
    <cellStyle name="Salida 2 2 2 2 4" xfId="42614" xr:uid="{22363F05-EEE9-4DC0-863F-6C9F2A367E1B}"/>
    <cellStyle name="Salida 2 2 2 2 4 10" xfId="42615" xr:uid="{9DCE7B31-CBC9-4C9C-B27B-B312E71FB9C2}"/>
    <cellStyle name="Salida 2 2 2 2 4 11" xfId="42616" xr:uid="{A2929063-3893-44D6-A620-DFC73D77FC82}"/>
    <cellStyle name="Salida 2 2 2 2 4 12" xfId="42617" xr:uid="{D89D22AC-37CF-4F3A-A609-EFA44D0AC915}"/>
    <cellStyle name="Salida 2 2 2 2 4 2" xfId="42618" xr:uid="{52F475B6-6B3B-4FA1-BA59-87D4818266C9}"/>
    <cellStyle name="Salida 2 2 2 2 4 2 10" xfId="42619" xr:uid="{F7C5AFBC-EC0E-4974-A586-450C47AAC2F8}"/>
    <cellStyle name="Salida 2 2 2 2 4 2 11" xfId="42620" xr:uid="{5BA27498-5C68-4592-A5E5-EDFB363D4486}"/>
    <cellStyle name="Salida 2 2 2 2 4 2 12" xfId="42621" xr:uid="{CB130523-815C-471C-8834-AA8AFB8EC896}"/>
    <cellStyle name="Salida 2 2 2 2 4 2 2" xfId="42622" xr:uid="{94EB5A59-D129-4010-8427-21EEAC75F510}"/>
    <cellStyle name="Salida 2 2 2 2 4 2 2 2" xfId="42623" xr:uid="{051E9146-9C47-4CE9-889A-E1DFB4834BD6}"/>
    <cellStyle name="Salida 2 2 2 2 4 2 2 2 2" xfId="42624" xr:uid="{2986A73C-B0EF-4468-8AA8-DB4424980CE9}"/>
    <cellStyle name="Salida 2 2 2 2 4 2 2 2 3" xfId="42625" xr:uid="{63A2BC48-CB05-491A-B3F3-8959178B7776}"/>
    <cellStyle name="Salida 2 2 2 2 4 2 2 2 4" xfId="42626" xr:uid="{8A3AA565-F0D6-4DA2-A2FC-1ED84BFD58EE}"/>
    <cellStyle name="Salida 2 2 2 2 4 2 2 2 5" xfId="42627" xr:uid="{5A530586-FD24-4DD0-9FBD-5532C40C0627}"/>
    <cellStyle name="Salida 2 2 2 2 4 2 2 3" xfId="42628" xr:uid="{04E1A9BA-2248-40B9-BF6E-7A5B3BF9820F}"/>
    <cellStyle name="Salida 2 2 2 2 4 2 2 4" xfId="42629" xr:uid="{9DC43905-2BE3-4B2D-ABA8-349395DCD08D}"/>
    <cellStyle name="Salida 2 2 2 2 4 2 2 5" xfId="42630" xr:uid="{C02E40BB-34D3-4D7A-88B4-C49362FD7FE1}"/>
    <cellStyle name="Salida 2 2 2 2 4 2 2 6" xfId="42631" xr:uid="{27257705-58BC-4889-A308-47C5CEB88622}"/>
    <cellStyle name="Salida 2 2 2 2 4 2 3" xfId="42632" xr:uid="{05219A25-5187-4774-B009-2C9D33FDD480}"/>
    <cellStyle name="Salida 2 2 2 2 4 2 3 2" xfId="42633" xr:uid="{A8C3755E-8A92-4E5A-8B4D-49070851C03A}"/>
    <cellStyle name="Salida 2 2 2 2 4 2 3 2 2" xfId="42634" xr:uid="{05791E43-B5C3-454A-A927-8DD6D6ECFF2C}"/>
    <cellStyle name="Salida 2 2 2 2 4 2 3 2 3" xfId="42635" xr:uid="{74FD09EA-CDCB-4370-BA92-8CF9B78F9B43}"/>
    <cellStyle name="Salida 2 2 2 2 4 2 3 2 4" xfId="42636" xr:uid="{AA0DE49D-E07C-4F94-8069-812678874B18}"/>
    <cellStyle name="Salida 2 2 2 2 4 2 3 2 5" xfId="42637" xr:uid="{8BFE36F2-39CF-4347-8B04-0D8F860800A2}"/>
    <cellStyle name="Salida 2 2 2 2 4 2 3 3" xfId="42638" xr:uid="{C18AE0DF-C6FC-4CC2-BEDA-C285DD80C1D4}"/>
    <cellStyle name="Salida 2 2 2 2 4 2 3 4" xfId="42639" xr:uid="{286E3B8F-FEF3-4C90-BA43-235CCD7F5474}"/>
    <cellStyle name="Salida 2 2 2 2 4 2 3 5" xfId="42640" xr:uid="{9C3FF460-2C5A-4AA5-ACBB-B4FA07E2149D}"/>
    <cellStyle name="Salida 2 2 2 2 4 2 3 6" xfId="42641" xr:uid="{7F459937-E5A4-41C0-A4E5-E0EA481B7ED8}"/>
    <cellStyle name="Salida 2 2 2 2 4 2 4" xfId="42642" xr:uid="{89A058A4-24A3-47BC-B743-2E01EF02F5E1}"/>
    <cellStyle name="Salida 2 2 2 2 4 2 4 2" xfId="42643" xr:uid="{6FB894DE-C535-480A-8289-F10AED1FE727}"/>
    <cellStyle name="Salida 2 2 2 2 4 2 4 2 2" xfId="42644" xr:uid="{10E974A0-FAD4-48EC-9342-C51F288913FF}"/>
    <cellStyle name="Salida 2 2 2 2 4 2 4 2 3" xfId="42645" xr:uid="{34D6041F-1156-4BD4-A0A9-D52EC441BCC2}"/>
    <cellStyle name="Salida 2 2 2 2 4 2 4 2 4" xfId="42646" xr:uid="{32DA2089-C31D-429F-B497-432F61AEA179}"/>
    <cellStyle name="Salida 2 2 2 2 4 2 4 2 5" xfId="42647" xr:uid="{AF087B68-5BE6-4F15-9738-739862F11362}"/>
    <cellStyle name="Salida 2 2 2 2 4 2 4 3" xfId="42648" xr:uid="{28CD4291-3BDB-46E8-B96F-9C474702118C}"/>
    <cellStyle name="Salida 2 2 2 2 4 2 4 4" xfId="42649" xr:uid="{011E95EE-A882-4934-BAD2-483A7CDDC38A}"/>
    <cellStyle name="Salida 2 2 2 2 4 2 4 5" xfId="42650" xr:uid="{1826A60C-2066-40EF-A61F-EFEFB8267CA2}"/>
    <cellStyle name="Salida 2 2 2 2 4 2 4 6" xfId="42651" xr:uid="{B97A4C23-1A47-43C9-8640-E9CF3740B9BC}"/>
    <cellStyle name="Salida 2 2 2 2 4 2 5" xfId="42652" xr:uid="{8FD10FEF-D370-42DF-95AC-5C4534B63403}"/>
    <cellStyle name="Salida 2 2 2 2 4 2 5 2" xfId="42653" xr:uid="{CFA6E812-1531-4E85-8817-4DCEC34700AD}"/>
    <cellStyle name="Salida 2 2 2 2 4 2 5 3" xfId="42654" xr:uid="{F9A13FA5-567C-4AB7-A5EC-D9BEA73D03EE}"/>
    <cellStyle name="Salida 2 2 2 2 4 2 5 4" xfId="42655" xr:uid="{8B9BD786-4B82-479E-9752-451AFDB0E2A4}"/>
    <cellStyle name="Salida 2 2 2 2 4 2 5 5" xfId="42656" xr:uid="{DA2AFAE5-A303-4E52-88D6-4E69349098EF}"/>
    <cellStyle name="Salida 2 2 2 2 4 2 6" xfId="42657" xr:uid="{338F48A6-29EA-40CC-85FA-5EA55EF74F40}"/>
    <cellStyle name="Salida 2 2 2 2 4 2 7" xfId="42658" xr:uid="{2AD808AF-F766-4C2C-AB1C-3B0C8E0DDD96}"/>
    <cellStyle name="Salida 2 2 2 2 4 2 8" xfId="42659" xr:uid="{B515628A-248A-48B9-A439-9678E2A6E2A8}"/>
    <cellStyle name="Salida 2 2 2 2 4 2 9" xfId="42660" xr:uid="{3C98F26E-421C-4F22-A5D3-CBA0709FF0CF}"/>
    <cellStyle name="Salida 2 2 2 2 4 3" xfId="42661" xr:uid="{C031651E-6249-4011-86FB-86B5A720B78C}"/>
    <cellStyle name="Salida 2 2 2 2 4 3 2" xfId="42662" xr:uid="{31A14095-BF23-4238-9B5C-1A971307B40A}"/>
    <cellStyle name="Salida 2 2 2 2 4 3 2 2" xfId="42663" xr:uid="{228BA0E0-5E36-441E-8EC6-2256E51F2E88}"/>
    <cellStyle name="Salida 2 2 2 2 4 3 2 3" xfId="42664" xr:uid="{A5E0774A-D6AB-4B1C-825F-EAD30C78E0B3}"/>
    <cellStyle name="Salida 2 2 2 2 4 3 2 4" xfId="42665" xr:uid="{0FEE64F3-0B79-4265-9B3A-774428594763}"/>
    <cellStyle name="Salida 2 2 2 2 4 3 2 5" xfId="42666" xr:uid="{0EE5BF2E-47EE-436C-B082-34829A278E4E}"/>
    <cellStyle name="Salida 2 2 2 2 4 3 3" xfId="42667" xr:uid="{6C5A7482-D68E-4A53-B1E4-03A844666CA6}"/>
    <cellStyle name="Salida 2 2 2 2 4 3 4" xfId="42668" xr:uid="{E85EFA6A-826D-4C02-A641-F2A909F6CD3D}"/>
    <cellStyle name="Salida 2 2 2 2 4 3 5" xfId="42669" xr:uid="{C4A23ABD-9E7D-466E-A4B1-E3C66A9A7461}"/>
    <cellStyle name="Salida 2 2 2 2 4 3 6" xfId="42670" xr:uid="{04EC94E4-70E7-4A27-B9DA-B2379A8C3EA3}"/>
    <cellStyle name="Salida 2 2 2 2 4 4" xfId="42671" xr:uid="{565CAAC5-53C5-445B-BAA3-312AAEF59308}"/>
    <cellStyle name="Salida 2 2 2 2 4 4 2" xfId="42672" xr:uid="{CEBAE994-795A-41BF-AC2F-D43B7EF84A6D}"/>
    <cellStyle name="Salida 2 2 2 2 4 4 2 2" xfId="42673" xr:uid="{ED5CA086-403F-48F0-8AD3-C5D26F14AE7A}"/>
    <cellStyle name="Salida 2 2 2 2 4 4 2 3" xfId="42674" xr:uid="{BC8D3A0E-ADD7-463E-8A34-B7FAFFCA0EC0}"/>
    <cellStyle name="Salida 2 2 2 2 4 4 2 4" xfId="42675" xr:uid="{E697FDF6-628C-4696-898B-6999DFADAD0F}"/>
    <cellStyle name="Salida 2 2 2 2 4 4 2 5" xfId="42676" xr:uid="{9D99D583-43F9-4857-8FD2-2B0DDF417BA9}"/>
    <cellStyle name="Salida 2 2 2 2 4 4 3" xfId="42677" xr:uid="{9C039F4C-AA1D-4682-AA54-DD4D2ED4D9F9}"/>
    <cellStyle name="Salida 2 2 2 2 4 4 4" xfId="42678" xr:uid="{E4C146ED-4B5C-46C2-81BE-D1F7D10028D6}"/>
    <cellStyle name="Salida 2 2 2 2 4 4 5" xfId="42679" xr:uid="{A32AEB5F-709D-42BD-BF80-F9F7B7B001D2}"/>
    <cellStyle name="Salida 2 2 2 2 4 4 6" xfId="42680" xr:uid="{9BF7DCE2-14A2-4538-936E-E2CBA0A9B80F}"/>
    <cellStyle name="Salida 2 2 2 2 4 5" xfId="42681" xr:uid="{22E3826A-2BA6-4702-8519-18BB6D7ED3D4}"/>
    <cellStyle name="Salida 2 2 2 2 4 5 2" xfId="42682" xr:uid="{A6ED397C-8BFE-45C5-85CE-91D63997821D}"/>
    <cellStyle name="Salida 2 2 2 2 4 5 3" xfId="42683" xr:uid="{CAD47E8B-5089-45FD-B83A-CC71BA308C78}"/>
    <cellStyle name="Salida 2 2 2 2 4 5 4" xfId="42684" xr:uid="{7BA52302-5890-405D-9FDA-CFF12B85243F}"/>
    <cellStyle name="Salida 2 2 2 2 4 5 5" xfId="42685" xr:uid="{8FF7D280-F935-4AA7-ABCF-E47FAC092AFA}"/>
    <cellStyle name="Salida 2 2 2 2 4 6" xfId="42686" xr:uid="{80EF693A-46CA-4A1E-95E8-A99E167DF8DC}"/>
    <cellStyle name="Salida 2 2 2 2 4 7" xfId="42687" xr:uid="{68561DEA-3B66-40C4-A069-1A2F35F8D63B}"/>
    <cellStyle name="Salida 2 2 2 2 4 8" xfId="42688" xr:uid="{AB0D41FA-33D3-4D04-9E02-B590F2078F5D}"/>
    <cellStyle name="Salida 2 2 2 2 4 9" xfId="42689" xr:uid="{563CCCE4-AE93-42F4-8B25-027839E86119}"/>
    <cellStyle name="Salida 2 2 2 2 5" xfId="42690" xr:uid="{F8C66C10-22F9-42F1-865C-1769E5538320}"/>
    <cellStyle name="Salida 2 2 2 2 5 2" xfId="42691" xr:uid="{2C1533FA-41A1-4965-ADB1-242C7D227138}"/>
    <cellStyle name="Salida 2 2 2 2 5 2 2" xfId="42692" xr:uid="{04D14FEB-43AD-421F-A042-CF9EDC494BEF}"/>
    <cellStyle name="Salida 2 2 2 2 5 2 3" xfId="42693" xr:uid="{C68144DF-650C-47B8-86A1-A5543A09B5C7}"/>
    <cellStyle name="Salida 2 2 2 2 5 2 4" xfId="42694" xr:uid="{AFF6635D-6CF6-45D8-A5D2-9CAAE796D06C}"/>
    <cellStyle name="Salida 2 2 2 2 5 2 5" xfId="42695" xr:uid="{CDD715DA-52F2-48B5-923C-EA6067935735}"/>
    <cellStyle name="Salida 2 2 2 2 5 3" xfId="42696" xr:uid="{9D546A45-88B9-477D-A733-7D34181D147B}"/>
    <cellStyle name="Salida 2 2 2 2 5 4" xfId="42697" xr:uid="{8D8D01FC-C249-4A0F-90C4-59FF21C59D37}"/>
    <cellStyle name="Salida 2 2 2 2 5 5" xfId="42698" xr:uid="{74D1FD9C-CFBE-4DC5-AE06-B689D64D37A0}"/>
    <cellStyle name="Salida 2 2 2 2 5 6" xfId="42699" xr:uid="{68FD7AA6-40E7-4E0E-9078-3BC6C86A4493}"/>
    <cellStyle name="Salida 2 2 2 2 6" xfId="42700" xr:uid="{90A58A4E-FA8D-4E55-B3AB-5C7A68680CC9}"/>
    <cellStyle name="Salida 2 2 2 2 6 2" xfId="42701" xr:uid="{A73D0B82-2FF9-4813-996E-E528EC4AC143}"/>
    <cellStyle name="Salida 2 2 2 2 6 2 2" xfId="42702" xr:uid="{16A42539-350B-429E-BCC2-365312246BAB}"/>
    <cellStyle name="Salida 2 2 2 2 6 2 3" xfId="42703" xr:uid="{425590BD-6953-4076-A878-829916D4F057}"/>
    <cellStyle name="Salida 2 2 2 2 6 2 4" xfId="42704" xr:uid="{F13E651B-1424-404D-A31B-EE60C75C9C88}"/>
    <cellStyle name="Salida 2 2 2 2 6 2 5" xfId="42705" xr:uid="{78536EC4-FA54-47FE-A90E-0FD51CFEF3D5}"/>
    <cellStyle name="Salida 2 2 2 2 6 3" xfId="42706" xr:uid="{15FABD01-CB52-4C9B-8C6E-1F0E624BF136}"/>
    <cellStyle name="Salida 2 2 2 2 6 4" xfId="42707" xr:uid="{A72E2CDE-8EB6-40E9-9B8E-B79493CAC94F}"/>
    <cellStyle name="Salida 2 2 2 2 6 5" xfId="42708" xr:uid="{E89608CA-9786-4CD9-8242-27BF0965B3BB}"/>
    <cellStyle name="Salida 2 2 2 2 6 6" xfId="42709" xr:uid="{08A5AD75-59AC-46D8-AC4D-3D686FAFD723}"/>
    <cellStyle name="Salida 2 2 2 2 7" xfId="42710" xr:uid="{2FFA9543-15F2-450E-9E4C-E73EB83E14BD}"/>
    <cellStyle name="Salida 2 2 2 2 7 2" xfId="42711" xr:uid="{A8D9B3DD-20F8-41B2-BFA1-C24CF15F1EB4}"/>
    <cellStyle name="Salida 2 2 2 2 7 2 2" xfId="42712" xr:uid="{CED964FC-1DE7-4ECD-B2DC-248D5F22129F}"/>
    <cellStyle name="Salida 2 2 2 2 7 2 3" xfId="42713" xr:uid="{1B81305F-EA70-4D53-9366-8BB013E5C122}"/>
    <cellStyle name="Salida 2 2 2 2 7 2 4" xfId="42714" xr:uid="{FF982AA3-FA1F-488E-8C5A-BAAE723BD36B}"/>
    <cellStyle name="Salida 2 2 2 2 7 2 5" xfId="42715" xr:uid="{2C6B33D3-725E-45D5-A6D8-ECA8E4AEFC57}"/>
    <cellStyle name="Salida 2 2 2 2 7 3" xfId="42716" xr:uid="{540B1EF3-E820-425A-BFD4-1BCB8FAF0A77}"/>
    <cellStyle name="Salida 2 2 2 2 7 4" xfId="42717" xr:uid="{405E6647-BDD7-494C-A049-B78E60A8D7C4}"/>
    <cellStyle name="Salida 2 2 2 2 7 5" xfId="42718" xr:uid="{0A30D1C3-03EE-4B13-9254-9A6FCB844215}"/>
    <cellStyle name="Salida 2 2 2 2 7 6" xfId="42719" xr:uid="{AD74FC50-EF97-4109-AED1-C4A9C01471A2}"/>
    <cellStyle name="Salida 2 2 2 2 8" xfId="42720" xr:uid="{B0FA798F-50B0-417A-B882-A4995D8A28DB}"/>
    <cellStyle name="Salida 2 2 2 2 8 2" xfId="42721" xr:uid="{B2E5A53C-89EB-406C-A362-18437DC9B04D}"/>
    <cellStyle name="Salida 2 2 2 2 8 3" xfId="42722" xr:uid="{1F44E283-BE47-4D14-B940-290C1CC92D9C}"/>
    <cellStyle name="Salida 2 2 2 2 8 4" xfId="42723" xr:uid="{C66DD523-2618-4307-90C2-A80D1433E54E}"/>
    <cellStyle name="Salida 2 2 2 2 8 5" xfId="42724" xr:uid="{FEEDC0D9-8B1F-4ED4-B7A5-CD5986C6BF85}"/>
    <cellStyle name="Salida 2 2 2 2 9" xfId="42725" xr:uid="{E73F49CA-3253-412F-9CD8-78DC5DAA6071}"/>
    <cellStyle name="Salida 2 2 2 3" xfId="42726" xr:uid="{C75B0AED-09F5-411D-9EC5-ED385350BA00}"/>
    <cellStyle name="Salida 2 2 2 3 2" xfId="42727" xr:uid="{0C0DBA33-25EE-4AA7-B68D-84667C259694}"/>
    <cellStyle name="Salida 2 2 2 3 2 2" xfId="42728" xr:uid="{6445E37E-C81C-47AA-8377-3EF2631B018B}"/>
    <cellStyle name="Salida 2 2 2 3 2 3" xfId="42729" xr:uid="{268D29C5-8321-4535-A59F-ACEBE5F63C0C}"/>
    <cellStyle name="Salida 2 2 2 3 2 4" xfId="42730" xr:uid="{6A35F805-7768-43C7-949A-41CB625837B0}"/>
    <cellStyle name="Salida 2 2 2 3 2 5" xfId="42731" xr:uid="{6E9E43F4-DAC8-4D07-8E6F-B62768345A0A}"/>
    <cellStyle name="Salida 2 2 2 3 3" xfId="42732" xr:uid="{4B6B128B-65D9-4520-99E5-4AA27DD0C3BD}"/>
    <cellStyle name="Salida 2 2 2 3 4" xfId="42733" xr:uid="{DA48A2BD-DB92-43EB-B0C9-ED034F08B0EB}"/>
    <cellStyle name="Salida 2 2 2 3 5" xfId="42734" xr:uid="{3F702FEB-9DA1-48DA-B975-0058CED453AC}"/>
    <cellStyle name="Salida 2 2 2 3 6" xfId="42735" xr:uid="{A80AD681-756E-4C51-A11A-4B6F575D04FE}"/>
    <cellStyle name="Salida 2 2 2 3 7" xfId="42736" xr:uid="{05A268EA-7174-40B8-BF6B-72A7B0FC6175}"/>
    <cellStyle name="Salida 2 2 2 3 8" xfId="42737" xr:uid="{7D141EC8-6805-44C0-86CC-4A6F2CF7EA68}"/>
    <cellStyle name="Salida 2 2 2 3 9" xfId="42738" xr:uid="{A9100CD8-D4E2-4096-BD03-43F3DA1B6AF7}"/>
    <cellStyle name="Salida 2 2 2 4" xfId="42739" xr:uid="{0FDD53E5-6D94-482A-9DA4-D96EF73D8804}"/>
    <cellStyle name="Salida 2 2 2 4 2" xfId="42740" xr:uid="{13DA05C9-9A5E-4805-8D45-3094D9BC16EF}"/>
    <cellStyle name="Salida 2 2 2 4 2 2" xfId="42741" xr:uid="{8EDAFDFA-6FED-4F5B-AB55-4E4108BB8FEC}"/>
    <cellStyle name="Salida 2 2 2 4 2 3" xfId="42742" xr:uid="{CD09C9F7-AB2A-4DBF-808A-7C71154A1F9D}"/>
    <cellStyle name="Salida 2 2 2 4 2 4" xfId="42743" xr:uid="{98804683-5B38-4BFE-8629-A74DA075E585}"/>
    <cellStyle name="Salida 2 2 2 4 2 5" xfId="42744" xr:uid="{1524B946-BB1F-4FFA-BE1D-AD7D4E145F75}"/>
    <cellStyle name="Salida 2 2 2 4 3" xfId="42745" xr:uid="{D830107B-E466-4A96-A41A-EA8A79F1B34E}"/>
    <cellStyle name="Salida 2 2 2 4 4" xfId="42746" xr:uid="{9AF8C3C2-6C21-4F42-A633-6CB96E7919B4}"/>
    <cellStyle name="Salida 2 2 2 4 5" xfId="42747" xr:uid="{E4D95AB2-D794-4E35-9B68-ED0E7DCBEEA8}"/>
    <cellStyle name="Salida 2 2 2 4 6" xfId="42748" xr:uid="{70540013-F898-4DC0-B9DF-FB479026D30B}"/>
    <cellStyle name="Salida 2 2 2 4 7" xfId="42749" xr:uid="{B59F3D1E-04DF-4200-93FE-C28E1A3D063E}"/>
    <cellStyle name="Salida 2 2 2 4 8" xfId="42750" xr:uid="{17CB03BC-DA8B-4B81-8906-B91AC12B3B86}"/>
    <cellStyle name="Salida 2 2 2 4 9" xfId="42751" xr:uid="{8D272DAA-BCC2-4854-B98C-D28682538F10}"/>
    <cellStyle name="Salida 2 2 2 5" xfId="42752" xr:uid="{DE336185-A960-45D2-B70D-48AE84161E52}"/>
    <cellStyle name="Salida 2 2 2 5 10" xfId="42753" xr:uid="{017B3EE2-45B8-4AF8-909B-1F204D37A2C5}"/>
    <cellStyle name="Salida 2 2 2 5 11" xfId="42754" xr:uid="{B8E9FBE6-6128-4C2E-AE04-FB5158A60559}"/>
    <cellStyle name="Salida 2 2 2 5 12" xfId="42755" xr:uid="{F81B20EB-C268-4E55-8DCC-12A1FCA0CC28}"/>
    <cellStyle name="Salida 2 2 2 5 2" xfId="42756" xr:uid="{964083AC-BB40-4D64-8435-F46A8AB48B75}"/>
    <cellStyle name="Salida 2 2 2 5 2 10" xfId="42757" xr:uid="{BE927FC7-B035-46AC-8256-AC44FC761F80}"/>
    <cellStyle name="Salida 2 2 2 5 2 11" xfId="42758" xr:uid="{9A1CB6F5-49DB-497D-8945-C08B34D6FF3A}"/>
    <cellStyle name="Salida 2 2 2 5 2 12" xfId="42759" xr:uid="{65964F2E-EADF-4631-96E1-40A9F9909985}"/>
    <cellStyle name="Salida 2 2 2 5 2 2" xfId="42760" xr:uid="{4BFDE3B2-C647-4B7B-85BA-0BCA85592A7F}"/>
    <cellStyle name="Salida 2 2 2 5 2 2 2" xfId="42761" xr:uid="{2EC15E99-F8A4-4D7E-BE79-8688C302F94A}"/>
    <cellStyle name="Salida 2 2 2 5 2 2 2 2" xfId="42762" xr:uid="{1C4602D5-DC22-4930-B4AD-998A000CF26C}"/>
    <cellStyle name="Salida 2 2 2 5 2 2 2 3" xfId="42763" xr:uid="{DC7E56EF-56B0-4B56-9D86-52836A66A45F}"/>
    <cellStyle name="Salida 2 2 2 5 2 2 2 4" xfId="42764" xr:uid="{FF55FA03-9DE4-46CF-973A-886528D2FC48}"/>
    <cellStyle name="Salida 2 2 2 5 2 2 2 5" xfId="42765" xr:uid="{0BAB728A-D4D1-4C25-B944-A6A9B23B7515}"/>
    <cellStyle name="Salida 2 2 2 5 2 2 3" xfId="42766" xr:uid="{E086D0DF-059D-4B52-A77F-3645D591AB8A}"/>
    <cellStyle name="Salida 2 2 2 5 2 2 4" xfId="42767" xr:uid="{E15A8858-6896-4FAD-9357-0802CF004C75}"/>
    <cellStyle name="Salida 2 2 2 5 2 2 5" xfId="42768" xr:uid="{BF010886-0206-44D7-BB70-2E0AE693D2AC}"/>
    <cellStyle name="Salida 2 2 2 5 2 2 6" xfId="42769" xr:uid="{DCCEFB19-9B10-431A-A66E-E82E90B9E6B8}"/>
    <cellStyle name="Salida 2 2 2 5 2 3" xfId="42770" xr:uid="{F7048C9D-ABF7-40CF-BE20-1BD48AD3E632}"/>
    <cellStyle name="Salida 2 2 2 5 2 3 2" xfId="42771" xr:uid="{51EF8A65-59F6-4184-A3FF-E9B2369898F0}"/>
    <cellStyle name="Salida 2 2 2 5 2 3 2 2" xfId="42772" xr:uid="{4ADD3C1C-B9AF-40C6-8C09-C4D19342139D}"/>
    <cellStyle name="Salida 2 2 2 5 2 3 2 3" xfId="42773" xr:uid="{CACB5B10-80B4-4994-9CED-5CDEF699FADF}"/>
    <cellStyle name="Salida 2 2 2 5 2 3 2 4" xfId="42774" xr:uid="{88AE7192-D363-4714-ABD9-39024EA1C791}"/>
    <cellStyle name="Salida 2 2 2 5 2 3 2 5" xfId="42775" xr:uid="{54A516A3-2EF9-4EDF-9865-A439F7683677}"/>
    <cellStyle name="Salida 2 2 2 5 2 3 3" xfId="42776" xr:uid="{B49AC70C-7B8C-4541-B71B-7A014976A176}"/>
    <cellStyle name="Salida 2 2 2 5 2 3 4" xfId="42777" xr:uid="{2F735D3B-DAF4-44B9-970B-4126059216E7}"/>
    <cellStyle name="Salida 2 2 2 5 2 3 5" xfId="42778" xr:uid="{163E056B-0465-449A-8C1C-9E531CF03A82}"/>
    <cellStyle name="Salida 2 2 2 5 2 3 6" xfId="42779" xr:uid="{562B9B31-D407-4A4A-8EB7-C8EA2F7B6B70}"/>
    <cellStyle name="Salida 2 2 2 5 2 4" xfId="42780" xr:uid="{25298902-C7A8-4DDB-8818-9DFBB39B22CD}"/>
    <cellStyle name="Salida 2 2 2 5 2 4 2" xfId="42781" xr:uid="{4013FAD3-45D8-4AD4-8D43-D749B74ACD2D}"/>
    <cellStyle name="Salida 2 2 2 5 2 4 2 2" xfId="42782" xr:uid="{4A43A1BF-EDE2-4CC8-A06A-52FA7A27B1F6}"/>
    <cellStyle name="Salida 2 2 2 5 2 4 2 3" xfId="42783" xr:uid="{4F7B0ADF-DCF4-4136-84B2-C874D539F426}"/>
    <cellStyle name="Salida 2 2 2 5 2 4 2 4" xfId="42784" xr:uid="{B141C5C2-FFF5-4930-A233-D9CEF5F36D56}"/>
    <cellStyle name="Salida 2 2 2 5 2 4 2 5" xfId="42785" xr:uid="{0137B4DB-A9B3-4503-A538-4AA93FCA1FBE}"/>
    <cellStyle name="Salida 2 2 2 5 2 4 3" xfId="42786" xr:uid="{96096C8F-342D-4B7B-B34E-027C49F3C0F4}"/>
    <cellStyle name="Salida 2 2 2 5 2 4 4" xfId="42787" xr:uid="{14F095B0-4815-4F63-8F4D-9801C55561EC}"/>
    <cellStyle name="Salida 2 2 2 5 2 4 5" xfId="42788" xr:uid="{9713542A-BDAA-4389-9D15-5957BBB7C3C9}"/>
    <cellStyle name="Salida 2 2 2 5 2 4 6" xfId="42789" xr:uid="{F58A7E24-1F4B-4FFC-9D1E-7460488BA85A}"/>
    <cellStyle name="Salida 2 2 2 5 2 5" xfId="42790" xr:uid="{9E958D5F-1710-42E1-8E32-887AC5B1C468}"/>
    <cellStyle name="Salida 2 2 2 5 2 5 2" xfId="42791" xr:uid="{65D3389C-13B5-479B-8695-FEBCCFF57BB9}"/>
    <cellStyle name="Salida 2 2 2 5 2 5 3" xfId="42792" xr:uid="{542DF3B5-5D8B-41FB-ACD1-A85CA3AE164A}"/>
    <cellStyle name="Salida 2 2 2 5 2 5 4" xfId="42793" xr:uid="{9503A7AA-7FA3-4543-B5B8-49A1AA8DE24D}"/>
    <cellStyle name="Salida 2 2 2 5 2 5 5" xfId="42794" xr:uid="{AAE36C03-7A82-42E6-ABB5-34896FADF7D7}"/>
    <cellStyle name="Salida 2 2 2 5 2 6" xfId="42795" xr:uid="{8F36E687-5C6C-49C8-9AA8-9AA70F461F9A}"/>
    <cellStyle name="Salida 2 2 2 5 2 7" xfId="42796" xr:uid="{03C51C56-5088-4B3D-BD43-5A1BD01E5DB7}"/>
    <cellStyle name="Salida 2 2 2 5 2 8" xfId="42797" xr:uid="{66A08707-BFC3-4E53-80C1-0CBE5419D7FC}"/>
    <cellStyle name="Salida 2 2 2 5 2 9" xfId="42798" xr:uid="{41971B83-AD51-4401-978B-6B7919374A7E}"/>
    <cellStyle name="Salida 2 2 2 5 3" xfId="42799" xr:uid="{573939F9-188E-4032-B812-756EA2377043}"/>
    <cellStyle name="Salida 2 2 2 5 3 2" xfId="42800" xr:uid="{59C587F7-9D5A-4CFA-BA9D-D696E9A4E1AC}"/>
    <cellStyle name="Salida 2 2 2 5 3 2 2" xfId="42801" xr:uid="{30D4E060-EF19-479C-B804-8E88574D6AAD}"/>
    <cellStyle name="Salida 2 2 2 5 3 2 3" xfId="42802" xr:uid="{514B0BEC-4DBA-479C-8B76-B71C8EEA6626}"/>
    <cellStyle name="Salida 2 2 2 5 3 2 4" xfId="42803" xr:uid="{9B5F8269-F9DB-45A6-99AB-39869F206D13}"/>
    <cellStyle name="Salida 2 2 2 5 3 2 5" xfId="42804" xr:uid="{AE119ADF-8C81-468E-A227-9FD988047267}"/>
    <cellStyle name="Salida 2 2 2 5 3 3" xfId="42805" xr:uid="{314939BC-FB22-4572-B29D-674E3766498F}"/>
    <cellStyle name="Salida 2 2 2 5 3 4" xfId="42806" xr:uid="{027EFCF4-F629-485D-A01C-433CE37BD313}"/>
    <cellStyle name="Salida 2 2 2 5 3 5" xfId="42807" xr:uid="{0C11BF82-B2C4-4CB4-9C46-D5F104905C2E}"/>
    <cellStyle name="Salida 2 2 2 5 3 6" xfId="42808" xr:uid="{C2EC2D85-B802-4664-B1D1-EF41776C2D79}"/>
    <cellStyle name="Salida 2 2 2 5 4" xfId="42809" xr:uid="{BCABBAFA-1558-46C4-AD0A-C9B5BDCC85FE}"/>
    <cellStyle name="Salida 2 2 2 5 4 2" xfId="42810" xr:uid="{2D42E1C6-7728-403A-924A-C58BDB909C2F}"/>
    <cellStyle name="Salida 2 2 2 5 4 2 2" xfId="42811" xr:uid="{DA4995CB-B346-4933-9F77-FBE7E3D69B57}"/>
    <cellStyle name="Salida 2 2 2 5 4 2 3" xfId="42812" xr:uid="{637449F8-9F13-4E18-A30A-7F193548CA2A}"/>
    <cellStyle name="Salida 2 2 2 5 4 2 4" xfId="42813" xr:uid="{0DC33D97-3C58-465F-8C09-B1D0400B2EF1}"/>
    <cellStyle name="Salida 2 2 2 5 4 2 5" xfId="42814" xr:uid="{1DEE2EA2-B480-4AF1-818B-6C1B68695991}"/>
    <cellStyle name="Salida 2 2 2 5 4 3" xfId="42815" xr:uid="{2B33F703-8428-4677-8AF1-C0FDF67D5234}"/>
    <cellStyle name="Salida 2 2 2 5 4 4" xfId="42816" xr:uid="{61F48D15-44BF-4715-BA81-5EE04E11CFB0}"/>
    <cellStyle name="Salida 2 2 2 5 4 5" xfId="42817" xr:uid="{D2CCDE78-CD57-4F58-AC65-93605E16D09D}"/>
    <cellStyle name="Salida 2 2 2 5 4 6" xfId="42818" xr:uid="{06FE49F6-F32D-4470-90AE-219F3E17B7FA}"/>
    <cellStyle name="Salida 2 2 2 5 5" xfId="42819" xr:uid="{E345824C-9C83-4C19-AF49-E8901196A4F2}"/>
    <cellStyle name="Salida 2 2 2 5 5 2" xfId="42820" xr:uid="{5B72D734-82BC-4D26-8CD9-A15A773B91A0}"/>
    <cellStyle name="Salida 2 2 2 5 5 3" xfId="42821" xr:uid="{E178B593-590B-4AA0-8B72-F73D4E65B062}"/>
    <cellStyle name="Salida 2 2 2 5 5 4" xfId="42822" xr:uid="{0E00CAB7-A5B5-400B-97FD-8E4FA6FFA990}"/>
    <cellStyle name="Salida 2 2 2 5 5 5" xfId="42823" xr:uid="{12A7C3C9-16BB-4191-8561-5EAD89F10EF7}"/>
    <cellStyle name="Salida 2 2 2 5 6" xfId="42824" xr:uid="{6A255F86-7E7E-4D53-ADD9-EC785AAAF394}"/>
    <cellStyle name="Salida 2 2 2 5 7" xfId="42825" xr:uid="{C54E2573-5613-4DE7-B437-BB4D8ED6A0B6}"/>
    <cellStyle name="Salida 2 2 2 5 8" xfId="42826" xr:uid="{E5385541-EEBE-4440-A58D-CF2C8449EC44}"/>
    <cellStyle name="Salida 2 2 2 5 9" xfId="42827" xr:uid="{703909E1-797F-4379-9682-C437A2B1FBE4}"/>
    <cellStyle name="Salida 2 2 2 6" xfId="42828" xr:uid="{059FE245-CE79-4256-B5D0-C9633C62C892}"/>
    <cellStyle name="Salida 2 2 2 6 2" xfId="42829" xr:uid="{7A3F6F99-7E0A-4615-B45B-5A1BFD88C55A}"/>
    <cellStyle name="Salida 2 2 2 6 2 2" xfId="42830" xr:uid="{614FE07A-842A-47AC-B191-0162658D4411}"/>
    <cellStyle name="Salida 2 2 2 6 2 3" xfId="42831" xr:uid="{38258BCE-557E-4F65-B4A0-867288C9CAE9}"/>
    <cellStyle name="Salida 2 2 2 6 2 4" xfId="42832" xr:uid="{63FD2542-E1CF-4554-85C6-03556898854B}"/>
    <cellStyle name="Salida 2 2 2 6 2 5" xfId="42833" xr:uid="{DBE24BA7-A4C5-4987-999C-6735CF8D510B}"/>
    <cellStyle name="Salida 2 2 2 6 3" xfId="42834" xr:uid="{E47A0494-2424-4A25-9FCC-E0FB3EE266EB}"/>
    <cellStyle name="Salida 2 2 2 6 4" xfId="42835" xr:uid="{D412B8B6-E3B3-4821-A9FC-F732D4F83ED9}"/>
    <cellStyle name="Salida 2 2 2 6 5" xfId="42836" xr:uid="{14C1EBB1-78C4-4080-8DBA-212F30B9F6E3}"/>
    <cellStyle name="Salida 2 2 2 6 6" xfId="42837" xr:uid="{FB3C652D-F9ED-4972-ACE5-10EFE72E735C}"/>
    <cellStyle name="Salida 2 2 2 7" xfId="42838" xr:uid="{0177B28A-1B07-4DDB-8BB0-110856F47EBE}"/>
    <cellStyle name="Salida 2 2 2 7 2" xfId="42839" xr:uid="{7268F7A0-0B06-47B5-9F1F-62E3B9DF02FE}"/>
    <cellStyle name="Salida 2 2 2 7 2 2" xfId="42840" xr:uid="{900EF07F-D426-4993-99CE-E7805862EAD1}"/>
    <cellStyle name="Salida 2 2 2 7 2 3" xfId="42841" xr:uid="{533A2887-858A-4224-A6CF-A19E848DB27D}"/>
    <cellStyle name="Salida 2 2 2 7 2 4" xfId="42842" xr:uid="{ABEAE982-F706-4EFC-9330-98FDA9695DC1}"/>
    <cellStyle name="Salida 2 2 2 7 2 5" xfId="42843" xr:uid="{93A6BF48-642B-481E-B377-6024D661202D}"/>
    <cellStyle name="Salida 2 2 2 7 3" xfId="42844" xr:uid="{1CD2C9A6-B3CD-4811-964E-FC7D794B1645}"/>
    <cellStyle name="Salida 2 2 2 7 4" xfId="42845" xr:uid="{401C82B3-61F7-45F1-AB9F-318ADCB89178}"/>
    <cellStyle name="Salida 2 2 2 7 5" xfId="42846" xr:uid="{0955E642-2AC4-4280-91D9-652F3457DB07}"/>
    <cellStyle name="Salida 2 2 2 7 6" xfId="42847" xr:uid="{867440E1-DDA4-41E7-B869-CEE16E7A2A89}"/>
    <cellStyle name="Salida 2 2 2 8" xfId="42848" xr:uid="{48B75FCE-22E8-4E28-885B-F7BD1237D243}"/>
    <cellStyle name="Salida 2 2 2 8 2" xfId="42849" xr:uid="{AF6EA500-028C-4A0E-9D12-C7C5868621BB}"/>
    <cellStyle name="Salida 2 2 2 8 2 2" xfId="42850" xr:uid="{CC8482F4-887A-49CA-A477-D32B30BE89D6}"/>
    <cellStyle name="Salida 2 2 2 8 2 3" xfId="42851" xr:uid="{8728DD41-01C0-4E1E-BF25-B6B34630D554}"/>
    <cellStyle name="Salida 2 2 2 8 2 4" xfId="42852" xr:uid="{5890EF2B-C88B-482F-B310-9B1674C95CF1}"/>
    <cellStyle name="Salida 2 2 2 8 2 5" xfId="42853" xr:uid="{0515D708-AF7F-4288-8D62-0A76E89BE61D}"/>
    <cellStyle name="Salida 2 2 2 8 3" xfId="42854" xr:uid="{C5828892-AC70-4463-A71C-78E1DF39EA3A}"/>
    <cellStyle name="Salida 2 2 2 8 4" xfId="42855" xr:uid="{B8958D12-B033-4051-8B76-6357BB81C44E}"/>
    <cellStyle name="Salida 2 2 2 8 5" xfId="42856" xr:uid="{1E7C3DA8-0FB0-4412-9A22-16281699F04F}"/>
    <cellStyle name="Salida 2 2 2 8 6" xfId="42857" xr:uid="{05E95066-8B4C-4AF7-9BFC-C503784FF438}"/>
    <cellStyle name="Salida 2 2 2 9" xfId="42858" xr:uid="{4DC6478A-1852-4948-A142-AA20B0A9BF50}"/>
    <cellStyle name="Salida 2 2 2 9 2" xfId="42859" xr:uid="{8A4B86D1-EF1D-4F77-9A14-5E364491BDD1}"/>
    <cellStyle name="Salida 2 2 2 9 3" xfId="42860" xr:uid="{B7DBFE8F-77D3-4B2A-8A15-52EC7A082EE3}"/>
    <cellStyle name="Salida 2 2 2 9 4" xfId="42861" xr:uid="{6284FE31-C5DC-48CB-BA0D-EA0EB3F6E43B}"/>
    <cellStyle name="Salida 2 2 2 9 5" xfId="42862" xr:uid="{3FC40B2A-79D1-4DCD-8878-53C04B265466}"/>
    <cellStyle name="Salida 2 2 20" xfId="42863" xr:uid="{46BEE909-0A08-4291-B541-517806C64E4D}"/>
    <cellStyle name="Salida 2 2 21" xfId="42864" xr:uid="{6069DB77-E88B-498D-A476-29C57AEAE63E}"/>
    <cellStyle name="Salida 2 2 3" xfId="42865" xr:uid="{13A13ECD-3E6F-4A77-9D3C-F63D1BF021CE}"/>
    <cellStyle name="Salida 2 2 3 2" xfId="42866" xr:uid="{F41C88D8-1040-4C08-ADD1-1407FDFD6A79}"/>
    <cellStyle name="Salida 2 2 3 2 2" xfId="42867" xr:uid="{FCB92DEE-3544-479B-B5D2-D904EA82605C}"/>
    <cellStyle name="Salida 2 2 3 2 3" xfId="42868" xr:uid="{E1515E51-5F0D-4201-8EDF-4546CFE66703}"/>
    <cellStyle name="Salida 2 2 3 2 4" xfId="42869" xr:uid="{D817E61A-0545-4F01-853C-DA1E681F94CE}"/>
    <cellStyle name="Salida 2 2 3 2 5" xfId="42870" xr:uid="{09A9D3A1-A1BE-424A-B369-331BBB5C4D1D}"/>
    <cellStyle name="Salida 2 2 3 3" xfId="42871" xr:uid="{FB1140B7-B25D-4ADB-8394-C0CF7780FF9F}"/>
    <cellStyle name="Salida 2 2 3 4" xfId="42872" xr:uid="{D99C722E-395C-4DB2-BF17-A27FC49038F9}"/>
    <cellStyle name="Salida 2 2 3 5" xfId="42873" xr:uid="{6A7FC24A-0A50-4B48-B6F9-C36F7E375BE5}"/>
    <cellStyle name="Salida 2 2 3 6" xfId="42874" xr:uid="{FC5D9385-D736-45B1-9D93-9B7D93CDC387}"/>
    <cellStyle name="Salida 2 2 3 7" xfId="42875" xr:uid="{FB9A0D7E-A626-4632-AB4C-30959A7A4C9C}"/>
    <cellStyle name="Salida 2 2 3 8" xfId="42876" xr:uid="{36F81513-B54C-4458-BFA6-F0A71BF05EBD}"/>
    <cellStyle name="Salida 2 2 3 9" xfId="42877" xr:uid="{8B86060D-8D4B-4F9A-83DB-EE47CFBF9B55}"/>
    <cellStyle name="Salida 2 2 4" xfId="42878" xr:uid="{1234D630-4D71-4745-982A-D3A3CAED5093}"/>
    <cellStyle name="Salida 2 2 4 2" xfId="42879" xr:uid="{08342CA1-A4D4-43AD-9171-64002EC54A11}"/>
    <cellStyle name="Salida 2 2 4 2 2" xfId="42880" xr:uid="{91FF392D-4F58-4AF1-90A2-C60E79A27841}"/>
    <cellStyle name="Salida 2 2 4 2 3" xfId="42881" xr:uid="{4B6888CA-DD0E-45A3-A3E3-6F562914919B}"/>
    <cellStyle name="Salida 2 2 4 2 4" xfId="42882" xr:uid="{B454D5EB-E516-4A03-B9EF-F78328E04F28}"/>
    <cellStyle name="Salida 2 2 4 2 5" xfId="42883" xr:uid="{111A6411-6CD6-494E-8453-B8DCCB520961}"/>
    <cellStyle name="Salida 2 2 4 3" xfId="42884" xr:uid="{F0700421-0E1C-4AE9-858A-83318678C8DF}"/>
    <cellStyle name="Salida 2 2 4 4" xfId="42885" xr:uid="{DD2C645E-AB53-466E-BDA4-02C277C26074}"/>
    <cellStyle name="Salida 2 2 4 5" xfId="42886" xr:uid="{9DC54EE0-CA48-445F-BA6F-107E26E544AD}"/>
    <cellStyle name="Salida 2 2 4 6" xfId="42887" xr:uid="{F62A5705-2FDC-4AC4-AD50-0C4408531F29}"/>
    <cellStyle name="Salida 2 2 4 7" xfId="42888" xr:uid="{10E46EF4-4D53-4425-A64C-CA45A1C114E9}"/>
    <cellStyle name="Salida 2 2 4 8" xfId="42889" xr:uid="{A71BC5E1-C45F-484D-8861-BD0E8F180B37}"/>
    <cellStyle name="Salida 2 2 4 9" xfId="42890" xr:uid="{B89A2341-4F5B-4C46-B556-10EA93F2E377}"/>
    <cellStyle name="Salida 2 2 5" xfId="42891" xr:uid="{F4A90B3C-E00E-414A-B950-78CF6072F3CA}"/>
    <cellStyle name="Salida 2 2 5 2" xfId="42892" xr:uid="{976CCAAF-F8FD-4EFB-9FBE-39D7C90BC054}"/>
    <cellStyle name="Salida 2 2 5 2 2" xfId="42893" xr:uid="{18176C42-150F-4B0C-8452-E12CE712B45A}"/>
    <cellStyle name="Salida 2 2 5 2 3" xfId="42894" xr:uid="{0B99E9A9-3D94-4ADC-9F50-6C739AC5183A}"/>
    <cellStyle name="Salida 2 2 5 2 4" xfId="42895" xr:uid="{74EF63C3-7BBE-455C-BB2A-67A1CF660B41}"/>
    <cellStyle name="Salida 2 2 5 2 5" xfId="42896" xr:uid="{9C0AB4B9-FCC6-4E09-92DA-6032F826A2E9}"/>
    <cellStyle name="Salida 2 2 5 3" xfId="42897" xr:uid="{BA8F6A3F-89CD-479C-9CA8-FD0E8735A496}"/>
    <cellStyle name="Salida 2 2 5 4" xfId="42898" xr:uid="{5136155D-D7F2-4F78-91F5-1A00F1BBD8D2}"/>
    <cellStyle name="Salida 2 2 5 5" xfId="42899" xr:uid="{79CC9F08-F271-405C-8E88-8D6E04D5AC2B}"/>
    <cellStyle name="Salida 2 2 5 6" xfId="42900" xr:uid="{F4B4D58A-2B7F-4301-A49F-CD31A0C95816}"/>
    <cellStyle name="Salida 2 2 5 7" xfId="42901" xr:uid="{1DD2BB9C-83DF-4D58-B4DD-10AB5F15BD6D}"/>
    <cellStyle name="Salida 2 2 5 8" xfId="42902" xr:uid="{81D2A4DE-F408-47C4-B62B-E4DC46BFC533}"/>
    <cellStyle name="Salida 2 2 5 9" xfId="42903" xr:uid="{A083807B-2C80-4B23-AC28-15F994FAE6E2}"/>
    <cellStyle name="Salida 2 2 6" xfId="42904" xr:uid="{E5C01DC1-6430-4C6C-AD0A-47A22A95D0E0}"/>
    <cellStyle name="Salida 2 2 6 2" xfId="42905" xr:uid="{99503074-8B0A-4F9D-AAA8-F347C6E5FAA3}"/>
    <cellStyle name="Salida 2 2 6 2 2" xfId="42906" xr:uid="{99B2FB86-4CCE-4368-A53C-299F94F2703A}"/>
    <cellStyle name="Salida 2 2 6 2 3" xfId="42907" xr:uid="{6F00E4D1-A6A9-4912-80F2-2C2584E95068}"/>
    <cellStyle name="Salida 2 2 6 2 4" xfId="42908" xr:uid="{4FE5ECB2-18E5-4704-B2F1-247C0C29D0F2}"/>
    <cellStyle name="Salida 2 2 6 2 5" xfId="42909" xr:uid="{AA7331BB-EA22-4C41-85F1-790F05A2FC2B}"/>
    <cellStyle name="Salida 2 2 6 3" xfId="42910" xr:uid="{0AC0268E-0F0B-499F-A0B5-32399B5FA546}"/>
    <cellStyle name="Salida 2 2 6 4" xfId="42911" xr:uid="{6BA5ED9E-CF4F-43CA-A0AF-8D6928DAFC7E}"/>
    <cellStyle name="Salida 2 2 6 5" xfId="42912" xr:uid="{9F6157FF-F244-4343-855E-253A222345A5}"/>
    <cellStyle name="Salida 2 2 6 6" xfId="42913" xr:uid="{18B2F102-1601-4C7E-96B5-3E585D9C4CBD}"/>
    <cellStyle name="Salida 2 2 6 7" xfId="42914" xr:uid="{D0B3D0E2-C638-4CC8-B6DE-AEDF7109D593}"/>
    <cellStyle name="Salida 2 2 6 8" xfId="42915" xr:uid="{8D87CAD7-FA22-4554-A64E-4DDA2ACCA013}"/>
    <cellStyle name="Salida 2 2 6 9" xfId="42916" xr:uid="{BCEF591C-583F-4D1E-92A6-1A0425177D88}"/>
    <cellStyle name="Salida 2 2 7" xfId="42917" xr:uid="{43461737-4B71-4B80-BF1A-9CBBAE674F74}"/>
    <cellStyle name="Salida 2 2 7 2" xfId="42918" xr:uid="{A0BAE3D9-9E19-4C66-BE92-A9A971230E8F}"/>
    <cellStyle name="Salida 2 2 7 2 2" xfId="42919" xr:uid="{413698BE-3F5B-4C3C-9C64-F2D721E2C721}"/>
    <cellStyle name="Salida 2 2 7 2 3" xfId="42920" xr:uid="{18EA9BB2-230D-42C0-AA93-329980108690}"/>
    <cellStyle name="Salida 2 2 7 2 4" xfId="42921" xr:uid="{EF54B80B-21B2-4C5E-B7DC-0129DC597099}"/>
    <cellStyle name="Salida 2 2 7 2 5" xfId="42922" xr:uid="{62577730-6FB7-4AC3-858E-E5EFFCA07CE8}"/>
    <cellStyle name="Salida 2 2 7 3" xfId="42923" xr:uid="{63F6ECE5-219B-46B7-B0DA-D978E89A5C36}"/>
    <cellStyle name="Salida 2 2 7 4" xfId="42924" xr:uid="{FA7F5419-65FC-45DC-A3E8-6C66E0A5E109}"/>
    <cellStyle name="Salida 2 2 7 5" xfId="42925" xr:uid="{3A15FBFA-26C6-4A79-98AB-9A2D152DB523}"/>
    <cellStyle name="Salida 2 2 7 6" xfId="42926" xr:uid="{D8731FD3-0B1A-4130-8EED-531C3AF380A8}"/>
    <cellStyle name="Salida 2 2 7 7" xfId="42927" xr:uid="{84437225-A9AE-492F-BDF5-700A5733015D}"/>
    <cellStyle name="Salida 2 2 7 8" xfId="42928" xr:uid="{6A2B50D9-0154-42DB-A5FA-D2EAE41AAB56}"/>
    <cellStyle name="Salida 2 2 7 9" xfId="42929" xr:uid="{933F0902-776C-4E7A-9378-5F2A322FE250}"/>
    <cellStyle name="Salida 2 2 8" xfId="42930" xr:uid="{3EAB9352-C4A9-41D3-9B83-3C815F66E185}"/>
    <cellStyle name="Salida 2 2 8 10" xfId="42931" xr:uid="{399713F5-6CC6-487C-A426-F3B79F1D4A48}"/>
    <cellStyle name="Salida 2 2 8 2" xfId="42932" xr:uid="{4CDCA8CE-F51F-4057-8779-F575797DB596}"/>
    <cellStyle name="Salida 2 2 8 2 2" xfId="42933" xr:uid="{BDAAD661-7B28-4D65-8F9D-3239F54B1872}"/>
    <cellStyle name="Salida 2 2 8 2 2 2" xfId="42934" xr:uid="{39171A24-F897-419E-82B1-5D33FBF89DF6}"/>
    <cellStyle name="Salida 2 2 8 2 2 3" xfId="42935" xr:uid="{48275FEB-3D52-43C9-B6E4-3B9878192C50}"/>
    <cellStyle name="Salida 2 2 8 2 2 4" xfId="42936" xr:uid="{E5C5582D-39D0-41C2-9A63-98E4FB17F4DF}"/>
    <cellStyle name="Salida 2 2 8 2 2 5" xfId="42937" xr:uid="{1800F2D5-63DC-4CED-BD15-E7F245C5A4C4}"/>
    <cellStyle name="Salida 2 2 8 2 3" xfId="42938" xr:uid="{4A32593E-1BEB-4B51-9E50-D76632DCB6A4}"/>
    <cellStyle name="Salida 2 2 8 2 4" xfId="42939" xr:uid="{75CA1C93-74CB-476E-9C8E-DD3EB4E7ECC0}"/>
    <cellStyle name="Salida 2 2 8 2 5" xfId="42940" xr:uid="{B2D7B6F9-882F-4069-8F63-4DB097651E7B}"/>
    <cellStyle name="Salida 2 2 8 2 6" xfId="42941" xr:uid="{14F87F9C-744C-4598-AFB4-0802B87DBD4C}"/>
    <cellStyle name="Salida 2 2 8 2 7" xfId="42942" xr:uid="{3C1CA4ED-DCCC-408A-8B3B-51D2F4754764}"/>
    <cellStyle name="Salida 2 2 8 2 8" xfId="42943" xr:uid="{B50810B3-5BB4-41B1-B59A-2DAC3321D61C}"/>
    <cellStyle name="Salida 2 2 8 2 9" xfId="42944" xr:uid="{1ADE2F8E-A5A0-4AA6-84F0-49795A9D04B0}"/>
    <cellStyle name="Salida 2 2 8 3" xfId="42945" xr:uid="{495DD2A9-DA0E-4FDE-86DE-3694B538A4D4}"/>
    <cellStyle name="Salida 2 2 8 3 2" xfId="42946" xr:uid="{5FA2440B-4226-4B53-93F6-36AA10908714}"/>
    <cellStyle name="Salida 2 2 8 3 3" xfId="42947" xr:uid="{4A3B959A-2288-4F60-A96B-ED4F1BA8CF89}"/>
    <cellStyle name="Salida 2 2 8 3 4" xfId="42948" xr:uid="{5BB591D9-600C-4817-B379-470DE7061B87}"/>
    <cellStyle name="Salida 2 2 8 3 5" xfId="42949" xr:uid="{7B713376-FF34-4248-AB0A-E7D05AA28EA6}"/>
    <cellStyle name="Salida 2 2 8 4" xfId="42950" xr:uid="{ACE59817-81A3-4C36-BFE2-ED1A82D4CC65}"/>
    <cellStyle name="Salida 2 2 8 5" xfId="42951" xr:uid="{DADC65DF-7DA8-4324-BC9F-F394B5474095}"/>
    <cellStyle name="Salida 2 2 8 6" xfId="42952" xr:uid="{15722E24-F0C9-4D78-8CFC-B73E71941CC2}"/>
    <cellStyle name="Salida 2 2 8 7" xfId="42953" xr:uid="{F99EA278-4310-47A2-BEEE-F6CDAFFA8B6A}"/>
    <cellStyle name="Salida 2 2 8 8" xfId="42954" xr:uid="{04B2FDF6-7DF3-4921-B93F-C5F232B247B4}"/>
    <cellStyle name="Salida 2 2 8 9" xfId="42955" xr:uid="{6C2D936F-09A8-4D77-B1D6-02575688FD65}"/>
    <cellStyle name="Salida 2 2 9" xfId="42956" xr:uid="{0282554C-F31C-416E-9884-005D043113A1}"/>
    <cellStyle name="Salida 2 2 9 2" xfId="42957" xr:uid="{20E2CD80-8F93-4BB2-982B-07C61F53241C}"/>
    <cellStyle name="Salida 2 2 9 2 2" xfId="42958" xr:uid="{AE5A7E98-674A-481E-BCB4-40525BA0C88C}"/>
    <cellStyle name="Salida 2 2 9 2 3" xfId="42959" xr:uid="{FF79D8DE-4BA2-4AD8-A150-0912289FCCCB}"/>
    <cellStyle name="Salida 2 2 9 2 4" xfId="42960" xr:uid="{F777A1DA-AD6B-4E31-8119-7C9390EC0FAD}"/>
    <cellStyle name="Salida 2 2 9 2 5" xfId="42961" xr:uid="{67D8EF04-BBC9-4DFA-B709-820063A25DFA}"/>
    <cellStyle name="Salida 2 2 9 3" xfId="42962" xr:uid="{57ADF798-F82F-495B-8C99-20AA58211CC8}"/>
    <cellStyle name="Salida 2 2 9 4" xfId="42963" xr:uid="{8FA30863-A44F-4804-83B5-FD8058177B8E}"/>
    <cellStyle name="Salida 2 2 9 5" xfId="42964" xr:uid="{678074D1-5BB2-4A04-850F-4CB9BE61044F}"/>
    <cellStyle name="Salida 2 2 9 6" xfId="42965" xr:uid="{D0E7746D-E9DC-4755-B9EC-151D34C1214C}"/>
    <cellStyle name="Salida 2 2 9 7" xfId="42966" xr:uid="{253C41BB-92FF-40D2-BEE0-4C3648AA8B49}"/>
    <cellStyle name="Salida 2 2 9 8" xfId="42967" xr:uid="{73FF15DC-7D4B-42FA-87F8-9D4D0BDBF1DF}"/>
    <cellStyle name="Salida 2 2 9 9" xfId="42968" xr:uid="{1D12A159-C0D0-4E37-9DBF-C50903D557DC}"/>
    <cellStyle name="Salida 2 20" xfId="42969" xr:uid="{F43583B8-96E2-4B2B-879C-01C890CB213A}"/>
    <cellStyle name="Salida 2 21" xfId="42970" xr:uid="{AFA0F2B3-E51E-4F96-AE53-CA388AFFECDE}"/>
    <cellStyle name="Salida 2 3" xfId="42971" xr:uid="{56BB5BA8-AC73-412C-9D7E-493CBEFD9E53}"/>
    <cellStyle name="Salida 2 3 2" xfId="42972" xr:uid="{C7A9684B-DBC7-44EF-BEF3-8CB7714FF09A}"/>
    <cellStyle name="Salida 2 3 2 2" xfId="42973" xr:uid="{93BE2E00-ABFF-4557-A093-713ED59EA7C8}"/>
    <cellStyle name="Salida 2 3 2 3" xfId="42974" xr:uid="{E7F9F9FF-3115-42DD-BC2C-DF72C307C3EE}"/>
    <cellStyle name="Salida 2 3 2 4" xfId="42975" xr:uid="{91B203FA-72C1-46CD-982E-271953F2AFB1}"/>
    <cellStyle name="Salida 2 3 2 5" xfId="42976" xr:uid="{2130EC73-3161-432C-87D6-20D5643D2A6F}"/>
    <cellStyle name="Salida 2 3 3" xfId="42977" xr:uid="{CB37D164-B983-4BAA-8232-4DD71A6539E3}"/>
    <cellStyle name="Salida 2 3 4" xfId="42978" xr:uid="{9825BBE8-7D5E-4F3D-93B1-646C91F0B565}"/>
    <cellStyle name="Salida 2 3 5" xfId="42979" xr:uid="{A32ADD00-3A26-471A-A785-532780B30CC9}"/>
    <cellStyle name="Salida 2 3 6" xfId="42980" xr:uid="{8BE2FF51-667F-4861-81AB-3652CC85EF23}"/>
    <cellStyle name="Salida 2 3 7" xfId="42981" xr:uid="{5ADED12A-3207-4C4F-890B-D3B1FDBBF865}"/>
    <cellStyle name="Salida 2 3 8" xfId="42982" xr:uid="{1E82C919-C31F-4D2A-BC7F-B6B26A2DFBC7}"/>
    <cellStyle name="Salida 2 3 9" xfId="42983" xr:uid="{6F796EBA-3C86-4618-ABC0-56FE731371E5}"/>
    <cellStyle name="Salida 2 4" xfId="42984" xr:uid="{2DB4F567-1251-4C08-9609-2F12AB57B130}"/>
    <cellStyle name="Salida 2 4 10" xfId="42985" xr:uid="{30863417-F55B-4DFE-AAC6-5A64B6F303C2}"/>
    <cellStyle name="Salida 2 4 11" xfId="42986" xr:uid="{3E82CBF8-5451-4F58-86B6-CFB10C7B515E}"/>
    <cellStyle name="Salida 2 4 12" xfId="42987" xr:uid="{3CAD5E36-520F-45E6-AFFF-6294880B828C}"/>
    <cellStyle name="Salida 2 4 13" xfId="42988" xr:uid="{6F40E9D5-49DD-4276-B060-20DB664B4C9B}"/>
    <cellStyle name="Salida 2 4 2" xfId="42989" xr:uid="{DC61E699-590D-4B87-98E6-71CB2AE7B9A4}"/>
    <cellStyle name="Salida 2 4 2 10" xfId="42990" xr:uid="{5EC7F8A0-176E-4973-9267-8FCA8EEBD69E}"/>
    <cellStyle name="Salida 2 4 2 11" xfId="42991" xr:uid="{126BAF05-1452-4F6A-9026-7A6D814EFB66}"/>
    <cellStyle name="Salida 2 4 2 12" xfId="42992" xr:uid="{2405E333-EA3A-474C-9D05-DD79A598A066}"/>
    <cellStyle name="Salida 2 4 2 13" xfId="42993" xr:uid="{1445312E-2667-4529-ADB6-1E4FF63C592C}"/>
    <cellStyle name="Salida 2 4 2 2" xfId="42994" xr:uid="{A74BD4B4-1BB6-40A9-8291-E5B62D3347C8}"/>
    <cellStyle name="Salida 2 4 2 2 10" xfId="42995" xr:uid="{70234E0A-068A-4E91-9029-1FB71DD41F95}"/>
    <cellStyle name="Salida 2 4 2 2 11" xfId="42996" xr:uid="{5CF94CF5-3C5F-4D87-BF9E-3EDA22BB7283}"/>
    <cellStyle name="Salida 2 4 2 2 12" xfId="42997" xr:uid="{5E653F3A-65F9-454B-9D6D-23420901CBAA}"/>
    <cellStyle name="Salida 2 4 2 2 2" xfId="42998" xr:uid="{60AA61DF-1EE1-48DF-91E6-60C5D366155C}"/>
    <cellStyle name="Salida 2 4 2 2 2 10" xfId="42999" xr:uid="{A28AD7E5-14AA-47DE-929F-9D10844C6D99}"/>
    <cellStyle name="Salida 2 4 2 2 2 11" xfId="43000" xr:uid="{F873C1DE-BA67-43B5-A1DF-8A8FB3D21492}"/>
    <cellStyle name="Salida 2 4 2 2 2 12" xfId="43001" xr:uid="{6D9D0DAE-A45C-4357-985C-E2206E249C4A}"/>
    <cellStyle name="Salida 2 4 2 2 2 2" xfId="43002" xr:uid="{34F135D1-BCCE-4AF2-958C-0A14C63B83C8}"/>
    <cellStyle name="Salida 2 4 2 2 2 2 2" xfId="43003" xr:uid="{50944D5B-C5E5-4C9A-B525-1E5917609D0E}"/>
    <cellStyle name="Salida 2 4 2 2 2 2 2 2" xfId="43004" xr:uid="{66189A48-2E7D-40E0-9DF9-0992C707FECB}"/>
    <cellStyle name="Salida 2 4 2 2 2 2 2 3" xfId="43005" xr:uid="{50141D9D-9E59-4396-889C-2646CF0ECE7C}"/>
    <cellStyle name="Salida 2 4 2 2 2 2 2 4" xfId="43006" xr:uid="{D1BE99B8-5413-4F63-891B-A8EC1F853332}"/>
    <cellStyle name="Salida 2 4 2 2 2 2 2 5" xfId="43007" xr:uid="{94D0A32E-4D3F-45FE-8E86-8AC7BC5D05EB}"/>
    <cellStyle name="Salida 2 4 2 2 2 2 3" xfId="43008" xr:uid="{6A85C2F0-E66B-44E0-BA8A-76C64734C2B4}"/>
    <cellStyle name="Salida 2 4 2 2 2 2 4" xfId="43009" xr:uid="{1D3089AB-1000-4301-AFF8-243E04388C93}"/>
    <cellStyle name="Salida 2 4 2 2 2 2 5" xfId="43010" xr:uid="{D6CF254F-FF82-42CA-A8E3-A7CDCE357143}"/>
    <cellStyle name="Salida 2 4 2 2 2 2 6" xfId="43011" xr:uid="{86EDC4B9-DBAF-4C63-BA53-8FD565F6EA5E}"/>
    <cellStyle name="Salida 2 4 2 2 2 3" xfId="43012" xr:uid="{8D0E1889-FAD2-44E1-BDF2-91CA09BC3EF7}"/>
    <cellStyle name="Salida 2 4 2 2 2 3 2" xfId="43013" xr:uid="{D13B6C9D-C715-444F-B57F-F7135F7C7164}"/>
    <cellStyle name="Salida 2 4 2 2 2 3 2 2" xfId="43014" xr:uid="{3B53E94B-0D2A-4ACE-BA90-4BC1744B5A3D}"/>
    <cellStyle name="Salida 2 4 2 2 2 3 2 3" xfId="43015" xr:uid="{ADD82C8E-7A95-4AC8-BEBB-7FBBCD5EE993}"/>
    <cellStyle name="Salida 2 4 2 2 2 3 2 4" xfId="43016" xr:uid="{5E97D601-1955-4481-8DBA-5BA2F119FE14}"/>
    <cellStyle name="Salida 2 4 2 2 2 3 2 5" xfId="43017" xr:uid="{3F17E911-C907-4FFA-99D9-D1C84FE41537}"/>
    <cellStyle name="Salida 2 4 2 2 2 3 3" xfId="43018" xr:uid="{5E649D92-2478-45EA-A24A-BF58A133A00F}"/>
    <cellStyle name="Salida 2 4 2 2 2 3 4" xfId="43019" xr:uid="{C54FAC34-A146-4446-897A-37F66CB28F46}"/>
    <cellStyle name="Salida 2 4 2 2 2 3 5" xfId="43020" xr:uid="{53A97B36-6155-44EA-B8AA-BC2566515AAF}"/>
    <cellStyle name="Salida 2 4 2 2 2 3 6" xfId="43021" xr:uid="{635C723C-DACE-4600-9034-611042AD7B7A}"/>
    <cellStyle name="Salida 2 4 2 2 2 4" xfId="43022" xr:uid="{F420BBCA-2434-460D-A652-50A821784E29}"/>
    <cellStyle name="Salida 2 4 2 2 2 4 2" xfId="43023" xr:uid="{BC8D9033-C27E-434E-A3EB-A06384328C2A}"/>
    <cellStyle name="Salida 2 4 2 2 2 4 2 2" xfId="43024" xr:uid="{AF3714FD-E26B-449D-9A22-6F7AB1903A37}"/>
    <cellStyle name="Salida 2 4 2 2 2 4 2 3" xfId="43025" xr:uid="{7E0B7A89-DC47-4E82-A3D0-3BC8BBF5274B}"/>
    <cellStyle name="Salida 2 4 2 2 2 4 2 4" xfId="43026" xr:uid="{3B0DA414-CBC0-4623-9ECF-34A5A541C897}"/>
    <cellStyle name="Salida 2 4 2 2 2 4 2 5" xfId="43027" xr:uid="{DD50D069-F57E-4E4E-8A64-7EB6044ADBD4}"/>
    <cellStyle name="Salida 2 4 2 2 2 4 3" xfId="43028" xr:uid="{EA732522-68E2-41B1-B2CB-ADA55A36DE43}"/>
    <cellStyle name="Salida 2 4 2 2 2 4 4" xfId="43029" xr:uid="{6CC617D1-91E8-4598-A688-09722030B8C0}"/>
    <cellStyle name="Salida 2 4 2 2 2 4 5" xfId="43030" xr:uid="{516BB502-A511-408D-8AF0-A0CDE6611DBE}"/>
    <cellStyle name="Salida 2 4 2 2 2 4 6" xfId="43031" xr:uid="{D3FC6E5F-A474-45E8-BE14-BADE99D5376E}"/>
    <cellStyle name="Salida 2 4 2 2 2 5" xfId="43032" xr:uid="{BAA16CF8-78DE-4DB2-B1EE-419C4FCD4AD1}"/>
    <cellStyle name="Salida 2 4 2 2 2 5 2" xfId="43033" xr:uid="{B5CEE03A-75B1-4DAF-8CAC-E90532D1CC4C}"/>
    <cellStyle name="Salida 2 4 2 2 2 5 3" xfId="43034" xr:uid="{181B1D7B-99D2-4B65-8467-832C47F00C10}"/>
    <cellStyle name="Salida 2 4 2 2 2 5 4" xfId="43035" xr:uid="{1B1EE832-66E2-4BDE-93C4-DC68E068689C}"/>
    <cellStyle name="Salida 2 4 2 2 2 5 5" xfId="43036" xr:uid="{D4E56658-AD2D-4DD3-B918-152BF90BA5FD}"/>
    <cellStyle name="Salida 2 4 2 2 2 6" xfId="43037" xr:uid="{E840AE2C-3290-4EE1-B4BF-34E628DF775A}"/>
    <cellStyle name="Salida 2 4 2 2 2 7" xfId="43038" xr:uid="{AEBF4AEC-D7EC-4F9C-9019-84C2B2C3CAD1}"/>
    <cellStyle name="Salida 2 4 2 2 2 8" xfId="43039" xr:uid="{EE74CD45-F249-4451-B099-21466A9661EB}"/>
    <cellStyle name="Salida 2 4 2 2 2 9" xfId="43040" xr:uid="{7EEA8402-1010-4BB7-AB32-DB0E044917F5}"/>
    <cellStyle name="Salida 2 4 2 2 3" xfId="43041" xr:uid="{B4E1B507-3E7D-48F0-B597-9FB2DB0A8C02}"/>
    <cellStyle name="Salida 2 4 2 2 3 2" xfId="43042" xr:uid="{B7978ACE-0F4B-4935-8DC2-B92ABF5C758C}"/>
    <cellStyle name="Salida 2 4 2 2 3 2 2" xfId="43043" xr:uid="{D63EDFE5-89B5-4994-8CE4-C79FBF5243BD}"/>
    <cellStyle name="Salida 2 4 2 2 3 2 3" xfId="43044" xr:uid="{4C5F706B-263D-4E7E-B025-E93A666B3217}"/>
    <cellStyle name="Salida 2 4 2 2 3 2 4" xfId="43045" xr:uid="{1DCA6135-AA05-4E35-9528-5ECBCD45CA32}"/>
    <cellStyle name="Salida 2 4 2 2 3 2 5" xfId="43046" xr:uid="{95E9D063-4F74-45C3-AC82-EBBC09152116}"/>
    <cellStyle name="Salida 2 4 2 2 3 3" xfId="43047" xr:uid="{077AAB85-603F-4582-AA04-74DEDDD91E3C}"/>
    <cellStyle name="Salida 2 4 2 2 3 4" xfId="43048" xr:uid="{49966D9E-F50C-4EE6-8CB5-FB68A3E79952}"/>
    <cellStyle name="Salida 2 4 2 2 3 5" xfId="43049" xr:uid="{2E530F3D-5592-4549-814B-748B12A49BBE}"/>
    <cellStyle name="Salida 2 4 2 2 3 6" xfId="43050" xr:uid="{9633C0E0-200D-48E5-9A29-C24DFE86ED8E}"/>
    <cellStyle name="Salida 2 4 2 2 4" xfId="43051" xr:uid="{49B12DAD-E871-4527-A6B6-B0A0B37F89FF}"/>
    <cellStyle name="Salida 2 4 2 2 4 2" xfId="43052" xr:uid="{E4803899-ED8B-42A7-96CF-B09EC00FEDD8}"/>
    <cellStyle name="Salida 2 4 2 2 4 2 2" xfId="43053" xr:uid="{640AE16F-3BFB-49C5-86F8-D8A2AF6582A4}"/>
    <cellStyle name="Salida 2 4 2 2 4 2 3" xfId="43054" xr:uid="{0287DFD2-DED9-4F1B-BB34-D8F7754207E4}"/>
    <cellStyle name="Salida 2 4 2 2 4 2 4" xfId="43055" xr:uid="{72C7E31D-42C4-4E61-883B-20DC804AE760}"/>
    <cellStyle name="Salida 2 4 2 2 4 2 5" xfId="43056" xr:uid="{358031B9-5792-4E27-A571-4F113422CB27}"/>
    <cellStyle name="Salida 2 4 2 2 4 3" xfId="43057" xr:uid="{3BC2785C-4C20-4B9E-8C3B-119B97657707}"/>
    <cellStyle name="Salida 2 4 2 2 4 4" xfId="43058" xr:uid="{86A35357-C1C5-465F-8361-819E191C6471}"/>
    <cellStyle name="Salida 2 4 2 2 4 5" xfId="43059" xr:uid="{46DC2F3F-623C-4C78-858A-4D10340E1AF0}"/>
    <cellStyle name="Salida 2 4 2 2 4 6" xfId="43060" xr:uid="{4197CF46-0CAA-418B-8A2A-07064259327A}"/>
    <cellStyle name="Salida 2 4 2 2 5" xfId="43061" xr:uid="{B2B7C21D-7127-49B6-9919-F913B94E5E88}"/>
    <cellStyle name="Salida 2 4 2 2 5 2" xfId="43062" xr:uid="{8FDD4311-F2F3-440C-8FB0-5C86EE55F7E6}"/>
    <cellStyle name="Salida 2 4 2 2 5 3" xfId="43063" xr:uid="{1749C087-3500-4BCE-8374-D4A77DDFAD1C}"/>
    <cellStyle name="Salida 2 4 2 2 5 4" xfId="43064" xr:uid="{7263EA15-9E54-46E5-A478-9B1D4A5CFFD9}"/>
    <cellStyle name="Salida 2 4 2 2 5 5" xfId="43065" xr:uid="{842B4883-A756-4E0E-9495-78B954F7C4B5}"/>
    <cellStyle name="Salida 2 4 2 2 6" xfId="43066" xr:uid="{A457D15E-04E7-45EB-A505-6341234B4DCC}"/>
    <cellStyle name="Salida 2 4 2 2 7" xfId="43067" xr:uid="{582DB6EE-FAA3-4DF0-9CFC-5C3D2E4168C3}"/>
    <cellStyle name="Salida 2 4 2 2 8" xfId="43068" xr:uid="{A3E8CB28-4EAF-4271-8362-1E7FC6DBA8A9}"/>
    <cellStyle name="Salida 2 4 2 2 9" xfId="43069" xr:uid="{8D47A3B4-962A-4BCF-A9F3-C9FEB1ACB3C6}"/>
    <cellStyle name="Salida 2 4 2 3" xfId="43070" xr:uid="{5B1B303B-2AA4-469F-B8C4-8639F5E34784}"/>
    <cellStyle name="Salida 2 4 2 3 2" xfId="43071" xr:uid="{48A422CC-BDD2-4128-BF5B-805E17972992}"/>
    <cellStyle name="Salida 2 4 2 3 2 2" xfId="43072" xr:uid="{F0A82B0C-2457-43C4-ACBF-306B7688C796}"/>
    <cellStyle name="Salida 2 4 2 3 2 3" xfId="43073" xr:uid="{80CFDFD4-51FF-418D-842B-E50B2279001A}"/>
    <cellStyle name="Salida 2 4 2 3 2 4" xfId="43074" xr:uid="{F5F82F92-00F1-41C3-A6A8-0085423F45E1}"/>
    <cellStyle name="Salida 2 4 2 3 2 5" xfId="43075" xr:uid="{806B094D-9752-4569-869A-C5FA0353C8E1}"/>
    <cellStyle name="Salida 2 4 2 3 3" xfId="43076" xr:uid="{F7954AF4-E8B9-4D7A-9438-E3B3A9B6C2A1}"/>
    <cellStyle name="Salida 2 4 2 3 4" xfId="43077" xr:uid="{F9E776AF-0D32-4E33-9138-DA04BF385852}"/>
    <cellStyle name="Salida 2 4 2 3 5" xfId="43078" xr:uid="{969500F4-D04A-4CFB-A68E-EDF9D01F9172}"/>
    <cellStyle name="Salida 2 4 2 3 6" xfId="43079" xr:uid="{A6521F70-9385-4FD1-824F-FD160180E20A}"/>
    <cellStyle name="Salida 2 4 2 4" xfId="43080" xr:uid="{C05B11BF-F765-449B-B5F8-E3910DA4A748}"/>
    <cellStyle name="Salida 2 4 2 4 2" xfId="43081" xr:uid="{C35D07DF-033C-4514-8700-FEBA6467AC2A}"/>
    <cellStyle name="Salida 2 4 2 4 2 2" xfId="43082" xr:uid="{F7E29824-3A8D-4878-B189-4C575B605CB3}"/>
    <cellStyle name="Salida 2 4 2 4 2 3" xfId="43083" xr:uid="{D1912BF3-B263-4477-97F5-8129EFDBCF44}"/>
    <cellStyle name="Salida 2 4 2 4 2 4" xfId="43084" xr:uid="{0889E723-C07C-4A9B-B94E-510D15F73DC6}"/>
    <cellStyle name="Salida 2 4 2 4 2 5" xfId="43085" xr:uid="{F9C4D196-3CB2-455A-BF53-FD4B3005D81E}"/>
    <cellStyle name="Salida 2 4 2 4 3" xfId="43086" xr:uid="{FCEA4446-28A0-4859-A010-A6FF43274FE8}"/>
    <cellStyle name="Salida 2 4 2 4 4" xfId="43087" xr:uid="{14F0D0FE-4DDC-447C-BECA-F44BCA3BE5E1}"/>
    <cellStyle name="Salida 2 4 2 4 5" xfId="43088" xr:uid="{C95D359A-E0D8-4657-822B-6187E2E3DABF}"/>
    <cellStyle name="Salida 2 4 2 4 6" xfId="43089" xr:uid="{1A2855FA-20D7-4ADB-90EB-054781FC7ED2}"/>
    <cellStyle name="Salida 2 4 2 5" xfId="43090" xr:uid="{5FFF86A8-C5E9-401B-8A4C-DFC559235BFF}"/>
    <cellStyle name="Salida 2 4 2 5 2" xfId="43091" xr:uid="{315E609A-4B78-4E9C-A950-C9969FEBCF21}"/>
    <cellStyle name="Salida 2 4 2 5 2 2" xfId="43092" xr:uid="{36209020-1E4B-4277-813B-A516BA82A834}"/>
    <cellStyle name="Salida 2 4 2 5 2 3" xfId="43093" xr:uid="{187BD217-9C2B-4054-8002-14DEC876EE70}"/>
    <cellStyle name="Salida 2 4 2 5 2 4" xfId="43094" xr:uid="{E09488A3-3464-4222-8EB0-67900A2DA8B2}"/>
    <cellStyle name="Salida 2 4 2 5 2 5" xfId="43095" xr:uid="{821083CC-2E21-4134-B592-17D942437DE0}"/>
    <cellStyle name="Salida 2 4 2 5 3" xfId="43096" xr:uid="{B5A230DD-7AA2-4A6D-A41B-60039AE61314}"/>
    <cellStyle name="Salida 2 4 2 5 4" xfId="43097" xr:uid="{6F42D778-0B4E-4420-844F-E98791D212C1}"/>
    <cellStyle name="Salida 2 4 2 5 5" xfId="43098" xr:uid="{D59216A8-5647-43F1-AB54-2248C67431DC}"/>
    <cellStyle name="Salida 2 4 2 5 6" xfId="43099" xr:uid="{9DEEECA6-7A23-4BF8-A997-9AA6985346D2}"/>
    <cellStyle name="Salida 2 4 2 6" xfId="43100" xr:uid="{944C62A4-44C6-48B3-BFBA-03822083B406}"/>
    <cellStyle name="Salida 2 4 2 6 2" xfId="43101" xr:uid="{70B92068-A8E2-42B9-BA0C-11BE2EE336C9}"/>
    <cellStyle name="Salida 2 4 2 6 3" xfId="43102" xr:uid="{3535E9C1-EEF5-44EC-B41F-3E32725EE74B}"/>
    <cellStyle name="Salida 2 4 2 6 4" xfId="43103" xr:uid="{92CA1D4D-616C-4CDA-88A5-49931499BB62}"/>
    <cellStyle name="Salida 2 4 2 6 5" xfId="43104" xr:uid="{2996B7FA-1D81-48F5-A967-D70203D54801}"/>
    <cellStyle name="Salida 2 4 2 7" xfId="43105" xr:uid="{0DECBC39-CECF-4327-BA77-54A1F6AF5E8D}"/>
    <cellStyle name="Salida 2 4 2 8" xfId="43106" xr:uid="{424C102A-652E-402B-89AC-21F235AE6D8B}"/>
    <cellStyle name="Salida 2 4 2 9" xfId="43107" xr:uid="{32F0AB98-DD4D-4F69-92E4-53401A283716}"/>
    <cellStyle name="Salida 2 4 3" xfId="43108" xr:uid="{1F02987E-C713-4514-A7F9-C4DE71940ACD}"/>
    <cellStyle name="Salida 2 4 3 10" xfId="43109" xr:uid="{7351D22F-20F2-4DEF-A38C-BA2F01135991}"/>
    <cellStyle name="Salida 2 4 3 11" xfId="43110" xr:uid="{92367116-3781-454C-BF79-BAEB885170C0}"/>
    <cellStyle name="Salida 2 4 3 12" xfId="43111" xr:uid="{756F5D86-038A-482D-90FE-1354EE3DDBFA}"/>
    <cellStyle name="Salida 2 4 3 2" xfId="43112" xr:uid="{E8ED5208-C9D8-47C2-8BE2-0663878A5907}"/>
    <cellStyle name="Salida 2 4 3 2 2" xfId="43113" xr:uid="{4E6CA29C-3D8A-424F-A24A-037A79B3DEEB}"/>
    <cellStyle name="Salida 2 4 3 2 2 2" xfId="43114" xr:uid="{6934C1AD-5167-4EBE-855A-BC77FE12968C}"/>
    <cellStyle name="Salida 2 4 3 2 2 3" xfId="43115" xr:uid="{903CED75-D6E9-4A65-93C4-3B8243E5124B}"/>
    <cellStyle name="Salida 2 4 3 2 2 4" xfId="43116" xr:uid="{D5CC33DA-911E-4553-915C-F9687BE74C44}"/>
    <cellStyle name="Salida 2 4 3 2 2 5" xfId="43117" xr:uid="{47337D77-51C5-4F9D-8521-3A7274F5770A}"/>
    <cellStyle name="Salida 2 4 3 2 3" xfId="43118" xr:uid="{0CEF5759-E872-4BAA-92EB-7CCA5C3E38C3}"/>
    <cellStyle name="Salida 2 4 3 2 4" xfId="43119" xr:uid="{526BC350-C93D-4C14-8BB7-2CB4558478E7}"/>
    <cellStyle name="Salida 2 4 3 2 5" xfId="43120" xr:uid="{4BBE98DC-1B95-415C-ABB8-C1467FDF50B3}"/>
    <cellStyle name="Salida 2 4 3 2 6" xfId="43121" xr:uid="{FC6FF297-322E-49CF-9338-DC1A95025DFB}"/>
    <cellStyle name="Salida 2 4 3 3" xfId="43122" xr:uid="{A934A849-ADB8-4B9E-A0EA-DA225CACEB0D}"/>
    <cellStyle name="Salida 2 4 3 3 2" xfId="43123" xr:uid="{330C854F-13FE-4C51-922D-8561B0B7B5F0}"/>
    <cellStyle name="Salida 2 4 3 3 2 2" xfId="43124" xr:uid="{8EF356D0-F1E2-45FF-96E8-6427241F562D}"/>
    <cellStyle name="Salida 2 4 3 3 2 3" xfId="43125" xr:uid="{91A07CC1-1B6A-4255-89D1-A08BF28C5BA5}"/>
    <cellStyle name="Salida 2 4 3 3 2 4" xfId="43126" xr:uid="{95222601-AF5F-4EE9-9662-87B8D38B39A3}"/>
    <cellStyle name="Salida 2 4 3 3 2 5" xfId="43127" xr:uid="{DFC9AA15-CD5D-492A-9459-363C36018A8B}"/>
    <cellStyle name="Salida 2 4 3 3 3" xfId="43128" xr:uid="{8394BA2B-9B01-4AD1-A0C9-DA8994E4B6CC}"/>
    <cellStyle name="Salida 2 4 3 3 4" xfId="43129" xr:uid="{4A23FDD9-F615-4447-A039-97070049A8F1}"/>
    <cellStyle name="Salida 2 4 3 3 5" xfId="43130" xr:uid="{7B484AB8-EAD7-4F53-AED1-05C359E3EC7C}"/>
    <cellStyle name="Salida 2 4 3 3 6" xfId="43131" xr:uid="{AD62DFB5-9FD4-4C67-890C-F51AAB91A5FF}"/>
    <cellStyle name="Salida 2 4 3 4" xfId="43132" xr:uid="{46014985-2B03-40EF-97FC-11399A818B4C}"/>
    <cellStyle name="Salida 2 4 3 4 2" xfId="43133" xr:uid="{E7FB6A43-17DC-43B6-A04C-89E6C165E2C6}"/>
    <cellStyle name="Salida 2 4 3 4 2 2" xfId="43134" xr:uid="{035A7793-94CD-4236-BB38-32FB992C68D1}"/>
    <cellStyle name="Salida 2 4 3 4 2 3" xfId="43135" xr:uid="{1E785AA4-01E3-4FAD-90EC-2E4DACD98DE1}"/>
    <cellStyle name="Salida 2 4 3 4 2 4" xfId="43136" xr:uid="{AAAD9611-12D3-466A-A00E-94EAC1523E1B}"/>
    <cellStyle name="Salida 2 4 3 4 2 5" xfId="43137" xr:uid="{88E8A81B-1EB7-48FC-B16F-E92F0E2DB4D1}"/>
    <cellStyle name="Salida 2 4 3 4 3" xfId="43138" xr:uid="{9A0B6D31-58AB-41BA-A8E5-B4499D3CA80F}"/>
    <cellStyle name="Salida 2 4 3 4 4" xfId="43139" xr:uid="{A053208D-0CAE-4DB6-8D46-136613458B1F}"/>
    <cellStyle name="Salida 2 4 3 4 5" xfId="43140" xr:uid="{FF980FCE-00A9-4E05-980A-788BE84128AD}"/>
    <cellStyle name="Salida 2 4 3 4 6" xfId="43141" xr:uid="{567A6E56-A1A9-422A-81A2-03AA88364BAA}"/>
    <cellStyle name="Salida 2 4 3 5" xfId="43142" xr:uid="{B5D7D44B-975E-4301-944B-758F5B60BA9E}"/>
    <cellStyle name="Salida 2 4 3 5 2" xfId="43143" xr:uid="{291F2ADB-716D-41CD-85F8-7D93196C6441}"/>
    <cellStyle name="Salida 2 4 3 5 3" xfId="43144" xr:uid="{9BA24A52-15D4-4E6F-A4BB-EBB09BEC9C2E}"/>
    <cellStyle name="Salida 2 4 3 5 4" xfId="43145" xr:uid="{4FFF685B-3626-4EF9-8DC5-113DA514C40A}"/>
    <cellStyle name="Salida 2 4 3 5 5" xfId="43146" xr:uid="{95FBB39E-816B-49DB-AAE4-762AB610183C}"/>
    <cellStyle name="Salida 2 4 3 6" xfId="43147" xr:uid="{8FC968F6-D0DF-4968-A0CC-FC6D8D43D10E}"/>
    <cellStyle name="Salida 2 4 3 7" xfId="43148" xr:uid="{DBFE9F59-023B-45E7-845C-454039482A4A}"/>
    <cellStyle name="Salida 2 4 3 8" xfId="43149" xr:uid="{44DBB736-B214-452A-9489-32B0D625D509}"/>
    <cellStyle name="Salida 2 4 3 9" xfId="43150" xr:uid="{D0761129-1635-4E25-8A2B-51F9FC95577F}"/>
    <cellStyle name="Salida 2 4 4" xfId="43151" xr:uid="{B3375055-3E17-405E-9666-296D6970D806}"/>
    <cellStyle name="Salida 2 4 4 2" xfId="43152" xr:uid="{710AA994-F677-4073-929F-B320689A6D48}"/>
    <cellStyle name="Salida 2 4 4 2 2" xfId="43153" xr:uid="{2D04CF16-AAF7-4A5C-8E7D-BD6C05E6C7BC}"/>
    <cellStyle name="Salida 2 4 4 2 3" xfId="43154" xr:uid="{4CC015B4-61A9-4720-A20F-CC2704C21692}"/>
    <cellStyle name="Salida 2 4 4 2 4" xfId="43155" xr:uid="{F0BF01AD-0A4F-4C77-AF98-556FB27CD6C3}"/>
    <cellStyle name="Salida 2 4 4 2 5" xfId="43156" xr:uid="{2838CA93-0AD4-4355-A801-59485B2541DC}"/>
    <cellStyle name="Salida 2 4 4 3" xfId="43157" xr:uid="{AE813668-143F-423E-BBE0-62C71AFDF67B}"/>
    <cellStyle name="Salida 2 4 4 4" xfId="43158" xr:uid="{7D774604-46FF-4835-8984-2A8A1AA2D352}"/>
    <cellStyle name="Salida 2 4 4 5" xfId="43159" xr:uid="{FE783395-F296-4B90-8F1F-4CD649C295EC}"/>
    <cellStyle name="Salida 2 4 4 6" xfId="43160" xr:uid="{B73632BA-E7D4-43F9-8F78-4BE24F67AABC}"/>
    <cellStyle name="Salida 2 4 5" xfId="43161" xr:uid="{0E11D784-DE91-4360-9D5F-2BC18EBD6511}"/>
    <cellStyle name="Salida 2 4 5 2" xfId="43162" xr:uid="{B982391F-95EB-4D97-A654-CD8397CDD315}"/>
    <cellStyle name="Salida 2 4 5 2 2" xfId="43163" xr:uid="{49E48EF3-11D9-441F-8B1E-51B4821F566D}"/>
    <cellStyle name="Salida 2 4 5 2 3" xfId="43164" xr:uid="{7D7ECC7D-7F7D-48B6-B69D-5D6A800F199B}"/>
    <cellStyle name="Salida 2 4 5 2 4" xfId="43165" xr:uid="{A4E5B102-DC97-48EC-86E8-10096D3D0637}"/>
    <cellStyle name="Salida 2 4 5 2 5" xfId="43166" xr:uid="{7AEB20BE-DA4C-4CB1-B9B5-03EC4774B330}"/>
    <cellStyle name="Salida 2 4 5 3" xfId="43167" xr:uid="{3B23426D-F205-4B30-811D-4A09CFAC59B2}"/>
    <cellStyle name="Salida 2 4 5 4" xfId="43168" xr:uid="{376E9EC4-7B74-4C46-8BE5-9364BAFC4F31}"/>
    <cellStyle name="Salida 2 4 5 5" xfId="43169" xr:uid="{2A541184-2C0A-4319-A901-E025C533CD0C}"/>
    <cellStyle name="Salida 2 4 5 6" xfId="43170" xr:uid="{66A150AD-28E0-4DDE-8256-DFCF94A93630}"/>
    <cellStyle name="Salida 2 4 6" xfId="43171" xr:uid="{90F83006-6701-43FA-B837-1146A77D852C}"/>
    <cellStyle name="Salida 2 4 6 2" xfId="43172" xr:uid="{D6D26F54-C4F2-429B-AE17-E1EAF00789B7}"/>
    <cellStyle name="Salida 2 4 6 3" xfId="43173" xr:uid="{626CF3E4-C2FF-43B0-BD26-E884673D062A}"/>
    <cellStyle name="Salida 2 4 6 4" xfId="43174" xr:uid="{9CF17B59-F155-470E-B698-73537E697EED}"/>
    <cellStyle name="Salida 2 4 6 5" xfId="43175" xr:uid="{9297DA35-D6C7-47AB-9938-6C31B7DC1F84}"/>
    <cellStyle name="Salida 2 4 7" xfId="43176" xr:uid="{D76FE142-249C-4160-BB42-255EA09C35E1}"/>
    <cellStyle name="Salida 2 4 8" xfId="43177" xr:uid="{8C73CBD1-FB84-44F6-B6F4-3CEF223BAC03}"/>
    <cellStyle name="Salida 2 4 9" xfId="43178" xr:uid="{CF5E4BC3-6A25-4160-A584-3E541A6D982C}"/>
    <cellStyle name="Salida 2 5" xfId="43179" xr:uid="{420A5DBF-C1B1-4002-A266-21E60027C8E7}"/>
    <cellStyle name="Salida 2 5 2" xfId="43180" xr:uid="{6170CE5F-B96C-4476-9DAD-B4AF0AEE740E}"/>
    <cellStyle name="Salida 2 5 2 2" xfId="43181" xr:uid="{B8377F24-ACB8-4EA8-8717-19046BAEF6D9}"/>
    <cellStyle name="Salida 2 5 2 3" xfId="43182" xr:uid="{18469761-D368-4648-B5A2-6284384BF6E6}"/>
    <cellStyle name="Salida 2 5 2 4" xfId="43183" xr:uid="{BDF6A475-CC73-4D94-A976-73F738B48B64}"/>
    <cellStyle name="Salida 2 5 2 5" xfId="43184" xr:uid="{8D748000-6760-45F1-AD3F-DF1642C948CD}"/>
    <cellStyle name="Salida 2 5 3" xfId="43185" xr:uid="{B6403660-43C2-4AD7-B978-44B6E9159654}"/>
    <cellStyle name="Salida 2 5 4" xfId="43186" xr:uid="{9DEF306E-6CF0-4985-A811-833DE2C07977}"/>
    <cellStyle name="Salida 2 5 5" xfId="43187" xr:uid="{41FC777E-90EB-4C8E-A151-D997EC44AB98}"/>
    <cellStyle name="Salida 2 5 6" xfId="43188" xr:uid="{E5143D77-58A3-4282-BD97-65933CB79175}"/>
    <cellStyle name="Salida 2 5 7" xfId="43189" xr:uid="{2408220F-801B-427E-ABB8-D95CDC3D6DA1}"/>
    <cellStyle name="Salida 2 5 8" xfId="43190" xr:uid="{6EF25363-0234-4CEB-A718-611683F72D76}"/>
    <cellStyle name="Salida 2 5 9" xfId="43191" xr:uid="{AAE1CBEE-FEBB-4998-A368-61C8E779F373}"/>
    <cellStyle name="Salida 2 6" xfId="43192" xr:uid="{D02474D5-C5F2-4C1E-8797-A158E078FA37}"/>
    <cellStyle name="Salida 2 6 2" xfId="43193" xr:uid="{908B8A0F-B898-48CD-983D-1678D3D4E21B}"/>
    <cellStyle name="Salida 2 6 2 2" xfId="43194" xr:uid="{0146F28A-D2EB-4568-976C-301DBBF4E87D}"/>
    <cellStyle name="Salida 2 6 2 3" xfId="43195" xr:uid="{0ED21C99-30E8-4991-8853-AE1201A44D4B}"/>
    <cellStyle name="Salida 2 6 2 4" xfId="43196" xr:uid="{BEA52A36-CE27-4683-8469-88A58A738058}"/>
    <cellStyle name="Salida 2 6 2 5" xfId="43197" xr:uid="{A950D217-30E2-48B5-A5E5-E3FBAAC120A1}"/>
    <cellStyle name="Salida 2 6 3" xfId="43198" xr:uid="{F1CB5BFD-D6E9-4077-8E67-9CD6B09A30DD}"/>
    <cellStyle name="Salida 2 6 4" xfId="43199" xr:uid="{E96304DA-2F19-4425-811B-43384FA4F093}"/>
    <cellStyle name="Salida 2 6 5" xfId="43200" xr:uid="{51AF4471-8EC2-4F50-B8EC-D52E3BFFDAE2}"/>
    <cellStyle name="Salida 2 6 6" xfId="43201" xr:uid="{09942C71-6538-4F5D-B290-615B06020E3D}"/>
    <cellStyle name="Salida 2 6 7" xfId="43202" xr:uid="{05EE37D7-EA01-447C-8D68-91CD8D214A28}"/>
    <cellStyle name="Salida 2 6 8" xfId="43203" xr:uid="{EDFAD6BB-2212-4549-A6CE-33B54526D8A4}"/>
    <cellStyle name="Salida 2 6 9" xfId="43204" xr:uid="{BF433784-E619-4F90-9932-AFDB9178C68F}"/>
    <cellStyle name="Salida 2 7" xfId="43205" xr:uid="{41CC9ED4-557A-402F-B0AA-757AB1B31CD5}"/>
    <cellStyle name="Salida 2 7 2" xfId="43206" xr:uid="{E169E760-A1C3-44C3-A8E0-C79CA0C85205}"/>
    <cellStyle name="Salida 2 7 2 2" xfId="43207" xr:uid="{F1294F48-86E7-48E7-8427-F7C39D39FF81}"/>
    <cellStyle name="Salida 2 7 2 3" xfId="43208" xr:uid="{1932EC9A-F91F-46C8-8368-452D72ADAA88}"/>
    <cellStyle name="Salida 2 7 2 4" xfId="43209" xr:uid="{E4EB87B2-13BE-4E32-9F06-D26F67CD234E}"/>
    <cellStyle name="Salida 2 7 2 5" xfId="43210" xr:uid="{787BEF57-7CCC-4583-ABBE-E98E8C643327}"/>
    <cellStyle name="Salida 2 7 3" xfId="43211" xr:uid="{BE93CFA1-A34D-46B0-AB31-036AB39E71D5}"/>
    <cellStyle name="Salida 2 7 4" xfId="43212" xr:uid="{06576051-44D3-4A08-BB96-17D8D06360C8}"/>
    <cellStyle name="Salida 2 7 5" xfId="43213" xr:uid="{E1A59B40-87C1-475B-BD00-603E5B5CA13D}"/>
    <cellStyle name="Salida 2 7 6" xfId="43214" xr:uid="{15305A4F-BED3-4C6C-97F6-7FBE54394E09}"/>
    <cellStyle name="Salida 2 7 7" xfId="43215" xr:uid="{3ECFFE93-1F23-4503-B087-A123E1D87C49}"/>
    <cellStyle name="Salida 2 7 8" xfId="43216" xr:uid="{F74B5AF6-F5D9-41FA-9F0A-CCE0D2C9AD57}"/>
    <cellStyle name="Salida 2 7 9" xfId="43217" xr:uid="{F405327B-227A-481D-ACA0-84A0AF89721C}"/>
    <cellStyle name="Salida 2 8" xfId="43218" xr:uid="{59E89493-1482-4B08-9649-F5E308F20C35}"/>
    <cellStyle name="Salida 2 8 10" xfId="43219" xr:uid="{85427461-9149-4BF6-BA4B-4F4209DAD3A0}"/>
    <cellStyle name="Salida 2 8 2" xfId="43220" xr:uid="{67918C02-D029-48AB-BE15-C748F5A5F2D1}"/>
    <cellStyle name="Salida 2 8 2 2" xfId="43221" xr:uid="{46CCD3DD-8461-47EB-B649-7C4529BDD0A4}"/>
    <cellStyle name="Salida 2 8 2 2 2" xfId="43222" xr:uid="{6CAC8ACE-BF76-4686-AAA2-123E8F9DE756}"/>
    <cellStyle name="Salida 2 8 2 2 3" xfId="43223" xr:uid="{B4D2D5D5-916B-4146-BA67-33FB924784B4}"/>
    <cellStyle name="Salida 2 8 2 2 4" xfId="43224" xr:uid="{9E46B02C-1AEA-4DB3-BBF6-68C60BFFE058}"/>
    <cellStyle name="Salida 2 8 2 2 5" xfId="43225" xr:uid="{5C5275CD-A814-49A1-9374-4E720B08588A}"/>
    <cellStyle name="Salida 2 8 2 3" xfId="43226" xr:uid="{F76C62AE-07FE-4C4F-B7E5-FCA1BD0C36F5}"/>
    <cellStyle name="Salida 2 8 2 4" xfId="43227" xr:uid="{05ED3C11-EAF7-4EDC-B384-4BA93C111533}"/>
    <cellStyle name="Salida 2 8 2 5" xfId="43228" xr:uid="{DCE60FD6-D2C8-4DEB-9D8F-CB533B986650}"/>
    <cellStyle name="Salida 2 8 2 6" xfId="43229" xr:uid="{C1510B7B-929F-41CB-BED2-B23234947BF6}"/>
    <cellStyle name="Salida 2 8 2 7" xfId="43230" xr:uid="{65306D68-6E6F-413C-B2EE-692066D78909}"/>
    <cellStyle name="Salida 2 8 2 8" xfId="43231" xr:uid="{64C2B4C4-F93F-4F1F-A895-5DDBD6167B6D}"/>
    <cellStyle name="Salida 2 8 2 9" xfId="43232" xr:uid="{16E967ED-FF71-483B-8683-663D05DD58C6}"/>
    <cellStyle name="Salida 2 8 3" xfId="43233" xr:uid="{038F4F52-066F-4E81-A529-02F2D666D072}"/>
    <cellStyle name="Salida 2 8 3 2" xfId="43234" xr:uid="{9461AA15-2FC0-48CF-B18A-D98046EDB004}"/>
    <cellStyle name="Salida 2 8 3 3" xfId="43235" xr:uid="{97700C35-6B32-4EDC-B185-443A404D7F0A}"/>
    <cellStyle name="Salida 2 8 3 4" xfId="43236" xr:uid="{ED25DA03-1F9F-4816-9430-A863A7D64C01}"/>
    <cellStyle name="Salida 2 8 3 5" xfId="43237" xr:uid="{E15AD87B-1F84-4129-AF3A-90E3A8914721}"/>
    <cellStyle name="Salida 2 8 4" xfId="43238" xr:uid="{03A512B6-F70C-44A7-BF58-45D2E9F80933}"/>
    <cellStyle name="Salida 2 8 5" xfId="43239" xr:uid="{D5F814A6-2FFA-4FE4-857A-31828F097ACC}"/>
    <cellStyle name="Salida 2 8 6" xfId="43240" xr:uid="{0E7502EA-29F1-470D-9316-4636244854E0}"/>
    <cellStyle name="Salida 2 8 7" xfId="43241" xr:uid="{150EDF27-D33A-4392-BFA5-87B1926A7B07}"/>
    <cellStyle name="Salida 2 8 8" xfId="43242" xr:uid="{A0D7B312-1B98-4C4A-9827-59AD3CA2D70F}"/>
    <cellStyle name="Salida 2 8 9" xfId="43243" xr:uid="{8BCA7B36-5A47-44E3-A81D-E274386047A0}"/>
    <cellStyle name="Salida 2 9" xfId="43244" xr:uid="{30713563-ADB6-4A52-8418-9292E8C4277B}"/>
    <cellStyle name="Salida 2 9 2" xfId="43245" xr:uid="{6877FB04-660B-44BA-99A2-5D248DB44BC1}"/>
    <cellStyle name="Salida 2 9 2 2" xfId="43246" xr:uid="{9FF74E7F-F9A0-4F35-B3A4-CC14B536C5A7}"/>
    <cellStyle name="Salida 2 9 2 3" xfId="43247" xr:uid="{455F73B7-33FC-42EB-B046-A9AC20A69B4A}"/>
    <cellStyle name="Salida 2 9 2 4" xfId="43248" xr:uid="{7238EB66-4919-4CEA-9266-9F7C61D86D28}"/>
    <cellStyle name="Salida 2 9 2 5" xfId="43249" xr:uid="{4F46F8E1-12F7-41B7-9CF9-0381D7AB4DED}"/>
    <cellStyle name="Salida 2 9 3" xfId="43250" xr:uid="{596952A1-50D0-40AA-BF83-FF097FC75A36}"/>
    <cellStyle name="Salida 2 9 4" xfId="43251" xr:uid="{5EFFC6DE-946E-410D-9F74-7B651FA50205}"/>
    <cellStyle name="Salida 2 9 5" xfId="43252" xr:uid="{A1B57E2E-ACE5-4458-9BA1-433131B09F0D}"/>
    <cellStyle name="Salida 2 9 6" xfId="43253" xr:uid="{B0BA617C-FF65-4B5F-9BA6-E8C7CE09EB60}"/>
    <cellStyle name="Salida 2 9 7" xfId="43254" xr:uid="{AFAC4945-AE0B-40F0-93DE-75434230F8B3}"/>
    <cellStyle name="Salida 2 9 8" xfId="43255" xr:uid="{BF478166-7E8E-4721-ADF4-4FBB62DF421F}"/>
    <cellStyle name="Salida 2 9 9" xfId="43256" xr:uid="{4E851906-2F13-4D06-B68D-CA7158B226C0}"/>
    <cellStyle name="Salida 3" xfId="43257" xr:uid="{918FDB60-1799-40DC-9B13-0D396A80FA49}"/>
    <cellStyle name="Salida 3 10" xfId="43258" xr:uid="{475004D1-AC14-47E1-9817-F1D0A5714B77}"/>
    <cellStyle name="Salida 3 11" xfId="43259" xr:uid="{283768E8-F5F1-4B17-B565-1F76CF578402}"/>
    <cellStyle name="Salida 3 2" xfId="43260" xr:uid="{C15450F3-381F-4101-8707-7CEA9938B5EC}"/>
    <cellStyle name="Salida 3 2 2" xfId="43261" xr:uid="{03716D3B-34F9-40CB-8F1C-77B96A27ABB7}"/>
    <cellStyle name="Salida 3 2 2 2" xfId="43262" xr:uid="{44D33D8C-6D20-4667-97DD-65822D8589E2}"/>
    <cellStyle name="Salida 3 2 2 3" xfId="43263" xr:uid="{0C4ACF81-F8ED-4647-BDD8-1FBD1524231F}"/>
    <cellStyle name="Salida 3 2 2 4" xfId="43264" xr:uid="{8ACF7D9C-DBBA-471E-BF69-9C9D2D6A7B23}"/>
    <cellStyle name="Salida 3 2 2 5" xfId="43265" xr:uid="{ED864826-5906-463E-AA33-DC96324FD479}"/>
    <cellStyle name="Salida 3 2 3" xfId="43266" xr:uid="{B183E816-F001-44BA-9A43-131B0A6E9CF5}"/>
    <cellStyle name="Salida 3 2 4" xfId="43267" xr:uid="{CFF6607D-5C98-45F4-8396-0807DF6F6C2B}"/>
    <cellStyle name="Salida 3 2 5" xfId="43268" xr:uid="{A2A08E6D-4CB1-43F0-936B-9D31B7293B3C}"/>
    <cellStyle name="Salida 3 2 6" xfId="43269" xr:uid="{9D022D7F-8D6E-4F0D-B6F1-1345331B359A}"/>
    <cellStyle name="Salida 3 2 7" xfId="43270" xr:uid="{F49ECA65-3EA5-4D80-AC23-4F18AC7C7110}"/>
    <cellStyle name="Salida 3 2 8" xfId="43271" xr:uid="{C2FF3446-9562-48AB-A2D3-4138556A450D}"/>
    <cellStyle name="Salida 3 2 9" xfId="43272" xr:uid="{72A317F1-402C-42BC-A238-701B11298E03}"/>
    <cellStyle name="Salida 3 3" xfId="43273" xr:uid="{1D91D289-609C-48FE-9A1F-36E829EACBC2}"/>
    <cellStyle name="Salida 3 3 2" xfId="43274" xr:uid="{9025C87D-40F3-4590-A2F8-168DA09F86AD}"/>
    <cellStyle name="Salida 3 3 2 2" xfId="43275" xr:uid="{4AE03D79-5779-4BE9-9D7C-5DEEA3A9FD79}"/>
    <cellStyle name="Salida 3 3 2 3" xfId="43276" xr:uid="{10DB620D-EA07-43B7-ABAB-8E7C5B9B28DE}"/>
    <cellStyle name="Salida 3 3 2 4" xfId="43277" xr:uid="{7B706A5E-9601-4218-A7EE-318A03BF4F7E}"/>
    <cellStyle name="Salida 3 3 2 5" xfId="43278" xr:uid="{16D0E201-5E5B-4F49-B039-31EDF2F788C7}"/>
    <cellStyle name="Salida 3 3 3" xfId="43279" xr:uid="{E750C427-2781-4149-A39B-14AA240F52B1}"/>
    <cellStyle name="Salida 3 3 4" xfId="43280" xr:uid="{7AC53223-1385-4582-BFB6-89A7A1AA6D34}"/>
    <cellStyle name="Salida 3 3 5" xfId="43281" xr:uid="{B9174EE2-6B94-4FD8-81EF-1846FE624324}"/>
    <cellStyle name="Salida 3 3 6" xfId="43282" xr:uid="{81885EC4-5BBC-4A29-AC70-FDD8115C43D4}"/>
    <cellStyle name="Salida 3 3 7" xfId="43283" xr:uid="{D3FB2FE3-AD2E-443F-AE29-1062F7635763}"/>
    <cellStyle name="Salida 3 3 8" xfId="43284" xr:uid="{8ACD34E0-9A89-4034-BC26-129898B726D0}"/>
    <cellStyle name="Salida 3 3 9" xfId="43285" xr:uid="{871630E7-8DA1-486E-A6E9-6D5A064C1EF0}"/>
    <cellStyle name="Salida 3 4" xfId="43286" xr:uid="{E5399DC7-B7AD-4BC6-BFAB-BD02A6E420F8}"/>
    <cellStyle name="Salida 3 4 2" xfId="43287" xr:uid="{FB8635FE-7284-41F4-9567-14ACAE9F0CF2}"/>
    <cellStyle name="Salida 3 4 3" xfId="43288" xr:uid="{7C6437B2-AFFC-4EF3-8380-CB711970C259}"/>
    <cellStyle name="Salida 3 4 4" xfId="43289" xr:uid="{E2287E97-C395-4914-A275-C9EFA8CB3483}"/>
    <cellStyle name="Salida 3 4 5" xfId="43290" xr:uid="{DAAADD5C-EF0A-48BF-A7A8-CEA0FC08F513}"/>
    <cellStyle name="Salida 3 5" xfId="43291" xr:uid="{DEAF441F-D87A-44E0-87C2-D20CBA6EA585}"/>
    <cellStyle name="Salida 3 6" xfId="43292" xr:uid="{14D4FE27-1B7E-4A2F-BE4A-F599AEB44D62}"/>
    <cellStyle name="Salida 3 7" xfId="43293" xr:uid="{D5E4AC4E-396C-40D0-881A-80DA09359A59}"/>
    <cellStyle name="Salida 3 8" xfId="43294" xr:uid="{9C0468F8-BD80-4150-B498-E3E57D276732}"/>
    <cellStyle name="Salida 3 9" xfId="43295" xr:uid="{8C7F93B5-189F-49E5-8E78-D44EF4CC28D1}"/>
    <cellStyle name="Salida 4" xfId="43296" xr:uid="{6401869A-28C6-46B9-8226-561DE5E5502C}"/>
    <cellStyle name="Salida 4 2" xfId="43297" xr:uid="{0089031F-51E1-4587-99C3-10273115C62A}"/>
    <cellStyle name="Salida 4 2 2" xfId="43298" xr:uid="{C38DE0C9-FECF-4B86-9645-ADE7AD33D4DA}"/>
    <cellStyle name="Salida 4 2 3" xfId="43299" xr:uid="{FC9EF2F3-959B-40F5-8F8A-6930EB9E0EFA}"/>
    <cellStyle name="Salida 4 2 4" xfId="43300" xr:uid="{7114CD73-DAA1-4403-B86A-A634AD073598}"/>
    <cellStyle name="Salida 4 2 5" xfId="43301" xr:uid="{76574638-2ED2-46DB-B1C3-61C6A722B6B2}"/>
    <cellStyle name="Salida 4 3" xfId="43302" xr:uid="{CB456505-12AA-40EA-93C1-FC304D4F3039}"/>
    <cellStyle name="Salida 4 4" xfId="43303" xr:uid="{6F29DFA5-2647-42EA-8061-99244F472D60}"/>
    <cellStyle name="Salida 4 5" xfId="43304" xr:uid="{44CAF300-41B2-42A1-B6A1-EE65FBCAB887}"/>
    <cellStyle name="Salida 4 6" xfId="43305" xr:uid="{7CEDEB3B-C17A-487A-B1FD-DDBBFA1AE85B}"/>
    <cellStyle name="Salida 4 7" xfId="43306" xr:uid="{5A482EC0-9EFF-4746-B893-2B3425B6200B}"/>
    <cellStyle name="Salida 4 8" xfId="43307" xr:uid="{94539C43-1618-4247-98C2-E04EF96CCC4B}"/>
    <cellStyle name="Salida 4 9" xfId="43308" xr:uid="{DA079F7F-5C38-43DE-875C-3A913B0FB2AC}"/>
    <cellStyle name="SHADEDSTORES" xfId="43309" xr:uid="{AAAF4B1D-2089-4FF3-A6F2-CF527AC2910F}"/>
    <cellStyle name="SHADEDSTORES 2" xfId="43310" xr:uid="{5207A72E-7255-4554-90DF-03BEBFA19702}"/>
    <cellStyle name="SHADEDSTORES 2 2" xfId="43311" xr:uid="{42D1C7A5-E5EB-4FA2-9678-6C7F99A4039C}"/>
    <cellStyle name="SHADEDSTORES 2 3" xfId="43312" xr:uid="{9A9FD089-B659-47F7-9562-6B36E29AD06F}"/>
    <cellStyle name="SHADEDSTORES 2 4" xfId="43313" xr:uid="{E53B1BDB-B406-45C0-BB94-708EA9850407}"/>
    <cellStyle name="SHADEDSTORES 2 5" xfId="43314" xr:uid="{DC3521AE-7F3A-4BFB-9B62-87B1DA9578C4}"/>
    <cellStyle name="SHADEDSTORES 3" xfId="43315" xr:uid="{03387646-FA4E-4E73-A8C4-31C24C829100}"/>
    <cellStyle name="SHADEDSTORES 4" xfId="43316" xr:uid="{6E08CE1C-AB8B-4E5A-B1BA-6C57F7C9BBCE}"/>
    <cellStyle name="SHADEDSTORES 5" xfId="43317" xr:uid="{D3DD031B-EF95-4D58-B4F0-9A31EFD46F0D}"/>
    <cellStyle name="SHADEDSTORES 6" xfId="43318" xr:uid="{6CE3BB92-7780-4B53-B995-FAC245D9C193}"/>
    <cellStyle name="SHADEDSTORES 7" xfId="43319" xr:uid="{08DB9B00-4EFB-4F77-A5B9-1CF0AC5130EC}"/>
    <cellStyle name="SHADEDSTORES 8" xfId="43320" xr:uid="{D71296F8-A388-42AD-AD10-89EC8EF1C37A}"/>
    <cellStyle name="SHADEDSTORES 9" xfId="43321" xr:uid="{AAE8D563-7803-49BE-B69A-DDA513BA66B4}"/>
    <cellStyle name="Sledovaný hypertextový odkaz" xfId="43322" xr:uid="{6D04D356-921E-4411-A272-2AB2F49DD64A}"/>
    <cellStyle name="specstores" xfId="43323" xr:uid="{70E02DEC-FD8C-46C4-BAD0-D86897F9CC53}"/>
    <cellStyle name="Standard_BS14" xfId="43324" xr:uid="{1EFD2979-8FD5-48C2-ABD4-445CA2A71D5A}"/>
    <cellStyle name="Style 1" xfId="46138" xr:uid="{384467A5-D28E-4545-9DA4-5088B4FD07A8}"/>
    <cellStyle name="Subtotal" xfId="43325" xr:uid="{9D243BE1-56BE-418C-8362-7E47477B9234}"/>
    <cellStyle name="Texto de advertencia" xfId="19" builtinId="11" customBuiltin="1"/>
    <cellStyle name="Texto de advertencia 2" xfId="43326" xr:uid="{3308701A-AE9F-4693-B2EA-30134FD92920}"/>
    <cellStyle name="Texto de advertencia 2 2" xfId="43327" xr:uid="{DB88E886-1D59-43C7-9C10-AB89ECB8EE0C}"/>
    <cellStyle name="Texto de advertencia 2 3" xfId="43328" xr:uid="{7B8F6247-79EF-4860-A69D-D2E36E647DCE}"/>
    <cellStyle name="Texto de advertencia 2 4" xfId="43329" xr:uid="{CAA7E21A-EA56-4EA1-8808-1A4EBDF573AF}"/>
    <cellStyle name="Texto de advertencia 3" xfId="43330" xr:uid="{3A4A7781-50F1-4F0A-81FD-5AA72B48C25E}"/>
    <cellStyle name="Texto de advertencia 3 2" xfId="43331" xr:uid="{4F134297-5000-4331-A475-BD35B9E5C577}"/>
    <cellStyle name="Texto de advertencia 3 3" xfId="43332" xr:uid="{1454505E-BEE4-4ECD-BADC-DA950A669983}"/>
    <cellStyle name="Texto de advertencia 4" xfId="43333" xr:uid="{AD999DA5-9961-4F20-BE05-50D05D268412}"/>
    <cellStyle name="Texto explicativo" xfId="21" builtinId="53" customBuiltin="1"/>
    <cellStyle name="Texto explicativo 2" xfId="43334" xr:uid="{71519EF7-D0C8-471F-9F52-2ECBC9759619}"/>
    <cellStyle name="Texto explicativo 2 2" xfId="43335" xr:uid="{EC9DAEBB-8E78-42A2-9C53-670F6F6CCB70}"/>
    <cellStyle name="Texto explicativo 2 3" xfId="43336" xr:uid="{D74DB6A1-7E52-469E-950F-7CE244D67400}"/>
    <cellStyle name="Texto explicativo 2 4" xfId="43337" xr:uid="{2C0D47BA-94FE-4CE5-AE7F-F716D43DBE54}"/>
    <cellStyle name="Texto explicativo 3" xfId="43338" xr:uid="{0C8AF23E-36E6-48E3-93AB-A1FE6C4B85E8}"/>
    <cellStyle name="Texto explicativo 3 2" xfId="43339" xr:uid="{045A934D-F737-4131-BBF5-8E2C5BE785F2}"/>
    <cellStyle name="Texto explicativo 3 3" xfId="43340" xr:uid="{1561799F-4E1E-45E5-AA94-D52FE43B78B3}"/>
    <cellStyle name="Texto explicativo 4" xfId="43341" xr:uid="{C0D1F57D-A8F3-4B1B-A674-21142FD75A84}"/>
    <cellStyle name="Título 1 2" xfId="43342" xr:uid="{F804B14F-A3C8-4E8E-BA77-771445AFCA44}"/>
    <cellStyle name="Título 1 2 2" xfId="43343" xr:uid="{390A4F3A-4A8B-4202-896C-FCA9AF010C5C}"/>
    <cellStyle name="Título 1 2 3" xfId="43344" xr:uid="{7EB28B0F-271F-4D66-90D3-19FCC8B28126}"/>
    <cellStyle name="Título 1 2 4" xfId="43345" xr:uid="{65D2BFAE-1632-47DE-BEBF-410F8B54A545}"/>
    <cellStyle name="Título 1 3" xfId="43346" xr:uid="{A08B1823-20B8-4DD3-A074-C77D264CDA7A}"/>
    <cellStyle name="Título 1 3 2" xfId="43347" xr:uid="{352D4B15-E241-49DD-8DEC-62106FF86B3D}"/>
    <cellStyle name="Título 1 3 3" xfId="43348" xr:uid="{6C86BE75-CB26-4B30-A460-BDE3732A359F}"/>
    <cellStyle name="Título 1 4" xfId="43349" xr:uid="{4628DD5A-85A8-493E-909C-01946BF60A6D}"/>
    <cellStyle name="Título 2" xfId="9" builtinId="17" customBuiltin="1"/>
    <cellStyle name="Título 2 2" xfId="43350" xr:uid="{D70B964C-F8C6-4167-A5A1-C720C8F28B72}"/>
    <cellStyle name="Título 2 2 2" xfId="43351" xr:uid="{1D0725D1-B3D7-4C8E-B950-5AB645277465}"/>
    <cellStyle name="Título 2 2 3" xfId="43352" xr:uid="{FB144889-7433-4436-B7BF-31C5F278C625}"/>
    <cellStyle name="Título 2 2 4" xfId="43353" xr:uid="{F8395017-97D0-400C-A8E8-D242BEDB9EA4}"/>
    <cellStyle name="Título 2 3" xfId="43354" xr:uid="{ED464ABD-2A95-425A-8523-982FF09907CC}"/>
    <cellStyle name="Título 2 3 2" xfId="43355" xr:uid="{FB568305-1220-4C04-AB57-B9C65F8DC7B8}"/>
    <cellStyle name="Título 2 3 3" xfId="43356" xr:uid="{D0D804CB-3D4A-4B68-9E6C-52C66A6238C5}"/>
    <cellStyle name="Título 2 4" xfId="43357" xr:uid="{5F7A456B-71DD-4E55-B33A-0471616BE41C}"/>
    <cellStyle name="Título 3" xfId="10" builtinId="18" customBuiltin="1"/>
    <cellStyle name="Título 3 2" xfId="43358" xr:uid="{088969BF-1108-47B1-973C-7C08658D4B41}"/>
    <cellStyle name="Título 3 2 2" xfId="43359" xr:uid="{41FD412A-1F69-4BAE-A9E5-C5AEEFA90190}"/>
    <cellStyle name="Título 3 2 3" xfId="43360" xr:uid="{F45A1D78-5745-4EC0-A74F-00786AD48E4E}"/>
    <cellStyle name="Título 3 2 4" xfId="43361" xr:uid="{FE08323D-793D-41BC-B887-6F2805C3FD41}"/>
    <cellStyle name="Título 3 3" xfId="43362" xr:uid="{3D2164E6-0C04-4D7B-8730-6D35C156F2BC}"/>
    <cellStyle name="Título 3 3 2" xfId="43363" xr:uid="{5055A895-B669-43B2-B681-7BFB4D147B18}"/>
    <cellStyle name="Título 3 3 3" xfId="43364" xr:uid="{3FA29DA3-2E10-46C4-AFA1-6D6A55DBBCD6}"/>
    <cellStyle name="Título 3 4" xfId="43365" xr:uid="{0C56B08D-F242-4FFC-AA80-2467E7D86B95}"/>
    <cellStyle name="Título 4" xfId="43366" xr:uid="{33C5134F-0E83-4D56-BDCF-2900160CB931}"/>
    <cellStyle name="Título 4 2" xfId="43367" xr:uid="{E51FAE7F-5F0A-459A-B921-232AD0FA98FA}"/>
    <cellStyle name="Título 4 2 2" xfId="46862" xr:uid="{F355A4CE-39E5-4E89-B1CF-6D5909526FF9}"/>
    <cellStyle name="Título 4 3" xfId="43368" xr:uid="{80244229-55B2-4369-957C-1327D8CC759A}"/>
    <cellStyle name="Título 4 3 2" xfId="46940" xr:uid="{662FC708-2C0E-43FF-BC6A-60B034F14FD5}"/>
    <cellStyle name="Título 4 3 3" xfId="47160" xr:uid="{DA5A579A-2C1E-44C6-8BA7-0246246E9256}"/>
    <cellStyle name="Título 4 4" xfId="43369" xr:uid="{D2417829-EA6E-4862-BB67-2CF42750721E}"/>
    <cellStyle name="Título 4 4 2" xfId="47161" xr:uid="{0FA72C40-7764-4066-9570-B8128BB74B21}"/>
    <cellStyle name="Título 4 5" xfId="43553" xr:uid="{85E324C1-2600-4769-8AD4-F0F5C77E535A}"/>
    <cellStyle name="Título 4 5 2" xfId="47490" xr:uid="{94655344-9A56-4D2C-96EE-C8196CFBC06C}"/>
    <cellStyle name="Título 4 6" xfId="46460" xr:uid="{C884E435-6DC0-4D77-8E3C-4CA16B26665D}"/>
    <cellStyle name="Título 4 7" xfId="47780" xr:uid="{1CBDFBB9-26CF-40C6-A709-3227D273EFCA}"/>
    <cellStyle name="Título 5" xfId="43370" xr:uid="{6313CB25-FCB1-4A5D-A5D6-E0EFB57FA8DF}"/>
    <cellStyle name="Título 5 2" xfId="43371" xr:uid="{4776FF6E-5D10-4A72-A05E-D19718FF5530}"/>
    <cellStyle name="Título 5 3" xfId="43372" xr:uid="{1CAF183C-2D1E-4FDE-8ACE-C7C3A657CA90}"/>
    <cellStyle name="Título 6" xfId="43373" xr:uid="{FD1826D5-0BFC-4FB0-A337-76F1F07F1977}"/>
    <cellStyle name="Título 7" xfId="43486" xr:uid="{7430F89A-6D29-4D58-B9D3-B06E3BAD759A}"/>
    <cellStyle name="Título 8" xfId="46459" xr:uid="{B12023C9-AECA-41DA-BDFB-C7B7DF254BDF}"/>
    <cellStyle name="Total" xfId="22" builtinId="25" customBuiltin="1"/>
    <cellStyle name="Total 2" xfId="43374" xr:uid="{857D1D7C-450C-43C8-A25E-73F0C3CE5389}"/>
    <cellStyle name="Total 2 10" xfId="43375" xr:uid="{A37442AA-46CC-4F46-A1F3-30AD9AFFDFFF}"/>
    <cellStyle name="Total 2 11" xfId="43376" xr:uid="{CB18DCB0-C1C5-48AB-A3B2-1A6F87C1A183}"/>
    <cellStyle name="Total 2 12" xfId="43377" xr:uid="{E0C97A6E-5228-419F-9B13-1760104CA677}"/>
    <cellStyle name="Total 2 2" xfId="43378" xr:uid="{F9FBBAB8-A055-4C43-A2B3-DA7D69FA7DBD}"/>
    <cellStyle name="Total 2 2 2" xfId="43379" xr:uid="{D617FCBB-382F-40E5-9688-21396BEB1C72}"/>
    <cellStyle name="Total 2 2 2 2" xfId="43380" xr:uid="{9A8C3CF2-02F5-4235-9BF1-7CD0DBD7A381}"/>
    <cellStyle name="Total 2 2 2 3" xfId="43381" xr:uid="{3A24FBE5-8775-4F4A-B9A9-B1732A8C15E8}"/>
    <cellStyle name="Total 2 2 2 4" xfId="43382" xr:uid="{7DE14262-64BE-4FB1-BF1A-FDB2262F475F}"/>
    <cellStyle name="Total 2 2 2 5" xfId="43383" xr:uid="{449DE573-6293-45A7-9A3E-77178386050A}"/>
    <cellStyle name="Total 2 2 3" xfId="43384" xr:uid="{41DDED1A-7923-43F2-9346-223E0E8888DB}"/>
    <cellStyle name="Total 2 2 4" xfId="43385" xr:uid="{B11783F0-BAA0-4EF0-8DC2-A81A49D5B4D6}"/>
    <cellStyle name="Total 2 2 5" xfId="43386" xr:uid="{90DDB8A5-503D-4BE4-81C7-14B6F3869D03}"/>
    <cellStyle name="Total 2 2 6" xfId="43387" xr:uid="{D3515C8E-3E31-4C04-B811-CDD546A7DF5D}"/>
    <cellStyle name="Total 2 2 7" xfId="43388" xr:uid="{69A9FD50-249E-4E28-94EE-1B1689F2EFFC}"/>
    <cellStyle name="Total 2 2 8" xfId="43389" xr:uid="{BEFE186F-5809-4A05-A1A7-34CD7633FB62}"/>
    <cellStyle name="Total 2 2 9" xfId="43390" xr:uid="{C0149A8A-FC08-4B03-90EE-FD21FBC4B9D7}"/>
    <cellStyle name="Total 2 3" xfId="43391" xr:uid="{1B551253-FE76-4EC8-9CC7-7B03193C95F0}"/>
    <cellStyle name="Total 2 3 2" xfId="43392" xr:uid="{9C0C7C90-971B-4E85-939F-75F620DAEA75}"/>
    <cellStyle name="Total 2 3 2 2" xfId="43393" xr:uid="{4A5412C9-64E2-4E9C-94E7-2ECD8A5B7186}"/>
    <cellStyle name="Total 2 3 2 3" xfId="43394" xr:uid="{3C7FCC7B-8DA9-45F5-81AF-E64FE5195621}"/>
    <cellStyle name="Total 2 3 2 4" xfId="43395" xr:uid="{B74FE863-13ED-46E9-8BDC-FA56FE636192}"/>
    <cellStyle name="Total 2 3 2 5" xfId="43396" xr:uid="{1AD6F90B-7EEE-4BD7-9DD0-B53053F3CF97}"/>
    <cellStyle name="Total 2 3 3" xfId="43397" xr:uid="{829C76C0-128C-43D1-BC2D-538052743A9C}"/>
    <cellStyle name="Total 2 3 4" xfId="43398" xr:uid="{D862D9B5-CBBA-44F1-9BC7-C3672984EDB3}"/>
    <cellStyle name="Total 2 3 5" xfId="43399" xr:uid="{B36F3870-AF21-4E7F-B148-5EABF3132A99}"/>
    <cellStyle name="Total 2 3 6" xfId="43400" xr:uid="{B9E64F07-6E66-418D-B978-857D781E2DB8}"/>
    <cellStyle name="Total 2 3 7" xfId="43401" xr:uid="{90308B5D-2CF1-4C5C-A6AA-F4C1B0FF12D6}"/>
    <cellStyle name="Total 2 3 8" xfId="43402" xr:uid="{9275FA7C-06F8-429E-874B-76D2B20F1B6E}"/>
    <cellStyle name="Total 2 3 9" xfId="43403" xr:uid="{FB2565C8-7C0E-414B-89D6-0312BE9E4ADE}"/>
    <cellStyle name="Total 2 4" xfId="43404" xr:uid="{F475EF38-7CC4-4A20-9BFC-DCE9439412F7}"/>
    <cellStyle name="Total 2 4 2" xfId="43405" xr:uid="{07D6BBE0-33A7-4BE0-B694-F00BF1AE6F53}"/>
    <cellStyle name="Total 2 4 2 2" xfId="43406" xr:uid="{78FFBBE5-505D-401A-B674-B1119158F2C7}"/>
    <cellStyle name="Total 2 4 2 3" xfId="43407" xr:uid="{13ED841A-CAC1-4D30-9D4E-82DF13A84D12}"/>
    <cellStyle name="Total 2 4 2 4" xfId="43408" xr:uid="{80AB1D07-C42F-4932-8034-D6190BA96BDA}"/>
    <cellStyle name="Total 2 4 2 5" xfId="43409" xr:uid="{0E92DC03-A346-45E5-9D52-670AD0565004}"/>
    <cellStyle name="Total 2 4 3" xfId="43410" xr:uid="{5BFF93F2-3FFE-42D1-AB84-494E3D5379FD}"/>
    <cellStyle name="Total 2 4 4" xfId="43411" xr:uid="{F2ECA2C3-2F66-4AA1-B509-6FA9C9AEE352}"/>
    <cellStyle name="Total 2 4 5" xfId="43412" xr:uid="{FDD32049-4585-4B5F-8006-E9549587BEED}"/>
    <cellStyle name="Total 2 4 6" xfId="43413" xr:uid="{84951073-CEEB-4E44-89AA-37DD63899BB2}"/>
    <cellStyle name="Total 2 4 7" xfId="43414" xr:uid="{D807DF5A-DBB0-4E7B-BA4E-199281F5FC9F}"/>
    <cellStyle name="Total 2 4 8" xfId="43415" xr:uid="{A253CF8F-014C-4A40-B562-6C9E9B02FCA5}"/>
    <cellStyle name="Total 2 4 9" xfId="43416" xr:uid="{74BD22D4-5F72-4781-BF02-D6359060FD30}"/>
    <cellStyle name="Total 2 5" xfId="43417" xr:uid="{6889443B-DA7C-46C9-A90A-C94280BF97CC}"/>
    <cellStyle name="Total 2 5 2" xfId="43418" xr:uid="{284B7952-24E7-4864-801D-9B66B328583D}"/>
    <cellStyle name="Total 2 5 3" xfId="43419" xr:uid="{2A866982-1BB8-4845-BA09-C251753DB6E1}"/>
    <cellStyle name="Total 2 5 4" xfId="43420" xr:uid="{F6DE9FA7-1C99-455F-AC6B-AA8FDDA9B3DD}"/>
    <cellStyle name="Total 2 5 5" xfId="43421" xr:uid="{267A3E79-F228-456F-BE15-BF48FC87059F}"/>
    <cellStyle name="Total 2 6" xfId="43422" xr:uid="{B15CC3AC-CA38-433C-A575-81118389C760}"/>
    <cellStyle name="Total 2 7" xfId="43423" xr:uid="{3D214BDB-301B-4D7F-9D56-084F231BD460}"/>
    <cellStyle name="Total 2 8" xfId="43424" xr:uid="{D2DED87A-A31E-42AB-B6E6-125AE2C6B476}"/>
    <cellStyle name="Total 2 9" xfId="43425" xr:uid="{D1F2FFD2-B40D-4582-A340-A8033C3EA1C3}"/>
    <cellStyle name="Total 3" xfId="43426" xr:uid="{98586CBA-3EE6-48A6-B6D8-E29DBCFF6A27}"/>
    <cellStyle name="Total 3 10" xfId="43427" xr:uid="{F9B40C68-CBCB-4FD5-B95F-FAB12DFD103D}"/>
    <cellStyle name="Total 3 11" xfId="43428" xr:uid="{ACF6AB44-CE78-4DEB-A9A7-D6C4F0D9233A}"/>
    <cellStyle name="Total 3 2" xfId="43429" xr:uid="{FBEB0679-06B6-4695-B91F-42DEE60436FF}"/>
    <cellStyle name="Total 3 2 2" xfId="43430" xr:uid="{5177FE82-D94E-4202-BF5B-199544ACE34B}"/>
    <cellStyle name="Total 3 2 2 2" xfId="43431" xr:uid="{7644FBD3-F214-4758-AC6D-669E83059601}"/>
    <cellStyle name="Total 3 2 2 3" xfId="43432" xr:uid="{56CC0DDB-752D-470B-8675-B21EF2B5A5A1}"/>
    <cellStyle name="Total 3 2 2 4" xfId="43433" xr:uid="{ADD90B66-8F10-444F-8DB3-00695B60A17C}"/>
    <cellStyle name="Total 3 2 2 5" xfId="43434" xr:uid="{20BEB8A8-A32B-4F48-ACB3-3D67B332ACF4}"/>
    <cellStyle name="Total 3 2 3" xfId="43435" xr:uid="{DEFE83DB-5837-4D91-A976-CA620AAD4678}"/>
    <cellStyle name="Total 3 2 4" xfId="43436" xr:uid="{759751D2-17B7-4159-8A17-FA45E85EECAD}"/>
    <cellStyle name="Total 3 2 5" xfId="43437" xr:uid="{79AD8531-654D-4EC0-8F93-96F07A1748DE}"/>
    <cellStyle name="Total 3 2 6" xfId="43438" xr:uid="{8C6BD788-CD73-4104-8727-DBAF0FFE63E0}"/>
    <cellStyle name="Total 3 2 7" xfId="43439" xr:uid="{719AA226-7AED-4C9C-BA05-225347706EEB}"/>
    <cellStyle name="Total 3 2 8" xfId="43440" xr:uid="{362A6309-DFC2-4BDA-B0B2-BBEE690EDB06}"/>
    <cellStyle name="Total 3 2 9" xfId="43441" xr:uid="{0503ADAD-DEAF-4B18-BA70-72B4B705304D}"/>
    <cellStyle name="Total 3 3" xfId="43442" xr:uid="{78B689A8-7630-4EFF-AAB9-72093EBCD9AA}"/>
    <cellStyle name="Total 3 3 2" xfId="43443" xr:uid="{635DE0FE-BF05-437A-8CBD-86F202913B51}"/>
    <cellStyle name="Total 3 3 2 2" xfId="43444" xr:uid="{497552CD-5A6B-4625-A9E9-BF682337E585}"/>
    <cellStyle name="Total 3 3 2 3" xfId="43445" xr:uid="{7A428831-CE98-4E7B-B521-A86FCA796EBE}"/>
    <cellStyle name="Total 3 3 2 4" xfId="43446" xr:uid="{B44E8AD3-7699-4767-B627-D98080CE254D}"/>
    <cellStyle name="Total 3 3 2 5" xfId="43447" xr:uid="{615162A0-320B-48C6-95F1-FD6640C7C2A5}"/>
    <cellStyle name="Total 3 3 3" xfId="43448" xr:uid="{C9E0D133-EB13-4B82-9BDC-78ED40FBBE09}"/>
    <cellStyle name="Total 3 3 4" xfId="43449" xr:uid="{5AB5959C-F0C3-48D3-9753-B473C41EC139}"/>
    <cellStyle name="Total 3 3 5" xfId="43450" xr:uid="{F482C5B9-2B2C-4C47-BF6B-0E4E8D424045}"/>
    <cellStyle name="Total 3 3 6" xfId="43451" xr:uid="{FFECD8AA-4D0A-419F-B71A-72ECE6723E73}"/>
    <cellStyle name="Total 3 3 7" xfId="43452" xr:uid="{8913D6F6-E78E-4C0E-BE7F-138B7BEB4B31}"/>
    <cellStyle name="Total 3 3 8" xfId="43453" xr:uid="{31589284-5F95-42D2-9601-71CA3A398808}"/>
    <cellStyle name="Total 3 3 9" xfId="43454" xr:uid="{79EE000F-BE7C-4D8C-95F2-BBBC36491037}"/>
    <cellStyle name="Total 3 4" xfId="43455" xr:uid="{DC4BD7EC-D266-404C-96C7-1F66DFC42796}"/>
    <cellStyle name="Total 3 4 2" xfId="43456" xr:uid="{FDCA81A4-0CB4-457C-B2B1-AD224987D95E}"/>
    <cellStyle name="Total 3 4 3" xfId="43457" xr:uid="{BF6D8B5E-914A-4A4E-90EC-BD66BD91A9FC}"/>
    <cellStyle name="Total 3 4 4" xfId="43458" xr:uid="{8F50DD8F-9EF8-45C0-9524-EB0B52755A09}"/>
    <cellStyle name="Total 3 4 5" xfId="43459" xr:uid="{A28C0383-BAC3-4029-ADC2-3D9475DFF3E9}"/>
    <cellStyle name="Total 3 5" xfId="43460" xr:uid="{E60FF045-4F7C-4AA6-B299-A6DE9BD48656}"/>
    <cellStyle name="Total 3 6" xfId="43461" xr:uid="{62FACFEA-6963-40A5-81DC-A14110B9F471}"/>
    <cellStyle name="Total 3 7" xfId="43462" xr:uid="{723C2357-ED94-4349-B51B-21C0B5D6023A}"/>
    <cellStyle name="Total 3 8" xfId="43463" xr:uid="{544586CC-A5A2-4D1E-9620-8CA4FC833528}"/>
    <cellStyle name="Total 3 9" xfId="43464" xr:uid="{77C2FF2C-F2F9-4DAE-A371-288C7A4F8BC3}"/>
    <cellStyle name="Total 4" xfId="43465" xr:uid="{A742F26F-6917-442B-882C-E42C5446C8E9}"/>
    <cellStyle name="Total 4 2" xfId="43466" xr:uid="{77CBFC92-46DF-42BE-A936-608CD8D3234F}"/>
    <cellStyle name="Total 4 2 2" xfId="43467" xr:uid="{C86EE4E0-A2F8-46F0-AAB8-68055F3E4B42}"/>
    <cellStyle name="Total 4 2 3" xfId="43468" xr:uid="{E1D87D5D-613D-462A-8EA1-D4DB4EFF4796}"/>
    <cellStyle name="Total 4 2 4" xfId="43469" xr:uid="{C9906D15-4EB0-4B29-99F5-02E97970FDC7}"/>
    <cellStyle name="Total 4 2 5" xfId="43470" xr:uid="{7F015D48-9A99-4601-8FBF-2672D88F28A8}"/>
    <cellStyle name="Total 4 3" xfId="43471" xr:uid="{C601A9F3-7FDB-495F-807D-70952A08AF59}"/>
    <cellStyle name="Total 4 4" xfId="43472" xr:uid="{31A93052-6888-47BC-B2DD-9570D2473B69}"/>
    <cellStyle name="Total 4 5" xfId="43473" xr:uid="{38FF0ACA-C53E-4824-A32C-97C9BCFF931A}"/>
    <cellStyle name="Total 4 6" xfId="43474" xr:uid="{F5F95FC8-A928-4032-91F5-F8368019941B}"/>
    <cellStyle name="Total 4 7" xfId="43475" xr:uid="{1F7513EC-7884-48DC-8338-E58FE1F18376}"/>
    <cellStyle name="Total 4 8" xfId="43476" xr:uid="{98808920-6A35-4453-BE29-BF885F12CF66}"/>
    <cellStyle name="Total 4 9" xfId="43477" xr:uid="{06A17182-8D39-4FAA-A5E1-C544585F8C06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A4C517A-C797-4B49-9B4E-FB30FF5CCA1C}"/>
  </tableStyles>
  <colors>
    <mruColors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FA5865F0-046C-4B17-B704-4767F0E5002F}"/>
  <namedSheetView name="Vista 2" id="{B371755D-D520-4F44-B0CB-75F4F073AC44}"/>
  <namedSheetView name="Vista 3" id="{931B5FE2-7EB1-45C3-B41C-B00ED4EBE8E1}"/>
  <namedSheetView name="Vista 4" id="{AA4A5892-C11A-4AFE-82AD-8C6E5E56A1C0}"/>
  <namedSheetView name="Vista 5" id="{1BA9F8C5-5D7B-412F-BA58-0FEE14A62C55}"/>
  <namedSheetView name="Vista 6" id="{44FEF024-C42C-4477-896F-9A503BF96518}"/>
  <namedSheetView name="Vista 7" id="{33928E9C-16B7-4662-A76F-CDE0C7E09187}"/>
  <namedSheetView name="Vista 8" id="{19DE601D-5F70-47E0-9555-1C0C4A987994}"/>
  <namedSheetView name="Vista 9" id="{721167FB-8C78-4831-8B01-E176A4844D43}"/>
  <namedSheetView name="Vista 10" id="{DE9B7603-8D32-4659-84CB-CFADAF6E0AE2}"/>
  <namedSheetView name="Vista 11" id="{06D7E2B9-C319-4BCC-B40A-F1058CE1A40D}"/>
  <namedSheetView name="Vista 12" id="{F3E7FC5A-A6DD-4F54-9E7E-6ABF8D046FF4}"/>
  <namedSheetView name="Vista 13" id="{91F8F67F-1F84-47E2-B702-DDA6BACA137F}"/>
  <namedSheetView name="Vista 14" id="{EEA73B9B-EAA8-44D2-90B1-03C288C4DB50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0EB85BE-AC5C-4D0D-8359-E36646F2B11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0F45-5A9D-4924-A609-483B173B30F1}">
  <sheetPr filterMode="1">
    <tabColor theme="7" tint="0.79998168889431442"/>
  </sheetPr>
  <dimension ref="A1:J1228"/>
  <sheetViews>
    <sheetView showGridLines="0" zoomScale="115" zoomScaleNormal="115" workbookViewId="0">
      <pane ySplit="1" topLeftCell="A1202" activePane="bottomLeft" state="frozen"/>
      <selection pane="bottomLeft" activeCell="B1209" sqref="B1209"/>
      <selection activeCell="K6928" sqref="K5316:K6928"/>
    </sheetView>
  </sheetViews>
  <sheetFormatPr defaultColWidth="11.42578125" defaultRowHeight="14.45"/>
  <cols>
    <col min="1" max="1" width="6.140625" customWidth="1"/>
    <col min="2" max="2" width="8.5703125" customWidth="1"/>
    <col min="3" max="3" width="18.140625" customWidth="1"/>
    <col min="4" max="4" width="17.85546875" customWidth="1"/>
    <col min="5" max="5" width="18.140625" bestFit="1" customWidth="1"/>
    <col min="6" max="6" width="13.85546875" customWidth="1"/>
    <col min="7" max="7" width="15.42578125" customWidth="1"/>
    <col min="8" max="8" width="13.7109375" customWidth="1"/>
    <col min="9" max="9" width="12.85546875" customWidth="1"/>
    <col min="10" max="10" width="15.7109375" customWidth="1"/>
  </cols>
  <sheetData>
    <row r="1" spans="1:10" ht="57.9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</v>
      </c>
      <c r="I1" s="13" t="s">
        <v>7</v>
      </c>
      <c r="J1" s="13" t="s">
        <v>8</v>
      </c>
    </row>
    <row r="2" spans="1:10">
      <c r="A2" s="32">
        <v>7</v>
      </c>
      <c r="B2" s="33">
        <v>5613</v>
      </c>
      <c r="C2" s="3">
        <v>100000</v>
      </c>
      <c r="D2" s="3">
        <v>100000</v>
      </c>
      <c r="E2" s="31">
        <f t="shared" ref="E2:E48" si="0">+C2-D2</f>
        <v>0</v>
      </c>
      <c r="F2" s="5">
        <v>45965</v>
      </c>
      <c r="G2" s="4">
        <v>20251103</v>
      </c>
      <c r="H2" s="38" t="str">
        <f>VLOOKUP(B2,CAJEROS!B:D,3,0)</f>
        <v>Dispensador</v>
      </c>
      <c r="I2" s="34" t="s">
        <v>9</v>
      </c>
      <c r="J2" s="38" t="str">
        <f>VLOOKUP(B2,CAJEROS!B:E,4,0)</f>
        <v>SUC_MOLIN2</v>
      </c>
    </row>
    <row r="3" spans="1:10">
      <c r="A3" s="32">
        <v>60</v>
      </c>
      <c r="B3" s="33">
        <v>8719</v>
      </c>
      <c r="C3" s="3">
        <v>300000</v>
      </c>
      <c r="D3" s="3"/>
      <c r="E3" s="31">
        <f t="shared" si="0"/>
        <v>300000</v>
      </c>
      <c r="F3" s="5">
        <v>45965</v>
      </c>
      <c r="G3" s="4">
        <v>20251103</v>
      </c>
      <c r="H3" s="38" t="str">
        <f>VLOOKUP(B3,CAJEROS!B:D,3,0)</f>
        <v>Dispensador</v>
      </c>
      <c r="I3" s="34" t="s">
        <v>9</v>
      </c>
      <c r="J3" s="38" t="str">
        <f>VLOOKUP(B3,CAJEROS!B:E,4,0)</f>
        <v>HALLCALIPR1</v>
      </c>
    </row>
    <row r="4" spans="1:10">
      <c r="A4" s="32">
        <v>60</v>
      </c>
      <c r="B4" s="33">
        <v>8721</v>
      </c>
      <c r="C4" s="3">
        <v>200000</v>
      </c>
      <c r="D4" s="3"/>
      <c r="E4" s="31">
        <f t="shared" si="0"/>
        <v>200000</v>
      </c>
      <c r="F4" s="5">
        <v>45965</v>
      </c>
      <c r="G4" s="4">
        <v>20251103</v>
      </c>
      <c r="H4" s="38" t="str">
        <f>VLOOKUP(B4,CAJEROS!B:D,3,0)</f>
        <v>Dispensador</v>
      </c>
      <c r="I4" s="34" t="s">
        <v>9</v>
      </c>
      <c r="J4" s="38" t="str">
        <f>VLOOKUP(B4,CAJEROS!B:E,4,0)</f>
        <v>HALLCALIPR3</v>
      </c>
    </row>
    <row r="5" spans="1:10">
      <c r="A5" s="32">
        <v>60</v>
      </c>
      <c r="B5" s="33">
        <v>8725</v>
      </c>
      <c r="C5" s="3">
        <v>200000</v>
      </c>
      <c r="D5" s="3"/>
      <c r="E5" s="31">
        <f t="shared" si="0"/>
        <v>200000</v>
      </c>
      <c r="F5" s="5">
        <v>45965</v>
      </c>
      <c r="G5" s="4">
        <v>20251103</v>
      </c>
      <c r="H5" s="38" t="str">
        <f>VLOOKUP(B5,CAJEROS!B:D,3,0)</f>
        <v>Dispensador</v>
      </c>
      <c r="I5" s="34" t="s">
        <v>9</v>
      </c>
      <c r="J5" s="38" t="str">
        <f>VLOOKUP(B5,CAJEROS!B:E,4,0)</f>
        <v>HALLCALIPR7</v>
      </c>
    </row>
    <row r="6" spans="1:10">
      <c r="A6" s="32">
        <v>78</v>
      </c>
      <c r="B6" s="33">
        <v>8593</v>
      </c>
      <c r="C6" s="3">
        <v>100000</v>
      </c>
      <c r="D6" s="3"/>
      <c r="E6" s="31">
        <f t="shared" si="0"/>
        <v>100000</v>
      </c>
      <c r="F6" s="5">
        <v>45965</v>
      </c>
      <c r="G6" s="4">
        <v>20251103</v>
      </c>
      <c r="H6" s="38" t="str">
        <f>VLOOKUP(B6,CAJEROS!B:D,3,0)</f>
        <v>Dispensador</v>
      </c>
      <c r="I6" s="34" t="s">
        <v>9</v>
      </c>
      <c r="J6" s="38" t="str">
        <f>VLOOKUP(B6,CAJEROS!B:E,4,0)</f>
        <v>HALLCACIQ4</v>
      </c>
    </row>
    <row r="7" spans="1:10">
      <c r="A7" s="32">
        <v>101</v>
      </c>
      <c r="B7" s="33">
        <v>4867</v>
      </c>
      <c r="C7" s="3">
        <v>50000</v>
      </c>
      <c r="D7" s="3"/>
      <c r="E7" s="31">
        <f t="shared" si="0"/>
        <v>50000</v>
      </c>
      <c r="F7" s="5">
        <v>45965</v>
      </c>
      <c r="G7" s="4">
        <v>20251103</v>
      </c>
      <c r="H7" s="38" t="str">
        <f>VLOOKUP(B7,CAJEROS!B:D,3,0)</f>
        <v>Dispensador</v>
      </c>
      <c r="I7" s="34" t="s">
        <v>9</v>
      </c>
      <c r="J7" s="38" t="str">
        <f>VLOOKUP(B7,CAJEROS!B:E,4,0)</f>
        <v>SUC_MDRIVE3</v>
      </c>
    </row>
    <row r="8" spans="1:10">
      <c r="A8" s="32">
        <v>153</v>
      </c>
      <c r="B8" s="33">
        <v>9881</v>
      </c>
      <c r="C8" s="3">
        <v>1010000</v>
      </c>
      <c r="D8" s="3">
        <v>910000</v>
      </c>
      <c r="E8" s="31">
        <f t="shared" si="0"/>
        <v>100000</v>
      </c>
      <c r="F8" s="5">
        <v>45965</v>
      </c>
      <c r="G8" s="4">
        <v>20251103</v>
      </c>
      <c r="H8" s="38" t="str">
        <f>VLOOKUP(B8,CAJEROS!B:D,3,0)</f>
        <v>Dispensador</v>
      </c>
      <c r="I8" s="34" t="s">
        <v>9</v>
      </c>
      <c r="J8" s="38" t="str">
        <f>VLOOKUP(B8,CAJEROS!B:E,4,0)</f>
        <v>EXITOIBAG_3</v>
      </c>
    </row>
    <row r="9" spans="1:10">
      <c r="A9" s="32">
        <v>186</v>
      </c>
      <c r="B9" s="33">
        <v>6509</v>
      </c>
      <c r="C9" s="3">
        <v>450000</v>
      </c>
      <c r="D9" s="3">
        <v>260000</v>
      </c>
      <c r="E9" s="31">
        <f t="shared" si="0"/>
        <v>190000</v>
      </c>
      <c r="F9" s="5">
        <v>45965</v>
      </c>
      <c r="G9" s="4">
        <v>20251103</v>
      </c>
      <c r="H9" s="38" t="str">
        <f>VLOOKUP(B9,CAJEROS!B:D,3,0)</f>
        <v>Dispensador</v>
      </c>
      <c r="I9" s="34" t="s">
        <v>9</v>
      </c>
      <c r="J9" s="38" t="str">
        <f>VLOOKUP(B9,CAJEROS!B:E,4,0)</f>
        <v>SUC_GALERI2</v>
      </c>
    </row>
    <row r="10" spans="1:10">
      <c r="A10" s="32">
        <v>186</v>
      </c>
      <c r="B10" s="33">
        <v>6513</v>
      </c>
      <c r="C10" s="3">
        <v>310000</v>
      </c>
      <c r="D10" s="3"/>
      <c r="E10" s="31">
        <f t="shared" si="0"/>
        <v>310000</v>
      </c>
      <c r="F10" s="5">
        <v>45965</v>
      </c>
      <c r="G10" s="4">
        <v>20251103</v>
      </c>
      <c r="H10" s="38" t="str">
        <f>VLOOKUP(B10,CAJEROS!B:D,3,0)</f>
        <v>Dispensador</v>
      </c>
      <c r="I10" s="34" t="s">
        <v>9</v>
      </c>
      <c r="J10" s="38" t="str">
        <f>VLOOKUP(B10,CAJEROS!B:E,4,0)</f>
        <v>SUC_GALERI4</v>
      </c>
    </row>
    <row r="11" spans="1:10">
      <c r="A11" s="32">
        <v>186</v>
      </c>
      <c r="B11" s="33">
        <v>6514</v>
      </c>
      <c r="C11" s="3">
        <v>390000</v>
      </c>
      <c r="D11" s="3"/>
      <c r="E11" s="31">
        <f t="shared" si="0"/>
        <v>390000</v>
      </c>
      <c r="F11" s="5">
        <v>45965</v>
      </c>
      <c r="G11" s="4">
        <v>20251103</v>
      </c>
      <c r="H11" s="38" t="str">
        <f>VLOOKUP(B11,CAJEROS!B:D,3,0)</f>
        <v>Dispensador</v>
      </c>
      <c r="I11" s="34" t="s">
        <v>9</v>
      </c>
      <c r="J11" s="38" t="str">
        <f>VLOOKUP(B11,CAJEROS!B:E,4,0)</f>
        <v>SUC_GALERI5</v>
      </c>
    </row>
    <row r="12" spans="1:10">
      <c r="A12" s="32">
        <v>225</v>
      </c>
      <c r="B12" s="33">
        <v>8866</v>
      </c>
      <c r="C12" s="3">
        <v>190000</v>
      </c>
      <c r="D12" s="3"/>
      <c r="E12" s="31">
        <f t="shared" si="0"/>
        <v>190000</v>
      </c>
      <c r="F12" s="5">
        <v>45965</v>
      </c>
      <c r="G12" s="4">
        <v>20251103</v>
      </c>
      <c r="H12" s="38" t="str">
        <f>VLOOKUP(B12,CAJEROS!B:D,3,0)</f>
        <v>Dispensador</v>
      </c>
      <c r="I12" s="34" t="s">
        <v>9</v>
      </c>
      <c r="J12" s="38" t="str">
        <f>VLOOKUP(B12,CAJEROS!B:E,4,0)</f>
        <v>SMALPLANQS4</v>
      </c>
    </row>
    <row r="13" spans="1:10">
      <c r="A13" s="32">
        <v>229</v>
      </c>
      <c r="B13" s="33">
        <v>8957</v>
      </c>
      <c r="C13" s="3">
        <v>120000</v>
      </c>
      <c r="D13" s="3"/>
      <c r="E13" s="31">
        <f t="shared" si="0"/>
        <v>120000</v>
      </c>
      <c r="F13" s="5">
        <v>45965</v>
      </c>
      <c r="G13" s="4">
        <v>20251103</v>
      </c>
      <c r="H13" s="38" t="str">
        <f>VLOOKUP(B13,CAJEROS!B:D,3,0)</f>
        <v>Dispensador</v>
      </c>
      <c r="I13" s="34" t="s">
        <v>9</v>
      </c>
      <c r="J13" s="38" t="str">
        <f>VLOOKUP(B13,CAJEROS!B:E,4,0)</f>
        <v>SUCPASERIO3</v>
      </c>
    </row>
    <row r="14" spans="1:10">
      <c r="A14" s="32">
        <v>240</v>
      </c>
      <c r="B14" s="33">
        <v>4510</v>
      </c>
      <c r="C14" s="3">
        <v>150000</v>
      </c>
      <c r="D14" s="3"/>
      <c r="E14" s="31">
        <f t="shared" si="0"/>
        <v>150000</v>
      </c>
      <c r="F14" s="5">
        <v>45965</v>
      </c>
      <c r="G14" s="4">
        <v>20251103</v>
      </c>
      <c r="H14" s="38" t="str">
        <f>VLOOKUP(B14,CAJEROS!B:D,3,0)</f>
        <v>Dispensador</v>
      </c>
      <c r="I14" s="34" t="s">
        <v>9</v>
      </c>
      <c r="J14" s="38" t="str">
        <f>VLOOKUP(B14,CAJEROS!B:E,4,0)</f>
        <v>SUC_SANTFE1</v>
      </c>
    </row>
    <row r="15" spans="1:10">
      <c r="A15" s="32">
        <v>240</v>
      </c>
      <c r="B15" s="33">
        <v>6372</v>
      </c>
      <c r="C15" s="3">
        <v>100000</v>
      </c>
      <c r="D15" s="3"/>
      <c r="E15" s="31">
        <f t="shared" si="0"/>
        <v>100000</v>
      </c>
      <c r="F15" s="5">
        <v>45965</v>
      </c>
      <c r="G15" s="4">
        <v>20251103</v>
      </c>
      <c r="H15" s="38" t="str">
        <f>VLOOKUP(B15,CAJEROS!B:D,3,0)</f>
        <v>Dispensador</v>
      </c>
      <c r="I15" s="34" t="s">
        <v>9</v>
      </c>
      <c r="J15" s="38" t="str">
        <f>VLOOKUP(B15,CAJEROS!B:E,4,0)</f>
        <v>STAFEANTI_2</v>
      </c>
    </row>
    <row r="16" spans="1:10">
      <c r="A16" s="32">
        <v>289</v>
      </c>
      <c r="B16" s="33">
        <v>4593</v>
      </c>
      <c r="C16" s="3">
        <v>1900000</v>
      </c>
      <c r="D16" s="3">
        <v>1230000</v>
      </c>
      <c r="E16" s="31">
        <f t="shared" si="0"/>
        <v>670000</v>
      </c>
      <c r="F16" s="5">
        <v>45965</v>
      </c>
      <c r="G16" s="4">
        <v>20251103</v>
      </c>
      <c r="H16" s="38" t="str">
        <f>VLOOKUP(B16,CAJEROS!B:D,3,0)</f>
        <v>Dispensador</v>
      </c>
      <c r="I16" s="34" t="s">
        <v>9</v>
      </c>
      <c r="J16" s="38" t="str">
        <f>VLOOKUP(B16,CAJEROS!B:E,4,0)</f>
        <v>SUC_PGAIT3</v>
      </c>
    </row>
    <row r="17" spans="1:10">
      <c r="A17" s="32">
        <v>289</v>
      </c>
      <c r="B17" s="33">
        <v>8225</v>
      </c>
      <c r="C17" s="3">
        <v>580000</v>
      </c>
      <c r="D17" s="3">
        <f>300000+240000</f>
        <v>540000</v>
      </c>
      <c r="E17" s="31">
        <f t="shared" si="0"/>
        <v>40000</v>
      </c>
      <c r="F17" s="5">
        <v>45965</v>
      </c>
      <c r="G17" s="4">
        <v>20251103</v>
      </c>
      <c r="H17" s="38" t="str">
        <f>VLOOKUP(B17,CAJEROS!B:D,3,0)</f>
        <v>Dispensador</v>
      </c>
      <c r="I17" s="34" t="s">
        <v>9</v>
      </c>
      <c r="J17" s="38" t="str">
        <f>VLOOKUP(B17,CAJEROS!B:E,4,0)</f>
        <v>PUERTO_GAI4</v>
      </c>
    </row>
    <row r="18" spans="1:10">
      <c r="A18" s="32">
        <v>291</v>
      </c>
      <c r="B18" s="33">
        <v>4410</v>
      </c>
      <c r="C18" s="3">
        <v>5440000</v>
      </c>
      <c r="D18" s="3">
        <v>5200000</v>
      </c>
      <c r="E18" s="31">
        <f t="shared" si="0"/>
        <v>240000</v>
      </c>
      <c r="F18" s="5">
        <v>45965</v>
      </c>
      <c r="G18" s="4">
        <v>20251103</v>
      </c>
      <c r="H18" s="38" t="str">
        <f>VLOOKUP(B18,CAJEROS!B:D,3,0)</f>
        <v>Dispensador</v>
      </c>
      <c r="I18" s="34" t="s">
        <v>9</v>
      </c>
      <c r="J18" s="38" t="str">
        <f>VLOOKUP(B18,CAJEROS!B:E,4,0)</f>
        <v>SUC_PALMAS2</v>
      </c>
    </row>
    <row r="19" spans="1:10">
      <c r="A19" s="32">
        <v>317</v>
      </c>
      <c r="B19" s="33">
        <v>9730</v>
      </c>
      <c r="C19" s="3">
        <v>30000</v>
      </c>
      <c r="D19" s="3"/>
      <c r="E19" s="31">
        <f t="shared" si="0"/>
        <v>30000</v>
      </c>
      <c r="F19" s="5">
        <v>45965</v>
      </c>
      <c r="G19" s="4">
        <v>20251103</v>
      </c>
      <c r="H19" s="38" t="str">
        <f>VLOOKUP(B19,CAJEROS!B:D,3,0)</f>
        <v>Dispensador</v>
      </c>
      <c r="I19" s="34" t="s">
        <v>9</v>
      </c>
      <c r="J19" s="38" t="str">
        <f>VLOOKUP(B19,CAJEROS!B:E,4,0)</f>
        <v>SUCARAUCA_5</v>
      </c>
    </row>
    <row r="20" spans="1:10">
      <c r="A20" s="32">
        <v>322</v>
      </c>
      <c r="B20" s="33">
        <v>2441</v>
      </c>
      <c r="C20" s="3">
        <v>1210000</v>
      </c>
      <c r="D20" s="3">
        <v>1200000</v>
      </c>
      <c r="E20" s="31">
        <f t="shared" si="0"/>
        <v>10000</v>
      </c>
      <c r="F20" s="5">
        <v>45965</v>
      </c>
      <c r="G20" s="4">
        <v>20251103</v>
      </c>
      <c r="H20" s="38" t="str">
        <f>VLOOKUP(B20,CAJEROS!B:D,3,0)</f>
        <v>Dispensador</v>
      </c>
      <c r="I20" s="34" t="s">
        <v>9</v>
      </c>
      <c r="J20" s="38" t="str">
        <f>VLOOKUP(B20,CAJEROS!B:E,4,0)</f>
        <v>SUCSANGIL1</v>
      </c>
    </row>
    <row r="21" spans="1:10">
      <c r="A21" s="32">
        <v>372</v>
      </c>
      <c r="B21" s="33">
        <v>7917</v>
      </c>
      <c r="C21" s="3">
        <v>40000</v>
      </c>
      <c r="D21" s="3">
        <v>30000</v>
      </c>
      <c r="E21" s="31">
        <f t="shared" si="0"/>
        <v>10000</v>
      </c>
      <c r="F21" s="5">
        <v>45965</v>
      </c>
      <c r="G21" s="4">
        <v>20251103</v>
      </c>
      <c r="H21" s="38" t="str">
        <f>VLOOKUP(B21,CAJEROS!B:D,3,0)</f>
        <v>Dispensador</v>
      </c>
      <c r="I21" s="34" t="s">
        <v>9</v>
      </c>
      <c r="J21" s="38" t="str">
        <f>VLOOKUP(B21,CAJEROS!B:E,4,0)</f>
        <v>SUCFACATA_3</v>
      </c>
    </row>
    <row r="22" spans="1:10">
      <c r="A22" s="32">
        <v>376</v>
      </c>
      <c r="B22" s="33">
        <v>2854</v>
      </c>
      <c r="C22" s="3">
        <v>200000</v>
      </c>
      <c r="D22" s="3">
        <v>190000</v>
      </c>
      <c r="E22" s="31">
        <f t="shared" si="0"/>
        <v>10000</v>
      </c>
      <c r="F22" s="5">
        <v>45965</v>
      </c>
      <c r="G22" s="4">
        <v>20251103</v>
      </c>
      <c r="H22" s="38" t="str">
        <f>VLOOKUP(B22,CAJEROS!B:D,3,0)</f>
        <v>Dispensador</v>
      </c>
      <c r="I22" s="34" t="s">
        <v>9</v>
      </c>
      <c r="J22" s="38" t="str">
        <f>VLOOKUP(B22,CAJEROS!B:E,4,0)</f>
        <v>_FREDONIA_</v>
      </c>
    </row>
    <row r="23" spans="1:10">
      <c r="A23" s="32">
        <v>389</v>
      </c>
      <c r="B23" s="33">
        <v>4689</v>
      </c>
      <c r="C23" s="3">
        <v>550000</v>
      </c>
      <c r="D23" s="3"/>
      <c r="E23" s="31">
        <f t="shared" si="0"/>
        <v>550000</v>
      </c>
      <c r="F23" s="5">
        <v>45965</v>
      </c>
      <c r="G23" s="4">
        <v>20251103</v>
      </c>
      <c r="H23" s="38" t="str">
        <f>VLOOKUP(B23,CAJEROS!B:D,3,0)</f>
        <v>Dispensador</v>
      </c>
      <c r="I23" s="34" t="s">
        <v>9</v>
      </c>
      <c r="J23" s="38" t="str">
        <f>VLOOKUP(B23,CAJEROS!B:E,4,0)</f>
        <v>SUC_MARIQ3</v>
      </c>
    </row>
    <row r="24" spans="1:10">
      <c r="A24" s="32">
        <v>389</v>
      </c>
      <c r="B24" s="33">
        <v>4690</v>
      </c>
      <c r="C24" s="3">
        <v>1030000</v>
      </c>
      <c r="D24" s="3"/>
      <c r="E24" s="31">
        <f t="shared" si="0"/>
        <v>1030000</v>
      </c>
      <c r="F24" s="5">
        <v>45965</v>
      </c>
      <c r="G24" s="4">
        <v>20251103</v>
      </c>
      <c r="H24" s="38" t="str">
        <f>VLOOKUP(B24,CAJEROS!B:D,3,0)</f>
        <v>Dispensador</v>
      </c>
      <c r="I24" s="34" t="s">
        <v>9</v>
      </c>
      <c r="J24" s="38" t="str">
        <f>VLOOKUP(B24,CAJEROS!B:E,4,0)</f>
        <v>SUC_MARIQ4</v>
      </c>
    </row>
    <row r="25" spans="1:10">
      <c r="A25" s="32">
        <v>398</v>
      </c>
      <c r="B25" s="33">
        <v>9562</v>
      </c>
      <c r="C25" s="3">
        <v>1240000</v>
      </c>
      <c r="D25" s="3">
        <v>1240000</v>
      </c>
      <c r="E25" s="31">
        <f t="shared" si="0"/>
        <v>0</v>
      </c>
      <c r="F25" s="5">
        <v>45965</v>
      </c>
      <c r="G25" s="4">
        <v>20251103</v>
      </c>
      <c r="H25" s="38" t="str">
        <f>VLOOKUP(B25,CAJEROS!B:D,3,0)</f>
        <v>Dispensador</v>
      </c>
      <c r="I25" s="34" t="s">
        <v>9</v>
      </c>
      <c r="J25" s="38" t="str">
        <f>VLOOKUP(B25,CAJEROS!B:E,4,0)</f>
        <v>SUC_CHINU2</v>
      </c>
    </row>
    <row r="26" spans="1:10">
      <c r="A26" s="32">
        <v>404</v>
      </c>
      <c r="B26" s="33">
        <v>5873</v>
      </c>
      <c r="C26" s="3">
        <v>320000</v>
      </c>
      <c r="D26" s="3"/>
      <c r="E26" s="31">
        <f t="shared" si="0"/>
        <v>320000</v>
      </c>
      <c r="F26" s="5">
        <v>45965</v>
      </c>
      <c r="G26" s="4">
        <v>20251103</v>
      </c>
      <c r="H26" s="38" t="str">
        <f>VLOOKUP(B26,CAJEROS!B:D,3,0)</f>
        <v>Dispensador</v>
      </c>
      <c r="I26" s="34" t="s">
        <v>9</v>
      </c>
      <c r="J26" s="38" t="str">
        <f>VLOOKUP(B26,CAJEROS!B:E,4,0)</f>
        <v>JARDIN_2</v>
      </c>
    </row>
    <row r="27" spans="1:10">
      <c r="A27" s="32">
        <v>422</v>
      </c>
      <c r="B27" s="33">
        <v>4221</v>
      </c>
      <c r="C27" s="3">
        <v>150000</v>
      </c>
      <c r="D27" s="3"/>
      <c r="E27" s="31">
        <f t="shared" si="0"/>
        <v>150000</v>
      </c>
      <c r="F27" s="5">
        <v>45965</v>
      </c>
      <c r="G27" s="4">
        <v>20251103</v>
      </c>
      <c r="H27" s="38" t="str">
        <f>VLOOKUP(B27,CAJEROS!B:D,3,0)</f>
        <v>Dispensador</v>
      </c>
      <c r="I27" s="34" t="s">
        <v>9</v>
      </c>
      <c r="J27" s="38" t="str">
        <f>VLOOKUP(B27,CAJEROS!B:E,4,0)</f>
        <v>CHAPARRAL</v>
      </c>
    </row>
    <row r="28" spans="1:10">
      <c r="A28" s="32">
        <v>451</v>
      </c>
      <c r="B28" s="33">
        <v>4967</v>
      </c>
      <c r="C28" s="3">
        <v>240000</v>
      </c>
      <c r="D28" s="3"/>
      <c r="E28" s="31">
        <f t="shared" si="0"/>
        <v>240000</v>
      </c>
      <c r="F28" s="5">
        <v>45965</v>
      </c>
      <c r="G28" s="4">
        <v>20251103</v>
      </c>
      <c r="H28" s="38" t="str">
        <f>VLOOKUP(B28,CAJEROS!B:D,3,0)</f>
        <v>Dispensador</v>
      </c>
      <c r="I28" s="34" t="s">
        <v>9</v>
      </c>
      <c r="J28" s="38" t="str">
        <f>VLOOKUP(B28,CAJEROS!B:E,4,0)</f>
        <v>SUCPTOASIS2</v>
      </c>
    </row>
    <row r="29" spans="1:10">
      <c r="A29" s="32">
        <v>484</v>
      </c>
      <c r="B29" s="33">
        <v>3268</v>
      </c>
      <c r="C29" s="3">
        <v>200000</v>
      </c>
      <c r="D29" s="3"/>
      <c r="E29" s="31">
        <f t="shared" si="0"/>
        <v>200000</v>
      </c>
      <c r="F29" s="5">
        <v>45965</v>
      </c>
      <c r="G29" s="4">
        <v>20251103</v>
      </c>
      <c r="H29" s="38" t="str">
        <f>VLOOKUP(B29,CAJEROS!B:D,3,0)</f>
        <v>Dispensador</v>
      </c>
      <c r="I29" s="34" t="s">
        <v>9</v>
      </c>
      <c r="J29" s="38" t="str">
        <f>VLOOKUP(B29,CAJEROS!B:E,4,0)</f>
        <v>MAGANGUE_3</v>
      </c>
    </row>
    <row r="30" spans="1:10">
      <c r="A30" s="32">
        <v>492</v>
      </c>
      <c r="B30" s="33">
        <v>6238</v>
      </c>
      <c r="C30" s="3">
        <v>100000</v>
      </c>
      <c r="D30" s="3">
        <v>80000</v>
      </c>
      <c r="E30" s="31">
        <f t="shared" si="0"/>
        <v>20000</v>
      </c>
      <c r="F30" s="5">
        <v>45965</v>
      </c>
      <c r="G30" s="4">
        <v>20251103</v>
      </c>
      <c r="H30" s="38" t="str">
        <f>VLOOKUP(B30,CAJEROS!B:D,3,0)</f>
        <v>Dispensador</v>
      </c>
      <c r="I30" s="34" t="s">
        <v>9</v>
      </c>
      <c r="J30" s="38" t="str">
        <f>VLOOKUP(B30,CAJEROS!B:E,4,0)</f>
        <v>SUCGARAGOA</v>
      </c>
    </row>
    <row r="31" spans="1:10">
      <c r="A31" s="32">
        <v>499</v>
      </c>
      <c r="B31" s="33">
        <v>9808</v>
      </c>
      <c r="C31" s="3">
        <v>1600000</v>
      </c>
      <c r="D31" s="3"/>
      <c r="E31" s="31">
        <f t="shared" si="0"/>
        <v>1600000</v>
      </c>
      <c r="F31" s="5">
        <v>45965</v>
      </c>
      <c r="G31" s="4">
        <v>20251103</v>
      </c>
      <c r="H31" s="38" t="str">
        <f>VLOOKUP(B31,CAJEROS!B:D,3,0)</f>
        <v>Dispensador</v>
      </c>
      <c r="I31" s="34" t="s">
        <v>9</v>
      </c>
      <c r="J31" s="38" t="str">
        <f>VLOOKUP(B31,CAJEROS!B:E,4,0)</f>
        <v>SUCPARFAB10</v>
      </c>
    </row>
    <row r="32" spans="1:10">
      <c r="A32" s="32">
        <v>502</v>
      </c>
      <c r="B32" s="33">
        <v>4626</v>
      </c>
      <c r="C32" s="3">
        <v>290000</v>
      </c>
      <c r="D32" s="3">
        <v>240000</v>
      </c>
      <c r="E32" s="31">
        <f t="shared" si="0"/>
        <v>50000</v>
      </c>
      <c r="F32" s="5">
        <v>45965</v>
      </c>
      <c r="G32" s="4">
        <v>20251103</v>
      </c>
      <c r="H32" s="38" t="str">
        <f>VLOOKUP(B32,CAJEROS!B:D,3,0)</f>
        <v>Dispensador</v>
      </c>
      <c r="I32" s="34" t="s">
        <v>9</v>
      </c>
      <c r="J32" s="38" t="str">
        <f>VLOOKUP(B32,CAJEROS!B:E,4,0)</f>
        <v>SUC_LEYVA2</v>
      </c>
    </row>
    <row r="33" spans="1:10">
      <c r="A33" s="32">
        <v>503</v>
      </c>
      <c r="B33" s="33">
        <v>5032</v>
      </c>
      <c r="C33" s="3">
        <v>100000</v>
      </c>
      <c r="D33" s="3"/>
      <c r="E33" s="31">
        <f t="shared" si="0"/>
        <v>100000</v>
      </c>
      <c r="F33" s="5">
        <v>45965</v>
      </c>
      <c r="G33" s="4">
        <v>20251103</v>
      </c>
      <c r="H33" s="38" t="str">
        <f>VLOOKUP(B33,CAJEROS!B:D,3,0)</f>
        <v>Dispensador</v>
      </c>
      <c r="I33" s="34" t="s">
        <v>9</v>
      </c>
      <c r="J33" s="38" t="str">
        <f>VLOOKUP(B33,CAJEROS!B:E,4,0)</f>
        <v>YARUMAL2</v>
      </c>
    </row>
    <row r="34" spans="1:10">
      <c r="A34" s="32">
        <v>522</v>
      </c>
      <c r="B34" s="33">
        <v>4590</v>
      </c>
      <c r="C34" s="3">
        <v>1120000</v>
      </c>
      <c r="D34" s="3">
        <v>1100000</v>
      </c>
      <c r="E34" s="31">
        <f t="shared" si="0"/>
        <v>20000</v>
      </c>
      <c r="F34" s="5">
        <v>45965</v>
      </c>
      <c r="G34" s="4">
        <v>20251103</v>
      </c>
      <c r="H34" s="38" t="str">
        <f>VLOOKUP(B34,CAJEROS!B:D,3,0)</f>
        <v>Dispensador</v>
      </c>
      <c r="I34" s="34" t="s">
        <v>9</v>
      </c>
      <c r="J34" s="38" t="str">
        <f>VLOOKUP(B34,CAJEROS!B:E,4,0)</f>
        <v>SUC_PUERTC1</v>
      </c>
    </row>
    <row r="35" spans="1:10">
      <c r="A35" s="32">
        <v>523</v>
      </c>
      <c r="B35" s="33">
        <v>3997</v>
      </c>
      <c r="C35" s="3">
        <v>280000</v>
      </c>
      <c r="D35" s="3"/>
      <c r="E35" s="31">
        <f t="shared" si="0"/>
        <v>280000</v>
      </c>
      <c r="F35" s="5">
        <v>45965</v>
      </c>
      <c r="G35" s="4">
        <v>20251103</v>
      </c>
      <c r="H35" s="38" t="str">
        <f>VLOOKUP(B35,CAJEROS!B:D,3,0)</f>
        <v>Dispensador</v>
      </c>
      <c r="I35" s="34" t="s">
        <v>9</v>
      </c>
      <c r="J35" s="38" t="str">
        <f>VLOOKUP(B35,CAJEROS!B:E,4,0)</f>
        <v>SUC_OVALLE3</v>
      </c>
    </row>
    <row r="36" spans="1:10">
      <c r="A36" s="32">
        <v>536</v>
      </c>
      <c r="B36" s="33">
        <v>8993</v>
      </c>
      <c r="C36" s="3">
        <v>290000</v>
      </c>
      <c r="D36" s="3"/>
      <c r="E36" s="31">
        <f t="shared" si="0"/>
        <v>290000</v>
      </c>
      <c r="F36" s="5">
        <v>45965</v>
      </c>
      <c r="G36" s="4">
        <v>20251103</v>
      </c>
      <c r="H36" s="38" t="str">
        <f>VLOOKUP(B36,CAJEROS!B:D,3,0)</f>
        <v>Dispensador</v>
      </c>
      <c r="I36" s="34" t="s">
        <v>9</v>
      </c>
      <c r="J36" s="38" t="str">
        <f>VLOOKUP(B36,CAJEROS!B:E,4,0)</f>
        <v>SUC_QUIBDO8</v>
      </c>
    </row>
    <row r="37" spans="1:10">
      <c r="A37" s="32">
        <v>555</v>
      </c>
      <c r="B37" s="33">
        <v>7265</v>
      </c>
      <c r="C37" s="3">
        <v>1340000</v>
      </c>
      <c r="D37" s="3">
        <v>700000</v>
      </c>
      <c r="E37" s="31">
        <f t="shared" si="0"/>
        <v>640000</v>
      </c>
      <c r="F37" s="5">
        <v>45965</v>
      </c>
      <c r="G37" s="4">
        <v>20251103</v>
      </c>
      <c r="H37" s="38" t="str">
        <f>VLOOKUP(B37,CAJEROS!B:D,3,0)</f>
        <v>Dispensador</v>
      </c>
      <c r="I37" s="34" t="s">
        <v>9</v>
      </c>
      <c r="J37" s="38" t="str">
        <f>VLOOKUP(B37,CAJEROS!B:E,4,0)</f>
        <v>SUC_BARSAN1</v>
      </c>
    </row>
    <row r="38" spans="1:10">
      <c r="A38" s="32">
        <v>584</v>
      </c>
      <c r="B38" s="33">
        <v>3068</v>
      </c>
      <c r="C38" s="3">
        <v>100000</v>
      </c>
      <c r="D38" s="3"/>
      <c r="E38" s="31">
        <f t="shared" si="0"/>
        <v>100000</v>
      </c>
      <c r="F38" s="5">
        <v>45965</v>
      </c>
      <c r="G38" s="4">
        <v>20251103</v>
      </c>
      <c r="H38" s="38" t="str">
        <f>VLOOKUP(B38,CAJEROS!B:D,3,0)</f>
        <v>Dispensador</v>
      </c>
      <c r="I38" s="34" t="s">
        <v>9</v>
      </c>
      <c r="J38" s="38" t="str">
        <f>VLOOKUP(B38,CAJEROS!B:E,4,0)</f>
        <v>HALLCHIGOR3</v>
      </c>
    </row>
    <row r="39" spans="1:10">
      <c r="A39" s="32">
        <v>584</v>
      </c>
      <c r="B39" s="33">
        <v>6874</v>
      </c>
      <c r="C39" s="3">
        <v>200000</v>
      </c>
      <c r="D39" s="3"/>
      <c r="E39" s="31">
        <f t="shared" si="0"/>
        <v>200000</v>
      </c>
      <c r="F39" s="5">
        <v>45965</v>
      </c>
      <c r="G39" s="4">
        <v>20251103</v>
      </c>
      <c r="H39" s="38" t="str">
        <f>VLOOKUP(B39,CAJEROS!B:D,3,0)</f>
        <v>Dispensador</v>
      </c>
      <c r="I39" s="34" t="s">
        <v>9</v>
      </c>
      <c r="J39" s="38" t="str">
        <f>VLOOKUP(B39,CAJEROS!B:E,4,0)</f>
        <v>HALLCHIGOR2</v>
      </c>
    </row>
    <row r="40" spans="1:10">
      <c r="A40" s="32">
        <v>631</v>
      </c>
      <c r="B40" s="33">
        <v>2617</v>
      </c>
      <c r="C40" s="3">
        <v>50000</v>
      </c>
      <c r="D40" s="3"/>
      <c r="E40" s="31">
        <f t="shared" si="0"/>
        <v>50000</v>
      </c>
      <c r="F40" s="5">
        <v>45965</v>
      </c>
      <c r="G40" s="4">
        <v>20251103</v>
      </c>
      <c r="H40" s="38" t="str">
        <f>VLOOKUP(B40,CAJEROS!B:D,3,0)</f>
        <v>Dispensador</v>
      </c>
      <c r="I40" s="34" t="s">
        <v>9</v>
      </c>
      <c r="J40" s="38" t="str">
        <f>VLOOKUP(B40,CAJEROS!B:E,4,0)</f>
        <v>SUCURIBIA_3</v>
      </c>
    </row>
    <row r="41" spans="1:10">
      <c r="A41" s="32">
        <v>658</v>
      </c>
      <c r="B41" s="33">
        <v>6228</v>
      </c>
      <c r="C41" s="3">
        <v>90000</v>
      </c>
      <c r="D41" s="3"/>
      <c r="E41" s="31">
        <f t="shared" si="0"/>
        <v>90000</v>
      </c>
      <c r="F41" s="5">
        <v>45965</v>
      </c>
      <c r="G41" s="4">
        <v>20251103</v>
      </c>
      <c r="H41" s="38" t="str">
        <f>VLOOKUP(B41,CAJEROS!B:D,3,0)</f>
        <v>Dispensador</v>
      </c>
      <c r="I41" s="34" t="s">
        <v>9</v>
      </c>
      <c r="J41" s="38" t="str">
        <f>VLOOKUP(B41,CAJEROS!B:E,4,0)</f>
        <v>SUCBELLASU1</v>
      </c>
    </row>
    <row r="42" spans="1:10">
      <c r="A42" s="32">
        <v>705</v>
      </c>
      <c r="B42" s="33">
        <v>4152</v>
      </c>
      <c r="C42" s="3">
        <v>290000</v>
      </c>
      <c r="D42" s="3">
        <f>130000+160000</f>
        <v>290000</v>
      </c>
      <c r="E42" s="31">
        <f t="shared" si="0"/>
        <v>0</v>
      </c>
      <c r="F42" s="5">
        <v>45965</v>
      </c>
      <c r="G42" s="4">
        <v>20251103</v>
      </c>
      <c r="H42" s="38" t="str">
        <f>VLOOKUP(B42,CAJEROS!B:D,3,0)</f>
        <v>Dispensador</v>
      </c>
      <c r="I42" s="34" t="s">
        <v>9</v>
      </c>
      <c r="J42" s="38" t="str">
        <f>VLOOKUP(B42,CAJEROS!B:E,4,0)</f>
        <v>SUC_BAGRE2</v>
      </c>
    </row>
    <row r="43" spans="1:10">
      <c r="A43" s="32">
        <v>732</v>
      </c>
      <c r="B43" s="33">
        <v>6966</v>
      </c>
      <c r="C43" s="3">
        <v>130000</v>
      </c>
      <c r="D43" s="3">
        <v>100000</v>
      </c>
      <c r="E43" s="31">
        <f t="shared" si="0"/>
        <v>30000</v>
      </c>
      <c r="F43" s="5">
        <v>45965</v>
      </c>
      <c r="G43" s="4">
        <v>20251103</v>
      </c>
      <c r="H43" s="38" t="str">
        <f>VLOOKUP(B43,CAJEROS!B:D,3,0)</f>
        <v>Dispensador</v>
      </c>
      <c r="I43" s="34" t="s">
        <v>9</v>
      </c>
      <c r="J43" s="38" t="str">
        <f>VLOOKUP(B43,CAJEROS!B:E,4,0)</f>
        <v>ROLDANIL_2</v>
      </c>
    </row>
    <row r="44" spans="1:10">
      <c r="A44" s="32">
        <v>799</v>
      </c>
      <c r="B44" s="33">
        <v>8187</v>
      </c>
      <c r="C44" s="3">
        <v>510000</v>
      </c>
      <c r="D44" s="3">
        <v>10000</v>
      </c>
      <c r="E44" s="31">
        <f t="shared" si="0"/>
        <v>500000</v>
      </c>
      <c r="F44" s="5">
        <v>45965</v>
      </c>
      <c r="G44" s="4">
        <v>20251103</v>
      </c>
      <c r="H44" s="38" t="str">
        <f>VLOOKUP(B44,CAJEROS!B:D,3,0)</f>
        <v>Dispensador</v>
      </c>
      <c r="I44" s="34" t="s">
        <v>9</v>
      </c>
      <c r="J44" s="38" t="str">
        <f>VLOOKUP(B44,CAJEROS!B:E,4,0)</f>
        <v>SUC_FLORBL4</v>
      </c>
    </row>
    <row r="45" spans="1:10">
      <c r="A45" s="32">
        <v>864</v>
      </c>
      <c r="B45" s="33">
        <v>5377</v>
      </c>
      <c r="C45" s="3">
        <v>1080000</v>
      </c>
      <c r="D45" s="3"/>
      <c r="E45" s="31">
        <f t="shared" si="0"/>
        <v>1080000</v>
      </c>
      <c r="F45" s="5">
        <v>45965</v>
      </c>
      <c r="G45" s="4">
        <v>20251103</v>
      </c>
      <c r="H45" s="38" t="str">
        <f>VLOOKUP(B45,CAJEROS!B:D,3,0)</f>
        <v>Dispensador</v>
      </c>
      <c r="I45" s="34" t="s">
        <v>9</v>
      </c>
      <c r="J45" s="38" t="str">
        <f>VLOOKUP(B45,CAJEROS!B:E,4,0)</f>
        <v>SUC_PRADER3</v>
      </c>
    </row>
    <row r="46" spans="1:10">
      <c r="A46" s="32">
        <v>864</v>
      </c>
      <c r="B46" s="33">
        <v>5795</v>
      </c>
      <c r="C46" s="3">
        <v>5950000</v>
      </c>
      <c r="D46" s="3"/>
      <c r="E46" s="31">
        <f t="shared" si="0"/>
        <v>5950000</v>
      </c>
      <c r="F46" s="5">
        <v>45965</v>
      </c>
      <c r="G46" s="4">
        <v>20251103</v>
      </c>
      <c r="H46" s="38" t="str">
        <f>VLOOKUP(B46,CAJEROS!B:D,3,0)</f>
        <v>Dispensador</v>
      </c>
      <c r="I46" s="34" t="s">
        <v>9</v>
      </c>
      <c r="J46" s="38" t="str">
        <f>VLOOKUP(B46,CAJEROS!B:E,4,0)</f>
        <v>SUC_PRADER1</v>
      </c>
    </row>
    <row r="47" spans="1:10">
      <c r="A47" s="32">
        <v>876</v>
      </c>
      <c r="B47" s="33">
        <v>9681</v>
      </c>
      <c r="C47" s="3">
        <v>180000</v>
      </c>
      <c r="D47" s="3"/>
      <c r="E47" s="31">
        <f t="shared" si="0"/>
        <v>180000</v>
      </c>
      <c r="F47" s="5">
        <v>45965</v>
      </c>
      <c r="G47" s="4">
        <v>20251103</v>
      </c>
      <c r="H47" s="38" t="str">
        <f>VLOOKUP(B47,CAJEROS!B:D,3,0)</f>
        <v>Dispensador</v>
      </c>
      <c r="I47" s="34" t="s">
        <v>9</v>
      </c>
      <c r="J47" s="38" t="str">
        <f>VLOOKUP(B47,CAJEROS!B:E,4,0)</f>
        <v>SUC_VILCAM3</v>
      </c>
    </row>
    <row r="48" spans="1:10">
      <c r="A48" s="32">
        <v>909</v>
      </c>
      <c r="B48" s="33">
        <v>6641</v>
      </c>
      <c r="C48" s="3">
        <v>50000</v>
      </c>
      <c r="D48" s="3">
        <v>40000</v>
      </c>
      <c r="E48" s="31">
        <f t="shared" si="0"/>
        <v>10000</v>
      </c>
      <c r="F48" s="5">
        <v>45965</v>
      </c>
      <c r="G48" s="4">
        <v>20251103</v>
      </c>
      <c r="H48" s="38" t="str">
        <f>VLOOKUP(B48,CAJEROS!B:D,3,0)</f>
        <v>Dispensador</v>
      </c>
      <c r="I48" s="34" t="s">
        <v>9</v>
      </c>
      <c r="J48" s="38" t="str">
        <f>VLOOKUP(B48,CAJEROS!B:E,4,0)</f>
        <v>SUC_ROSAL2</v>
      </c>
    </row>
    <row r="49" spans="1:10">
      <c r="A49" s="32">
        <v>882</v>
      </c>
      <c r="B49" s="33">
        <v>5020</v>
      </c>
      <c r="C49" s="3">
        <v>3640000</v>
      </c>
      <c r="D49" s="3">
        <f>3254000+31000+85000</f>
        <v>3370000</v>
      </c>
      <c r="E49" s="31">
        <f t="shared" ref="E49:E71" si="1">+C49-D49</f>
        <v>270000</v>
      </c>
      <c r="F49" s="5">
        <v>45965</v>
      </c>
      <c r="G49" s="4">
        <v>20251103</v>
      </c>
      <c r="H49" s="38" t="str">
        <f>VLOOKUP(B49,CAJEROS!B:D,3,0)</f>
        <v>Multifuncional</v>
      </c>
      <c r="I49" s="34" t="s">
        <v>9</v>
      </c>
      <c r="J49" s="38" t="str">
        <f>VLOOKUP(B49,CAJEROS!B:E,4,0)</f>
        <v>MF_LIBERTAD</v>
      </c>
    </row>
    <row r="50" spans="1:10">
      <c r="A50" s="32">
        <v>795</v>
      </c>
      <c r="B50" s="33">
        <v>1028</v>
      </c>
      <c r="C50" s="3">
        <v>3560000</v>
      </c>
      <c r="D50" s="3"/>
      <c r="E50" s="31">
        <f t="shared" si="1"/>
        <v>3560000</v>
      </c>
      <c r="F50" s="5">
        <v>45965</v>
      </c>
      <c r="G50" s="4">
        <v>20251103</v>
      </c>
      <c r="H50" s="38" t="str">
        <f>VLOOKUP(B50,CAJEROS!B:D,3,0)</f>
        <v>Multifuncional</v>
      </c>
      <c r="I50" s="34" t="s">
        <v>9</v>
      </c>
      <c r="J50" s="38" t="str">
        <f>VLOOKUP(B50,CAJEROS!B:E,4,0)</f>
        <v>MFSUCANVER2</v>
      </c>
    </row>
    <row r="51" spans="1:10">
      <c r="A51" s="32">
        <v>745</v>
      </c>
      <c r="B51" s="33">
        <v>1477</v>
      </c>
      <c r="C51" s="3">
        <v>2465000</v>
      </c>
      <c r="D51" s="3"/>
      <c r="E51" s="31">
        <f t="shared" si="1"/>
        <v>2465000</v>
      </c>
      <c r="F51" s="5">
        <v>45965</v>
      </c>
      <c r="G51" s="4">
        <v>20251103</v>
      </c>
      <c r="H51" s="38" t="str">
        <f>VLOOKUP(B51,CAJEROS!B:D,3,0)</f>
        <v>Multifuncional</v>
      </c>
      <c r="I51" s="34" t="s">
        <v>9</v>
      </c>
      <c r="J51" s="38" t="str">
        <f>VLOOKUP(B51,CAJEROS!B:E,4,0)</f>
        <v>MFSUCMALPZ2</v>
      </c>
    </row>
    <row r="52" spans="1:10">
      <c r="A52" s="32">
        <v>825</v>
      </c>
      <c r="B52" s="33">
        <v>5023</v>
      </c>
      <c r="C52" s="3">
        <v>2335000</v>
      </c>
      <c r="D52" s="3"/>
      <c r="E52" s="31">
        <f t="shared" si="1"/>
        <v>2335000</v>
      </c>
      <c r="F52" s="5">
        <v>45965</v>
      </c>
      <c r="G52" s="4">
        <v>20251103</v>
      </c>
      <c r="H52" s="38" t="str">
        <f>VLOOKUP(B52,CAJEROS!B:D,3,0)</f>
        <v>Multifuncional</v>
      </c>
      <c r="I52" s="34" t="s">
        <v>9</v>
      </c>
      <c r="J52" s="38" t="str">
        <f>VLOOKUP(B52,CAJEROS!B:E,4,0)</f>
        <v>MF_ASTROCEN</v>
      </c>
    </row>
    <row r="53" spans="1:10">
      <c r="A53" s="32">
        <v>806</v>
      </c>
      <c r="B53" s="33">
        <v>5156</v>
      </c>
      <c r="C53" s="3">
        <v>2250000</v>
      </c>
      <c r="D53" s="3">
        <f>515000+660000</f>
        <v>1175000</v>
      </c>
      <c r="E53" s="31">
        <f t="shared" si="1"/>
        <v>1075000</v>
      </c>
      <c r="F53" s="5">
        <v>45965</v>
      </c>
      <c r="G53" s="4">
        <v>20251103</v>
      </c>
      <c r="H53" s="38" t="str">
        <f>VLOOKUP(B53,CAJEROS!B:D,3,0)</f>
        <v>Multifuncional</v>
      </c>
      <c r="I53" s="34" t="s">
        <v>9</v>
      </c>
      <c r="J53" s="38" t="str">
        <f>VLOOKUP(B53,CAJEROS!B:E,4,0)</f>
        <v>MF_ALZACIA</v>
      </c>
    </row>
    <row r="54" spans="1:10">
      <c r="A54" s="32">
        <v>486</v>
      </c>
      <c r="B54" s="33">
        <v>5081</v>
      </c>
      <c r="C54" s="3">
        <v>1900000</v>
      </c>
      <c r="D54" s="3"/>
      <c r="E54" s="31">
        <f t="shared" si="1"/>
        <v>1900000</v>
      </c>
      <c r="F54" s="5">
        <v>45965</v>
      </c>
      <c r="G54" s="4">
        <v>20251103</v>
      </c>
      <c r="H54" s="38" t="str">
        <f>VLOOKUP(B54,CAJEROS!B:D,3,0)</f>
        <v>Multifuncional</v>
      </c>
      <c r="I54" s="34" t="s">
        <v>9</v>
      </c>
      <c r="J54" s="38" t="str">
        <f>VLOOKUP(B54,CAJEROS!B:E,4,0)</f>
        <v>MF_SANNIBA1</v>
      </c>
    </row>
    <row r="55" spans="1:10">
      <c r="A55" s="32">
        <v>265</v>
      </c>
      <c r="B55" s="33">
        <v>5083</v>
      </c>
      <c r="C55" s="3">
        <v>1759000</v>
      </c>
      <c r="D55" s="3"/>
      <c r="E55" s="31">
        <f t="shared" si="1"/>
        <v>1759000</v>
      </c>
      <c r="F55" s="5">
        <v>45965</v>
      </c>
      <c r="G55" s="4">
        <v>20251103</v>
      </c>
      <c r="H55" s="38" t="str">
        <f>VLOOKUP(B55,CAJEROS!B:D,3,0)</f>
        <v>Multifuncional</v>
      </c>
      <c r="I55" s="34" t="s">
        <v>9</v>
      </c>
      <c r="J55" s="38" t="str">
        <f>VLOOKUP(B55,CAJEROS!B:E,4,0)</f>
        <v>MF_VALLELIL</v>
      </c>
    </row>
    <row r="56" spans="1:10">
      <c r="A56" s="32">
        <v>549</v>
      </c>
      <c r="B56" s="33">
        <v>7123</v>
      </c>
      <c r="C56" s="3">
        <v>1566950</v>
      </c>
      <c r="D56" s="3">
        <v>1068000</v>
      </c>
      <c r="E56" s="31">
        <f t="shared" si="1"/>
        <v>498950</v>
      </c>
      <c r="F56" s="5">
        <v>45965</v>
      </c>
      <c r="G56" s="4">
        <v>20251103</v>
      </c>
      <c r="H56" s="38" t="str">
        <f>VLOOKUP(B56,CAJEROS!B:D,3,0)</f>
        <v>Multifuncional</v>
      </c>
      <c r="I56" s="34" t="s">
        <v>9</v>
      </c>
      <c r="J56" s="38" t="str">
        <f>VLOOKUP(B56,CAJEROS!B:E,4,0)</f>
        <v>MF_PLARIO2</v>
      </c>
    </row>
    <row r="57" spans="1:10">
      <c r="A57" s="32">
        <v>154</v>
      </c>
      <c r="B57" s="33">
        <v>5041</v>
      </c>
      <c r="C57" s="3">
        <v>1561000</v>
      </c>
      <c r="D57" s="3"/>
      <c r="E57" s="31">
        <f t="shared" si="1"/>
        <v>1561000</v>
      </c>
      <c r="F57" s="5">
        <v>45965</v>
      </c>
      <c r="G57" s="4">
        <v>20251103</v>
      </c>
      <c r="H57" s="38" t="str">
        <f>VLOOKUP(B57,CAJEROS!B:D,3,0)</f>
        <v>Multifuncional</v>
      </c>
      <c r="I57" s="34" t="s">
        <v>9</v>
      </c>
      <c r="J57" s="38" t="str">
        <f>VLOOKUP(B57,CAJEROS!B:E,4,0)</f>
        <v>MF_CMAYOR</v>
      </c>
    </row>
    <row r="58" spans="1:10">
      <c r="A58" s="32">
        <v>674</v>
      </c>
      <c r="B58" s="33">
        <v>5200</v>
      </c>
      <c r="C58" s="3">
        <v>1429000</v>
      </c>
      <c r="D58" s="3"/>
      <c r="E58" s="31">
        <f t="shared" si="1"/>
        <v>1429000</v>
      </c>
      <c r="F58" s="5">
        <v>45965</v>
      </c>
      <c r="G58" s="4">
        <v>20251103</v>
      </c>
      <c r="H58" s="38" t="str">
        <f>VLOOKUP(B58,CAJEROS!B:D,3,0)</f>
        <v>Multifuncional</v>
      </c>
      <c r="I58" s="34" t="s">
        <v>9</v>
      </c>
      <c r="J58" s="38" t="str">
        <f>VLOOKUP(B58,CAJEROS!B:E,4,0)</f>
        <v>MF_AV68FLOR</v>
      </c>
    </row>
    <row r="59" spans="1:10">
      <c r="A59" s="32">
        <v>16</v>
      </c>
      <c r="B59" s="33">
        <v>5219</v>
      </c>
      <c r="C59" s="3">
        <v>1377000</v>
      </c>
      <c r="D59" s="3">
        <v>1365000</v>
      </c>
      <c r="E59" s="31">
        <f t="shared" si="1"/>
        <v>12000</v>
      </c>
      <c r="F59" s="5">
        <v>45965</v>
      </c>
      <c r="G59" s="4">
        <v>20251103</v>
      </c>
      <c r="H59" s="38" t="str">
        <f>VLOOKUP(B59,CAJEROS!B:D,3,0)</f>
        <v>Multifuncional</v>
      </c>
      <c r="I59" s="34" t="s">
        <v>9</v>
      </c>
      <c r="J59" s="38" t="str">
        <f>VLOOKUP(B59,CAJEROS!B:E,4,0)</f>
        <v>MF_AEOLAYA</v>
      </c>
    </row>
    <row r="60" spans="1:10">
      <c r="A60" s="32">
        <v>723</v>
      </c>
      <c r="B60" s="33">
        <v>5046</v>
      </c>
      <c r="C60" s="3">
        <v>1310000</v>
      </c>
      <c r="D60" s="3"/>
      <c r="E60" s="31">
        <f t="shared" si="1"/>
        <v>1310000</v>
      </c>
      <c r="F60" s="5">
        <v>45965</v>
      </c>
      <c r="G60" s="4">
        <v>20251103</v>
      </c>
      <c r="H60" s="38" t="str">
        <f>VLOOKUP(B60,CAJEROS!B:D,3,0)</f>
        <v>Multifuncional</v>
      </c>
      <c r="I60" s="34" t="s">
        <v>9</v>
      </c>
      <c r="J60" s="38" t="str">
        <f>VLOOKUP(B60,CAJEROS!B:E,4,0)</f>
        <v>MF_PARBOLED</v>
      </c>
    </row>
    <row r="61" spans="1:10">
      <c r="A61" s="32">
        <v>101</v>
      </c>
      <c r="B61" s="33">
        <v>5128</v>
      </c>
      <c r="C61" s="3">
        <v>887000</v>
      </c>
      <c r="D61" s="3"/>
      <c r="E61" s="31">
        <f t="shared" si="1"/>
        <v>887000</v>
      </c>
      <c r="F61" s="5">
        <v>45965</v>
      </c>
      <c r="G61" s="4">
        <v>20251103</v>
      </c>
      <c r="H61" s="38" t="str">
        <f>VLOOKUP(B61,CAJEROS!B:D,3,0)</f>
        <v>Multifuncional</v>
      </c>
      <c r="I61" s="34" t="s">
        <v>9</v>
      </c>
      <c r="J61" s="38" t="str">
        <f>VLOOKUP(B61,CAJEROS!B:E,4,0)</f>
        <v>MF_MULTDRIV</v>
      </c>
    </row>
    <row r="62" spans="1:10">
      <c r="A62" s="32">
        <v>258</v>
      </c>
      <c r="B62" s="33">
        <v>5155</v>
      </c>
      <c r="C62" s="3">
        <v>525000</v>
      </c>
      <c r="D62" s="3"/>
      <c r="E62" s="31">
        <f t="shared" si="1"/>
        <v>525000</v>
      </c>
      <c r="F62" s="5">
        <v>45965</v>
      </c>
      <c r="G62" s="4">
        <v>20251103</v>
      </c>
      <c r="H62" s="38" t="str">
        <f>VLOOKUP(B62,CAJEROS!B:D,3,0)</f>
        <v>Multifuncional</v>
      </c>
      <c r="I62" s="34" t="s">
        <v>9</v>
      </c>
      <c r="J62" s="38" t="str">
        <f>VLOOKUP(B62,CAJEROS!B:E,4,0)</f>
        <v>MF_TUNJA</v>
      </c>
    </row>
    <row r="63" spans="1:10">
      <c r="A63" s="32">
        <v>777</v>
      </c>
      <c r="B63" s="33">
        <v>5009</v>
      </c>
      <c r="C63" s="3">
        <v>485000</v>
      </c>
      <c r="D63" s="3"/>
      <c r="E63" s="31">
        <f t="shared" si="1"/>
        <v>485000</v>
      </c>
      <c r="F63" s="5">
        <v>45965</v>
      </c>
      <c r="G63" s="4">
        <v>20251103</v>
      </c>
      <c r="H63" s="38" t="str">
        <f>VLOOKUP(B63,CAJEROS!B:D,3,0)</f>
        <v>Multifuncional</v>
      </c>
      <c r="I63" s="34" t="s">
        <v>9</v>
      </c>
      <c r="J63" s="38" t="str">
        <f>VLOOKUP(B63,CAJEROS!B:E,4,0)</f>
        <v>MF_PWASHING</v>
      </c>
    </row>
    <row r="64" spans="1:10">
      <c r="A64" s="32">
        <v>916</v>
      </c>
      <c r="B64" s="33">
        <v>5052</v>
      </c>
      <c r="C64" s="3">
        <v>450000</v>
      </c>
      <c r="D64" s="3"/>
      <c r="E64" s="31">
        <f t="shared" si="1"/>
        <v>450000</v>
      </c>
      <c r="F64" s="5">
        <v>45965</v>
      </c>
      <c r="G64" s="4">
        <v>20251103</v>
      </c>
      <c r="H64" s="38" t="str">
        <f>VLOOKUP(B64,CAJEROS!B:D,3,0)</f>
        <v>Multifuncional</v>
      </c>
      <c r="I64" s="34" t="s">
        <v>9</v>
      </c>
      <c r="J64" s="38" t="str">
        <f>VLOOKUP(B64,CAJEROS!B:E,4,0)</f>
        <v>MF_OCEANMAL</v>
      </c>
    </row>
    <row r="65" spans="1:10">
      <c r="A65" s="32">
        <v>551</v>
      </c>
      <c r="B65" s="33">
        <v>9644</v>
      </c>
      <c r="C65" s="3">
        <v>230000</v>
      </c>
      <c r="D65" s="3"/>
      <c r="E65" s="31">
        <f t="shared" si="1"/>
        <v>230000</v>
      </c>
      <c r="F65" s="5">
        <v>45965</v>
      </c>
      <c r="G65" s="4">
        <v>20251103</v>
      </c>
      <c r="H65" s="38" t="str">
        <f>VLOOKUP(B65,CAJEROS!B:D,3,0)</f>
        <v>Multifuncional</v>
      </c>
      <c r="I65" s="34" t="s">
        <v>9</v>
      </c>
      <c r="J65" s="38" t="str">
        <f>VLOOKUP(B65,CAJEROS!B:E,4,0)</f>
        <v>MFSUCUNIME2</v>
      </c>
    </row>
    <row r="66" spans="1:10">
      <c r="A66" s="32">
        <v>944</v>
      </c>
      <c r="B66" s="33">
        <v>2228</v>
      </c>
      <c r="C66" s="3">
        <v>155000</v>
      </c>
      <c r="D66" s="3"/>
      <c r="E66" s="31">
        <f t="shared" si="1"/>
        <v>155000</v>
      </c>
      <c r="F66" s="5">
        <v>45965</v>
      </c>
      <c r="G66" s="4">
        <v>20251103</v>
      </c>
      <c r="H66" s="38" t="str">
        <f>VLOOKUP(B66,CAJEROS!B:D,3,0)</f>
        <v>Multifuncional</v>
      </c>
      <c r="I66" s="34" t="s">
        <v>9</v>
      </c>
      <c r="J66" s="38" t="str">
        <f>VLOOKUP(B66,CAJEROS!B:E,4,0)</f>
        <v>MF_SANTABO3</v>
      </c>
    </row>
    <row r="67" spans="1:10">
      <c r="A67" s="32">
        <v>60</v>
      </c>
      <c r="B67" s="33">
        <v>8728</v>
      </c>
      <c r="C67" s="3">
        <v>121000</v>
      </c>
      <c r="D67" s="3"/>
      <c r="E67" s="31">
        <f t="shared" si="1"/>
        <v>121000</v>
      </c>
      <c r="F67" s="5">
        <v>45965</v>
      </c>
      <c r="G67" s="4">
        <v>20251103</v>
      </c>
      <c r="H67" s="38" t="str">
        <f>VLOOKUP(B67,CAJEROS!B:D,3,0)</f>
        <v>Multifuncional</v>
      </c>
      <c r="I67" s="34" t="s">
        <v>9</v>
      </c>
      <c r="J67" s="38" t="str">
        <f>VLOOKUP(B67,CAJEROS!B:E,4,0)</f>
        <v>MF_HCALIPR2</v>
      </c>
    </row>
    <row r="68" spans="1:10">
      <c r="A68" s="32">
        <v>60</v>
      </c>
      <c r="B68" s="33">
        <v>8727</v>
      </c>
      <c r="C68" s="3">
        <v>114250</v>
      </c>
      <c r="D68" s="3"/>
      <c r="E68" s="31">
        <f t="shared" si="1"/>
        <v>114250</v>
      </c>
      <c r="F68" s="5">
        <v>45965</v>
      </c>
      <c r="G68" s="4">
        <v>20251103</v>
      </c>
      <c r="H68" s="38" t="str">
        <f>VLOOKUP(B68,CAJEROS!B:D,3,0)</f>
        <v>Multifuncional</v>
      </c>
      <c r="I68" s="34" t="s">
        <v>9</v>
      </c>
      <c r="J68" s="38" t="str">
        <f>VLOOKUP(B68,CAJEROS!B:E,4,0)</f>
        <v>MF_HCALIPR1</v>
      </c>
    </row>
    <row r="69" spans="1:10">
      <c r="A69" s="32">
        <v>741</v>
      </c>
      <c r="B69" s="33">
        <v>6843</v>
      </c>
      <c r="C69" s="3">
        <v>72000</v>
      </c>
      <c r="D69" s="3"/>
      <c r="E69" s="31">
        <f t="shared" si="1"/>
        <v>72000</v>
      </c>
      <c r="F69" s="5">
        <v>45965</v>
      </c>
      <c r="G69" s="4">
        <v>20251103</v>
      </c>
      <c r="H69" s="38" t="str">
        <f>VLOOKUP(B69,CAJEROS!B:D,3,0)</f>
        <v>Multifuncional</v>
      </c>
      <c r="I69" s="34" t="s">
        <v>9</v>
      </c>
      <c r="J69" s="38" t="str">
        <f>VLOOKUP(B69,CAJEROS!B:E,4,0)</f>
        <v>MFSUC_IDEO1</v>
      </c>
    </row>
    <row r="70" spans="1:10">
      <c r="A70" s="32">
        <v>217</v>
      </c>
      <c r="B70" s="33">
        <v>5208</v>
      </c>
      <c r="C70" s="3">
        <v>40000</v>
      </c>
      <c r="D70" s="3"/>
      <c r="E70" s="31">
        <f t="shared" si="1"/>
        <v>40000</v>
      </c>
      <c r="F70" s="5">
        <v>45965</v>
      </c>
      <c r="G70" s="4">
        <v>20251103</v>
      </c>
      <c r="H70" s="38" t="str">
        <f>VLOOKUP(B70,CAJEROS!B:D,3,0)</f>
        <v>Multifuncional</v>
      </c>
      <c r="I70" s="34" t="s">
        <v>9</v>
      </c>
      <c r="J70" s="38" t="str">
        <f>VLOOKUP(B70,CAJEROS!B:E,4,0)</f>
        <v>MF_MONTEVID</v>
      </c>
    </row>
    <row r="71" spans="1:10">
      <c r="A71" s="32">
        <v>554</v>
      </c>
      <c r="B71" s="33">
        <v>8295</v>
      </c>
      <c r="C71" s="3">
        <v>27500</v>
      </c>
      <c r="D71" s="3"/>
      <c r="E71" s="31">
        <f t="shared" si="1"/>
        <v>27500</v>
      </c>
      <c r="F71" s="5">
        <v>45965</v>
      </c>
      <c r="G71" s="4">
        <v>20251103</v>
      </c>
      <c r="H71" s="38" t="str">
        <f>VLOOKUP(B71,CAJEROS!B:D,3,0)</f>
        <v>Multifuncional</v>
      </c>
      <c r="I71" s="34" t="s">
        <v>9</v>
      </c>
      <c r="J71" s="38" t="str">
        <f>VLOOKUP(B71,CAJEROS!B:E,4,0)</f>
        <v>MF_SBUVIII2</v>
      </c>
    </row>
    <row r="72" spans="1:10">
      <c r="A72" s="32">
        <v>32</v>
      </c>
      <c r="B72" s="33">
        <v>5027</v>
      </c>
      <c r="C72" s="3">
        <v>1270000</v>
      </c>
      <c r="D72" s="3"/>
      <c r="E72" s="31">
        <f t="shared" ref="E72" si="2">+C72-D72</f>
        <v>1270000</v>
      </c>
      <c r="F72" s="5">
        <v>45966</v>
      </c>
      <c r="G72" s="4">
        <v>20251104</v>
      </c>
      <c r="H72" s="38" t="str">
        <f>VLOOKUP(B72,CAJEROS!B:D,3,0)</f>
        <v>Multifuncional</v>
      </c>
      <c r="I72" s="34"/>
      <c r="J72" s="38" t="str">
        <f>VLOOKUP(B72,CAJEROS!B:E,4,0)</f>
        <v>MF_ANTCOUNT</v>
      </c>
    </row>
    <row r="73" spans="1:10">
      <c r="A73" s="32">
        <v>33</v>
      </c>
      <c r="B73" s="33">
        <v>8861</v>
      </c>
      <c r="C73" s="3">
        <v>2337000</v>
      </c>
      <c r="D73" s="3"/>
      <c r="E73" s="31">
        <f t="shared" ref="E73:E167" si="3">+C73-D73</f>
        <v>2337000</v>
      </c>
      <c r="F73" s="5">
        <v>45966</v>
      </c>
      <c r="G73" s="4">
        <v>20251104</v>
      </c>
      <c r="H73" s="38" t="str">
        <f>VLOOKUP(B73,CAJEROS!B:D,3,0)</f>
        <v>Multifuncional</v>
      </c>
      <c r="I73" s="34"/>
      <c r="J73" s="38" t="str">
        <f>VLOOKUP(B73,CAJEROS!B:E,4,0)</f>
        <v>MF_SPOLCLU1</v>
      </c>
    </row>
    <row r="74" spans="1:10">
      <c r="A74" s="32">
        <v>59</v>
      </c>
      <c r="B74" s="33">
        <v>5002</v>
      </c>
      <c r="C74" s="3">
        <v>10000</v>
      </c>
      <c r="D74" s="3"/>
      <c r="E74" s="31">
        <f t="shared" si="3"/>
        <v>10000</v>
      </c>
      <c r="F74" s="5">
        <v>45966</v>
      </c>
      <c r="G74" s="4">
        <v>20251104</v>
      </c>
      <c r="H74" s="38" t="str">
        <f>VLOOKUP(B74,CAJEROS!B:D,3,0)</f>
        <v>Multifuncional</v>
      </c>
      <c r="I74" s="34"/>
      <c r="J74" s="38" t="str">
        <f>VLOOKUP(B74,CAJEROS!B:E,4,0)</f>
        <v>MF_AVSTNDER</v>
      </c>
    </row>
    <row r="75" spans="1:10">
      <c r="A75" s="32">
        <v>166</v>
      </c>
      <c r="B75" s="33">
        <v>7940</v>
      </c>
      <c r="C75" s="3">
        <v>1370000</v>
      </c>
      <c r="D75" s="3"/>
      <c r="E75" s="31">
        <f t="shared" si="3"/>
        <v>1370000</v>
      </c>
      <c r="F75" s="5">
        <v>45966</v>
      </c>
      <c r="G75" s="4">
        <v>20251104</v>
      </c>
      <c r="H75" s="38" t="str">
        <f>VLOOKUP(B75,CAJEROS!B:D,3,0)</f>
        <v>Multifuncional</v>
      </c>
      <c r="I75" s="34"/>
      <c r="J75" s="38" t="str">
        <f>VLOOKUP(B75,CAJEROS!B:E,4,0)</f>
        <v>MF_ALDELS22</v>
      </c>
    </row>
    <row r="76" spans="1:10">
      <c r="A76" s="32">
        <v>211</v>
      </c>
      <c r="B76" s="33">
        <v>5067</v>
      </c>
      <c r="C76" s="3">
        <v>4822000</v>
      </c>
      <c r="D76" s="3"/>
      <c r="E76" s="31">
        <f t="shared" si="3"/>
        <v>4822000</v>
      </c>
      <c r="F76" s="5">
        <v>45966</v>
      </c>
      <c r="G76" s="4">
        <v>20251104</v>
      </c>
      <c r="H76" s="38" t="str">
        <f>VLOOKUP(B76,CAJEROS!B:D,3,0)</f>
        <v>Multifuncional</v>
      </c>
      <c r="I76" s="34"/>
      <c r="J76" s="38" t="str">
        <f>VLOOKUP(B76,CAJEROS!B:E,4,0)</f>
        <v>MF_SCTROIND</v>
      </c>
    </row>
    <row r="77" spans="1:10">
      <c r="A77" s="32">
        <v>265</v>
      </c>
      <c r="B77" s="33">
        <v>5083</v>
      </c>
      <c r="C77" s="3">
        <v>2245000</v>
      </c>
      <c r="D77" s="3"/>
      <c r="E77" s="31">
        <f t="shared" si="3"/>
        <v>2245000</v>
      </c>
      <c r="F77" s="5">
        <v>45966</v>
      </c>
      <c r="G77" s="4">
        <v>20251104</v>
      </c>
      <c r="H77" s="38" t="str">
        <f>VLOOKUP(B77,CAJEROS!B:D,3,0)</f>
        <v>Multifuncional</v>
      </c>
      <c r="I77" s="34"/>
      <c r="J77" s="38" t="str">
        <f>VLOOKUP(B77,CAJEROS!B:E,4,0)</f>
        <v>MF_VALLELIL</v>
      </c>
    </row>
    <row r="78" spans="1:10">
      <c r="A78" s="32">
        <v>389</v>
      </c>
      <c r="B78" s="33">
        <v>7327</v>
      </c>
      <c r="C78" s="3">
        <v>977000</v>
      </c>
      <c r="D78" s="3"/>
      <c r="E78" s="31">
        <f t="shared" si="3"/>
        <v>977000</v>
      </c>
      <c r="F78" s="5">
        <v>45966</v>
      </c>
      <c r="G78" s="4">
        <v>20251104</v>
      </c>
      <c r="H78" s="38" t="str">
        <f>VLOOKUP(B78,CAJEROS!B:D,3,0)</f>
        <v>Multifuncional</v>
      </c>
      <c r="I78" s="34"/>
      <c r="J78" s="38" t="str">
        <f>VLOOKUP(B78,CAJEROS!B:E,4,0)</f>
        <v>MF_MARIQUIT</v>
      </c>
    </row>
    <row r="79" spans="1:10">
      <c r="A79" s="32">
        <v>509</v>
      </c>
      <c r="B79" s="33">
        <v>8835</v>
      </c>
      <c r="C79" s="3">
        <v>3308800</v>
      </c>
      <c r="D79" s="3"/>
      <c r="E79" s="31">
        <f t="shared" si="3"/>
        <v>3308800</v>
      </c>
      <c r="F79" s="5">
        <v>45966</v>
      </c>
      <c r="G79" s="4">
        <v>20251104</v>
      </c>
      <c r="H79" s="38" t="str">
        <f>VLOOKUP(B79,CAJEROS!B:D,3,0)</f>
        <v>Multifuncional</v>
      </c>
      <c r="I79" s="34"/>
      <c r="J79" s="38" t="str">
        <f>VLOOKUP(B79,CAJEROS!B:E,4,0)</f>
        <v>MFTSUCURB1</v>
      </c>
    </row>
    <row r="80" spans="1:10">
      <c r="A80" s="32">
        <v>609</v>
      </c>
      <c r="B80" s="33">
        <v>7888</v>
      </c>
      <c r="C80" s="3">
        <v>8996000</v>
      </c>
      <c r="D80" s="3"/>
      <c r="E80" s="31">
        <f t="shared" si="3"/>
        <v>8996000</v>
      </c>
      <c r="F80" s="5">
        <v>45966</v>
      </c>
      <c r="G80" s="4">
        <v>20251104</v>
      </c>
      <c r="H80" s="38" t="str">
        <f>VLOOKUP(B80,CAJEROS!B:D,3,0)</f>
        <v>Multifuncional</v>
      </c>
      <c r="I80" s="34"/>
      <c r="J80" s="38" t="str">
        <f>VLOOKUP(B80,CAJEROS!B:E,4,0)</f>
        <v>MFSUCABAST2</v>
      </c>
    </row>
    <row r="81" spans="1:10">
      <c r="A81" s="32">
        <v>651</v>
      </c>
      <c r="B81" s="33">
        <v>7318</v>
      </c>
      <c r="C81" s="3">
        <v>1746000</v>
      </c>
      <c r="D81" s="3"/>
      <c r="E81" s="31">
        <f t="shared" si="3"/>
        <v>1746000</v>
      </c>
      <c r="F81" s="5">
        <v>45966</v>
      </c>
      <c r="G81" s="4">
        <v>20251104</v>
      </c>
      <c r="H81" s="38" t="str">
        <f>VLOOKUP(B81,CAJEROS!B:D,3,0)</f>
        <v>Multifuncional</v>
      </c>
      <c r="I81" s="34"/>
      <c r="J81" s="38" t="str">
        <f>VLOOKUP(B81,CAJEROS!B:E,4,0)</f>
        <v>MF_BARBOSA2</v>
      </c>
    </row>
    <row r="82" spans="1:10">
      <c r="A82" s="32">
        <v>656</v>
      </c>
      <c r="B82" s="33">
        <v>5103</v>
      </c>
      <c r="C82" s="3">
        <v>27590000</v>
      </c>
      <c r="D82" s="3"/>
      <c r="E82" s="31">
        <f t="shared" si="3"/>
        <v>27590000</v>
      </c>
      <c r="F82" s="5">
        <v>45966</v>
      </c>
      <c r="G82" s="4">
        <v>20251104</v>
      </c>
      <c r="H82" s="38" t="str">
        <f>VLOOKUP(B82,CAJEROS!B:D,3,0)</f>
        <v>Multifuncional</v>
      </c>
      <c r="I82" s="34"/>
      <c r="J82" s="38" t="str">
        <f>VLOOKUP(B82,CAJEROS!B:E,4,0)</f>
        <v>MF_MAYPLAZA</v>
      </c>
    </row>
    <row r="83" spans="1:10">
      <c r="A83" s="32">
        <v>674</v>
      </c>
      <c r="B83" s="33">
        <v>5200</v>
      </c>
      <c r="C83" s="3">
        <v>1021000</v>
      </c>
      <c r="D83" s="3"/>
      <c r="E83" s="31">
        <f t="shared" si="3"/>
        <v>1021000</v>
      </c>
      <c r="F83" s="5">
        <v>45966</v>
      </c>
      <c r="G83" s="4">
        <v>20251104</v>
      </c>
      <c r="H83" s="38" t="str">
        <f>VLOOKUP(B83,CAJEROS!B:D,3,0)</f>
        <v>Multifuncional</v>
      </c>
      <c r="I83" s="34"/>
      <c r="J83" s="38" t="str">
        <f>VLOOKUP(B83,CAJEROS!B:E,4,0)</f>
        <v>MF_AV68FLOR</v>
      </c>
    </row>
    <row r="84" spans="1:10">
      <c r="A84" s="32">
        <v>781</v>
      </c>
      <c r="B84" s="33">
        <v>5057</v>
      </c>
      <c r="C84" s="3">
        <v>9900000</v>
      </c>
      <c r="D84" s="3"/>
      <c r="E84" s="31">
        <f t="shared" si="3"/>
        <v>9900000</v>
      </c>
      <c r="F84" s="5">
        <v>45966</v>
      </c>
      <c r="G84" s="4">
        <v>20251104</v>
      </c>
      <c r="H84" s="38" t="str">
        <f>VLOOKUP(B84,CAJEROS!B:D,3,0)</f>
        <v>Multifuncional</v>
      </c>
      <c r="I84" s="34"/>
      <c r="J84" s="38" t="str">
        <f>VLOOKUP(B84,CAJEROS!B:E,4,0)</f>
        <v>MF_PRPLAZA</v>
      </c>
    </row>
    <row r="85" spans="1:10">
      <c r="A85" s="32">
        <v>78</v>
      </c>
      <c r="B85" s="33">
        <v>6246</v>
      </c>
      <c r="C85" s="3">
        <v>4690000</v>
      </c>
      <c r="D85" s="3"/>
      <c r="E85" s="31">
        <f t="shared" ref="E85" si="4">+C85-D85</f>
        <v>4690000</v>
      </c>
      <c r="F85" s="5">
        <v>45966</v>
      </c>
      <c r="G85" s="4">
        <v>20251104</v>
      </c>
      <c r="H85" s="38" t="str">
        <f>VLOOKUP(B85,CAJEROS!B:D,3,0)</f>
        <v>Multifuncional</v>
      </c>
      <c r="I85" s="34" t="s">
        <v>9</v>
      </c>
      <c r="J85" s="38" t="str">
        <f>VLOOKUP(B85,CAJEROS!B:E,4,0)</f>
        <v>MF_CACIQUE</v>
      </c>
    </row>
    <row r="86" spans="1:10">
      <c r="A86" s="32">
        <v>229</v>
      </c>
      <c r="B86" s="33">
        <v>9604</v>
      </c>
      <c r="C86" s="3">
        <v>4380250</v>
      </c>
      <c r="D86" s="3">
        <f>590000+155000+494750</f>
        <v>1239750</v>
      </c>
      <c r="E86" s="31">
        <f t="shared" ref="E86:E133" si="5">+C86-D86</f>
        <v>3140500</v>
      </c>
      <c r="F86" s="5">
        <v>45966</v>
      </c>
      <c r="G86" s="4">
        <v>20251104</v>
      </c>
      <c r="H86" s="38" t="str">
        <f>VLOOKUP(B86,CAJEROS!B:D,3,0)</f>
        <v>Multifuncional</v>
      </c>
      <c r="I86" s="34" t="s">
        <v>9</v>
      </c>
      <c r="J86" s="38" t="str">
        <f>VLOOKUP(B86,CAJEROS!B:E,4,0)</f>
        <v>MFSUCPASER1</v>
      </c>
    </row>
    <row r="87" spans="1:10">
      <c r="A87" s="32">
        <v>601</v>
      </c>
      <c r="B87" s="33">
        <v>6407</v>
      </c>
      <c r="C87" s="3">
        <v>4150000</v>
      </c>
      <c r="D87" s="3"/>
      <c r="E87" s="31">
        <f t="shared" si="5"/>
        <v>4150000</v>
      </c>
      <c r="F87" s="5">
        <v>45966</v>
      </c>
      <c r="G87" s="4">
        <v>20251104</v>
      </c>
      <c r="H87" s="38" t="str">
        <f>VLOOKUP(B87,CAJEROS!B:D,3,0)</f>
        <v>Multifuncional</v>
      </c>
      <c r="I87" s="34" t="s">
        <v>9</v>
      </c>
      <c r="J87" s="38" t="str">
        <f>VLOOKUP(B87,CAJEROS!B:E,4,0)</f>
        <v>MF_COLINACA</v>
      </c>
    </row>
    <row r="88" spans="1:10">
      <c r="A88" s="32">
        <v>829</v>
      </c>
      <c r="B88" s="33">
        <v>5137</v>
      </c>
      <c r="C88" s="3">
        <v>3732000</v>
      </c>
      <c r="D88" s="3"/>
      <c r="E88" s="31">
        <f t="shared" si="5"/>
        <v>3732000</v>
      </c>
      <c r="F88" s="5">
        <v>45966</v>
      </c>
      <c r="G88" s="4">
        <v>20251104</v>
      </c>
      <c r="H88" s="38" t="str">
        <f>VLOOKUP(B88,CAJEROS!B:D,3,0)</f>
        <v>Multifuncional</v>
      </c>
      <c r="I88" s="34" t="s">
        <v>9</v>
      </c>
      <c r="J88" s="38" t="str">
        <f>VLOOKUP(B88,CAJEROS!B:E,4,0)</f>
        <v>MF_UNICALI1</v>
      </c>
    </row>
    <row r="89" spans="1:10">
      <c r="A89" s="32">
        <v>317</v>
      </c>
      <c r="B89" s="33">
        <v>6613</v>
      </c>
      <c r="C89" s="3">
        <v>3551000</v>
      </c>
      <c r="D89" s="3"/>
      <c r="E89" s="31">
        <f t="shared" si="5"/>
        <v>3551000</v>
      </c>
      <c r="F89" s="5">
        <v>45966</v>
      </c>
      <c r="G89" s="4">
        <v>20251104</v>
      </c>
      <c r="H89" s="38" t="str">
        <f>VLOOKUP(B89,CAJEROS!B:D,3,0)</f>
        <v>Multifuncional</v>
      </c>
      <c r="I89" s="34" t="s">
        <v>9</v>
      </c>
      <c r="J89" s="38" t="str">
        <f>VLOOKUP(B89,CAJEROS!B:E,4,0)</f>
        <v>MF_ARAUCA</v>
      </c>
    </row>
    <row r="90" spans="1:10">
      <c r="A90" s="32">
        <v>432</v>
      </c>
      <c r="B90" s="33">
        <v>5195</v>
      </c>
      <c r="C90" s="3">
        <v>3209000</v>
      </c>
      <c r="D90" s="3">
        <v>2895000</v>
      </c>
      <c r="E90" s="31">
        <f t="shared" si="5"/>
        <v>314000</v>
      </c>
      <c r="F90" s="5">
        <v>45966</v>
      </c>
      <c r="G90" s="4">
        <v>20251104</v>
      </c>
      <c r="H90" s="38" t="str">
        <f>VLOOKUP(B90,CAJEROS!B:D,3,0)</f>
        <v>Multifuncional</v>
      </c>
      <c r="I90" s="34" t="s">
        <v>9</v>
      </c>
      <c r="J90" s="38" t="str">
        <f>VLOOKUP(B90,CAJEROS!B:E,4,0)</f>
        <v>MF_TTEDLSU1</v>
      </c>
    </row>
    <row r="91" spans="1:10">
      <c r="A91" s="32">
        <v>743</v>
      </c>
      <c r="B91" s="33">
        <v>5106</v>
      </c>
      <c r="C91" s="3">
        <v>3180000</v>
      </c>
      <c r="D91" s="3"/>
      <c r="E91" s="31">
        <f t="shared" si="5"/>
        <v>3180000</v>
      </c>
      <c r="F91" s="5">
        <v>45966</v>
      </c>
      <c r="G91" s="4">
        <v>20251104</v>
      </c>
      <c r="H91" s="38" t="str">
        <f>VLOOKUP(B91,CAJEROS!B:D,3,0)</f>
        <v>Multifuncional</v>
      </c>
      <c r="I91" s="34" t="s">
        <v>9</v>
      </c>
      <c r="J91" s="38" t="str">
        <f>VLOOKUP(B91,CAJEROS!B:E,4,0)</f>
        <v>MF_NORTHPOI</v>
      </c>
    </row>
    <row r="92" spans="1:10">
      <c r="A92" s="32">
        <v>944</v>
      </c>
      <c r="B92" s="33">
        <v>2228</v>
      </c>
      <c r="C92" s="3">
        <v>2835000</v>
      </c>
      <c r="D92" s="3">
        <f>2820000+12400</f>
        <v>2832400</v>
      </c>
      <c r="E92" s="31">
        <f t="shared" si="5"/>
        <v>2600</v>
      </c>
      <c r="F92" s="5">
        <v>45966</v>
      </c>
      <c r="G92" s="4">
        <v>20251104</v>
      </c>
      <c r="H92" s="38" t="str">
        <f>VLOOKUP(B92,CAJEROS!B:D,3,0)</f>
        <v>Multifuncional</v>
      </c>
      <c r="I92" s="34" t="s">
        <v>9</v>
      </c>
      <c r="J92" s="38" t="str">
        <f>VLOOKUP(B92,CAJEROS!B:E,4,0)</f>
        <v>MF_SANTABO3</v>
      </c>
    </row>
    <row r="93" spans="1:10">
      <c r="A93" s="32">
        <v>816</v>
      </c>
      <c r="B93" s="33">
        <v>5205</v>
      </c>
      <c r="C93" s="3">
        <v>2751100</v>
      </c>
      <c r="D93" s="3"/>
      <c r="E93" s="31">
        <f t="shared" si="5"/>
        <v>2751100</v>
      </c>
      <c r="F93" s="5">
        <v>45966</v>
      </c>
      <c r="G93" s="4">
        <v>20251104</v>
      </c>
      <c r="H93" s="38" t="str">
        <f>VLOOKUP(B93,CAJEROS!B:D,3,0)</f>
        <v>Multifuncional</v>
      </c>
      <c r="I93" s="34" t="s">
        <v>9</v>
      </c>
      <c r="J93" s="38" t="str">
        <f>VLOOKUP(B93,CAJEROS!B:E,4,0)</f>
        <v>MF_SUCLLE10</v>
      </c>
    </row>
    <row r="94" spans="1:10">
      <c r="A94" s="32">
        <v>764</v>
      </c>
      <c r="B94" s="33">
        <v>6715</v>
      </c>
      <c r="C94" s="3">
        <v>2705600</v>
      </c>
      <c r="D94" s="3"/>
      <c r="E94" s="31">
        <f t="shared" si="5"/>
        <v>2705600</v>
      </c>
      <c r="F94" s="5">
        <v>45966</v>
      </c>
      <c r="G94" s="4">
        <v>20251104</v>
      </c>
      <c r="H94" s="38" t="str">
        <f>VLOOKUP(B94,CAJEROS!B:D,3,0)</f>
        <v>Multifuncional</v>
      </c>
      <c r="I94" s="34" t="s">
        <v>9</v>
      </c>
      <c r="J94" s="38" t="str">
        <f>VLOOKUP(B94,CAJEROS!B:E,4,0)</f>
        <v>MF_JAMUNDI</v>
      </c>
    </row>
    <row r="95" spans="1:10">
      <c r="A95" s="32">
        <v>68</v>
      </c>
      <c r="B95" s="33">
        <v>5135</v>
      </c>
      <c r="C95" s="3">
        <v>2605000</v>
      </c>
      <c r="D95" s="3"/>
      <c r="E95" s="31">
        <f t="shared" si="5"/>
        <v>2605000</v>
      </c>
      <c r="F95" s="5">
        <v>45966</v>
      </c>
      <c r="G95" s="4">
        <v>20251104</v>
      </c>
      <c r="H95" s="38" t="str">
        <f>VLOOKUP(B95,CAJEROS!B:D,3,0)</f>
        <v>Multifuncional</v>
      </c>
      <c r="I95" s="34" t="s">
        <v>9</v>
      </c>
      <c r="J95" s="38" t="str">
        <f>VLOOKUP(B95,CAJEROS!B:E,4,0)</f>
        <v>MF_IBAGUE</v>
      </c>
    </row>
    <row r="96" spans="1:10">
      <c r="A96" s="32">
        <v>876</v>
      </c>
      <c r="B96" s="33">
        <v>9682</v>
      </c>
      <c r="C96" s="3">
        <v>2550000</v>
      </c>
      <c r="D96" s="3"/>
      <c r="E96" s="31">
        <f t="shared" si="5"/>
        <v>2550000</v>
      </c>
      <c r="F96" s="5">
        <v>45966</v>
      </c>
      <c r="G96" s="4">
        <v>20251104</v>
      </c>
      <c r="H96" s="38" t="str">
        <f>VLOOKUP(B96,CAJEROS!B:D,3,0)</f>
        <v>Multifuncional</v>
      </c>
      <c r="I96" s="34" t="s">
        <v>9</v>
      </c>
      <c r="J96" s="38" t="str">
        <f>VLOOKUP(B96,CAJEROS!B:E,4,0)</f>
        <v>MF_VILCAM1</v>
      </c>
    </row>
    <row r="97" spans="1:10">
      <c r="A97" s="32">
        <v>287</v>
      </c>
      <c r="B97" s="33">
        <v>907</v>
      </c>
      <c r="C97" s="3">
        <v>2522200</v>
      </c>
      <c r="D97" s="3"/>
      <c r="E97" s="31">
        <f t="shared" si="5"/>
        <v>2522200</v>
      </c>
      <c r="F97" s="5">
        <v>45966</v>
      </c>
      <c r="G97" s="4">
        <v>20251104</v>
      </c>
      <c r="H97" s="38" t="str">
        <f>VLOOKUP(B97,CAJEROS!B:D,3,0)</f>
        <v>Multifuncional</v>
      </c>
      <c r="I97" s="34" t="s">
        <v>9</v>
      </c>
      <c r="J97" s="38" t="str">
        <f>VLOOKUP(B97,CAJEROS!B:E,4,0)</f>
        <v>MFABASTOBGA</v>
      </c>
    </row>
    <row r="98" spans="1:10">
      <c r="A98" s="32">
        <v>363</v>
      </c>
      <c r="B98" s="33">
        <v>5168</v>
      </c>
      <c r="C98" s="3">
        <v>2187700</v>
      </c>
      <c r="D98" s="3"/>
      <c r="E98" s="31">
        <f t="shared" si="5"/>
        <v>2187700</v>
      </c>
      <c r="F98" s="5">
        <v>45966</v>
      </c>
      <c r="G98" s="4">
        <v>20251104</v>
      </c>
      <c r="H98" s="38" t="str">
        <f>VLOOKUP(B98,CAJEROS!B:D,3,0)</f>
        <v>Multifuncional</v>
      </c>
      <c r="I98" s="34" t="s">
        <v>9</v>
      </c>
      <c r="J98" s="38" t="str">
        <f>VLOOKUP(B98,CAJEROS!B:E,4,0)</f>
        <v>MF_YOPAL</v>
      </c>
    </row>
    <row r="99" spans="1:10">
      <c r="A99" s="32">
        <v>516</v>
      </c>
      <c r="B99" s="33">
        <v>9729</v>
      </c>
      <c r="C99" s="3">
        <v>1968000</v>
      </c>
      <c r="D99" s="3">
        <v>822050</v>
      </c>
      <c r="E99" s="31">
        <f t="shared" si="5"/>
        <v>1145950</v>
      </c>
      <c r="F99" s="5">
        <v>45966</v>
      </c>
      <c r="G99" s="4">
        <v>20251104</v>
      </c>
      <c r="H99" s="38" t="str">
        <f>VLOOKUP(B99,CAJEROS!B:D,3,0)</f>
        <v>Multifuncional</v>
      </c>
      <c r="I99" s="34" t="s">
        <v>9</v>
      </c>
      <c r="J99" s="38" t="str">
        <f>VLOOKUP(B99,CAJEROS!B:E,4,0)</f>
        <v>MF_SUCSTAM1</v>
      </c>
    </row>
    <row r="100" spans="1:10">
      <c r="A100" s="32">
        <v>944</v>
      </c>
      <c r="B100" s="33">
        <v>8353</v>
      </c>
      <c r="C100" s="3">
        <v>1960000</v>
      </c>
      <c r="D100" s="3">
        <v>1947700</v>
      </c>
      <c r="E100" s="31">
        <f t="shared" si="5"/>
        <v>12300</v>
      </c>
      <c r="F100" s="5">
        <v>45966</v>
      </c>
      <c r="G100" s="4">
        <v>20251104</v>
      </c>
      <c r="H100" s="38" t="str">
        <f>VLOOKUP(B100,CAJEROS!B:D,3,0)</f>
        <v>Multifuncional</v>
      </c>
      <c r="I100" s="34" t="s">
        <v>9</v>
      </c>
      <c r="J100" s="38" t="str">
        <f>VLOOKUP(B100,CAJEROS!B:E,4,0)</f>
        <v>MF_SANTABO1</v>
      </c>
    </row>
    <row r="101" spans="1:10">
      <c r="A101" s="32">
        <v>358</v>
      </c>
      <c r="B101" s="33">
        <v>5149</v>
      </c>
      <c r="C101" s="3">
        <v>1640000</v>
      </c>
      <c r="D101" s="3">
        <v>840000</v>
      </c>
      <c r="E101" s="31">
        <f t="shared" si="5"/>
        <v>800000</v>
      </c>
      <c r="F101" s="5">
        <v>45966</v>
      </c>
      <c r="G101" s="4">
        <v>20251104</v>
      </c>
      <c r="H101" s="38" t="str">
        <f>VLOOKUP(B101,CAJEROS!B:D,3,0)</f>
        <v>Multifuncional</v>
      </c>
      <c r="I101" s="34" t="s">
        <v>9</v>
      </c>
      <c r="J101" s="38" t="str">
        <f>VLOOKUP(B101,CAJEROS!B:E,4,0)</f>
        <v>MF_SOGAMOSO</v>
      </c>
    </row>
    <row r="102" spans="1:10">
      <c r="A102" s="32">
        <v>244</v>
      </c>
      <c r="B102" s="33">
        <v>5129</v>
      </c>
      <c r="C102" s="3">
        <v>1620000</v>
      </c>
      <c r="D102" s="3"/>
      <c r="E102" s="31">
        <f t="shared" si="5"/>
        <v>1620000</v>
      </c>
      <c r="F102" s="5">
        <v>45966</v>
      </c>
      <c r="G102" s="4">
        <v>20251104</v>
      </c>
      <c r="H102" s="38" t="str">
        <f>VLOOKUP(B102,CAJEROS!B:D,3,0)</f>
        <v>Multifuncional</v>
      </c>
      <c r="I102" s="34" t="s">
        <v>9</v>
      </c>
      <c r="J102" s="38" t="str">
        <f>VLOOKUP(B102,CAJEROS!B:E,4,0)</f>
        <v>MF_TRIGALAN</v>
      </c>
    </row>
    <row r="103" spans="1:10">
      <c r="A103" s="32">
        <v>852</v>
      </c>
      <c r="B103" s="33">
        <v>5050</v>
      </c>
      <c r="C103" s="3">
        <v>1120000</v>
      </c>
      <c r="D103" s="3">
        <v>42000</v>
      </c>
      <c r="E103" s="31">
        <f t="shared" si="5"/>
        <v>1078000</v>
      </c>
      <c r="F103" s="5">
        <v>45966</v>
      </c>
      <c r="G103" s="4">
        <v>20251104</v>
      </c>
      <c r="H103" s="38" t="str">
        <f>VLOOKUP(B103,CAJEROS!B:D,3,0)</f>
        <v>Multifuncional</v>
      </c>
      <c r="I103" s="34" t="s">
        <v>9</v>
      </c>
      <c r="J103" s="38" t="str">
        <f>VLOOKUP(B103,CAJEROS!B:E,4,0)</f>
        <v>MF_VICPLAZA</v>
      </c>
    </row>
    <row r="104" spans="1:10">
      <c r="A104" s="32">
        <v>569</v>
      </c>
      <c r="B104" s="33">
        <v>8129</v>
      </c>
      <c r="C104" s="3">
        <v>1090000</v>
      </c>
      <c r="D104" s="3"/>
      <c r="E104" s="31">
        <f t="shared" si="5"/>
        <v>1090000</v>
      </c>
      <c r="F104" s="5">
        <v>45966</v>
      </c>
      <c r="G104" s="4">
        <v>20251104</v>
      </c>
      <c r="H104" s="38" t="str">
        <f>VLOOKUP(B104,CAJEROS!B:D,3,0)</f>
        <v>Multifuncional</v>
      </c>
      <c r="I104" s="34" t="s">
        <v>9</v>
      </c>
      <c r="J104" s="38" t="str">
        <f>VLOOKUP(B104,CAJEROS!B:E,4,0)</f>
        <v>MF_BUENMON2</v>
      </c>
    </row>
    <row r="105" spans="1:10">
      <c r="A105" s="32">
        <v>481</v>
      </c>
      <c r="B105" s="33">
        <v>1010</v>
      </c>
      <c r="C105" s="3">
        <v>1036000</v>
      </c>
      <c r="D105" s="3"/>
      <c r="E105" s="31">
        <f t="shared" si="5"/>
        <v>1036000</v>
      </c>
      <c r="F105" s="5">
        <v>45966</v>
      </c>
      <c r="G105" s="4">
        <v>20251104</v>
      </c>
      <c r="H105" s="38" t="str">
        <f>VLOOKUP(B105,CAJEROS!B:D,3,0)</f>
        <v>Multifuncional</v>
      </c>
      <c r="I105" s="34" t="s">
        <v>9</v>
      </c>
      <c r="J105" s="38" t="str">
        <f>VLOOKUP(B105,CAJEROS!B:E,4,0)</f>
        <v>MF_SOLEDAD1</v>
      </c>
    </row>
    <row r="106" spans="1:10">
      <c r="A106" s="32">
        <v>844</v>
      </c>
      <c r="B106" s="33">
        <v>6169</v>
      </c>
      <c r="C106" s="3">
        <v>780000</v>
      </c>
      <c r="D106" s="3"/>
      <c r="E106" s="31">
        <f t="shared" si="5"/>
        <v>780000</v>
      </c>
      <c r="F106" s="5">
        <v>45966</v>
      </c>
      <c r="G106" s="4">
        <v>20251104</v>
      </c>
      <c r="H106" s="38" t="str">
        <f>VLOOKUP(B106,CAJEROS!B:D,3,0)</f>
        <v>Multifuncional</v>
      </c>
      <c r="I106" s="34" t="s">
        <v>9</v>
      </c>
      <c r="J106" s="38" t="str">
        <f>VLOOKUP(B106,CAJEROS!B:E,4,0)</f>
        <v>MF_PRIMAVRA</v>
      </c>
    </row>
    <row r="107" spans="1:10">
      <c r="A107" s="32">
        <v>467</v>
      </c>
      <c r="B107" s="33">
        <v>9052</v>
      </c>
      <c r="C107" s="3">
        <v>655000</v>
      </c>
      <c r="D107" s="3"/>
      <c r="E107" s="31">
        <f t="shared" si="5"/>
        <v>655000</v>
      </c>
      <c r="F107" s="5">
        <v>45966</v>
      </c>
      <c r="G107" s="4">
        <v>20251104</v>
      </c>
      <c r="H107" s="38" t="str">
        <f>VLOOKUP(B107,CAJEROS!B:D,3,0)</f>
        <v>Multifuncional</v>
      </c>
      <c r="I107" s="34" t="s">
        <v>9</v>
      </c>
      <c r="J107" s="38" t="str">
        <f>VLOOKUP(B107,CAJEROS!B:E,4,0)</f>
        <v>MFHDVERPLZ2</v>
      </c>
    </row>
    <row r="108" spans="1:10">
      <c r="A108" s="32">
        <v>154</v>
      </c>
      <c r="B108" s="33">
        <v>5041</v>
      </c>
      <c r="C108" s="3">
        <v>500000</v>
      </c>
      <c r="D108" s="3"/>
      <c r="E108" s="31">
        <f t="shared" si="5"/>
        <v>500000</v>
      </c>
      <c r="F108" s="5">
        <v>45966</v>
      </c>
      <c r="G108" s="4">
        <v>20251104</v>
      </c>
      <c r="H108" s="38" t="str">
        <f>VLOOKUP(B108,CAJEROS!B:D,3,0)</f>
        <v>Multifuncional</v>
      </c>
      <c r="I108" s="34" t="s">
        <v>9</v>
      </c>
      <c r="J108" s="38" t="str">
        <f>VLOOKUP(B108,CAJEROS!B:E,4,0)</f>
        <v>MF_CMAYOR</v>
      </c>
    </row>
    <row r="109" spans="1:10">
      <c r="A109" s="32">
        <v>888</v>
      </c>
      <c r="B109" s="33">
        <v>6818</v>
      </c>
      <c r="C109" s="3">
        <v>450000</v>
      </c>
      <c r="D109" s="3">
        <v>400000</v>
      </c>
      <c r="E109" s="31">
        <f t="shared" si="5"/>
        <v>50000</v>
      </c>
      <c r="F109" s="5">
        <v>45966</v>
      </c>
      <c r="G109" s="4">
        <v>20251104</v>
      </c>
      <c r="H109" s="38" t="str">
        <f>VLOOKUP(B109,CAJEROS!B:D,3,0)</f>
        <v>Multifuncional</v>
      </c>
      <c r="I109" s="34" t="s">
        <v>9</v>
      </c>
      <c r="J109" s="38" t="str">
        <f>VLOOKUP(B109,CAJEROS!B:E,4,0)</f>
        <v>MF_IPIALES</v>
      </c>
    </row>
    <row r="110" spans="1:10">
      <c r="A110" s="32">
        <v>551</v>
      </c>
      <c r="B110" s="33">
        <v>9644</v>
      </c>
      <c r="C110" s="3">
        <v>190000</v>
      </c>
      <c r="D110" s="3"/>
      <c r="E110" s="31">
        <f t="shared" si="5"/>
        <v>190000</v>
      </c>
      <c r="F110" s="5">
        <v>45966</v>
      </c>
      <c r="G110" s="4">
        <v>20251104</v>
      </c>
      <c r="H110" s="38" t="str">
        <f>VLOOKUP(B110,CAJEROS!B:D,3,0)</f>
        <v>Multifuncional</v>
      </c>
      <c r="I110" s="34" t="s">
        <v>9</v>
      </c>
      <c r="J110" s="38" t="str">
        <f>VLOOKUP(B110,CAJEROS!B:E,4,0)</f>
        <v>MFSUCUNIME2</v>
      </c>
    </row>
    <row r="111" spans="1:10">
      <c r="A111" s="32">
        <v>812</v>
      </c>
      <c r="B111" s="33">
        <v>7614</v>
      </c>
      <c r="C111" s="3">
        <v>186000</v>
      </c>
      <c r="D111" s="3"/>
      <c r="E111" s="31">
        <f t="shared" si="5"/>
        <v>186000</v>
      </c>
      <c r="F111" s="5">
        <v>45966</v>
      </c>
      <c r="G111" s="4">
        <v>20251104</v>
      </c>
      <c r="H111" s="38" t="str">
        <f>VLOOKUP(B111,CAJEROS!B:D,3,0)</f>
        <v>Multifuncional</v>
      </c>
      <c r="I111" s="34" t="s">
        <v>9</v>
      </c>
      <c r="J111" s="38" t="str">
        <f>VLOOKUP(B111,CAJEROS!B:E,4,0)</f>
        <v>MF_CHPICHP3</v>
      </c>
    </row>
    <row r="112" spans="1:10">
      <c r="A112" s="32">
        <v>810</v>
      </c>
      <c r="B112" s="33">
        <v>8204</v>
      </c>
      <c r="C112" s="3">
        <v>100000</v>
      </c>
      <c r="D112" s="3"/>
      <c r="E112" s="31">
        <f t="shared" si="5"/>
        <v>100000</v>
      </c>
      <c r="F112" s="5">
        <v>45966</v>
      </c>
      <c r="G112" s="4">
        <v>20251104</v>
      </c>
      <c r="H112" s="38" t="str">
        <f>VLOOKUP(B112,CAJEROS!B:D,3,0)</f>
        <v>Multifuncional</v>
      </c>
      <c r="I112" s="34" t="s">
        <v>9</v>
      </c>
      <c r="J112" s="38" t="str">
        <f>VLOOKUP(B112,CAJEROS!B:E,4,0)</f>
        <v>MF_OESTE</v>
      </c>
    </row>
    <row r="113" spans="1:10">
      <c r="A113" s="32">
        <v>551</v>
      </c>
      <c r="B113" s="33">
        <v>9643</v>
      </c>
      <c r="C113" s="3">
        <v>70000</v>
      </c>
      <c r="D113" s="3"/>
      <c r="E113" s="31">
        <f t="shared" si="5"/>
        <v>70000</v>
      </c>
      <c r="F113" s="5">
        <v>45966</v>
      </c>
      <c r="G113" s="4">
        <v>20251104</v>
      </c>
      <c r="H113" s="38" t="str">
        <f>VLOOKUP(B113,CAJEROS!B:D,3,0)</f>
        <v>Multifuncional</v>
      </c>
      <c r="I113" s="34" t="s">
        <v>9</v>
      </c>
      <c r="J113" s="38" t="str">
        <f>VLOOKUP(B113,CAJEROS!B:E,4,0)</f>
        <v>MFSUCUNIME1</v>
      </c>
    </row>
    <row r="114" spans="1:10">
      <c r="A114" s="32">
        <v>916</v>
      </c>
      <c r="B114" s="33">
        <v>5052</v>
      </c>
      <c r="C114" s="3">
        <v>60000</v>
      </c>
      <c r="D114" s="3"/>
      <c r="E114" s="31">
        <f t="shared" si="5"/>
        <v>60000</v>
      </c>
      <c r="F114" s="5">
        <v>45966</v>
      </c>
      <c r="G114" s="4">
        <v>20251104</v>
      </c>
      <c r="H114" s="38" t="str">
        <f>VLOOKUP(B114,CAJEROS!B:D,3,0)</f>
        <v>Multifuncional</v>
      </c>
      <c r="I114" s="34" t="s">
        <v>9</v>
      </c>
      <c r="J114" s="38" t="str">
        <f>VLOOKUP(B114,CAJEROS!B:E,4,0)</f>
        <v>MF_OCEANMAL</v>
      </c>
    </row>
    <row r="115" spans="1:10">
      <c r="A115" s="32">
        <v>693</v>
      </c>
      <c r="B115" s="33">
        <v>7979</v>
      </c>
      <c r="C115" s="3">
        <v>54000</v>
      </c>
      <c r="D115" s="3"/>
      <c r="E115" s="31">
        <f t="shared" si="5"/>
        <v>54000</v>
      </c>
      <c r="F115" s="5">
        <v>45966</v>
      </c>
      <c r="G115" s="4">
        <v>20251104</v>
      </c>
      <c r="H115" s="38" t="str">
        <f>VLOOKUP(B115,CAJEROS!B:D,3,0)</f>
        <v>Multifuncional</v>
      </c>
      <c r="I115" s="34" t="s">
        <v>9</v>
      </c>
      <c r="J115" s="38" t="str">
        <f>VLOOKUP(B115,CAJEROS!B:E,4,0)</f>
        <v>MF_CCSNTAF3</v>
      </c>
    </row>
    <row r="116" spans="1:10">
      <c r="A116" s="32">
        <v>716</v>
      </c>
      <c r="B116" s="33">
        <v>5192</v>
      </c>
      <c r="C116" s="3">
        <v>35600</v>
      </c>
      <c r="D116" s="3"/>
      <c r="E116" s="31">
        <f t="shared" si="5"/>
        <v>35600</v>
      </c>
      <c r="F116" s="5">
        <v>45966</v>
      </c>
      <c r="G116" s="4">
        <v>20251104</v>
      </c>
      <c r="H116" s="38" t="str">
        <f>VLOOKUP(B116,CAJEROS!B:D,3,0)</f>
        <v>Multifuncional</v>
      </c>
      <c r="I116" s="34" t="s">
        <v>9</v>
      </c>
      <c r="J116" s="38" t="str">
        <f>VLOOKUP(B116,CAJEROS!B:E,4,0)</f>
        <v>MF_AVCGORDS</v>
      </c>
    </row>
    <row r="117" spans="1:10">
      <c r="A117" s="32">
        <v>59</v>
      </c>
      <c r="B117" s="33">
        <v>3667</v>
      </c>
      <c r="C117" s="3">
        <v>10000</v>
      </c>
      <c r="D117" s="3"/>
      <c r="E117" s="31">
        <f t="shared" si="5"/>
        <v>10000</v>
      </c>
      <c r="F117" s="5">
        <v>45966</v>
      </c>
      <c r="G117" s="4">
        <v>20251104</v>
      </c>
      <c r="H117" s="38" t="str">
        <f>VLOOKUP(B117,CAJEROS!B:D,3,0)</f>
        <v>Dispensador</v>
      </c>
      <c r="I117" s="34"/>
      <c r="J117" s="38" t="str">
        <f>VLOOKUP(B117,CAJEROS!B:E,4,0)</f>
        <v>AVSANTAN_1</v>
      </c>
    </row>
    <row r="118" spans="1:10">
      <c r="A118" s="32">
        <v>108</v>
      </c>
      <c r="B118" s="33">
        <v>2042</v>
      </c>
      <c r="C118" s="3">
        <v>4500000</v>
      </c>
      <c r="D118" s="3"/>
      <c r="E118" s="31">
        <f t="shared" si="5"/>
        <v>4500000</v>
      </c>
      <c r="F118" s="5">
        <v>45966</v>
      </c>
      <c r="G118" s="4">
        <v>20251104</v>
      </c>
      <c r="H118" s="38" t="str">
        <f>VLOOKUP(B118,CAJEROS!B:D,3,0)</f>
        <v>Dispensador</v>
      </c>
      <c r="I118" s="34"/>
      <c r="J118" s="38" t="str">
        <f>VLOOKUP(B118,CAJEROS!B:E,4,0)</f>
        <v>SUCPLZAMER5</v>
      </c>
    </row>
    <row r="119" spans="1:10">
      <c r="A119" s="32">
        <v>186</v>
      </c>
      <c r="B119" s="33">
        <v>6514</v>
      </c>
      <c r="C119" s="3">
        <v>110000</v>
      </c>
      <c r="D119" s="3">
        <v>10000</v>
      </c>
      <c r="E119" s="31">
        <f t="shared" si="5"/>
        <v>100000</v>
      </c>
      <c r="F119" s="5">
        <v>45966</v>
      </c>
      <c r="G119" s="4">
        <v>20251104</v>
      </c>
      <c r="H119" s="38" t="str">
        <f>VLOOKUP(B119,CAJEROS!B:D,3,0)</f>
        <v>Dispensador</v>
      </c>
      <c r="I119" s="34"/>
      <c r="J119" s="38" t="str">
        <f>VLOOKUP(B119,CAJEROS!B:E,4,0)</f>
        <v>SUC_GALERI5</v>
      </c>
    </row>
    <row r="120" spans="1:10">
      <c r="A120" s="32">
        <v>211</v>
      </c>
      <c r="B120" s="33">
        <v>5308</v>
      </c>
      <c r="C120" s="3">
        <v>820000</v>
      </c>
      <c r="D120" s="3"/>
      <c r="E120" s="31">
        <f t="shared" si="5"/>
        <v>820000</v>
      </c>
      <c r="F120" s="5">
        <v>45966</v>
      </c>
      <c r="G120" s="4">
        <v>20251104</v>
      </c>
      <c r="H120" s="38" t="str">
        <f>VLOOKUP(B120,CAJEROS!B:D,3,0)</f>
        <v>Dispensador</v>
      </c>
      <c r="I120" s="34"/>
      <c r="J120" s="38" t="str">
        <f>VLOOKUP(B120,CAJEROS!B:E,4,0)</f>
        <v>SUC_INDUST1</v>
      </c>
    </row>
    <row r="121" spans="1:10">
      <c r="A121" s="32">
        <v>211</v>
      </c>
      <c r="B121" s="33">
        <v>5309</v>
      </c>
      <c r="C121" s="3">
        <v>840000</v>
      </c>
      <c r="D121" s="3">
        <v>60000</v>
      </c>
      <c r="E121" s="31">
        <f t="shared" si="5"/>
        <v>780000</v>
      </c>
      <c r="F121" s="5">
        <v>45966</v>
      </c>
      <c r="G121" s="4">
        <v>20251104</v>
      </c>
      <c r="H121" s="38" t="str">
        <f>VLOOKUP(B121,CAJEROS!B:D,3,0)</f>
        <v>Dispensador</v>
      </c>
      <c r="I121" s="34"/>
      <c r="J121" s="38" t="str">
        <f>VLOOKUP(B121,CAJEROS!B:E,4,0)</f>
        <v>SUC_INDUST2</v>
      </c>
    </row>
    <row r="122" spans="1:10">
      <c r="A122" s="32">
        <v>305</v>
      </c>
      <c r="B122" s="33">
        <v>3279</v>
      </c>
      <c r="C122" s="3">
        <v>50000</v>
      </c>
      <c r="D122" s="3"/>
      <c r="E122" s="31">
        <f t="shared" si="5"/>
        <v>50000</v>
      </c>
      <c r="F122" s="5">
        <v>45966</v>
      </c>
      <c r="G122" s="4">
        <v>20251104</v>
      </c>
      <c r="H122" s="38" t="str">
        <f>VLOOKUP(B122,CAJEROS!B:D,3,0)</f>
        <v>Dispensador</v>
      </c>
      <c r="I122" s="34"/>
      <c r="J122" s="38" t="str">
        <f>VLOOKUP(B122,CAJEROS!B:E,4,0)</f>
        <v>VILLACASAN2</v>
      </c>
    </row>
    <row r="123" spans="1:10">
      <c r="A123" s="32">
        <v>422</v>
      </c>
      <c r="B123" s="33">
        <v>4555</v>
      </c>
      <c r="C123" s="3">
        <v>4760000</v>
      </c>
      <c r="D123" s="3">
        <f>50000+190000</f>
        <v>240000</v>
      </c>
      <c r="E123" s="31">
        <f t="shared" si="5"/>
        <v>4520000</v>
      </c>
      <c r="F123" s="5">
        <v>45966</v>
      </c>
      <c r="G123" s="4">
        <v>20251104</v>
      </c>
      <c r="H123" s="38" t="str">
        <f>VLOOKUP(B123,CAJEROS!B:D,3,0)</f>
        <v>Dispensador</v>
      </c>
      <c r="I123" s="34"/>
      <c r="J123" s="38" t="str">
        <f>VLOOKUP(B123,CAJEROS!B:E,4,0)</f>
        <v>CHAPARRAL_2</v>
      </c>
    </row>
    <row r="124" spans="1:10">
      <c r="A124" s="32">
        <v>616</v>
      </c>
      <c r="B124" s="33">
        <v>1067</v>
      </c>
      <c r="C124" s="3">
        <v>100000</v>
      </c>
      <c r="D124" s="3"/>
      <c r="E124" s="31">
        <f t="shared" si="5"/>
        <v>100000</v>
      </c>
      <c r="F124" s="5">
        <v>45966</v>
      </c>
      <c r="G124" s="4">
        <v>20251104</v>
      </c>
      <c r="H124" s="38" t="str">
        <f>VLOOKUP(B124,CAJEROS!B:D,3,0)</f>
        <v>Dispensador</v>
      </c>
      <c r="I124" s="34"/>
      <c r="J124" s="38" t="str">
        <f>VLOOKUP(B124,CAJEROS!B:E,4,0)</f>
        <v>PQBOLIVAR_1</v>
      </c>
    </row>
    <row r="125" spans="1:10">
      <c r="A125" s="32">
        <v>651</v>
      </c>
      <c r="B125" s="33">
        <v>6511</v>
      </c>
      <c r="C125" s="3">
        <v>2700000</v>
      </c>
      <c r="D125" s="3"/>
      <c r="E125" s="31">
        <f t="shared" si="5"/>
        <v>2700000</v>
      </c>
      <c r="F125" s="5">
        <v>45966</v>
      </c>
      <c r="G125" s="4">
        <v>20251104</v>
      </c>
      <c r="H125" s="38" t="str">
        <f>VLOOKUP(B125,CAJEROS!B:D,3,0)</f>
        <v>Dispensador</v>
      </c>
      <c r="I125" s="34"/>
      <c r="J125" s="38" t="str">
        <f>VLOOKUP(B125,CAJEROS!B:E,4,0)</f>
        <v>BARBOSA</v>
      </c>
    </row>
    <row r="126" spans="1:10">
      <c r="A126" s="32">
        <v>733</v>
      </c>
      <c r="B126" s="33">
        <v>5337</v>
      </c>
      <c r="C126" s="3">
        <v>16800000</v>
      </c>
      <c r="D126" s="3">
        <v>500000</v>
      </c>
      <c r="E126" s="31">
        <f t="shared" si="5"/>
        <v>16300000</v>
      </c>
      <c r="F126" s="5">
        <v>45966</v>
      </c>
      <c r="G126" s="4">
        <v>20251104</v>
      </c>
      <c r="H126" s="38" t="str">
        <f>VLOOKUP(B126,CAJEROS!B:D,3,0)</f>
        <v>Dispensador</v>
      </c>
      <c r="I126" s="34"/>
      <c r="J126" s="38" t="str">
        <f>VLOOKUP(B126,CAJEROS!B:E,4,0)</f>
        <v>LAUNIONVAL1</v>
      </c>
    </row>
    <row r="127" spans="1:10">
      <c r="A127" s="32">
        <v>789</v>
      </c>
      <c r="B127" s="33">
        <v>5661</v>
      </c>
      <c r="C127" s="3">
        <v>750000</v>
      </c>
      <c r="D127" s="3"/>
      <c r="E127" s="31">
        <f t="shared" si="5"/>
        <v>750000</v>
      </c>
      <c r="F127" s="5">
        <v>45966</v>
      </c>
      <c r="G127" s="4">
        <v>20251104</v>
      </c>
      <c r="H127" s="38" t="str">
        <f>VLOOKUP(B127,CAJEROS!B:D,3,0)</f>
        <v>Dispensador</v>
      </c>
      <c r="I127" s="34"/>
      <c r="J127" s="38" t="str">
        <f>VLOOKUP(B127,CAJEROS!B:E,4,0)</f>
        <v>MANGA3</v>
      </c>
    </row>
    <row r="128" spans="1:10">
      <c r="A128" s="32">
        <v>866</v>
      </c>
      <c r="B128" s="33">
        <v>6260</v>
      </c>
      <c r="C128" s="3">
        <v>220000</v>
      </c>
      <c r="D128" s="3"/>
      <c r="E128" s="31">
        <f t="shared" si="5"/>
        <v>220000</v>
      </c>
      <c r="F128" s="5">
        <v>45966</v>
      </c>
      <c r="G128" s="4">
        <v>20251104</v>
      </c>
      <c r="H128" s="38" t="str">
        <f>VLOOKUP(B128,CAJEROS!B:D,3,0)</f>
        <v>Dispensador</v>
      </c>
      <c r="I128" s="34"/>
      <c r="J128" s="38" t="str">
        <f>VLOOKUP(B128,CAJEROS!B:E,4,0)</f>
        <v>SUC_FLORID4</v>
      </c>
    </row>
    <row r="129" spans="1:10">
      <c r="A129" s="32">
        <v>943</v>
      </c>
      <c r="B129" s="33">
        <v>3428</v>
      </c>
      <c r="C129" s="3">
        <v>90000</v>
      </c>
      <c r="D129" s="3"/>
      <c r="E129" s="31">
        <f t="shared" si="5"/>
        <v>90000</v>
      </c>
      <c r="F129" s="5">
        <v>45966</v>
      </c>
      <c r="G129" s="4">
        <v>20251104</v>
      </c>
      <c r="H129" s="38" t="str">
        <f>VLOOKUP(B129,CAJEROS!B:D,3,0)</f>
        <v>Dispensador</v>
      </c>
      <c r="I129" s="34"/>
      <c r="J129" s="38" t="str">
        <f>VLOOKUP(B129,CAJEROS!B:E,4,0)</f>
        <v>LETICIA_2</v>
      </c>
    </row>
    <row r="130" spans="1:10">
      <c r="A130" s="32">
        <v>7</v>
      </c>
      <c r="B130" s="33">
        <v>5613</v>
      </c>
      <c r="C130" s="3">
        <v>50000</v>
      </c>
      <c r="D130" s="3">
        <v>50000</v>
      </c>
      <c r="E130" s="31">
        <f t="shared" si="5"/>
        <v>0</v>
      </c>
      <c r="F130" s="5">
        <v>45966</v>
      </c>
      <c r="G130" s="4">
        <v>20251104</v>
      </c>
      <c r="H130" s="38" t="str">
        <f>VLOOKUP(B130,CAJEROS!B:D,3,0)</f>
        <v>Dispensador</v>
      </c>
      <c r="I130" s="34" t="s">
        <v>9</v>
      </c>
      <c r="J130" s="38" t="str">
        <f>VLOOKUP(B130,CAJEROS!B:E,4,0)</f>
        <v>SUC_MOLIN2</v>
      </c>
    </row>
    <row r="131" spans="1:10">
      <c r="A131" s="32">
        <v>57</v>
      </c>
      <c r="B131" s="33">
        <v>9949</v>
      </c>
      <c r="C131" s="3">
        <v>5000000</v>
      </c>
      <c r="D131" s="3">
        <v>4500000</v>
      </c>
      <c r="E131" s="31">
        <f t="shared" si="5"/>
        <v>500000</v>
      </c>
      <c r="F131" s="5">
        <v>45966</v>
      </c>
      <c r="G131" s="4">
        <v>20251104</v>
      </c>
      <c r="H131" s="38" t="str">
        <f>VLOOKUP(B131,CAJEROS!B:D,3,0)</f>
        <v>Dispensador</v>
      </c>
      <c r="I131" s="34" t="s">
        <v>9</v>
      </c>
      <c r="J131" s="38" t="str">
        <f>VLOOKUP(B131,CAJEROS!B:E,4,0)</f>
        <v>SUC_VILLAO4</v>
      </c>
    </row>
    <row r="132" spans="1:10">
      <c r="A132" s="32">
        <v>68</v>
      </c>
      <c r="B132" s="33">
        <v>4981</v>
      </c>
      <c r="C132" s="3">
        <v>50000</v>
      </c>
      <c r="D132" s="3"/>
      <c r="E132" s="31">
        <f t="shared" si="5"/>
        <v>50000</v>
      </c>
      <c r="F132" s="5">
        <v>45966</v>
      </c>
      <c r="G132" s="4">
        <v>20251104</v>
      </c>
      <c r="H132" s="38" t="str">
        <f>VLOOKUP(B132,CAJEROS!B:D,3,0)</f>
        <v>Dispensador</v>
      </c>
      <c r="I132" s="34" t="s">
        <v>9</v>
      </c>
      <c r="J132" s="38" t="str">
        <f>VLOOKUP(B132,CAJEROS!B:E,4,0)</f>
        <v>AUTO_IBAGU3</v>
      </c>
    </row>
    <row r="133" spans="1:10">
      <c r="A133" s="32">
        <v>85</v>
      </c>
      <c r="B133" s="33">
        <v>8971</v>
      </c>
      <c r="C133" s="3">
        <v>50000</v>
      </c>
      <c r="D133" s="3"/>
      <c r="E133" s="31">
        <f t="shared" si="5"/>
        <v>50000</v>
      </c>
      <c r="F133" s="5">
        <v>45966</v>
      </c>
      <c r="G133" s="4">
        <v>20251104</v>
      </c>
      <c r="H133" s="38" t="str">
        <f>VLOOKUP(B133,CAJEROS!B:D,3,0)</f>
        <v>Dispensador</v>
      </c>
      <c r="I133" s="34" t="s">
        <v>9</v>
      </c>
      <c r="J133" s="38" t="str">
        <f>VLOOKUP(B133,CAJEROS!B:E,4,0)</f>
        <v>SUCSERZUL_2</v>
      </c>
    </row>
    <row r="134" spans="1:10">
      <c r="A134" s="32">
        <v>153</v>
      </c>
      <c r="B134" s="33">
        <v>9880</v>
      </c>
      <c r="C134" s="3">
        <v>2540000</v>
      </c>
      <c r="D134" s="3">
        <v>2530000</v>
      </c>
      <c r="E134" s="31">
        <f t="shared" ref="E134:E148" si="6">+C134-D134</f>
        <v>10000</v>
      </c>
      <c r="F134" s="5">
        <v>45966</v>
      </c>
      <c r="G134" s="4">
        <v>20251104</v>
      </c>
      <c r="H134" s="38" t="str">
        <f>VLOOKUP(B134,CAJEROS!B:D,3,0)</f>
        <v>Dispensador</v>
      </c>
      <c r="I134" s="34" t="s">
        <v>9</v>
      </c>
      <c r="J134" s="38" t="str">
        <f>VLOOKUP(B134,CAJEROS!B:E,4,0)</f>
        <v>EXITOIBAG_2</v>
      </c>
    </row>
    <row r="135" spans="1:10">
      <c r="A135" s="32">
        <v>159</v>
      </c>
      <c r="B135" s="33">
        <v>4775</v>
      </c>
      <c r="C135" s="3">
        <v>240000</v>
      </c>
      <c r="D135" s="3"/>
      <c r="E135" s="31">
        <f t="shared" si="6"/>
        <v>240000</v>
      </c>
      <c r="F135" s="5">
        <v>45966</v>
      </c>
      <c r="G135" s="4">
        <v>20251104</v>
      </c>
      <c r="H135" s="38" t="str">
        <f>VLOOKUP(B135,CAJEROS!B:D,3,0)</f>
        <v>Dispensador</v>
      </c>
      <c r="I135" s="34" t="s">
        <v>9</v>
      </c>
      <c r="J135" s="38" t="str">
        <f>VLOOKUP(B135,CAJEROS!B:E,4,0)</f>
        <v>FUNZA_1</v>
      </c>
    </row>
    <row r="136" spans="1:10">
      <c r="A136" s="32">
        <v>225</v>
      </c>
      <c r="B136" s="33">
        <v>8863</v>
      </c>
      <c r="C136" s="3">
        <v>50000</v>
      </c>
      <c r="D136" s="3"/>
      <c r="E136" s="31">
        <f t="shared" si="6"/>
        <v>50000</v>
      </c>
      <c r="F136" s="5">
        <v>45966</v>
      </c>
      <c r="G136" s="4">
        <v>20251104</v>
      </c>
      <c r="H136" s="38" t="str">
        <f>VLOOKUP(B136,CAJEROS!B:D,3,0)</f>
        <v>Dispensador</v>
      </c>
      <c r="I136" s="34" t="s">
        <v>9</v>
      </c>
      <c r="J136" s="38" t="str">
        <f>VLOOKUP(B136,CAJEROS!B:E,4,0)</f>
        <v>SMALPLANQS1</v>
      </c>
    </row>
    <row r="137" spans="1:10">
      <c r="A137" s="32">
        <v>322</v>
      </c>
      <c r="B137" s="33">
        <v>2441</v>
      </c>
      <c r="C137" s="3">
        <v>50000</v>
      </c>
      <c r="D137" s="3"/>
      <c r="E137" s="31">
        <f t="shared" si="6"/>
        <v>50000</v>
      </c>
      <c r="F137" s="5">
        <v>45966</v>
      </c>
      <c r="G137" s="4">
        <v>20251104</v>
      </c>
      <c r="H137" s="38" t="str">
        <f>VLOOKUP(B137,CAJEROS!B:D,3,0)</f>
        <v>Dispensador</v>
      </c>
      <c r="I137" s="34" t="s">
        <v>9</v>
      </c>
      <c r="J137" s="38" t="str">
        <f>VLOOKUP(B137,CAJEROS!B:E,4,0)</f>
        <v>SUCSANGIL1</v>
      </c>
    </row>
    <row r="138" spans="1:10">
      <c r="A138" s="32">
        <v>341</v>
      </c>
      <c r="B138" s="33">
        <v>3411</v>
      </c>
      <c r="C138" s="3">
        <v>100000</v>
      </c>
      <c r="D138" s="3"/>
      <c r="E138" s="31">
        <f t="shared" si="6"/>
        <v>100000</v>
      </c>
      <c r="F138" s="5">
        <v>45966</v>
      </c>
      <c r="G138" s="4">
        <v>20251104</v>
      </c>
      <c r="H138" s="38" t="str">
        <f>VLOOKUP(B138,CAJEROS!B:D,3,0)</f>
        <v>Dispensador</v>
      </c>
      <c r="I138" s="34" t="s">
        <v>9</v>
      </c>
      <c r="J138" s="38" t="str">
        <f>VLOOKUP(B138,CAJEROS!B:E,4,0)</f>
        <v>PACHO</v>
      </c>
    </row>
    <row r="139" spans="1:10">
      <c r="A139" s="32">
        <v>392</v>
      </c>
      <c r="B139" s="33">
        <v>4794</v>
      </c>
      <c r="C139" s="3">
        <v>160000</v>
      </c>
      <c r="D139" s="3">
        <f>120000+10000</f>
        <v>130000</v>
      </c>
      <c r="E139" s="31">
        <f t="shared" si="6"/>
        <v>30000</v>
      </c>
      <c r="F139" s="5">
        <v>45966</v>
      </c>
      <c r="G139" s="4">
        <v>20251104</v>
      </c>
      <c r="H139" s="38" t="str">
        <f>VLOOKUP(B139,CAJEROS!B:D,3,0)</f>
        <v>Dispensador</v>
      </c>
      <c r="I139" s="34" t="s">
        <v>9</v>
      </c>
      <c r="J139" s="38" t="str">
        <f>VLOOKUP(B139,CAJEROS!B:E,4,0)</f>
        <v>LADORADA2</v>
      </c>
    </row>
    <row r="140" spans="1:10">
      <c r="A140" s="32">
        <v>499</v>
      </c>
      <c r="B140" s="33">
        <v>9808</v>
      </c>
      <c r="C140" s="3">
        <v>1200000</v>
      </c>
      <c r="D140" s="3"/>
      <c r="E140" s="31">
        <f t="shared" si="6"/>
        <v>1200000</v>
      </c>
      <c r="F140" s="5">
        <v>45966</v>
      </c>
      <c r="G140" s="4">
        <v>20251104</v>
      </c>
      <c r="H140" s="38" t="str">
        <f>VLOOKUP(B140,CAJEROS!B:D,3,0)</f>
        <v>Dispensador</v>
      </c>
      <c r="I140" s="34" t="s">
        <v>9</v>
      </c>
      <c r="J140" s="38" t="str">
        <f>VLOOKUP(B140,CAJEROS!B:E,4,0)</f>
        <v>SUCPARFAB10</v>
      </c>
    </row>
    <row r="141" spans="1:10">
      <c r="A141" s="32">
        <v>503</v>
      </c>
      <c r="B141" s="33">
        <v>5032</v>
      </c>
      <c r="C141" s="3">
        <v>5000000</v>
      </c>
      <c r="D141" s="3">
        <v>2200000</v>
      </c>
      <c r="E141" s="31">
        <f t="shared" si="6"/>
        <v>2800000</v>
      </c>
      <c r="F141" s="5">
        <v>45966</v>
      </c>
      <c r="G141" s="4">
        <v>20251104</v>
      </c>
      <c r="H141" s="38" t="str">
        <f>VLOOKUP(B141,CAJEROS!B:D,3,0)</f>
        <v>Dispensador</v>
      </c>
      <c r="I141" s="34" t="s">
        <v>9</v>
      </c>
      <c r="J141" s="38" t="str">
        <f>VLOOKUP(B141,CAJEROS!B:E,4,0)</f>
        <v>YARUMAL2</v>
      </c>
    </row>
    <row r="142" spans="1:10">
      <c r="A142" s="32">
        <v>541</v>
      </c>
      <c r="B142" s="33">
        <v>8654</v>
      </c>
      <c r="C142" s="3">
        <v>100000</v>
      </c>
      <c r="D142" s="3"/>
      <c r="E142" s="31">
        <f t="shared" si="6"/>
        <v>100000</v>
      </c>
      <c r="F142" s="5">
        <v>45966</v>
      </c>
      <c r="G142" s="4">
        <v>20251104</v>
      </c>
      <c r="H142" s="38" t="str">
        <f>VLOOKUP(B142,CAJEROS!B:D,3,0)</f>
        <v>Dispensador</v>
      </c>
      <c r="I142" s="34" t="s">
        <v>9</v>
      </c>
      <c r="J142" s="38" t="str">
        <f>VLOOKUP(B142,CAJEROS!B:E,4,0)</f>
        <v>SUCCALDASP5</v>
      </c>
    </row>
    <row r="143" spans="1:10">
      <c r="A143" s="32">
        <v>541</v>
      </c>
      <c r="B143" s="33">
        <v>8655</v>
      </c>
      <c r="C143" s="3">
        <v>100000</v>
      </c>
      <c r="D143" s="3"/>
      <c r="E143" s="31">
        <f t="shared" si="6"/>
        <v>100000</v>
      </c>
      <c r="F143" s="5">
        <v>45966</v>
      </c>
      <c r="G143" s="4">
        <v>20251104</v>
      </c>
      <c r="H143" s="38" t="str">
        <f>VLOOKUP(B143,CAJEROS!B:D,3,0)</f>
        <v>Dispensador</v>
      </c>
      <c r="I143" s="34" t="s">
        <v>9</v>
      </c>
      <c r="J143" s="38" t="str">
        <f>VLOOKUP(B143,CAJEROS!B:E,4,0)</f>
        <v>SUCCALDASP6</v>
      </c>
    </row>
    <row r="144" spans="1:10">
      <c r="A144" s="32">
        <v>656</v>
      </c>
      <c r="B144" s="33">
        <v>5664</v>
      </c>
      <c r="C144" s="3">
        <v>4650000</v>
      </c>
      <c r="D144" s="3">
        <v>4650000</v>
      </c>
      <c r="E144" s="31">
        <f t="shared" si="6"/>
        <v>0</v>
      </c>
      <c r="F144" s="5">
        <v>45966</v>
      </c>
      <c r="G144" s="4">
        <v>20251104</v>
      </c>
      <c r="H144" s="38" t="str">
        <f>VLOOKUP(B144,CAJEROS!B:D,3,0)</f>
        <v>Dispensador</v>
      </c>
      <c r="I144" s="34" t="s">
        <v>9</v>
      </c>
      <c r="J144" s="38" t="str">
        <f>VLOOKUP(B144,CAJEROS!B:E,4,0)</f>
        <v>SUC_MAYALP3</v>
      </c>
    </row>
    <row r="145" spans="1:10">
      <c r="A145" s="32">
        <v>688</v>
      </c>
      <c r="B145" s="33">
        <v>4840</v>
      </c>
      <c r="C145" s="3">
        <v>900000</v>
      </c>
      <c r="D145" s="3">
        <v>900000</v>
      </c>
      <c r="E145" s="31">
        <f t="shared" si="6"/>
        <v>0</v>
      </c>
      <c r="F145" s="5">
        <v>45966</v>
      </c>
      <c r="G145" s="4">
        <v>20251104</v>
      </c>
      <c r="H145" s="38" t="str">
        <f>VLOOKUP(B145,CAJEROS!B:D,3,0)</f>
        <v>Dispensador</v>
      </c>
      <c r="I145" s="34" t="s">
        <v>9</v>
      </c>
      <c r="J145" s="38" t="str">
        <f>VLOOKUP(B145,CAJEROS!B:E,4,0)</f>
        <v>SUC_CONTAD1</v>
      </c>
    </row>
    <row r="146" spans="1:10">
      <c r="A146" s="32">
        <v>730</v>
      </c>
      <c r="B146" s="33">
        <v>7262</v>
      </c>
      <c r="C146" s="3">
        <v>860000</v>
      </c>
      <c r="D146" s="3"/>
      <c r="E146" s="31">
        <f t="shared" si="6"/>
        <v>860000</v>
      </c>
      <c r="F146" s="5">
        <v>45966</v>
      </c>
      <c r="G146" s="4">
        <v>20251104</v>
      </c>
      <c r="H146" s="38" t="str">
        <f>VLOOKUP(B146,CAJEROS!B:D,3,0)</f>
        <v>Dispensador</v>
      </c>
      <c r="I146" s="34" t="s">
        <v>9</v>
      </c>
      <c r="J146" s="38" t="str">
        <f>VLOOKUP(B146,CAJEROS!B:E,4,0)</f>
        <v>SUC_LAMES1</v>
      </c>
    </row>
    <row r="147" spans="1:10">
      <c r="A147" s="32">
        <v>741</v>
      </c>
      <c r="B147" s="33">
        <v>6841</v>
      </c>
      <c r="C147" s="3">
        <v>200000</v>
      </c>
      <c r="D147" s="3"/>
      <c r="E147" s="31">
        <f t="shared" si="6"/>
        <v>200000</v>
      </c>
      <c r="F147" s="5">
        <v>45966</v>
      </c>
      <c r="G147" s="4">
        <v>20251104</v>
      </c>
      <c r="H147" s="38" t="str">
        <f>VLOOKUP(B147,CAJEROS!B:D,3,0)</f>
        <v>Dispensador</v>
      </c>
      <c r="I147" s="34" t="s">
        <v>9</v>
      </c>
      <c r="J147" s="38" t="str">
        <f>VLOOKUP(B147,CAJEROS!B:E,4,0)</f>
        <v>SUC_IDEO_1</v>
      </c>
    </row>
    <row r="148" spans="1:10">
      <c r="A148" s="32">
        <v>864</v>
      </c>
      <c r="B148" s="33">
        <v>5795</v>
      </c>
      <c r="C148" s="3">
        <v>50000</v>
      </c>
      <c r="D148" s="3"/>
      <c r="E148" s="31">
        <f t="shared" si="6"/>
        <v>50000</v>
      </c>
      <c r="F148" s="5">
        <v>45966</v>
      </c>
      <c r="G148" s="4">
        <v>20251104</v>
      </c>
      <c r="H148" s="38" t="str">
        <f>VLOOKUP(B148,CAJEROS!B:D,3,0)</f>
        <v>Dispensador</v>
      </c>
      <c r="I148" s="34" t="s">
        <v>9</v>
      </c>
      <c r="J148" s="38" t="str">
        <f>VLOOKUP(B148,CAJEROS!B:E,4,0)</f>
        <v>SUC_PRADER1</v>
      </c>
    </row>
    <row r="149" spans="1:10">
      <c r="A149" s="32">
        <v>944</v>
      </c>
      <c r="B149" s="33">
        <v>8358</v>
      </c>
      <c r="C149" s="3">
        <v>10000</v>
      </c>
      <c r="D149" s="3"/>
      <c r="E149" s="31">
        <f t="shared" ref="E149:E165" si="7">+C149-D149</f>
        <v>10000</v>
      </c>
      <c r="F149" s="5">
        <v>45966</v>
      </c>
      <c r="G149" s="4">
        <v>20251104</v>
      </c>
      <c r="H149" s="38" t="str">
        <f>VLOOKUP(B149,CAJEROS!B:D,3,0)</f>
        <v>Dispensador</v>
      </c>
      <c r="I149" s="34" t="s">
        <v>10</v>
      </c>
      <c r="J149" s="38" t="str">
        <f>VLOOKUP(B149,CAJEROS!B:E,4,0)</f>
        <v>SUCSANTABO4</v>
      </c>
    </row>
    <row r="150" spans="1:10">
      <c r="A150" s="32">
        <v>541</v>
      </c>
      <c r="B150" s="33">
        <v>8652</v>
      </c>
      <c r="C150" s="3">
        <v>20000</v>
      </c>
      <c r="D150" s="3"/>
      <c r="E150" s="31">
        <f t="shared" si="7"/>
        <v>20000</v>
      </c>
      <c r="F150" s="5">
        <v>45966</v>
      </c>
      <c r="G150" s="4">
        <v>20251104</v>
      </c>
      <c r="H150" s="38" t="str">
        <f>VLOOKUP(B150,CAJEROS!B:D,3,0)</f>
        <v>Dispensador</v>
      </c>
      <c r="I150" s="34" t="s">
        <v>10</v>
      </c>
      <c r="J150" s="38" t="str">
        <f>VLOOKUP(B150,CAJEROS!B:E,4,0)</f>
        <v>SUCCALDASP3</v>
      </c>
    </row>
    <row r="151" spans="1:10">
      <c r="A151" s="32">
        <v>541</v>
      </c>
      <c r="B151" s="33">
        <v>8659</v>
      </c>
      <c r="C151" s="3">
        <v>20000</v>
      </c>
      <c r="D151" s="3"/>
      <c r="E151" s="31">
        <f t="shared" si="7"/>
        <v>20000</v>
      </c>
      <c r="F151" s="5">
        <v>45966</v>
      </c>
      <c r="G151" s="4">
        <v>20251104</v>
      </c>
      <c r="H151" s="38" t="str">
        <f>VLOOKUP(B151,CAJEROS!B:D,3,0)</f>
        <v>Dispensador</v>
      </c>
      <c r="I151" s="34" t="s">
        <v>10</v>
      </c>
      <c r="J151" s="38" t="str">
        <f>VLOOKUP(B151,CAJEROS!B:E,4,0)</f>
        <v>SUCCALDAS10</v>
      </c>
    </row>
    <row r="152" spans="1:10">
      <c r="A152" s="32">
        <v>966</v>
      </c>
      <c r="B152" s="33">
        <v>9942</v>
      </c>
      <c r="C152" s="3">
        <v>20000</v>
      </c>
      <c r="D152" s="3"/>
      <c r="E152" s="31">
        <f t="shared" si="7"/>
        <v>20000</v>
      </c>
      <c r="F152" s="5">
        <v>45966</v>
      </c>
      <c r="G152" s="4">
        <v>20251104</v>
      </c>
      <c r="H152" s="38" t="str">
        <f>VLOOKUP(B152,CAJEROS!B:D,3,0)</f>
        <v>Dispensador</v>
      </c>
      <c r="I152" s="34" t="s">
        <v>10</v>
      </c>
      <c r="J152" s="38" t="str">
        <f>VLOOKUP(B152,CAJEROS!B:E,4,0)</f>
        <v>HALLSUCMTE2</v>
      </c>
    </row>
    <row r="153" spans="1:10">
      <c r="A153" s="32">
        <v>141</v>
      </c>
      <c r="B153" s="33">
        <v>1541</v>
      </c>
      <c r="C153" s="3">
        <v>20000</v>
      </c>
      <c r="D153" s="3"/>
      <c r="E153" s="31">
        <f t="shared" si="7"/>
        <v>20000</v>
      </c>
      <c r="F153" s="5">
        <v>45966</v>
      </c>
      <c r="G153" s="4">
        <v>20251104</v>
      </c>
      <c r="H153" s="38" t="str">
        <f>VLOOKUP(B153,CAJEROS!B:D,3,0)</f>
        <v>Multifuncional</v>
      </c>
      <c r="I153" s="34" t="s">
        <v>10</v>
      </c>
      <c r="J153" s="38" t="str">
        <f>VLOOKUP(B153,CAJEROS!B:E,4,0)</f>
        <v>MFSUCMERCA1</v>
      </c>
    </row>
    <row r="154" spans="1:10">
      <c r="A154" s="32">
        <v>76</v>
      </c>
      <c r="B154" s="33">
        <v>5126</v>
      </c>
      <c r="C154" s="3">
        <v>15000</v>
      </c>
      <c r="D154" s="3"/>
      <c r="E154" s="31">
        <f t="shared" si="7"/>
        <v>15000</v>
      </c>
      <c r="F154" s="5">
        <v>45966</v>
      </c>
      <c r="G154" s="4">
        <v>20251104</v>
      </c>
      <c r="H154" s="38" t="str">
        <f>VLOOKUP(B154,CAJEROS!B:D,3,0)</f>
        <v>Multifuncional</v>
      </c>
      <c r="I154" s="34" t="s">
        <v>10</v>
      </c>
      <c r="J154" s="38" t="str">
        <f>VLOOKUP(B154,CAJEROS!B:E,4,0)</f>
        <v>MF_NEIVA</v>
      </c>
    </row>
    <row r="155" spans="1:10">
      <c r="A155" s="32">
        <v>524</v>
      </c>
      <c r="B155" s="33">
        <v>6336</v>
      </c>
      <c r="C155" s="3">
        <v>2000</v>
      </c>
      <c r="D155" s="3"/>
      <c r="E155" s="31">
        <f t="shared" si="7"/>
        <v>2000</v>
      </c>
      <c r="F155" s="5">
        <v>45966</v>
      </c>
      <c r="G155" s="4">
        <v>20251104</v>
      </c>
      <c r="H155" s="38" t="str">
        <f>VLOOKUP(B155,CAJEROS!B:D,3,0)</f>
        <v>Multifuncional</v>
      </c>
      <c r="I155" s="34" t="s">
        <v>10</v>
      </c>
      <c r="J155" s="38" t="str">
        <f>VLOOKUP(B155,CAJEROS!B:E,4,0)</f>
        <v>MF_VALLEDUP</v>
      </c>
    </row>
    <row r="156" spans="1:10">
      <c r="A156" s="32">
        <v>641</v>
      </c>
      <c r="B156" s="33">
        <v>6410</v>
      </c>
      <c r="C156" s="3">
        <v>10000</v>
      </c>
      <c r="D156" s="3">
        <v>10000</v>
      </c>
      <c r="E156" s="31">
        <f t="shared" si="7"/>
        <v>0</v>
      </c>
      <c r="F156" s="5">
        <v>45966</v>
      </c>
      <c r="G156" s="4">
        <v>20251104</v>
      </c>
      <c r="H156" s="38" t="str">
        <f>VLOOKUP(B156,CAJEROS!B:D,3,0)</f>
        <v>Dispensador</v>
      </c>
      <c r="I156" s="34" t="s">
        <v>10</v>
      </c>
      <c r="J156" s="38" t="str">
        <f>VLOOKUP(B156,CAJEROS!B:E,4,0)</f>
        <v>CIUDABOLIVA</v>
      </c>
    </row>
    <row r="157" spans="1:10">
      <c r="A157" s="32">
        <v>111</v>
      </c>
      <c r="B157" s="33">
        <v>5671</v>
      </c>
      <c r="C157" s="3">
        <v>10000</v>
      </c>
      <c r="D157" s="3"/>
      <c r="E157" s="31">
        <f t="shared" si="7"/>
        <v>10000</v>
      </c>
      <c r="F157" s="5">
        <v>45966</v>
      </c>
      <c r="G157" s="4">
        <v>20251104</v>
      </c>
      <c r="H157" s="38" t="str">
        <f>VLOOKUP(B157,CAJEROS!B:D,3,0)</f>
        <v>Dispensador</v>
      </c>
      <c r="I157" s="34" t="s">
        <v>10</v>
      </c>
      <c r="J157" s="38" t="str">
        <f>VLOOKUP(B157,CAJEROS!B:E,4,0)</f>
        <v>SUC_COROZ3</v>
      </c>
    </row>
    <row r="158" spans="1:10">
      <c r="A158" s="32">
        <v>959</v>
      </c>
      <c r="B158" s="33">
        <v>5577</v>
      </c>
      <c r="C158" s="3">
        <v>20000</v>
      </c>
      <c r="D158" s="3"/>
      <c r="E158" s="31">
        <f t="shared" si="7"/>
        <v>20000</v>
      </c>
      <c r="F158" s="5">
        <v>45966</v>
      </c>
      <c r="G158" s="4">
        <v>20251104</v>
      </c>
      <c r="H158" s="38" t="str">
        <f>VLOOKUP(B158,CAJEROS!B:D,3,0)</f>
        <v>Dispensador</v>
      </c>
      <c r="I158" s="34" t="s">
        <v>10</v>
      </c>
      <c r="J158" s="38" t="str">
        <f>VLOOKUP(B158,CAJEROS!B:E,4,0)</f>
        <v>TURBO2</v>
      </c>
    </row>
    <row r="159" spans="1:10">
      <c r="A159" s="32">
        <v>318</v>
      </c>
      <c r="B159" s="33">
        <v>5348</v>
      </c>
      <c r="C159" s="3">
        <v>20000</v>
      </c>
      <c r="D159" s="3"/>
      <c r="E159" s="31">
        <f t="shared" si="7"/>
        <v>20000</v>
      </c>
      <c r="F159" s="5">
        <v>45966</v>
      </c>
      <c r="G159" s="4">
        <v>20251104</v>
      </c>
      <c r="H159" s="38" t="str">
        <f>VLOOKUP(B159,CAJEROS!B:D,3,0)</f>
        <v>Dispensador</v>
      </c>
      <c r="I159" s="34" t="s">
        <v>10</v>
      </c>
      <c r="J159" s="38" t="str">
        <f>VLOOKUP(B159,CAJEROS!B:E,4,0)</f>
        <v>SUC_OCANA1</v>
      </c>
    </row>
    <row r="160" spans="1:10">
      <c r="A160" s="32">
        <v>289</v>
      </c>
      <c r="B160" s="33">
        <v>4593</v>
      </c>
      <c r="C160" s="3">
        <v>10000</v>
      </c>
      <c r="D160" s="3"/>
      <c r="E160" s="31">
        <f t="shared" si="7"/>
        <v>10000</v>
      </c>
      <c r="F160" s="5">
        <v>45966</v>
      </c>
      <c r="G160" s="4">
        <v>20251104</v>
      </c>
      <c r="H160" s="38" t="str">
        <f>VLOOKUP(B160,CAJEROS!B:D,3,0)</f>
        <v>Dispensador</v>
      </c>
      <c r="I160" s="34" t="s">
        <v>10</v>
      </c>
      <c r="J160" s="38" t="str">
        <f>VLOOKUP(B160,CAJEROS!B:E,4,0)</f>
        <v>SUC_PGAIT3</v>
      </c>
    </row>
    <row r="161" spans="1:10">
      <c r="A161" s="32">
        <v>647</v>
      </c>
      <c r="B161" s="33">
        <v>3862</v>
      </c>
      <c r="C161" s="3">
        <v>10000</v>
      </c>
      <c r="D161" s="3"/>
      <c r="E161" s="31">
        <f t="shared" si="7"/>
        <v>10000</v>
      </c>
      <c r="F161" s="5">
        <v>45966</v>
      </c>
      <c r="G161" s="4">
        <v>20251104</v>
      </c>
      <c r="H161" s="38" t="str">
        <f>VLOOKUP(B161,CAJEROS!B:D,3,0)</f>
        <v>Dispensador</v>
      </c>
      <c r="I161" s="34" t="s">
        <v>10</v>
      </c>
      <c r="J161" s="38" t="str">
        <f>VLOOKUP(B161,CAJEROS!B:E,4,0)</f>
        <v>SUC_MARINI1</v>
      </c>
    </row>
    <row r="162" spans="1:10">
      <c r="A162" s="32">
        <v>385</v>
      </c>
      <c r="B162" s="33">
        <v>3694</v>
      </c>
      <c r="C162" s="3">
        <v>20000</v>
      </c>
      <c r="D162" s="3"/>
      <c r="E162" s="31">
        <f t="shared" si="7"/>
        <v>20000</v>
      </c>
      <c r="F162" s="5">
        <v>45966</v>
      </c>
      <c r="G162" s="4">
        <v>20251104</v>
      </c>
      <c r="H162" s="38" t="str">
        <f>VLOOKUP(B162,CAJEROS!B:D,3,0)</f>
        <v>Dispensador</v>
      </c>
      <c r="I162" s="34" t="s">
        <v>10</v>
      </c>
      <c r="J162" s="38" t="str">
        <f>VLOOKUP(B162,CAJEROS!B:E,4,0)</f>
        <v>SUC_VILLET3</v>
      </c>
    </row>
    <row r="163" spans="1:10">
      <c r="A163" s="32">
        <v>739</v>
      </c>
      <c r="B163" s="33">
        <v>3664</v>
      </c>
      <c r="C163" s="3">
        <v>20000</v>
      </c>
      <c r="D163" s="3"/>
      <c r="E163" s="31">
        <f t="shared" si="7"/>
        <v>20000</v>
      </c>
      <c r="F163" s="5">
        <v>45966</v>
      </c>
      <c r="G163" s="4">
        <v>20251104</v>
      </c>
      <c r="H163" s="38" t="str">
        <f>VLOOKUP(B163,CAJEROS!B:D,3,0)</f>
        <v>Dispensador</v>
      </c>
      <c r="I163" s="34" t="s">
        <v>10</v>
      </c>
      <c r="J163" s="38" t="str">
        <f>VLOOKUP(B163,CAJEROS!B:E,4,0)</f>
        <v>SUC_NECO1</v>
      </c>
    </row>
    <row r="164" spans="1:10">
      <c r="A164" s="32">
        <v>481</v>
      </c>
      <c r="B164" s="33">
        <v>1009</v>
      </c>
      <c r="C164" s="3">
        <v>20000</v>
      </c>
      <c r="D164" s="3"/>
      <c r="E164" s="31">
        <f t="shared" si="7"/>
        <v>20000</v>
      </c>
      <c r="F164" s="5">
        <v>45966</v>
      </c>
      <c r="G164" s="4">
        <v>20251104</v>
      </c>
      <c r="H164" s="38" t="str">
        <f>VLOOKUP(B164,CAJEROS!B:D,3,0)</f>
        <v>Dispensador</v>
      </c>
      <c r="I164" s="34" t="s">
        <v>10</v>
      </c>
      <c r="J164" s="38" t="str">
        <f>VLOOKUP(B164,CAJEROS!B:E,4,0)</f>
        <v>SUC_SOLEDA5</v>
      </c>
    </row>
    <row r="165" spans="1:10">
      <c r="A165" s="32">
        <v>60</v>
      </c>
      <c r="B165" s="33">
        <v>8727</v>
      </c>
      <c r="C165" s="3">
        <v>9850</v>
      </c>
      <c r="D165" s="3"/>
      <c r="E165" s="31">
        <f t="shared" si="7"/>
        <v>9850</v>
      </c>
      <c r="F165" s="5">
        <v>45966</v>
      </c>
      <c r="G165" s="4">
        <v>20251104</v>
      </c>
      <c r="H165" s="38" t="str">
        <f>VLOOKUP(B165,CAJEROS!B:D,3,0)</f>
        <v>Multifuncional</v>
      </c>
      <c r="I165" s="34" t="s">
        <v>10</v>
      </c>
      <c r="J165" s="38" t="str">
        <f>VLOOKUP(B165,CAJEROS!B:E,4,0)</f>
        <v>MF_HCALIPR1</v>
      </c>
    </row>
    <row r="166" spans="1:10">
      <c r="A166" s="32">
        <v>93</v>
      </c>
      <c r="B166" s="33">
        <v>6055</v>
      </c>
      <c r="C166" s="3">
        <v>10000</v>
      </c>
      <c r="D166" s="3"/>
      <c r="E166" s="31">
        <f t="shared" si="3"/>
        <v>10000</v>
      </c>
      <c r="F166" s="5">
        <v>45966</v>
      </c>
      <c r="G166" s="4">
        <v>20251105</v>
      </c>
      <c r="H166" s="38" t="str">
        <f>VLOOKUP(B166,CAJEROS!B:D,3,0)</f>
        <v>Dispensador</v>
      </c>
      <c r="I166" s="34"/>
      <c r="J166" s="38" t="str">
        <f>VLOOKUP(B166,CAJEROS!B:E,4,0)</f>
        <v>SAHAGUN3</v>
      </c>
    </row>
    <row r="167" spans="1:10">
      <c r="A167" s="32">
        <v>185</v>
      </c>
      <c r="B167" s="33">
        <v>3253</v>
      </c>
      <c r="C167" s="3">
        <v>1000000</v>
      </c>
      <c r="D167" s="3"/>
      <c r="E167" s="31">
        <f t="shared" si="3"/>
        <v>1000000</v>
      </c>
      <c r="F167" s="5">
        <v>45967</v>
      </c>
      <c r="G167" s="4">
        <v>20251105</v>
      </c>
      <c r="H167" s="38" t="str">
        <f>VLOOKUP(B167,CAJEROS!B:D,3,0)</f>
        <v>Dispensador</v>
      </c>
      <c r="I167" s="34"/>
      <c r="J167" s="38" t="str">
        <f>VLOOKUP(B167,CAJEROS!B:E,4,0)</f>
        <v>SUCLLAGRPA2</v>
      </c>
    </row>
    <row r="168" spans="1:10">
      <c r="A168" s="32">
        <v>318</v>
      </c>
      <c r="B168" s="33">
        <v>5348</v>
      </c>
      <c r="C168" s="3">
        <v>200000</v>
      </c>
      <c r="D168" s="3">
        <v>50000</v>
      </c>
      <c r="E168" s="31">
        <f t="shared" ref="E168:E409" si="8">+C168-D168</f>
        <v>150000</v>
      </c>
      <c r="F168" s="5">
        <v>45967</v>
      </c>
      <c r="G168" s="4">
        <v>20251105</v>
      </c>
      <c r="H168" s="38" t="str">
        <f>VLOOKUP(B168,CAJEROS!B:D,3,0)</f>
        <v>Dispensador</v>
      </c>
      <c r="I168" s="34"/>
      <c r="J168" s="38" t="str">
        <f>VLOOKUP(B168,CAJEROS!B:E,4,0)</f>
        <v>SUC_OCANA1</v>
      </c>
    </row>
    <row r="169" spans="1:10">
      <c r="A169" s="32">
        <v>371</v>
      </c>
      <c r="B169" s="33">
        <v>4279</v>
      </c>
      <c r="C169" s="3">
        <v>340000</v>
      </c>
      <c r="D169" s="3"/>
      <c r="E169" s="31">
        <f t="shared" si="8"/>
        <v>340000</v>
      </c>
      <c r="F169" s="5">
        <v>45967</v>
      </c>
      <c r="G169" s="4">
        <v>20251105</v>
      </c>
      <c r="H169" s="38" t="str">
        <f>VLOOKUP(B169,CAJEROS!B:D,3,0)</f>
        <v>Dispensador</v>
      </c>
      <c r="I169" s="34"/>
      <c r="J169" s="38" t="str">
        <f>VLOOKUP(B169,CAJEROS!B:E,4,0)</f>
        <v>CAUCASIA_2</v>
      </c>
    </row>
    <row r="170" spans="1:10">
      <c r="A170" s="32">
        <v>486</v>
      </c>
      <c r="B170" s="33">
        <v>5745</v>
      </c>
      <c r="C170" s="3">
        <v>20000</v>
      </c>
      <c r="D170" s="3"/>
      <c r="E170" s="31">
        <f t="shared" si="8"/>
        <v>20000</v>
      </c>
      <c r="F170" s="5">
        <v>45967</v>
      </c>
      <c r="G170" s="4">
        <v>20251105</v>
      </c>
      <c r="H170" s="38" t="str">
        <f>VLOOKUP(B170,CAJEROS!B:D,3,0)</f>
        <v>Dispensador</v>
      </c>
      <c r="I170" s="34"/>
      <c r="J170" s="38" t="str">
        <f>VLOOKUP(B170,CAJEROS!B:E,4,0)</f>
        <v>SUC_SNICOL2</v>
      </c>
    </row>
    <row r="171" spans="1:10">
      <c r="A171" s="32">
        <v>647</v>
      </c>
      <c r="B171" s="33">
        <v>3862</v>
      </c>
      <c r="C171" s="3">
        <v>340000</v>
      </c>
      <c r="D171" s="3"/>
      <c r="E171" s="31">
        <f t="shared" si="8"/>
        <v>340000</v>
      </c>
      <c r="F171" s="5">
        <v>45967</v>
      </c>
      <c r="G171" s="4">
        <v>20251105</v>
      </c>
      <c r="H171" s="38" t="str">
        <f>VLOOKUP(B171,CAJEROS!B:D,3,0)</f>
        <v>Dispensador</v>
      </c>
      <c r="I171" s="34"/>
      <c r="J171" s="38" t="str">
        <f>VLOOKUP(B171,CAJEROS!B:E,4,0)</f>
        <v>SUC_MARINI1</v>
      </c>
    </row>
    <row r="172" spans="1:10">
      <c r="A172" s="32">
        <v>672</v>
      </c>
      <c r="B172" s="33">
        <v>8374</v>
      </c>
      <c r="C172" s="3">
        <v>1350000</v>
      </c>
      <c r="D172" s="3"/>
      <c r="E172" s="31">
        <f t="shared" si="8"/>
        <v>1350000</v>
      </c>
      <c r="F172" s="5">
        <v>45967</v>
      </c>
      <c r="G172" s="4">
        <v>20251105</v>
      </c>
      <c r="H172" s="38" t="str">
        <f>VLOOKUP(B172,CAJEROS!B:D,3,0)</f>
        <v>Dispensador</v>
      </c>
      <c r="I172" s="34"/>
      <c r="J172" s="38" t="str">
        <f>VLOOKUP(B172,CAJEROS!B:E,4,0)</f>
        <v>SUCSONSON_1</v>
      </c>
    </row>
    <row r="173" spans="1:10">
      <c r="A173" s="32">
        <v>682</v>
      </c>
      <c r="B173" s="33">
        <v>5959</v>
      </c>
      <c r="C173" s="3">
        <v>2200000</v>
      </c>
      <c r="D173" s="3"/>
      <c r="E173" s="31">
        <f t="shared" si="8"/>
        <v>2200000</v>
      </c>
      <c r="F173" s="5">
        <v>45967</v>
      </c>
      <c r="G173" s="4">
        <v>20251105</v>
      </c>
      <c r="H173" s="38" t="str">
        <f>VLOOKUP(B173,CAJEROS!B:D,3,0)</f>
        <v>Dispensador</v>
      </c>
      <c r="I173" s="34"/>
      <c r="J173" s="38" t="str">
        <f>VLOOKUP(B173,CAJEROS!B:E,4,0)</f>
        <v>SUC_CCFONT1</v>
      </c>
    </row>
    <row r="174" spans="1:10">
      <c r="A174" s="32">
        <v>802</v>
      </c>
      <c r="B174" s="33">
        <v>6323</v>
      </c>
      <c r="C174" s="3">
        <v>600000</v>
      </c>
      <c r="D174" s="3"/>
      <c r="E174" s="31">
        <f t="shared" si="8"/>
        <v>600000</v>
      </c>
      <c r="F174" s="5">
        <v>45967</v>
      </c>
      <c r="G174" s="4">
        <v>20251105</v>
      </c>
      <c r="H174" s="38" t="str">
        <f>VLOOKUP(B174,CAJEROS!B:D,3,0)</f>
        <v>Dispensador</v>
      </c>
      <c r="I174" s="34"/>
      <c r="J174" s="38" t="str">
        <f>VLOOKUP(B174,CAJEROS!B:E,4,0)</f>
        <v>SUC_PTOLOP3</v>
      </c>
    </row>
    <row r="175" spans="1:10">
      <c r="A175" s="32">
        <v>885</v>
      </c>
      <c r="B175" s="33">
        <v>8851</v>
      </c>
      <c r="C175" s="3">
        <v>10000</v>
      </c>
      <c r="D175" s="3"/>
      <c r="E175" s="31">
        <f t="shared" si="8"/>
        <v>10000</v>
      </c>
      <c r="F175" s="5">
        <v>45967</v>
      </c>
      <c r="G175" s="4">
        <v>20251105</v>
      </c>
      <c r="H175" s="38" t="str">
        <f>VLOOKUP(B175,CAJEROS!B:D,3,0)</f>
        <v>Dispensador</v>
      </c>
      <c r="I175" s="34"/>
      <c r="J175" s="38" t="str">
        <f>VLOOKUP(B175,CAJEROS!B:E,4,0)</f>
        <v>TUQUERRES</v>
      </c>
    </row>
    <row r="176" spans="1:10">
      <c r="A176" s="32">
        <v>993</v>
      </c>
      <c r="B176" s="33">
        <v>3470</v>
      </c>
      <c r="C176" s="3">
        <v>350000</v>
      </c>
      <c r="D176" s="3"/>
      <c r="E176" s="31">
        <f t="shared" si="8"/>
        <v>350000</v>
      </c>
      <c r="F176" s="5">
        <v>45967</v>
      </c>
      <c r="G176" s="4">
        <v>20251105</v>
      </c>
      <c r="H176" s="38" t="str">
        <f>VLOOKUP(B176,CAJEROS!B:D,3,0)</f>
        <v>Dispensador</v>
      </c>
      <c r="I176" s="34"/>
      <c r="J176" s="38" t="str">
        <f>VLOOKUP(B176,CAJEROS!B:E,4,0)</f>
        <v>URRAO_2</v>
      </c>
    </row>
    <row r="177" spans="1:10">
      <c r="A177" s="32">
        <v>60</v>
      </c>
      <c r="B177" s="33">
        <v>8719</v>
      </c>
      <c r="C177" s="3">
        <v>50000</v>
      </c>
      <c r="D177" s="3"/>
      <c r="E177" s="31">
        <f t="shared" si="8"/>
        <v>50000</v>
      </c>
      <c r="F177" s="5">
        <v>45967</v>
      </c>
      <c r="G177" s="4">
        <v>20251105</v>
      </c>
      <c r="H177" s="38" t="str">
        <f>VLOOKUP(B177,CAJEROS!B:D,3,0)</f>
        <v>Dispensador</v>
      </c>
      <c r="I177" s="34" t="s">
        <v>9</v>
      </c>
      <c r="J177" s="38" t="str">
        <f>VLOOKUP(B177,CAJEROS!B:E,4,0)</f>
        <v>HALLCALIPR1</v>
      </c>
    </row>
    <row r="178" spans="1:10">
      <c r="A178" s="32">
        <v>91</v>
      </c>
      <c r="B178" s="33">
        <v>8163</v>
      </c>
      <c r="C178" s="3">
        <v>160000</v>
      </c>
      <c r="D178" s="3"/>
      <c r="E178" s="31">
        <f t="shared" si="8"/>
        <v>160000</v>
      </c>
      <c r="F178" s="5">
        <v>45967</v>
      </c>
      <c r="G178" s="4">
        <v>20251105</v>
      </c>
      <c r="H178" s="38" t="str">
        <f>VLOOKUP(B178,CAJEROS!B:D,3,0)</f>
        <v>Dispensador</v>
      </c>
      <c r="I178" s="34" t="s">
        <v>9</v>
      </c>
      <c r="J178" s="38" t="str">
        <f>VLOOKUP(B178,CAJEROS!B:E,4,0)</f>
        <v>SUC_MONTER5</v>
      </c>
    </row>
    <row r="179" spans="1:10">
      <c r="A179" s="32">
        <v>159</v>
      </c>
      <c r="B179" s="33">
        <v>4775</v>
      </c>
      <c r="C179" s="3">
        <v>760000</v>
      </c>
      <c r="D179" s="3"/>
      <c r="E179" s="31">
        <f t="shared" si="8"/>
        <v>760000</v>
      </c>
      <c r="F179" s="5">
        <v>45967</v>
      </c>
      <c r="G179" s="4">
        <v>20251105</v>
      </c>
      <c r="H179" s="38" t="str">
        <f>VLOOKUP(B179,CAJEROS!B:D,3,0)</f>
        <v>Dispensador</v>
      </c>
      <c r="I179" s="34" t="s">
        <v>9</v>
      </c>
      <c r="J179" s="38" t="str">
        <f>VLOOKUP(B179,CAJEROS!B:E,4,0)</f>
        <v>FUNZA_1</v>
      </c>
    </row>
    <row r="180" spans="1:10">
      <c r="A180" s="32">
        <v>193</v>
      </c>
      <c r="B180" s="33">
        <v>8534</v>
      </c>
      <c r="C180" s="3">
        <v>1050000</v>
      </c>
      <c r="D180" s="3"/>
      <c r="E180" s="31">
        <f t="shared" si="8"/>
        <v>1050000</v>
      </c>
      <c r="F180" s="5">
        <v>45967</v>
      </c>
      <c r="G180" s="4">
        <v>20251105</v>
      </c>
      <c r="H180" s="38" t="str">
        <f>VLOOKUP(B180,CAJEROS!B:D,3,0)</f>
        <v>Dispensador</v>
      </c>
      <c r="I180" s="34" t="s">
        <v>9</v>
      </c>
      <c r="J180" s="38" t="str">
        <f>VLOOKUP(B180,CAJEROS!B:E,4,0)</f>
        <v>HALLSUCFIC4</v>
      </c>
    </row>
    <row r="181" spans="1:10">
      <c r="A181" s="32">
        <v>229</v>
      </c>
      <c r="B181" s="33">
        <v>8957</v>
      </c>
      <c r="C181" s="3">
        <v>240000</v>
      </c>
      <c r="D181" s="3">
        <v>210000</v>
      </c>
      <c r="E181" s="31">
        <f t="shared" si="8"/>
        <v>30000</v>
      </c>
      <c r="F181" s="5">
        <v>45967</v>
      </c>
      <c r="G181" s="4">
        <v>20251105</v>
      </c>
      <c r="H181" s="38" t="str">
        <f>VLOOKUP(B181,CAJEROS!B:D,3,0)</f>
        <v>Dispensador</v>
      </c>
      <c r="I181" s="34" t="s">
        <v>9</v>
      </c>
      <c r="J181" s="38" t="str">
        <f>VLOOKUP(B181,CAJEROS!B:E,4,0)</f>
        <v>SUCPASERIO3</v>
      </c>
    </row>
    <row r="182" spans="1:10">
      <c r="A182" s="32">
        <v>289</v>
      </c>
      <c r="B182" s="33">
        <v>4593</v>
      </c>
      <c r="C182" s="3">
        <v>370000</v>
      </c>
      <c r="D182" s="3"/>
      <c r="E182" s="31">
        <f t="shared" si="8"/>
        <v>370000</v>
      </c>
      <c r="F182" s="5">
        <v>45967</v>
      </c>
      <c r="G182" s="4">
        <v>20251105</v>
      </c>
      <c r="H182" s="38" t="str">
        <f>VLOOKUP(B182,CAJEROS!B:D,3,0)</f>
        <v>Dispensador</v>
      </c>
      <c r="I182" s="34" t="s">
        <v>9</v>
      </c>
      <c r="J182" s="38" t="str">
        <f>VLOOKUP(B182,CAJEROS!B:E,4,0)</f>
        <v>SUC_PGAIT3</v>
      </c>
    </row>
    <row r="183" spans="1:10">
      <c r="A183" s="32">
        <v>312</v>
      </c>
      <c r="B183" s="33">
        <v>3122</v>
      </c>
      <c r="C183" s="3">
        <v>100000</v>
      </c>
      <c r="D183" s="3"/>
      <c r="E183" s="31">
        <f t="shared" si="8"/>
        <v>100000</v>
      </c>
      <c r="F183" s="5">
        <v>45967</v>
      </c>
      <c r="G183" s="4">
        <v>20251105</v>
      </c>
      <c r="H183" s="38" t="str">
        <f>VLOOKUP(B183,CAJEROS!B:D,3,0)</f>
        <v>Dispensador</v>
      </c>
      <c r="I183" s="34" t="s">
        <v>9</v>
      </c>
      <c r="J183" s="38" t="str">
        <f>VLOOKUP(B183,CAJEROS!B:E,4,0)</f>
        <v>MALAGA2</v>
      </c>
    </row>
    <row r="184" spans="1:10">
      <c r="A184" s="32">
        <v>317</v>
      </c>
      <c r="B184" s="33">
        <v>3402</v>
      </c>
      <c r="C184" s="3">
        <v>820000</v>
      </c>
      <c r="D184" s="3"/>
      <c r="E184" s="31">
        <f t="shared" si="8"/>
        <v>820000</v>
      </c>
      <c r="F184" s="5">
        <v>45967</v>
      </c>
      <c r="G184" s="4">
        <v>20251105</v>
      </c>
      <c r="H184" s="38" t="str">
        <f>VLOOKUP(B184,CAJEROS!B:D,3,0)</f>
        <v>Dispensador</v>
      </c>
      <c r="I184" s="34" t="s">
        <v>9</v>
      </c>
      <c r="J184" s="38" t="str">
        <f>VLOOKUP(B184,CAJEROS!B:E,4,0)</f>
        <v>SUCARAUCA_1</v>
      </c>
    </row>
    <row r="185" spans="1:10">
      <c r="A185" s="32">
        <v>322</v>
      </c>
      <c r="B185" s="33">
        <v>2443</v>
      </c>
      <c r="C185" s="3">
        <v>100000</v>
      </c>
      <c r="D185" s="3"/>
      <c r="E185" s="31">
        <f t="shared" si="8"/>
        <v>100000</v>
      </c>
      <c r="F185" s="5">
        <v>45967</v>
      </c>
      <c r="G185" s="4">
        <v>20251105</v>
      </c>
      <c r="H185" s="38" t="str">
        <f>VLOOKUP(B185,CAJEROS!B:D,3,0)</f>
        <v>Dispensador</v>
      </c>
      <c r="I185" s="34" t="s">
        <v>9</v>
      </c>
      <c r="J185" s="38" t="str">
        <f>VLOOKUP(B185,CAJEROS!B:E,4,0)</f>
        <v>SUCSANGIL3</v>
      </c>
    </row>
    <row r="186" spans="1:10">
      <c r="A186" s="32">
        <v>343</v>
      </c>
      <c r="B186" s="33">
        <v>7954</v>
      </c>
      <c r="C186" s="3">
        <v>50000</v>
      </c>
      <c r="D186" s="3"/>
      <c r="E186" s="31">
        <f t="shared" si="8"/>
        <v>50000</v>
      </c>
      <c r="F186" s="5">
        <v>45967</v>
      </c>
      <c r="G186" s="4">
        <v>20251105</v>
      </c>
      <c r="H186" s="38" t="str">
        <f>VLOOKUP(B186,CAJEROS!B:D,3,0)</f>
        <v>Dispensador</v>
      </c>
      <c r="I186" s="34" t="s">
        <v>9</v>
      </c>
      <c r="J186" s="38" t="str">
        <f>VLOOKUP(B186,CAJEROS!B:E,4,0)</f>
        <v>SUCTABIO1</v>
      </c>
    </row>
    <row r="187" spans="1:10">
      <c r="A187" s="32">
        <v>389</v>
      </c>
      <c r="B187" s="33">
        <v>4690</v>
      </c>
      <c r="C187" s="3">
        <v>100000</v>
      </c>
      <c r="D187" s="3"/>
      <c r="E187" s="31">
        <f t="shared" si="8"/>
        <v>100000</v>
      </c>
      <c r="F187" s="5">
        <v>45967</v>
      </c>
      <c r="G187" s="4">
        <v>20251105</v>
      </c>
      <c r="H187" s="38" t="str">
        <f>VLOOKUP(B187,CAJEROS!B:D,3,0)</f>
        <v>Dispensador</v>
      </c>
      <c r="I187" s="34" t="s">
        <v>9</v>
      </c>
      <c r="J187" s="38" t="str">
        <f>VLOOKUP(B187,CAJEROS!B:E,4,0)</f>
        <v>SUC_MARIQ4</v>
      </c>
    </row>
    <row r="188" spans="1:10">
      <c r="A188" s="32">
        <v>398</v>
      </c>
      <c r="B188" s="33">
        <v>3527</v>
      </c>
      <c r="C188" s="3">
        <v>30000</v>
      </c>
      <c r="D188" s="3"/>
      <c r="E188" s="31">
        <f t="shared" si="8"/>
        <v>30000</v>
      </c>
      <c r="F188" s="5">
        <v>45967</v>
      </c>
      <c r="G188" s="4">
        <v>20251105</v>
      </c>
      <c r="H188" s="38" t="str">
        <f>VLOOKUP(B188,CAJEROS!B:D,3,0)</f>
        <v>Dispensador</v>
      </c>
      <c r="I188" s="34" t="s">
        <v>9</v>
      </c>
      <c r="J188" s="38" t="str">
        <f>VLOOKUP(B188,CAJEROS!B:E,4,0)</f>
        <v>SUC_CHINU</v>
      </c>
    </row>
    <row r="189" spans="1:10">
      <c r="A189" s="32">
        <v>454</v>
      </c>
      <c r="B189" s="33">
        <v>1886</v>
      </c>
      <c r="C189" s="3">
        <v>520000</v>
      </c>
      <c r="D189" s="3">
        <v>500000</v>
      </c>
      <c r="E189" s="31">
        <f t="shared" si="8"/>
        <v>20000</v>
      </c>
      <c r="F189" s="5">
        <v>45967</v>
      </c>
      <c r="G189" s="4">
        <v>20251105</v>
      </c>
      <c r="H189" s="38" t="str">
        <f>VLOOKUP(B189,CAJEROS!B:D,3,0)</f>
        <v>Dispensador</v>
      </c>
      <c r="I189" s="34" t="s">
        <v>9</v>
      </c>
      <c r="J189" s="38" t="str">
        <f>VLOOKUP(B189,CAJEROS!B:E,4,0)</f>
        <v>5TAVENIDA3</v>
      </c>
    </row>
    <row r="190" spans="1:10">
      <c r="A190" s="32">
        <v>467</v>
      </c>
      <c r="B190" s="33">
        <v>8912</v>
      </c>
      <c r="C190" s="3">
        <v>610000</v>
      </c>
      <c r="D190" s="3"/>
      <c r="E190" s="31">
        <f t="shared" si="8"/>
        <v>610000</v>
      </c>
      <c r="F190" s="5">
        <v>45967</v>
      </c>
      <c r="G190" s="4">
        <v>20251105</v>
      </c>
      <c r="H190" s="38" t="str">
        <f>VLOOKUP(B190,CAJEROS!B:D,3,0)</f>
        <v>Dispensador</v>
      </c>
      <c r="I190" s="34" t="s">
        <v>9</v>
      </c>
      <c r="J190" s="38" t="str">
        <f>VLOOKUP(B190,CAJEROS!B:E,4,0)</f>
        <v>HDIVERPLZ_2</v>
      </c>
    </row>
    <row r="191" spans="1:10">
      <c r="A191" s="32">
        <v>481</v>
      </c>
      <c r="B191" s="33">
        <v>1006</v>
      </c>
      <c r="C191" s="3">
        <v>1000000</v>
      </c>
      <c r="D191" s="3"/>
      <c r="E191" s="31">
        <f t="shared" si="8"/>
        <v>1000000</v>
      </c>
      <c r="F191" s="5">
        <v>45967</v>
      </c>
      <c r="G191" s="4">
        <v>20251105</v>
      </c>
      <c r="H191" s="38" t="str">
        <f>VLOOKUP(B191,CAJEROS!B:D,3,0)</f>
        <v>Dispensador</v>
      </c>
      <c r="I191" s="34" t="s">
        <v>9</v>
      </c>
      <c r="J191" s="38" t="str">
        <f>VLOOKUP(B191,CAJEROS!B:E,4,0)</f>
        <v>SUC_SOLEDA2</v>
      </c>
    </row>
    <row r="192" spans="1:10">
      <c r="A192" s="32">
        <v>481</v>
      </c>
      <c r="B192" s="33">
        <v>1007</v>
      </c>
      <c r="C192" s="3">
        <v>2750000</v>
      </c>
      <c r="D192" s="3"/>
      <c r="E192" s="31">
        <f t="shared" si="8"/>
        <v>2750000</v>
      </c>
      <c r="F192" s="5">
        <v>45967</v>
      </c>
      <c r="G192" s="4">
        <v>20251105</v>
      </c>
      <c r="H192" s="38" t="str">
        <f>VLOOKUP(B192,CAJEROS!B:D,3,0)</f>
        <v>Dispensador</v>
      </c>
      <c r="I192" s="34" t="s">
        <v>9</v>
      </c>
      <c r="J192" s="38" t="str">
        <f>VLOOKUP(B192,CAJEROS!B:E,4,0)</f>
        <v>SUC_SOLEDA3</v>
      </c>
    </row>
    <row r="193" spans="1:10">
      <c r="A193" s="32">
        <v>522</v>
      </c>
      <c r="B193" s="33">
        <v>4592</v>
      </c>
      <c r="C193" s="3">
        <v>600000</v>
      </c>
      <c r="D193" s="3">
        <v>470000</v>
      </c>
      <c r="E193" s="31">
        <f t="shared" si="8"/>
        <v>130000</v>
      </c>
      <c r="F193" s="5">
        <v>45967</v>
      </c>
      <c r="G193" s="4">
        <v>20251105</v>
      </c>
      <c r="H193" s="38" t="str">
        <f>VLOOKUP(B193,CAJEROS!B:D,3,0)</f>
        <v>Dispensador</v>
      </c>
      <c r="I193" s="34" t="s">
        <v>9</v>
      </c>
      <c r="J193" s="38" t="str">
        <f>VLOOKUP(B193,CAJEROS!B:E,4,0)</f>
        <v>SUC_PUERTC2</v>
      </c>
    </row>
    <row r="194" spans="1:10">
      <c r="A194" s="32">
        <v>688</v>
      </c>
      <c r="B194" s="33">
        <v>4840</v>
      </c>
      <c r="C194" s="3">
        <v>100000</v>
      </c>
      <c r="D194" s="3">
        <v>100000</v>
      </c>
      <c r="E194" s="31">
        <f t="shared" si="8"/>
        <v>0</v>
      </c>
      <c r="F194" s="5">
        <v>45967</v>
      </c>
      <c r="G194" s="4">
        <v>20251105</v>
      </c>
      <c r="H194" s="38" t="str">
        <f>VLOOKUP(B194,CAJEROS!B:D,3,0)</f>
        <v>Dispensador</v>
      </c>
      <c r="I194" s="34" t="s">
        <v>9</v>
      </c>
      <c r="J194" s="38" t="str">
        <f>VLOOKUP(B194,CAJEROS!B:E,4,0)</f>
        <v>SUC_CONTAD1</v>
      </c>
    </row>
    <row r="195" spans="1:10">
      <c r="A195" s="32">
        <v>705</v>
      </c>
      <c r="B195" s="33">
        <v>4152</v>
      </c>
      <c r="C195" s="3">
        <v>350000</v>
      </c>
      <c r="D195" s="3">
        <v>350000</v>
      </c>
      <c r="E195" s="31">
        <f t="shared" si="8"/>
        <v>0</v>
      </c>
      <c r="F195" s="5">
        <v>45967</v>
      </c>
      <c r="G195" s="4">
        <v>20251105</v>
      </c>
      <c r="H195" s="38" t="str">
        <f>VLOOKUP(B195,CAJEROS!B:D,3,0)</f>
        <v>Dispensador</v>
      </c>
      <c r="I195" s="34" t="s">
        <v>9</v>
      </c>
      <c r="J195" s="38" t="str">
        <f>VLOOKUP(B195,CAJEROS!B:E,4,0)</f>
        <v>SUC_BAGRE2</v>
      </c>
    </row>
    <row r="196" spans="1:10">
      <c r="A196" s="32">
        <v>864</v>
      </c>
      <c r="B196" s="33">
        <v>5795</v>
      </c>
      <c r="C196" s="3">
        <v>650000</v>
      </c>
      <c r="D196" s="3"/>
      <c r="E196" s="31">
        <f t="shared" si="8"/>
        <v>650000</v>
      </c>
      <c r="F196" s="5">
        <v>45967</v>
      </c>
      <c r="G196" s="4">
        <v>20251105</v>
      </c>
      <c r="H196" s="38" t="str">
        <f>VLOOKUP(B196,CAJEROS!B:D,3,0)</f>
        <v>Dispensador</v>
      </c>
      <c r="I196" s="34" t="s">
        <v>9</v>
      </c>
      <c r="J196" s="38" t="str">
        <f>VLOOKUP(B196,CAJEROS!B:E,4,0)</f>
        <v>SUC_PRADER1</v>
      </c>
    </row>
    <row r="197" spans="1:10">
      <c r="A197" s="32">
        <v>166</v>
      </c>
      <c r="B197" s="33">
        <v>7940</v>
      </c>
      <c r="C197" s="3">
        <v>1020000</v>
      </c>
      <c r="D197" s="3"/>
      <c r="E197" s="31">
        <f t="shared" ref="E197" si="9">+C197-D197</f>
        <v>1020000</v>
      </c>
      <c r="F197" s="5">
        <v>45967</v>
      </c>
      <c r="G197" s="4">
        <v>20251105</v>
      </c>
      <c r="H197" s="38" t="str">
        <f>VLOOKUP(B197,CAJEROS!B:D,3,0)</f>
        <v>Multifuncional</v>
      </c>
      <c r="I197" s="34"/>
      <c r="J197" s="38" t="str">
        <f>VLOOKUP(B197,CAJEROS!B:E,4,0)</f>
        <v>MF_ALDELS22</v>
      </c>
    </row>
    <row r="198" spans="1:10">
      <c r="A198" s="32">
        <v>168</v>
      </c>
      <c r="B198" s="33">
        <v>5224</v>
      </c>
      <c r="C198" s="3">
        <v>450200</v>
      </c>
      <c r="D198" s="3"/>
      <c r="E198" s="31">
        <f t="shared" ref="E198:E211" si="10">+C198-D198</f>
        <v>450200</v>
      </c>
      <c r="F198" s="5">
        <v>45967</v>
      </c>
      <c r="G198" s="4">
        <v>20251105</v>
      </c>
      <c r="H198" s="38" t="str">
        <f>VLOOKUP(B198,CAJEROS!B:D,3,0)</f>
        <v>Multifuncional</v>
      </c>
      <c r="I198" s="34"/>
      <c r="J198" s="38" t="str">
        <f>VLOOKUP(B198,CAJEROS!B:E,4,0)</f>
        <v>MF_TOBERIN</v>
      </c>
    </row>
    <row r="199" spans="1:10">
      <c r="A199" s="32">
        <v>229</v>
      </c>
      <c r="B199" s="33">
        <v>9605</v>
      </c>
      <c r="C199" s="3">
        <v>10000</v>
      </c>
      <c r="D199" s="3"/>
      <c r="E199" s="31">
        <f t="shared" si="10"/>
        <v>10000</v>
      </c>
      <c r="F199" s="5">
        <v>45967</v>
      </c>
      <c r="G199" s="4">
        <v>20251105</v>
      </c>
      <c r="H199" s="38" t="str">
        <f>VLOOKUP(B199,CAJEROS!B:D,3,0)</f>
        <v>Multifuncional</v>
      </c>
      <c r="I199" s="34"/>
      <c r="J199" s="38" t="str">
        <f>VLOOKUP(B199,CAJEROS!B:E,4,0)</f>
        <v>MFSUCPASER2</v>
      </c>
    </row>
    <row r="200" spans="1:10">
      <c r="A200" s="32">
        <v>277</v>
      </c>
      <c r="B200" s="33">
        <v>5021</v>
      </c>
      <c r="C200" s="3">
        <v>5523200</v>
      </c>
      <c r="D200" s="3"/>
      <c r="E200" s="31">
        <f t="shared" si="10"/>
        <v>5523200</v>
      </c>
      <c r="F200" s="5">
        <v>45967</v>
      </c>
      <c r="G200" s="4">
        <v>20251105</v>
      </c>
      <c r="H200" s="38" t="str">
        <f>VLOOKUP(B200,CAJEROS!B:D,3,0)</f>
        <v>Multifuncional</v>
      </c>
      <c r="I200" s="34"/>
      <c r="J200" s="38" t="str">
        <f>VLOOKUP(B200,CAJEROS!B:E,4,0)</f>
        <v>MF_CCMAYOR1</v>
      </c>
    </row>
    <row r="201" spans="1:10">
      <c r="A201" s="32">
        <v>318</v>
      </c>
      <c r="B201" s="33">
        <v>7680</v>
      </c>
      <c r="C201" s="3">
        <v>11853500</v>
      </c>
      <c r="D201" s="3">
        <v>1000</v>
      </c>
      <c r="E201" s="31">
        <f t="shared" si="10"/>
        <v>11852500</v>
      </c>
      <c r="F201" s="5">
        <v>45967</v>
      </c>
      <c r="G201" s="4">
        <v>20251105</v>
      </c>
      <c r="H201" s="38" t="str">
        <f>VLOOKUP(B201,CAJEROS!B:D,3,0)</f>
        <v>Multifuncional</v>
      </c>
      <c r="I201" s="34"/>
      <c r="J201" s="38" t="str">
        <f>VLOOKUP(B201,CAJEROS!B:E,4,0)</f>
        <v>MF_OCANA2</v>
      </c>
    </row>
    <row r="202" spans="1:10">
      <c r="A202" s="32">
        <v>379</v>
      </c>
      <c r="B202" s="33">
        <v>6465</v>
      </c>
      <c r="C202" s="3">
        <v>6129000</v>
      </c>
      <c r="D202" s="3"/>
      <c r="E202" s="31">
        <f t="shared" si="10"/>
        <v>6129000</v>
      </c>
      <c r="F202" s="5">
        <v>45967</v>
      </c>
      <c r="G202" s="4">
        <v>20251105</v>
      </c>
      <c r="H202" s="38" t="str">
        <f>VLOOKUP(B202,CAJEROS!B:D,3,0)</f>
        <v>Multifuncional</v>
      </c>
      <c r="I202" s="34"/>
      <c r="J202" s="38" t="str">
        <f>VLOOKUP(B202,CAJEROS!B:E,4,0)</f>
        <v>MF_SUCTESO1</v>
      </c>
    </row>
    <row r="203" spans="1:10">
      <c r="A203" s="32">
        <v>420</v>
      </c>
      <c r="B203" s="33">
        <v>5173</v>
      </c>
      <c r="C203" s="3">
        <v>604300</v>
      </c>
      <c r="D203" s="3">
        <v>400</v>
      </c>
      <c r="E203" s="31">
        <f t="shared" si="10"/>
        <v>603900</v>
      </c>
      <c r="F203" s="5">
        <v>45967</v>
      </c>
      <c r="G203" s="4">
        <v>20251105</v>
      </c>
      <c r="H203" s="38" t="str">
        <f>VLOOKUP(B203,CAJEROS!B:D,3,0)</f>
        <v>Multifuncional</v>
      </c>
      <c r="I203" s="34"/>
      <c r="J203" s="38" t="str">
        <f>VLOOKUP(B203,CAJEROS!B:E,4,0)</f>
        <v>MF_TEATAVEN</v>
      </c>
    </row>
    <row r="204" spans="1:10">
      <c r="A204" s="32">
        <v>430</v>
      </c>
      <c r="B204" s="33">
        <v>5104</v>
      </c>
      <c r="C204" s="3">
        <v>410000</v>
      </c>
      <c r="D204" s="3"/>
      <c r="E204" s="31">
        <f t="shared" si="10"/>
        <v>410000</v>
      </c>
      <c r="F204" s="5">
        <v>45967</v>
      </c>
      <c r="G204" s="4">
        <v>20251105</v>
      </c>
      <c r="H204" s="38" t="str">
        <f>VLOOKUP(B204,CAJEROS!B:D,3,0)</f>
        <v>Multifuncional</v>
      </c>
      <c r="I204" s="34"/>
      <c r="J204" s="38" t="str">
        <f>VLOOKUP(B204,CAJEROS!B:E,4,0)</f>
        <v>MF_ZONAROSA</v>
      </c>
    </row>
    <row r="205" spans="1:10">
      <c r="A205" s="32">
        <v>477</v>
      </c>
      <c r="B205" s="33">
        <v>6251</v>
      </c>
      <c r="C205" s="3">
        <v>7550000</v>
      </c>
      <c r="D205" s="3">
        <v>5655000</v>
      </c>
      <c r="E205" s="31">
        <f t="shared" si="10"/>
        <v>1895000</v>
      </c>
      <c r="F205" s="5">
        <v>45967</v>
      </c>
      <c r="G205" s="4">
        <v>20251105</v>
      </c>
      <c r="H205" s="38" t="str">
        <f>VLOOKUP(B205,CAJEROS!B:D,3,0)</f>
        <v>Multifuncional</v>
      </c>
      <c r="I205" s="34"/>
      <c r="J205" s="38" t="str">
        <f>VLOOKUP(B205,CAJEROS!B:E,4,0)</f>
        <v>MF_GRANCENT</v>
      </c>
    </row>
    <row r="206" spans="1:10">
      <c r="A206" s="32">
        <v>674</v>
      </c>
      <c r="B206" s="33">
        <v>5200</v>
      </c>
      <c r="C206" s="3">
        <v>40050</v>
      </c>
      <c r="D206" s="3">
        <v>50</v>
      </c>
      <c r="E206" s="31">
        <f t="shared" si="10"/>
        <v>40000</v>
      </c>
      <c r="F206" s="5">
        <v>45967</v>
      </c>
      <c r="G206" s="4">
        <v>20251105</v>
      </c>
      <c r="H206" s="38" t="str">
        <f>VLOOKUP(B206,CAJEROS!B:D,3,0)</f>
        <v>Multifuncional</v>
      </c>
      <c r="I206" s="34"/>
      <c r="J206" s="38" t="str">
        <f>VLOOKUP(B206,CAJEROS!B:E,4,0)</f>
        <v>MF_AV68FLOR</v>
      </c>
    </row>
    <row r="207" spans="1:10">
      <c r="A207" s="32">
        <v>682</v>
      </c>
      <c r="B207" s="33">
        <v>5049</v>
      </c>
      <c r="C207" s="3">
        <v>1978000</v>
      </c>
      <c r="D207" s="3"/>
      <c r="E207" s="31">
        <f t="shared" si="10"/>
        <v>1978000</v>
      </c>
      <c r="F207" s="5">
        <v>45967</v>
      </c>
      <c r="G207" s="4">
        <v>20251105</v>
      </c>
      <c r="H207" s="38" t="str">
        <f>VLOOKUP(B207,CAJEROS!B:D,3,0)</f>
        <v>Multifuncional</v>
      </c>
      <c r="I207" s="34"/>
      <c r="J207" s="38" t="str">
        <f>VLOOKUP(B207,CAJEROS!B:E,4,0)</f>
        <v>MF_CCFONTA1</v>
      </c>
    </row>
    <row r="208" spans="1:10">
      <c r="A208" s="32">
        <v>789</v>
      </c>
      <c r="B208" s="33">
        <v>5118</v>
      </c>
      <c r="C208" s="3">
        <v>3392000</v>
      </c>
      <c r="D208" s="3"/>
      <c r="E208" s="31">
        <f t="shared" si="10"/>
        <v>3392000</v>
      </c>
      <c r="F208" s="5">
        <v>45967</v>
      </c>
      <c r="G208" s="4">
        <v>20251105</v>
      </c>
      <c r="H208" s="38" t="str">
        <f>VLOOKUP(B208,CAJEROS!B:D,3,0)</f>
        <v>Multifuncional</v>
      </c>
      <c r="I208" s="34"/>
      <c r="J208" s="38" t="str">
        <f>VLOOKUP(B208,CAJEROS!B:E,4,0)</f>
        <v>MF_MANGA</v>
      </c>
    </row>
    <row r="209" spans="1:10">
      <c r="A209" s="32">
        <v>845</v>
      </c>
      <c r="B209" s="33">
        <v>9232</v>
      </c>
      <c r="C209" s="3">
        <v>36171200</v>
      </c>
      <c r="D209" s="3"/>
      <c r="E209" s="31">
        <f t="shared" si="10"/>
        <v>36171200</v>
      </c>
      <c r="F209" s="5">
        <v>45967</v>
      </c>
      <c r="G209" s="4">
        <v>20251105</v>
      </c>
      <c r="H209" s="38" t="str">
        <f>VLOOKUP(B209,CAJEROS!B:D,3,0)</f>
        <v>Multifuncional</v>
      </c>
      <c r="I209" s="34"/>
      <c r="J209" s="38" t="str">
        <f>VLOOKUP(B209,CAJEROS!B:E,4,0)</f>
        <v>MFSUCLAPLT1</v>
      </c>
    </row>
    <row r="210" spans="1:10">
      <c r="A210" s="32">
        <v>927</v>
      </c>
      <c r="B210" s="33">
        <v>5143</v>
      </c>
      <c r="C210" s="3">
        <v>34000</v>
      </c>
      <c r="D210" s="3"/>
      <c r="E210" s="31">
        <f t="shared" si="10"/>
        <v>34000</v>
      </c>
      <c r="F210" s="5">
        <v>45967</v>
      </c>
      <c r="G210" s="4">
        <v>20251105</v>
      </c>
      <c r="H210" s="38" t="str">
        <f>VLOOKUP(B210,CAJEROS!B:D,3,0)</f>
        <v>Multifuncional</v>
      </c>
      <c r="I210" s="34"/>
      <c r="J210" s="38" t="str">
        <f>VLOOKUP(B210,CAJEROS!B:E,4,0)</f>
        <v>MF_SUCMOCOA</v>
      </c>
    </row>
    <row r="211" spans="1:10">
      <c r="A211" s="32">
        <v>941</v>
      </c>
      <c r="B211" s="33">
        <v>5220</v>
      </c>
      <c r="C211" s="3">
        <v>3168000</v>
      </c>
      <c r="D211" s="3"/>
      <c r="E211" s="31">
        <f t="shared" si="10"/>
        <v>3168000</v>
      </c>
      <c r="F211" s="5">
        <v>45967</v>
      </c>
      <c r="G211" s="4">
        <v>20251105</v>
      </c>
      <c r="H211" s="38" t="str">
        <f>VLOOKUP(B211,CAJEROS!B:D,3,0)</f>
        <v>Multifuncional</v>
      </c>
      <c r="I211" s="34"/>
      <c r="J211" s="38" t="str">
        <f>VLOOKUP(B211,CAJEROS!B:E,4,0)</f>
        <v>MF_NEIVANVA</v>
      </c>
    </row>
    <row r="212" spans="1:10">
      <c r="A212" s="32">
        <v>24</v>
      </c>
      <c r="B212" s="33">
        <v>5066</v>
      </c>
      <c r="C212" s="3">
        <v>7010200</v>
      </c>
      <c r="D212" s="3"/>
      <c r="E212" s="31">
        <f t="shared" ref="E212" si="11">+C212-D212</f>
        <v>7010200</v>
      </c>
      <c r="F212" s="5">
        <v>45967</v>
      </c>
      <c r="G212" s="4">
        <v>20251105</v>
      </c>
      <c r="H212" s="38" t="str">
        <f>VLOOKUP(B212,CAJEROS!B:D,3,0)</f>
        <v>Multifuncional</v>
      </c>
      <c r="I212" s="34" t="s">
        <v>9</v>
      </c>
      <c r="J212" s="38" t="str">
        <f>VLOOKUP(B212,CAJEROS!B:E,4,0)</f>
        <v>MF_RIONEGPA</v>
      </c>
    </row>
    <row r="213" spans="1:10">
      <c r="A213" s="32">
        <v>541</v>
      </c>
      <c r="B213" s="33">
        <v>8660</v>
      </c>
      <c r="C213" s="3">
        <v>5847000</v>
      </c>
      <c r="D213" s="3">
        <v>1630000</v>
      </c>
      <c r="E213" s="31">
        <f t="shared" ref="E213:E243" si="12">+C213-D213</f>
        <v>4217000</v>
      </c>
      <c r="F213" s="5">
        <v>45967</v>
      </c>
      <c r="G213" s="4">
        <v>20251105</v>
      </c>
      <c r="H213" s="38" t="str">
        <f>VLOOKUP(B213,CAJEROS!B:D,3,0)</f>
        <v>Multifuncional</v>
      </c>
      <c r="I213" s="34" t="s">
        <v>9</v>
      </c>
      <c r="J213" s="38" t="str">
        <f>VLOOKUP(B213,CAJEROS!B:E,4,0)</f>
        <v>MF_SUCCALP2</v>
      </c>
    </row>
    <row r="214" spans="1:10">
      <c r="A214" s="32">
        <v>692</v>
      </c>
      <c r="B214" s="33">
        <v>1516</v>
      </c>
      <c r="C214" s="3">
        <v>4871950</v>
      </c>
      <c r="D214" s="3">
        <v>1115000</v>
      </c>
      <c r="E214" s="31">
        <f t="shared" si="12"/>
        <v>3756950</v>
      </c>
      <c r="F214" s="5">
        <v>45967</v>
      </c>
      <c r="G214" s="4">
        <v>20251105</v>
      </c>
      <c r="H214" s="38" t="str">
        <f>VLOOKUP(B214,CAJEROS!B:D,3,0)</f>
        <v>Multifuncional</v>
      </c>
      <c r="I214" s="34" t="s">
        <v>9</v>
      </c>
      <c r="J214" s="38" t="str">
        <f>VLOOKUP(B214,CAJEROS!B:E,4,0)</f>
        <v>MFSUCALTPR2</v>
      </c>
    </row>
    <row r="215" spans="1:10">
      <c r="A215" s="32">
        <v>882</v>
      </c>
      <c r="B215" s="33">
        <v>5020</v>
      </c>
      <c r="C215" s="3">
        <v>3640000</v>
      </c>
      <c r="D215" s="3">
        <v>1760000</v>
      </c>
      <c r="E215" s="31">
        <f t="shared" si="12"/>
        <v>1880000</v>
      </c>
      <c r="F215" s="5">
        <v>45967</v>
      </c>
      <c r="G215" s="4">
        <v>20251105</v>
      </c>
      <c r="H215" s="38" t="str">
        <f>VLOOKUP(B215,CAJEROS!B:D,3,0)</f>
        <v>Multifuncional</v>
      </c>
      <c r="I215" s="34" t="s">
        <v>9</v>
      </c>
      <c r="J215" s="38" t="str">
        <f>VLOOKUP(B215,CAJEROS!B:E,4,0)</f>
        <v>MF_LIBERTAD</v>
      </c>
    </row>
    <row r="216" spans="1:10">
      <c r="A216" s="32">
        <v>467</v>
      </c>
      <c r="B216" s="33">
        <v>9052</v>
      </c>
      <c r="C216" s="3">
        <v>3465000</v>
      </c>
      <c r="D216" s="3"/>
      <c r="E216" s="31">
        <f t="shared" si="12"/>
        <v>3465000</v>
      </c>
      <c r="F216" s="5">
        <v>45967</v>
      </c>
      <c r="G216" s="4">
        <v>20251105</v>
      </c>
      <c r="H216" s="38" t="str">
        <f>VLOOKUP(B216,CAJEROS!B:D,3,0)</f>
        <v>Multifuncional</v>
      </c>
      <c r="I216" s="34" t="s">
        <v>9</v>
      </c>
      <c r="J216" s="38" t="str">
        <f>VLOOKUP(B216,CAJEROS!B:E,4,0)</f>
        <v>MFHDVERPLZ2</v>
      </c>
    </row>
    <row r="217" spans="1:10">
      <c r="A217" s="32">
        <v>178</v>
      </c>
      <c r="B217" s="33">
        <v>6218</v>
      </c>
      <c r="C217" s="3">
        <v>3240000</v>
      </c>
      <c r="D217" s="3">
        <v>130000</v>
      </c>
      <c r="E217" s="31">
        <f t="shared" si="12"/>
        <v>3110000</v>
      </c>
      <c r="F217" s="5">
        <v>45967</v>
      </c>
      <c r="G217" s="4">
        <v>20251105</v>
      </c>
      <c r="H217" s="38" t="str">
        <f>VLOOKUP(B217,CAJEROS!B:D,3,0)</f>
        <v>Multifuncional</v>
      </c>
      <c r="I217" s="34" t="s">
        <v>9</v>
      </c>
      <c r="J217" s="38" t="str">
        <f>VLOOKUP(B217,CAJEROS!B:E,4,0)</f>
        <v>MF_CFINANCI</v>
      </c>
    </row>
    <row r="218" spans="1:10">
      <c r="A218" s="32">
        <v>915</v>
      </c>
      <c r="B218" s="33">
        <v>8314</v>
      </c>
      <c r="C218" s="3">
        <v>3120000</v>
      </c>
      <c r="D218" s="3">
        <v>2990000</v>
      </c>
      <c r="E218" s="31">
        <f t="shared" si="12"/>
        <v>130000</v>
      </c>
      <c r="F218" s="5">
        <v>45967</v>
      </c>
      <c r="G218" s="4">
        <v>20251105</v>
      </c>
      <c r="H218" s="38" t="str">
        <f>VLOOKUP(B218,CAJEROS!B:D,3,0)</f>
        <v>Multifuncional</v>
      </c>
      <c r="I218" s="34" t="s">
        <v>9</v>
      </c>
      <c r="J218" s="38" t="str">
        <f>VLOOKUP(B218,CAJEROS!B:E,4,0)</f>
        <v>MF_BANLABB2</v>
      </c>
    </row>
    <row r="219" spans="1:10">
      <c r="A219" s="32">
        <v>60</v>
      </c>
      <c r="B219" s="33">
        <v>8727</v>
      </c>
      <c r="C219" s="3">
        <v>2743350</v>
      </c>
      <c r="D219" s="3"/>
      <c r="E219" s="31">
        <f t="shared" si="12"/>
        <v>2743350</v>
      </c>
      <c r="F219" s="5">
        <v>45967</v>
      </c>
      <c r="G219" s="4">
        <v>20251105</v>
      </c>
      <c r="H219" s="38" t="str">
        <f>VLOOKUP(B219,CAJEROS!B:D,3,0)</f>
        <v>Multifuncional</v>
      </c>
      <c r="I219" s="34" t="s">
        <v>9</v>
      </c>
      <c r="J219" s="38" t="str">
        <f>VLOOKUP(B219,CAJEROS!B:E,4,0)</f>
        <v>MF_HCALIPR1</v>
      </c>
    </row>
    <row r="220" spans="1:10">
      <c r="A220" s="32">
        <v>745</v>
      </c>
      <c r="B220" s="33">
        <v>1477</v>
      </c>
      <c r="C220" s="3">
        <v>2520000</v>
      </c>
      <c r="D220" s="3"/>
      <c r="E220" s="31">
        <f t="shared" si="12"/>
        <v>2520000</v>
      </c>
      <c r="F220" s="5">
        <v>45967</v>
      </c>
      <c r="G220" s="4">
        <v>20251105</v>
      </c>
      <c r="H220" s="38" t="str">
        <f>VLOOKUP(B220,CAJEROS!B:D,3,0)</f>
        <v>Multifuncional</v>
      </c>
      <c r="I220" s="34" t="s">
        <v>9</v>
      </c>
      <c r="J220" s="38" t="str">
        <f>VLOOKUP(B220,CAJEROS!B:E,4,0)</f>
        <v>MFSUCMALPZ2</v>
      </c>
    </row>
    <row r="221" spans="1:10">
      <c r="A221" s="32">
        <v>509</v>
      </c>
      <c r="B221" s="33">
        <v>8835</v>
      </c>
      <c r="C221" s="3">
        <v>2260000</v>
      </c>
      <c r="D221" s="3"/>
      <c r="E221" s="31">
        <f t="shared" si="12"/>
        <v>2260000</v>
      </c>
      <c r="F221" s="5">
        <v>45967</v>
      </c>
      <c r="G221" s="4">
        <v>20251105</v>
      </c>
      <c r="H221" s="38" t="str">
        <f>VLOOKUP(B221,CAJEROS!B:D,3,0)</f>
        <v>Multifuncional</v>
      </c>
      <c r="I221" s="34" t="s">
        <v>9</v>
      </c>
      <c r="J221" s="38" t="str">
        <f>VLOOKUP(B221,CAJEROS!B:E,4,0)</f>
        <v>MFTSUCURB1</v>
      </c>
    </row>
    <row r="222" spans="1:10">
      <c r="A222" s="32">
        <v>716</v>
      </c>
      <c r="B222" s="33">
        <v>5192</v>
      </c>
      <c r="C222" s="3">
        <v>2100000</v>
      </c>
      <c r="D222" s="3"/>
      <c r="E222" s="31">
        <f t="shared" si="12"/>
        <v>2100000</v>
      </c>
      <c r="F222" s="5">
        <v>45967</v>
      </c>
      <c r="G222" s="4">
        <v>20251105</v>
      </c>
      <c r="H222" s="38" t="str">
        <f>VLOOKUP(B222,CAJEROS!B:D,3,0)</f>
        <v>Multifuncional</v>
      </c>
      <c r="I222" s="34" t="s">
        <v>9</v>
      </c>
      <c r="J222" s="38" t="str">
        <f>VLOOKUP(B222,CAJEROS!B:E,4,0)</f>
        <v>MF_AVCGORDS</v>
      </c>
    </row>
    <row r="223" spans="1:10">
      <c r="A223" s="32">
        <v>91</v>
      </c>
      <c r="B223" s="33">
        <v>7943</v>
      </c>
      <c r="C223" s="3">
        <v>1726000</v>
      </c>
      <c r="D223" s="3"/>
      <c r="E223" s="31">
        <f t="shared" si="12"/>
        <v>1726000</v>
      </c>
      <c r="F223" s="5">
        <v>45967</v>
      </c>
      <c r="G223" s="4">
        <v>20251105</v>
      </c>
      <c r="H223" s="38" t="str">
        <f>VLOOKUP(B223,CAJEROS!B:D,3,0)</f>
        <v>Multifuncional</v>
      </c>
      <c r="I223" s="34" t="s">
        <v>9</v>
      </c>
      <c r="J223" s="38" t="str">
        <f>VLOOKUP(B223,CAJEROS!B:E,4,0)</f>
        <v>MF_MONTERI2</v>
      </c>
    </row>
    <row r="224" spans="1:10">
      <c r="A224" s="32">
        <v>499</v>
      </c>
      <c r="B224" s="33">
        <v>9810</v>
      </c>
      <c r="C224" s="3">
        <v>1525200</v>
      </c>
      <c r="D224" s="3">
        <v>1174850</v>
      </c>
      <c r="E224" s="31">
        <f t="shared" si="12"/>
        <v>350350</v>
      </c>
      <c r="F224" s="5">
        <v>45967</v>
      </c>
      <c r="G224" s="4">
        <v>20251105</v>
      </c>
      <c r="H224" s="38" t="str">
        <f>VLOOKUP(B224,CAJEROS!B:D,3,0)</f>
        <v>Multifuncional</v>
      </c>
      <c r="I224" s="34" t="s">
        <v>9</v>
      </c>
      <c r="J224" s="38" t="str">
        <f>VLOOKUP(B224,CAJEROS!B:E,4,0)</f>
        <v>MF_SUCPARF1</v>
      </c>
    </row>
    <row r="225" spans="1:10">
      <c r="A225" s="32">
        <v>554</v>
      </c>
      <c r="B225" s="33">
        <v>8295</v>
      </c>
      <c r="C225" s="3">
        <v>1390000</v>
      </c>
      <c r="D225" s="3"/>
      <c r="E225" s="31">
        <f t="shared" si="12"/>
        <v>1390000</v>
      </c>
      <c r="F225" s="5">
        <v>45967</v>
      </c>
      <c r="G225" s="4">
        <v>20251105</v>
      </c>
      <c r="H225" s="38" t="str">
        <f>VLOOKUP(B225,CAJEROS!B:D,3,0)</f>
        <v>Multifuncional</v>
      </c>
      <c r="I225" s="34" t="s">
        <v>9</v>
      </c>
      <c r="J225" s="38" t="str">
        <f>VLOOKUP(B225,CAJEROS!B:E,4,0)</f>
        <v>MF_SBUVIII2</v>
      </c>
    </row>
    <row r="226" spans="1:10">
      <c r="A226" s="32">
        <v>348</v>
      </c>
      <c r="B226" s="33">
        <v>6724</v>
      </c>
      <c r="C226" s="3">
        <v>1376100</v>
      </c>
      <c r="D226" s="3">
        <v>870000</v>
      </c>
      <c r="E226" s="31">
        <f t="shared" si="12"/>
        <v>506100</v>
      </c>
      <c r="F226" s="5">
        <v>45967</v>
      </c>
      <c r="G226" s="4">
        <v>20251105</v>
      </c>
      <c r="H226" s="38" t="str">
        <f>VLOOKUP(B226,CAJEROS!B:D,3,0)</f>
        <v>Multifuncional</v>
      </c>
      <c r="I226" s="34" t="s">
        <v>9</v>
      </c>
      <c r="J226" s="38" t="str">
        <f>VLOOKUP(B226,CAJEROS!B:E,4,0)</f>
        <v>MF_SANANDRE</v>
      </c>
    </row>
    <row r="227" spans="1:10">
      <c r="A227" s="32">
        <v>31</v>
      </c>
      <c r="B227" s="33">
        <v>8737</v>
      </c>
      <c r="C227" s="3">
        <v>1249000</v>
      </c>
      <c r="D227" s="3">
        <f>549000+90000</f>
        <v>639000</v>
      </c>
      <c r="E227" s="31">
        <f t="shared" si="12"/>
        <v>610000</v>
      </c>
      <c r="F227" s="5">
        <v>45967</v>
      </c>
      <c r="G227" s="4">
        <v>20251105</v>
      </c>
      <c r="H227" s="38" t="str">
        <f>VLOOKUP(B227,CAJEROS!B:D,3,0)</f>
        <v>Multifuncional</v>
      </c>
      <c r="I227" s="34" t="s">
        <v>9</v>
      </c>
      <c r="J227" s="38" t="str">
        <f>VLOOKUP(B227,CAJEROS!B:E,4,0)</f>
        <v>MF_SUCEINT1</v>
      </c>
    </row>
    <row r="228" spans="1:10">
      <c r="A228" s="32">
        <v>78</v>
      </c>
      <c r="B228" s="33">
        <v>6246</v>
      </c>
      <c r="C228" s="3">
        <v>1040000</v>
      </c>
      <c r="D228" s="3"/>
      <c r="E228" s="31">
        <f t="shared" si="12"/>
        <v>1040000</v>
      </c>
      <c r="F228" s="5">
        <v>45967</v>
      </c>
      <c r="G228" s="4">
        <v>20251105</v>
      </c>
      <c r="H228" s="38" t="str">
        <f>VLOOKUP(B228,CAJEROS!B:D,3,0)</f>
        <v>Multifuncional</v>
      </c>
      <c r="I228" s="34" t="s">
        <v>9</v>
      </c>
      <c r="J228" s="38" t="str">
        <f>VLOOKUP(B228,CAJEROS!B:E,4,0)</f>
        <v>MF_CACIQUE</v>
      </c>
    </row>
    <row r="229" spans="1:10">
      <c r="A229" s="32">
        <v>876</v>
      </c>
      <c r="B229" s="33">
        <v>9682</v>
      </c>
      <c r="C229" s="3">
        <v>950000</v>
      </c>
      <c r="D229" s="3"/>
      <c r="E229" s="31">
        <f t="shared" si="12"/>
        <v>950000</v>
      </c>
      <c r="F229" s="5">
        <v>45967</v>
      </c>
      <c r="G229" s="4">
        <v>20251105</v>
      </c>
      <c r="H229" s="38" t="str">
        <f>VLOOKUP(B229,CAJEROS!B:D,3,0)</f>
        <v>Multifuncional</v>
      </c>
      <c r="I229" s="34" t="s">
        <v>9</v>
      </c>
      <c r="J229" s="38" t="str">
        <f>VLOOKUP(B229,CAJEROS!B:E,4,0)</f>
        <v>MF_VILCAM1</v>
      </c>
    </row>
    <row r="230" spans="1:10">
      <c r="A230" s="32">
        <v>377</v>
      </c>
      <c r="B230" s="33">
        <v>1508</v>
      </c>
      <c r="C230" s="3">
        <v>877000</v>
      </c>
      <c r="D230" s="3">
        <v>475000</v>
      </c>
      <c r="E230" s="31">
        <f t="shared" si="12"/>
        <v>402000</v>
      </c>
      <c r="F230" s="5">
        <v>45967</v>
      </c>
      <c r="G230" s="4">
        <v>20251105</v>
      </c>
      <c r="H230" s="38" t="str">
        <f>VLOOKUP(B230,CAJEROS!B:D,3,0)</f>
        <v>Multifuncional</v>
      </c>
      <c r="I230" s="34" t="s">
        <v>9</v>
      </c>
      <c r="J230" s="38" t="str">
        <f>VLOOKUP(B230,CAJEROS!B:E,4,0)</f>
        <v>MFSUCCIAV1</v>
      </c>
    </row>
    <row r="231" spans="1:10">
      <c r="A231" s="32">
        <v>957</v>
      </c>
      <c r="B231" s="33">
        <v>9512</v>
      </c>
      <c r="C231" s="3">
        <v>622000</v>
      </c>
      <c r="D231" s="3"/>
      <c r="E231" s="31">
        <f t="shared" si="12"/>
        <v>622000</v>
      </c>
      <c r="F231" s="5">
        <v>45967</v>
      </c>
      <c r="G231" s="4">
        <v>20251105</v>
      </c>
      <c r="H231" s="38" t="str">
        <f>VLOOKUP(B231,CAJEROS!B:D,3,0)</f>
        <v>Multifuncional</v>
      </c>
      <c r="I231" s="34" t="s">
        <v>9</v>
      </c>
      <c r="J231" s="38" t="str">
        <f>VLOOKUP(B231,CAJEROS!B:E,4,0)</f>
        <v>MFSUCPARAL1</v>
      </c>
    </row>
    <row r="232" spans="1:10">
      <c r="A232" s="32">
        <v>795</v>
      </c>
      <c r="B232" s="33">
        <v>1027</v>
      </c>
      <c r="C232" s="3">
        <v>556000</v>
      </c>
      <c r="D232" s="3"/>
      <c r="E232" s="31">
        <f t="shared" si="12"/>
        <v>556000</v>
      </c>
      <c r="F232" s="5">
        <v>45967</v>
      </c>
      <c r="G232" s="4">
        <v>20251105</v>
      </c>
      <c r="H232" s="38" t="str">
        <f>VLOOKUP(B232,CAJEROS!B:D,3,0)</f>
        <v>Multifuncional</v>
      </c>
      <c r="I232" s="34" t="s">
        <v>9</v>
      </c>
      <c r="J232" s="38" t="str">
        <f>VLOOKUP(B232,CAJEROS!B:E,4,0)</f>
        <v>MFSUCANVER1</v>
      </c>
    </row>
    <row r="233" spans="1:10">
      <c r="A233" s="32">
        <v>623</v>
      </c>
      <c r="B233" s="33">
        <v>7375</v>
      </c>
      <c r="C233" s="3">
        <v>450000</v>
      </c>
      <c r="D233" s="3">
        <f>50000+380000</f>
        <v>430000</v>
      </c>
      <c r="E233" s="31">
        <f t="shared" si="12"/>
        <v>20000</v>
      </c>
      <c r="F233" s="5">
        <v>45967</v>
      </c>
      <c r="G233" s="4">
        <v>20251105</v>
      </c>
      <c r="H233" s="38" t="str">
        <f>VLOOKUP(B233,CAJEROS!B:D,3,0)</f>
        <v>Multifuncional</v>
      </c>
      <c r="I233" s="34" t="s">
        <v>9</v>
      </c>
      <c r="J233" s="38" t="str">
        <f>VLOOKUP(B233,CAJEROS!B:E,4,0)</f>
        <v>MF_FUNDMAN2</v>
      </c>
    </row>
    <row r="234" spans="1:10">
      <c r="A234" s="32">
        <v>816</v>
      </c>
      <c r="B234" s="33">
        <v>5205</v>
      </c>
      <c r="C234" s="3">
        <v>440000</v>
      </c>
      <c r="D234" s="3"/>
      <c r="E234" s="31">
        <f t="shared" si="12"/>
        <v>440000</v>
      </c>
      <c r="F234" s="5">
        <v>45967</v>
      </c>
      <c r="G234" s="4">
        <v>20251105</v>
      </c>
      <c r="H234" s="38" t="str">
        <f>VLOOKUP(B234,CAJEROS!B:D,3,0)</f>
        <v>Multifuncional</v>
      </c>
      <c r="I234" s="34" t="s">
        <v>9</v>
      </c>
      <c r="J234" s="38" t="str">
        <f>VLOOKUP(B234,CAJEROS!B:E,4,0)</f>
        <v>MF_SUCLLE10</v>
      </c>
    </row>
    <row r="235" spans="1:10">
      <c r="A235" s="32">
        <v>217</v>
      </c>
      <c r="B235" s="33">
        <v>5208</v>
      </c>
      <c r="C235" s="3">
        <v>380000</v>
      </c>
      <c r="D235" s="3"/>
      <c r="E235" s="31">
        <f t="shared" si="12"/>
        <v>380000</v>
      </c>
      <c r="F235" s="5">
        <v>45967</v>
      </c>
      <c r="G235" s="4">
        <v>20251105</v>
      </c>
      <c r="H235" s="38" t="str">
        <f>VLOOKUP(B235,CAJEROS!B:D,3,0)</f>
        <v>Multifuncional</v>
      </c>
      <c r="I235" s="34" t="s">
        <v>9</v>
      </c>
      <c r="J235" s="38" t="str">
        <f>VLOOKUP(B235,CAJEROS!B:E,4,0)</f>
        <v>MF_MONTEVID</v>
      </c>
    </row>
    <row r="236" spans="1:10">
      <c r="A236" s="32">
        <v>849</v>
      </c>
      <c r="B236" s="33">
        <v>9725</v>
      </c>
      <c r="C236" s="3">
        <v>360000</v>
      </c>
      <c r="D236" s="3"/>
      <c r="E236" s="31">
        <f t="shared" si="12"/>
        <v>360000</v>
      </c>
      <c r="F236" s="5">
        <v>45967</v>
      </c>
      <c r="G236" s="4">
        <v>20251105</v>
      </c>
      <c r="H236" s="38" t="str">
        <f>VLOOKUP(B236,CAJEROS!B:D,3,0)</f>
        <v>Multifuncional</v>
      </c>
      <c r="I236" s="34" t="s">
        <v>9</v>
      </c>
      <c r="J236" s="38" t="str">
        <f>VLOOKUP(B236,CAJEROS!B:E,4,0)</f>
        <v>MF_SUNIVIL2</v>
      </c>
    </row>
    <row r="237" spans="1:10">
      <c r="A237" s="32">
        <v>91</v>
      </c>
      <c r="B237" s="33">
        <v>5148</v>
      </c>
      <c r="C237" s="3">
        <v>280000</v>
      </c>
      <c r="D237" s="3">
        <v>271550</v>
      </c>
      <c r="E237" s="31">
        <f t="shared" si="12"/>
        <v>8450</v>
      </c>
      <c r="F237" s="5">
        <v>45967</v>
      </c>
      <c r="G237" s="4">
        <v>20251105</v>
      </c>
      <c r="H237" s="38" t="str">
        <f>VLOOKUP(B237,CAJEROS!B:D,3,0)</f>
        <v>Multifuncional</v>
      </c>
      <c r="I237" s="34" t="s">
        <v>9</v>
      </c>
      <c r="J237" s="38" t="str">
        <f>VLOOKUP(B237,CAJEROS!B:E,4,0)</f>
        <v>MF_MONTERIA</v>
      </c>
    </row>
    <row r="238" spans="1:10">
      <c r="A238" s="32">
        <v>60</v>
      </c>
      <c r="B238" s="33">
        <v>8728</v>
      </c>
      <c r="C238" s="3">
        <v>200000</v>
      </c>
      <c r="D238" s="3"/>
      <c r="E238" s="31">
        <f t="shared" si="12"/>
        <v>200000</v>
      </c>
      <c r="F238" s="5">
        <v>45967</v>
      </c>
      <c r="G238" s="4">
        <v>20251105</v>
      </c>
      <c r="H238" s="38" t="str">
        <f>VLOOKUP(B238,CAJEROS!B:D,3,0)</f>
        <v>Multifuncional</v>
      </c>
      <c r="I238" s="34" t="s">
        <v>9</v>
      </c>
      <c r="J238" s="38" t="str">
        <f>VLOOKUP(B238,CAJEROS!B:E,4,0)</f>
        <v>MF_HCALIPR2</v>
      </c>
    </row>
    <row r="239" spans="1:10">
      <c r="A239" s="32">
        <v>40</v>
      </c>
      <c r="B239" s="33">
        <v>5142</v>
      </c>
      <c r="C239" s="3">
        <v>160000</v>
      </c>
      <c r="D239" s="3">
        <v>140000</v>
      </c>
      <c r="E239" s="31">
        <f t="shared" si="12"/>
        <v>20000</v>
      </c>
      <c r="F239" s="5">
        <v>45967</v>
      </c>
      <c r="G239" s="4">
        <v>20251105</v>
      </c>
      <c r="H239" s="38" t="str">
        <f>VLOOKUP(B239,CAJEROS!B:D,3,0)</f>
        <v>Multifuncional</v>
      </c>
      <c r="I239" s="34" t="s">
        <v>9</v>
      </c>
      <c r="J239" s="38" t="str">
        <f>VLOOKUP(B239,CAJEROS!B:E,4,0)</f>
        <v>MF_CENTRO93</v>
      </c>
    </row>
    <row r="240" spans="1:10">
      <c r="A240" s="32">
        <v>1</v>
      </c>
      <c r="B240" s="33">
        <v>5000</v>
      </c>
      <c r="C240" s="3">
        <v>66150</v>
      </c>
      <c r="D240" s="3"/>
      <c r="E240" s="31">
        <f t="shared" si="12"/>
        <v>66150</v>
      </c>
      <c r="F240" s="5">
        <v>45967</v>
      </c>
      <c r="G240" s="4">
        <v>20251105</v>
      </c>
      <c r="H240" s="38" t="str">
        <f>VLOOKUP(B240,CAJEROS!B:D,3,0)</f>
        <v>Multifuncional</v>
      </c>
      <c r="I240" s="34" t="s">
        <v>9</v>
      </c>
      <c r="J240" s="38" t="str">
        <f>VLOOKUP(B240,CAJEROS!B:E,4,0)</f>
        <v>MF_CARABOBO</v>
      </c>
    </row>
    <row r="241" spans="1:10">
      <c r="A241" s="32">
        <v>15</v>
      </c>
      <c r="B241" s="33">
        <v>8576</v>
      </c>
      <c r="C241" s="3">
        <v>52700</v>
      </c>
      <c r="D241" s="3"/>
      <c r="E241" s="31">
        <f t="shared" si="12"/>
        <v>52700</v>
      </c>
      <c r="F241" s="5">
        <v>45967</v>
      </c>
      <c r="G241" s="4">
        <v>20251105</v>
      </c>
      <c r="H241" s="38" t="str">
        <f>VLOOKUP(B241,CAJEROS!B:D,3,0)</f>
        <v>Multifuncional</v>
      </c>
      <c r="I241" s="34" t="s">
        <v>9</v>
      </c>
      <c r="J241" s="38" t="str">
        <f>VLOOKUP(B241,CAJEROS!B:E,4,0)</f>
        <v>MF_HITAGUI1</v>
      </c>
    </row>
    <row r="242" spans="1:10">
      <c r="A242" s="32">
        <v>261</v>
      </c>
      <c r="B242" s="33">
        <v>5048</v>
      </c>
      <c r="C242" s="3">
        <v>30100</v>
      </c>
      <c r="D242" s="3"/>
      <c r="E242" s="31">
        <f t="shared" si="12"/>
        <v>30100</v>
      </c>
      <c r="F242" s="5">
        <v>45967</v>
      </c>
      <c r="G242" s="4">
        <v>20251105</v>
      </c>
      <c r="H242" s="38" t="str">
        <f>VLOOKUP(B242,CAJEROS!B:D,3,0)</f>
        <v>Multifuncional</v>
      </c>
      <c r="I242" s="34" t="s">
        <v>9</v>
      </c>
      <c r="J242" s="38" t="str">
        <f>VLOOKUP(B242,CAJEROS!B:E,4,0)</f>
        <v>MF_CAMPANA</v>
      </c>
    </row>
    <row r="243" spans="1:10">
      <c r="A243" s="32">
        <v>812</v>
      </c>
      <c r="B243" s="33">
        <v>7614</v>
      </c>
      <c r="C243" s="3">
        <v>23000</v>
      </c>
      <c r="D243" s="3"/>
      <c r="E243" s="31">
        <f t="shared" si="12"/>
        <v>23000</v>
      </c>
      <c r="F243" s="5">
        <v>45967</v>
      </c>
      <c r="G243" s="4">
        <v>20251105</v>
      </c>
      <c r="H243" s="38" t="str">
        <f>VLOOKUP(B243,CAJEROS!B:D,3,0)</f>
        <v>Multifuncional</v>
      </c>
      <c r="I243" s="34" t="s">
        <v>9</v>
      </c>
      <c r="J243" s="38" t="str">
        <f>VLOOKUP(B243,CAJEROS!B:E,4,0)</f>
        <v>MF_CHPICHP3</v>
      </c>
    </row>
    <row r="244" spans="1:10">
      <c r="A244" s="32">
        <v>466</v>
      </c>
      <c r="B244" s="33">
        <v>6777</v>
      </c>
      <c r="C244" s="3">
        <v>20000</v>
      </c>
      <c r="D244" s="3"/>
      <c r="E244" s="31">
        <f t="shared" ref="E244:E303" si="13">+C244-D244</f>
        <v>20000</v>
      </c>
      <c r="F244" s="5">
        <v>45967</v>
      </c>
      <c r="G244" s="4">
        <v>20251105</v>
      </c>
      <c r="H244" s="38" t="str">
        <f>VLOOKUP(B244,CAJEROS!B:D,3,0)</f>
        <v>Dispensador</v>
      </c>
      <c r="I244" s="34" t="s">
        <v>10</v>
      </c>
      <c r="J244" s="38" t="str">
        <f>VLOOKUP(B244,CAJEROS!B:E,4,0)</f>
        <v>SUCFLOREN_2</v>
      </c>
    </row>
    <row r="245" spans="1:10">
      <c r="A245" s="32">
        <v>658</v>
      </c>
      <c r="B245" s="33">
        <v>6228</v>
      </c>
      <c r="C245" s="3">
        <v>20000</v>
      </c>
      <c r="D245" s="3"/>
      <c r="E245" s="31">
        <f t="shared" si="13"/>
        <v>20000</v>
      </c>
      <c r="F245" s="5">
        <v>45967</v>
      </c>
      <c r="G245" s="4">
        <v>20251105</v>
      </c>
      <c r="H245" s="38" t="str">
        <f>VLOOKUP(B245,CAJEROS!B:D,3,0)</f>
        <v>Dispensador</v>
      </c>
      <c r="I245" s="34" t="s">
        <v>10</v>
      </c>
      <c r="J245" s="38" t="str">
        <f>VLOOKUP(B245,CAJEROS!B:E,4,0)</f>
        <v>SUCBELLASU1</v>
      </c>
    </row>
    <row r="246" spans="1:10">
      <c r="A246" s="32">
        <v>367</v>
      </c>
      <c r="B246" s="33">
        <v>2223</v>
      </c>
      <c r="C246" s="3">
        <v>10000</v>
      </c>
      <c r="D246" s="3"/>
      <c r="E246" s="31">
        <f t="shared" si="13"/>
        <v>10000</v>
      </c>
      <c r="F246" s="5">
        <v>45967</v>
      </c>
      <c r="G246" s="4">
        <v>20251105</v>
      </c>
      <c r="H246" s="38" t="str">
        <f>VLOOKUP(B246,CAJEROS!B:D,3,0)</f>
        <v>Dispensador</v>
      </c>
      <c r="I246" s="34" t="s">
        <v>10</v>
      </c>
      <c r="J246" s="38" t="str">
        <f>VLOOKUP(B246,CAJEROS!B:E,4,0)</f>
        <v>OFGRANAME_2</v>
      </c>
    </row>
    <row r="247" spans="1:10">
      <c r="A247" s="32">
        <v>93</v>
      </c>
      <c r="B247" s="33">
        <v>6055</v>
      </c>
      <c r="C247" s="3">
        <v>40000</v>
      </c>
      <c r="D247" s="3"/>
      <c r="E247" s="31">
        <f t="shared" si="13"/>
        <v>40000</v>
      </c>
      <c r="F247" s="5">
        <v>45968</v>
      </c>
      <c r="G247" s="4">
        <v>20251106</v>
      </c>
      <c r="H247" s="38" t="str">
        <f>VLOOKUP(B247,CAJEROS!B:D,3,0)</f>
        <v>Dispensador</v>
      </c>
      <c r="I247" s="34"/>
      <c r="J247" s="38" t="str">
        <f>VLOOKUP(B247,CAJEROS!B:E,4,0)</f>
        <v>SAHAGUN3</v>
      </c>
    </row>
    <row r="248" spans="1:10">
      <c r="A248" s="32">
        <v>108</v>
      </c>
      <c r="B248" s="33">
        <v>1740</v>
      </c>
      <c r="C248" s="3">
        <v>3650000</v>
      </c>
      <c r="D248" s="3"/>
      <c r="E248" s="31">
        <f t="shared" si="13"/>
        <v>3650000</v>
      </c>
      <c r="F248" s="5">
        <v>45968</v>
      </c>
      <c r="G248" s="4">
        <v>20251106</v>
      </c>
      <c r="H248" s="38" t="str">
        <f>VLOOKUP(B248,CAJEROS!B:D,3,0)</f>
        <v>Dispensador</v>
      </c>
      <c r="I248" s="34"/>
      <c r="J248" s="38" t="str">
        <f>VLOOKUP(B248,CAJEROS!B:E,4,0)</f>
        <v>SUCPLZAMER3</v>
      </c>
    </row>
    <row r="249" spans="1:10">
      <c r="A249" s="32">
        <v>195</v>
      </c>
      <c r="B249" s="33">
        <v>1950</v>
      </c>
      <c r="C249" s="3">
        <v>10000</v>
      </c>
      <c r="D249" s="3">
        <v>10000</v>
      </c>
      <c r="E249" s="31">
        <f t="shared" si="13"/>
        <v>0</v>
      </c>
      <c r="F249" s="5">
        <v>45968</v>
      </c>
      <c r="G249" s="4">
        <v>20251106</v>
      </c>
      <c r="H249" s="38" t="str">
        <f>VLOOKUP(B249,CAJEROS!B:D,3,0)</f>
        <v>Dispensador</v>
      </c>
      <c r="I249" s="34"/>
      <c r="J249" s="38" t="str">
        <f>VLOOKUP(B249,CAJEROS!B:E,4,0)</f>
        <v>LAUNIONNARI</v>
      </c>
    </row>
    <row r="250" spans="1:10">
      <c r="A250" s="32">
        <v>335</v>
      </c>
      <c r="B250" s="33">
        <v>5741</v>
      </c>
      <c r="C250" s="3">
        <v>2610000</v>
      </c>
      <c r="D250" s="3"/>
      <c r="E250" s="31">
        <f t="shared" si="13"/>
        <v>2610000</v>
      </c>
      <c r="F250" s="5">
        <v>45968</v>
      </c>
      <c r="G250" s="4">
        <v>20251106</v>
      </c>
      <c r="H250" s="38" t="str">
        <f>VLOOKUP(B250,CAJEROS!B:D,3,0)</f>
        <v>Dispensador</v>
      </c>
      <c r="I250" s="34"/>
      <c r="J250" s="38" t="str">
        <f>VLOOKUP(B250,CAJEROS!B:E,4,0)</f>
        <v>SUC_CAJICA5</v>
      </c>
    </row>
    <row r="251" spans="1:10">
      <c r="A251" s="32">
        <v>392</v>
      </c>
      <c r="B251" s="33">
        <v>5265</v>
      </c>
      <c r="C251" s="3">
        <v>430000</v>
      </c>
      <c r="D251" s="3"/>
      <c r="E251" s="31">
        <f t="shared" si="13"/>
        <v>430000</v>
      </c>
      <c r="F251" s="5">
        <v>45968</v>
      </c>
      <c r="G251" s="4">
        <v>20251106</v>
      </c>
      <c r="H251" s="38" t="str">
        <f>VLOOKUP(B251,CAJEROS!B:D,3,0)</f>
        <v>Dispensador</v>
      </c>
      <c r="I251" s="34"/>
      <c r="J251" s="38" t="str">
        <f>VLOOKUP(B251,CAJEROS!B:E,4,0)</f>
        <v>SUC_LADORA4</v>
      </c>
    </row>
    <row r="252" spans="1:10">
      <c r="A252" s="32">
        <v>399</v>
      </c>
      <c r="B252" s="33">
        <v>8440</v>
      </c>
      <c r="C252" s="3">
        <v>300000</v>
      </c>
      <c r="D252" s="3"/>
      <c r="E252" s="31">
        <f t="shared" si="13"/>
        <v>300000</v>
      </c>
      <c r="F252" s="5">
        <v>45968</v>
      </c>
      <c r="G252" s="4">
        <v>20251106</v>
      </c>
      <c r="H252" s="38" t="str">
        <f>VLOOKUP(B252,CAJEROS!B:D,3,0)</f>
        <v>Dispensador</v>
      </c>
      <c r="I252" s="34"/>
      <c r="J252" s="38" t="str">
        <f>VLOOKUP(B252,CAJEROS!B:E,4,0)</f>
        <v>SUCGIRARDO1</v>
      </c>
    </row>
    <row r="253" spans="1:10">
      <c r="A253" s="32">
        <v>399</v>
      </c>
      <c r="B253" s="33">
        <v>8441</v>
      </c>
      <c r="C253" s="3">
        <v>10000</v>
      </c>
      <c r="D253" s="3"/>
      <c r="E253" s="31">
        <f t="shared" si="13"/>
        <v>10000</v>
      </c>
      <c r="F253" s="5">
        <v>45968</v>
      </c>
      <c r="G253" s="4">
        <v>20251106</v>
      </c>
      <c r="H253" s="38" t="str">
        <f>VLOOKUP(B253,CAJEROS!B:D,3,0)</f>
        <v>Dispensador</v>
      </c>
      <c r="I253" s="34"/>
      <c r="J253" s="38" t="str">
        <f>VLOOKUP(B253,CAJEROS!B:E,4,0)</f>
        <v>SUCGIRARDO2</v>
      </c>
    </row>
    <row r="254" spans="1:10">
      <c r="A254" s="32">
        <v>422</v>
      </c>
      <c r="B254" s="33">
        <v>4221</v>
      </c>
      <c r="C254" s="3">
        <v>50000</v>
      </c>
      <c r="D254" s="3"/>
      <c r="E254" s="31">
        <f t="shared" si="13"/>
        <v>50000</v>
      </c>
      <c r="F254" s="5">
        <v>45968</v>
      </c>
      <c r="G254" s="4">
        <v>20251106</v>
      </c>
      <c r="H254" s="38" t="str">
        <f>VLOOKUP(B254,CAJEROS!B:D,3,0)</f>
        <v>Dispensador</v>
      </c>
      <c r="I254" s="34"/>
      <c r="J254" s="38" t="str">
        <f>VLOOKUP(B254,CAJEROS!B:E,4,0)</f>
        <v>CHAPARRAL</v>
      </c>
    </row>
    <row r="255" spans="1:10">
      <c r="A255" s="32">
        <v>438</v>
      </c>
      <c r="B255" s="33">
        <v>4380</v>
      </c>
      <c r="C255" s="3">
        <v>350000</v>
      </c>
      <c r="D255" s="3"/>
      <c r="E255" s="31">
        <f t="shared" si="13"/>
        <v>350000</v>
      </c>
      <c r="F255" s="5">
        <v>45968</v>
      </c>
      <c r="G255" s="4">
        <v>20251106</v>
      </c>
      <c r="H255" s="38" t="str">
        <f>VLOOKUP(B255,CAJEROS!B:D,3,0)</f>
        <v>Dispensador</v>
      </c>
      <c r="I255" s="34"/>
      <c r="J255" s="38" t="str">
        <f>VLOOKUP(B255,CAJEROS!B:E,4,0)</f>
        <v>ANDES</v>
      </c>
    </row>
    <row r="256" spans="1:10">
      <c r="A256" s="32">
        <v>454</v>
      </c>
      <c r="B256" s="33">
        <v>1884</v>
      </c>
      <c r="C256" s="3">
        <v>1010000</v>
      </c>
      <c r="D256" s="3"/>
      <c r="E256" s="31">
        <f t="shared" si="13"/>
        <v>1010000</v>
      </c>
      <c r="F256" s="5">
        <v>45968</v>
      </c>
      <c r="G256" s="4">
        <v>20251106</v>
      </c>
      <c r="H256" s="38" t="str">
        <f>VLOOKUP(B256,CAJEROS!B:D,3,0)</f>
        <v>Dispensador</v>
      </c>
      <c r="I256" s="34"/>
      <c r="J256" s="38" t="str">
        <f>VLOOKUP(B256,CAJEROS!B:E,4,0)</f>
        <v>5TAVENIDA1</v>
      </c>
    </row>
    <row r="257" spans="1:10">
      <c r="A257" s="32">
        <v>473</v>
      </c>
      <c r="B257" s="33">
        <v>3442</v>
      </c>
      <c r="C257" s="3">
        <v>20000</v>
      </c>
      <c r="D257" s="3"/>
      <c r="E257" s="31">
        <f t="shared" si="13"/>
        <v>20000</v>
      </c>
      <c r="F257" s="5">
        <v>45968</v>
      </c>
      <c r="G257" s="4">
        <v>20251106</v>
      </c>
      <c r="H257" s="38" t="str">
        <f>VLOOKUP(B257,CAJEROS!B:D,3,0)</f>
        <v>Dispensador</v>
      </c>
      <c r="I257" s="34"/>
      <c r="J257" s="38" t="str">
        <f>VLOOKUP(B257,CAJEROS!B:E,4,0)</f>
        <v>VICAGUAN2</v>
      </c>
    </row>
    <row r="258" spans="1:10">
      <c r="A258" s="32">
        <v>482</v>
      </c>
      <c r="B258" s="33">
        <v>8620</v>
      </c>
      <c r="C258" s="3">
        <v>80000</v>
      </c>
      <c r="D258" s="3"/>
      <c r="E258" s="31">
        <f t="shared" si="13"/>
        <v>80000</v>
      </c>
      <c r="F258" s="5">
        <v>45968</v>
      </c>
      <c r="G258" s="4">
        <v>20251106</v>
      </c>
      <c r="H258" s="38" t="str">
        <f>VLOOKUP(B258,CAJEROS!B:D,3,0)</f>
        <v>Dispensador</v>
      </c>
      <c r="I258" s="34"/>
      <c r="J258" s="38" t="str">
        <f>VLOOKUP(B258,CAJEROS!B:E,4,0)</f>
        <v>SUC_CIENAG1</v>
      </c>
    </row>
    <row r="259" spans="1:10">
      <c r="A259" s="32">
        <v>503</v>
      </c>
      <c r="B259" s="33">
        <v>5031</v>
      </c>
      <c r="C259" s="3">
        <v>190000</v>
      </c>
      <c r="D259" s="3"/>
      <c r="E259" s="31">
        <f t="shared" si="13"/>
        <v>190000</v>
      </c>
      <c r="F259" s="5">
        <v>45968</v>
      </c>
      <c r="G259" s="4">
        <v>20251106</v>
      </c>
      <c r="H259" s="38" t="str">
        <f>VLOOKUP(B259,CAJEROS!B:D,3,0)</f>
        <v>Dispensador</v>
      </c>
      <c r="I259" s="34"/>
      <c r="J259" s="38" t="str">
        <f>VLOOKUP(B259,CAJEROS!B:E,4,0)</f>
        <v>YARUMAL1</v>
      </c>
    </row>
    <row r="260" spans="1:10">
      <c r="A260" s="32">
        <v>536</v>
      </c>
      <c r="B260" s="33">
        <v>8993</v>
      </c>
      <c r="C260" s="3">
        <v>230000</v>
      </c>
      <c r="D260" s="3"/>
      <c r="E260" s="31">
        <f t="shared" si="13"/>
        <v>230000</v>
      </c>
      <c r="F260" s="5">
        <v>45968</v>
      </c>
      <c r="G260" s="4">
        <v>20251106</v>
      </c>
      <c r="H260" s="38" t="str">
        <f>VLOOKUP(B260,CAJEROS!B:D,3,0)</f>
        <v>Dispensador</v>
      </c>
      <c r="I260" s="34"/>
      <c r="J260" s="38" t="str">
        <f>VLOOKUP(B260,CAJEROS!B:E,4,0)</f>
        <v>SUC_QUIBDO8</v>
      </c>
    </row>
    <row r="261" spans="1:10">
      <c r="A261" s="32">
        <v>728</v>
      </c>
      <c r="B261" s="33">
        <v>8583</v>
      </c>
      <c r="C261" s="3">
        <v>10000</v>
      </c>
      <c r="D261" s="3"/>
      <c r="E261" s="31">
        <f t="shared" si="13"/>
        <v>10000</v>
      </c>
      <c r="F261" s="5">
        <v>45968</v>
      </c>
      <c r="G261" s="4">
        <v>20251106</v>
      </c>
      <c r="H261" s="38" t="str">
        <f>VLOOKUP(B261,CAJEROS!B:D,3,0)</f>
        <v>Dispensador</v>
      </c>
      <c r="I261" s="34"/>
      <c r="J261" s="38" t="str">
        <f>VLOOKUP(B261,CAJEROS!B:E,4,0)</f>
        <v>SUCCARTAGO2</v>
      </c>
    </row>
    <row r="262" spans="1:10">
      <c r="A262" s="32">
        <v>728</v>
      </c>
      <c r="B262" s="33">
        <v>8585</v>
      </c>
      <c r="C262" s="3">
        <v>100000</v>
      </c>
      <c r="D262" s="3"/>
      <c r="E262" s="31">
        <f t="shared" si="13"/>
        <v>100000</v>
      </c>
      <c r="F262" s="5">
        <v>45968</v>
      </c>
      <c r="G262" s="4">
        <v>20251106</v>
      </c>
      <c r="H262" s="38" t="str">
        <f>VLOOKUP(B262,CAJEROS!B:D,3,0)</f>
        <v>Dispensador</v>
      </c>
      <c r="I262" s="34"/>
      <c r="J262" s="38" t="str">
        <f>VLOOKUP(B262,CAJEROS!B:E,4,0)</f>
        <v>SUCCARTAGO4</v>
      </c>
    </row>
    <row r="263" spans="1:10">
      <c r="A263" s="32">
        <v>741</v>
      </c>
      <c r="B263" s="33">
        <v>6842</v>
      </c>
      <c r="C263" s="3">
        <v>250000</v>
      </c>
      <c r="D263" s="3"/>
      <c r="E263" s="31">
        <f t="shared" si="13"/>
        <v>250000</v>
      </c>
      <c r="F263" s="5">
        <v>45968</v>
      </c>
      <c r="G263" s="4">
        <v>20251106</v>
      </c>
      <c r="H263" s="38" t="str">
        <f>VLOOKUP(B263,CAJEROS!B:D,3,0)</f>
        <v>Dispensador</v>
      </c>
      <c r="I263" s="34"/>
      <c r="J263" s="38" t="str">
        <f>VLOOKUP(B263,CAJEROS!B:E,4,0)</f>
        <v>SUC_IDEO_2</v>
      </c>
    </row>
    <row r="264" spans="1:10">
      <c r="A264" s="32">
        <v>782</v>
      </c>
      <c r="B264" s="33">
        <v>9854</v>
      </c>
      <c r="C264" s="3">
        <v>5400000</v>
      </c>
      <c r="D264" s="3"/>
      <c r="E264" s="31">
        <f t="shared" si="13"/>
        <v>5400000</v>
      </c>
      <c r="F264" s="5">
        <v>45968</v>
      </c>
      <c r="G264" s="4">
        <v>20251106</v>
      </c>
      <c r="H264" s="38" t="str">
        <f>VLOOKUP(B264,CAJEROS!B:D,3,0)</f>
        <v>Dispensador</v>
      </c>
      <c r="I264" s="34"/>
      <c r="J264" s="38" t="str">
        <f>VLOOKUP(B264,CAJEROS!B:E,4,0)</f>
        <v>SUCSEVILLA1</v>
      </c>
    </row>
    <row r="265" spans="1:10">
      <c r="A265" s="32">
        <v>782</v>
      </c>
      <c r="B265" s="33">
        <v>9855</v>
      </c>
      <c r="C265" s="3">
        <v>70000</v>
      </c>
      <c r="D265" s="3"/>
      <c r="E265" s="31">
        <f t="shared" si="13"/>
        <v>70000</v>
      </c>
      <c r="F265" s="5">
        <v>45968</v>
      </c>
      <c r="G265" s="4">
        <v>20251106</v>
      </c>
      <c r="H265" s="38" t="str">
        <f>VLOOKUP(B265,CAJEROS!B:D,3,0)</f>
        <v>Dispensador</v>
      </c>
      <c r="I265" s="34"/>
      <c r="J265" s="38" t="str">
        <f>VLOOKUP(B265,CAJEROS!B:E,4,0)</f>
        <v>SUCSEVILLA2</v>
      </c>
    </row>
    <row r="266" spans="1:10">
      <c r="A266" s="32">
        <v>959</v>
      </c>
      <c r="B266" s="33">
        <v>4498</v>
      </c>
      <c r="C266" s="3">
        <v>10000</v>
      </c>
      <c r="D266" s="3"/>
      <c r="E266" s="31">
        <f t="shared" si="13"/>
        <v>10000</v>
      </c>
      <c r="F266" s="5">
        <v>45968</v>
      </c>
      <c r="G266" s="4">
        <v>20251106</v>
      </c>
      <c r="H266" s="38" t="str">
        <f>VLOOKUP(B266,CAJEROS!B:D,3,0)</f>
        <v>Dispensador</v>
      </c>
      <c r="I266" s="34"/>
      <c r="J266" s="38" t="str">
        <f>VLOOKUP(B266,CAJEROS!B:E,4,0)</f>
        <v>SUC_TURBO1</v>
      </c>
    </row>
    <row r="267" spans="1:10">
      <c r="A267" s="32">
        <v>959</v>
      </c>
      <c r="B267" s="33">
        <v>5577</v>
      </c>
      <c r="C267" s="3">
        <v>50000</v>
      </c>
      <c r="D267" s="3"/>
      <c r="E267" s="31">
        <f t="shared" si="13"/>
        <v>50000</v>
      </c>
      <c r="F267" s="5">
        <v>45968</v>
      </c>
      <c r="G267" s="4">
        <v>20251106</v>
      </c>
      <c r="H267" s="38" t="str">
        <f>VLOOKUP(B267,CAJEROS!B:D,3,0)</f>
        <v>Dispensador</v>
      </c>
      <c r="I267" s="34"/>
      <c r="J267" s="38" t="str">
        <f>VLOOKUP(B267,CAJEROS!B:E,4,0)</f>
        <v>TURBO2</v>
      </c>
    </row>
    <row r="268" spans="1:10">
      <c r="A268" s="32">
        <v>4</v>
      </c>
      <c r="B268" s="33">
        <v>8628</v>
      </c>
      <c r="C268" s="3">
        <v>30000</v>
      </c>
      <c r="D268" s="3"/>
      <c r="E268" s="31">
        <f t="shared" si="13"/>
        <v>30000</v>
      </c>
      <c r="F268" s="5">
        <v>45968</v>
      </c>
      <c r="G268" s="4">
        <v>20251106</v>
      </c>
      <c r="H268" s="38" t="str">
        <f>VLOOKUP(B268,CAJEROS!B:D,3,0)</f>
        <v>Dispensador</v>
      </c>
      <c r="I268" s="34" t="s">
        <v>9</v>
      </c>
      <c r="J268" s="38" t="str">
        <f>VLOOKUP(B268,CAJEROS!B:E,4,0)</f>
        <v>SUCLAURELE3</v>
      </c>
    </row>
    <row r="269" spans="1:10">
      <c r="A269" s="32">
        <v>57</v>
      </c>
      <c r="B269" s="33">
        <v>9961</v>
      </c>
      <c r="C269" s="3">
        <v>100000</v>
      </c>
      <c r="D269" s="3"/>
      <c r="E269" s="31">
        <f t="shared" si="13"/>
        <v>100000</v>
      </c>
      <c r="F269" s="5">
        <v>45968</v>
      </c>
      <c r="G269" s="4">
        <v>20251106</v>
      </c>
      <c r="H269" s="38" t="str">
        <f>VLOOKUP(B269,CAJEROS!B:D,3,0)</f>
        <v>Dispensador</v>
      </c>
      <c r="I269" s="34" t="s">
        <v>9</v>
      </c>
      <c r="J269" s="38" t="str">
        <f>VLOOKUP(B269,CAJEROS!B:E,4,0)</f>
        <v>SUC_VILLAO7</v>
      </c>
    </row>
    <row r="270" spans="1:10">
      <c r="A270" s="32">
        <v>153</v>
      </c>
      <c r="B270" s="33">
        <v>9881</v>
      </c>
      <c r="C270" s="3">
        <v>180000</v>
      </c>
      <c r="D270" s="3"/>
      <c r="E270" s="31">
        <f t="shared" si="13"/>
        <v>180000</v>
      </c>
      <c r="F270" s="5">
        <v>45968</v>
      </c>
      <c r="G270" s="4">
        <v>20251106</v>
      </c>
      <c r="H270" s="38" t="str">
        <f>VLOOKUP(B270,CAJEROS!B:D,3,0)</f>
        <v>Dispensador</v>
      </c>
      <c r="I270" s="34" t="s">
        <v>9</v>
      </c>
      <c r="J270" s="38" t="str">
        <f>VLOOKUP(B270,CAJEROS!B:E,4,0)</f>
        <v>EXITOIBAG_3</v>
      </c>
    </row>
    <row r="271" spans="1:10">
      <c r="A271" s="32">
        <v>264</v>
      </c>
      <c r="B271" s="33">
        <v>9903</v>
      </c>
      <c r="C271" s="3">
        <v>50000</v>
      </c>
      <c r="D271" s="3"/>
      <c r="E271" s="31">
        <f t="shared" si="13"/>
        <v>50000</v>
      </c>
      <c r="F271" s="5">
        <v>45968</v>
      </c>
      <c r="G271" s="4">
        <v>20251106</v>
      </c>
      <c r="H271" s="38" t="str">
        <f>VLOOKUP(B271,CAJEROS!B:D,3,0)</f>
        <v>Dispensador</v>
      </c>
      <c r="I271" s="34" t="s">
        <v>9</v>
      </c>
      <c r="J271" s="38" t="str">
        <f>VLOOKUP(B271,CAJEROS!B:E,4,0)</f>
        <v>SUCFUSAGAS1</v>
      </c>
    </row>
    <row r="272" spans="1:10">
      <c r="A272" s="32">
        <v>285</v>
      </c>
      <c r="B272" s="33">
        <v>6054</v>
      </c>
      <c r="C272" s="3">
        <v>170000</v>
      </c>
      <c r="D272" s="3"/>
      <c r="E272" s="31">
        <f t="shared" si="13"/>
        <v>170000</v>
      </c>
      <c r="F272" s="5">
        <v>45968</v>
      </c>
      <c r="G272" s="4">
        <v>20251106</v>
      </c>
      <c r="H272" s="38" t="str">
        <f>VLOOKUP(B272,CAJEROS!B:D,3,0)</f>
        <v>Dispensador</v>
      </c>
      <c r="I272" s="34" t="s">
        <v>9</v>
      </c>
      <c r="J272" s="38" t="str">
        <f>VLOOKUP(B272,CAJEROS!B:E,4,0)</f>
        <v>GARZON4</v>
      </c>
    </row>
    <row r="273" spans="1:10">
      <c r="A273" s="32">
        <v>289</v>
      </c>
      <c r="B273" s="33">
        <v>4593</v>
      </c>
      <c r="C273" s="3">
        <v>670000</v>
      </c>
      <c r="D273" s="3"/>
      <c r="E273" s="31">
        <f t="shared" si="13"/>
        <v>670000</v>
      </c>
      <c r="F273" s="5">
        <v>45968</v>
      </c>
      <c r="G273" s="4">
        <v>20251106</v>
      </c>
      <c r="H273" s="38" t="str">
        <f>VLOOKUP(B273,CAJEROS!B:D,3,0)</f>
        <v>Dispensador</v>
      </c>
      <c r="I273" s="34" t="s">
        <v>9</v>
      </c>
      <c r="J273" s="38" t="str">
        <f>VLOOKUP(B273,CAJEROS!B:E,4,0)</f>
        <v>SUC_PGAIT3</v>
      </c>
    </row>
    <row r="274" spans="1:10">
      <c r="A274" s="32">
        <v>291</v>
      </c>
      <c r="B274" s="33">
        <v>2911</v>
      </c>
      <c r="C274" s="3">
        <v>300000</v>
      </c>
      <c r="D274" s="3"/>
      <c r="E274" s="31">
        <f t="shared" si="13"/>
        <v>300000</v>
      </c>
      <c r="F274" s="5">
        <v>45968</v>
      </c>
      <c r="G274" s="4">
        <v>20251106</v>
      </c>
      <c r="H274" s="38" t="str">
        <f>VLOOKUP(B274,CAJEROS!B:D,3,0)</f>
        <v>Dispensador</v>
      </c>
      <c r="I274" s="34" t="s">
        <v>9</v>
      </c>
      <c r="J274" s="38" t="str">
        <f>VLOOKUP(B274,CAJEROS!B:E,4,0)</f>
        <v>BGA_CAB_2</v>
      </c>
    </row>
    <row r="275" spans="1:10">
      <c r="A275" s="32">
        <v>322</v>
      </c>
      <c r="B275" s="33">
        <v>2443</v>
      </c>
      <c r="C275" s="3">
        <v>100000</v>
      </c>
      <c r="D275" s="3"/>
      <c r="E275" s="31">
        <f t="shared" si="13"/>
        <v>100000</v>
      </c>
      <c r="F275" s="5">
        <v>45968</v>
      </c>
      <c r="G275" s="4">
        <v>20251106</v>
      </c>
      <c r="H275" s="38" t="str">
        <f>VLOOKUP(B275,CAJEROS!B:D,3,0)</f>
        <v>Dispensador</v>
      </c>
      <c r="I275" s="34" t="s">
        <v>9</v>
      </c>
      <c r="J275" s="38" t="str">
        <f>VLOOKUP(B275,CAJEROS!B:E,4,0)</f>
        <v>SUCSANGIL3</v>
      </c>
    </row>
    <row r="276" spans="1:10">
      <c r="A276" s="32">
        <v>392</v>
      </c>
      <c r="B276" s="33">
        <v>4793</v>
      </c>
      <c r="C276" s="3">
        <v>290000</v>
      </c>
      <c r="D276" s="3">
        <f>90000+10000+80000</f>
        <v>180000</v>
      </c>
      <c r="E276" s="31">
        <f t="shared" si="13"/>
        <v>110000</v>
      </c>
      <c r="F276" s="5">
        <v>45968</v>
      </c>
      <c r="G276" s="4">
        <v>20251106</v>
      </c>
      <c r="H276" s="38" t="str">
        <f>VLOOKUP(B276,CAJEROS!B:D,3,0)</f>
        <v>Dispensador</v>
      </c>
      <c r="I276" s="34" t="s">
        <v>9</v>
      </c>
      <c r="J276" s="38" t="str">
        <f>VLOOKUP(B276,CAJEROS!B:E,4,0)</f>
        <v>LADORADA1</v>
      </c>
    </row>
    <row r="277" spans="1:10">
      <c r="A277" s="32">
        <v>413</v>
      </c>
      <c r="B277" s="33">
        <v>4636</v>
      </c>
      <c r="C277" s="3">
        <v>50000</v>
      </c>
      <c r="D277" s="3"/>
      <c r="E277" s="31">
        <f t="shared" si="13"/>
        <v>50000</v>
      </c>
      <c r="F277" s="5">
        <v>45968</v>
      </c>
      <c r="G277" s="4">
        <v>20251106</v>
      </c>
      <c r="H277" s="38" t="str">
        <f>VLOOKUP(B277,CAJEROS!B:D,3,0)</f>
        <v>Dispensador</v>
      </c>
      <c r="I277" s="34" t="s">
        <v>9</v>
      </c>
      <c r="J277" s="38" t="str">
        <f>VLOOKUP(B277,CAJEROS!B:E,4,0)</f>
        <v>SUC_MELGAR3</v>
      </c>
    </row>
    <row r="278" spans="1:10">
      <c r="A278" s="32">
        <v>426</v>
      </c>
      <c r="B278" s="33">
        <v>7819</v>
      </c>
      <c r="C278" s="3">
        <v>70000</v>
      </c>
      <c r="D278" s="3"/>
      <c r="E278" s="31">
        <f t="shared" si="13"/>
        <v>70000</v>
      </c>
      <c r="F278" s="5">
        <v>45968</v>
      </c>
      <c r="G278" s="4">
        <v>20251106</v>
      </c>
      <c r="H278" s="38" t="str">
        <f>VLOOKUP(B278,CAJEROS!B:D,3,0)</f>
        <v>Dispensador</v>
      </c>
      <c r="I278" s="34" t="s">
        <v>9</v>
      </c>
      <c r="J278" s="38" t="str">
        <f>VLOOKUP(B278,CAJEROS!B:E,4,0)</f>
        <v>PURIFICACI2</v>
      </c>
    </row>
    <row r="279" spans="1:10">
      <c r="A279" s="32">
        <v>473</v>
      </c>
      <c r="B279" s="33">
        <v>3441</v>
      </c>
      <c r="C279" s="3">
        <v>300000</v>
      </c>
      <c r="D279" s="3"/>
      <c r="E279" s="31">
        <f t="shared" si="13"/>
        <v>300000</v>
      </c>
      <c r="F279" s="5">
        <v>45968</v>
      </c>
      <c r="G279" s="4">
        <v>20251106</v>
      </c>
      <c r="H279" s="38" t="str">
        <f>VLOOKUP(B279,CAJEROS!B:D,3,0)</f>
        <v>Dispensador</v>
      </c>
      <c r="I279" s="34" t="s">
        <v>9</v>
      </c>
      <c r="J279" s="38" t="str">
        <f>VLOOKUP(B279,CAJEROS!B:E,4,0)</f>
        <v>VICAGUAN1</v>
      </c>
    </row>
    <row r="280" spans="1:10">
      <c r="A280" s="32">
        <v>476</v>
      </c>
      <c r="B280" s="33">
        <v>5573</v>
      </c>
      <c r="C280" s="3">
        <v>870000</v>
      </c>
      <c r="D280" s="3"/>
      <c r="E280" s="31">
        <f t="shared" si="13"/>
        <v>870000</v>
      </c>
      <c r="F280" s="5">
        <v>45968</v>
      </c>
      <c r="G280" s="4">
        <v>20251106</v>
      </c>
      <c r="H280" s="38" t="str">
        <f>VLOOKUP(B280,CAJEROS!B:D,3,0)</f>
        <v>Dispensador</v>
      </c>
      <c r="I280" s="34" t="s">
        <v>9</v>
      </c>
      <c r="J280" s="38" t="str">
        <f>VLOOKUP(B280,CAJEROS!B:E,4,0)</f>
        <v>SUC_PAMPLO1</v>
      </c>
    </row>
    <row r="281" spans="1:10">
      <c r="A281" s="32">
        <v>499</v>
      </c>
      <c r="B281" s="33">
        <v>9806</v>
      </c>
      <c r="C281" s="3">
        <v>640000</v>
      </c>
      <c r="D281" s="3"/>
      <c r="E281" s="31">
        <f t="shared" si="13"/>
        <v>640000</v>
      </c>
      <c r="F281" s="5">
        <v>45968</v>
      </c>
      <c r="G281" s="4">
        <v>20251106</v>
      </c>
      <c r="H281" s="38" t="str">
        <f>VLOOKUP(B281,CAJEROS!B:D,3,0)</f>
        <v>Dispensador</v>
      </c>
      <c r="I281" s="34" t="s">
        <v>9</v>
      </c>
      <c r="J281" s="38" t="str">
        <f>VLOOKUP(B281,CAJEROS!B:E,4,0)</f>
        <v>SUCPARFABR8</v>
      </c>
    </row>
    <row r="282" spans="1:10">
      <c r="A282" s="32">
        <v>516</v>
      </c>
      <c r="B282" s="33">
        <v>9726</v>
      </c>
      <c r="C282" s="3">
        <v>680000</v>
      </c>
      <c r="D282" s="3"/>
      <c r="E282" s="31">
        <f t="shared" si="13"/>
        <v>680000</v>
      </c>
      <c r="F282" s="5">
        <v>45968</v>
      </c>
      <c r="G282" s="4">
        <v>20251106</v>
      </c>
      <c r="H282" s="38" t="str">
        <f>VLOOKUP(B282,CAJEROS!B:D,3,0)</f>
        <v>Dispensador</v>
      </c>
      <c r="I282" s="34" t="s">
        <v>9</v>
      </c>
      <c r="J282" s="38" t="str">
        <f>VLOOKUP(B282,CAJEROS!B:E,4,0)</f>
        <v>SUCSTAMART1</v>
      </c>
    </row>
    <row r="283" spans="1:10">
      <c r="A283" s="32">
        <v>523</v>
      </c>
      <c r="B283" s="33">
        <v>3997</v>
      </c>
      <c r="C283" s="3">
        <v>250000</v>
      </c>
      <c r="D283" s="3"/>
      <c r="E283" s="31">
        <f t="shared" si="13"/>
        <v>250000</v>
      </c>
      <c r="F283" s="5">
        <v>45968</v>
      </c>
      <c r="G283" s="4">
        <v>20251106</v>
      </c>
      <c r="H283" s="38" t="str">
        <f>VLOOKUP(B283,CAJEROS!B:D,3,0)</f>
        <v>Dispensador</v>
      </c>
      <c r="I283" s="34" t="s">
        <v>9</v>
      </c>
      <c r="J283" s="38" t="str">
        <f>VLOOKUP(B283,CAJEROS!B:E,4,0)</f>
        <v>SUC_OVALLE3</v>
      </c>
    </row>
    <row r="284" spans="1:10">
      <c r="A284" s="32">
        <v>554</v>
      </c>
      <c r="B284" s="33">
        <v>8298</v>
      </c>
      <c r="C284" s="3">
        <v>150000</v>
      </c>
      <c r="D284" s="3"/>
      <c r="E284" s="31">
        <f t="shared" si="13"/>
        <v>150000</v>
      </c>
      <c r="F284" s="5">
        <v>45968</v>
      </c>
      <c r="G284" s="4">
        <v>20251106</v>
      </c>
      <c r="H284" s="38" t="str">
        <f>VLOOKUP(B284,CAJEROS!B:D,3,0)</f>
        <v>Dispensador</v>
      </c>
      <c r="I284" s="34" t="s">
        <v>9</v>
      </c>
      <c r="J284" s="38" t="str">
        <f>VLOOKUP(B284,CAJEROS!B:E,4,0)</f>
        <v>SUCBUEVIII3</v>
      </c>
    </row>
    <row r="285" spans="1:10">
      <c r="A285" s="32">
        <v>584</v>
      </c>
      <c r="B285" s="33">
        <v>3068</v>
      </c>
      <c r="C285" s="3">
        <v>100000</v>
      </c>
      <c r="D285" s="3"/>
      <c r="E285" s="31">
        <f t="shared" si="13"/>
        <v>100000</v>
      </c>
      <c r="F285" s="5">
        <v>45968</v>
      </c>
      <c r="G285" s="4">
        <v>20251106</v>
      </c>
      <c r="H285" s="38" t="str">
        <f>VLOOKUP(B285,CAJEROS!B:D,3,0)</f>
        <v>Dispensador</v>
      </c>
      <c r="I285" s="34" t="s">
        <v>9</v>
      </c>
      <c r="J285" s="38" t="str">
        <f>VLOOKUP(B285,CAJEROS!B:E,4,0)</f>
        <v>HALLCHIGOR3</v>
      </c>
    </row>
    <row r="286" spans="1:10">
      <c r="A286" s="32">
        <v>584</v>
      </c>
      <c r="B286" s="33">
        <v>5570</v>
      </c>
      <c r="C286" s="3">
        <v>100000</v>
      </c>
      <c r="D286" s="3"/>
      <c r="E286" s="31">
        <f t="shared" si="13"/>
        <v>100000</v>
      </c>
      <c r="F286" s="5">
        <v>45968</v>
      </c>
      <c r="G286" s="4">
        <v>20251106</v>
      </c>
      <c r="H286" s="38" t="str">
        <f>VLOOKUP(B286,CAJEROS!B:D,3,0)</f>
        <v>Dispensador</v>
      </c>
      <c r="I286" s="34" t="s">
        <v>9</v>
      </c>
      <c r="J286" s="38" t="str">
        <f>VLOOKUP(B286,CAJEROS!B:E,4,0)</f>
        <v>HALLCHIGOR1</v>
      </c>
    </row>
    <row r="287" spans="1:10">
      <c r="A287" s="32">
        <v>631</v>
      </c>
      <c r="B287" s="33">
        <v>2615</v>
      </c>
      <c r="C287" s="3">
        <v>140000</v>
      </c>
      <c r="D287" s="3">
        <v>110000</v>
      </c>
      <c r="E287" s="31">
        <f t="shared" si="13"/>
        <v>30000</v>
      </c>
      <c r="F287" s="5">
        <v>45968</v>
      </c>
      <c r="G287" s="4">
        <v>20251106</v>
      </c>
      <c r="H287" s="38" t="str">
        <f>VLOOKUP(B287,CAJEROS!B:D,3,0)</f>
        <v>Dispensador</v>
      </c>
      <c r="I287" s="34" t="s">
        <v>9</v>
      </c>
      <c r="J287" s="38" t="str">
        <f>VLOOKUP(B287,CAJEROS!B:E,4,0)</f>
        <v>SUCURIBIA_1</v>
      </c>
    </row>
    <row r="288" spans="1:10">
      <c r="A288" s="32">
        <v>631</v>
      </c>
      <c r="B288" s="33">
        <v>2617</v>
      </c>
      <c r="C288" s="3">
        <v>250000</v>
      </c>
      <c r="D288" s="3">
        <v>130000</v>
      </c>
      <c r="E288" s="31">
        <f t="shared" si="13"/>
        <v>120000</v>
      </c>
      <c r="F288" s="5">
        <v>45968</v>
      </c>
      <c r="G288" s="4">
        <v>20251106</v>
      </c>
      <c r="H288" s="38" t="str">
        <f>VLOOKUP(B288,CAJEROS!B:D,3,0)</f>
        <v>Dispensador</v>
      </c>
      <c r="I288" s="34" t="s">
        <v>9</v>
      </c>
      <c r="J288" s="38" t="str">
        <f>VLOOKUP(B288,CAJEROS!B:E,4,0)</f>
        <v>SUCURIBIA_3</v>
      </c>
    </row>
    <row r="289" spans="1:10">
      <c r="A289" s="32">
        <v>682</v>
      </c>
      <c r="B289" s="33">
        <v>5960</v>
      </c>
      <c r="C289" s="3">
        <v>250000</v>
      </c>
      <c r="D289" s="3"/>
      <c r="E289" s="31">
        <f t="shared" si="13"/>
        <v>250000</v>
      </c>
      <c r="F289" s="5">
        <v>45968</v>
      </c>
      <c r="G289" s="4">
        <v>20251106</v>
      </c>
      <c r="H289" s="38" t="str">
        <f>VLOOKUP(B289,CAJEROS!B:D,3,0)</f>
        <v>Dispensador</v>
      </c>
      <c r="I289" s="34" t="s">
        <v>9</v>
      </c>
      <c r="J289" s="38" t="str">
        <f>VLOOKUP(B289,CAJEROS!B:E,4,0)</f>
        <v>SUC_CCFONT2</v>
      </c>
    </row>
    <row r="290" spans="1:10">
      <c r="A290" s="32">
        <v>706</v>
      </c>
      <c r="B290" s="33">
        <v>4146</v>
      </c>
      <c r="C290" s="3">
        <v>50000</v>
      </c>
      <c r="D290" s="3"/>
      <c r="E290" s="31">
        <f t="shared" si="13"/>
        <v>50000</v>
      </c>
      <c r="F290" s="5">
        <v>45968</v>
      </c>
      <c r="G290" s="4">
        <v>20251106</v>
      </c>
      <c r="H290" s="38" t="str">
        <f>VLOOKUP(B290,CAJEROS!B:D,3,0)</f>
        <v>Dispensador</v>
      </c>
      <c r="I290" s="34" t="s">
        <v>9</v>
      </c>
      <c r="J290" s="38" t="str">
        <f>VLOOKUP(B290,CAJEROS!B:E,4,0)</f>
        <v>SUC_CHINCH1</v>
      </c>
    </row>
    <row r="291" spans="1:10">
      <c r="A291" s="32">
        <v>721</v>
      </c>
      <c r="B291" s="33">
        <v>8893</v>
      </c>
      <c r="C291" s="3">
        <v>400000</v>
      </c>
      <c r="D291" s="3">
        <v>300000</v>
      </c>
      <c r="E291" s="31">
        <f t="shared" si="13"/>
        <v>100000</v>
      </c>
      <c r="F291" s="5">
        <v>45968</v>
      </c>
      <c r="G291" s="4">
        <v>20251106</v>
      </c>
      <c r="H291" s="38" t="str">
        <f>VLOOKUP(B291,CAJEROS!B:D,3,0)</f>
        <v>Dispensador</v>
      </c>
      <c r="I291" s="34" t="s">
        <v>9</v>
      </c>
      <c r="J291" s="38" t="str">
        <f>VLOOKUP(B291,CAJEROS!B:E,4,0)</f>
        <v>SUCHALLAGO3</v>
      </c>
    </row>
    <row r="292" spans="1:10">
      <c r="A292" s="32">
        <v>728</v>
      </c>
      <c r="B292" s="33">
        <v>8584</v>
      </c>
      <c r="C292" s="3">
        <v>500000</v>
      </c>
      <c r="D292" s="3"/>
      <c r="E292" s="31">
        <f t="shared" si="13"/>
        <v>500000</v>
      </c>
      <c r="F292" s="5">
        <v>45968</v>
      </c>
      <c r="G292" s="4">
        <v>20251106</v>
      </c>
      <c r="H292" s="38" t="str">
        <f>VLOOKUP(B292,CAJEROS!B:D,3,0)</f>
        <v>Dispensador</v>
      </c>
      <c r="I292" s="34" t="s">
        <v>9</v>
      </c>
      <c r="J292" s="38" t="str">
        <f>VLOOKUP(B292,CAJEROS!B:E,4,0)</f>
        <v>SUCCARTAGO3</v>
      </c>
    </row>
    <row r="293" spans="1:10">
      <c r="A293" s="32">
        <v>739</v>
      </c>
      <c r="B293" s="33">
        <v>3664</v>
      </c>
      <c r="C293" s="3">
        <v>60000</v>
      </c>
      <c r="D293" s="3"/>
      <c r="E293" s="31">
        <f t="shared" si="13"/>
        <v>60000</v>
      </c>
      <c r="F293" s="5">
        <v>45968</v>
      </c>
      <c r="G293" s="4">
        <v>20251106</v>
      </c>
      <c r="H293" s="38" t="str">
        <f>VLOOKUP(B293,CAJEROS!B:D,3,0)</f>
        <v>Dispensador</v>
      </c>
      <c r="I293" s="34" t="s">
        <v>9</v>
      </c>
      <c r="J293" s="38" t="str">
        <f>VLOOKUP(B293,CAJEROS!B:E,4,0)</f>
        <v>SUC_NECO1</v>
      </c>
    </row>
    <row r="294" spans="1:10">
      <c r="A294" s="32">
        <v>750</v>
      </c>
      <c r="B294" s="33">
        <v>5538</v>
      </c>
      <c r="C294" s="3">
        <v>100000</v>
      </c>
      <c r="D294" s="3"/>
      <c r="E294" s="31">
        <f t="shared" si="13"/>
        <v>100000</v>
      </c>
      <c r="F294" s="5">
        <v>45968</v>
      </c>
      <c r="G294" s="4">
        <v>20251106</v>
      </c>
      <c r="H294" s="38" t="str">
        <f>VLOOKUP(B294,CAJEROS!B:D,3,0)</f>
        <v>Dispensador</v>
      </c>
      <c r="I294" s="34" t="s">
        <v>9</v>
      </c>
      <c r="J294" s="38" t="str">
        <f>VLOOKUP(B294,CAJEROS!B:E,4,0)</f>
        <v>AV_ROOSVEL2</v>
      </c>
    </row>
    <row r="295" spans="1:10">
      <c r="A295" s="32">
        <v>772</v>
      </c>
      <c r="B295" s="33">
        <v>7721</v>
      </c>
      <c r="C295" s="3">
        <v>30000</v>
      </c>
      <c r="D295" s="3"/>
      <c r="E295" s="31">
        <f t="shared" si="13"/>
        <v>30000</v>
      </c>
      <c r="F295" s="5">
        <v>45968</v>
      </c>
      <c r="G295" s="4">
        <v>20251106</v>
      </c>
      <c r="H295" s="38" t="str">
        <f>VLOOKUP(B295,CAJEROS!B:D,3,0)</f>
        <v>Dispensador</v>
      </c>
      <c r="I295" s="34" t="s">
        <v>9</v>
      </c>
      <c r="J295" s="38" t="str">
        <f>VLOOKUP(B295,CAJEROS!B:E,4,0)</f>
        <v>CAICEDONIA</v>
      </c>
    </row>
    <row r="296" spans="1:10">
      <c r="A296" s="32">
        <v>789</v>
      </c>
      <c r="B296" s="33">
        <v>5660</v>
      </c>
      <c r="C296" s="3">
        <v>100000</v>
      </c>
      <c r="D296" s="3">
        <f>50000+20000</f>
        <v>70000</v>
      </c>
      <c r="E296" s="31">
        <f t="shared" si="13"/>
        <v>30000</v>
      </c>
      <c r="F296" s="5">
        <v>45968</v>
      </c>
      <c r="G296" s="4">
        <v>20251106</v>
      </c>
      <c r="H296" s="38" t="str">
        <f>VLOOKUP(B296,CAJEROS!B:D,3,0)</f>
        <v>Dispensador</v>
      </c>
      <c r="I296" s="34" t="s">
        <v>9</v>
      </c>
      <c r="J296" s="38" t="str">
        <f>VLOOKUP(B296,CAJEROS!B:E,4,0)</f>
        <v>MANGA1</v>
      </c>
    </row>
    <row r="297" spans="1:10">
      <c r="A297" s="32">
        <v>789</v>
      </c>
      <c r="B297" s="33">
        <v>5661</v>
      </c>
      <c r="C297" s="3">
        <v>100000</v>
      </c>
      <c r="D297" s="3"/>
      <c r="E297" s="31">
        <f t="shared" si="13"/>
        <v>100000</v>
      </c>
      <c r="F297" s="5">
        <v>45968</v>
      </c>
      <c r="G297" s="4">
        <v>20251106</v>
      </c>
      <c r="H297" s="38" t="str">
        <f>VLOOKUP(B297,CAJEROS!B:D,3,0)</f>
        <v>Dispensador</v>
      </c>
      <c r="I297" s="34" t="s">
        <v>9</v>
      </c>
      <c r="J297" s="38" t="str">
        <f>VLOOKUP(B297,CAJEROS!B:E,4,0)</f>
        <v>MANGA3</v>
      </c>
    </row>
    <row r="298" spans="1:10">
      <c r="A298" s="32">
        <v>824</v>
      </c>
      <c r="B298" s="33">
        <v>220</v>
      </c>
      <c r="C298" s="3">
        <v>310000</v>
      </c>
      <c r="D298" s="3">
        <v>120000</v>
      </c>
      <c r="E298" s="31">
        <f t="shared" si="13"/>
        <v>190000</v>
      </c>
      <c r="F298" s="5">
        <v>45968</v>
      </c>
      <c r="G298" s="4">
        <v>20251106</v>
      </c>
      <c r="H298" s="38" t="str">
        <f>VLOOKUP(B298,CAJEROS!B:D,3,0)</f>
        <v>Dispensador</v>
      </c>
      <c r="I298" s="34" t="s">
        <v>9</v>
      </c>
      <c r="J298" s="38" t="str">
        <f>VLOOKUP(B298,CAJEROS!B:E,4,0)</f>
        <v>SUCVENTPLZ6</v>
      </c>
    </row>
    <row r="299" spans="1:10">
      <c r="A299" s="32">
        <v>864</v>
      </c>
      <c r="B299" s="33">
        <v>5377</v>
      </c>
      <c r="C299" s="3">
        <v>1000000</v>
      </c>
      <c r="D299" s="3"/>
      <c r="E299" s="31">
        <f t="shared" si="13"/>
        <v>1000000</v>
      </c>
      <c r="F299" s="5">
        <v>45968</v>
      </c>
      <c r="G299" s="4">
        <v>20251106</v>
      </c>
      <c r="H299" s="38" t="str">
        <f>VLOOKUP(B299,CAJEROS!B:D,3,0)</f>
        <v>Dispensador</v>
      </c>
      <c r="I299" s="34" t="s">
        <v>9</v>
      </c>
      <c r="J299" s="38" t="str">
        <f>VLOOKUP(B299,CAJEROS!B:E,4,0)</f>
        <v>SUC_PRADER3</v>
      </c>
    </row>
    <row r="300" spans="1:10">
      <c r="A300" s="32">
        <v>864</v>
      </c>
      <c r="B300" s="33">
        <v>5795</v>
      </c>
      <c r="C300" s="3">
        <v>3580000</v>
      </c>
      <c r="D300" s="3"/>
      <c r="E300" s="31">
        <f t="shared" si="13"/>
        <v>3580000</v>
      </c>
      <c r="F300" s="5">
        <v>45968</v>
      </c>
      <c r="G300" s="4">
        <v>20251106</v>
      </c>
      <c r="H300" s="38" t="str">
        <f>VLOOKUP(B300,CAJEROS!B:D,3,0)</f>
        <v>Dispensador</v>
      </c>
      <c r="I300" s="34" t="s">
        <v>9</v>
      </c>
      <c r="J300" s="38" t="str">
        <f>VLOOKUP(B300,CAJEROS!B:E,4,0)</f>
        <v>SUC_PRADER1</v>
      </c>
    </row>
    <row r="301" spans="1:10">
      <c r="A301" s="32">
        <v>884</v>
      </c>
      <c r="B301" s="33">
        <v>3962</v>
      </c>
      <c r="C301" s="3">
        <v>990000</v>
      </c>
      <c r="D301" s="3">
        <v>960000</v>
      </c>
      <c r="E301" s="31">
        <f t="shared" si="13"/>
        <v>30000</v>
      </c>
      <c r="F301" s="5">
        <v>45968</v>
      </c>
      <c r="G301" s="4">
        <v>20251106</v>
      </c>
      <c r="H301" s="38" t="str">
        <f>VLOOKUP(B301,CAJEROS!B:D,3,0)</f>
        <v>Dispensador</v>
      </c>
      <c r="I301" s="34" t="s">
        <v>9</v>
      </c>
      <c r="J301" s="38" t="str">
        <f>VLOOKUP(B301,CAJEROS!B:E,4,0)</f>
        <v>SUCSANMART1</v>
      </c>
    </row>
    <row r="302" spans="1:10">
      <c r="A302" s="32">
        <v>916</v>
      </c>
      <c r="B302" s="33">
        <v>5743</v>
      </c>
      <c r="C302" s="3">
        <v>40000</v>
      </c>
      <c r="D302" s="3"/>
      <c r="E302" s="31">
        <f t="shared" si="13"/>
        <v>40000</v>
      </c>
      <c r="F302" s="5">
        <v>45968</v>
      </c>
      <c r="G302" s="4">
        <v>20251106</v>
      </c>
      <c r="H302" s="38" t="str">
        <f>VLOOKUP(B302,CAJEROS!B:D,3,0)</f>
        <v>Dispensador</v>
      </c>
      <c r="I302" s="34" t="s">
        <v>9</v>
      </c>
      <c r="J302" s="38" t="str">
        <f>VLOOKUP(B302,CAJEROS!B:E,4,0)</f>
        <v>SUC_OCEANM3</v>
      </c>
    </row>
    <row r="303" spans="1:10">
      <c r="A303" s="32">
        <v>993</v>
      </c>
      <c r="B303" s="33">
        <v>3470</v>
      </c>
      <c r="C303" s="3">
        <v>250000</v>
      </c>
      <c r="D303" s="3"/>
      <c r="E303" s="31">
        <f t="shared" si="13"/>
        <v>250000</v>
      </c>
      <c r="F303" s="5">
        <v>45968</v>
      </c>
      <c r="G303" s="4">
        <v>20251106</v>
      </c>
      <c r="H303" s="38" t="str">
        <f>VLOOKUP(B303,CAJEROS!B:D,3,0)</f>
        <v>Dispensador</v>
      </c>
      <c r="I303" s="34" t="s">
        <v>9</v>
      </c>
      <c r="J303" s="38" t="str">
        <f>VLOOKUP(B303,CAJEROS!B:E,4,0)</f>
        <v>URRAO_2</v>
      </c>
    </row>
    <row r="304" spans="1:10">
      <c r="A304" s="32">
        <v>41</v>
      </c>
      <c r="B304" s="33">
        <v>7341</v>
      </c>
      <c r="C304" s="3">
        <v>4000</v>
      </c>
      <c r="D304" s="3"/>
      <c r="E304" s="31">
        <f t="shared" ref="E304" si="14">+C304-D304</f>
        <v>4000</v>
      </c>
      <c r="F304" s="5">
        <v>45968</v>
      </c>
      <c r="G304" s="4">
        <v>20251106</v>
      </c>
      <c r="H304" s="38" t="str">
        <f>VLOOKUP(B304,CAJEROS!B:D,3,0)</f>
        <v>Multifuncional</v>
      </c>
      <c r="I304" s="34"/>
      <c r="J304" s="38" t="str">
        <f>VLOOKUP(B304,CAJEROS!B:E,4,0)</f>
        <v>MF_PLZESPAN</v>
      </c>
    </row>
    <row r="305" spans="1:10">
      <c r="A305" s="32">
        <v>85</v>
      </c>
      <c r="B305" s="33">
        <v>8974</v>
      </c>
      <c r="C305" s="3">
        <v>15000</v>
      </c>
      <c r="D305" s="3"/>
      <c r="E305" s="31">
        <f t="shared" ref="E305:E324" si="15">+C305-D305</f>
        <v>15000</v>
      </c>
      <c r="F305" s="5">
        <v>45968</v>
      </c>
      <c r="G305" s="4">
        <v>20251106</v>
      </c>
      <c r="H305" s="38" t="str">
        <f>VLOOKUP(B305,CAJEROS!B:D,3,0)</f>
        <v>Multifuncional</v>
      </c>
      <c r="I305" s="34"/>
      <c r="J305" s="38" t="str">
        <f>VLOOKUP(B305,CAJEROS!B:E,4,0)</f>
        <v>MF_SUCSERZU</v>
      </c>
    </row>
    <row r="306" spans="1:10">
      <c r="A306" s="32">
        <v>166</v>
      </c>
      <c r="B306" s="33">
        <v>7939</v>
      </c>
      <c r="C306" s="3">
        <v>9280000</v>
      </c>
      <c r="D306" s="3"/>
      <c r="E306" s="31">
        <f t="shared" si="15"/>
        <v>9280000</v>
      </c>
      <c r="F306" s="5">
        <v>45968</v>
      </c>
      <c r="G306" s="4">
        <v>20251106</v>
      </c>
      <c r="H306" s="38" t="str">
        <f>VLOOKUP(B306,CAJEROS!B:D,3,0)</f>
        <v>Multifuncional</v>
      </c>
      <c r="I306" s="34"/>
      <c r="J306" s="38" t="str">
        <f>VLOOKUP(B306,CAJEROS!B:E,4,0)</f>
        <v>MF_ALDELSI1</v>
      </c>
    </row>
    <row r="307" spans="1:10">
      <c r="A307" s="32">
        <v>166</v>
      </c>
      <c r="B307" s="33">
        <v>7940</v>
      </c>
      <c r="C307" s="3">
        <v>230000</v>
      </c>
      <c r="D307" s="3"/>
      <c r="E307" s="31">
        <f t="shared" si="15"/>
        <v>230000</v>
      </c>
      <c r="F307" s="5">
        <v>45968</v>
      </c>
      <c r="G307" s="4">
        <v>20251106</v>
      </c>
      <c r="H307" s="38" t="str">
        <f>VLOOKUP(B307,CAJEROS!B:D,3,0)</f>
        <v>Multifuncional</v>
      </c>
      <c r="I307" s="34"/>
      <c r="J307" s="38" t="str">
        <f>VLOOKUP(B307,CAJEROS!B:E,4,0)</f>
        <v>MF_ALDELS22</v>
      </c>
    </row>
    <row r="308" spans="1:10">
      <c r="A308" s="32">
        <v>279</v>
      </c>
      <c r="B308" s="33">
        <v>5147</v>
      </c>
      <c r="C308" s="3">
        <v>3712000</v>
      </c>
      <c r="D308" s="3"/>
      <c r="E308" s="31">
        <f t="shared" si="15"/>
        <v>3712000</v>
      </c>
      <c r="F308" s="5">
        <v>45968</v>
      </c>
      <c r="G308" s="4">
        <v>20251106</v>
      </c>
      <c r="H308" s="38" t="str">
        <f>VLOOKUP(B308,CAJEROS!B:D,3,0)</f>
        <v>Multifuncional</v>
      </c>
      <c r="I308" s="34"/>
      <c r="J308" s="38" t="str">
        <f>VLOOKUP(B308,CAJEROS!B:E,4,0)</f>
        <v>MF_ITAGPARQ</v>
      </c>
    </row>
    <row r="309" spans="1:10">
      <c r="A309" s="32">
        <v>361</v>
      </c>
      <c r="B309" s="33">
        <v>5005</v>
      </c>
      <c r="C309" s="3">
        <v>5415400</v>
      </c>
      <c r="D309" s="3"/>
      <c r="E309" s="31">
        <f t="shared" si="15"/>
        <v>5415400</v>
      </c>
      <c r="F309" s="5">
        <v>45968</v>
      </c>
      <c r="G309" s="4">
        <v>20251106</v>
      </c>
      <c r="H309" s="38" t="str">
        <f>VLOOKUP(B309,CAJEROS!B:D,3,0)</f>
        <v>Multifuncional</v>
      </c>
      <c r="I309" s="34"/>
      <c r="J309" s="38" t="str">
        <f>VLOOKUP(B309,CAJEROS!B:E,4,0)</f>
        <v>MF_CDPFONTI</v>
      </c>
    </row>
    <row r="310" spans="1:10">
      <c r="A310" s="32">
        <v>442</v>
      </c>
      <c r="B310" s="33">
        <v>8888</v>
      </c>
      <c r="C310" s="3">
        <v>9990000</v>
      </c>
      <c r="D310" s="3"/>
      <c r="E310" s="31">
        <f t="shared" si="15"/>
        <v>9990000</v>
      </c>
      <c r="F310" s="5">
        <v>45968</v>
      </c>
      <c r="G310" s="4">
        <v>20251106</v>
      </c>
      <c r="H310" s="38" t="str">
        <f>VLOOKUP(B310,CAJEROS!B:D,3,0)</f>
        <v>Multifuncional</v>
      </c>
      <c r="I310" s="34"/>
      <c r="J310" s="38" t="str">
        <f>VLOOKUP(B310,CAJEROS!B:E,4,0)</f>
        <v>MFVIVABQUI2</v>
      </c>
    </row>
    <row r="311" spans="1:10">
      <c r="A311" s="32">
        <v>455</v>
      </c>
      <c r="B311" s="33">
        <v>5206</v>
      </c>
      <c r="C311" s="3">
        <v>3569600</v>
      </c>
      <c r="D311" s="3"/>
      <c r="E311" s="31">
        <f t="shared" si="15"/>
        <v>3569600</v>
      </c>
      <c r="F311" s="5">
        <v>45968</v>
      </c>
      <c r="G311" s="4">
        <v>20251106</v>
      </c>
      <c r="H311" s="38" t="str">
        <f>VLOOKUP(B311,CAJEROS!B:D,3,0)</f>
        <v>Multifuncional</v>
      </c>
      <c r="I311" s="34"/>
      <c r="J311" s="38" t="str">
        <f>VLOOKUP(B311,CAJEROS!B:E,4,0)</f>
        <v>MF_CEIBAS1</v>
      </c>
    </row>
    <row r="312" spans="1:10">
      <c r="A312" s="32">
        <v>481</v>
      </c>
      <c r="B312" s="33">
        <v>1011</v>
      </c>
      <c r="C312" s="3">
        <v>18590000</v>
      </c>
      <c r="D312" s="3"/>
      <c r="E312" s="31">
        <f t="shared" si="15"/>
        <v>18590000</v>
      </c>
      <c r="F312" s="5">
        <v>45968</v>
      </c>
      <c r="G312" s="4">
        <v>20251106</v>
      </c>
      <c r="H312" s="38" t="str">
        <f>VLOOKUP(B312,CAJEROS!B:D,3,0)</f>
        <v>Multifuncional</v>
      </c>
      <c r="I312" s="34"/>
      <c r="J312" s="38" t="str">
        <f>VLOOKUP(B312,CAJEROS!B:E,4,0)</f>
        <v>MF_SOLEDAD2</v>
      </c>
    </row>
    <row r="313" spans="1:10">
      <c r="A313" s="32">
        <v>484</v>
      </c>
      <c r="B313" s="33">
        <v>7125</v>
      </c>
      <c r="C313" s="3">
        <v>2897400</v>
      </c>
      <c r="D313" s="3">
        <v>8000</v>
      </c>
      <c r="E313" s="31">
        <f t="shared" si="15"/>
        <v>2889400</v>
      </c>
      <c r="F313" s="5">
        <v>45968</v>
      </c>
      <c r="G313" s="4">
        <v>20251106</v>
      </c>
      <c r="H313" s="38" t="str">
        <f>VLOOKUP(B313,CAJEROS!B:D,3,0)</f>
        <v>Multifuncional</v>
      </c>
      <c r="I313" s="34"/>
      <c r="J313" s="38" t="str">
        <f>VLOOKUP(B313,CAJEROS!B:E,4,0)</f>
        <v>MF_MAGANGUE</v>
      </c>
    </row>
    <row r="314" spans="1:10">
      <c r="A314" s="32">
        <v>613</v>
      </c>
      <c r="B314" s="33">
        <v>6713</v>
      </c>
      <c r="C314" s="3">
        <v>19600</v>
      </c>
      <c r="D314" s="3"/>
      <c r="E314" s="31">
        <f t="shared" si="15"/>
        <v>19600</v>
      </c>
      <c r="F314" s="5">
        <v>45968</v>
      </c>
      <c r="G314" s="4">
        <v>20251106</v>
      </c>
      <c r="H314" s="38" t="str">
        <f>VLOOKUP(B314,CAJEROS!B:D,3,0)</f>
        <v>Multifuncional</v>
      </c>
      <c r="I314" s="34"/>
      <c r="J314" s="38" t="str">
        <f>VLOOKUP(B314,CAJEROS!B:E,4,0)</f>
        <v>MF_LAMERICA</v>
      </c>
    </row>
    <row r="315" spans="1:10">
      <c r="A315" s="32">
        <v>634</v>
      </c>
      <c r="B315" s="33">
        <v>5087</v>
      </c>
      <c r="C315" s="3">
        <v>4950</v>
      </c>
      <c r="D315" s="3"/>
      <c r="E315" s="31">
        <f t="shared" si="15"/>
        <v>4950</v>
      </c>
      <c r="F315" s="5">
        <v>45968</v>
      </c>
      <c r="G315" s="4">
        <v>20251106</v>
      </c>
      <c r="H315" s="38" t="str">
        <f>VLOOKUP(B315,CAJEROS!B:D,3,0)</f>
        <v>Multifuncional</v>
      </c>
      <c r="I315" s="34"/>
      <c r="J315" s="38" t="str">
        <f>VLOOKUP(B315,CAJEROS!B:E,4,0)</f>
        <v>MF_AVENI127</v>
      </c>
    </row>
    <row r="316" spans="1:10">
      <c r="A316" s="32">
        <v>652</v>
      </c>
      <c r="B316" s="33">
        <v>5070</v>
      </c>
      <c r="C316" s="3">
        <v>5020000</v>
      </c>
      <c r="D316" s="3"/>
      <c r="E316" s="31">
        <f t="shared" si="15"/>
        <v>5020000</v>
      </c>
      <c r="F316" s="5">
        <v>45968</v>
      </c>
      <c r="G316" s="4">
        <v>20251106</v>
      </c>
      <c r="H316" s="38" t="str">
        <f>VLOOKUP(B316,CAJEROS!B:D,3,0)</f>
        <v>Multifuncional</v>
      </c>
      <c r="I316" s="34"/>
      <c r="J316" s="38" t="str">
        <f>VLOOKUP(B316,CAJEROS!B:E,4,0)</f>
        <v>MF_CHICO94</v>
      </c>
    </row>
    <row r="317" spans="1:10">
      <c r="A317" s="32">
        <v>678</v>
      </c>
      <c r="B317" s="33">
        <v>5227</v>
      </c>
      <c r="C317" s="3">
        <v>2096500</v>
      </c>
      <c r="D317" s="3"/>
      <c r="E317" s="31">
        <f t="shared" si="15"/>
        <v>2096500</v>
      </c>
      <c r="F317" s="5">
        <v>45968</v>
      </c>
      <c r="G317" s="4">
        <v>20251106</v>
      </c>
      <c r="H317" s="38" t="str">
        <f>VLOOKUP(B317,CAJEROS!B:D,3,0)</f>
        <v>Multifuncional</v>
      </c>
      <c r="I317" s="34"/>
      <c r="J317" s="38" t="str">
        <f>VLOOKUP(B317,CAJEROS!B:E,4,0)</f>
        <v>MF_PASCASTE</v>
      </c>
    </row>
    <row r="318" spans="1:10">
      <c r="A318" s="32">
        <v>741</v>
      </c>
      <c r="B318" s="33">
        <v>6843</v>
      </c>
      <c r="C318" s="3">
        <v>798000</v>
      </c>
      <c r="D318" s="3"/>
      <c r="E318" s="31">
        <f t="shared" si="15"/>
        <v>798000</v>
      </c>
      <c r="F318" s="5">
        <v>45968</v>
      </c>
      <c r="G318" s="4">
        <v>20251106</v>
      </c>
      <c r="H318" s="38" t="str">
        <f>VLOOKUP(B318,CAJEROS!B:D,3,0)</f>
        <v>Multifuncional</v>
      </c>
      <c r="I318" s="34"/>
      <c r="J318" s="38" t="str">
        <f>VLOOKUP(B318,CAJEROS!B:E,4,0)</f>
        <v>MFSUC_IDEO1</v>
      </c>
    </row>
    <row r="319" spans="1:10">
      <c r="A319" s="32">
        <v>844</v>
      </c>
      <c r="B319" s="33">
        <v>6169</v>
      </c>
      <c r="C319" s="3">
        <v>1960000</v>
      </c>
      <c r="D319" s="3"/>
      <c r="E319" s="31">
        <f t="shared" si="15"/>
        <v>1960000</v>
      </c>
      <c r="F319" s="5">
        <v>45968</v>
      </c>
      <c r="G319" s="4">
        <v>20251106</v>
      </c>
      <c r="H319" s="38" t="str">
        <f>VLOOKUP(B319,CAJEROS!B:D,3,0)</f>
        <v>Multifuncional</v>
      </c>
      <c r="I319" s="34"/>
      <c r="J319" s="38" t="str">
        <f>VLOOKUP(B319,CAJEROS!B:E,4,0)</f>
        <v>MF_PRIMAVRA</v>
      </c>
    </row>
    <row r="320" spans="1:10">
      <c r="A320" s="32">
        <v>848</v>
      </c>
      <c r="B320" s="33">
        <v>7374</v>
      </c>
      <c r="C320" s="3">
        <v>250000</v>
      </c>
      <c r="D320" s="3"/>
      <c r="E320" s="31">
        <f t="shared" si="15"/>
        <v>250000</v>
      </c>
      <c r="F320" s="5">
        <v>45968</v>
      </c>
      <c r="G320" s="4">
        <v>20251106</v>
      </c>
      <c r="H320" s="38" t="str">
        <f>VLOOKUP(B320,CAJEROS!B:D,3,0)</f>
        <v>Multifuncional</v>
      </c>
      <c r="I320" s="34"/>
      <c r="J320" s="38" t="str">
        <f>VLOOKUP(B320,CAJEROS!B:E,4,0)</f>
        <v>MF_BUGA</v>
      </c>
    </row>
    <row r="321" spans="1:10">
      <c r="A321" s="32">
        <v>879</v>
      </c>
      <c r="B321" s="33">
        <v>5045</v>
      </c>
      <c r="C321" s="3">
        <v>6344400</v>
      </c>
      <c r="D321" s="3"/>
      <c r="E321" s="31">
        <f t="shared" si="15"/>
        <v>6344400</v>
      </c>
      <c r="F321" s="5">
        <v>45968</v>
      </c>
      <c r="G321" s="4">
        <v>20251106</v>
      </c>
      <c r="H321" s="38" t="str">
        <f>VLOOKUP(B321,CAJEROS!B:D,3,0)</f>
        <v>Multifuncional</v>
      </c>
      <c r="I321" s="34"/>
      <c r="J321" s="38" t="str">
        <f>VLOOKUP(B321,CAJEROS!B:E,4,0)</f>
        <v>MF_UNPASTO</v>
      </c>
    </row>
    <row r="322" spans="1:10">
      <c r="A322" s="32">
        <v>888</v>
      </c>
      <c r="B322" s="33">
        <v>6818</v>
      </c>
      <c r="C322" s="3">
        <v>20000</v>
      </c>
      <c r="D322" s="3"/>
      <c r="E322" s="31">
        <f t="shared" si="15"/>
        <v>20000</v>
      </c>
      <c r="F322" s="5">
        <v>45968</v>
      </c>
      <c r="G322" s="4">
        <v>20251106</v>
      </c>
      <c r="H322" s="38" t="str">
        <f>VLOOKUP(B322,CAJEROS!B:D,3,0)</f>
        <v>Multifuncional</v>
      </c>
      <c r="I322" s="34"/>
      <c r="J322" s="38" t="str">
        <f>VLOOKUP(B322,CAJEROS!B:E,4,0)</f>
        <v>MF_IPIALES</v>
      </c>
    </row>
    <row r="323" spans="1:10">
      <c r="A323" s="32">
        <v>907</v>
      </c>
      <c r="B323" s="33">
        <v>5019</v>
      </c>
      <c r="C323" s="3">
        <v>14584000</v>
      </c>
      <c r="D323" s="3"/>
      <c r="E323" s="31">
        <f t="shared" si="15"/>
        <v>14584000</v>
      </c>
      <c r="F323" s="5">
        <v>45968</v>
      </c>
      <c r="G323" s="4">
        <v>20251106</v>
      </c>
      <c r="H323" s="38" t="str">
        <f>VLOOKUP(B323,CAJEROS!B:D,3,0)</f>
        <v>Multifuncional</v>
      </c>
      <c r="I323" s="34"/>
      <c r="J323" s="38" t="str">
        <f>VLOOKUP(B323,CAJEROS!B:E,4,0)</f>
        <v>MF_FRONTERA</v>
      </c>
    </row>
    <row r="324" spans="1:10">
      <c r="A324" s="32">
        <v>944</v>
      </c>
      <c r="B324" s="33">
        <v>8354</v>
      </c>
      <c r="C324" s="3">
        <v>10337100</v>
      </c>
      <c r="D324" s="3"/>
      <c r="E324" s="31">
        <f t="shared" si="15"/>
        <v>10337100</v>
      </c>
      <c r="F324" s="5">
        <v>45968</v>
      </c>
      <c r="G324" s="4">
        <v>20251106</v>
      </c>
      <c r="H324" s="38" t="str">
        <f>VLOOKUP(B324,CAJEROS!B:D,3,0)</f>
        <v>Multifuncional</v>
      </c>
      <c r="I324" s="34"/>
      <c r="J324" s="38" t="str">
        <f>VLOOKUP(B324,CAJEROS!B:E,4,0)</f>
        <v>MF_SANTABO2</v>
      </c>
    </row>
    <row r="325" spans="1:10">
      <c r="A325" s="32">
        <v>198</v>
      </c>
      <c r="B325" s="33">
        <v>5179</v>
      </c>
      <c r="C325" s="3">
        <v>3568000</v>
      </c>
      <c r="D325" s="3">
        <v>2198000</v>
      </c>
      <c r="E325" s="31">
        <f t="shared" ref="E325" si="16">+C325-D325</f>
        <v>1370000</v>
      </c>
      <c r="F325" s="5">
        <v>45968</v>
      </c>
      <c r="G325" s="4">
        <v>20251106</v>
      </c>
      <c r="H325" s="38" t="str">
        <f>VLOOKUP(B325,CAJEROS!B:D,3,0)</f>
        <v>Multifuncional</v>
      </c>
      <c r="I325" s="34" t="s">
        <v>9</v>
      </c>
      <c r="J325" s="38" t="str">
        <f>VLOOKUP(B325,CAJEROS!B:E,4,0)</f>
        <v>MF_CENTSUBA</v>
      </c>
    </row>
    <row r="326" spans="1:10">
      <c r="A326" s="32">
        <v>477</v>
      </c>
      <c r="B326" s="33">
        <v>6251</v>
      </c>
      <c r="C326" s="3">
        <v>3240000</v>
      </c>
      <c r="D326" s="3">
        <v>248750</v>
      </c>
      <c r="E326" s="31">
        <f t="shared" ref="E326:E356" si="17">+C326-D326</f>
        <v>2991250</v>
      </c>
      <c r="F326" s="5">
        <v>45968</v>
      </c>
      <c r="G326" s="4">
        <v>20251106</v>
      </c>
      <c r="H326" s="38" t="str">
        <f>VLOOKUP(B326,CAJEROS!B:D,3,0)</f>
        <v>Multifuncional</v>
      </c>
      <c r="I326" s="34" t="s">
        <v>9</v>
      </c>
      <c r="J326" s="38" t="str">
        <f>VLOOKUP(B326,CAJEROS!B:E,4,0)</f>
        <v>MF_GRANCENT</v>
      </c>
    </row>
    <row r="327" spans="1:10">
      <c r="A327" s="32">
        <v>123</v>
      </c>
      <c r="B327" s="33">
        <v>7134</v>
      </c>
      <c r="C327" s="3">
        <v>2990000</v>
      </c>
      <c r="D327" s="3">
        <v>1135000</v>
      </c>
      <c r="E327" s="31">
        <f t="shared" si="17"/>
        <v>1855000</v>
      </c>
      <c r="F327" s="5">
        <v>45968</v>
      </c>
      <c r="G327" s="4">
        <v>20251106</v>
      </c>
      <c r="H327" s="38" t="str">
        <f>VLOOKUP(B327,CAJEROS!B:D,3,0)</f>
        <v>Multifuncional</v>
      </c>
      <c r="I327" s="34" t="s">
        <v>9</v>
      </c>
      <c r="J327" s="38" t="str">
        <f>VLOOKUP(B327,CAJEROS!B:E,4,0)</f>
        <v>MF_CPRIONE2</v>
      </c>
    </row>
    <row r="328" spans="1:10">
      <c r="A328" s="32">
        <v>777</v>
      </c>
      <c r="B328" s="33">
        <v>4868</v>
      </c>
      <c r="C328" s="3">
        <v>2967350</v>
      </c>
      <c r="D328" s="3">
        <v>423100</v>
      </c>
      <c r="E328" s="31">
        <f t="shared" si="17"/>
        <v>2544250</v>
      </c>
      <c r="F328" s="5">
        <v>45968</v>
      </c>
      <c r="G328" s="4">
        <v>20251106</v>
      </c>
      <c r="H328" s="38" t="str">
        <f>VLOOKUP(B328,CAJEROS!B:D,3,0)</f>
        <v>Multifuncional</v>
      </c>
      <c r="I328" s="34" t="s">
        <v>9</v>
      </c>
      <c r="J328" s="38" t="str">
        <f>VLOOKUP(B328,CAJEROS!B:E,4,0)</f>
        <v>MFPWASHING2</v>
      </c>
    </row>
    <row r="329" spans="1:10">
      <c r="A329" s="32">
        <v>395</v>
      </c>
      <c r="B329" s="33">
        <v>1528</v>
      </c>
      <c r="C329" s="3">
        <v>2925000</v>
      </c>
      <c r="D329" s="3">
        <v>1425000</v>
      </c>
      <c r="E329" s="31">
        <f t="shared" si="17"/>
        <v>1500000</v>
      </c>
      <c r="F329" s="5">
        <v>45968</v>
      </c>
      <c r="G329" s="4">
        <v>20251106</v>
      </c>
      <c r="H329" s="38" t="str">
        <f>VLOOKUP(B329,CAJEROS!B:D,3,0)</f>
        <v>Multifuncional</v>
      </c>
      <c r="I329" s="34" t="s">
        <v>9</v>
      </c>
      <c r="J329" s="38" t="str">
        <f>VLOOKUP(B329,CAJEROS!B:E,4,0)</f>
        <v>SUCMFVIVCI1</v>
      </c>
    </row>
    <row r="330" spans="1:10">
      <c r="A330" s="32">
        <v>236</v>
      </c>
      <c r="B330" s="33">
        <v>6242</v>
      </c>
      <c r="C330" s="3">
        <v>2900000</v>
      </c>
      <c r="D330" s="3"/>
      <c r="E330" s="31">
        <f t="shared" si="17"/>
        <v>2900000</v>
      </c>
      <c r="F330" s="5">
        <v>45968</v>
      </c>
      <c r="G330" s="4">
        <v>20251106</v>
      </c>
      <c r="H330" s="38" t="str">
        <f>VLOOKUP(B330,CAJEROS!B:D,3,0)</f>
        <v>Multifuncional</v>
      </c>
      <c r="I330" s="34" t="s">
        <v>9</v>
      </c>
      <c r="J330" s="38" t="str">
        <f>VLOOKUP(B330,CAJEROS!B:E,4,0)</f>
        <v>MF_EXITCOLO</v>
      </c>
    </row>
    <row r="331" spans="1:10">
      <c r="A331" s="32">
        <v>351</v>
      </c>
      <c r="B331" s="33">
        <v>6182</v>
      </c>
      <c r="C331" s="3">
        <v>50000</v>
      </c>
      <c r="D331" s="3"/>
      <c r="E331" s="31">
        <f t="shared" si="17"/>
        <v>50000</v>
      </c>
      <c r="F331" s="5">
        <v>45968</v>
      </c>
      <c r="G331" s="4">
        <v>20251106</v>
      </c>
      <c r="H331" s="38" t="str">
        <f>VLOOKUP(B331,CAJEROS!B:D,3,0)</f>
        <v>Multifuncional</v>
      </c>
      <c r="I331" s="34" t="s">
        <v>9</v>
      </c>
      <c r="J331" s="38" t="str">
        <f>VLOOKUP(B331,CAJEROS!B:E,4,0)</f>
        <v>MF_PUNTORIE</v>
      </c>
    </row>
    <row r="332" spans="1:10">
      <c r="A332" s="32">
        <v>667</v>
      </c>
      <c r="B332" s="33">
        <v>5167</v>
      </c>
      <c r="C332" s="3">
        <v>2330000</v>
      </c>
      <c r="D332" s="3">
        <f>368800+50000</f>
        <v>418800</v>
      </c>
      <c r="E332" s="31">
        <f t="shared" si="17"/>
        <v>1911200</v>
      </c>
      <c r="F332" s="5">
        <v>45968</v>
      </c>
      <c r="G332" s="4">
        <v>20251106</v>
      </c>
      <c r="H332" s="38" t="str">
        <f>VLOOKUP(B332,CAJEROS!B:D,3,0)</f>
        <v>Multifuncional</v>
      </c>
      <c r="I332" s="34" t="s">
        <v>9</v>
      </c>
      <c r="J332" s="38" t="str">
        <f>VLOOKUP(B332,CAJEROS!B:E,4,0)</f>
        <v>MF_VALVANE1</v>
      </c>
    </row>
    <row r="333" spans="1:10">
      <c r="A333" s="32">
        <v>601</v>
      </c>
      <c r="B333" s="33">
        <v>6407</v>
      </c>
      <c r="C333" s="3">
        <v>2257900</v>
      </c>
      <c r="D333" s="3"/>
      <c r="E333" s="31">
        <f t="shared" si="17"/>
        <v>2257900</v>
      </c>
      <c r="F333" s="5">
        <v>45968</v>
      </c>
      <c r="G333" s="4">
        <v>20251106</v>
      </c>
      <c r="H333" s="38" t="str">
        <f>VLOOKUP(B333,CAJEROS!B:D,3,0)</f>
        <v>Multifuncional</v>
      </c>
      <c r="I333" s="34" t="s">
        <v>9</v>
      </c>
      <c r="J333" s="38" t="str">
        <f>VLOOKUP(B333,CAJEROS!B:E,4,0)</f>
        <v>MF_COLINACA</v>
      </c>
    </row>
    <row r="334" spans="1:10">
      <c r="A334" s="32">
        <v>388</v>
      </c>
      <c r="B334" s="33">
        <v>5169</v>
      </c>
      <c r="C334" s="3">
        <v>2000000</v>
      </c>
      <c r="D334" s="3">
        <v>1984700</v>
      </c>
      <c r="E334" s="31">
        <f t="shared" si="17"/>
        <v>15300</v>
      </c>
      <c r="F334" s="5">
        <v>45968</v>
      </c>
      <c r="G334" s="4">
        <v>20251106</v>
      </c>
      <c r="H334" s="38" t="str">
        <f>VLOOKUP(B334,CAJEROS!B:D,3,0)</f>
        <v>Multifuncional</v>
      </c>
      <c r="I334" s="34" t="s">
        <v>9</v>
      </c>
      <c r="J334" s="38" t="str">
        <f>VLOOKUP(B334,CAJEROS!B:E,4,0)</f>
        <v>MF_SUCHAYU1</v>
      </c>
    </row>
    <row r="335" spans="1:10">
      <c r="A335" s="32">
        <v>154</v>
      </c>
      <c r="B335" s="33">
        <v>5041</v>
      </c>
      <c r="C335" s="3">
        <v>1770000</v>
      </c>
      <c r="D335" s="3"/>
      <c r="E335" s="31">
        <f t="shared" si="17"/>
        <v>1770000</v>
      </c>
      <c r="F335" s="5">
        <v>45968</v>
      </c>
      <c r="G335" s="4">
        <v>20251106</v>
      </c>
      <c r="H335" s="38" t="str">
        <f>VLOOKUP(B335,CAJEROS!B:D,3,0)</f>
        <v>Multifuncional</v>
      </c>
      <c r="I335" s="34" t="s">
        <v>9</v>
      </c>
      <c r="J335" s="38" t="str">
        <f>VLOOKUP(B335,CAJEROS!B:E,4,0)</f>
        <v>MF_CMAYOR</v>
      </c>
    </row>
    <row r="336" spans="1:10">
      <c r="A336" s="32">
        <v>779</v>
      </c>
      <c r="B336" s="33">
        <v>5013</v>
      </c>
      <c r="C336" s="3">
        <v>1760600</v>
      </c>
      <c r="D336" s="3"/>
      <c r="E336" s="31">
        <f t="shared" si="17"/>
        <v>1760600</v>
      </c>
      <c r="F336" s="5">
        <v>45968</v>
      </c>
      <c r="G336" s="4">
        <v>20251106</v>
      </c>
      <c r="H336" s="38" t="str">
        <f>VLOOKUP(B336,CAJEROS!B:D,3,0)</f>
        <v>Multifuncional</v>
      </c>
      <c r="I336" s="34" t="s">
        <v>9</v>
      </c>
      <c r="J336" s="38" t="str">
        <f>VLOOKUP(B336,CAJEROS!B:E,4,0)</f>
        <v>MF_BUENASM1</v>
      </c>
    </row>
    <row r="337" spans="1:10">
      <c r="A337" s="32">
        <v>358</v>
      </c>
      <c r="B337" s="33">
        <v>5149</v>
      </c>
      <c r="C337" s="3">
        <v>1760000</v>
      </c>
      <c r="D337" s="3"/>
      <c r="E337" s="31">
        <f t="shared" si="17"/>
        <v>1760000</v>
      </c>
      <c r="F337" s="5">
        <v>45968</v>
      </c>
      <c r="G337" s="4">
        <v>20251106</v>
      </c>
      <c r="H337" s="38" t="str">
        <f>VLOOKUP(B337,CAJEROS!B:D,3,0)</f>
        <v>Multifuncional</v>
      </c>
      <c r="I337" s="34" t="s">
        <v>9</v>
      </c>
      <c r="J337" s="38" t="str">
        <f>VLOOKUP(B337,CAJEROS!B:E,4,0)</f>
        <v>MF_SOGAMOSO</v>
      </c>
    </row>
    <row r="338" spans="1:10">
      <c r="A338" s="32">
        <v>806</v>
      </c>
      <c r="B338" s="33">
        <v>5156</v>
      </c>
      <c r="C338" s="3">
        <v>1740000</v>
      </c>
      <c r="D338" s="3"/>
      <c r="E338" s="31">
        <f t="shared" si="17"/>
        <v>1740000</v>
      </c>
      <c r="F338" s="5">
        <v>45968</v>
      </c>
      <c r="G338" s="4">
        <v>20251106</v>
      </c>
      <c r="H338" s="38" t="str">
        <f>VLOOKUP(B338,CAJEROS!B:D,3,0)</f>
        <v>Multifuncional</v>
      </c>
      <c r="I338" s="34" t="s">
        <v>9</v>
      </c>
      <c r="J338" s="38" t="str">
        <f>VLOOKUP(B338,CAJEROS!B:E,4,0)</f>
        <v>MF_ALZACIA</v>
      </c>
    </row>
    <row r="339" spans="1:10">
      <c r="A339" s="32">
        <v>138</v>
      </c>
      <c r="B339" s="33">
        <v>6628</v>
      </c>
      <c r="C339" s="3">
        <v>1594650</v>
      </c>
      <c r="D339" s="3">
        <v>1233800</v>
      </c>
      <c r="E339" s="31">
        <f t="shared" si="17"/>
        <v>360850</v>
      </c>
      <c r="F339" s="5">
        <v>45968</v>
      </c>
      <c r="G339" s="4">
        <v>20251106</v>
      </c>
      <c r="H339" s="38" t="str">
        <f>VLOOKUP(B339,CAJEROS!B:D,3,0)</f>
        <v>Multifuncional</v>
      </c>
      <c r="I339" s="34" t="s">
        <v>9</v>
      </c>
      <c r="J339" s="38" t="str">
        <f>VLOOKUP(B339,CAJEROS!B:E,4,0)</f>
        <v>MF_MOSQUERA</v>
      </c>
    </row>
    <row r="340" spans="1:10">
      <c r="A340" s="32">
        <v>392</v>
      </c>
      <c r="B340" s="33">
        <v>5064</v>
      </c>
      <c r="C340" s="3">
        <v>1556000</v>
      </c>
      <c r="D340" s="3"/>
      <c r="E340" s="31">
        <f t="shared" si="17"/>
        <v>1556000</v>
      </c>
      <c r="F340" s="5">
        <v>45968</v>
      </c>
      <c r="G340" s="4">
        <v>20251106</v>
      </c>
      <c r="H340" s="38" t="str">
        <f>VLOOKUP(B340,CAJEROS!B:D,3,0)</f>
        <v>Multifuncional</v>
      </c>
      <c r="I340" s="34" t="s">
        <v>9</v>
      </c>
      <c r="J340" s="38" t="str">
        <f>VLOOKUP(B340,CAJEROS!B:E,4,0)</f>
        <v>MF_LADORADA</v>
      </c>
    </row>
    <row r="341" spans="1:10">
      <c r="A341" s="32">
        <v>367</v>
      </c>
      <c r="B341" s="33">
        <v>9580</v>
      </c>
      <c r="C341" s="3">
        <v>1254000</v>
      </c>
      <c r="D341" s="3"/>
      <c r="E341" s="31">
        <f t="shared" si="17"/>
        <v>1254000</v>
      </c>
      <c r="F341" s="5">
        <v>45968</v>
      </c>
      <c r="G341" s="4">
        <v>20251106</v>
      </c>
      <c r="H341" s="38" t="str">
        <f>VLOOKUP(B341,CAJEROS!B:D,3,0)</f>
        <v>Multifuncional</v>
      </c>
      <c r="I341" s="34" t="s">
        <v>9</v>
      </c>
      <c r="J341" s="38" t="str">
        <f>VLOOKUP(B341,CAJEROS!B:E,4,0)</f>
        <v>MF_SUCGRAN1</v>
      </c>
    </row>
    <row r="342" spans="1:10">
      <c r="A342" s="32">
        <v>816</v>
      </c>
      <c r="B342" s="33">
        <v>5205</v>
      </c>
      <c r="C342" s="3">
        <v>1180000</v>
      </c>
      <c r="D342" s="3"/>
      <c r="E342" s="31">
        <f t="shared" si="17"/>
        <v>1180000</v>
      </c>
      <c r="F342" s="5">
        <v>45968</v>
      </c>
      <c r="G342" s="4">
        <v>20251106</v>
      </c>
      <c r="H342" s="38" t="str">
        <f>VLOOKUP(B342,CAJEROS!B:D,3,0)</f>
        <v>Multifuncional</v>
      </c>
      <c r="I342" s="34" t="s">
        <v>9</v>
      </c>
      <c r="J342" s="38" t="str">
        <f>VLOOKUP(B342,CAJEROS!B:E,4,0)</f>
        <v>MF_SUCLLE10</v>
      </c>
    </row>
    <row r="343" spans="1:10">
      <c r="A343" s="32">
        <v>383</v>
      </c>
      <c r="B343" s="33">
        <v>5194</v>
      </c>
      <c r="C343" s="3">
        <v>1080000</v>
      </c>
      <c r="D343" s="3"/>
      <c r="E343" s="31">
        <f t="shared" si="17"/>
        <v>1080000</v>
      </c>
      <c r="F343" s="5">
        <v>45968</v>
      </c>
      <c r="G343" s="4">
        <v>20251106</v>
      </c>
      <c r="H343" s="38" t="str">
        <f>VLOOKUP(B343,CAJEROS!B:D,3,0)</f>
        <v>Multifuncional</v>
      </c>
      <c r="I343" s="34" t="s">
        <v>9</v>
      </c>
      <c r="J343" s="38" t="str">
        <f>VLOOKUP(B343,CAJEROS!B:E,4,0)</f>
        <v>MF_MADRID</v>
      </c>
    </row>
    <row r="344" spans="1:10">
      <c r="A344" s="32">
        <v>692</v>
      </c>
      <c r="B344" s="33">
        <v>1516</v>
      </c>
      <c r="C344" s="3">
        <v>680000</v>
      </c>
      <c r="D344" s="3"/>
      <c r="E344" s="31">
        <f t="shared" si="17"/>
        <v>680000</v>
      </c>
      <c r="F344" s="5">
        <v>45968</v>
      </c>
      <c r="G344" s="4">
        <v>20251106</v>
      </c>
      <c r="H344" s="38" t="str">
        <f>VLOOKUP(B344,CAJEROS!B:D,3,0)</f>
        <v>Multifuncional</v>
      </c>
      <c r="I344" s="34" t="s">
        <v>9</v>
      </c>
      <c r="J344" s="38" t="str">
        <f>VLOOKUP(B344,CAJEROS!B:E,4,0)</f>
        <v>MFSUCALTPR2</v>
      </c>
    </row>
    <row r="345" spans="1:10">
      <c r="A345" s="32">
        <v>495</v>
      </c>
      <c r="B345" s="33">
        <v>8482</v>
      </c>
      <c r="C345" s="3">
        <v>602600</v>
      </c>
      <c r="D345" s="3"/>
      <c r="E345" s="31">
        <f t="shared" si="17"/>
        <v>602600</v>
      </c>
      <c r="F345" s="5">
        <v>45968</v>
      </c>
      <c r="G345" s="4">
        <v>20251106</v>
      </c>
      <c r="H345" s="38" t="str">
        <f>VLOOKUP(B345,CAJEROS!B:D,3,0)</f>
        <v>Multifuncional</v>
      </c>
      <c r="I345" s="34" t="s">
        <v>9</v>
      </c>
      <c r="J345" s="38" t="str">
        <f>VLOOKUP(B345,CAJEROS!B:E,4,0)</f>
        <v>MF_SUCBOSQ1</v>
      </c>
    </row>
    <row r="346" spans="1:10">
      <c r="A346" s="32">
        <v>516</v>
      </c>
      <c r="B346" s="33">
        <v>9729</v>
      </c>
      <c r="C346" s="3">
        <v>551150</v>
      </c>
      <c r="D346" s="3"/>
      <c r="E346" s="31">
        <f t="shared" si="17"/>
        <v>551150</v>
      </c>
      <c r="F346" s="5">
        <v>45968</v>
      </c>
      <c r="G346" s="4">
        <v>20251106</v>
      </c>
      <c r="H346" s="38" t="str">
        <f>VLOOKUP(B346,CAJEROS!B:D,3,0)</f>
        <v>Multifuncional</v>
      </c>
      <c r="I346" s="34" t="s">
        <v>9</v>
      </c>
      <c r="J346" s="38" t="str">
        <f>VLOOKUP(B346,CAJEROS!B:E,4,0)</f>
        <v>MF_SUCSTAM1</v>
      </c>
    </row>
    <row r="347" spans="1:10">
      <c r="A347" s="32">
        <v>820</v>
      </c>
      <c r="B347" s="33">
        <v>6174</v>
      </c>
      <c r="C347" s="3">
        <v>434100</v>
      </c>
      <c r="D347" s="3">
        <v>162900</v>
      </c>
      <c r="E347" s="31">
        <f t="shared" si="17"/>
        <v>271200</v>
      </c>
      <c r="F347" s="5">
        <v>45968</v>
      </c>
      <c r="G347" s="4">
        <v>20251106</v>
      </c>
      <c r="H347" s="38" t="str">
        <f>VLOOKUP(B347,CAJEROS!B:D,3,0)</f>
        <v>Multifuncional</v>
      </c>
      <c r="I347" s="34" t="s">
        <v>9</v>
      </c>
      <c r="J347" s="38" t="str">
        <f>VLOOKUP(B347,CAJEROS!B:E,4,0)</f>
        <v>MF_AVCERO</v>
      </c>
    </row>
    <row r="348" spans="1:10">
      <c r="A348" s="32">
        <v>40</v>
      </c>
      <c r="B348" s="33">
        <v>5142</v>
      </c>
      <c r="C348" s="3">
        <v>300000</v>
      </c>
      <c r="D348" s="3"/>
      <c r="E348" s="31">
        <f t="shared" si="17"/>
        <v>300000</v>
      </c>
      <c r="F348" s="5">
        <v>45968</v>
      </c>
      <c r="G348" s="4">
        <v>20251106</v>
      </c>
      <c r="H348" s="38" t="str">
        <f>VLOOKUP(B348,CAJEROS!B:D,3,0)</f>
        <v>Multifuncional</v>
      </c>
      <c r="I348" s="34" t="s">
        <v>9</v>
      </c>
      <c r="J348" s="38" t="str">
        <f>VLOOKUP(B348,CAJEROS!B:E,4,0)</f>
        <v>MF_CENTRO93</v>
      </c>
    </row>
    <row r="349" spans="1:10">
      <c r="A349" s="32">
        <v>916</v>
      </c>
      <c r="B349" s="33">
        <v>5052</v>
      </c>
      <c r="C349" s="3">
        <v>260000</v>
      </c>
      <c r="D349" s="3"/>
      <c r="E349" s="31">
        <f t="shared" si="17"/>
        <v>260000</v>
      </c>
      <c r="F349" s="5">
        <v>45968</v>
      </c>
      <c r="G349" s="4">
        <v>20251106</v>
      </c>
      <c r="H349" s="38" t="str">
        <f>VLOOKUP(B349,CAJEROS!B:D,3,0)</f>
        <v>Multifuncional</v>
      </c>
      <c r="I349" s="34" t="s">
        <v>9</v>
      </c>
      <c r="J349" s="38" t="str">
        <f>VLOOKUP(B349,CAJEROS!B:E,4,0)</f>
        <v>MF_OCEANMAL</v>
      </c>
    </row>
    <row r="350" spans="1:10">
      <c r="A350" s="32">
        <v>253</v>
      </c>
      <c r="B350" s="33">
        <v>5176</v>
      </c>
      <c r="C350" s="3">
        <v>210000</v>
      </c>
      <c r="D350" s="3"/>
      <c r="E350" s="31">
        <f t="shared" si="17"/>
        <v>210000</v>
      </c>
      <c r="F350" s="5">
        <v>45968</v>
      </c>
      <c r="G350" s="4">
        <v>20251106</v>
      </c>
      <c r="H350" s="38" t="str">
        <f>VLOOKUP(B350,CAJEROS!B:D,3,0)</f>
        <v>Multifuncional</v>
      </c>
      <c r="I350" s="34" t="s">
        <v>9</v>
      </c>
      <c r="J350" s="38" t="str">
        <f>VLOOKUP(B350,CAJEROS!B:E,4,0)</f>
        <v>MF_SPTANORT</v>
      </c>
    </row>
    <row r="351" spans="1:10">
      <c r="A351" s="32">
        <v>6</v>
      </c>
      <c r="B351" s="33">
        <v>5001</v>
      </c>
      <c r="C351" s="3">
        <v>100000</v>
      </c>
      <c r="D351" s="3"/>
      <c r="E351" s="31">
        <f t="shared" si="17"/>
        <v>100000</v>
      </c>
      <c r="F351" s="5">
        <v>45968</v>
      </c>
      <c r="G351" s="4">
        <v>20251106</v>
      </c>
      <c r="H351" s="38" t="str">
        <f>VLOOKUP(B351,CAJEROS!B:D,3,0)</f>
        <v>Multifuncional</v>
      </c>
      <c r="I351" s="34" t="s">
        <v>9</v>
      </c>
      <c r="J351" s="38" t="str">
        <f>VLOOKUP(B351,CAJEROS!B:E,4,0)</f>
        <v>MF_AVJUNIN</v>
      </c>
    </row>
    <row r="352" spans="1:10">
      <c r="A352" s="32">
        <v>60</v>
      </c>
      <c r="B352" s="33">
        <v>8728</v>
      </c>
      <c r="C352" s="3">
        <v>95850</v>
      </c>
      <c r="D352" s="3"/>
      <c r="E352" s="31">
        <f t="shared" si="17"/>
        <v>95850</v>
      </c>
      <c r="F352" s="5">
        <v>45968</v>
      </c>
      <c r="G352" s="4">
        <v>20251106</v>
      </c>
      <c r="H352" s="38" t="str">
        <f>VLOOKUP(B352,CAJEROS!B:D,3,0)</f>
        <v>Multifuncional</v>
      </c>
      <c r="I352" s="34" t="s">
        <v>9</v>
      </c>
      <c r="J352" s="38" t="str">
        <f>VLOOKUP(B352,CAJEROS!B:E,4,0)</f>
        <v>MF_HCALIPR2</v>
      </c>
    </row>
    <row r="353" spans="1:10">
      <c r="A353" s="32">
        <v>363</v>
      </c>
      <c r="B353" s="33">
        <v>5168</v>
      </c>
      <c r="C353" s="3">
        <v>90000</v>
      </c>
      <c r="D353" s="3"/>
      <c r="E353" s="31">
        <f t="shared" si="17"/>
        <v>90000</v>
      </c>
      <c r="F353" s="5">
        <v>45968</v>
      </c>
      <c r="G353" s="4">
        <v>20251106</v>
      </c>
      <c r="H353" s="38" t="str">
        <f>VLOOKUP(B353,CAJEROS!B:D,3,0)</f>
        <v>Multifuncional</v>
      </c>
      <c r="I353" s="34" t="s">
        <v>9</v>
      </c>
      <c r="J353" s="38" t="str">
        <f>VLOOKUP(B353,CAJEROS!B:E,4,0)</f>
        <v>MF_YOPAL</v>
      </c>
    </row>
    <row r="354" spans="1:10">
      <c r="A354" s="32">
        <v>725</v>
      </c>
      <c r="B354" s="33">
        <v>5166</v>
      </c>
      <c r="C354" s="3">
        <v>69800</v>
      </c>
      <c r="D354" s="3"/>
      <c r="E354" s="31">
        <f t="shared" si="17"/>
        <v>69800</v>
      </c>
      <c r="F354" s="5">
        <v>45968</v>
      </c>
      <c r="G354" s="4">
        <v>20251106</v>
      </c>
      <c r="H354" s="38" t="str">
        <f>VLOOKUP(B354,CAJEROS!B:D,3,0)</f>
        <v>Multifuncional</v>
      </c>
      <c r="I354" s="34" t="s">
        <v>9</v>
      </c>
      <c r="J354" s="38" t="str">
        <f>VLOOKUP(B354,CAJEROS!B:E,4,0)</f>
        <v>MF_DOSQUEBR</v>
      </c>
    </row>
    <row r="355" spans="1:10">
      <c r="A355" s="32">
        <v>24</v>
      </c>
      <c r="B355" s="33">
        <v>5066</v>
      </c>
      <c r="C355" s="3">
        <v>40000</v>
      </c>
      <c r="D355" s="3"/>
      <c r="E355" s="31">
        <f t="shared" si="17"/>
        <v>40000</v>
      </c>
      <c r="F355" s="5">
        <v>45968</v>
      </c>
      <c r="G355" s="4">
        <v>20251106</v>
      </c>
      <c r="H355" s="38" t="str">
        <f>VLOOKUP(B355,CAJEROS!B:D,3,0)</f>
        <v>Multifuncional</v>
      </c>
      <c r="I355" s="34" t="s">
        <v>9</v>
      </c>
      <c r="J355" s="38" t="str">
        <f>VLOOKUP(B355,CAJEROS!B:E,4,0)</f>
        <v>MF_RIONEGPA</v>
      </c>
    </row>
    <row r="356" spans="1:10">
      <c r="A356" s="32">
        <v>486</v>
      </c>
      <c r="B356" s="33">
        <v>5081</v>
      </c>
      <c r="C356" s="3">
        <v>40000</v>
      </c>
      <c r="D356" s="3"/>
      <c r="E356" s="31">
        <f t="shared" si="17"/>
        <v>40000</v>
      </c>
      <c r="F356" s="5">
        <v>45968</v>
      </c>
      <c r="G356" s="4">
        <v>20251106</v>
      </c>
      <c r="H356" s="38" t="str">
        <f>VLOOKUP(B356,CAJEROS!B:D,3,0)</f>
        <v>Multifuncional</v>
      </c>
      <c r="I356" s="34" t="s">
        <v>9</v>
      </c>
      <c r="J356" s="38" t="str">
        <f>VLOOKUP(B356,CAJEROS!B:E,4,0)</f>
        <v>MF_SANNIBA1</v>
      </c>
    </row>
    <row r="357" spans="1:10">
      <c r="A357" s="32">
        <v>15</v>
      </c>
      <c r="B357" s="33">
        <v>8573</v>
      </c>
      <c r="C357" s="3">
        <v>10000</v>
      </c>
      <c r="D357" s="3"/>
      <c r="E357" s="31">
        <f t="shared" ref="E357" si="18">+C357-D357</f>
        <v>10000</v>
      </c>
      <c r="F357" s="5">
        <v>45968</v>
      </c>
      <c r="G357" s="4">
        <v>20251106</v>
      </c>
      <c r="H357" s="38" t="str">
        <f>VLOOKUP(B357,CAJEROS!B:D,3,0)</f>
        <v>Dispensador</v>
      </c>
      <c r="I357" s="34" t="s">
        <v>10</v>
      </c>
      <c r="J357" s="38" t="str">
        <f>VLOOKUP(B357,CAJEROS!B:E,4,0)</f>
        <v>HALLITAGUI3</v>
      </c>
    </row>
    <row r="358" spans="1:10">
      <c r="A358" s="32">
        <v>541</v>
      </c>
      <c r="B358" s="33">
        <v>8654</v>
      </c>
      <c r="C358" s="3">
        <v>20000</v>
      </c>
      <c r="D358" s="3"/>
      <c r="E358" s="31">
        <f t="shared" ref="E358:E408" si="19">+C358-D358</f>
        <v>20000</v>
      </c>
      <c r="F358" s="5">
        <v>45968</v>
      </c>
      <c r="G358" s="4">
        <v>20251106</v>
      </c>
      <c r="H358" s="38" t="str">
        <f>VLOOKUP(B358,CAJEROS!B:D,3,0)</f>
        <v>Dispensador</v>
      </c>
      <c r="I358" s="34" t="s">
        <v>10</v>
      </c>
      <c r="J358" s="38" t="str">
        <f>VLOOKUP(B358,CAJEROS!B:E,4,0)</f>
        <v>SUCCALDASP5</v>
      </c>
    </row>
    <row r="359" spans="1:10">
      <c r="A359" s="32">
        <v>332</v>
      </c>
      <c r="B359" s="33">
        <v>7569</v>
      </c>
      <c r="C359" s="3">
        <v>10000</v>
      </c>
      <c r="D359" s="3"/>
      <c r="E359" s="31">
        <f t="shared" si="19"/>
        <v>10000</v>
      </c>
      <c r="F359" s="5">
        <v>45968</v>
      </c>
      <c r="G359" s="4">
        <v>20251106</v>
      </c>
      <c r="H359" s="38" t="str">
        <f>VLOOKUP(B359,CAJEROS!B:D,3,0)</f>
        <v>Multifuncional</v>
      </c>
      <c r="I359" s="34" t="s">
        <v>10</v>
      </c>
      <c r="J359" s="38" t="str">
        <f>VLOOKUP(B359,CAJEROS!B:E,4,0)</f>
        <v>MF_ZIPAQUI2</v>
      </c>
    </row>
    <row r="360" spans="1:10">
      <c r="A360" s="32">
        <v>442</v>
      </c>
      <c r="B360" s="33">
        <v>8883</v>
      </c>
      <c r="C360" s="3">
        <v>20000</v>
      </c>
      <c r="D360" s="3"/>
      <c r="E360" s="31">
        <f t="shared" si="19"/>
        <v>20000</v>
      </c>
      <c r="F360" s="5">
        <v>45968</v>
      </c>
      <c r="G360" s="4">
        <v>20251106</v>
      </c>
      <c r="H360" s="38" t="str">
        <f>VLOOKUP(B360,CAJEROS!B:D,3,0)</f>
        <v>Dispensador</v>
      </c>
      <c r="I360" s="34" t="s">
        <v>10</v>
      </c>
      <c r="J360" s="38" t="str">
        <f>VLOOKUP(B360,CAJEROS!B:E,4,0)</f>
        <v>VIVABQUILA1</v>
      </c>
    </row>
    <row r="361" spans="1:10">
      <c r="A361" s="32">
        <v>810</v>
      </c>
      <c r="B361" s="33">
        <v>8204</v>
      </c>
      <c r="C361" s="3">
        <v>20000</v>
      </c>
      <c r="D361" s="3"/>
      <c r="E361" s="31">
        <f t="shared" si="19"/>
        <v>20000</v>
      </c>
      <c r="F361" s="5">
        <v>45968</v>
      </c>
      <c r="G361" s="4">
        <v>20251106</v>
      </c>
      <c r="H361" s="38" t="str">
        <f>VLOOKUP(B361,CAJEROS!B:D,3,0)</f>
        <v>Multifuncional</v>
      </c>
      <c r="I361" s="34" t="s">
        <v>10</v>
      </c>
      <c r="J361" s="38" t="str">
        <f>VLOOKUP(B361,CAJEROS!B:E,4,0)</f>
        <v>MF_OESTE</v>
      </c>
    </row>
    <row r="362" spans="1:10">
      <c r="A362" s="32">
        <v>33</v>
      </c>
      <c r="B362" s="33">
        <v>8859</v>
      </c>
      <c r="C362" s="3">
        <v>20000</v>
      </c>
      <c r="D362" s="3"/>
      <c r="E362" s="31">
        <f t="shared" si="19"/>
        <v>20000</v>
      </c>
      <c r="F362" s="5">
        <v>45968</v>
      </c>
      <c r="G362" s="4">
        <v>20251106</v>
      </c>
      <c r="H362" s="38" t="str">
        <f>VLOOKUP(B362,CAJEROS!B:D,3,0)</f>
        <v>Dispensador</v>
      </c>
      <c r="I362" s="34" t="s">
        <v>10</v>
      </c>
      <c r="J362" s="38" t="str">
        <f>VLOOKUP(B362,CAJEROS!B:E,4,0)</f>
        <v>SUCPOLCLUB1</v>
      </c>
    </row>
    <row r="363" spans="1:10">
      <c r="A363" s="32">
        <v>187</v>
      </c>
      <c r="B363" s="33">
        <v>5485</v>
      </c>
      <c r="C363" s="3">
        <v>20000</v>
      </c>
      <c r="D363" s="3"/>
      <c r="E363" s="31">
        <f t="shared" si="19"/>
        <v>20000</v>
      </c>
      <c r="F363" s="5">
        <v>45968</v>
      </c>
      <c r="G363" s="4">
        <v>20251106</v>
      </c>
      <c r="H363" s="38" t="str">
        <f>VLOOKUP(B363,CAJEROS!B:D,3,0)</f>
        <v>Dispensador</v>
      </c>
      <c r="I363" s="34" t="s">
        <v>10</v>
      </c>
      <c r="J363" s="38" t="str">
        <f>VLOOKUP(B363,CAJEROS!B:E,4,0)</f>
        <v>QUIMBAYA1</v>
      </c>
    </row>
    <row r="364" spans="1:10">
      <c r="A364" s="32">
        <v>404</v>
      </c>
      <c r="B364" s="33">
        <v>5873</v>
      </c>
      <c r="C364" s="3">
        <v>20000</v>
      </c>
      <c r="D364" s="3"/>
      <c r="E364" s="31">
        <f t="shared" si="19"/>
        <v>20000</v>
      </c>
      <c r="F364" s="5">
        <v>45968</v>
      </c>
      <c r="G364" s="4">
        <v>20251106</v>
      </c>
      <c r="H364" s="38" t="str">
        <f>VLOOKUP(B364,CAJEROS!B:D,3,0)</f>
        <v>Dispensador</v>
      </c>
      <c r="I364" s="34" t="s">
        <v>10</v>
      </c>
      <c r="J364" s="38" t="str">
        <f>VLOOKUP(B364,CAJEROS!B:E,4,0)</f>
        <v>JARDIN_2</v>
      </c>
    </row>
    <row r="365" spans="1:10">
      <c r="A365" s="32">
        <v>24</v>
      </c>
      <c r="B365" s="33">
        <v>5293</v>
      </c>
      <c r="C365" s="3">
        <v>20000</v>
      </c>
      <c r="D365" s="3">
        <v>20000</v>
      </c>
      <c r="E365" s="31">
        <f t="shared" si="19"/>
        <v>0</v>
      </c>
      <c r="F365" s="5">
        <v>45968</v>
      </c>
      <c r="G365" s="4">
        <v>20251106</v>
      </c>
      <c r="H365" s="38" t="str">
        <f>VLOOKUP(B365,CAJEROS!B:D,3,0)</f>
        <v>Dispensador</v>
      </c>
      <c r="I365" s="34" t="s">
        <v>10</v>
      </c>
      <c r="J365" s="38" t="str">
        <f>VLOOKUP(B365,CAJEROS!B:E,4,0)</f>
        <v>SUC_RIONEG5</v>
      </c>
    </row>
    <row r="366" spans="1:10">
      <c r="A366" s="32">
        <v>748</v>
      </c>
      <c r="B366" s="33">
        <v>4585</v>
      </c>
      <c r="C366" s="3">
        <v>10000</v>
      </c>
      <c r="D366" s="3"/>
      <c r="E366" s="31">
        <f t="shared" si="19"/>
        <v>10000</v>
      </c>
      <c r="F366" s="5">
        <v>45968</v>
      </c>
      <c r="G366" s="4">
        <v>20251106</v>
      </c>
      <c r="H366" s="38" t="str">
        <f>VLOOKUP(B366,CAJEROS!B:D,3,0)</f>
        <v>Dispensador</v>
      </c>
      <c r="I366" s="34" t="s">
        <v>10</v>
      </c>
      <c r="J366" s="38" t="str">
        <f>VLOOKUP(B366,CAJEROS!B:E,4,0)</f>
        <v>SUC_MOMPOX2</v>
      </c>
    </row>
    <row r="367" spans="1:10">
      <c r="A367" s="32">
        <v>446</v>
      </c>
      <c r="B367" s="33">
        <v>4461</v>
      </c>
      <c r="C367" s="3">
        <v>10000</v>
      </c>
      <c r="D367" s="3"/>
      <c r="E367" s="31">
        <f t="shared" si="19"/>
        <v>10000</v>
      </c>
      <c r="F367" s="5">
        <v>45968</v>
      </c>
      <c r="G367" s="4">
        <v>20251106</v>
      </c>
      <c r="H367" s="38" t="str">
        <f>VLOOKUP(B367,CAJEROS!B:D,3,0)</f>
        <v>Dispensador</v>
      </c>
      <c r="I367" s="34" t="s">
        <v>10</v>
      </c>
      <c r="J367" s="38" t="str">
        <f>VLOOKUP(B367,CAJEROS!B:E,4,0)</f>
        <v>LIBANO</v>
      </c>
    </row>
    <row r="368" spans="1:10">
      <c r="A368" s="32">
        <v>484</v>
      </c>
      <c r="B368" s="33">
        <v>3268</v>
      </c>
      <c r="C368" s="3">
        <v>20000</v>
      </c>
      <c r="D368" s="3"/>
      <c r="E368" s="31">
        <f t="shared" si="19"/>
        <v>20000</v>
      </c>
      <c r="F368" s="5">
        <v>45968</v>
      </c>
      <c r="G368" s="4">
        <v>20251106</v>
      </c>
      <c r="H368" s="38" t="str">
        <f>VLOOKUP(B368,CAJEROS!B:D,3,0)</f>
        <v>Dispensador</v>
      </c>
      <c r="I368" s="34" t="s">
        <v>10</v>
      </c>
      <c r="J368" s="38" t="str">
        <f>VLOOKUP(B368,CAJEROS!B:E,4,0)</f>
        <v>MAGANGUE_3</v>
      </c>
    </row>
    <row r="369" spans="1:10">
      <c r="A369" s="32">
        <v>96</v>
      </c>
      <c r="B369" s="33">
        <v>1035</v>
      </c>
      <c r="C369" s="3">
        <v>20000</v>
      </c>
      <c r="D369" s="3"/>
      <c r="E369" s="31">
        <f t="shared" si="19"/>
        <v>20000</v>
      </c>
      <c r="F369" s="5">
        <v>45968</v>
      </c>
      <c r="G369" s="4">
        <v>20251106</v>
      </c>
      <c r="H369" s="38" t="str">
        <f>VLOOKUP(B369,CAJEROS!B:D,3,0)</f>
        <v>Dispensador</v>
      </c>
      <c r="I369" s="34" t="s">
        <v>10</v>
      </c>
      <c r="J369" s="38" t="str">
        <f>VLOOKUP(B369,CAJEROS!B:E,4,0)</f>
        <v>SUC_MAICAO1</v>
      </c>
    </row>
    <row r="370" spans="1:10">
      <c r="A370" s="32">
        <v>466</v>
      </c>
      <c r="B370" s="33">
        <v>6777</v>
      </c>
      <c r="C370" s="3">
        <v>10000</v>
      </c>
      <c r="D370" s="3"/>
      <c r="E370" s="31">
        <f t="shared" si="19"/>
        <v>10000</v>
      </c>
      <c r="F370" s="5">
        <v>45968</v>
      </c>
      <c r="G370" s="4">
        <v>20251106</v>
      </c>
      <c r="H370" s="38" t="str">
        <f>VLOOKUP(B370,CAJEROS!B:D,3,0)</f>
        <v>Dispensador</v>
      </c>
      <c r="I370" s="34" t="s">
        <v>10</v>
      </c>
      <c r="J370" s="38" t="str">
        <f>VLOOKUP(B370,CAJEROS!B:E,4,0)</f>
        <v>SUCFLOREN_2</v>
      </c>
    </row>
    <row r="371" spans="1:10">
      <c r="A371" s="32">
        <v>60</v>
      </c>
      <c r="B371" s="33">
        <v>8729</v>
      </c>
      <c r="C371" s="3">
        <v>10000</v>
      </c>
      <c r="D371" s="3"/>
      <c r="E371" s="31">
        <f t="shared" si="19"/>
        <v>10000</v>
      </c>
      <c r="F371" s="5">
        <v>45968</v>
      </c>
      <c r="G371" s="4">
        <v>20251106</v>
      </c>
      <c r="H371" s="38" t="str">
        <f>VLOOKUP(B371,CAJEROS!B:D,3,0)</f>
        <v>Multifuncional</v>
      </c>
      <c r="I371" s="34" t="s">
        <v>10</v>
      </c>
      <c r="J371" s="38" t="str">
        <f>VLOOKUP(B371,CAJEROS!B:E,4,0)</f>
        <v>MF_HCALIPR3</v>
      </c>
    </row>
    <row r="372" spans="1:10">
      <c r="A372" s="32">
        <v>91</v>
      </c>
      <c r="B372" s="33">
        <v>4730</v>
      </c>
      <c r="C372" s="3">
        <v>790000</v>
      </c>
      <c r="D372" s="3"/>
      <c r="E372" s="31">
        <f t="shared" si="19"/>
        <v>790000</v>
      </c>
      <c r="F372" s="5">
        <v>45971</v>
      </c>
      <c r="G372" s="4">
        <v>20251107</v>
      </c>
      <c r="H372" s="38" t="str">
        <f>VLOOKUP(B372,CAJEROS!B:D,3,0)</f>
        <v>Dispensador</v>
      </c>
      <c r="I372" s="34"/>
      <c r="J372" s="38" t="str">
        <f>VLOOKUP(B372,CAJEROS!B:E,4,0)</f>
        <v>MONTERIA_1</v>
      </c>
    </row>
    <row r="373" spans="1:10">
      <c r="A373" s="32">
        <v>91</v>
      </c>
      <c r="B373" s="33">
        <v>4731</v>
      </c>
      <c r="C373" s="3">
        <v>80000</v>
      </c>
      <c r="D373" s="3"/>
      <c r="E373" s="31">
        <f t="shared" si="19"/>
        <v>80000</v>
      </c>
      <c r="F373" s="5">
        <v>45971</v>
      </c>
      <c r="G373" s="4">
        <v>20251107</v>
      </c>
      <c r="H373" s="38" t="str">
        <f>VLOOKUP(B373,CAJEROS!B:D,3,0)</f>
        <v>Dispensador</v>
      </c>
      <c r="I373" s="34"/>
      <c r="J373" s="38" t="str">
        <f>VLOOKUP(B373,CAJEROS!B:E,4,0)</f>
        <v>MONTERIA_2</v>
      </c>
    </row>
    <row r="374" spans="1:10">
      <c r="A374" s="32">
        <v>91</v>
      </c>
      <c r="B374" s="33">
        <v>8164</v>
      </c>
      <c r="C374" s="3">
        <v>990000</v>
      </c>
      <c r="D374" s="3"/>
      <c r="E374" s="31">
        <f t="shared" si="19"/>
        <v>990000</v>
      </c>
      <c r="F374" s="5">
        <v>45971</v>
      </c>
      <c r="G374" s="4">
        <v>20251107</v>
      </c>
      <c r="H374" s="38" t="str">
        <f>VLOOKUP(B374,CAJEROS!B:D,3,0)</f>
        <v>Dispensador</v>
      </c>
      <c r="I374" s="34"/>
      <c r="J374" s="38" t="str">
        <f>VLOOKUP(B374,CAJEROS!B:E,4,0)</f>
        <v>SUC_MONTER6</v>
      </c>
    </row>
    <row r="375" spans="1:10">
      <c r="A375" s="32">
        <v>250</v>
      </c>
      <c r="B375" s="33">
        <v>5386</v>
      </c>
      <c r="C375" s="3">
        <v>1200000</v>
      </c>
      <c r="D375" s="3"/>
      <c r="E375" s="31">
        <f t="shared" si="19"/>
        <v>1200000</v>
      </c>
      <c r="F375" s="5">
        <v>45971</v>
      </c>
      <c r="G375" s="4">
        <v>20251107</v>
      </c>
      <c r="H375" s="38" t="str">
        <f>VLOOKUP(B375,CAJEROS!B:D,3,0)</f>
        <v>Dispensador</v>
      </c>
      <c r="I375" s="34"/>
      <c r="J375" s="38" t="str">
        <f>VLOOKUP(B375,CAJEROS!B:E,4,0)</f>
        <v>SUCMODE1</v>
      </c>
    </row>
    <row r="376" spans="1:10">
      <c r="A376" s="32">
        <v>377</v>
      </c>
      <c r="B376" s="33">
        <v>1505</v>
      </c>
      <c r="C376" s="3">
        <v>300000</v>
      </c>
      <c r="D376" s="3"/>
      <c r="E376" s="31">
        <f t="shared" si="19"/>
        <v>300000</v>
      </c>
      <c r="F376" s="5">
        <v>45971</v>
      </c>
      <c r="G376" s="4">
        <v>20251107</v>
      </c>
      <c r="H376" s="38" t="str">
        <f>VLOOKUP(B376,CAJEROS!B:D,3,0)</f>
        <v>Dispensador</v>
      </c>
      <c r="I376" s="34"/>
      <c r="J376" s="38" t="str">
        <f>VLOOKUP(B376,CAJEROS!B:E,4,0)</f>
        <v>SUCCIALAVE2</v>
      </c>
    </row>
    <row r="377" spans="1:10">
      <c r="A377" s="32">
        <v>451</v>
      </c>
      <c r="B377" s="33">
        <v>4967</v>
      </c>
      <c r="C377" s="3">
        <v>400000</v>
      </c>
      <c r="D377" s="3">
        <v>400000</v>
      </c>
      <c r="E377" s="31">
        <f t="shared" si="19"/>
        <v>0</v>
      </c>
      <c r="F377" s="5">
        <v>45971</v>
      </c>
      <c r="G377" s="4">
        <v>20251107</v>
      </c>
      <c r="H377" s="38" t="str">
        <f>VLOOKUP(B377,CAJEROS!B:D,3,0)</f>
        <v>Dispensador</v>
      </c>
      <c r="I377" s="34"/>
      <c r="J377" s="38" t="str">
        <f>VLOOKUP(B377,CAJEROS!B:E,4,0)</f>
        <v>SUCPTOASIS2</v>
      </c>
    </row>
    <row r="378" spans="1:10">
      <c r="A378" s="32">
        <v>509</v>
      </c>
      <c r="B378" s="33">
        <v>8778</v>
      </c>
      <c r="C378" s="3">
        <v>3110000</v>
      </c>
      <c r="D378" s="3"/>
      <c r="E378" s="31">
        <f t="shared" si="19"/>
        <v>3110000</v>
      </c>
      <c r="F378" s="5">
        <v>45971</v>
      </c>
      <c r="G378" s="4">
        <v>20251107</v>
      </c>
      <c r="H378" s="38" t="str">
        <f>VLOOKUP(B378,CAJEROS!B:D,3,0)</f>
        <v>Dispensador</v>
      </c>
      <c r="I378" s="34"/>
      <c r="J378" s="38" t="str">
        <f>VLOOKUP(B378,CAJEROS!B:E,4,0)</f>
        <v>SUCTURBA1</v>
      </c>
    </row>
    <row r="379" spans="1:10">
      <c r="A379" s="32">
        <v>678</v>
      </c>
      <c r="B379" s="33">
        <v>6014</v>
      </c>
      <c r="C379" s="3">
        <v>5500000</v>
      </c>
      <c r="D379" s="3"/>
      <c r="E379" s="31">
        <f t="shared" si="19"/>
        <v>5500000</v>
      </c>
      <c r="F379" s="5">
        <v>45971</v>
      </c>
      <c r="G379" s="4">
        <v>20251107</v>
      </c>
      <c r="H379" s="38" t="str">
        <f>VLOOKUP(B379,CAJEROS!B:D,3,0)</f>
        <v>Dispensador</v>
      </c>
      <c r="I379" s="34"/>
      <c r="J379" s="38" t="str">
        <f>VLOOKUP(B379,CAJEROS!B:E,4,0)</f>
        <v>PASEOCAST_5</v>
      </c>
    </row>
    <row r="380" spans="1:10">
      <c r="A380" s="32">
        <v>19</v>
      </c>
      <c r="B380" s="33">
        <v>1449</v>
      </c>
      <c r="C380" s="3">
        <v>200000</v>
      </c>
      <c r="D380" s="3"/>
      <c r="E380" s="31">
        <f t="shared" si="19"/>
        <v>200000</v>
      </c>
      <c r="F380" s="5">
        <v>45971</v>
      </c>
      <c r="G380" s="4">
        <v>20251109</v>
      </c>
      <c r="H380" s="38" t="str">
        <f>VLOOKUP(B380,CAJEROS!B:D,3,0)</f>
        <v>Dispensador</v>
      </c>
      <c r="I380" s="34" t="s">
        <v>9</v>
      </c>
      <c r="J380" s="38" t="str">
        <f>VLOOKUP(B380,CAJEROS!B:E,4,0)</f>
        <v>ENVIGADO_2</v>
      </c>
    </row>
    <row r="381" spans="1:10">
      <c r="A381" s="32">
        <v>31</v>
      </c>
      <c r="B381" s="33">
        <v>8732</v>
      </c>
      <c r="C381" s="3">
        <v>50000</v>
      </c>
      <c r="D381" s="3"/>
      <c r="E381" s="31">
        <f t="shared" si="19"/>
        <v>50000</v>
      </c>
      <c r="F381" s="5">
        <v>45971</v>
      </c>
      <c r="G381" s="4">
        <v>20251109</v>
      </c>
      <c r="H381" s="38" t="str">
        <f>VLOOKUP(B381,CAJEROS!B:D,3,0)</f>
        <v>Dispensador</v>
      </c>
      <c r="I381" s="34" t="s">
        <v>9</v>
      </c>
      <c r="J381" s="38" t="str">
        <f>VLOOKUP(B381,CAJEROS!B:E,4,0)</f>
        <v>SUCENTINTE1</v>
      </c>
    </row>
    <row r="382" spans="1:10">
      <c r="A382" s="32">
        <v>60</v>
      </c>
      <c r="B382" s="33">
        <v>8725</v>
      </c>
      <c r="C382" s="3">
        <v>370000</v>
      </c>
      <c r="D382" s="3"/>
      <c r="E382" s="31">
        <f t="shared" si="19"/>
        <v>370000</v>
      </c>
      <c r="F382" s="5">
        <v>45971</v>
      </c>
      <c r="G382" s="4">
        <v>20251109</v>
      </c>
      <c r="H382" s="38" t="str">
        <f>VLOOKUP(B382,CAJEROS!B:D,3,0)</f>
        <v>Dispensador</v>
      </c>
      <c r="I382" s="34" t="s">
        <v>9</v>
      </c>
      <c r="J382" s="38" t="str">
        <f>VLOOKUP(B382,CAJEROS!B:E,4,0)</f>
        <v>HALLCALIPR7</v>
      </c>
    </row>
    <row r="383" spans="1:10">
      <c r="A383" s="32">
        <v>65</v>
      </c>
      <c r="B383" s="33">
        <v>2686</v>
      </c>
      <c r="C383" s="3">
        <v>50000</v>
      </c>
      <c r="D383" s="3"/>
      <c r="E383" s="31">
        <f t="shared" si="19"/>
        <v>50000</v>
      </c>
      <c r="F383" s="5">
        <v>45971</v>
      </c>
      <c r="G383" s="4">
        <v>20251109</v>
      </c>
      <c r="H383" s="38" t="str">
        <f>VLOOKUP(B383,CAJEROS!B:D,3,0)</f>
        <v>Dispensador</v>
      </c>
      <c r="I383" s="34" t="s">
        <v>9</v>
      </c>
      <c r="J383" s="38" t="str">
        <f>VLOOKUP(B383,CAJEROS!B:E,4,0)</f>
        <v>SUCBORDOCAU</v>
      </c>
    </row>
    <row r="384" spans="1:10">
      <c r="A384" s="32">
        <v>68</v>
      </c>
      <c r="B384" s="33">
        <v>4981</v>
      </c>
      <c r="C384" s="3">
        <v>350000</v>
      </c>
      <c r="D384" s="3"/>
      <c r="E384" s="31">
        <f t="shared" si="19"/>
        <v>350000</v>
      </c>
      <c r="F384" s="5">
        <v>45971</v>
      </c>
      <c r="G384" s="4">
        <v>20251109</v>
      </c>
      <c r="H384" s="38" t="str">
        <f>VLOOKUP(B384,CAJEROS!B:D,3,0)</f>
        <v>Dispensador</v>
      </c>
      <c r="I384" s="34" t="s">
        <v>9</v>
      </c>
      <c r="J384" s="38" t="str">
        <f>VLOOKUP(B384,CAJEROS!B:E,4,0)</f>
        <v>AUTO_IBAGU3</v>
      </c>
    </row>
    <row r="385" spans="1:10">
      <c r="A385" s="32">
        <v>177</v>
      </c>
      <c r="B385" s="33">
        <v>7043</v>
      </c>
      <c r="C385" s="3">
        <v>150000</v>
      </c>
      <c r="D385" s="3"/>
      <c r="E385" s="31">
        <f t="shared" si="19"/>
        <v>150000</v>
      </c>
      <c r="F385" s="5">
        <v>45971</v>
      </c>
      <c r="G385" s="4">
        <v>20251109</v>
      </c>
      <c r="H385" s="38" t="str">
        <f>VLOOKUP(B385,CAJEROS!B:D,3,0)</f>
        <v>Dispensador</v>
      </c>
      <c r="I385" s="34" t="s">
        <v>9</v>
      </c>
      <c r="J385" s="38" t="str">
        <f>VLOOKUP(B385,CAJEROS!B:E,4,0)</f>
        <v>SUC_CL573</v>
      </c>
    </row>
    <row r="386" spans="1:10">
      <c r="A386" s="32">
        <v>225</v>
      </c>
      <c r="B386" s="33">
        <v>8866</v>
      </c>
      <c r="C386" s="3">
        <v>50000</v>
      </c>
      <c r="D386" s="3"/>
      <c r="E386" s="31">
        <f t="shared" si="19"/>
        <v>50000</v>
      </c>
      <c r="F386" s="5">
        <v>45971</v>
      </c>
      <c r="G386" s="4">
        <v>20251109</v>
      </c>
      <c r="H386" s="38" t="str">
        <f>VLOOKUP(B386,CAJEROS!B:D,3,0)</f>
        <v>Dispensador</v>
      </c>
      <c r="I386" s="34" t="s">
        <v>9</v>
      </c>
      <c r="J386" s="38" t="str">
        <f>VLOOKUP(B386,CAJEROS!B:E,4,0)</f>
        <v>SMALPLANQS4</v>
      </c>
    </row>
    <row r="387" spans="1:10">
      <c r="A387" s="32">
        <v>253</v>
      </c>
      <c r="B387" s="33">
        <v>5892</v>
      </c>
      <c r="C387" s="3">
        <v>200000</v>
      </c>
      <c r="D387" s="3"/>
      <c r="E387" s="31">
        <f t="shared" si="19"/>
        <v>200000</v>
      </c>
      <c r="F387" s="5">
        <v>45971</v>
      </c>
      <c r="G387" s="4">
        <v>20251109</v>
      </c>
      <c r="H387" s="38" t="str">
        <f>VLOOKUP(B387,CAJEROS!B:D,3,0)</f>
        <v>Dispensador</v>
      </c>
      <c r="I387" s="34" t="s">
        <v>9</v>
      </c>
      <c r="J387" s="38" t="str">
        <f>VLOOKUP(B387,CAJEROS!B:E,4,0)</f>
        <v>SUC_PNORTE2</v>
      </c>
    </row>
    <row r="388" spans="1:10">
      <c r="A388" s="32">
        <v>264</v>
      </c>
      <c r="B388" s="33">
        <v>9903</v>
      </c>
      <c r="C388" s="3">
        <v>1150000</v>
      </c>
      <c r="D388" s="3"/>
      <c r="E388" s="31">
        <f t="shared" si="19"/>
        <v>1150000</v>
      </c>
      <c r="F388" s="5">
        <v>45971</v>
      </c>
      <c r="G388" s="4">
        <v>20251109</v>
      </c>
      <c r="H388" s="38" t="str">
        <f>VLOOKUP(B388,CAJEROS!B:D,3,0)</f>
        <v>Dispensador</v>
      </c>
      <c r="I388" s="34" t="s">
        <v>9</v>
      </c>
      <c r="J388" s="38" t="str">
        <f>VLOOKUP(B388,CAJEROS!B:E,4,0)</f>
        <v>SUCFUSAGAS1</v>
      </c>
    </row>
    <row r="389" spans="1:10">
      <c r="A389" s="32">
        <v>389</v>
      </c>
      <c r="B389" s="33">
        <v>4689</v>
      </c>
      <c r="C389" s="3">
        <v>290000</v>
      </c>
      <c r="D389" s="3"/>
      <c r="E389" s="31">
        <f t="shared" si="19"/>
        <v>290000</v>
      </c>
      <c r="F389" s="5">
        <v>45971</v>
      </c>
      <c r="G389" s="4">
        <v>20251109</v>
      </c>
      <c r="H389" s="38" t="str">
        <f>VLOOKUP(B389,CAJEROS!B:D,3,0)</f>
        <v>Dispensador</v>
      </c>
      <c r="I389" s="34" t="s">
        <v>9</v>
      </c>
      <c r="J389" s="38" t="str">
        <f>VLOOKUP(B389,CAJEROS!B:E,4,0)</f>
        <v>SUC_MARIQ3</v>
      </c>
    </row>
    <row r="390" spans="1:10">
      <c r="A390" s="32">
        <v>422</v>
      </c>
      <c r="B390" s="33">
        <v>4221</v>
      </c>
      <c r="C390" s="3">
        <v>200000</v>
      </c>
      <c r="D390" s="3"/>
      <c r="E390" s="31">
        <f t="shared" si="19"/>
        <v>200000</v>
      </c>
      <c r="F390" s="5">
        <v>45971</v>
      </c>
      <c r="G390" s="4">
        <v>20251109</v>
      </c>
      <c r="H390" s="38" t="str">
        <f>VLOOKUP(B390,CAJEROS!B:D,3,0)</f>
        <v>Dispensador</v>
      </c>
      <c r="I390" s="34" t="s">
        <v>9</v>
      </c>
      <c r="J390" s="38" t="str">
        <f>VLOOKUP(B390,CAJEROS!B:E,4,0)</f>
        <v>CHAPARRAL</v>
      </c>
    </row>
    <row r="391" spans="1:10">
      <c r="A391" s="32">
        <v>426</v>
      </c>
      <c r="B391" s="33">
        <v>7819</v>
      </c>
      <c r="C391" s="3">
        <v>2740000</v>
      </c>
      <c r="D391" s="3">
        <v>1290000</v>
      </c>
      <c r="E391" s="31">
        <f t="shared" si="19"/>
        <v>1450000</v>
      </c>
      <c r="F391" s="5">
        <v>45971</v>
      </c>
      <c r="G391" s="4">
        <v>20251109</v>
      </c>
      <c r="H391" s="38" t="str">
        <f>VLOOKUP(B391,CAJEROS!B:D,3,0)</f>
        <v>Dispensador</v>
      </c>
      <c r="I391" s="34" t="s">
        <v>9</v>
      </c>
      <c r="J391" s="38" t="str">
        <f>VLOOKUP(B391,CAJEROS!B:E,4,0)</f>
        <v>PURIFICACI2</v>
      </c>
    </row>
    <row r="392" spans="1:10">
      <c r="A392" s="32">
        <v>454</v>
      </c>
      <c r="B392" s="33">
        <v>1886</v>
      </c>
      <c r="C392" s="3">
        <v>1830000</v>
      </c>
      <c r="D392" s="3"/>
      <c r="E392" s="31">
        <f t="shared" si="19"/>
        <v>1830000</v>
      </c>
      <c r="F392" s="5">
        <v>45971</v>
      </c>
      <c r="G392" s="4">
        <v>20251109</v>
      </c>
      <c r="H392" s="38" t="str">
        <f>VLOOKUP(B392,CAJEROS!B:D,3,0)</f>
        <v>Dispensador</v>
      </c>
      <c r="I392" s="34" t="s">
        <v>9</v>
      </c>
      <c r="J392" s="38" t="str">
        <f>VLOOKUP(B392,CAJEROS!B:E,4,0)</f>
        <v>5TAVENIDA3</v>
      </c>
    </row>
    <row r="393" spans="1:10">
      <c r="A393" s="32">
        <v>466</v>
      </c>
      <c r="B393" s="33">
        <v>6777</v>
      </c>
      <c r="C393" s="3">
        <v>540000</v>
      </c>
      <c r="D393" s="3"/>
      <c r="E393" s="31">
        <f t="shared" si="19"/>
        <v>540000</v>
      </c>
      <c r="F393" s="5">
        <v>45971</v>
      </c>
      <c r="G393" s="4">
        <v>20251109</v>
      </c>
      <c r="H393" s="38" t="str">
        <f>VLOOKUP(B393,CAJEROS!B:D,3,0)</f>
        <v>Dispensador</v>
      </c>
      <c r="I393" s="34" t="s">
        <v>9</v>
      </c>
      <c r="J393" s="38" t="str">
        <f>VLOOKUP(B393,CAJEROS!B:E,4,0)</f>
        <v>SUCFLOREN_2</v>
      </c>
    </row>
    <row r="394" spans="1:10">
      <c r="A394" s="32">
        <v>476</v>
      </c>
      <c r="B394" s="33">
        <v>5573</v>
      </c>
      <c r="C394" s="3">
        <v>90000</v>
      </c>
      <c r="D394" s="3"/>
      <c r="E394" s="31">
        <f t="shared" si="19"/>
        <v>90000</v>
      </c>
      <c r="F394" s="5">
        <v>45971</v>
      </c>
      <c r="G394" s="4">
        <v>20251109</v>
      </c>
      <c r="H394" s="38" t="str">
        <f>VLOOKUP(B394,CAJEROS!B:D,3,0)</f>
        <v>Dispensador</v>
      </c>
      <c r="I394" s="34" t="s">
        <v>9</v>
      </c>
      <c r="J394" s="38" t="str">
        <f>VLOOKUP(B394,CAJEROS!B:E,4,0)</f>
        <v>SUC_PAMPLO1</v>
      </c>
    </row>
    <row r="395" spans="1:10">
      <c r="A395" s="32">
        <v>476</v>
      </c>
      <c r="B395" s="33">
        <v>9844</v>
      </c>
      <c r="C395" s="3">
        <v>1000000</v>
      </c>
      <c r="D395" s="3"/>
      <c r="E395" s="31">
        <f t="shared" si="19"/>
        <v>1000000</v>
      </c>
      <c r="F395" s="5">
        <v>45971</v>
      </c>
      <c r="G395" s="4">
        <v>20251109</v>
      </c>
      <c r="H395" s="38" t="str">
        <f>VLOOKUP(B395,CAJEROS!B:D,3,0)</f>
        <v>Dispensador</v>
      </c>
      <c r="I395" s="34" t="s">
        <v>9</v>
      </c>
      <c r="J395" s="38" t="str">
        <f>VLOOKUP(B395,CAJEROS!B:E,4,0)</f>
        <v>SUC_PAMPL3</v>
      </c>
    </row>
    <row r="396" spans="1:10">
      <c r="A396" s="32">
        <v>481</v>
      </c>
      <c r="B396" s="33">
        <v>1007</v>
      </c>
      <c r="C396" s="3">
        <v>200000</v>
      </c>
      <c r="D396" s="3"/>
      <c r="E396" s="31">
        <f t="shared" si="19"/>
        <v>200000</v>
      </c>
      <c r="F396" s="5">
        <v>45971</v>
      </c>
      <c r="G396" s="4">
        <v>20251109</v>
      </c>
      <c r="H396" s="38" t="str">
        <f>VLOOKUP(B396,CAJEROS!B:D,3,0)</f>
        <v>Dispensador</v>
      </c>
      <c r="I396" s="34" t="s">
        <v>9</v>
      </c>
      <c r="J396" s="38" t="str">
        <f>VLOOKUP(B396,CAJEROS!B:E,4,0)</f>
        <v>SUC_SOLEDA3</v>
      </c>
    </row>
    <row r="397" spans="1:10">
      <c r="A397" s="32">
        <v>536</v>
      </c>
      <c r="B397" s="33">
        <v>5362</v>
      </c>
      <c r="C397" s="3">
        <v>200000</v>
      </c>
      <c r="D397" s="3"/>
      <c r="E397" s="31">
        <f t="shared" si="19"/>
        <v>200000</v>
      </c>
      <c r="F397" s="5">
        <v>45971</v>
      </c>
      <c r="G397" s="4">
        <v>20251109</v>
      </c>
      <c r="H397" s="38" t="str">
        <f>VLOOKUP(B397,CAJEROS!B:D,3,0)</f>
        <v>Dispensador</v>
      </c>
      <c r="I397" s="34" t="s">
        <v>9</v>
      </c>
      <c r="J397" s="38" t="str">
        <f>VLOOKUP(B397,CAJEROS!B:E,4,0)</f>
        <v>QUIBDO_2</v>
      </c>
    </row>
    <row r="398" spans="1:10">
      <c r="A398" s="32">
        <v>536</v>
      </c>
      <c r="B398" s="33">
        <v>8993</v>
      </c>
      <c r="C398" s="3">
        <v>200000</v>
      </c>
      <c r="D398" s="3"/>
      <c r="E398" s="31">
        <f t="shared" si="19"/>
        <v>200000</v>
      </c>
      <c r="F398" s="5">
        <v>45971</v>
      </c>
      <c r="G398" s="4">
        <v>20251109</v>
      </c>
      <c r="H398" s="38" t="str">
        <f>VLOOKUP(B398,CAJEROS!B:D,3,0)</f>
        <v>Dispensador</v>
      </c>
      <c r="I398" s="34" t="s">
        <v>9</v>
      </c>
      <c r="J398" s="38" t="str">
        <f>VLOOKUP(B398,CAJEROS!B:E,4,0)</f>
        <v>SUC_QUIBDO8</v>
      </c>
    </row>
    <row r="399" spans="1:10">
      <c r="A399" s="32">
        <v>687</v>
      </c>
      <c r="B399" s="33">
        <v>6362</v>
      </c>
      <c r="C399" s="3">
        <v>120000</v>
      </c>
      <c r="D399" s="3">
        <v>50000</v>
      </c>
      <c r="E399" s="31">
        <f t="shared" si="19"/>
        <v>70000</v>
      </c>
      <c r="F399" s="5">
        <v>45971</v>
      </c>
      <c r="G399" s="4">
        <v>20251109</v>
      </c>
      <c r="H399" s="38" t="str">
        <f>VLOOKUP(B399,CAJEROS!B:D,3,0)</f>
        <v>Dispensador</v>
      </c>
      <c r="I399" s="34" t="s">
        <v>9</v>
      </c>
      <c r="J399" s="38" t="str">
        <f>VLOOKUP(B399,CAJEROS!B:E,4,0)</f>
        <v>PLANET_RIC1</v>
      </c>
    </row>
    <row r="400" spans="1:10">
      <c r="A400" s="32">
        <v>688</v>
      </c>
      <c r="B400" s="33">
        <v>4843</v>
      </c>
      <c r="C400" s="3">
        <v>160000</v>
      </c>
      <c r="D400" s="3">
        <v>160000</v>
      </c>
      <c r="E400" s="31">
        <f t="shared" si="19"/>
        <v>0</v>
      </c>
      <c r="F400" s="5">
        <v>45971</v>
      </c>
      <c r="G400" s="4">
        <v>20251109</v>
      </c>
      <c r="H400" s="38" t="str">
        <f>VLOOKUP(B400,CAJEROS!B:D,3,0)</f>
        <v>Dispensador</v>
      </c>
      <c r="I400" s="34" t="s">
        <v>9</v>
      </c>
      <c r="J400" s="38" t="str">
        <f>VLOOKUP(B400,CAJEROS!B:E,4,0)</f>
        <v>SUC_CONTAD2</v>
      </c>
    </row>
    <row r="401" spans="1:10">
      <c r="A401" s="32">
        <v>704</v>
      </c>
      <c r="B401" s="33">
        <v>2673</v>
      </c>
      <c r="C401" s="3">
        <v>120000</v>
      </c>
      <c r="D401" s="3">
        <v>20000</v>
      </c>
      <c r="E401" s="31">
        <f t="shared" si="19"/>
        <v>100000</v>
      </c>
      <c r="F401" s="5">
        <v>45971</v>
      </c>
      <c r="G401" s="4">
        <v>20251109</v>
      </c>
      <c r="H401" s="38" t="str">
        <f>VLOOKUP(B401,CAJEROS!B:D,3,0)</f>
        <v>Dispensador</v>
      </c>
      <c r="I401" s="34" t="s">
        <v>9</v>
      </c>
      <c r="J401" s="38" t="str">
        <f>VLOOKUP(B401,CAJEROS!B:E,4,0)</f>
        <v>LA_LOMA_CES</v>
      </c>
    </row>
    <row r="402" spans="1:10">
      <c r="A402" s="32">
        <v>705</v>
      </c>
      <c r="B402" s="33">
        <v>4152</v>
      </c>
      <c r="C402" s="3">
        <v>50000</v>
      </c>
      <c r="D402" s="3">
        <v>50000</v>
      </c>
      <c r="E402" s="31">
        <f t="shared" si="19"/>
        <v>0</v>
      </c>
      <c r="F402" s="5">
        <v>45971</v>
      </c>
      <c r="G402" s="4">
        <v>20251109</v>
      </c>
      <c r="H402" s="38" t="str">
        <f>VLOOKUP(B402,CAJEROS!B:D,3,0)</f>
        <v>Dispensador</v>
      </c>
      <c r="I402" s="34" t="s">
        <v>9</v>
      </c>
      <c r="J402" s="38" t="str">
        <f>VLOOKUP(B402,CAJEROS!B:E,4,0)</f>
        <v>SUC_BAGRE2</v>
      </c>
    </row>
    <row r="403" spans="1:10">
      <c r="A403" s="32">
        <v>706</v>
      </c>
      <c r="B403" s="33">
        <v>4147</v>
      </c>
      <c r="C403" s="3">
        <v>500000</v>
      </c>
      <c r="D403" s="3"/>
      <c r="E403" s="31">
        <f t="shared" si="19"/>
        <v>500000</v>
      </c>
      <c r="F403" s="5">
        <v>45971</v>
      </c>
      <c r="G403" s="4">
        <v>20251109</v>
      </c>
      <c r="H403" s="38" t="str">
        <f>VLOOKUP(B403,CAJEROS!B:D,3,0)</f>
        <v>Dispensador</v>
      </c>
      <c r="I403" s="34" t="s">
        <v>9</v>
      </c>
      <c r="J403" s="38" t="str">
        <f>VLOOKUP(B403,CAJEROS!B:E,4,0)</f>
        <v>SUC_CHINCH2</v>
      </c>
    </row>
    <row r="404" spans="1:10">
      <c r="A404" s="32">
        <v>741</v>
      </c>
      <c r="B404" s="33">
        <v>6842</v>
      </c>
      <c r="C404" s="3">
        <v>90000</v>
      </c>
      <c r="D404" s="3"/>
      <c r="E404" s="31">
        <f t="shared" si="19"/>
        <v>90000</v>
      </c>
      <c r="F404" s="5">
        <v>45971</v>
      </c>
      <c r="G404" s="4">
        <v>20251109</v>
      </c>
      <c r="H404" s="38" t="str">
        <f>VLOOKUP(B404,CAJEROS!B:D,3,0)</f>
        <v>Dispensador</v>
      </c>
      <c r="I404" s="34" t="s">
        <v>9</v>
      </c>
      <c r="J404" s="38" t="str">
        <f>VLOOKUP(B404,CAJEROS!B:E,4,0)</f>
        <v>SUC_IDEO_2</v>
      </c>
    </row>
    <row r="405" spans="1:10">
      <c r="A405" s="32">
        <v>769</v>
      </c>
      <c r="B405" s="33">
        <v>8676</v>
      </c>
      <c r="C405" s="3">
        <v>200000</v>
      </c>
      <c r="D405" s="3"/>
      <c r="E405" s="31">
        <f t="shared" si="19"/>
        <v>200000</v>
      </c>
      <c r="F405" s="5">
        <v>45971</v>
      </c>
      <c r="G405" s="4">
        <v>20251109</v>
      </c>
      <c r="H405" s="38" t="str">
        <f>VLOOKUP(B405,CAJEROS!B:D,3,0)</f>
        <v>Dispensador</v>
      </c>
      <c r="I405" s="34" t="s">
        <v>9</v>
      </c>
      <c r="J405" s="38" t="str">
        <f>VLOOKUP(B405,CAJEROS!B:E,4,0)</f>
        <v>SUCPORPRAD5</v>
      </c>
    </row>
    <row r="406" spans="1:10">
      <c r="A406" s="32">
        <v>789</v>
      </c>
      <c r="B406" s="33">
        <v>5661</v>
      </c>
      <c r="C406" s="3">
        <v>300000</v>
      </c>
      <c r="D406" s="3"/>
      <c r="E406" s="31">
        <f t="shared" si="19"/>
        <v>300000</v>
      </c>
      <c r="F406" s="5">
        <v>45971</v>
      </c>
      <c r="G406" s="4">
        <v>20251109</v>
      </c>
      <c r="H406" s="38" t="str">
        <f>VLOOKUP(B406,CAJEROS!B:D,3,0)</f>
        <v>Dispensador</v>
      </c>
      <c r="I406" s="34" t="s">
        <v>9</v>
      </c>
      <c r="J406" s="38" t="str">
        <f>VLOOKUP(B406,CAJEROS!B:E,4,0)</f>
        <v>MANGA3</v>
      </c>
    </row>
    <row r="407" spans="1:10">
      <c r="A407" s="32">
        <v>793</v>
      </c>
      <c r="B407" s="33">
        <v>8469</v>
      </c>
      <c r="C407" s="3">
        <v>4350000</v>
      </c>
      <c r="D407" s="3"/>
      <c r="E407" s="31">
        <f t="shared" si="19"/>
        <v>4350000</v>
      </c>
      <c r="F407" s="5">
        <v>45971</v>
      </c>
      <c r="G407" s="4">
        <v>20251109</v>
      </c>
      <c r="H407" s="38" t="str">
        <f>VLOOKUP(B407,CAJEROS!B:D,3,0)</f>
        <v>Dispensador</v>
      </c>
      <c r="I407" s="34" t="s">
        <v>9</v>
      </c>
      <c r="J407" s="38" t="str">
        <f>VLOOKUP(B407,CAJEROS!B:E,4,0)</f>
        <v>OFPROFESI_1</v>
      </c>
    </row>
    <row r="408" spans="1:10">
      <c r="A408" s="32">
        <v>832</v>
      </c>
      <c r="B408" s="33">
        <v>4767</v>
      </c>
      <c r="C408" s="3">
        <v>240000</v>
      </c>
      <c r="D408" s="3"/>
      <c r="E408" s="31">
        <f t="shared" si="19"/>
        <v>240000</v>
      </c>
      <c r="F408" s="5">
        <v>45971</v>
      </c>
      <c r="G408" s="4">
        <v>20251109</v>
      </c>
      <c r="H408" s="38" t="str">
        <f>VLOOKUP(B408,CAJEROS!B:D,3,0)</f>
        <v>Dispensador</v>
      </c>
      <c r="I408" s="34" t="s">
        <v>9</v>
      </c>
      <c r="J408" s="38" t="str">
        <f>VLOOKUP(B408,CAJEROS!B:E,4,0)</f>
        <v>SUC_SANTAN1</v>
      </c>
    </row>
    <row r="409" spans="1:10">
      <c r="A409" s="32">
        <v>864</v>
      </c>
      <c r="B409" s="33">
        <v>5795</v>
      </c>
      <c r="C409" s="3">
        <v>340000</v>
      </c>
      <c r="D409" s="3"/>
      <c r="E409" s="31">
        <f t="shared" si="8"/>
        <v>340000</v>
      </c>
      <c r="F409" s="5">
        <v>45971</v>
      </c>
      <c r="G409" s="4">
        <v>20251109</v>
      </c>
      <c r="H409" s="38" t="str">
        <f>VLOOKUP(B409,CAJEROS!B:D,3,0)</f>
        <v>Dispensador</v>
      </c>
      <c r="I409" s="34" t="s">
        <v>9</v>
      </c>
      <c r="J409" s="38" t="str">
        <f>VLOOKUP(B409,CAJEROS!B:E,4,0)</f>
        <v>SUC_PRADER1</v>
      </c>
    </row>
    <row r="410" spans="1:10">
      <c r="A410" s="32">
        <v>876</v>
      </c>
      <c r="B410" s="33">
        <v>9681</v>
      </c>
      <c r="C410" s="3">
        <v>100000</v>
      </c>
      <c r="D410" s="3"/>
      <c r="E410" s="7">
        <f t="shared" ref="E410:E412" si="20">+C410-D410</f>
        <v>100000</v>
      </c>
      <c r="F410" s="5">
        <v>45971</v>
      </c>
      <c r="G410" s="4">
        <v>20251109</v>
      </c>
      <c r="H410" s="38" t="str">
        <f>VLOOKUP(B410,CAJEROS!B:D,3,0)</f>
        <v>Dispensador</v>
      </c>
      <c r="I410" s="34" t="s">
        <v>9</v>
      </c>
      <c r="J410" s="38" t="str">
        <f>VLOOKUP(B410,CAJEROS!B:E,4,0)</f>
        <v>SUC_VILCAM3</v>
      </c>
    </row>
    <row r="411" spans="1:10">
      <c r="A411" s="32">
        <v>966</v>
      </c>
      <c r="B411" s="33">
        <v>9941</v>
      </c>
      <c r="C411" s="3">
        <v>200000</v>
      </c>
      <c r="D411" s="3"/>
      <c r="E411" s="7">
        <f t="shared" si="20"/>
        <v>200000</v>
      </c>
      <c r="F411" s="5">
        <v>45971</v>
      </c>
      <c r="G411" s="4">
        <v>20251109</v>
      </c>
      <c r="H411" s="38" t="str">
        <f>VLOOKUP(B411,CAJEROS!B:D,3,0)</f>
        <v>Dispensador</v>
      </c>
      <c r="I411" s="34" t="s">
        <v>9</v>
      </c>
      <c r="J411" s="38" t="str">
        <f>VLOOKUP(B411,CAJEROS!B:E,4,0)</f>
        <v>HALLSUCMTE1</v>
      </c>
    </row>
    <row r="412" spans="1:10">
      <c r="A412" s="32">
        <v>32</v>
      </c>
      <c r="B412" s="33">
        <v>5027</v>
      </c>
      <c r="C412" s="3">
        <v>110700</v>
      </c>
      <c r="D412" s="3"/>
      <c r="E412" s="31">
        <f t="shared" si="20"/>
        <v>110700</v>
      </c>
      <c r="F412" s="5">
        <v>45971</v>
      </c>
      <c r="G412" s="4">
        <v>20251107</v>
      </c>
      <c r="H412" s="38" t="str">
        <f>VLOOKUP(B412,CAJEROS!B:D,3,0)</f>
        <v>Multifuncional</v>
      </c>
      <c r="I412" s="34"/>
      <c r="J412" s="38" t="str">
        <f>VLOOKUP(B412,CAJEROS!B:E,4,0)</f>
        <v>MF_ANTCOUNT</v>
      </c>
    </row>
    <row r="413" spans="1:10">
      <c r="A413" s="32">
        <v>33</v>
      </c>
      <c r="B413" s="33">
        <v>8861</v>
      </c>
      <c r="C413" s="3">
        <v>69000</v>
      </c>
      <c r="D413" s="3"/>
      <c r="E413" s="31">
        <f t="shared" ref="E413:E436" si="21">+C413-D413</f>
        <v>69000</v>
      </c>
      <c r="F413" s="5">
        <v>45971</v>
      </c>
      <c r="G413" s="4">
        <v>20251107</v>
      </c>
      <c r="H413" s="38" t="str">
        <f>VLOOKUP(B413,CAJEROS!B:D,3,0)</f>
        <v>Multifuncional</v>
      </c>
      <c r="I413" s="34"/>
      <c r="J413" s="38" t="str">
        <f>VLOOKUP(B413,CAJEROS!B:E,4,0)</f>
        <v>MF_SPOLCLU1</v>
      </c>
    </row>
    <row r="414" spans="1:10">
      <c r="A414" s="32">
        <v>79</v>
      </c>
      <c r="B414" s="33">
        <v>6245</v>
      </c>
      <c r="C414" s="3">
        <v>19250000</v>
      </c>
      <c r="D414" s="3">
        <v>4407500</v>
      </c>
      <c r="E414" s="31">
        <f t="shared" si="21"/>
        <v>14842500</v>
      </c>
      <c r="F414" s="5">
        <v>45971</v>
      </c>
      <c r="G414" s="4">
        <v>20251107</v>
      </c>
      <c r="H414" s="38" t="str">
        <f>VLOOKUP(B414,CAJEROS!B:D,3,0)</f>
        <v>Multifuncional</v>
      </c>
      <c r="I414" s="34"/>
      <c r="J414" s="38" t="str">
        <f>VLOOKUP(B414,CAJEROS!B:E,4,0)</f>
        <v>MF_LAQUINTA</v>
      </c>
    </row>
    <row r="415" spans="1:10">
      <c r="A415" s="32">
        <v>91</v>
      </c>
      <c r="B415" s="33">
        <v>7943</v>
      </c>
      <c r="C415" s="3">
        <v>6805000</v>
      </c>
      <c r="D415" s="3"/>
      <c r="E415" s="31">
        <f t="shared" si="21"/>
        <v>6805000</v>
      </c>
      <c r="F415" s="5">
        <v>45971</v>
      </c>
      <c r="G415" s="4">
        <v>20251107</v>
      </c>
      <c r="H415" s="38" t="str">
        <f>VLOOKUP(B415,CAJEROS!B:D,3,0)</f>
        <v>Multifuncional</v>
      </c>
      <c r="I415" s="34"/>
      <c r="J415" s="38" t="str">
        <f>VLOOKUP(B415,CAJEROS!B:E,4,0)</f>
        <v>MF_MONTERI2</v>
      </c>
    </row>
    <row r="416" spans="1:10">
      <c r="A416" s="32">
        <v>197</v>
      </c>
      <c r="B416" s="33">
        <v>5084</v>
      </c>
      <c r="C416" s="3">
        <v>199000</v>
      </c>
      <c r="D416" s="3">
        <v>25900</v>
      </c>
      <c r="E416" s="31">
        <f t="shared" si="21"/>
        <v>173100</v>
      </c>
      <c r="F416" s="5">
        <v>45971</v>
      </c>
      <c r="G416" s="4">
        <v>20251107</v>
      </c>
      <c r="H416" s="38" t="str">
        <f>VLOOKUP(B416,CAJEROS!B:D,3,0)</f>
        <v>Multifuncional</v>
      </c>
      <c r="I416" s="34"/>
      <c r="J416" s="38" t="str">
        <f>VLOOKUP(B416,CAJEROS!B:E,4,0)</f>
        <v>MF_GUATAPUR</v>
      </c>
    </row>
    <row r="417" spans="1:10">
      <c r="A417" s="32">
        <v>285</v>
      </c>
      <c r="B417" s="33">
        <v>5228</v>
      </c>
      <c r="C417" s="3">
        <v>299000</v>
      </c>
      <c r="D417" s="3"/>
      <c r="E417" s="31">
        <f t="shared" si="21"/>
        <v>299000</v>
      </c>
      <c r="F417" s="5">
        <v>45971</v>
      </c>
      <c r="G417" s="4">
        <v>20251107</v>
      </c>
      <c r="H417" s="38" t="str">
        <f>VLOOKUP(B417,CAJEROS!B:D,3,0)</f>
        <v>Multifuncional</v>
      </c>
      <c r="I417" s="34"/>
      <c r="J417" s="38" t="str">
        <f>VLOOKUP(B417,CAJEROS!B:E,4,0)</f>
        <v>MF_GARZON</v>
      </c>
    </row>
    <row r="418" spans="1:10">
      <c r="A418" s="32">
        <v>291</v>
      </c>
      <c r="B418" s="33">
        <v>5114</v>
      </c>
      <c r="C418" s="3">
        <v>6480000</v>
      </c>
      <c r="D418" s="3">
        <v>1540000</v>
      </c>
      <c r="E418" s="31">
        <f t="shared" si="21"/>
        <v>4940000</v>
      </c>
      <c r="F418" s="5">
        <v>45971</v>
      </c>
      <c r="G418" s="4">
        <v>20251107</v>
      </c>
      <c r="H418" s="38" t="str">
        <f>VLOOKUP(B418,CAJEROS!B:D,3,0)</f>
        <v>Multifuncional</v>
      </c>
      <c r="I418" s="34"/>
      <c r="J418" s="38" t="str">
        <f>VLOOKUP(B418,CAJEROS!B:E,4,0)</f>
        <v>MF_LPALMAS</v>
      </c>
    </row>
    <row r="419" spans="1:10">
      <c r="A419" s="32">
        <v>302</v>
      </c>
      <c r="B419" s="33">
        <v>5170</v>
      </c>
      <c r="C419" s="3">
        <v>33637000</v>
      </c>
      <c r="D419" s="3"/>
      <c r="E419" s="31">
        <f t="shared" si="21"/>
        <v>33637000</v>
      </c>
      <c r="F419" s="5">
        <v>45971</v>
      </c>
      <c r="G419" s="4">
        <v>20251107</v>
      </c>
      <c r="H419" s="38" t="str">
        <f>VLOOKUP(B419,CAJEROS!B:D,3,0)</f>
        <v>Multifuncional</v>
      </c>
      <c r="I419" s="34"/>
      <c r="J419" s="38" t="str">
        <f>VLOOKUP(B419,CAJEROS!B:E,4,0)</f>
        <v>MF_QUEBRASE</v>
      </c>
    </row>
    <row r="420" spans="1:10">
      <c r="A420" s="32">
        <v>306</v>
      </c>
      <c r="B420" s="33">
        <v>7097</v>
      </c>
      <c r="C420" s="3">
        <v>2057850</v>
      </c>
      <c r="D420" s="3"/>
      <c r="E420" s="31">
        <f t="shared" si="21"/>
        <v>2057850</v>
      </c>
      <c r="F420" s="5">
        <v>45971</v>
      </c>
      <c r="G420" s="4">
        <v>20251107</v>
      </c>
      <c r="H420" s="38" t="str">
        <f>VLOOKUP(B420,CAJEROS!B:D,3,0)</f>
        <v>Multifuncional</v>
      </c>
      <c r="I420" s="34"/>
      <c r="J420" s="38" t="str">
        <f>VLOOKUP(B420,CAJEROS!B:E,4,0)</f>
        <v>MF_BARRANCA</v>
      </c>
    </row>
    <row r="421" spans="1:10">
      <c r="A421" s="32">
        <v>348</v>
      </c>
      <c r="B421" s="33">
        <v>192</v>
      </c>
      <c r="C421" s="3">
        <v>15476050</v>
      </c>
      <c r="D421" s="3">
        <v>50</v>
      </c>
      <c r="E421" s="31">
        <f t="shared" si="21"/>
        <v>15476000</v>
      </c>
      <c r="F421" s="5">
        <v>45971</v>
      </c>
      <c r="G421" s="4">
        <v>20251107</v>
      </c>
      <c r="H421" s="38" t="str">
        <f>VLOOKUP(B421,CAJEROS!B:D,3,0)</f>
        <v>Multifuncional</v>
      </c>
      <c r="I421" s="34"/>
      <c r="J421" s="38" t="str">
        <f>VLOOKUP(B421,CAJEROS!B:E,4,0)</f>
        <v>MF_SANDRES3</v>
      </c>
    </row>
    <row r="422" spans="1:10">
      <c r="A422" s="32">
        <v>363</v>
      </c>
      <c r="B422" s="33">
        <v>5168</v>
      </c>
      <c r="C422" s="3">
        <v>5957000</v>
      </c>
      <c r="D422" s="3"/>
      <c r="E422" s="31">
        <f t="shared" si="21"/>
        <v>5957000</v>
      </c>
      <c r="F422" s="5">
        <v>45971</v>
      </c>
      <c r="G422" s="4">
        <v>20251107</v>
      </c>
      <c r="H422" s="38" t="str">
        <f>VLOOKUP(B422,CAJEROS!B:D,3,0)</f>
        <v>Multifuncional</v>
      </c>
      <c r="I422" s="34"/>
      <c r="J422" s="38" t="str">
        <f>VLOOKUP(B422,CAJEROS!B:E,4,0)</f>
        <v>MF_YOPAL</v>
      </c>
    </row>
    <row r="423" spans="1:10">
      <c r="A423" s="32">
        <v>371</v>
      </c>
      <c r="B423" s="33">
        <v>6718</v>
      </c>
      <c r="C423" s="3">
        <v>37392500</v>
      </c>
      <c r="D423" s="3"/>
      <c r="E423" s="31">
        <f t="shared" si="21"/>
        <v>37392500</v>
      </c>
      <c r="F423" s="5">
        <v>45971</v>
      </c>
      <c r="G423" s="4">
        <v>20251107</v>
      </c>
      <c r="H423" s="38" t="str">
        <f>VLOOKUP(B423,CAJEROS!B:D,3,0)</f>
        <v>Multifuncional</v>
      </c>
      <c r="I423" s="34"/>
      <c r="J423" s="38" t="str">
        <f>VLOOKUP(B423,CAJEROS!B:E,4,0)</f>
        <v>MF_CAUCASIA</v>
      </c>
    </row>
    <row r="424" spans="1:10">
      <c r="A424" s="32">
        <v>377</v>
      </c>
      <c r="B424" s="33">
        <v>1508</v>
      </c>
      <c r="C424" s="3">
        <v>18693000</v>
      </c>
      <c r="D424" s="3"/>
      <c r="E424" s="31">
        <f t="shared" si="21"/>
        <v>18693000</v>
      </c>
      <c r="F424" s="5">
        <v>45971</v>
      </c>
      <c r="G424" s="4">
        <v>20251107</v>
      </c>
      <c r="H424" s="38" t="str">
        <f>VLOOKUP(B424,CAJEROS!B:D,3,0)</f>
        <v>Multifuncional</v>
      </c>
      <c r="I424" s="34"/>
      <c r="J424" s="38" t="str">
        <f>VLOOKUP(B424,CAJEROS!B:E,4,0)</f>
        <v>MFSUCCIAV1</v>
      </c>
    </row>
    <row r="425" spans="1:10">
      <c r="A425" s="32">
        <v>419</v>
      </c>
      <c r="B425" s="33">
        <v>7980</v>
      </c>
      <c r="C425" s="3">
        <v>17273000</v>
      </c>
      <c r="D425" s="3"/>
      <c r="E425" s="31">
        <f t="shared" si="21"/>
        <v>17273000</v>
      </c>
      <c r="F425" s="5">
        <v>45971</v>
      </c>
      <c r="G425" s="4">
        <v>20251107</v>
      </c>
      <c r="H425" s="38" t="str">
        <f>VLOOKUP(B425,CAJEROS!B:D,3,0)</f>
        <v>Multifuncional</v>
      </c>
      <c r="I425" s="34"/>
      <c r="J425" s="38" t="str">
        <f>VLOOKUP(B425,CAJEROS!B:E,4,0)</f>
        <v>MF_CPUNBOG2</v>
      </c>
    </row>
    <row r="426" spans="1:10">
      <c r="A426" s="32">
        <v>524</v>
      </c>
      <c r="B426" s="33">
        <v>6336</v>
      </c>
      <c r="C426" s="3">
        <v>50000</v>
      </c>
      <c r="D426" s="3"/>
      <c r="E426" s="31">
        <f t="shared" si="21"/>
        <v>50000</v>
      </c>
      <c r="F426" s="5">
        <v>45971</v>
      </c>
      <c r="G426" s="4">
        <v>20251107</v>
      </c>
      <c r="H426" s="38" t="str">
        <f>VLOOKUP(B426,CAJEROS!B:D,3,0)</f>
        <v>Multifuncional</v>
      </c>
      <c r="I426" s="34"/>
      <c r="J426" s="38" t="str">
        <f>VLOOKUP(B426,CAJEROS!B:E,4,0)</f>
        <v>MF_VALLEDUP</v>
      </c>
    </row>
    <row r="427" spans="1:10">
      <c r="A427" s="32">
        <v>554</v>
      </c>
      <c r="B427" s="33">
        <v>8294</v>
      </c>
      <c r="C427" s="3">
        <v>4829700</v>
      </c>
      <c r="D427" s="3"/>
      <c r="E427" s="31">
        <f t="shared" si="21"/>
        <v>4829700</v>
      </c>
      <c r="F427" s="5">
        <v>45971</v>
      </c>
      <c r="G427" s="4">
        <v>20251107</v>
      </c>
      <c r="H427" s="38" t="str">
        <f>VLOOKUP(B427,CAJEROS!B:D,3,0)</f>
        <v>Multifuncional</v>
      </c>
      <c r="I427" s="34"/>
      <c r="J427" s="38" t="str">
        <f>VLOOKUP(B427,CAJEROS!B:E,4,0)</f>
        <v>MF_SBUVIII1</v>
      </c>
    </row>
    <row r="428" spans="1:10">
      <c r="A428" s="32">
        <v>664</v>
      </c>
      <c r="B428" s="33">
        <v>5191</v>
      </c>
      <c r="C428" s="3">
        <v>9141000</v>
      </c>
      <c r="D428" s="3"/>
      <c r="E428" s="31">
        <f t="shared" si="21"/>
        <v>9141000</v>
      </c>
      <c r="F428" s="5">
        <v>45971</v>
      </c>
      <c r="G428" s="4">
        <v>20251107</v>
      </c>
      <c r="H428" s="38" t="str">
        <f>VLOOKUP(B428,CAJEROS!B:D,3,0)</f>
        <v>Multifuncional</v>
      </c>
      <c r="I428" s="34"/>
      <c r="J428" s="38" t="str">
        <f>VLOOKUP(B428,CAJEROS!B:E,4,0)</f>
        <v>MF_CORABAST</v>
      </c>
    </row>
    <row r="429" spans="1:10">
      <c r="A429" s="32">
        <v>693</v>
      </c>
      <c r="B429" s="33">
        <v>7979</v>
      </c>
      <c r="C429" s="3">
        <v>5313400</v>
      </c>
      <c r="D429" s="3"/>
      <c r="E429" s="31">
        <f t="shared" si="21"/>
        <v>5313400</v>
      </c>
      <c r="F429" s="5">
        <v>45971</v>
      </c>
      <c r="G429" s="4">
        <v>20251107</v>
      </c>
      <c r="H429" s="38" t="str">
        <f>VLOOKUP(B429,CAJEROS!B:D,3,0)</f>
        <v>Multifuncional</v>
      </c>
      <c r="I429" s="34"/>
      <c r="J429" s="38" t="str">
        <f>VLOOKUP(B429,CAJEROS!B:E,4,0)</f>
        <v>MF_CCSNTAF3</v>
      </c>
    </row>
    <row r="430" spans="1:10">
      <c r="A430" s="32">
        <v>721</v>
      </c>
      <c r="B430" s="33">
        <v>8896</v>
      </c>
      <c r="C430" s="3">
        <v>4970000</v>
      </c>
      <c r="D430" s="3"/>
      <c r="E430" s="31">
        <f t="shared" si="21"/>
        <v>4970000</v>
      </c>
      <c r="F430" s="5">
        <v>45971</v>
      </c>
      <c r="G430" s="4">
        <v>20251107</v>
      </c>
      <c r="H430" s="38" t="str">
        <f>VLOOKUP(B430,CAJEROS!B:D,3,0)</f>
        <v>Multifuncional</v>
      </c>
      <c r="I430" s="34"/>
      <c r="J430" s="38" t="str">
        <f>VLOOKUP(B430,CAJEROS!B:E,4,0)</f>
        <v>MFSUCLAGO1</v>
      </c>
    </row>
    <row r="431" spans="1:10">
      <c r="A431" s="32">
        <v>723</v>
      </c>
      <c r="B431" s="33">
        <v>5046</v>
      </c>
      <c r="C431" s="3">
        <v>2600000</v>
      </c>
      <c r="D431" s="3"/>
      <c r="E431" s="31">
        <f t="shared" si="21"/>
        <v>2600000</v>
      </c>
      <c r="F431" s="5">
        <v>45971</v>
      </c>
      <c r="G431" s="4">
        <v>20251107</v>
      </c>
      <c r="H431" s="38" t="str">
        <f>VLOOKUP(B431,CAJEROS!B:D,3,0)</f>
        <v>Multifuncional</v>
      </c>
      <c r="I431" s="34"/>
      <c r="J431" s="38" t="str">
        <f>VLOOKUP(B431,CAJEROS!B:E,4,0)</f>
        <v>MF_PARBOLED</v>
      </c>
    </row>
    <row r="432" spans="1:10">
      <c r="A432" s="32">
        <v>725</v>
      </c>
      <c r="B432" s="33">
        <v>5166</v>
      </c>
      <c r="C432" s="3">
        <v>406000</v>
      </c>
      <c r="D432" s="3"/>
      <c r="E432" s="31">
        <f t="shared" si="21"/>
        <v>406000</v>
      </c>
      <c r="F432" s="5">
        <v>45971</v>
      </c>
      <c r="G432" s="4">
        <v>20251107</v>
      </c>
      <c r="H432" s="38" t="str">
        <f>VLOOKUP(B432,CAJEROS!B:D,3,0)</f>
        <v>Multifuncional</v>
      </c>
      <c r="I432" s="34"/>
      <c r="J432" s="38" t="str">
        <f>VLOOKUP(B432,CAJEROS!B:E,4,0)</f>
        <v>MF_DOSQUEBR</v>
      </c>
    </row>
    <row r="433" spans="1:10">
      <c r="A433" s="32">
        <v>745</v>
      </c>
      <c r="B433" s="33">
        <v>1477</v>
      </c>
      <c r="C433" s="3">
        <v>1035000</v>
      </c>
      <c r="D433" s="3"/>
      <c r="E433" s="31">
        <f t="shared" si="21"/>
        <v>1035000</v>
      </c>
      <c r="F433" s="5">
        <v>45971</v>
      </c>
      <c r="G433" s="4">
        <v>20251107</v>
      </c>
      <c r="H433" s="38" t="str">
        <f>VLOOKUP(B433,CAJEROS!B:D,3,0)</f>
        <v>Multifuncional</v>
      </c>
      <c r="I433" s="34"/>
      <c r="J433" s="38" t="str">
        <f>VLOOKUP(B433,CAJEROS!B:E,4,0)</f>
        <v>MFSUCMALPZ2</v>
      </c>
    </row>
    <row r="434" spans="1:10">
      <c r="A434" s="32">
        <v>777</v>
      </c>
      <c r="B434" s="33">
        <v>4868</v>
      </c>
      <c r="C434" s="3">
        <v>12575250</v>
      </c>
      <c r="D434" s="3"/>
      <c r="E434" s="31">
        <f t="shared" si="21"/>
        <v>12575250</v>
      </c>
      <c r="F434" s="5">
        <v>45971</v>
      </c>
      <c r="G434" s="4">
        <v>20251107</v>
      </c>
      <c r="H434" s="38" t="str">
        <f>VLOOKUP(B434,CAJEROS!B:D,3,0)</f>
        <v>Multifuncional</v>
      </c>
      <c r="I434" s="34"/>
      <c r="J434" s="38" t="str">
        <f>VLOOKUP(B434,CAJEROS!B:E,4,0)</f>
        <v>MFPWASHING2</v>
      </c>
    </row>
    <row r="435" spans="1:10">
      <c r="A435" s="32">
        <v>868</v>
      </c>
      <c r="B435" s="33">
        <v>6149</v>
      </c>
      <c r="C435" s="3">
        <v>1272850</v>
      </c>
      <c r="D435" s="3"/>
      <c r="E435" s="31">
        <f t="shared" si="21"/>
        <v>1272850</v>
      </c>
      <c r="F435" s="5">
        <v>45971</v>
      </c>
      <c r="G435" s="4">
        <v>20251107</v>
      </c>
      <c r="H435" s="38" t="str">
        <f>VLOOKUP(B435,CAJEROS!B:D,3,0)</f>
        <v>Multifuncional</v>
      </c>
      <c r="I435" s="34"/>
      <c r="J435" s="38" t="str">
        <f>VLOOKUP(B435,CAJEROS!B:E,4,0)</f>
        <v>MF_POPAYAN1</v>
      </c>
    </row>
    <row r="436" spans="1:10">
      <c r="A436" s="32">
        <v>888</v>
      </c>
      <c r="B436" s="33">
        <v>6818</v>
      </c>
      <c r="C436" s="3">
        <v>20000</v>
      </c>
      <c r="D436" s="3">
        <v>6100</v>
      </c>
      <c r="E436" s="31">
        <f t="shared" si="21"/>
        <v>13900</v>
      </c>
      <c r="F436" s="5">
        <v>45971</v>
      </c>
      <c r="G436" s="4">
        <v>20251107</v>
      </c>
      <c r="H436" s="38" t="str">
        <f>VLOOKUP(B436,CAJEROS!B:D,3,0)</f>
        <v>Multifuncional</v>
      </c>
      <c r="I436" s="34"/>
      <c r="J436" s="38" t="str">
        <f>VLOOKUP(B436,CAJEROS!B:E,4,0)</f>
        <v>MF_IPIALES</v>
      </c>
    </row>
    <row r="437" spans="1:10">
      <c r="A437" s="32">
        <v>523</v>
      </c>
      <c r="B437" s="33">
        <v>5082</v>
      </c>
      <c r="C437" s="3">
        <v>3707150</v>
      </c>
      <c r="D437" s="3"/>
      <c r="E437" s="31">
        <f t="shared" ref="E437" si="22">+C437-D437</f>
        <v>3707150</v>
      </c>
      <c r="F437" s="5">
        <v>45971</v>
      </c>
      <c r="G437" s="4">
        <v>20251109</v>
      </c>
      <c r="H437" s="38" t="str">
        <f>VLOOKUP(B437,CAJEROS!B:D,3,0)</f>
        <v>Multifuncional</v>
      </c>
      <c r="I437" s="34" t="s">
        <v>9</v>
      </c>
      <c r="J437" s="38" t="str">
        <f>VLOOKUP(B437,CAJEROS!B:E,4,0)</f>
        <v>MF_OVALLEDU</v>
      </c>
    </row>
    <row r="438" spans="1:10">
      <c r="A438" s="32">
        <v>659</v>
      </c>
      <c r="B438" s="33">
        <v>5102</v>
      </c>
      <c r="C438" s="3">
        <v>3690000</v>
      </c>
      <c r="D438" s="3">
        <f>689900+2789900</f>
        <v>3479800</v>
      </c>
      <c r="E438" s="31">
        <f t="shared" ref="E438:E489" si="23">+C438-D438</f>
        <v>210200</v>
      </c>
      <c r="F438" s="5">
        <v>45971</v>
      </c>
      <c r="G438" s="4">
        <v>20251109</v>
      </c>
      <c r="H438" s="38" t="str">
        <f>VLOOKUP(B438,CAJEROS!B:D,3,0)</f>
        <v>Multifuncional</v>
      </c>
      <c r="I438" s="34" t="s">
        <v>9</v>
      </c>
      <c r="J438" s="38" t="str">
        <f>VLOOKUP(B438,CAJEROS!B:E,4,0)</f>
        <v>MF_GIRARDOT</v>
      </c>
    </row>
    <row r="439" spans="1:10">
      <c r="A439" s="32">
        <v>677</v>
      </c>
      <c r="B439" s="33">
        <v>7124</v>
      </c>
      <c r="C439" s="3">
        <v>3660400</v>
      </c>
      <c r="D439" s="3"/>
      <c r="E439" s="31">
        <f t="shared" si="23"/>
        <v>3660400</v>
      </c>
      <c r="F439" s="5">
        <v>45971</v>
      </c>
      <c r="G439" s="4">
        <v>20251109</v>
      </c>
      <c r="H439" s="38" t="str">
        <f>VLOOKUP(B439,CAJEROS!B:D,3,0)</f>
        <v>Multifuncional</v>
      </c>
      <c r="I439" s="34" t="s">
        <v>9</v>
      </c>
      <c r="J439" s="38" t="str">
        <f>VLOOKUP(B439,CAJEROS!B:E,4,0)</f>
        <v>MF_PLMERMON</v>
      </c>
    </row>
    <row r="440" spans="1:10">
      <c r="A440" s="32">
        <v>721</v>
      </c>
      <c r="B440" s="33">
        <v>8897</v>
      </c>
      <c r="C440" s="3">
        <v>3096000</v>
      </c>
      <c r="D440" s="3">
        <v>516100</v>
      </c>
      <c r="E440" s="31">
        <f t="shared" si="23"/>
        <v>2579900</v>
      </c>
      <c r="F440" s="5">
        <v>45971</v>
      </c>
      <c r="G440" s="4">
        <v>20251109</v>
      </c>
      <c r="H440" s="38" t="str">
        <f>VLOOKUP(B440,CAJEROS!B:D,3,0)</f>
        <v>Multifuncional</v>
      </c>
      <c r="I440" s="34" t="s">
        <v>9</v>
      </c>
      <c r="J440" s="38" t="str">
        <f>VLOOKUP(B440,CAJEROS!B:E,4,0)</f>
        <v>MFSUCLAGO2</v>
      </c>
    </row>
    <row r="441" spans="1:10">
      <c r="A441" s="32">
        <v>81</v>
      </c>
      <c r="B441" s="33">
        <v>5036</v>
      </c>
      <c r="C441" s="3">
        <v>2980000</v>
      </c>
      <c r="D441" s="3">
        <v>1880000</v>
      </c>
      <c r="E441" s="31">
        <f t="shared" si="23"/>
        <v>1100000</v>
      </c>
      <c r="F441" s="5">
        <v>45971</v>
      </c>
      <c r="G441" s="4">
        <v>20251109</v>
      </c>
      <c r="H441" s="38" t="str">
        <f>VLOOKUP(B441,CAJEROS!B:D,3,0)</f>
        <v>Multifuncional</v>
      </c>
      <c r="I441" s="34" t="s">
        <v>9</v>
      </c>
      <c r="J441" s="38" t="str">
        <f>VLOOKUP(B441,CAJEROS!B:E,4,0)</f>
        <v>MF_AVKENNE</v>
      </c>
    </row>
    <row r="442" spans="1:10">
      <c r="A442" s="32">
        <v>682</v>
      </c>
      <c r="B442" s="33">
        <v>5049</v>
      </c>
      <c r="C442" s="3">
        <v>2835000</v>
      </c>
      <c r="D442" s="3"/>
      <c r="E442" s="31">
        <f t="shared" si="23"/>
        <v>2835000</v>
      </c>
      <c r="F442" s="5">
        <v>45971</v>
      </c>
      <c r="G442" s="4">
        <v>20251109</v>
      </c>
      <c r="H442" s="38" t="str">
        <f>VLOOKUP(B442,CAJEROS!B:D,3,0)</f>
        <v>Multifuncional</v>
      </c>
      <c r="I442" s="34" t="s">
        <v>9</v>
      </c>
      <c r="J442" s="38" t="str">
        <f>VLOOKUP(B442,CAJEROS!B:E,4,0)</f>
        <v>MF_CCFONTA1</v>
      </c>
    </row>
    <row r="443" spans="1:10">
      <c r="A443" s="32">
        <v>541</v>
      </c>
      <c r="B443" s="33">
        <v>5185</v>
      </c>
      <c r="C443" s="3">
        <v>2789800</v>
      </c>
      <c r="D443" s="3"/>
      <c r="E443" s="31">
        <f t="shared" si="23"/>
        <v>2789800</v>
      </c>
      <c r="F443" s="5">
        <v>45971</v>
      </c>
      <c r="G443" s="4">
        <v>20251109</v>
      </c>
      <c r="H443" s="38" t="str">
        <f>VLOOKUP(B443,CAJEROS!B:D,3,0)</f>
        <v>Multifuncional</v>
      </c>
      <c r="I443" s="34" t="s">
        <v>9</v>
      </c>
      <c r="J443" s="38" t="str">
        <f>VLOOKUP(B443,CAJEROS!B:E,4,0)</f>
        <v>MF_PARQCALD</v>
      </c>
    </row>
    <row r="444" spans="1:10">
      <c r="A444" s="32">
        <v>651</v>
      </c>
      <c r="B444" s="33">
        <v>7318</v>
      </c>
      <c r="C444" s="3">
        <v>2606450</v>
      </c>
      <c r="D444" s="3">
        <v>1856250</v>
      </c>
      <c r="E444" s="31">
        <f t="shared" si="23"/>
        <v>750200</v>
      </c>
      <c r="F444" s="5">
        <v>45971</v>
      </c>
      <c r="G444" s="4">
        <v>20251109</v>
      </c>
      <c r="H444" s="38" t="str">
        <f>VLOOKUP(B444,CAJEROS!B:D,3,0)</f>
        <v>Multifuncional</v>
      </c>
      <c r="I444" s="34" t="s">
        <v>9</v>
      </c>
      <c r="J444" s="38" t="str">
        <f>VLOOKUP(B444,CAJEROS!B:E,4,0)</f>
        <v>MF_BARBOSA2</v>
      </c>
    </row>
    <row r="445" spans="1:10">
      <c r="A445" s="32">
        <v>253</v>
      </c>
      <c r="B445" s="33">
        <v>5176</v>
      </c>
      <c r="C445" s="3">
        <v>2236000</v>
      </c>
      <c r="D445" s="3"/>
      <c r="E445" s="31">
        <f t="shared" si="23"/>
        <v>2236000</v>
      </c>
      <c r="F445" s="5">
        <v>45971</v>
      </c>
      <c r="G445" s="4">
        <v>20251109</v>
      </c>
      <c r="H445" s="38" t="str">
        <f>VLOOKUP(B445,CAJEROS!B:D,3,0)</f>
        <v>Multifuncional</v>
      </c>
      <c r="I445" s="34" t="s">
        <v>9</v>
      </c>
      <c r="J445" s="38" t="str">
        <f>VLOOKUP(B445,CAJEROS!B:E,4,0)</f>
        <v>MF_SPTANORT</v>
      </c>
    </row>
    <row r="446" spans="1:10">
      <c r="A446" s="32">
        <v>750</v>
      </c>
      <c r="B446" s="33">
        <v>5157</v>
      </c>
      <c r="C446" s="3">
        <v>2110000</v>
      </c>
      <c r="D446" s="3"/>
      <c r="E446" s="31">
        <f t="shared" si="23"/>
        <v>2110000</v>
      </c>
      <c r="F446" s="5">
        <v>45971</v>
      </c>
      <c r="G446" s="4">
        <v>20251109</v>
      </c>
      <c r="H446" s="38" t="str">
        <f>VLOOKUP(B446,CAJEROS!B:D,3,0)</f>
        <v>Multifuncional</v>
      </c>
      <c r="I446" s="34" t="s">
        <v>9</v>
      </c>
      <c r="J446" s="38" t="str">
        <f>VLOOKUP(B446,CAJEROS!B:E,4,0)</f>
        <v>MF_AVROOSVL</v>
      </c>
    </row>
    <row r="447" spans="1:10">
      <c r="A447" s="32">
        <v>829</v>
      </c>
      <c r="B447" s="33">
        <v>5137</v>
      </c>
      <c r="C447" s="3">
        <v>2058000</v>
      </c>
      <c r="D447" s="3"/>
      <c r="E447" s="31">
        <f t="shared" si="23"/>
        <v>2058000</v>
      </c>
      <c r="F447" s="5">
        <v>45971</v>
      </c>
      <c r="G447" s="4">
        <v>20251109</v>
      </c>
      <c r="H447" s="38" t="str">
        <f>VLOOKUP(B447,CAJEROS!B:D,3,0)</f>
        <v>Multifuncional</v>
      </c>
      <c r="I447" s="34" t="s">
        <v>9</v>
      </c>
      <c r="J447" s="38" t="str">
        <f>VLOOKUP(B447,CAJEROS!B:E,4,0)</f>
        <v>MF_UNICALI1</v>
      </c>
    </row>
    <row r="448" spans="1:10">
      <c r="A448" s="32">
        <v>692</v>
      </c>
      <c r="B448" s="33">
        <v>1516</v>
      </c>
      <c r="C448" s="3">
        <v>1966800</v>
      </c>
      <c r="D448" s="3"/>
      <c r="E448" s="31">
        <f t="shared" si="23"/>
        <v>1966800</v>
      </c>
      <c r="F448" s="5">
        <v>45971</v>
      </c>
      <c r="G448" s="4">
        <v>20251109</v>
      </c>
      <c r="H448" s="38" t="str">
        <f>VLOOKUP(B448,CAJEROS!B:D,3,0)</f>
        <v>Multifuncional</v>
      </c>
      <c r="I448" s="34" t="s">
        <v>9</v>
      </c>
      <c r="J448" s="38" t="str">
        <f>VLOOKUP(B448,CAJEROS!B:E,4,0)</f>
        <v>MFSUCALTPR2</v>
      </c>
    </row>
    <row r="449" spans="1:10">
      <c r="A449" s="32">
        <v>332</v>
      </c>
      <c r="B449" s="33">
        <v>7569</v>
      </c>
      <c r="C449" s="3">
        <v>1820000</v>
      </c>
      <c r="D449" s="3"/>
      <c r="E449" s="31">
        <f t="shared" si="23"/>
        <v>1820000</v>
      </c>
      <c r="F449" s="5">
        <v>45971</v>
      </c>
      <c r="G449" s="4">
        <v>20251109</v>
      </c>
      <c r="H449" s="38" t="str">
        <f>VLOOKUP(B449,CAJEROS!B:D,3,0)</f>
        <v>Multifuncional</v>
      </c>
      <c r="I449" s="34" t="s">
        <v>9</v>
      </c>
      <c r="J449" s="38" t="str">
        <f>VLOOKUP(B449,CAJEROS!B:E,4,0)</f>
        <v>MF_ZIPAQUI2</v>
      </c>
    </row>
    <row r="450" spans="1:10">
      <c r="A450" s="32">
        <v>54</v>
      </c>
      <c r="B450" s="33">
        <v>6204</v>
      </c>
      <c r="C450" s="3">
        <v>1682000</v>
      </c>
      <c r="D450" s="3">
        <v>1410200</v>
      </c>
      <c r="E450" s="31">
        <f t="shared" si="23"/>
        <v>271800</v>
      </c>
      <c r="F450" s="5">
        <v>45971</v>
      </c>
      <c r="G450" s="4">
        <v>20251109</v>
      </c>
      <c r="H450" s="38" t="str">
        <f>VLOOKUP(B450,CAJEROS!B:D,3,0)</f>
        <v>Multifuncional</v>
      </c>
      <c r="I450" s="34" t="s">
        <v>9</v>
      </c>
      <c r="J450" s="38" t="str">
        <f>VLOOKUP(B450,CAJEROS!B:E,4,0)</f>
        <v>MF_CALLE122</v>
      </c>
    </row>
    <row r="451" spans="1:10">
      <c r="A451" s="32">
        <v>779</v>
      </c>
      <c r="B451" s="33">
        <v>5013</v>
      </c>
      <c r="C451" s="3">
        <v>1580000</v>
      </c>
      <c r="D451" s="3"/>
      <c r="E451" s="31">
        <f t="shared" si="23"/>
        <v>1580000</v>
      </c>
      <c r="F451" s="5">
        <v>45971</v>
      </c>
      <c r="G451" s="4">
        <v>20251109</v>
      </c>
      <c r="H451" s="38" t="str">
        <f>VLOOKUP(B451,CAJEROS!B:D,3,0)</f>
        <v>Multifuncional</v>
      </c>
      <c r="I451" s="34" t="s">
        <v>9</v>
      </c>
      <c r="J451" s="38" t="str">
        <f>VLOOKUP(B451,CAJEROS!B:E,4,0)</f>
        <v>MF_BUENASM1</v>
      </c>
    </row>
    <row r="452" spans="1:10">
      <c r="A452" s="32">
        <v>59</v>
      </c>
      <c r="B452" s="33">
        <v>5002</v>
      </c>
      <c r="C452" s="3">
        <v>1505000</v>
      </c>
      <c r="D452" s="3">
        <v>834000</v>
      </c>
      <c r="E452" s="31">
        <f t="shared" si="23"/>
        <v>671000</v>
      </c>
      <c r="F452" s="5">
        <v>45971</v>
      </c>
      <c r="G452" s="4">
        <v>20251109</v>
      </c>
      <c r="H452" s="38" t="str">
        <f>VLOOKUP(B452,CAJEROS!B:D,3,0)</f>
        <v>Multifuncional</v>
      </c>
      <c r="I452" s="34" t="s">
        <v>9</v>
      </c>
      <c r="J452" s="38" t="str">
        <f>VLOOKUP(B452,CAJEROS!B:E,4,0)</f>
        <v>MF_AVSTNDER</v>
      </c>
    </row>
    <row r="453" spans="1:10">
      <c r="A453" s="32">
        <v>944</v>
      </c>
      <c r="B453" s="33">
        <v>8354</v>
      </c>
      <c r="C453" s="3">
        <v>903000</v>
      </c>
      <c r="D453" s="3">
        <v>550000</v>
      </c>
      <c r="E453" s="31">
        <f t="shared" si="23"/>
        <v>353000</v>
      </c>
      <c r="F453" s="5">
        <v>45971</v>
      </c>
      <c r="G453" s="4">
        <v>20251109</v>
      </c>
      <c r="H453" s="38" t="str">
        <f>VLOOKUP(B453,CAJEROS!B:D,3,0)</f>
        <v>Multifuncional</v>
      </c>
      <c r="I453" s="34" t="s">
        <v>9</v>
      </c>
      <c r="J453" s="38" t="str">
        <f>VLOOKUP(B453,CAJEROS!B:E,4,0)</f>
        <v>MF_SANTABO2</v>
      </c>
    </row>
    <row r="454" spans="1:10">
      <c r="A454" s="32">
        <v>481</v>
      </c>
      <c r="B454" s="33">
        <v>1010</v>
      </c>
      <c r="C454" s="3">
        <v>790000</v>
      </c>
      <c r="D454" s="3">
        <v>190000</v>
      </c>
      <c r="E454" s="31">
        <f t="shared" si="23"/>
        <v>600000</v>
      </c>
      <c r="F454" s="5">
        <v>45971</v>
      </c>
      <c r="G454" s="4">
        <v>20251109</v>
      </c>
      <c r="H454" s="38" t="str">
        <f>VLOOKUP(B454,CAJEROS!B:D,3,0)</f>
        <v>Multifuncional</v>
      </c>
      <c r="I454" s="34" t="s">
        <v>9</v>
      </c>
      <c r="J454" s="38" t="str">
        <f>VLOOKUP(B454,CAJEROS!B:E,4,0)</f>
        <v>MF_SOLEDAD1</v>
      </c>
    </row>
    <row r="455" spans="1:10">
      <c r="A455" s="32">
        <v>907</v>
      </c>
      <c r="B455" s="33">
        <v>4830</v>
      </c>
      <c r="C455" s="3">
        <v>746000</v>
      </c>
      <c r="D455" s="3"/>
      <c r="E455" s="31">
        <f t="shared" si="23"/>
        <v>746000</v>
      </c>
      <c r="F455" s="5">
        <v>45971</v>
      </c>
      <c r="G455" s="4">
        <v>20251109</v>
      </c>
      <c r="H455" s="38" t="str">
        <f>VLOOKUP(B455,CAJEROS!B:D,3,0)</f>
        <v>Multifuncional</v>
      </c>
      <c r="I455" s="34" t="s">
        <v>9</v>
      </c>
      <c r="J455" s="38" t="str">
        <f>VLOOKUP(B455,CAJEROS!B:E,4,0)</f>
        <v>MF_FRONTER2</v>
      </c>
    </row>
    <row r="456" spans="1:10">
      <c r="A456" s="32">
        <v>217</v>
      </c>
      <c r="B456" s="33">
        <v>5208</v>
      </c>
      <c r="C456" s="3">
        <v>480000</v>
      </c>
      <c r="D456" s="3">
        <v>450000</v>
      </c>
      <c r="E456" s="31">
        <f t="shared" si="23"/>
        <v>30000</v>
      </c>
      <c r="F456" s="5">
        <v>45971</v>
      </c>
      <c r="G456" s="4">
        <v>20251109</v>
      </c>
      <c r="H456" s="38" t="str">
        <f>VLOOKUP(B456,CAJEROS!B:D,3,0)</f>
        <v>Multifuncional</v>
      </c>
      <c r="I456" s="34" t="s">
        <v>9</v>
      </c>
      <c r="J456" s="38" t="str">
        <f>VLOOKUP(B456,CAJEROS!B:E,4,0)</f>
        <v>MF_MONTEVID</v>
      </c>
    </row>
    <row r="457" spans="1:10">
      <c r="A457" s="32">
        <v>244</v>
      </c>
      <c r="B457" s="33">
        <v>5129</v>
      </c>
      <c r="C457" s="3">
        <v>420000</v>
      </c>
      <c r="D457" s="3">
        <v>220000</v>
      </c>
      <c r="E457" s="31">
        <f t="shared" si="23"/>
        <v>200000</v>
      </c>
      <c r="F457" s="5">
        <v>45971</v>
      </c>
      <c r="G457" s="4">
        <v>20251109</v>
      </c>
      <c r="H457" s="38" t="str">
        <f>VLOOKUP(B457,CAJEROS!B:D,3,0)</f>
        <v>Multifuncional</v>
      </c>
      <c r="I457" s="34" t="s">
        <v>9</v>
      </c>
      <c r="J457" s="38" t="str">
        <f>VLOOKUP(B457,CAJEROS!B:E,4,0)</f>
        <v>MF_TRIGALAN</v>
      </c>
    </row>
    <row r="458" spans="1:10">
      <c r="A458" s="32">
        <v>24</v>
      </c>
      <c r="B458" s="33">
        <v>5066</v>
      </c>
      <c r="C458" s="3">
        <v>382000</v>
      </c>
      <c r="D458" s="3">
        <v>300000</v>
      </c>
      <c r="E458" s="31">
        <f t="shared" si="23"/>
        <v>82000</v>
      </c>
      <c r="F458" s="5">
        <v>45971</v>
      </c>
      <c r="G458" s="4">
        <v>20251109</v>
      </c>
      <c r="H458" s="38" t="str">
        <f>VLOOKUP(B458,CAJEROS!B:D,3,0)</f>
        <v>Multifuncional</v>
      </c>
      <c r="I458" s="34" t="s">
        <v>9</v>
      </c>
      <c r="J458" s="38" t="str">
        <f>VLOOKUP(B458,CAJEROS!B:E,4,0)</f>
        <v>MF_RIONEGPA</v>
      </c>
    </row>
    <row r="459" spans="1:10">
      <c r="A459" s="32">
        <v>61</v>
      </c>
      <c r="B459" s="33">
        <v>788</v>
      </c>
      <c r="C459" s="3">
        <v>370000</v>
      </c>
      <c r="D459" s="3"/>
      <c r="E459" s="31">
        <f t="shared" si="23"/>
        <v>370000</v>
      </c>
      <c r="F459" s="5">
        <v>45971</v>
      </c>
      <c r="G459" s="4">
        <v>20251109</v>
      </c>
      <c r="H459" s="38" t="str">
        <f>VLOOKUP(B459,CAJEROS!B:D,3,0)</f>
        <v>Multifuncional</v>
      </c>
      <c r="I459" s="34" t="s">
        <v>9</v>
      </c>
      <c r="J459" s="38" t="str">
        <f>VLOOKUP(B459,CAJEROS!B:E,4,0)</f>
        <v>MFSUCLAEST1</v>
      </c>
    </row>
    <row r="460" spans="1:10">
      <c r="A460" s="32">
        <v>101</v>
      </c>
      <c r="B460" s="33">
        <v>5128</v>
      </c>
      <c r="C460" s="3">
        <v>332000</v>
      </c>
      <c r="D460" s="3"/>
      <c r="E460" s="31">
        <f t="shared" si="23"/>
        <v>332000</v>
      </c>
      <c r="F460" s="5">
        <v>45971</v>
      </c>
      <c r="G460" s="4">
        <v>20251109</v>
      </c>
      <c r="H460" s="38" t="str">
        <f>VLOOKUP(B460,CAJEROS!B:D,3,0)</f>
        <v>Multifuncional</v>
      </c>
      <c r="I460" s="34" t="s">
        <v>9</v>
      </c>
      <c r="J460" s="38" t="str">
        <f>VLOOKUP(B460,CAJEROS!B:E,4,0)</f>
        <v>MF_MULTDRIV</v>
      </c>
    </row>
    <row r="461" spans="1:10">
      <c r="A461" s="32">
        <v>31</v>
      </c>
      <c r="B461" s="33">
        <v>8737</v>
      </c>
      <c r="C461" s="3">
        <v>240000</v>
      </c>
      <c r="D461" s="3"/>
      <c r="E461" s="31">
        <f t="shared" si="23"/>
        <v>240000</v>
      </c>
      <c r="F461" s="5">
        <v>45971</v>
      </c>
      <c r="G461" s="4">
        <v>20251109</v>
      </c>
      <c r="H461" s="38" t="str">
        <f>VLOOKUP(B461,CAJEROS!B:D,3,0)</f>
        <v>Multifuncional</v>
      </c>
      <c r="I461" s="34" t="s">
        <v>9</v>
      </c>
      <c r="J461" s="38" t="str">
        <f>VLOOKUP(B461,CAJEROS!B:E,4,0)</f>
        <v>MF_SUCEINT1</v>
      </c>
    </row>
    <row r="462" spans="1:10">
      <c r="A462" s="32">
        <v>812</v>
      </c>
      <c r="B462" s="33">
        <v>7614</v>
      </c>
      <c r="C462" s="3">
        <v>229000</v>
      </c>
      <c r="D462" s="3"/>
      <c r="E462" s="31">
        <f t="shared" si="23"/>
        <v>229000</v>
      </c>
      <c r="F462" s="5">
        <v>45971</v>
      </c>
      <c r="G462" s="4">
        <v>20251109</v>
      </c>
      <c r="H462" s="38" t="str">
        <f>VLOOKUP(B462,CAJEROS!B:D,3,0)</f>
        <v>Multifuncional</v>
      </c>
      <c r="I462" s="34" t="s">
        <v>9</v>
      </c>
      <c r="J462" s="38" t="str">
        <f>VLOOKUP(B462,CAJEROS!B:E,4,0)</f>
        <v>MF_CHPICHP3</v>
      </c>
    </row>
    <row r="463" spans="1:10">
      <c r="A463" s="32">
        <v>849</v>
      </c>
      <c r="B463" s="33">
        <v>9725</v>
      </c>
      <c r="C463" s="3">
        <v>225000</v>
      </c>
      <c r="D463" s="3">
        <v>20000</v>
      </c>
      <c r="E463" s="31">
        <f t="shared" si="23"/>
        <v>205000</v>
      </c>
      <c r="F463" s="5">
        <v>45971</v>
      </c>
      <c r="G463" s="4">
        <v>20251109</v>
      </c>
      <c r="H463" s="38" t="str">
        <f>VLOOKUP(B463,CAJEROS!B:D,3,0)</f>
        <v>Multifuncional</v>
      </c>
      <c r="I463" s="34" t="s">
        <v>9</v>
      </c>
      <c r="J463" s="38" t="str">
        <f>VLOOKUP(B463,CAJEROS!B:E,4,0)</f>
        <v>MF_SUNIVIL2</v>
      </c>
    </row>
    <row r="464" spans="1:10">
      <c r="A464" s="32">
        <v>916</v>
      </c>
      <c r="B464" s="33">
        <v>5052</v>
      </c>
      <c r="C464" s="3">
        <v>40000</v>
      </c>
      <c r="D464" s="3"/>
      <c r="E464" s="31">
        <f t="shared" si="23"/>
        <v>40000</v>
      </c>
      <c r="F464" s="5">
        <v>45971</v>
      </c>
      <c r="G464" s="4">
        <v>20251109</v>
      </c>
      <c r="H464" s="38" t="str">
        <f>VLOOKUP(B464,CAJEROS!B:D,3,0)</f>
        <v>Multifuncional</v>
      </c>
      <c r="I464" s="34" t="s">
        <v>9</v>
      </c>
      <c r="J464" s="38" t="str">
        <f>VLOOKUP(B464,CAJEROS!B:E,4,0)</f>
        <v>MF_OCEANMAL</v>
      </c>
    </row>
    <row r="465" spans="1:10">
      <c r="A465" s="32">
        <v>820</v>
      </c>
      <c r="B465" s="33">
        <v>6174</v>
      </c>
      <c r="C465" s="3">
        <v>30100</v>
      </c>
      <c r="D465" s="3"/>
      <c r="E465" s="31">
        <f t="shared" si="23"/>
        <v>30100</v>
      </c>
      <c r="F465" s="5">
        <v>45971</v>
      </c>
      <c r="G465" s="4">
        <v>20251109</v>
      </c>
      <c r="H465" s="38" t="str">
        <f>VLOOKUP(B465,CAJEROS!B:D,3,0)</f>
        <v>Multifuncional</v>
      </c>
      <c r="I465" s="34" t="s">
        <v>9</v>
      </c>
      <c r="J465" s="38" t="str">
        <f>VLOOKUP(B465,CAJEROS!B:E,4,0)</f>
        <v>MF_AVCERO</v>
      </c>
    </row>
    <row r="466" spans="1:10">
      <c r="A466" s="32">
        <v>551</v>
      </c>
      <c r="B466" s="33">
        <v>9643</v>
      </c>
      <c r="C466" s="3">
        <v>20300</v>
      </c>
      <c r="D466" s="3"/>
      <c r="E466" s="31">
        <f t="shared" si="23"/>
        <v>20300</v>
      </c>
      <c r="F466" s="5">
        <v>45971</v>
      </c>
      <c r="G466" s="4">
        <v>20251109</v>
      </c>
      <c r="H466" s="38" t="str">
        <f>VLOOKUP(B466,CAJEROS!B:D,3,0)</f>
        <v>Multifuncional</v>
      </c>
      <c r="I466" s="34" t="s">
        <v>9</v>
      </c>
      <c r="J466" s="38" t="str">
        <f>VLOOKUP(B466,CAJEROS!B:E,4,0)</f>
        <v>MFSUCUNIME1</v>
      </c>
    </row>
    <row r="467" spans="1:10">
      <c r="A467" s="32">
        <v>186</v>
      </c>
      <c r="B467" s="33">
        <v>6513</v>
      </c>
      <c r="C467" s="3">
        <v>20000</v>
      </c>
      <c r="D467" s="3"/>
      <c r="E467" s="31">
        <f t="shared" si="23"/>
        <v>20000</v>
      </c>
      <c r="F467" s="5">
        <v>45972</v>
      </c>
      <c r="G467" s="4">
        <v>20251110</v>
      </c>
      <c r="H467" s="38" t="str">
        <f>VLOOKUP(B467,CAJEROS!B:D,3,0)</f>
        <v>Dispensador</v>
      </c>
      <c r="I467" s="34"/>
      <c r="J467" s="38" t="str">
        <f>VLOOKUP(B467,CAJEROS!B:E,4,0)</f>
        <v>SUC_GALERI4</v>
      </c>
    </row>
    <row r="468" spans="1:10">
      <c r="A468" s="32">
        <v>186</v>
      </c>
      <c r="B468" s="33">
        <v>6514</v>
      </c>
      <c r="C468" s="3">
        <v>1000000</v>
      </c>
      <c r="D468" s="3"/>
      <c r="E468" s="31">
        <f t="shared" si="23"/>
        <v>1000000</v>
      </c>
      <c r="F468" s="5">
        <v>45972</v>
      </c>
      <c r="G468" s="4">
        <v>20251110</v>
      </c>
      <c r="H468" s="38" t="str">
        <f>VLOOKUP(B468,CAJEROS!B:D,3,0)</f>
        <v>Dispensador</v>
      </c>
      <c r="I468" s="34"/>
      <c r="J468" s="38" t="str">
        <f>VLOOKUP(B468,CAJEROS!B:E,4,0)</f>
        <v>SUC_GALERI5</v>
      </c>
    </row>
    <row r="469" spans="1:10">
      <c r="A469" s="32">
        <v>225</v>
      </c>
      <c r="B469" s="33">
        <v>8864</v>
      </c>
      <c r="C469" s="3">
        <v>10000</v>
      </c>
      <c r="D469" s="3"/>
      <c r="E469" s="31">
        <f t="shared" si="23"/>
        <v>10000</v>
      </c>
      <c r="F469" s="5">
        <v>45972</v>
      </c>
      <c r="G469" s="4">
        <v>20251110</v>
      </c>
      <c r="H469" s="38" t="str">
        <f>VLOOKUP(B469,CAJEROS!B:D,3,0)</f>
        <v>Dispensador</v>
      </c>
      <c r="I469" s="34"/>
      <c r="J469" s="38" t="str">
        <f>VLOOKUP(B469,CAJEROS!B:E,4,0)</f>
        <v>SMALPLANQS2</v>
      </c>
    </row>
    <row r="470" spans="1:10">
      <c r="A470" s="32">
        <v>916</v>
      </c>
      <c r="B470" s="33">
        <v>5743</v>
      </c>
      <c r="C470" s="3">
        <v>600000</v>
      </c>
      <c r="D470" s="3"/>
      <c r="E470" s="31">
        <f t="shared" si="23"/>
        <v>600000</v>
      </c>
      <c r="F470" s="5">
        <v>45972</v>
      </c>
      <c r="G470" s="4">
        <v>20251110</v>
      </c>
      <c r="H470" s="38" t="str">
        <f>VLOOKUP(B470,CAJEROS!B:D,3,0)</f>
        <v>Dispensador</v>
      </c>
      <c r="I470" s="34"/>
      <c r="J470" s="38" t="str">
        <f>VLOOKUP(B470,CAJEROS!B:E,4,0)</f>
        <v>SUC_OCEANM3</v>
      </c>
    </row>
    <row r="471" spans="1:10">
      <c r="A471" s="32">
        <v>30</v>
      </c>
      <c r="B471" s="33">
        <v>4957</v>
      </c>
      <c r="C471" s="3">
        <v>200000</v>
      </c>
      <c r="D471" s="3"/>
      <c r="E471" s="31">
        <f t="shared" si="23"/>
        <v>200000</v>
      </c>
      <c r="F471" s="5">
        <v>45972</v>
      </c>
      <c r="G471" s="4">
        <v>20251110</v>
      </c>
      <c r="H471" s="38" t="str">
        <f>VLOOKUP(B471,CAJEROS!B:D,3,0)</f>
        <v>Dispensador</v>
      </c>
      <c r="I471" s="34" t="s">
        <v>9</v>
      </c>
      <c r="J471" s="38" t="str">
        <f>VLOOKUP(B471,CAJEROS!B:E,4,0)</f>
        <v>SUC_CRAOCT1</v>
      </c>
    </row>
    <row r="472" spans="1:10">
      <c r="A472" s="32">
        <v>31</v>
      </c>
      <c r="B472" s="33">
        <v>8733</v>
      </c>
      <c r="C472" s="3">
        <v>350000</v>
      </c>
      <c r="D472" s="3">
        <v>250000</v>
      </c>
      <c r="E472" s="31">
        <f t="shared" si="23"/>
        <v>100000</v>
      </c>
      <c r="F472" s="5">
        <v>45972</v>
      </c>
      <c r="G472" s="4">
        <v>20251110</v>
      </c>
      <c r="H472" s="38" t="str">
        <f>VLOOKUP(B472,CAJEROS!B:D,3,0)</f>
        <v>Dispensador</v>
      </c>
      <c r="I472" s="34" t="s">
        <v>9</v>
      </c>
      <c r="J472" s="38" t="str">
        <f>VLOOKUP(B472,CAJEROS!B:E,4,0)</f>
        <v>SUCENTINTE2</v>
      </c>
    </row>
    <row r="473" spans="1:10">
      <c r="A473" s="32">
        <v>57</v>
      </c>
      <c r="B473" s="33">
        <v>9950</v>
      </c>
      <c r="C473" s="3">
        <v>5090000</v>
      </c>
      <c r="D473" s="3"/>
      <c r="E473" s="31">
        <f t="shared" si="23"/>
        <v>5090000</v>
      </c>
      <c r="F473" s="5">
        <v>45972</v>
      </c>
      <c r="G473" s="4">
        <v>20251110</v>
      </c>
      <c r="H473" s="38" t="str">
        <f>VLOOKUP(B473,CAJEROS!B:D,3,0)</f>
        <v>Dispensador</v>
      </c>
      <c r="I473" s="34" t="s">
        <v>9</v>
      </c>
      <c r="J473" s="38" t="str">
        <f>VLOOKUP(B473,CAJEROS!B:E,4,0)</f>
        <v>SUC_VILLAO5</v>
      </c>
    </row>
    <row r="474" spans="1:10">
      <c r="A474" s="32">
        <v>60</v>
      </c>
      <c r="B474" s="33">
        <v>8719</v>
      </c>
      <c r="C474" s="3">
        <v>2790000</v>
      </c>
      <c r="D474" s="3">
        <v>80000</v>
      </c>
      <c r="E474" s="31">
        <f t="shared" si="23"/>
        <v>2710000</v>
      </c>
      <c r="F474" s="5">
        <v>45972</v>
      </c>
      <c r="G474" s="4">
        <v>20251110</v>
      </c>
      <c r="H474" s="38" t="str">
        <f>VLOOKUP(B474,CAJEROS!B:D,3,0)</f>
        <v>Dispensador</v>
      </c>
      <c r="I474" s="34" t="s">
        <v>9</v>
      </c>
      <c r="J474" s="38" t="str">
        <f>VLOOKUP(B474,CAJEROS!B:E,4,0)</f>
        <v>HALLCALIPR1</v>
      </c>
    </row>
    <row r="475" spans="1:10">
      <c r="A475" s="32">
        <v>159</v>
      </c>
      <c r="B475" s="33">
        <v>1143</v>
      </c>
      <c r="C475" s="3">
        <v>7570000</v>
      </c>
      <c r="D475" s="3">
        <v>7550000</v>
      </c>
      <c r="E475" s="31">
        <f t="shared" si="23"/>
        <v>20000</v>
      </c>
      <c r="F475" s="5">
        <v>45972</v>
      </c>
      <c r="G475" s="4">
        <v>20251110</v>
      </c>
      <c r="H475" s="38" t="str">
        <f>VLOOKUP(B475,CAJEROS!B:D,3,0)</f>
        <v>Dispensador</v>
      </c>
      <c r="I475" s="34" t="s">
        <v>9</v>
      </c>
      <c r="J475" s="38" t="str">
        <f>VLOOKUP(B475,CAJEROS!B:E,4,0)</f>
        <v>FUNZA2</v>
      </c>
    </row>
    <row r="476" spans="1:10">
      <c r="A476" s="32">
        <v>216</v>
      </c>
      <c r="B476" s="33">
        <v>4433</v>
      </c>
      <c r="C476" s="3">
        <v>1680000</v>
      </c>
      <c r="D476" s="3">
        <v>1680000</v>
      </c>
      <c r="E476" s="31">
        <f t="shared" si="23"/>
        <v>0</v>
      </c>
      <c r="F476" s="5">
        <v>45972</v>
      </c>
      <c r="G476" s="4">
        <v>20251110</v>
      </c>
      <c r="H476" s="38" t="str">
        <f>VLOOKUP(B476,CAJEROS!B:D,3,0)</f>
        <v>Dispensador</v>
      </c>
      <c r="I476" s="34" t="s">
        <v>9</v>
      </c>
      <c r="J476" s="38" t="str">
        <f>VLOOKUP(B476,CAJEROS!B:E,4,0)</f>
        <v>SUC_SABANA1</v>
      </c>
    </row>
    <row r="477" spans="1:10">
      <c r="A477" s="32">
        <v>289</v>
      </c>
      <c r="B477" s="33">
        <v>4593</v>
      </c>
      <c r="C477" s="3">
        <v>100000</v>
      </c>
      <c r="D477" s="3"/>
      <c r="E477" s="31">
        <f t="shared" si="23"/>
        <v>100000</v>
      </c>
      <c r="F477" s="5">
        <v>45972</v>
      </c>
      <c r="G477" s="4">
        <v>20251110</v>
      </c>
      <c r="H477" s="38" t="str">
        <f>VLOOKUP(B477,CAJEROS!B:D,3,0)</f>
        <v>Dispensador</v>
      </c>
      <c r="I477" s="34" t="s">
        <v>9</v>
      </c>
      <c r="J477" s="38" t="str">
        <f>VLOOKUP(B477,CAJEROS!B:E,4,0)</f>
        <v>SUC_PGAIT3</v>
      </c>
    </row>
    <row r="478" spans="1:10">
      <c r="A478" s="32">
        <v>413</v>
      </c>
      <c r="B478" s="33">
        <v>4636</v>
      </c>
      <c r="C478" s="3">
        <v>700000</v>
      </c>
      <c r="D478" s="3">
        <v>250000</v>
      </c>
      <c r="E478" s="31">
        <f t="shared" si="23"/>
        <v>450000</v>
      </c>
      <c r="F478" s="5">
        <v>45972</v>
      </c>
      <c r="G478" s="4">
        <v>20251110</v>
      </c>
      <c r="H478" s="38" t="str">
        <f>VLOOKUP(B478,CAJEROS!B:D,3,0)</f>
        <v>Dispensador</v>
      </c>
      <c r="I478" s="34" t="s">
        <v>9</v>
      </c>
      <c r="J478" s="38" t="str">
        <f>VLOOKUP(B478,CAJEROS!B:E,4,0)</f>
        <v>SUC_MELGAR3</v>
      </c>
    </row>
    <row r="479" spans="1:10">
      <c r="A479" s="32">
        <v>451</v>
      </c>
      <c r="B479" s="33">
        <v>4967</v>
      </c>
      <c r="C479" s="3">
        <v>350000</v>
      </c>
      <c r="D479" s="3">
        <v>350000</v>
      </c>
      <c r="E479" s="31">
        <f t="shared" si="23"/>
        <v>0</v>
      </c>
      <c r="F479" s="5">
        <v>45972</v>
      </c>
      <c r="G479" s="4">
        <v>20251110</v>
      </c>
      <c r="H479" s="38" t="str">
        <f>VLOOKUP(B479,CAJEROS!B:D,3,0)</f>
        <v>Dispensador</v>
      </c>
      <c r="I479" s="34" t="s">
        <v>9</v>
      </c>
      <c r="J479" s="38" t="str">
        <f>VLOOKUP(B479,CAJEROS!B:E,4,0)</f>
        <v>SUCPTOASIS2</v>
      </c>
    </row>
    <row r="480" spans="1:10">
      <c r="A480" s="32">
        <v>486</v>
      </c>
      <c r="B480" s="33">
        <v>5693</v>
      </c>
      <c r="C480" s="3">
        <v>140000</v>
      </c>
      <c r="D480" s="3"/>
      <c r="E480" s="31">
        <f t="shared" si="23"/>
        <v>140000</v>
      </c>
      <c r="F480" s="5">
        <v>45972</v>
      </c>
      <c r="G480" s="4">
        <v>20251110</v>
      </c>
      <c r="H480" s="38" t="str">
        <f>VLOOKUP(B480,CAJEROS!B:D,3,0)</f>
        <v>Dispensador</v>
      </c>
      <c r="I480" s="34" t="s">
        <v>9</v>
      </c>
      <c r="J480" s="38" t="str">
        <f>VLOOKUP(B480,CAJEROS!B:E,4,0)</f>
        <v>SUC_NICOL1</v>
      </c>
    </row>
    <row r="481" spans="1:10">
      <c r="A481" s="32">
        <v>499</v>
      </c>
      <c r="B481" s="33">
        <v>9808</v>
      </c>
      <c r="C481" s="3">
        <v>500000</v>
      </c>
      <c r="D481" s="3"/>
      <c r="E481" s="31">
        <f t="shared" si="23"/>
        <v>500000</v>
      </c>
      <c r="F481" s="5">
        <v>45972</v>
      </c>
      <c r="G481" s="4">
        <v>20251110</v>
      </c>
      <c r="H481" s="38" t="str">
        <f>VLOOKUP(B481,CAJEROS!B:D,3,0)</f>
        <v>Dispensador</v>
      </c>
      <c r="I481" s="34" t="s">
        <v>9</v>
      </c>
      <c r="J481" s="38" t="str">
        <f>VLOOKUP(B481,CAJEROS!B:E,4,0)</f>
        <v>SUCPARFAB10</v>
      </c>
    </row>
    <row r="482" spans="1:10">
      <c r="A482" s="32">
        <v>584</v>
      </c>
      <c r="B482" s="33">
        <v>6874</v>
      </c>
      <c r="C482" s="3">
        <v>1100000</v>
      </c>
      <c r="D482" s="3"/>
      <c r="E482" s="31">
        <f t="shared" si="23"/>
        <v>1100000</v>
      </c>
      <c r="F482" s="5">
        <v>45972</v>
      </c>
      <c r="G482" s="4">
        <v>20251110</v>
      </c>
      <c r="H482" s="38" t="str">
        <f>VLOOKUP(B482,CAJEROS!B:D,3,0)</f>
        <v>Dispensador</v>
      </c>
      <c r="I482" s="34" t="s">
        <v>9</v>
      </c>
      <c r="J482" s="38" t="str">
        <f>VLOOKUP(B482,CAJEROS!B:E,4,0)</f>
        <v>HALLCHIGOR2</v>
      </c>
    </row>
    <row r="483" spans="1:10">
      <c r="A483" s="32">
        <v>678</v>
      </c>
      <c r="B483" s="33">
        <v>6014</v>
      </c>
      <c r="C483" s="3">
        <v>350000</v>
      </c>
      <c r="D483" s="3"/>
      <c r="E483" s="31">
        <f t="shared" si="23"/>
        <v>350000</v>
      </c>
      <c r="F483" s="5">
        <v>45972</v>
      </c>
      <c r="G483" s="4">
        <v>20251110</v>
      </c>
      <c r="H483" s="38" t="str">
        <f>VLOOKUP(B483,CAJEROS!B:D,3,0)</f>
        <v>Dispensador</v>
      </c>
      <c r="I483" s="34" t="s">
        <v>9</v>
      </c>
      <c r="J483" s="38" t="str">
        <f>VLOOKUP(B483,CAJEROS!B:E,4,0)</f>
        <v>PASEOCAST_5</v>
      </c>
    </row>
    <row r="484" spans="1:10">
      <c r="A484" s="32">
        <v>688</v>
      </c>
      <c r="B484" s="33">
        <v>4840</v>
      </c>
      <c r="C484" s="3">
        <v>1500000</v>
      </c>
      <c r="D484" s="3">
        <v>1500000</v>
      </c>
      <c r="E484" s="31">
        <f t="shared" si="23"/>
        <v>0</v>
      </c>
      <c r="F484" s="5">
        <v>45972</v>
      </c>
      <c r="G484" s="4">
        <v>20251110</v>
      </c>
      <c r="H484" s="38" t="str">
        <f>VLOOKUP(B484,CAJEROS!B:D,3,0)</f>
        <v>Dispensador</v>
      </c>
      <c r="I484" s="34" t="s">
        <v>9</v>
      </c>
      <c r="J484" s="38" t="str">
        <f>VLOOKUP(B484,CAJEROS!B:E,4,0)</f>
        <v>SUC_CONTAD1</v>
      </c>
    </row>
    <row r="485" spans="1:10">
      <c r="A485" s="32">
        <v>705</v>
      </c>
      <c r="B485" s="33">
        <v>4152</v>
      </c>
      <c r="C485" s="3">
        <v>50000</v>
      </c>
      <c r="D485" s="3">
        <v>50000</v>
      </c>
      <c r="E485" s="31">
        <f t="shared" si="23"/>
        <v>0</v>
      </c>
      <c r="F485" s="5">
        <v>45972</v>
      </c>
      <c r="G485" s="4">
        <v>20251110</v>
      </c>
      <c r="H485" s="38" t="str">
        <f>VLOOKUP(B485,CAJEROS!B:D,3,0)</f>
        <v>Dispensador</v>
      </c>
      <c r="I485" s="34" t="s">
        <v>9</v>
      </c>
      <c r="J485" s="38" t="str">
        <f>VLOOKUP(B485,CAJEROS!B:E,4,0)</f>
        <v>SUC_BAGRE2</v>
      </c>
    </row>
    <row r="486" spans="1:10">
      <c r="A486" s="32">
        <v>864</v>
      </c>
      <c r="B486" s="33">
        <v>5795</v>
      </c>
      <c r="C486" s="3">
        <v>50000</v>
      </c>
      <c r="D486" s="3"/>
      <c r="E486" s="31">
        <f t="shared" si="23"/>
        <v>50000</v>
      </c>
      <c r="F486" s="5">
        <v>45972</v>
      </c>
      <c r="G486" s="4">
        <v>20251110</v>
      </c>
      <c r="H486" s="38" t="str">
        <f>VLOOKUP(B486,CAJEROS!B:D,3,0)</f>
        <v>Dispensador</v>
      </c>
      <c r="I486" s="34" t="s">
        <v>9</v>
      </c>
      <c r="J486" s="38" t="str">
        <f>VLOOKUP(B486,CAJEROS!B:E,4,0)</f>
        <v>SUC_PRADER1</v>
      </c>
    </row>
    <row r="487" spans="1:10">
      <c r="A487" s="32">
        <v>866</v>
      </c>
      <c r="B487" s="33">
        <v>6260</v>
      </c>
      <c r="C487" s="3">
        <v>100000</v>
      </c>
      <c r="D487" s="3"/>
      <c r="E487" s="31">
        <f t="shared" si="23"/>
        <v>100000</v>
      </c>
      <c r="F487" s="5">
        <v>45972</v>
      </c>
      <c r="G487" s="4">
        <v>20251110</v>
      </c>
      <c r="H487" s="38" t="str">
        <f>VLOOKUP(B487,CAJEROS!B:D,3,0)</f>
        <v>Dispensador</v>
      </c>
      <c r="I487" s="34" t="s">
        <v>9</v>
      </c>
      <c r="J487" s="38" t="str">
        <f>VLOOKUP(B487,CAJEROS!B:E,4,0)</f>
        <v>SUC_FLORID4</v>
      </c>
    </row>
    <row r="488" spans="1:10">
      <c r="A488" s="32">
        <v>884</v>
      </c>
      <c r="B488" s="33">
        <v>7538</v>
      </c>
      <c r="C488" s="3">
        <v>70000</v>
      </c>
      <c r="D488" s="3"/>
      <c r="E488" s="31">
        <f t="shared" si="23"/>
        <v>70000</v>
      </c>
      <c r="F488" s="5">
        <v>45972</v>
      </c>
      <c r="G488" s="4">
        <v>20251110</v>
      </c>
      <c r="H488" s="38" t="str">
        <f>VLOOKUP(B488,CAJEROS!B:D,3,0)</f>
        <v>Dispensador</v>
      </c>
      <c r="I488" s="34" t="s">
        <v>9</v>
      </c>
      <c r="J488" s="38" t="str">
        <f>VLOOKUP(B488,CAJEROS!B:E,4,0)</f>
        <v>SUCSANMART3</v>
      </c>
    </row>
    <row r="489" spans="1:10">
      <c r="A489" s="32">
        <v>943</v>
      </c>
      <c r="B489" s="33">
        <v>7442</v>
      </c>
      <c r="C489" s="3">
        <v>70000</v>
      </c>
      <c r="D489" s="3"/>
      <c r="E489" s="31">
        <f t="shared" si="23"/>
        <v>70000</v>
      </c>
      <c r="F489" s="5">
        <v>45972</v>
      </c>
      <c r="G489" s="4">
        <v>20251110</v>
      </c>
      <c r="H489" s="38" t="str">
        <f>VLOOKUP(B489,CAJEROS!B:D,3,0)</f>
        <v>Dispensador</v>
      </c>
      <c r="I489" s="34" t="s">
        <v>9</v>
      </c>
      <c r="J489" s="38" t="str">
        <f>VLOOKUP(B489,CAJEROS!B:E,4,0)</f>
        <v>LETICIA_4</v>
      </c>
    </row>
    <row r="490" spans="1:10">
      <c r="A490" s="32">
        <v>992</v>
      </c>
      <c r="B490" s="33">
        <v>3492</v>
      </c>
      <c r="C490" s="3">
        <v>100000</v>
      </c>
      <c r="D490" s="3"/>
      <c r="E490" s="31">
        <f t="shared" ref="E490" si="24">+C490-D490</f>
        <v>100000</v>
      </c>
      <c r="F490" s="5">
        <v>45972</v>
      </c>
      <c r="G490" s="4">
        <v>20251110</v>
      </c>
      <c r="H490" s="38" t="str">
        <f>VLOOKUP(B490,CAJEROS!B:D,3,0)</f>
        <v>Dispensador</v>
      </c>
      <c r="I490" s="34" t="s">
        <v>9</v>
      </c>
      <c r="J490" s="38" t="str">
        <f>VLOOKUP(B490,CAJEROS!B:E,4,0)</f>
        <v>GUACHENE</v>
      </c>
    </row>
    <row r="491" spans="1:10">
      <c r="A491" s="32">
        <v>70</v>
      </c>
      <c r="B491" s="33">
        <v>5164</v>
      </c>
      <c r="C491" s="3">
        <v>23599800</v>
      </c>
      <c r="D491" s="3">
        <v>4230000</v>
      </c>
      <c r="E491" s="31">
        <f t="shared" ref="E491" si="25">+C491-D491</f>
        <v>19369800</v>
      </c>
      <c r="F491" s="5">
        <v>45972</v>
      </c>
      <c r="G491" s="4">
        <v>20251110</v>
      </c>
      <c r="H491" s="38" t="str">
        <f>VLOOKUP(B491,CAJEROS!B:D,3,0)</f>
        <v>Multifuncional</v>
      </c>
      <c r="I491" s="34"/>
      <c r="J491" s="38" t="str">
        <f>VLOOKUP(B491,CAJEROS!B:E,4,0)</f>
        <v>MF_MANIZALE</v>
      </c>
    </row>
    <row r="492" spans="1:10">
      <c r="A492" s="32">
        <v>211</v>
      </c>
      <c r="B492" s="33">
        <v>5067</v>
      </c>
      <c r="C492" s="3">
        <v>7959800</v>
      </c>
      <c r="D492" s="3"/>
      <c r="E492" s="31">
        <f t="shared" ref="E492:E501" si="26">+C492-D492</f>
        <v>7959800</v>
      </c>
      <c r="F492" s="5">
        <v>45972</v>
      </c>
      <c r="G492" s="4">
        <v>20251110</v>
      </c>
      <c r="H492" s="38" t="str">
        <f>VLOOKUP(B492,CAJEROS!B:D,3,0)</f>
        <v>Multifuncional</v>
      </c>
      <c r="I492" s="34"/>
      <c r="J492" s="38" t="str">
        <f>VLOOKUP(B492,CAJEROS!B:E,4,0)</f>
        <v>MF_SCTROIND</v>
      </c>
    </row>
    <row r="493" spans="1:10">
      <c r="A493" s="32">
        <v>225</v>
      </c>
      <c r="B493" s="33">
        <v>8868</v>
      </c>
      <c r="C493" s="3">
        <v>6790000</v>
      </c>
      <c r="D493" s="3"/>
      <c r="E493" s="31">
        <f t="shared" si="26"/>
        <v>6790000</v>
      </c>
      <c r="F493" s="5">
        <v>45972</v>
      </c>
      <c r="G493" s="4">
        <v>20251110</v>
      </c>
      <c r="H493" s="38" t="str">
        <f>VLOOKUP(B493,CAJEROS!B:D,3,0)</f>
        <v>Multifuncional</v>
      </c>
      <c r="I493" s="34"/>
      <c r="J493" s="38" t="str">
        <f>VLOOKUP(B493,CAJEROS!B:E,4,0)</f>
        <v>MF_SMPLNQS1</v>
      </c>
    </row>
    <row r="494" spans="1:10">
      <c r="A494" s="32">
        <v>225</v>
      </c>
      <c r="B494" s="33">
        <v>8869</v>
      </c>
      <c r="C494" s="3">
        <v>20779000</v>
      </c>
      <c r="D494" s="3"/>
      <c r="E494" s="31">
        <f t="shared" si="26"/>
        <v>20779000</v>
      </c>
      <c r="F494" s="5">
        <v>45972</v>
      </c>
      <c r="G494" s="4">
        <v>20251110</v>
      </c>
      <c r="H494" s="38" t="str">
        <f>VLOOKUP(B494,CAJEROS!B:D,3,0)</f>
        <v>Multifuncional</v>
      </c>
      <c r="I494" s="34"/>
      <c r="J494" s="38" t="str">
        <f>VLOOKUP(B494,CAJEROS!B:E,4,0)</f>
        <v>MF_SMPLNQS2</v>
      </c>
    </row>
    <row r="495" spans="1:10">
      <c r="A495" s="32">
        <v>229</v>
      </c>
      <c r="B495" s="33">
        <v>9604</v>
      </c>
      <c r="C495" s="3">
        <v>506500</v>
      </c>
      <c r="D495" s="3"/>
      <c r="E495" s="31">
        <f t="shared" si="26"/>
        <v>506500</v>
      </c>
      <c r="F495" s="5">
        <v>45972</v>
      </c>
      <c r="G495" s="4">
        <v>20251110</v>
      </c>
      <c r="H495" s="38" t="str">
        <f>VLOOKUP(B495,CAJEROS!B:D,3,0)</f>
        <v>Multifuncional</v>
      </c>
      <c r="I495" s="34"/>
      <c r="J495" s="38" t="str">
        <f>VLOOKUP(B495,CAJEROS!B:E,4,0)</f>
        <v>MFSUCPASER1</v>
      </c>
    </row>
    <row r="496" spans="1:10">
      <c r="A496" s="32">
        <v>229</v>
      </c>
      <c r="B496" s="33">
        <v>9605</v>
      </c>
      <c r="C496" s="3">
        <v>12149800</v>
      </c>
      <c r="D496" s="3"/>
      <c r="E496" s="31">
        <f t="shared" si="26"/>
        <v>12149800</v>
      </c>
      <c r="F496" s="5">
        <v>45972</v>
      </c>
      <c r="G496" s="4">
        <v>20251110</v>
      </c>
      <c r="H496" s="38" t="str">
        <f>VLOOKUP(B496,CAJEROS!B:D,3,0)</f>
        <v>Multifuncional</v>
      </c>
      <c r="I496" s="34"/>
      <c r="J496" s="38" t="str">
        <f>VLOOKUP(B496,CAJEROS!B:E,4,0)</f>
        <v>MFSUCPASER2</v>
      </c>
    </row>
    <row r="497" spans="1:10">
      <c r="A497" s="32">
        <v>688</v>
      </c>
      <c r="B497" s="33">
        <v>6209</v>
      </c>
      <c r="C497" s="3">
        <v>27350</v>
      </c>
      <c r="D497" s="3"/>
      <c r="E497" s="31">
        <f t="shared" si="26"/>
        <v>27350</v>
      </c>
      <c r="F497" s="5">
        <v>45972</v>
      </c>
      <c r="G497" s="4">
        <v>20251110</v>
      </c>
      <c r="H497" s="38" t="str">
        <f>VLOOKUP(B497,CAJEROS!B:D,3,0)</f>
        <v>Multifuncional</v>
      </c>
      <c r="I497" s="34"/>
      <c r="J497" s="38" t="str">
        <f>VLOOKUP(B497,CAJEROS!B:E,4,0)</f>
        <v>MF_CONTADOR</v>
      </c>
    </row>
    <row r="498" spans="1:10">
      <c r="A498" s="32">
        <v>718</v>
      </c>
      <c r="B498" s="33">
        <v>6248</v>
      </c>
      <c r="C498" s="3">
        <v>63850000</v>
      </c>
      <c r="D498" s="3"/>
      <c r="E498" s="31">
        <f t="shared" si="26"/>
        <v>63850000</v>
      </c>
      <c r="F498" s="5">
        <v>45972</v>
      </c>
      <c r="G498" s="4">
        <v>20251110</v>
      </c>
      <c r="H498" s="38" t="str">
        <f>VLOOKUP(B498,CAJEROS!B:D,3,0)</f>
        <v>Multifuncional</v>
      </c>
      <c r="I498" s="34"/>
      <c r="J498" s="38" t="str">
        <f>VLOOKUP(B498,CAJEROS!B:E,4,0)</f>
        <v>MF_LAESTACI</v>
      </c>
    </row>
    <row r="499" spans="1:10">
      <c r="A499" s="32">
        <v>789</v>
      </c>
      <c r="B499" s="33">
        <v>5118</v>
      </c>
      <c r="C499" s="3">
        <v>3071000</v>
      </c>
      <c r="D499" s="3"/>
      <c r="E499" s="31">
        <f t="shared" si="26"/>
        <v>3071000</v>
      </c>
      <c r="F499" s="5">
        <v>45972</v>
      </c>
      <c r="G499" s="4">
        <v>20251110</v>
      </c>
      <c r="H499" s="38" t="str">
        <f>VLOOKUP(B499,CAJEROS!B:D,3,0)</f>
        <v>Multifuncional</v>
      </c>
      <c r="I499" s="34"/>
      <c r="J499" s="38" t="str">
        <f>VLOOKUP(B499,CAJEROS!B:E,4,0)</f>
        <v>MF_MANGA</v>
      </c>
    </row>
    <row r="500" spans="1:10">
      <c r="A500" s="32">
        <v>907</v>
      </c>
      <c r="B500" s="33">
        <v>5019</v>
      </c>
      <c r="C500" s="3">
        <v>800050</v>
      </c>
      <c r="D500" s="3"/>
      <c r="E500" s="31">
        <f t="shared" si="26"/>
        <v>800050</v>
      </c>
      <c r="F500" s="5">
        <v>45972</v>
      </c>
      <c r="G500" s="4">
        <v>20251110</v>
      </c>
      <c r="H500" s="38" t="str">
        <f>VLOOKUP(B500,CAJEROS!B:D,3,0)</f>
        <v>Multifuncional</v>
      </c>
      <c r="I500" s="34"/>
      <c r="J500" s="38" t="str">
        <f>VLOOKUP(B500,CAJEROS!B:E,4,0)</f>
        <v>MF_FRONTERA</v>
      </c>
    </row>
    <row r="501" spans="1:10">
      <c r="A501" s="32">
        <v>957</v>
      </c>
      <c r="B501" s="33">
        <v>9513</v>
      </c>
      <c r="C501" s="3">
        <v>8742000</v>
      </c>
      <c r="D501" s="3"/>
      <c r="E501" s="31">
        <f t="shared" si="26"/>
        <v>8742000</v>
      </c>
      <c r="F501" s="5">
        <v>45972</v>
      </c>
      <c r="G501" s="4">
        <v>20251110</v>
      </c>
      <c r="H501" s="38" t="str">
        <f>VLOOKUP(B501,CAJEROS!B:D,3,0)</f>
        <v>Multifuncional</v>
      </c>
      <c r="I501" s="34"/>
      <c r="J501" s="38" t="str">
        <f>VLOOKUP(B501,CAJEROS!B:E,4,0)</f>
        <v>MFSUCPARAL2</v>
      </c>
    </row>
    <row r="502" spans="1:10">
      <c r="A502" s="32">
        <v>60</v>
      </c>
      <c r="B502" s="33">
        <v>8727</v>
      </c>
      <c r="C502" s="3">
        <v>3995100</v>
      </c>
      <c r="D502" s="3"/>
      <c r="E502" s="31">
        <f t="shared" ref="E502" si="27">+C502-D502</f>
        <v>3995100</v>
      </c>
      <c r="F502" s="5">
        <v>45972</v>
      </c>
      <c r="G502" s="4">
        <v>20251110</v>
      </c>
      <c r="H502" s="38" t="str">
        <f>VLOOKUP(B502,CAJEROS!B:D,3,0)</f>
        <v>Multifuncional</v>
      </c>
      <c r="I502" s="34" t="s">
        <v>9</v>
      </c>
      <c r="J502" s="38" t="str">
        <f>VLOOKUP(B502,CAJEROS!B:E,4,0)</f>
        <v>MF_HCALIPR1</v>
      </c>
    </row>
    <row r="503" spans="1:10">
      <c r="A503" s="32">
        <v>4</v>
      </c>
      <c r="B503" s="33">
        <v>316</v>
      </c>
      <c r="C503" s="3">
        <v>3750000</v>
      </c>
      <c r="D503" s="3">
        <v>590000</v>
      </c>
      <c r="E503" s="31">
        <f t="shared" ref="E503:E537" si="28">+C503-D503</f>
        <v>3160000</v>
      </c>
      <c r="F503" s="5">
        <v>45972</v>
      </c>
      <c r="G503" s="4">
        <v>20251110</v>
      </c>
      <c r="H503" s="38" t="str">
        <f>VLOOKUP(B503,CAJEROS!B:D,3,0)</f>
        <v>Multifuncional</v>
      </c>
      <c r="I503" s="34" t="s">
        <v>9</v>
      </c>
      <c r="J503" s="38" t="str">
        <f>VLOOKUP(B503,CAJEROS!B:E,4,0)</f>
        <v>MF_SUCLAUR3</v>
      </c>
    </row>
    <row r="504" spans="1:10">
      <c r="A504" s="32">
        <v>750</v>
      </c>
      <c r="B504" s="33">
        <v>5157</v>
      </c>
      <c r="C504" s="3">
        <v>3480000</v>
      </c>
      <c r="D504" s="3">
        <v>1460000</v>
      </c>
      <c r="E504" s="31">
        <f t="shared" si="28"/>
        <v>2020000</v>
      </c>
      <c r="F504" s="5">
        <v>45972</v>
      </c>
      <c r="G504" s="4">
        <v>20251110</v>
      </c>
      <c r="H504" s="38" t="str">
        <f>VLOOKUP(B504,CAJEROS!B:D,3,0)</f>
        <v>Multifuncional</v>
      </c>
      <c r="I504" s="34" t="s">
        <v>9</v>
      </c>
      <c r="J504" s="38" t="str">
        <f>VLOOKUP(B504,CAJEROS!B:E,4,0)</f>
        <v>MF_AVROOSVL</v>
      </c>
    </row>
    <row r="505" spans="1:10">
      <c r="A505" s="32">
        <v>379</v>
      </c>
      <c r="B505" s="33">
        <v>6465</v>
      </c>
      <c r="C505" s="3">
        <v>3400000</v>
      </c>
      <c r="D505" s="3"/>
      <c r="E505" s="31">
        <f t="shared" si="28"/>
        <v>3400000</v>
      </c>
      <c r="F505" s="5">
        <v>45972</v>
      </c>
      <c r="G505" s="4">
        <v>20251110</v>
      </c>
      <c r="H505" s="38" t="str">
        <f>VLOOKUP(B505,CAJEROS!B:D,3,0)</f>
        <v>Multifuncional</v>
      </c>
      <c r="I505" s="34" t="s">
        <v>9</v>
      </c>
      <c r="J505" s="38" t="str">
        <f>VLOOKUP(B505,CAJEROS!B:E,4,0)</f>
        <v>MF_SUCTESO1</v>
      </c>
    </row>
    <row r="506" spans="1:10">
      <c r="A506" s="32">
        <v>395</v>
      </c>
      <c r="B506" s="33">
        <v>1528</v>
      </c>
      <c r="C506" s="3">
        <v>3285000</v>
      </c>
      <c r="D506" s="3">
        <f>2070000+1090000</f>
        <v>3160000</v>
      </c>
      <c r="E506" s="31">
        <f t="shared" si="28"/>
        <v>125000</v>
      </c>
      <c r="F506" s="5">
        <v>45972</v>
      </c>
      <c r="G506" s="4">
        <v>20251110</v>
      </c>
      <c r="H506" s="38" t="str">
        <f>VLOOKUP(B506,CAJEROS!B:D,3,0)</f>
        <v>Multifuncional</v>
      </c>
      <c r="I506" s="34" t="s">
        <v>9</v>
      </c>
      <c r="J506" s="38" t="str">
        <f>VLOOKUP(B506,CAJEROS!B:E,4,0)</f>
        <v>SUCMFVIVCI1</v>
      </c>
    </row>
    <row r="507" spans="1:10">
      <c r="A507" s="32">
        <v>302</v>
      </c>
      <c r="B507" s="33">
        <v>5170</v>
      </c>
      <c r="C507" s="3">
        <v>3185000</v>
      </c>
      <c r="D507" s="3">
        <v>3170000</v>
      </c>
      <c r="E507" s="31">
        <f t="shared" si="28"/>
        <v>15000</v>
      </c>
      <c r="F507" s="5">
        <v>45972</v>
      </c>
      <c r="G507" s="4">
        <v>20251110</v>
      </c>
      <c r="H507" s="38" t="str">
        <f>VLOOKUP(B507,CAJEROS!B:D,3,0)</f>
        <v>Multifuncional</v>
      </c>
      <c r="I507" s="34" t="s">
        <v>9</v>
      </c>
      <c r="J507" s="38" t="str">
        <f>VLOOKUP(B507,CAJEROS!B:E,4,0)</f>
        <v>MF_QUEBRASE</v>
      </c>
    </row>
    <row r="508" spans="1:10">
      <c r="A508" s="32">
        <v>725</v>
      </c>
      <c r="B508" s="33">
        <v>5166</v>
      </c>
      <c r="C508" s="3">
        <v>3122300</v>
      </c>
      <c r="D508" s="3">
        <v>2760000</v>
      </c>
      <c r="E508" s="31">
        <f t="shared" si="28"/>
        <v>362300</v>
      </c>
      <c r="F508" s="5">
        <v>45972</v>
      </c>
      <c r="G508" s="4">
        <v>20251110</v>
      </c>
      <c r="H508" s="38" t="str">
        <f>VLOOKUP(B508,CAJEROS!B:D,3,0)</f>
        <v>Multifuncional</v>
      </c>
      <c r="I508" s="34" t="s">
        <v>9</v>
      </c>
      <c r="J508" s="38" t="str">
        <f>VLOOKUP(B508,CAJEROS!B:E,4,0)</f>
        <v>MF_DOSQUEBR</v>
      </c>
    </row>
    <row r="509" spans="1:10">
      <c r="A509" s="32">
        <v>20</v>
      </c>
      <c r="B509" s="33">
        <v>9204</v>
      </c>
      <c r="C509" s="3">
        <v>3070000</v>
      </c>
      <c r="D509" s="3">
        <v>2107000</v>
      </c>
      <c r="E509" s="31">
        <f t="shared" si="28"/>
        <v>963000</v>
      </c>
      <c r="F509" s="5">
        <v>45972</v>
      </c>
      <c r="G509" s="4">
        <v>20251110</v>
      </c>
      <c r="H509" s="38" t="str">
        <f>VLOOKUP(B509,CAJEROS!B:D,3,0)</f>
        <v>Multifuncional</v>
      </c>
      <c r="I509" s="34" t="s">
        <v>9</v>
      </c>
      <c r="J509" s="38" t="str">
        <f>VLOOKUP(B509,CAJEROS!B:E,4,0)</f>
        <v>MF_BUCMANGA</v>
      </c>
    </row>
    <row r="510" spans="1:10">
      <c r="A510" s="32">
        <v>363</v>
      </c>
      <c r="B510" s="33">
        <v>5168</v>
      </c>
      <c r="C510" s="3">
        <v>3045000</v>
      </c>
      <c r="D510" s="3">
        <v>2337000</v>
      </c>
      <c r="E510" s="31">
        <f t="shared" si="28"/>
        <v>708000</v>
      </c>
      <c r="F510" s="5">
        <v>45972</v>
      </c>
      <c r="G510" s="4">
        <v>20251110</v>
      </c>
      <c r="H510" s="38" t="str">
        <f>VLOOKUP(B510,CAJEROS!B:D,3,0)</f>
        <v>Multifuncional</v>
      </c>
      <c r="I510" s="34" t="s">
        <v>9</v>
      </c>
      <c r="J510" s="38" t="str">
        <f>VLOOKUP(B510,CAJEROS!B:E,4,0)</f>
        <v>MF_YOPAL</v>
      </c>
    </row>
    <row r="511" spans="1:10">
      <c r="A511" s="32">
        <v>944</v>
      </c>
      <c r="B511" s="33">
        <v>2228</v>
      </c>
      <c r="C511" s="3">
        <v>2468450</v>
      </c>
      <c r="D511" s="3">
        <v>1320000</v>
      </c>
      <c r="E511" s="31">
        <f t="shared" si="28"/>
        <v>1148450</v>
      </c>
      <c r="F511" s="5">
        <v>45972</v>
      </c>
      <c r="G511" s="4">
        <v>20251110</v>
      </c>
      <c r="H511" s="38" t="str">
        <f>VLOOKUP(B511,CAJEROS!B:D,3,0)</f>
        <v>Multifuncional</v>
      </c>
      <c r="I511" s="34" t="s">
        <v>9</v>
      </c>
      <c r="J511" s="38" t="str">
        <f>VLOOKUP(B511,CAJEROS!B:E,4,0)</f>
        <v>MF_SANTABO3</v>
      </c>
    </row>
    <row r="512" spans="1:10">
      <c r="A512" s="32">
        <v>721</v>
      </c>
      <c r="B512" s="33">
        <v>8897</v>
      </c>
      <c r="C512" s="3">
        <v>2452000</v>
      </c>
      <c r="D512" s="3"/>
      <c r="E512" s="31">
        <f t="shared" si="28"/>
        <v>2452000</v>
      </c>
      <c r="F512" s="5">
        <v>45972</v>
      </c>
      <c r="G512" s="4">
        <v>20251110</v>
      </c>
      <c r="H512" s="38" t="str">
        <f>VLOOKUP(B512,CAJEROS!B:D,3,0)</f>
        <v>Multifuncional</v>
      </c>
      <c r="I512" s="34" t="s">
        <v>9</v>
      </c>
      <c r="J512" s="38" t="str">
        <f>VLOOKUP(B512,CAJEROS!B:E,4,0)</f>
        <v>MFSUCLAGO2</v>
      </c>
    </row>
    <row r="513" spans="1:10">
      <c r="A513" s="32">
        <v>829</v>
      </c>
      <c r="B513" s="33">
        <v>5137</v>
      </c>
      <c r="C513" s="3">
        <v>2091000</v>
      </c>
      <c r="D513" s="3"/>
      <c r="E513" s="31">
        <f t="shared" si="28"/>
        <v>2091000</v>
      </c>
      <c r="F513" s="5">
        <v>45972</v>
      </c>
      <c r="G513" s="4">
        <v>20251110</v>
      </c>
      <c r="H513" s="38" t="str">
        <f>VLOOKUP(B513,CAJEROS!B:D,3,0)</f>
        <v>Multifuncional</v>
      </c>
      <c r="I513" s="34" t="s">
        <v>9</v>
      </c>
      <c r="J513" s="38" t="str">
        <f>VLOOKUP(B513,CAJEROS!B:E,4,0)</f>
        <v>MF_UNICALI1</v>
      </c>
    </row>
    <row r="514" spans="1:10">
      <c r="A514" s="32">
        <v>15</v>
      </c>
      <c r="B514" s="33">
        <v>8576</v>
      </c>
      <c r="C514" s="3">
        <v>1928000</v>
      </c>
      <c r="D514" s="3"/>
      <c r="E514" s="31">
        <f t="shared" si="28"/>
        <v>1928000</v>
      </c>
      <c r="F514" s="5">
        <v>45972</v>
      </c>
      <c r="G514" s="4">
        <v>20251110</v>
      </c>
      <c r="H514" s="38" t="str">
        <f>VLOOKUP(B514,CAJEROS!B:D,3,0)</f>
        <v>Multifuncional</v>
      </c>
      <c r="I514" s="34" t="s">
        <v>9</v>
      </c>
      <c r="J514" s="38" t="str">
        <f>VLOOKUP(B514,CAJEROS!B:E,4,0)</f>
        <v>MF_HITAGUI1</v>
      </c>
    </row>
    <row r="515" spans="1:10">
      <c r="A515" s="32">
        <v>348</v>
      </c>
      <c r="B515" s="33">
        <v>6724</v>
      </c>
      <c r="C515" s="3">
        <v>1819000</v>
      </c>
      <c r="D515" s="3"/>
      <c r="E515" s="31">
        <f t="shared" si="28"/>
        <v>1819000</v>
      </c>
      <c r="F515" s="5">
        <v>45972</v>
      </c>
      <c r="G515" s="4">
        <v>20251110</v>
      </c>
      <c r="H515" s="38" t="str">
        <f>VLOOKUP(B515,CAJEROS!B:D,3,0)</f>
        <v>Multifuncional</v>
      </c>
      <c r="I515" s="34" t="s">
        <v>9</v>
      </c>
      <c r="J515" s="38" t="str">
        <f>VLOOKUP(B515,CAJEROS!B:E,4,0)</f>
        <v>MF_SANANDRE</v>
      </c>
    </row>
    <row r="516" spans="1:10">
      <c r="A516" s="32">
        <v>743</v>
      </c>
      <c r="B516" s="33">
        <v>5106</v>
      </c>
      <c r="C516" s="3">
        <v>1740000</v>
      </c>
      <c r="D516" s="3"/>
      <c r="E516" s="31">
        <f t="shared" si="28"/>
        <v>1740000</v>
      </c>
      <c r="F516" s="5">
        <v>45972</v>
      </c>
      <c r="G516" s="4">
        <v>20251110</v>
      </c>
      <c r="H516" s="38" t="str">
        <f>VLOOKUP(B516,CAJEROS!B:D,3,0)</f>
        <v>Multifuncional</v>
      </c>
      <c r="I516" s="34" t="s">
        <v>9</v>
      </c>
      <c r="J516" s="38" t="str">
        <f>VLOOKUP(B516,CAJEROS!B:E,4,0)</f>
        <v>MF_NORTHPOI</v>
      </c>
    </row>
    <row r="517" spans="1:10">
      <c r="A517" s="32">
        <v>551</v>
      </c>
      <c r="B517" s="33">
        <v>9643</v>
      </c>
      <c r="C517" s="3">
        <v>1610000</v>
      </c>
      <c r="D517" s="3"/>
      <c r="E517" s="31">
        <f t="shared" si="28"/>
        <v>1610000</v>
      </c>
      <c r="F517" s="5">
        <v>45972</v>
      </c>
      <c r="G517" s="4">
        <v>20251110</v>
      </c>
      <c r="H517" s="38" t="str">
        <f>VLOOKUP(B517,CAJEROS!B:D,3,0)</f>
        <v>Multifuncional</v>
      </c>
      <c r="I517" s="34" t="s">
        <v>9</v>
      </c>
      <c r="J517" s="38" t="str">
        <f>VLOOKUP(B517,CAJEROS!B:E,4,0)</f>
        <v>MFSUCUNIME1</v>
      </c>
    </row>
    <row r="518" spans="1:10">
      <c r="A518" s="32">
        <v>430</v>
      </c>
      <c r="B518" s="33">
        <v>5104</v>
      </c>
      <c r="C518" s="3">
        <v>1579250</v>
      </c>
      <c r="D518" s="3">
        <v>1575000</v>
      </c>
      <c r="E518" s="31">
        <f t="shared" si="28"/>
        <v>4250</v>
      </c>
      <c r="F518" s="5">
        <v>45972</v>
      </c>
      <c r="G518" s="4">
        <v>20251110</v>
      </c>
      <c r="H518" s="38" t="str">
        <f>VLOOKUP(B518,CAJEROS!B:D,3,0)</f>
        <v>Multifuncional</v>
      </c>
      <c r="I518" s="34" t="s">
        <v>9</v>
      </c>
      <c r="J518" s="38" t="str">
        <f>VLOOKUP(B518,CAJEROS!B:E,4,0)</f>
        <v>MF_ZONAROSA</v>
      </c>
    </row>
    <row r="519" spans="1:10">
      <c r="A519" s="32">
        <v>795</v>
      </c>
      <c r="B519" s="33">
        <v>1027</v>
      </c>
      <c r="C519" s="3">
        <v>1530000</v>
      </c>
      <c r="D519" s="3"/>
      <c r="E519" s="31">
        <f t="shared" si="28"/>
        <v>1530000</v>
      </c>
      <c r="F519" s="5">
        <v>45972</v>
      </c>
      <c r="G519" s="4">
        <v>20251110</v>
      </c>
      <c r="H519" s="38" t="str">
        <f>VLOOKUP(B519,CAJEROS!B:D,3,0)</f>
        <v>Multifuncional</v>
      </c>
      <c r="I519" s="34" t="s">
        <v>9</v>
      </c>
      <c r="J519" s="38" t="str">
        <f>VLOOKUP(B519,CAJEROS!B:E,4,0)</f>
        <v>MFSUCANVER1</v>
      </c>
    </row>
    <row r="520" spans="1:10">
      <c r="A520" s="32">
        <v>523</v>
      </c>
      <c r="B520" s="33">
        <v>5082</v>
      </c>
      <c r="C520" s="3">
        <v>1474000</v>
      </c>
      <c r="D520" s="3"/>
      <c r="E520" s="31">
        <f t="shared" si="28"/>
        <v>1474000</v>
      </c>
      <c r="F520" s="5">
        <v>45972</v>
      </c>
      <c r="G520" s="4">
        <v>20251110</v>
      </c>
      <c r="H520" s="38" t="str">
        <f>VLOOKUP(B520,CAJEROS!B:D,3,0)</f>
        <v>Multifuncional</v>
      </c>
      <c r="I520" s="34" t="s">
        <v>9</v>
      </c>
      <c r="J520" s="38" t="str">
        <f>VLOOKUP(B520,CAJEROS!B:E,4,0)</f>
        <v>MF_OVALLEDU</v>
      </c>
    </row>
    <row r="521" spans="1:10">
      <c r="A521" s="32">
        <v>91</v>
      </c>
      <c r="B521" s="33">
        <v>7943</v>
      </c>
      <c r="C521" s="3">
        <v>1467000</v>
      </c>
      <c r="D521" s="3"/>
      <c r="E521" s="31">
        <f t="shared" si="28"/>
        <v>1467000</v>
      </c>
      <c r="F521" s="5">
        <v>45972</v>
      </c>
      <c r="G521" s="4">
        <v>20251110</v>
      </c>
      <c r="H521" s="38" t="str">
        <f>VLOOKUP(B521,CAJEROS!B:D,3,0)</f>
        <v>Multifuncional</v>
      </c>
      <c r="I521" s="34" t="s">
        <v>9</v>
      </c>
      <c r="J521" s="38" t="str">
        <f>VLOOKUP(B521,CAJEROS!B:E,4,0)</f>
        <v>MF_MONTERI2</v>
      </c>
    </row>
    <row r="522" spans="1:10">
      <c r="A522" s="32">
        <v>91</v>
      </c>
      <c r="B522" s="33">
        <v>5148</v>
      </c>
      <c r="C522" s="3">
        <v>1330000</v>
      </c>
      <c r="D522" s="3">
        <v>1200000</v>
      </c>
      <c r="E522" s="31">
        <f t="shared" si="28"/>
        <v>130000</v>
      </c>
      <c r="F522" s="5">
        <v>45972</v>
      </c>
      <c r="G522" s="4">
        <v>20251110</v>
      </c>
      <c r="H522" s="38" t="str">
        <f>VLOOKUP(B522,CAJEROS!B:D,3,0)</f>
        <v>Multifuncional</v>
      </c>
      <c r="I522" s="34" t="s">
        <v>9</v>
      </c>
      <c r="J522" s="38" t="str">
        <f>VLOOKUP(B522,CAJEROS!B:E,4,0)</f>
        <v>MF_MONTERIA</v>
      </c>
    </row>
    <row r="523" spans="1:10">
      <c r="A523" s="32">
        <v>337</v>
      </c>
      <c r="B523" s="33">
        <v>6253</v>
      </c>
      <c r="C523" s="3">
        <v>1160000</v>
      </c>
      <c r="D523" s="3">
        <v>667000</v>
      </c>
      <c r="E523" s="31">
        <f t="shared" si="28"/>
        <v>493000</v>
      </c>
      <c r="F523" s="5">
        <v>45972</v>
      </c>
      <c r="G523" s="4">
        <v>20251110</v>
      </c>
      <c r="H523" s="38" t="str">
        <f>VLOOKUP(B523,CAJEROS!B:D,3,0)</f>
        <v>Multifuncional</v>
      </c>
      <c r="I523" s="34" t="s">
        <v>9</v>
      </c>
      <c r="J523" s="38" t="str">
        <f>VLOOKUP(B523,CAJEROS!B:E,4,0)</f>
        <v>MF_CHIA</v>
      </c>
    </row>
    <row r="524" spans="1:10">
      <c r="A524" s="32">
        <v>166</v>
      </c>
      <c r="B524" s="33">
        <v>7939</v>
      </c>
      <c r="C524" s="3">
        <v>955000</v>
      </c>
      <c r="D524" s="3">
        <v>345000</v>
      </c>
      <c r="E524" s="31">
        <f t="shared" si="28"/>
        <v>610000</v>
      </c>
      <c r="F524" s="5">
        <v>45972</v>
      </c>
      <c r="G524" s="4">
        <v>20251110</v>
      </c>
      <c r="H524" s="38" t="str">
        <f>VLOOKUP(B524,CAJEROS!B:D,3,0)</f>
        <v>Multifuncional</v>
      </c>
      <c r="I524" s="34" t="s">
        <v>9</v>
      </c>
      <c r="J524" s="38" t="str">
        <f>VLOOKUP(B524,CAJEROS!B:E,4,0)</f>
        <v>MF_ALDELSI1</v>
      </c>
    </row>
    <row r="525" spans="1:10">
      <c r="A525" s="32">
        <v>68</v>
      </c>
      <c r="B525" s="33">
        <v>5135</v>
      </c>
      <c r="C525" s="3">
        <v>840000</v>
      </c>
      <c r="D525" s="3"/>
      <c r="E525" s="31">
        <f t="shared" si="28"/>
        <v>840000</v>
      </c>
      <c r="F525" s="5">
        <v>45972</v>
      </c>
      <c r="G525" s="4">
        <v>20251110</v>
      </c>
      <c r="H525" s="38" t="str">
        <f>VLOOKUP(B525,CAJEROS!B:D,3,0)</f>
        <v>Multifuncional</v>
      </c>
      <c r="I525" s="34" t="s">
        <v>9</v>
      </c>
      <c r="J525" s="38" t="str">
        <f>VLOOKUP(B525,CAJEROS!B:E,4,0)</f>
        <v>MF_IBAGUE</v>
      </c>
    </row>
    <row r="526" spans="1:10">
      <c r="A526" s="32">
        <v>844</v>
      </c>
      <c r="B526" s="33">
        <v>6169</v>
      </c>
      <c r="C526" s="3">
        <v>730000</v>
      </c>
      <c r="D526" s="3"/>
      <c r="E526" s="31">
        <f t="shared" si="28"/>
        <v>730000</v>
      </c>
      <c r="F526" s="5">
        <v>45972</v>
      </c>
      <c r="G526" s="4">
        <v>20251110</v>
      </c>
      <c r="H526" s="38" t="str">
        <f>VLOOKUP(B526,CAJEROS!B:D,3,0)</f>
        <v>Multifuncional</v>
      </c>
      <c r="I526" s="34" t="s">
        <v>9</v>
      </c>
      <c r="J526" s="38" t="str">
        <f>VLOOKUP(B526,CAJEROS!B:E,4,0)</f>
        <v>MF_PRIMAVRA</v>
      </c>
    </row>
    <row r="527" spans="1:10">
      <c r="A527" s="32">
        <v>554</v>
      </c>
      <c r="B527" s="33">
        <v>8295</v>
      </c>
      <c r="C527" s="3">
        <v>677000</v>
      </c>
      <c r="D527" s="3"/>
      <c r="E527" s="31">
        <f t="shared" si="28"/>
        <v>677000</v>
      </c>
      <c r="F527" s="5">
        <v>45972</v>
      </c>
      <c r="G527" s="4">
        <v>20251110</v>
      </c>
      <c r="H527" s="38" t="str">
        <f>VLOOKUP(B527,CAJEROS!B:D,3,0)</f>
        <v>Multifuncional</v>
      </c>
      <c r="I527" s="34" t="s">
        <v>9</v>
      </c>
      <c r="J527" s="38" t="str">
        <f>VLOOKUP(B527,CAJEROS!B:E,4,0)</f>
        <v>MF_SBUVIII2</v>
      </c>
    </row>
    <row r="528" spans="1:10">
      <c r="A528" s="32">
        <v>237</v>
      </c>
      <c r="B528" s="33">
        <v>6467</v>
      </c>
      <c r="C528" s="3">
        <v>620000</v>
      </c>
      <c r="D528" s="3">
        <v>50000</v>
      </c>
      <c r="E528" s="31">
        <f t="shared" si="28"/>
        <v>570000</v>
      </c>
      <c r="F528" s="5">
        <v>45972</v>
      </c>
      <c r="G528" s="4">
        <v>20251110</v>
      </c>
      <c r="H528" s="38" t="str">
        <f>VLOOKUP(B528,CAJEROS!B:D,3,0)</f>
        <v>Multifuncional</v>
      </c>
      <c r="I528" s="34" t="s">
        <v>9</v>
      </c>
      <c r="J528" s="38" t="str">
        <f>VLOOKUP(B528,CAJEROS!B:E,4,0)</f>
        <v>MF_DORADOPL</v>
      </c>
    </row>
    <row r="529" spans="1:10">
      <c r="A529" s="32">
        <v>795</v>
      </c>
      <c r="B529" s="33">
        <v>1028</v>
      </c>
      <c r="C529" s="3">
        <v>560000</v>
      </c>
      <c r="D529" s="3">
        <v>410000</v>
      </c>
      <c r="E529" s="31">
        <f t="shared" si="28"/>
        <v>150000</v>
      </c>
      <c r="F529" s="5">
        <v>45972</v>
      </c>
      <c r="G529" s="4">
        <v>20251110</v>
      </c>
      <c r="H529" s="38" t="str">
        <f>VLOOKUP(B529,CAJEROS!B:D,3,0)</f>
        <v>Multifuncional</v>
      </c>
      <c r="I529" s="34" t="s">
        <v>9</v>
      </c>
      <c r="J529" s="38" t="str">
        <f>VLOOKUP(B529,CAJEROS!B:E,4,0)</f>
        <v>MFSUCANVER2</v>
      </c>
    </row>
    <row r="530" spans="1:10">
      <c r="A530" s="32">
        <v>716</v>
      </c>
      <c r="B530" s="33">
        <v>5192</v>
      </c>
      <c r="C530" s="3">
        <v>360000</v>
      </c>
      <c r="D530" s="3"/>
      <c r="E530" s="31">
        <f t="shared" si="28"/>
        <v>360000</v>
      </c>
      <c r="F530" s="5">
        <v>45972</v>
      </c>
      <c r="G530" s="4">
        <v>20251110</v>
      </c>
      <c r="H530" s="38" t="str">
        <f>VLOOKUP(B530,CAJEROS!B:D,3,0)</f>
        <v>Multifuncional</v>
      </c>
      <c r="I530" s="34" t="s">
        <v>9</v>
      </c>
      <c r="J530" s="38" t="str">
        <f>VLOOKUP(B530,CAJEROS!B:E,4,0)</f>
        <v>MF_AVCGORDS</v>
      </c>
    </row>
    <row r="531" spans="1:10">
      <c r="A531" s="32">
        <v>915</v>
      </c>
      <c r="B531" s="33">
        <v>8314</v>
      </c>
      <c r="C531" s="3">
        <v>280000</v>
      </c>
      <c r="D531" s="3"/>
      <c r="E531" s="31">
        <f t="shared" si="28"/>
        <v>280000</v>
      </c>
      <c r="F531" s="5">
        <v>45972</v>
      </c>
      <c r="G531" s="4">
        <v>20251110</v>
      </c>
      <c r="H531" s="38" t="str">
        <f>VLOOKUP(B531,CAJEROS!B:D,3,0)</f>
        <v>Multifuncional</v>
      </c>
      <c r="I531" s="34" t="s">
        <v>9</v>
      </c>
      <c r="J531" s="38" t="str">
        <f>VLOOKUP(B531,CAJEROS!B:E,4,0)</f>
        <v>MF_BANLABB2</v>
      </c>
    </row>
    <row r="532" spans="1:10">
      <c r="A532" s="32">
        <v>495</v>
      </c>
      <c r="B532" s="33">
        <v>8482</v>
      </c>
      <c r="C532" s="3">
        <v>253000</v>
      </c>
      <c r="D532" s="3"/>
      <c r="E532" s="31">
        <f t="shared" si="28"/>
        <v>253000</v>
      </c>
      <c r="F532" s="5">
        <v>45972</v>
      </c>
      <c r="G532" s="4">
        <v>20251110</v>
      </c>
      <c r="H532" s="38" t="str">
        <f>VLOOKUP(B532,CAJEROS!B:D,3,0)</f>
        <v>Multifuncional</v>
      </c>
      <c r="I532" s="34" t="s">
        <v>9</v>
      </c>
      <c r="J532" s="38" t="str">
        <f>VLOOKUP(B532,CAJEROS!B:E,4,0)</f>
        <v>MF_SUCBOSQ1</v>
      </c>
    </row>
    <row r="533" spans="1:10">
      <c r="A533" s="32">
        <v>915</v>
      </c>
      <c r="B533" s="33">
        <v>8313</v>
      </c>
      <c r="C533" s="3">
        <v>218500</v>
      </c>
      <c r="D533" s="3">
        <v>59900</v>
      </c>
      <c r="E533" s="31">
        <f t="shared" si="28"/>
        <v>158600</v>
      </c>
      <c r="F533" s="5">
        <v>45972</v>
      </c>
      <c r="G533" s="4">
        <v>20251110</v>
      </c>
      <c r="H533" s="38" t="str">
        <f>VLOOKUP(B533,CAJEROS!B:D,3,0)</f>
        <v>Multifuncional</v>
      </c>
      <c r="I533" s="34" t="s">
        <v>9</v>
      </c>
      <c r="J533" s="38" t="str">
        <f>VLOOKUP(B533,CAJEROS!B:E,4,0)</f>
        <v>MF_BANLABB1</v>
      </c>
    </row>
    <row r="534" spans="1:10">
      <c r="A534" s="32">
        <v>481</v>
      </c>
      <c r="B534" s="33">
        <v>1011</v>
      </c>
      <c r="C534" s="3">
        <v>185050</v>
      </c>
      <c r="D534" s="3"/>
      <c r="E534" s="31">
        <f t="shared" si="28"/>
        <v>185050</v>
      </c>
      <c r="F534" s="5">
        <v>45972</v>
      </c>
      <c r="G534" s="4">
        <v>20251110</v>
      </c>
      <c r="H534" s="38" t="str">
        <f>VLOOKUP(B534,CAJEROS!B:D,3,0)</f>
        <v>Multifuncional</v>
      </c>
      <c r="I534" s="34" t="s">
        <v>9</v>
      </c>
      <c r="J534" s="38" t="str">
        <f>VLOOKUP(B534,CAJEROS!B:E,4,0)</f>
        <v>MF_SOLEDAD2</v>
      </c>
    </row>
    <row r="535" spans="1:10">
      <c r="A535" s="32">
        <v>31</v>
      </c>
      <c r="B535" s="33">
        <v>8737</v>
      </c>
      <c r="C535" s="3">
        <v>50000</v>
      </c>
      <c r="D535" s="3"/>
      <c r="E535" s="31">
        <f t="shared" si="28"/>
        <v>50000</v>
      </c>
      <c r="F535" s="5">
        <v>45972</v>
      </c>
      <c r="G535" s="4">
        <v>20251110</v>
      </c>
      <c r="H535" s="38" t="str">
        <f>VLOOKUP(B535,CAJEROS!B:D,3,0)</f>
        <v>Multifuncional</v>
      </c>
      <c r="I535" s="34" t="s">
        <v>9</v>
      </c>
      <c r="J535" s="38" t="str">
        <f>VLOOKUP(B535,CAJEROS!B:E,4,0)</f>
        <v>MF_SUCEINT1</v>
      </c>
    </row>
    <row r="536" spans="1:10">
      <c r="A536" s="32">
        <v>193</v>
      </c>
      <c r="B536" s="33">
        <v>8537</v>
      </c>
      <c r="C536" s="3">
        <v>50000</v>
      </c>
      <c r="D536" s="3"/>
      <c r="E536" s="31">
        <f t="shared" si="28"/>
        <v>50000</v>
      </c>
      <c r="F536" s="5">
        <v>45972</v>
      </c>
      <c r="G536" s="4">
        <v>20251110</v>
      </c>
      <c r="H536" s="38" t="str">
        <f>VLOOKUP(B536,CAJEROS!B:D,3,0)</f>
        <v>Multifuncional</v>
      </c>
      <c r="I536" s="34" t="s">
        <v>9</v>
      </c>
      <c r="J536" s="38" t="str">
        <f>VLOOKUP(B536,CAJEROS!B:E,4,0)</f>
        <v>MF_HSUCFIC1</v>
      </c>
    </row>
    <row r="537" spans="1:10">
      <c r="A537" s="32">
        <v>693</v>
      </c>
      <c r="B537" s="33">
        <v>7979</v>
      </c>
      <c r="C537" s="3">
        <v>50000</v>
      </c>
      <c r="D537" s="3"/>
      <c r="E537" s="31">
        <f t="shared" si="28"/>
        <v>50000</v>
      </c>
      <c r="F537" s="5">
        <v>45972</v>
      </c>
      <c r="G537" s="4">
        <v>20251110</v>
      </c>
      <c r="H537" s="38" t="str">
        <f>VLOOKUP(B537,CAJEROS!B:D,3,0)</f>
        <v>Multifuncional</v>
      </c>
      <c r="I537" s="34" t="s">
        <v>9</v>
      </c>
      <c r="J537" s="38" t="str">
        <f>VLOOKUP(B537,CAJEROS!B:E,4,0)</f>
        <v>MF_CCSNTAF3</v>
      </c>
    </row>
    <row r="538" spans="1:10">
      <c r="A538" s="32">
        <v>59</v>
      </c>
      <c r="B538" s="33">
        <v>3667</v>
      </c>
      <c r="C538" s="3">
        <v>20000</v>
      </c>
      <c r="D538" s="3"/>
      <c r="E538" s="31">
        <f t="shared" ref="E538" si="29">+C538-D538</f>
        <v>20000</v>
      </c>
      <c r="F538" s="5">
        <v>45972</v>
      </c>
      <c r="G538" s="4">
        <v>20251110</v>
      </c>
      <c r="H538" s="38" t="str">
        <f>VLOOKUP(B538,CAJEROS!B:D,3,0)</f>
        <v>Dispensador</v>
      </c>
      <c r="I538" s="34" t="s">
        <v>10</v>
      </c>
      <c r="J538" s="38" t="str">
        <f>VLOOKUP(B538,CAJEROS!B:E,4,0)</f>
        <v>AVSANTAN_1</v>
      </c>
    </row>
    <row r="539" spans="1:10">
      <c r="A539" s="32">
        <v>343</v>
      </c>
      <c r="B539" s="33">
        <v>7955</v>
      </c>
      <c r="C539" s="3">
        <v>20000</v>
      </c>
      <c r="D539" s="3"/>
      <c r="E539" s="31">
        <f t="shared" ref="E539:E569" si="30">+C539-D539</f>
        <v>20000</v>
      </c>
      <c r="F539" s="5">
        <v>45972</v>
      </c>
      <c r="G539" s="4">
        <v>20251110</v>
      </c>
      <c r="H539" s="38" t="str">
        <f>VLOOKUP(B539,CAJEROS!B:D,3,0)</f>
        <v>Dispensador</v>
      </c>
      <c r="I539" s="34" t="s">
        <v>10</v>
      </c>
      <c r="J539" s="38" t="str">
        <f>VLOOKUP(B539,CAJEROS!B:E,4,0)</f>
        <v>SUCTABIO2</v>
      </c>
    </row>
    <row r="540" spans="1:10">
      <c r="A540" s="32">
        <v>944</v>
      </c>
      <c r="B540" s="33">
        <v>8356</v>
      </c>
      <c r="C540" s="3">
        <v>20000</v>
      </c>
      <c r="D540" s="3"/>
      <c r="E540" s="31">
        <f t="shared" si="30"/>
        <v>20000</v>
      </c>
      <c r="F540" s="5">
        <v>45972</v>
      </c>
      <c r="G540" s="4">
        <v>20251110</v>
      </c>
      <c r="H540" s="38" t="str">
        <f>VLOOKUP(B540,CAJEROS!B:D,3,0)</f>
        <v>Dispensador</v>
      </c>
      <c r="I540" s="34" t="s">
        <v>10</v>
      </c>
      <c r="J540" s="38" t="str">
        <f>VLOOKUP(B540,CAJEROS!B:E,4,0)</f>
        <v>SUCSANTABO2</v>
      </c>
    </row>
    <row r="541" spans="1:10">
      <c r="A541" s="32">
        <v>261</v>
      </c>
      <c r="B541" s="33">
        <v>8475</v>
      </c>
      <c r="C541" s="3">
        <v>20000</v>
      </c>
      <c r="D541" s="3"/>
      <c r="E541" s="31">
        <f t="shared" si="30"/>
        <v>20000</v>
      </c>
      <c r="F541" s="5">
        <v>45972</v>
      </c>
      <c r="G541" s="4">
        <v>20251110</v>
      </c>
      <c r="H541" s="38" t="str">
        <f>VLOOKUP(B541,CAJEROS!B:D,3,0)</f>
        <v>Dispensador</v>
      </c>
      <c r="I541" s="34" t="s">
        <v>10</v>
      </c>
      <c r="J541" s="38" t="str">
        <f>VLOOKUP(B541,CAJEROS!B:E,4,0)</f>
        <v>SUCAMPA1</v>
      </c>
    </row>
    <row r="542" spans="1:10">
      <c r="A542" s="32">
        <v>681</v>
      </c>
      <c r="B542" s="33">
        <v>8496</v>
      </c>
      <c r="C542" s="3">
        <v>10000</v>
      </c>
      <c r="D542" s="3"/>
      <c r="E542" s="31">
        <f t="shared" si="30"/>
        <v>10000</v>
      </c>
      <c r="F542" s="5">
        <v>45972</v>
      </c>
      <c r="G542" s="4">
        <v>20251110</v>
      </c>
      <c r="H542" s="38" t="str">
        <f>VLOOKUP(B542,CAJEROS!B:D,3,0)</f>
        <v>Dispensador</v>
      </c>
      <c r="I542" s="34" t="s">
        <v>10</v>
      </c>
      <c r="J542" s="38" t="str">
        <f>VLOOKUP(B542,CAJEROS!B:E,4,0)</f>
        <v>SUC_CERET1</v>
      </c>
    </row>
    <row r="543" spans="1:10">
      <c r="A543" s="32">
        <v>31</v>
      </c>
      <c r="B543" s="33">
        <v>8732</v>
      </c>
      <c r="C543" s="3">
        <v>20000</v>
      </c>
      <c r="D543" s="3"/>
      <c r="E543" s="31">
        <f t="shared" si="30"/>
        <v>20000</v>
      </c>
      <c r="F543" s="5">
        <v>45972</v>
      </c>
      <c r="G543" s="4">
        <v>20251110</v>
      </c>
      <c r="H543" s="38" t="str">
        <f>VLOOKUP(B543,CAJEROS!B:D,3,0)</f>
        <v>Dispensador</v>
      </c>
      <c r="I543" s="34" t="s">
        <v>10</v>
      </c>
      <c r="J543" s="38" t="str">
        <f>VLOOKUP(B543,CAJEROS!B:E,4,0)</f>
        <v>SUCENTINTE1</v>
      </c>
    </row>
    <row r="544" spans="1:10">
      <c r="A544" s="32">
        <v>849</v>
      </c>
      <c r="B544" s="33">
        <v>9721</v>
      </c>
      <c r="C544" s="3">
        <v>20000</v>
      </c>
      <c r="D544" s="3"/>
      <c r="E544" s="31">
        <f t="shared" si="30"/>
        <v>20000</v>
      </c>
      <c r="F544" s="5">
        <v>45972</v>
      </c>
      <c r="G544" s="4">
        <v>20251110</v>
      </c>
      <c r="H544" s="38" t="str">
        <f>VLOOKUP(B544,CAJEROS!B:D,3,0)</f>
        <v>Dispensador</v>
      </c>
      <c r="I544" s="34" t="s">
        <v>10</v>
      </c>
      <c r="J544" s="38" t="str">
        <f>VLOOKUP(B544,CAJEROS!B:E,4,0)</f>
        <v>SUCUNIVILL2</v>
      </c>
    </row>
    <row r="545" spans="1:10">
      <c r="A545" s="32">
        <v>153</v>
      </c>
      <c r="B545" s="33">
        <v>9880</v>
      </c>
      <c r="C545" s="3">
        <v>20000</v>
      </c>
      <c r="D545" s="3"/>
      <c r="E545" s="31">
        <f t="shared" si="30"/>
        <v>20000</v>
      </c>
      <c r="F545" s="5">
        <v>45972</v>
      </c>
      <c r="G545" s="4">
        <v>20251110</v>
      </c>
      <c r="H545" s="38" t="str">
        <f>VLOOKUP(B545,CAJEROS!B:D,3,0)</f>
        <v>Dispensador</v>
      </c>
      <c r="I545" s="34" t="s">
        <v>10</v>
      </c>
      <c r="J545" s="38" t="str">
        <f>VLOOKUP(B545,CAJEROS!B:E,4,0)</f>
        <v>EXITOIBAG_2</v>
      </c>
    </row>
    <row r="546" spans="1:10">
      <c r="A546" s="32">
        <v>57</v>
      </c>
      <c r="B546" s="33">
        <v>9931</v>
      </c>
      <c r="C546" s="3">
        <v>50000</v>
      </c>
      <c r="D546" s="3"/>
      <c r="E546" s="31">
        <f t="shared" si="30"/>
        <v>50000</v>
      </c>
      <c r="F546" s="5">
        <v>45973</v>
      </c>
      <c r="G546" s="4">
        <v>20251111</v>
      </c>
      <c r="H546" s="38" t="str">
        <f>VLOOKUP(B546,CAJEROS!B:D,3,0)</f>
        <v>Dispensador</v>
      </c>
      <c r="I546" s="34"/>
      <c r="J546" s="38" t="str">
        <f>VLOOKUP(B546,CAJEROS!B:E,4,0)</f>
        <v>SUC_VILLAO3</v>
      </c>
    </row>
    <row r="547" spans="1:10">
      <c r="A547" s="32">
        <v>73</v>
      </c>
      <c r="B547" s="33">
        <v>6483</v>
      </c>
      <c r="C547" s="3">
        <v>140000</v>
      </c>
      <c r="D547" s="3"/>
      <c r="E547" s="31">
        <f t="shared" si="30"/>
        <v>140000</v>
      </c>
      <c r="F547" s="5">
        <v>45973</v>
      </c>
      <c r="G547" s="4">
        <v>20251111</v>
      </c>
      <c r="H547" s="38" t="str">
        <f>VLOOKUP(B547,CAJEROS!B:D,3,0)</f>
        <v>Dispensador</v>
      </c>
      <c r="I547" s="34"/>
      <c r="J547" s="38" t="str">
        <f>VLOOKUP(B547,CAJEROS!B:E,4,0)</f>
        <v>OFPEREIRA5</v>
      </c>
    </row>
    <row r="548" spans="1:10">
      <c r="A548" s="32">
        <v>355</v>
      </c>
      <c r="B548" s="33">
        <v>5360</v>
      </c>
      <c r="C548" s="3">
        <v>1600000</v>
      </c>
      <c r="D548" s="3"/>
      <c r="E548" s="31">
        <f t="shared" si="30"/>
        <v>1600000</v>
      </c>
      <c r="F548" s="5">
        <v>45973</v>
      </c>
      <c r="G548" s="4">
        <v>20251111</v>
      </c>
      <c r="H548" s="38" t="str">
        <f>VLOOKUP(B548,CAJEROS!B:D,3,0)</f>
        <v>Dispensador</v>
      </c>
      <c r="I548" s="34"/>
      <c r="J548" s="38" t="str">
        <f>VLOOKUP(B548,CAJEROS!B:E,4,0)</f>
        <v>SIMIJACA1</v>
      </c>
    </row>
    <row r="549" spans="1:10">
      <c r="A549" s="32">
        <v>876</v>
      </c>
      <c r="B549" s="33">
        <v>9680</v>
      </c>
      <c r="C549" s="3">
        <v>50000</v>
      </c>
      <c r="D549" s="3"/>
      <c r="E549" s="31">
        <f t="shared" si="30"/>
        <v>50000</v>
      </c>
      <c r="F549" s="5">
        <v>45973</v>
      </c>
      <c r="G549" s="4">
        <v>20251111</v>
      </c>
      <c r="H549" s="38" t="str">
        <f>VLOOKUP(B549,CAJEROS!B:D,3,0)</f>
        <v>Dispensador</v>
      </c>
      <c r="I549" s="34"/>
      <c r="J549" s="38" t="str">
        <f>VLOOKUP(B549,CAJEROS!B:E,4,0)</f>
        <v>SUC_VILCAM2</v>
      </c>
    </row>
    <row r="550" spans="1:10">
      <c r="A550" s="32">
        <v>993</v>
      </c>
      <c r="B550" s="33">
        <v>3470</v>
      </c>
      <c r="C550" s="3">
        <v>200000</v>
      </c>
      <c r="D550" s="3"/>
      <c r="E550" s="31">
        <f t="shared" si="30"/>
        <v>200000</v>
      </c>
      <c r="F550" s="5">
        <v>45973</v>
      </c>
      <c r="G550" s="4">
        <v>20251111</v>
      </c>
      <c r="H550" s="38" t="str">
        <f>VLOOKUP(B550,CAJEROS!B:D,3,0)</f>
        <v>Dispensador</v>
      </c>
      <c r="I550" s="34"/>
      <c r="J550" s="38" t="str">
        <f>VLOOKUP(B550,CAJEROS!B:E,4,0)</f>
        <v>URRAO_2</v>
      </c>
    </row>
    <row r="551" spans="1:10">
      <c r="A551" s="32">
        <v>91</v>
      </c>
      <c r="B551" s="33">
        <v>8164</v>
      </c>
      <c r="C551" s="3">
        <v>200000</v>
      </c>
      <c r="D551" s="3"/>
      <c r="E551" s="31">
        <f t="shared" si="30"/>
        <v>200000</v>
      </c>
      <c r="F551" s="5">
        <v>45973</v>
      </c>
      <c r="G551" s="4">
        <v>20251111</v>
      </c>
      <c r="H551" s="38" t="str">
        <f>VLOOKUP(B551,CAJEROS!B:D,3,0)</f>
        <v>Dispensador</v>
      </c>
      <c r="I551" s="34" t="s">
        <v>9</v>
      </c>
      <c r="J551" s="38" t="str">
        <f>VLOOKUP(B551,CAJEROS!B:E,4,0)</f>
        <v>SUC_MONTER6</v>
      </c>
    </row>
    <row r="552" spans="1:10">
      <c r="A552" s="32">
        <v>153</v>
      </c>
      <c r="B552" s="33">
        <v>9879</v>
      </c>
      <c r="C552" s="3">
        <v>200000</v>
      </c>
      <c r="D552" s="3"/>
      <c r="E552" s="31">
        <f t="shared" si="30"/>
        <v>200000</v>
      </c>
      <c r="F552" s="5">
        <v>45973</v>
      </c>
      <c r="G552" s="4">
        <v>20251111</v>
      </c>
      <c r="H552" s="38" t="str">
        <f>VLOOKUP(B552,CAJEROS!B:D,3,0)</f>
        <v>Dispensador</v>
      </c>
      <c r="I552" s="34" t="s">
        <v>9</v>
      </c>
      <c r="J552" s="38" t="str">
        <f>VLOOKUP(B552,CAJEROS!B:E,4,0)</f>
        <v>EXITOIBAG_1</v>
      </c>
    </row>
    <row r="553" spans="1:10">
      <c r="A553" s="32">
        <v>240</v>
      </c>
      <c r="B553" s="33">
        <v>6372</v>
      </c>
      <c r="C553" s="3">
        <v>150000</v>
      </c>
      <c r="D553" s="3"/>
      <c r="E553" s="31">
        <f t="shared" si="30"/>
        <v>150000</v>
      </c>
      <c r="F553" s="5">
        <v>45973</v>
      </c>
      <c r="G553" s="4">
        <v>20251111</v>
      </c>
      <c r="H553" s="38" t="str">
        <f>VLOOKUP(B553,CAJEROS!B:D,3,0)</f>
        <v>Dispensador</v>
      </c>
      <c r="I553" s="34" t="s">
        <v>9</v>
      </c>
      <c r="J553" s="38" t="str">
        <f>VLOOKUP(B553,CAJEROS!B:E,4,0)</f>
        <v>STAFEANTI_2</v>
      </c>
    </row>
    <row r="554" spans="1:10">
      <c r="A554" s="32">
        <v>325</v>
      </c>
      <c r="B554" s="33">
        <v>5574</v>
      </c>
      <c r="C554" s="3">
        <v>2970000</v>
      </c>
      <c r="D554" s="3"/>
      <c r="E554" s="31">
        <f t="shared" si="30"/>
        <v>2970000</v>
      </c>
      <c r="F554" s="5">
        <v>45973</v>
      </c>
      <c r="G554" s="4">
        <v>20251111</v>
      </c>
      <c r="H554" s="38" t="str">
        <f>VLOOKUP(B554,CAJEROS!B:D,3,0)</f>
        <v>Dispensador</v>
      </c>
      <c r="I554" s="34" t="s">
        <v>9</v>
      </c>
      <c r="J554" s="38" t="str">
        <f>VLOOKUP(B554,CAJEROS!B:E,4,0)</f>
        <v>SANTUARI1</v>
      </c>
    </row>
    <row r="555" spans="1:10">
      <c r="A555" s="32">
        <v>384</v>
      </c>
      <c r="B555" s="33">
        <v>3841</v>
      </c>
      <c r="C555" s="3">
        <v>250000</v>
      </c>
      <c r="D555" s="3"/>
      <c r="E555" s="31">
        <f t="shared" si="30"/>
        <v>250000</v>
      </c>
      <c r="F555" s="5">
        <v>45973</v>
      </c>
      <c r="G555" s="4">
        <v>20251111</v>
      </c>
      <c r="H555" s="38" t="str">
        <f>VLOOKUP(B555,CAJEROS!B:D,3,0)</f>
        <v>Dispensador</v>
      </c>
      <c r="I555" s="34" t="s">
        <v>9</v>
      </c>
      <c r="J555" s="38" t="str">
        <f>VLOOKUP(B555,CAJEROS!B:E,4,0)</f>
        <v>ANAPOIMA</v>
      </c>
    </row>
    <row r="556" spans="1:10">
      <c r="A556" s="32">
        <v>415</v>
      </c>
      <c r="B556" s="33">
        <v>8666</v>
      </c>
      <c r="C556" s="3">
        <v>1130000</v>
      </c>
      <c r="D556" s="3">
        <v>1080000</v>
      </c>
      <c r="E556" s="31">
        <f t="shared" si="30"/>
        <v>50000</v>
      </c>
      <c r="F556" s="5">
        <v>45973</v>
      </c>
      <c r="G556" s="4">
        <v>20251111</v>
      </c>
      <c r="H556" s="38" t="str">
        <f>VLOOKUP(B556,CAJEROS!B:D,3,0)</f>
        <v>Dispensador</v>
      </c>
      <c r="I556" s="34" t="s">
        <v>9</v>
      </c>
      <c r="J556" s="38" t="str">
        <f>VLOOKUP(B556,CAJEROS!B:E,4,0)</f>
        <v>SUCRETIRO3</v>
      </c>
    </row>
    <row r="557" spans="1:10">
      <c r="A557" s="32">
        <v>455</v>
      </c>
      <c r="B557" s="33">
        <v>5974</v>
      </c>
      <c r="C557" s="3">
        <v>50000</v>
      </c>
      <c r="D557" s="3"/>
      <c r="E557" s="31">
        <f t="shared" si="30"/>
        <v>50000</v>
      </c>
      <c r="F557" s="5">
        <v>45973</v>
      </c>
      <c r="G557" s="4">
        <v>20251111</v>
      </c>
      <c r="H557" s="38" t="str">
        <f>VLOOKUP(B557,CAJEROS!B:D,3,0)</f>
        <v>Dispensador</v>
      </c>
      <c r="I557" s="34" t="s">
        <v>9</v>
      </c>
      <c r="J557" s="38" t="str">
        <f>VLOOKUP(B557,CAJEROS!B:E,4,0)</f>
        <v>SUC_CEIBAS1</v>
      </c>
    </row>
    <row r="558" spans="1:10">
      <c r="A558" s="32">
        <v>523</v>
      </c>
      <c r="B558" s="33">
        <v>3997</v>
      </c>
      <c r="C558" s="3">
        <v>1000000</v>
      </c>
      <c r="D558" s="3"/>
      <c r="E558" s="31">
        <f t="shared" si="30"/>
        <v>1000000</v>
      </c>
      <c r="F558" s="5">
        <v>45973</v>
      </c>
      <c r="G558" s="4">
        <v>20251111</v>
      </c>
      <c r="H558" s="38" t="str">
        <f>VLOOKUP(B558,CAJEROS!B:D,3,0)</f>
        <v>Dispensador</v>
      </c>
      <c r="I558" s="34" t="s">
        <v>9</v>
      </c>
      <c r="J558" s="38" t="str">
        <f>VLOOKUP(B558,CAJEROS!B:E,4,0)</f>
        <v>SUC_OVALLE3</v>
      </c>
    </row>
    <row r="559" spans="1:10">
      <c r="A559" s="32">
        <v>631</v>
      </c>
      <c r="B559" s="33">
        <v>2616</v>
      </c>
      <c r="C559" s="3">
        <v>40000</v>
      </c>
      <c r="D559" s="3">
        <v>40000</v>
      </c>
      <c r="E559" s="31">
        <f t="shared" si="30"/>
        <v>0</v>
      </c>
      <c r="F559" s="5">
        <v>45973</v>
      </c>
      <c r="G559" s="4">
        <v>20251111</v>
      </c>
      <c r="H559" s="38" t="str">
        <f>VLOOKUP(B559,CAJEROS!B:D,3,0)</f>
        <v>Dispensador</v>
      </c>
      <c r="I559" s="34" t="s">
        <v>9</v>
      </c>
      <c r="J559" s="38" t="str">
        <f>VLOOKUP(B559,CAJEROS!B:E,4,0)</f>
        <v>SUCURIBIA_2</v>
      </c>
    </row>
    <row r="560" spans="1:10">
      <c r="A560" s="32">
        <v>687</v>
      </c>
      <c r="B560" s="33">
        <v>6362</v>
      </c>
      <c r="C560" s="3">
        <v>50000</v>
      </c>
      <c r="D560" s="3"/>
      <c r="E560" s="31">
        <f t="shared" si="30"/>
        <v>50000</v>
      </c>
      <c r="F560" s="5">
        <v>45973</v>
      </c>
      <c r="G560" s="4">
        <v>20251111</v>
      </c>
      <c r="H560" s="38" t="str">
        <f>VLOOKUP(B560,CAJEROS!B:D,3,0)</f>
        <v>Dispensador</v>
      </c>
      <c r="I560" s="34" t="s">
        <v>9</v>
      </c>
      <c r="J560" s="38" t="str">
        <f>VLOOKUP(B560,CAJEROS!B:E,4,0)</f>
        <v>PLANET_RIC1</v>
      </c>
    </row>
    <row r="561" spans="1:10">
      <c r="A561" s="32">
        <v>705</v>
      </c>
      <c r="B561" s="33">
        <v>4151</v>
      </c>
      <c r="C561" s="3">
        <v>210000</v>
      </c>
      <c r="D561" s="3">
        <v>120000</v>
      </c>
      <c r="E561" s="31">
        <f t="shared" si="30"/>
        <v>90000</v>
      </c>
      <c r="F561" s="5">
        <v>45973</v>
      </c>
      <c r="G561" s="4">
        <v>20251111</v>
      </c>
      <c r="H561" s="38" t="str">
        <f>VLOOKUP(B561,CAJEROS!B:D,3,0)</f>
        <v>Dispensador</v>
      </c>
      <c r="I561" s="34" t="s">
        <v>9</v>
      </c>
      <c r="J561" s="38" t="str">
        <f>VLOOKUP(B561,CAJEROS!B:E,4,0)</f>
        <v>SUC_BAGRE1</v>
      </c>
    </row>
    <row r="562" spans="1:10">
      <c r="A562" s="32">
        <v>733</v>
      </c>
      <c r="B562" s="33">
        <v>5337</v>
      </c>
      <c r="C562" s="3">
        <v>600000</v>
      </c>
      <c r="D562" s="3"/>
      <c r="E562" s="31">
        <f t="shared" si="30"/>
        <v>600000</v>
      </c>
      <c r="F562" s="5">
        <v>45973</v>
      </c>
      <c r="G562" s="4">
        <v>20251111</v>
      </c>
      <c r="H562" s="38" t="str">
        <f>VLOOKUP(B562,CAJEROS!B:D,3,0)</f>
        <v>Dispensador</v>
      </c>
      <c r="I562" s="34" t="s">
        <v>9</v>
      </c>
      <c r="J562" s="38" t="str">
        <f>VLOOKUP(B562,CAJEROS!B:E,4,0)</f>
        <v>LAUNIONVAL1</v>
      </c>
    </row>
    <row r="563" spans="1:10">
      <c r="A563" s="32">
        <v>799</v>
      </c>
      <c r="B563" s="33">
        <v>8187</v>
      </c>
      <c r="C563" s="3">
        <v>1700000</v>
      </c>
      <c r="D563" s="3"/>
      <c r="E563" s="31">
        <f t="shared" si="30"/>
        <v>1700000</v>
      </c>
      <c r="F563" s="5">
        <v>45973</v>
      </c>
      <c r="G563" s="4">
        <v>20251111</v>
      </c>
      <c r="H563" s="38" t="str">
        <f>VLOOKUP(B563,CAJEROS!B:D,3,0)</f>
        <v>Dispensador</v>
      </c>
      <c r="I563" s="34" t="s">
        <v>9</v>
      </c>
      <c r="J563" s="38" t="str">
        <f>VLOOKUP(B563,CAJEROS!B:E,4,0)</f>
        <v>SUC_FLORBL4</v>
      </c>
    </row>
    <row r="564" spans="1:10">
      <c r="A564" s="32">
        <v>829</v>
      </c>
      <c r="B564" s="33">
        <v>1155</v>
      </c>
      <c r="C564" s="3">
        <v>50000</v>
      </c>
      <c r="D564" s="3"/>
      <c r="E564" s="31">
        <f t="shared" si="30"/>
        <v>50000</v>
      </c>
      <c r="F564" s="5">
        <v>45973</v>
      </c>
      <c r="G564" s="4">
        <v>20251111</v>
      </c>
      <c r="H564" s="38" t="str">
        <f>VLOOKUP(B564,CAJEROS!B:D,3,0)</f>
        <v>Dispensador</v>
      </c>
      <c r="I564" s="34" t="s">
        <v>9</v>
      </c>
      <c r="J564" s="38" t="str">
        <f>VLOOKUP(B564,CAJEROS!B:E,4,0)</f>
        <v>SUCUNICCAL1</v>
      </c>
    </row>
    <row r="565" spans="1:10">
      <c r="A565" s="32">
        <v>846</v>
      </c>
      <c r="B565" s="33">
        <v>4377</v>
      </c>
      <c r="C565" s="3">
        <v>300000</v>
      </c>
      <c r="D565" s="3"/>
      <c r="E565" s="31">
        <f t="shared" si="30"/>
        <v>300000</v>
      </c>
      <c r="F565" s="5">
        <v>45973</v>
      </c>
      <c r="G565" s="4">
        <v>20251111</v>
      </c>
      <c r="H565" s="38" t="str">
        <f>VLOOKUP(B565,CAJEROS!B:D,3,0)</f>
        <v>Dispensador</v>
      </c>
      <c r="I565" s="34" t="s">
        <v>9</v>
      </c>
      <c r="J565" s="38" t="str">
        <f>VLOOKUP(B565,CAJEROS!B:E,4,0)</f>
        <v>SUC_CUMAR2</v>
      </c>
    </row>
    <row r="566" spans="1:10">
      <c r="A566" s="32">
        <v>864</v>
      </c>
      <c r="B566" s="33">
        <v>5795</v>
      </c>
      <c r="C566" s="3">
        <v>60000</v>
      </c>
      <c r="D566" s="3"/>
      <c r="E566" s="31">
        <f t="shared" si="30"/>
        <v>60000</v>
      </c>
      <c r="F566" s="5">
        <v>45973</v>
      </c>
      <c r="G566" s="4">
        <v>20251111</v>
      </c>
      <c r="H566" s="38" t="str">
        <f>VLOOKUP(B566,CAJEROS!B:D,3,0)</f>
        <v>Dispensador</v>
      </c>
      <c r="I566" s="34" t="s">
        <v>9</v>
      </c>
      <c r="J566" s="38" t="str">
        <f>VLOOKUP(B566,CAJEROS!B:E,4,0)</f>
        <v>SUC_PRADER1</v>
      </c>
    </row>
    <row r="567" spans="1:10">
      <c r="A567" s="32">
        <v>866</v>
      </c>
      <c r="B567" s="33">
        <v>467</v>
      </c>
      <c r="C567" s="3">
        <v>100000</v>
      </c>
      <c r="D567" s="3"/>
      <c r="E567" s="31">
        <f t="shared" si="30"/>
        <v>100000</v>
      </c>
      <c r="F567" s="5">
        <v>45973</v>
      </c>
      <c r="G567" s="4">
        <v>20251111</v>
      </c>
      <c r="H567" s="38" t="str">
        <f>VLOOKUP(B567,CAJEROS!B:D,3,0)</f>
        <v>Dispensador</v>
      </c>
      <c r="I567" s="34" t="s">
        <v>9</v>
      </c>
      <c r="J567" s="38" t="str">
        <f>VLOOKUP(B567,CAJEROS!B:E,4,0)</f>
        <v>OFCFLORIDA2</v>
      </c>
    </row>
    <row r="568" spans="1:10">
      <c r="A568" s="32">
        <v>866</v>
      </c>
      <c r="B568" s="33">
        <v>6260</v>
      </c>
      <c r="C568" s="3">
        <v>100000</v>
      </c>
      <c r="D568" s="3"/>
      <c r="E568" s="31">
        <f t="shared" si="30"/>
        <v>100000</v>
      </c>
      <c r="F568" s="5">
        <v>45973</v>
      </c>
      <c r="G568" s="4">
        <v>20251111</v>
      </c>
      <c r="H568" s="38" t="str">
        <f>VLOOKUP(B568,CAJEROS!B:D,3,0)</f>
        <v>Dispensador</v>
      </c>
      <c r="I568" s="34" t="s">
        <v>9</v>
      </c>
      <c r="J568" s="38" t="str">
        <f>VLOOKUP(B568,CAJEROS!B:E,4,0)</f>
        <v>SUC_FLORID4</v>
      </c>
    </row>
    <row r="569" spans="1:10">
      <c r="A569" s="32">
        <v>951</v>
      </c>
      <c r="B569" s="33">
        <v>7810</v>
      </c>
      <c r="C569" s="3">
        <v>7680000</v>
      </c>
      <c r="D569" s="3">
        <v>7270000</v>
      </c>
      <c r="E569" s="31">
        <f t="shared" si="30"/>
        <v>410000</v>
      </c>
      <c r="F569" s="5">
        <v>45973</v>
      </c>
      <c r="G569" s="4">
        <v>20251111</v>
      </c>
      <c r="H569" s="38" t="str">
        <f>VLOOKUP(B569,CAJEROS!B:D,3,0)</f>
        <v>Dispensador</v>
      </c>
      <c r="I569" s="34" t="s">
        <v>9</v>
      </c>
      <c r="J569" s="38" t="str">
        <f>VLOOKUP(B569,CAJEROS!B:E,4,0)</f>
        <v>AUTOBOSC_3</v>
      </c>
    </row>
    <row r="570" spans="1:10">
      <c r="A570" s="32">
        <v>60</v>
      </c>
      <c r="B570" s="33">
        <v>8727</v>
      </c>
      <c r="C570" s="3">
        <v>520000</v>
      </c>
      <c r="D570" s="3"/>
      <c r="E570" s="31">
        <f t="shared" ref="E570" si="31">+C570-D570</f>
        <v>520000</v>
      </c>
      <c r="F570" s="5">
        <v>45973</v>
      </c>
      <c r="G570" s="4">
        <v>20251111</v>
      </c>
      <c r="H570" s="38" t="str">
        <f>VLOOKUP(B570,CAJEROS!B:D,3,0)</f>
        <v>Multifuncional</v>
      </c>
      <c r="I570" s="34"/>
      <c r="J570" s="38" t="str">
        <f>VLOOKUP(B570,CAJEROS!B:E,4,0)</f>
        <v>MF_HCALIPR1</v>
      </c>
    </row>
    <row r="571" spans="1:10">
      <c r="A571" s="32">
        <v>78</v>
      </c>
      <c r="B571" s="33">
        <v>6246</v>
      </c>
      <c r="C571" s="3">
        <v>3660000</v>
      </c>
      <c r="D571" s="3"/>
      <c r="E571" s="31">
        <f t="shared" ref="E571:E578" si="32">+C571-D571</f>
        <v>3660000</v>
      </c>
      <c r="F571" s="5">
        <v>45973</v>
      </c>
      <c r="G571" s="4">
        <v>20251111</v>
      </c>
      <c r="H571" s="38" t="str">
        <f>VLOOKUP(B571,CAJEROS!B:D,3,0)</f>
        <v>Multifuncional</v>
      </c>
      <c r="I571" s="34"/>
      <c r="J571" s="38" t="str">
        <f>VLOOKUP(B571,CAJEROS!B:E,4,0)</f>
        <v>MF_CACIQUE</v>
      </c>
    </row>
    <row r="572" spans="1:10">
      <c r="A572" s="32">
        <v>115</v>
      </c>
      <c r="B572" s="33">
        <v>5080</v>
      </c>
      <c r="C572" s="3">
        <v>20000</v>
      </c>
      <c r="D572" s="3"/>
      <c r="E572" s="31">
        <f t="shared" si="32"/>
        <v>20000</v>
      </c>
      <c r="F572" s="5">
        <v>45973</v>
      </c>
      <c r="G572" s="4">
        <v>20251111</v>
      </c>
      <c r="H572" s="38" t="str">
        <f>VLOOKUP(B572,CAJEROS!B:D,3,0)</f>
        <v>Multifuncional</v>
      </c>
      <c r="I572" s="34"/>
      <c r="J572" s="38" t="str">
        <f>VLOOKUP(B572,CAJEROS!B:E,4,0)</f>
        <v>MF_CIPEREIR</v>
      </c>
    </row>
    <row r="573" spans="1:10">
      <c r="A573" s="32">
        <v>262</v>
      </c>
      <c r="B573" s="33">
        <v>5153</v>
      </c>
      <c r="C573" s="3">
        <v>858550</v>
      </c>
      <c r="D573" s="3"/>
      <c r="E573" s="31">
        <f t="shared" si="32"/>
        <v>858550</v>
      </c>
      <c r="F573" s="5">
        <v>45973</v>
      </c>
      <c r="G573" s="4">
        <v>20251111</v>
      </c>
      <c r="H573" s="38" t="str">
        <f>VLOOKUP(B573,CAJEROS!B:D,3,0)</f>
        <v>Multifuncional</v>
      </c>
      <c r="I573" s="34"/>
      <c r="J573" s="38" t="str">
        <f>VLOOKUP(B573,CAJEROS!B:E,4,0)</f>
        <v>MF_DUITAMA</v>
      </c>
    </row>
    <row r="574" spans="1:10">
      <c r="A574" s="32">
        <v>392</v>
      </c>
      <c r="B574" s="33">
        <v>5064</v>
      </c>
      <c r="C574" s="3">
        <v>5770000</v>
      </c>
      <c r="D574" s="3"/>
      <c r="E574" s="31">
        <f t="shared" si="32"/>
        <v>5770000</v>
      </c>
      <c r="F574" s="5">
        <v>45973</v>
      </c>
      <c r="G574" s="4">
        <v>20251111</v>
      </c>
      <c r="H574" s="38" t="str">
        <f>VLOOKUP(B574,CAJEROS!B:D,3,0)</f>
        <v>Multifuncional</v>
      </c>
      <c r="I574" s="34"/>
      <c r="J574" s="38" t="str">
        <f>VLOOKUP(B574,CAJEROS!B:E,4,0)</f>
        <v>MF_LADORADA</v>
      </c>
    </row>
    <row r="575" spans="1:10">
      <c r="A575" s="32">
        <v>453</v>
      </c>
      <c r="B575" s="33">
        <v>8018</v>
      </c>
      <c r="C575" s="3">
        <v>49050</v>
      </c>
      <c r="D575" s="3"/>
      <c r="E575" s="31">
        <f t="shared" si="32"/>
        <v>49050</v>
      </c>
      <c r="F575" s="5">
        <v>45973</v>
      </c>
      <c r="G575" s="4">
        <v>20251111</v>
      </c>
      <c r="H575" s="38" t="str">
        <f>VLOOKUP(B575,CAJEROS!B:D,3,0)</f>
        <v>Multifuncional</v>
      </c>
      <c r="I575" s="34"/>
      <c r="J575" s="38" t="str">
        <f>VLOOKUP(B575,CAJEROS!B:E,4,0)</f>
        <v>MFSUCPITAL1</v>
      </c>
    </row>
    <row r="576" spans="1:10">
      <c r="A576" s="32">
        <v>554</v>
      </c>
      <c r="B576" s="33">
        <v>8294</v>
      </c>
      <c r="C576" s="3">
        <v>1026600</v>
      </c>
      <c r="D576" s="3"/>
      <c r="E576" s="31">
        <f t="shared" si="32"/>
        <v>1026600</v>
      </c>
      <c r="F576" s="5">
        <v>45973</v>
      </c>
      <c r="G576" s="4">
        <v>20251111</v>
      </c>
      <c r="H576" s="38" t="str">
        <f>VLOOKUP(B576,CAJEROS!B:D,3,0)</f>
        <v>Multifuncional</v>
      </c>
      <c r="I576" s="34"/>
      <c r="J576" s="38" t="str">
        <f>VLOOKUP(B576,CAJEROS!B:E,4,0)</f>
        <v>MF_SBUVIII1</v>
      </c>
    </row>
    <row r="577" spans="1:10">
      <c r="A577" s="32">
        <v>664</v>
      </c>
      <c r="B577" s="33">
        <v>5191</v>
      </c>
      <c r="C577" s="3">
        <v>34000</v>
      </c>
      <c r="D577" s="3"/>
      <c r="E577" s="31">
        <f t="shared" si="32"/>
        <v>34000</v>
      </c>
      <c r="F577" s="5">
        <v>45973</v>
      </c>
      <c r="G577" s="4">
        <v>20251111</v>
      </c>
      <c r="H577" s="38" t="str">
        <f>VLOOKUP(B577,CAJEROS!B:D,3,0)</f>
        <v>Multifuncional</v>
      </c>
      <c r="I577" s="34"/>
      <c r="J577" s="38" t="str">
        <f>VLOOKUP(B577,CAJEROS!B:E,4,0)</f>
        <v>MF_CORABAST</v>
      </c>
    </row>
    <row r="578" spans="1:10">
      <c r="A578" s="32">
        <v>779</v>
      </c>
      <c r="B578" s="33">
        <v>5013</v>
      </c>
      <c r="C578" s="3">
        <v>2252000</v>
      </c>
      <c r="D578" s="3"/>
      <c r="E578" s="31">
        <f t="shared" si="32"/>
        <v>2252000</v>
      </c>
      <c r="F578" s="5">
        <v>45973</v>
      </c>
      <c r="G578" s="4">
        <v>20251111</v>
      </c>
      <c r="H578" s="38" t="str">
        <f>VLOOKUP(B578,CAJEROS!B:D,3,0)</f>
        <v>Multifuncional</v>
      </c>
      <c r="I578" s="34"/>
      <c r="J578" s="38" t="str">
        <f>VLOOKUP(B578,CAJEROS!B:E,4,0)</f>
        <v>MF_BUENASM1</v>
      </c>
    </row>
    <row r="579" spans="1:10">
      <c r="A579" s="32">
        <v>692</v>
      </c>
      <c r="B579" s="33">
        <v>1515</v>
      </c>
      <c r="C579" s="3">
        <v>3981750</v>
      </c>
      <c r="D579" s="3"/>
      <c r="E579" s="31">
        <f t="shared" ref="E579" si="33">+C579-D579</f>
        <v>3981750</v>
      </c>
      <c r="F579" s="5">
        <v>45973</v>
      </c>
      <c r="G579" s="4">
        <v>20251111</v>
      </c>
      <c r="H579" s="38" t="str">
        <f>VLOOKUP(B579,CAJEROS!B:D,3,0)</f>
        <v>Multifuncional</v>
      </c>
      <c r="I579" s="34" t="s">
        <v>9</v>
      </c>
      <c r="J579" s="38" t="str">
        <f>VLOOKUP(B579,CAJEROS!B:E,4,0)</f>
        <v>MFSUCALTPR1</v>
      </c>
    </row>
    <row r="580" spans="1:10">
      <c r="A580" s="32">
        <v>723</v>
      </c>
      <c r="B580" s="33">
        <v>5046</v>
      </c>
      <c r="C580" s="3">
        <v>3669000</v>
      </c>
      <c r="D580" s="3">
        <v>3650000</v>
      </c>
      <c r="E580" s="31">
        <f t="shared" ref="E580:E604" si="34">+C580-D580</f>
        <v>19000</v>
      </c>
      <c r="F580" s="5">
        <v>45973</v>
      </c>
      <c r="G580" s="4">
        <v>20251111</v>
      </c>
      <c r="H580" s="38" t="str">
        <f>VLOOKUP(B580,CAJEROS!B:D,3,0)</f>
        <v>Multifuncional</v>
      </c>
      <c r="I580" s="34" t="s">
        <v>9</v>
      </c>
      <c r="J580" s="38" t="str">
        <f>VLOOKUP(B580,CAJEROS!B:E,4,0)</f>
        <v>MF_PARBOLED</v>
      </c>
    </row>
    <row r="581" spans="1:10">
      <c r="A581" s="32">
        <v>154</v>
      </c>
      <c r="B581" s="33">
        <v>5041</v>
      </c>
      <c r="C581" s="3">
        <v>3600000</v>
      </c>
      <c r="D581" s="3">
        <v>3230000</v>
      </c>
      <c r="E581" s="31">
        <f t="shared" si="34"/>
        <v>370000</v>
      </c>
      <c r="F581" s="5">
        <v>45973</v>
      </c>
      <c r="G581" s="4">
        <v>20251111</v>
      </c>
      <c r="H581" s="38" t="str">
        <f>VLOOKUP(B581,CAJEROS!B:D,3,0)</f>
        <v>Multifuncional</v>
      </c>
      <c r="I581" s="34" t="s">
        <v>9</v>
      </c>
      <c r="J581" s="38" t="str">
        <f>VLOOKUP(B581,CAJEROS!B:E,4,0)</f>
        <v>MF_CMAYOR</v>
      </c>
    </row>
    <row r="582" spans="1:10">
      <c r="A582" s="32">
        <v>944</v>
      </c>
      <c r="B582" s="33">
        <v>8353</v>
      </c>
      <c r="C582" s="3">
        <v>3550000</v>
      </c>
      <c r="D582" s="3"/>
      <c r="E582" s="31">
        <f t="shared" si="34"/>
        <v>3550000</v>
      </c>
      <c r="F582" s="5">
        <v>45973</v>
      </c>
      <c r="G582" s="4">
        <v>20251111</v>
      </c>
      <c r="H582" s="38" t="str">
        <f>VLOOKUP(B582,CAJEROS!B:D,3,0)</f>
        <v>Multifuncional</v>
      </c>
      <c r="I582" s="34" t="s">
        <v>9</v>
      </c>
      <c r="J582" s="38" t="str">
        <f>VLOOKUP(B582,CAJEROS!B:E,4,0)</f>
        <v>MF_SANTABO1</v>
      </c>
    </row>
    <row r="583" spans="1:10">
      <c r="A583" s="32">
        <v>454</v>
      </c>
      <c r="B583" s="33">
        <v>5231</v>
      </c>
      <c r="C583" s="3">
        <v>3450000</v>
      </c>
      <c r="D583" s="3">
        <v>2139800</v>
      </c>
      <c r="E583" s="31">
        <f t="shared" si="34"/>
        <v>1310200</v>
      </c>
      <c r="F583" s="5">
        <v>45973</v>
      </c>
      <c r="G583" s="4">
        <v>20251111</v>
      </c>
      <c r="H583" s="38" t="str">
        <f>VLOOKUP(B583,CAJEROS!B:D,3,0)</f>
        <v>Multifuncional</v>
      </c>
      <c r="I583" s="34" t="s">
        <v>9</v>
      </c>
      <c r="J583" s="38" t="str">
        <f>VLOOKUP(B583,CAJEROS!B:E,4,0)</f>
        <v>MF_5TAVENID</v>
      </c>
    </row>
    <row r="584" spans="1:10">
      <c r="A584" s="32">
        <v>541</v>
      </c>
      <c r="B584" s="33">
        <v>8660</v>
      </c>
      <c r="C584" s="3">
        <v>3240000</v>
      </c>
      <c r="D584" s="3"/>
      <c r="E584" s="31">
        <f t="shared" si="34"/>
        <v>3240000</v>
      </c>
      <c r="F584" s="5">
        <v>45973</v>
      </c>
      <c r="G584" s="4">
        <v>20251111</v>
      </c>
      <c r="H584" s="38" t="str">
        <f>VLOOKUP(B584,CAJEROS!B:D,3,0)</f>
        <v>Multifuncional</v>
      </c>
      <c r="I584" s="34" t="s">
        <v>9</v>
      </c>
      <c r="J584" s="38" t="str">
        <f>VLOOKUP(B584,CAJEROS!B:E,4,0)</f>
        <v>MF_SUCCALP2</v>
      </c>
    </row>
    <row r="585" spans="1:10">
      <c r="A585" s="32">
        <v>743</v>
      </c>
      <c r="B585" s="33">
        <v>5106</v>
      </c>
      <c r="C585" s="3">
        <v>2550000</v>
      </c>
      <c r="D585" s="3"/>
      <c r="E585" s="31">
        <f t="shared" si="34"/>
        <v>2550000</v>
      </c>
      <c r="F585" s="5">
        <v>45973</v>
      </c>
      <c r="G585" s="4">
        <v>20251111</v>
      </c>
      <c r="H585" s="38" t="str">
        <f>VLOOKUP(B585,CAJEROS!B:D,3,0)</f>
        <v>Multifuncional</v>
      </c>
      <c r="I585" s="34" t="s">
        <v>9</v>
      </c>
      <c r="J585" s="38" t="str">
        <f>VLOOKUP(B585,CAJEROS!B:E,4,0)</f>
        <v>MF_NORTHPOI</v>
      </c>
    </row>
    <row r="586" spans="1:10">
      <c r="A586" s="32">
        <v>60</v>
      </c>
      <c r="B586" s="33">
        <v>8728</v>
      </c>
      <c r="C586" s="3">
        <v>2314250</v>
      </c>
      <c r="D586" s="3"/>
      <c r="E586" s="31">
        <f t="shared" si="34"/>
        <v>2314250</v>
      </c>
      <c r="F586" s="5">
        <v>45973</v>
      </c>
      <c r="G586" s="4">
        <v>20251111</v>
      </c>
      <c r="H586" s="38" t="str">
        <f>VLOOKUP(B586,CAJEROS!B:D,3,0)</f>
        <v>Multifuncional</v>
      </c>
      <c r="I586" s="34" t="s">
        <v>9</v>
      </c>
      <c r="J586" s="38" t="str">
        <f>VLOOKUP(B586,CAJEROS!B:E,4,0)</f>
        <v>MF_HCALIPR2</v>
      </c>
    </row>
    <row r="587" spans="1:10">
      <c r="A587" s="32">
        <v>317</v>
      </c>
      <c r="B587" s="33">
        <v>6613</v>
      </c>
      <c r="C587" s="3">
        <v>2215000</v>
      </c>
      <c r="D587" s="3"/>
      <c r="E587" s="31">
        <f t="shared" si="34"/>
        <v>2215000</v>
      </c>
      <c r="F587" s="5">
        <v>45973</v>
      </c>
      <c r="G587" s="4">
        <v>20251111</v>
      </c>
      <c r="H587" s="38" t="str">
        <f>VLOOKUP(B587,CAJEROS!B:D,3,0)</f>
        <v>Multifuncional</v>
      </c>
      <c r="I587" s="34" t="s">
        <v>9</v>
      </c>
      <c r="J587" s="38" t="str">
        <f>VLOOKUP(B587,CAJEROS!B:E,4,0)</f>
        <v>MF_ARAUCA</v>
      </c>
    </row>
    <row r="588" spans="1:10">
      <c r="A588" s="32">
        <v>166</v>
      </c>
      <c r="B588" s="33">
        <v>7940</v>
      </c>
      <c r="C588" s="3">
        <v>1705000</v>
      </c>
      <c r="D588" s="3"/>
      <c r="E588" s="31">
        <f t="shared" si="34"/>
        <v>1705000</v>
      </c>
      <c r="F588" s="5">
        <v>45973</v>
      </c>
      <c r="G588" s="4">
        <v>20251111</v>
      </c>
      <c r="H588" s="38" t="str">
        <f>VLOOKUP(B588,CAJEROS!B:D,3,0)</f>
        <v>Multifuncional</v>
      </c>
      <c r="I588" s="34" t="s">
        <v>9</v>
      </c>
      <c r="J588" s="38" t="str">
        <f>VLOOKUP(B588,CAJEROS!B:E,4,0)</f>
        <v>MF_ALDELS22</v>
      </c>
    </row>
    <row r="589" spans="1:10">
      <c r="A589" s="32">
        <v>718</v>
      </c>
      <c r="B589" s="33">
        <v>6248</v>
      </c>
      <c r="C589" s="3">
        <v>1460000</v>
      </c>
      <c r="D589" s="3"/>
      <c r="E589" s="31">
        <f t="shared" si="34"/>
        <v>1460000</v>
      </c>
      <c r="F589" s="5">
        <v>45973</v>
      </c>
      <c r="G589" s="4">
        <v>20251111</v>
      </c>
      <c r="H589" s="38" t="str">
        <f>VLOOKUP(B589,CAJEROS!B:D,3,0)</f>
        <v>Multifuncional</v>
      </c>
      <c r="I589" s="34" t="s">
        <v>9</v>
      </c>
      <c r="J589" s="38" t="str">
        <f>VLOOKUP(B589,CAJEROS!B:E,4,0)</f>
        <v>MF_LAESTACI</v>
      </c>
    </row>
    <row r="590" spans="1:10">
      <c r="A590" s="32">
        <v>916</v>
      </c>
      <c r="B590" s="33">
        <v>5052</v>
      </c>
      <c r="C590" s="3">
        <v>1236200</v>
      </c>
      <c r="D590" s="3"/>
      <c r="E590" s="31">
        <f t="shared" si="34"/>
        <v>1236200</v>
      </c>
      <c r="F590" s="5">
        <v>45973</v>
      </c>
      <c r="G590" s="4">
        <v>20251111</v>
      </c>
      <c r="H590" s="38" t="str">
        <f>VLOOKUP(B590,CAJEROS!B:D,3,0)</f>
        <v>Multifuncional</v>
      </c>
      <c r="I590" s="34" t="s">
        <v>9</v>
      </c>
      <c r="J590" s="38" t="str">
        <f>VLOOKUP(B590,CAJEROS!B:E,4,0)</f>
        <v>MF_OCEANMAL</v>
      </c>
    </row>
    <row r="591" spans="1:10">
      <c r="A591" s="32">
        <v>250</v>
      </c>
      <c r="B591" s="33">
        <v>5197</v>
      </c>
      <c r="C591" s="3">
        <v>945700</v>
      </c>
      <c r="D591" s="3">
        <v>929950</v>
      </c>
      <c r="E591" s="31">
        <f t="shared" si="34"/>
        <v>15750</v>
      </c>
      <c r="F591" s="5">
        <v>45973</v>
      </c>
      <c r="G591" s="4">
        <v>20251111</v>
      </c>
      <c r="H591" s="38" t="str">
        <f>VLOOKUP(B591,CAJEROS!B:D,3,0)</f>
        <v>Multifuncional</v>
      </c>
      <c r="I591" s="34" t="s">
        <v>9</v>
      </c>
      <c r="J591" s="38" t="str">
        <f>VLOOKUP(B591,CAJEROS!B:E,4,0)</f>
        <v>MF_MODELIA</v>
      </c>
    </row>
    <row r="592" spans="1:10">
      <c r="A592" s="32">
        <v>229</v>
      </c>
      <c r="B592" s="33">
        <v>9604</v>
      </c>
      <c r="C592" s="3">
        <v>733500</v>
      </c>
      <c r="D592" s="3"/>
      <c r="E592" s="31">
        <f t="shared" si="34"/>
        <v>733500</v>
      </c>
      <c r="F592" s="5">
        <v>45973</v>
      </c>
      <c r="G592" s="4">
        <v>20251111</v>
      </c>
      <c r="H592" s="38" t="str">
        <f>VLOOKUP(B592,CAJEROS!B:D,3,0)</f>
        <v>Multifuncional</v>
      </c>
      <c r="I592" s="34" t="s">
        <v>9</v>
      </c>
      <c r="J592" s="38" t="str">
        <f>VLOOKUP(B592,CAJEROS!B:E,4,0)</f>
        <v>MFSUCPASER1</v>
      </c>
    </row>
    <row r="593" spans="1:10">
      <c r="A593" s="32">
        <v>625</v>
      </c>
      <c r="B593" s="33">
        <v>6096</v>
      </c>
      <c r="C593" s="3">
        <v>650000</v>
      </c>
      <c r="D593" s="3">
        <v>590000</v>
      </c>
      <c r="E593" s="31">
        <f t="shared" si="34"/>
        <v>60000</v>
      </c>
      <c r="F593" s="5">
        <v>45973</v>
      </c>
      <c r="G593" s="4">
        <v>20251111</v>
      </c>
      <c r="H593" s="38" t="str">
        <f>VLOOKUP(B593,CAJEROS!B:D,3,0)</f>
        <v>Multifuncional</v>
      </c>
      <c r="I593" s="34" t="s">
        <v>9</v>
      </c>
      <c r="J593" s="38" t="str">
        <f>VLOOKUP(B593,CAJEROS!B:E,4,0)</f>
        <v>MF_BTRISTE</v>
      </c>
    </row>
    <row r="594" spans="1:10">
      <c r="A594" s="32">
        <v>777</v>
      </c>
      <c r="B594" s="33">
        <v>5009</v>
      </c>
      <c r="C594" s="3">
        <v>562000</v>
      </c>
      <c r="D594" s="3"/>
      <c r="E594" s="31">
        <f t="shared" si="34"/>
        <v>562000</v>
      </c>
      <c r="F594" s="5">
        <v>45973</v>
      </c>
      <c r="G594" s="4">
        <v>20251111</v>
      </c>
      <c r="H594" s="38" t="str">
        <f>VLOOKUP(B594,CAJEROS!B:D,3,0)</f>
        <v>Multifuncional</v>
      </c>
      <c r="I594" s="34" t="s">
        <v>9</v>
      </c>
      <c r="J594" s="38" t="str">
        <f>VLOOKUP(B594,CAJEROS!B:E,4,0)</f>
        <v>MF_PWASHING</v>
      </c>
    </row>
    <row r="595" spans="1:10">
      <c r="A595" s="32">
        <v>957</v>
      </c>
      <c r="B595" s="33">
        <v>9513</v>
      </c>
      <c r="C595" s="3">
        <v>540000</v>
      </c>
      <c r="D595" s="3"/>
      <c r="E595" s="31">
        <f t="shared" si="34"/>
        <v>540000</v>
      </c>
      <c r="F595" s="5">
        <v>45973</v>
      </c>
      <c r="G595" s="4">
        <v>20251111</v>
      </c>
      <c r="H595" s="38" t="str">
        <f>VLOOKUP(B595,CAJEROS!B:D,3,0)</f>
        <v>Multifuncional</v>
      </c>
      <c r="I595" s="34" t="s">
        <v>9</v>
      </c>
      <c r="J595" s="38" t="str">
        <f>VLOOKUP(B595,CAJEROS!B:E,4,0)</f>
        <v>MFSUCPARAL2</v>
      </c>
    </row>
    <row r="596" spans="1:10">
      <c r="A596" s="32">
        <v>959</v>
      </c>
      <c r="B596" s="33">
        <v>9265</v>
      </c>
      <c r="C596" s="3">
        <v>460000</v>
      </c>
      <c r="D596" s="3"/>
      <c r="E596" s="31">
        <f t="shared" si="34"/>
        <v>460000</v>
      </c>
      <c r="F596" s="5">
        <v>45973</v>
      </c>
      <c r="G596" s="4">
        <v>20251111</v>
      </c>
      <c r="H596" s="38" t="str">
        <f>VLOOKUP(B596,CAJEROS!B:D,3,0)</f>
        <v>Multifuncional</v>
      </c>
      <c r="I596" s="34" t="s">
        <v>9</v>
      </c>
      <c r="J596" s="38" t="str">
        <f>VLOOKUP(B596,CAJEROS!B:E,4,0)</f>
        <v>MFSUCTURBO1</v>
      </c>
    </row>
    <row r="597" spans="1:10">
      <c r="A597" s="32">
        <v>812</v>
      </c>
      <c r="B597" s="33">
        <v>7614</v>
      </c>
      <c r="C597" s="3">
        <v>380000</v>
      </c>
      <c r="D597" s="3"/>
      <c r="E597" s="31">
        <f t="shared" si="34"/>
        <v>380000</v>
      </c>
      <c r="F597" s="5">
        <v>45973</v>
      </c>
      <c r="G597" s="4">
        <v>20251111</v>
      </c>
      <c r="H597" s="38" t="str">
        <f>VLOOKUP(B597,CAJEROS!B:D,3,0)</f>
        <v>Multifuncional</v>
      </c>
      <c r="I597" s="34" t="s">
        <v>9</v>
      </c>
      <c r="J597" s="38" t="str">
        <f>VLOOKUP(B597,CAJEROS!B:E,4,0)</f>
        <v>MF_CHPICHP3</v>
      </c>
    </row>
    <row r="598" spans="1:10">
      <c r="A598" s="32">
        <v>70</v>
      </c>
      <c r="B598" s="33">
        <v>5164</v>
      </c>
      <c r="C598" s="3">
        <v>265000</v>
      </c>
      <c r="D598" s="3"/>
      <c r="E598" s="31">
        <f t="shared" si="34"/>
        <v>265000</v>
      </c>
      <c r="F598" s="5">
        <v>45973</v>
      </c>
      <c r="G598" s="4">
        <v>20251111</v>
      </c>
      <c r="H598" s="38" t="str">
        <f>VLOOKUP(B598,CAJEROS!B:D,3,0)</f>
        <v>Multifuncional</v>
      </c>
      <c r="I598" s="34" t="s">
        <v>9</v>
      </c>
      <c r="J598" s="38" t="str">
        <f>VLOOKUP(B598,CAJEROS!B:E,4,0)</f>
        <v>MF_MANIZALE</v>
      </c>
    </row>
    <row r="599" spans="1:10">
      <c r="A599" s="32">
        <v>481</v>
      </c>
      <c r="B599" s="33">
        <v>1010</v>
      </c>
      <c r="C599" s="3">
        <v>200000</v>
      </c>
      <c r="D599" s="3"/>
      <c r="E599" s="31">
        <f t="shared" si="34"/>
        <v>200000</v>
      </c>
      <c r="F599" s="5">
        <v>45973</v>
      </c>
      <c r="G599" s="4">
        <v>20251111</v>
      </c>
      <c r="H599" s="38" t="str">
        <f>VLOOKUP(B599,CAJEROS!B:D,3,0)</f>
        <v>Multifuncional</v>
      </c>
      <c r="I599" s="34" t="s">
        <v>9</v>
      </c>
      <c r="J599" s="38" t="str">
        <f>VLOOKUP(B599,CAJEROS!B:E,4,0)</f>
        <v>MF_SOLEDAD1</v>
      </c>
    </row>
    <row r="600" spans="1:10">
      <c r="A600" s="32">
        <v>24</v>
      </c>
      <c r="B600" s="33">
        <v>5066</v>
      </c>
      <c r="C600" s="3">
        <v>115000</v>
      </c>
      <c r="D600" s="3"/>
      <c r="E600" s="31">
        <f t="shared" si="34"/>
        <v>115000</v>
      </c>
      <c r="F600" s="5">
        <v>45973</v>
      </c>
      <c r="G600" s="4">
        <v>20251111</v>
      </c>
      <c r="H600" s="38" t="str">
        <f>VLOOKUP(B600,CAJEROS!B:D,3,0)</f>
        <v>Multifuncional</v>
      </c>
      <c r="I600" s="34" t="s">
        <v>9</v>
      </c>
      <c r="J600" s="38" t="str">
        <f>VLOOKUP(B600,CAJEROS!B:E,4,0)</f>
        <v>MF_RIONEGPA</v>
      </c>
    </row>
    <row r="601" spans="1:10">
      <c r="A601" s="32">
        <v>698</v>
      </c>
      <c r="B601" s="33">
        <v>5187</v>
      </c>
      <c r="C601" s="3">
        <v>63900</v>
      </c>
      <c r="D601" s="3"/>
      <c r="E601" s="31">
        <f t="shared" si="34"/>
        <v>63900</v>
      </c>
      <c r="F601" s="5">
        <v>45973</v>
      </c>
      <c r="G601" s="4">
        <v>20251111</v>
      </c>
      <c r="H601" s="38" t="str">
        <f>VLOOKUP(B601,CAJEROS!B:D,3,0)</f>
        <v>Multifuncional</v>
      </c>
      <c r="I601" s="34" t="s">
        <v>9</v>
      </c>
      <c r="J601" s="38" t="str">
        <f>VLOOKUP(B601,CAJEROS!B:E,4,0)</f>
        <v>MF_SCLLE79</v>
      </c>
    </row>
    <row r="602" spans="1:10">
      <c r="A602" s="32">
        <v>481</v>
      </c>
      <c r="B602" s="33">
        <v>1011</v>
      </c>
      <c r="C602" s="3">
        <v>50000</v>
      </c>
      <c r="D602" s="3"/>
      <c r="E602" s="31">
        <f t="shared" si="34"/>
        <v>50000</v>
      </c>
      <c r="F602" s="5">
        <v>45973</v>
      </c>
      <c r="G602" s="4">
        <v>20251111</v>
      </c>
      <c r="H602" s="38" t="str">
        <f>VLOOKUP(B602,CAJEROS!B:D,3,0)</f>
        <v>Multifuncional</v>
      </c>
      <c r="I602" s="34" t="s">
        <v>9</v>
      </c>
      <c r="J602" s="38" t="str">
        <f>VLOOKUP(B602,CAJEROS!B:E,4,0)</f>
        <v>MF_SOLEDAD2</v>
      </c>
    </row>
    <row r="603" spans="1:10">
      <c r="A603" s="32">
        <v>31</v>
      </c>
      <c r="B603" s="33">
        <v>8737</v>
      </c>
      <c r="C603" s="3">
        <v>30000</v>
      </c>
      <c r="D603" s="3"/>
      <c r="E603" s="31">
        <f t="shared" si="34"/>
        <v>30000</v>
      </c>
      <c r="F603" s="5">
        <v>45973</v>
      </c>
      <c r="G603" s="4">
        <v>20251111</v>
      </c>
      <c r="H603" s="38" t="str">
        <f>VLOOKUP(B603,CAJEROS!B:D,3,0)</f>
        <v>Multifuncional</v>
      </c>
      <c r="I603" s="34" t="s">
        <v>9</v>
      </c>
      <c r="J603" s="38" t="str">
        <f>VLOOKUP(B603,CAJEROS!B:E,4,0)</f>
        <v>MF_SUCEINT1</v>
      </c>
    </row>
    <row r="604" spans="1:10">
      <c r="A604" s="32">
        <v>123</v>
      </c>
      <c r="B604" s="33">
        <v>7134</v>
      </c>
      <c r="C604" s="3">
        <v>21000</v>
      </c>
      <c r="D604" s="3"/>
      <c r="E604" s="31">
        <f t="shared" si="34"/>
        <v>21000</v>
      </c>
      <c r="F604" s="5">
        <v>45973</v>
      </c>
      <c r="G604" s="4">
        <v>20251111</v>
      </c>
      <c r="H604" s="38" t="str">
        <f>VLOOKUP(B604,CAJEROS!B:D,3,0)</f>
        <v>Multifuncional</v>
      </c>
      <c r="I604" s="34" t="s">
        <v>9</v>
      </c>
      <c r="J604" s="38" t="str">
        <f>VLOOKUP(B604,CAJEROS!B:E,4,0)</f>
        <v>MF_CPRIONE2</v>
      </c>
    </row>
    <row r="605" spans="1:10">
      <c r="A605" s="32">
        <v>831</v>
      </c>
      <c r="B605" s="33">
        <v>4654</v>
      </c>
      <c r="C605" s="3">
        <v>20000</v>
      </c>
      <c r="D605" s="3"/>
      <c r="E605" s="31">
        <f t="shared" ref="E605" si="35">+C605-D605</f>
        <v>20000</v>
      </c>
      <c r="F605" s="5">
        <v>45973</v>
      </c>
      <c r="G605" s="4">
        <v>20251111</v>
      </c>
      <c r="H605" s="38" t="str">
        <f>VLOOKUP(B605,CAJEROS!B:D,3,0)</f>
        <v>Dispensador</v>
      </c>
      <c r="I605" s="34" t="s">
        <v>10</v>
      </c>
      <c r="J605" s="38" t="str">
        <f>VLOOKUP(B605,CAJEROS!B:E,4,0)</f>
        <v>SUC_CAREPA3</v>
      </c>
    </row>
    <row r="606" spans="1:10">
      <c r="A606" s="32">
        <v>764</v>
      </c>
      <c r="B606" s="33">
        <v>4990</v>
      </c>
      <c r="C606" s="3">
        <v>20000</v>
      </c>
      <c r="D606" s="3"/>
      <c r="E606" s="31">
        <f t="shared" ref="E606:E609" si="36">+C606-D606</f>
        <v>20000</v>
      </c>
      <c r="F606" s="5">
        <v>45973</v>
      </c>
      <c r="G606" s="4">
        <v>20251111</v>
      </c>
      <c r="H606" s="38" t="str">
        <f>VLOOKUP(B606,CAJEROS!B:D,3,0)</f>
        <v>Dispensador</v>
      </c>
      <c r="I606" s="34" t="s">
        <v>10</v>
      </c>
      <c r="J606" s="38" t="str">
        <f>VLOOKUP(B606,CAJEROS!B:E,4,0)</f>
        <v>SUC_JAMUND3</v>
      </c>
    </row>
    <row r="607" spans="1:10">
      <c r="A607" s="32">
        <v>285</v>
      </c>
      <c r="B607" s="33">
        <v>6053</v>
      </c>
      <c r="C607" s="3">
        <v>20000</v>
      </c>
      <c r="D607" s="3"/>
      <c r="E607" s="31">
        <f t="shared" si="36"/>
        <v>20000</v>
      </c>
      <c r="F607" s="5">
        <v>45973</v>
      </c>
      <c r="G607" s="4">
        <v>20251111</v>
      </c>
      <c r="H607" s="38" t="str">
        <f>VLOOKUP(B607,CAJEROS!B:D,3,0)</f>
        <v>Dispensador</v>
      </c>
      <c r="I607" s="34" t="s">
        <v>10</v>
      </c>
      <c r="J607" s="38" t="str">
        <f>VLOOKUP(B607,CAJEROS!B:E,4,0)</f>
        <v>GARZON3</v>
      </c>
    </row>
    <row r="608" spans="1:10">
      <c r="A608" s="32">
        <v>885</v>
      </c>
      <c r="B608" s="33">
        <v>8851</v>
      </c>
      <c r="C608" s="3">
        <v>20000</v>
      </c>
      <c r="D608" s="3"/>
      <c r="E608" s="31">
        <f t="shared" si="36"/>
        <v>20000</v>
      </c>
      <c r="F608" s="5">
        <v>45973</v>
      </c>
      <c r="G608" s="4">
        <v>20251111</v>
      </c>
      <c r="H608" s="38" t="str">
        <f>VLOOKUP(B608,CAJEROS!B:D,3,0)</f>
        <v>Dispensador</v>
      </c>
      <c r="I608" s="34" t="s">
        <v>10</v>
      </c>
      <c r="J608" s="38" t="str">
        <f>VLOOKUP(B608,CAJEROS!B:E,4,0)</f>
        <v>TUQUERRES</v>
      </c>
    </row>
    <row r="609" spans="1:10">
      <c r="A609" s="32">
        <v>664</v>
      </c>
      <c r="B609" s="33">
        <v>8858</v>
      </c>
      <c r="C609" s="3">
        <v>10000</v>
      </c>
      <c r="D609" s="3"/>
      <c r="E609" s="31">
        <f t="shared" si="36"/>
        <v>10000</v>
      </c>
      <c r="F609" s="5">
        <v>45973</v>
      </c>
      <c r="G609" s="4">
        <v>20251111</v>
      </c>
      <c r="H609" s="38" t="str">
        <f>VLOOKUP(B609,CAJEROS!B:D,3,0)</f>
        <v>Dispensador</v>
      </c>
      <c r="I609" s="34" t="s">
        <v>10</v>
      </c>
      <c r="J609" s="38" t="str">
        <f>VLOOKUP(B609,CAJEROS!B:E,4,0)</f>
        <v>SUCCPCORAB3</v>
      </c>
    </row>
    <row r="610" spans="1:10">
      <c r="A610" s="32">
        <v>426</v>
      </c>
      <c r="B610" s="33">
        <v>7819</v>
      </c>
      <c r="C610" s="3">
        <v>500000</v>
      </c>
      <c r="D610" s="3"/>
      <c r="E610" s="31">
        <f t="shared" ref="E610:E612" si="37">+C610-D610</f>
        <v>500000</v>
      </c>
      <c r="F610" s="5">
        <v>45973</v>
      </c>
      <c r="G610" s="4">
        <v>20251105</v>
      </c>
      <c r="H610" s="38" t="str">
        <f>VLOOKUP(B610,CAJEROS!B:D,3,0)</f>
        <v>Dispensador</v>
      </c>
      <c r="I610" s="34" t="s">
        <v>11</v>
      </c>
      <c r="J610" s="38" t="str">
        <f>VLOOKUP(B610,CAJEROS!B:E,4,0)</f>
        <v>PURIFICACI2</v>
      </c>
    </row>
    <row r="611" spans="1:10">
      <c r="A611" s="32">
        <v>536</v>
      </c>
      <c r="B611" s="33">
        <v>4795</v>
      </c>
      <c r="C611" s="3">
        <v>100000</v>
      </c>
      <c r="D611" s="3"/>
      <c r="E611" s="31">
        <f t="shared" si="37"/>
        <v>100000</v>
      </c>
      <c r="F611" s="5">
        <v>45973</v>
      </c>
      <c r="G611" s="4">
        <v>20251105</v>
      </c>
      <c r="H611" s="38" t="str">
        <f>VLOOKUP(B611,CAJEROS!B:D,3,0)</f>
        <v>Dispensador</v>
      </c>
      <c r="I611" s="34" t="s">
        <v>11</v>
      </c>
      <c r="J611" s="38" t="str">
        <f>VLOOKUP(B611,CAJEROS!B:E,4,0)</f>
        <v>SUC_QUIBDO1</v>
      </c>
    </row>
    <row r="612" spans="1:10">
      <c r="A612" s="32">
        <v>567</v>
      </c>
      <c r="B612" s="33">
        <v>4521</v>
      </c>
      <c r="C612" s="3">
        <v>600000</v>
      </c>
      <c r="D612" s="3"/>
      <c r="E612" s="31">
        <f t="shared" si="37"/>
        <v>600000</v>
      </c>
      <c r="F612" s="5">
        <v>45973</v>
      </c>
      <c r="G612" s="4">
        <v>20251105</v>
      </c>
      <c r="H612" s="38" t="str">
        <f>VLOOKUP(B612,CAJEROS!B:D,3,0)</f>
        <v>Dispensador</v>
      </c>
      <c r="I612" s="34" t="s">
        <v>11</v>
      </c>
      <c r="J612" s="38" t="str">
        <f>VLOOKUP(B612,CAJEROS!B:E,4,0)</f>
        <v>VENECIA2</v>
      </c>
    </row>
    <row r="613" spans="1:10">
      <c r="A613" s="32">
        <v>19</v>
      </c>
      <c r="B613" s="33">
        <v>5078</v>
      </c>
      <c r="C613" s="3">
        <v>250000</v>
      </c>
      <c r="D613" s="3"/>
      <c r="E613" s="7">
        <f t="shared" ref="E613:E1218" si="38">+C613-D613</f>
        <v>250000</v>
      </c>
      <c r="F613" s="5">
        <v>45973</v>
      </c>
      <c r="G613" s="4">
        <v>20251111</v>
      </c>
      <c r="H613" s="38" t="str">
        <f>VLOOKUP(B613,CAJEROS!B:D,3,0)</f>
        <v>Multifuncional</v>
      </c>
      <c r="I613" s="34" t="s">
        <v>12</v>
      </c>
      <c r="J613" s="38" t="str">
        <f>VLOOKUP(B613,CAJEROS!B:E,4,0)</f>
        <v>MF_SUCENVIG</v>
      </c>
    </row>
    <row r="614" spans="1:10">
      <c r="A614" s="32">
        <v>254</v>
      </c>
      <c r="B614" s="33">
        <v>9213</v>
      </c>
      <c r="C614" s="3">
        <v>200000</v>
      </c>
      <c r="D614" s="3"/>
      <c r="E614" s="7">
        <f t="shared" si="38"/>
        <v>200000</v>
      </c>
      <c r="F614" s="5">
        <v>45974</v>
      </c>
      <c r="G614" s="4">
        <v>20251112</v>
      </c>
      <c r="H614" s="38" t="str">
        <f>VLOOKUP(B614,CAJEROS!B:D,3,0)</f>
        <v>Dispensador</v>
      </c>
      <c r="I614" s="34"/>
      <c r="J614" s="38" t="str">
        <f>VLOOKUP(B614,CAJEROS!B:E,4,0)</f>
        <v>PTOBOYACA3</v>
      </c>
    </row>
    <row r="615" spans="1:10">
      <c r="A615" s="32">
        <v>322</v>
      </c>
      <c r="B615" s="33">
        <v>2441</v>
      </c>
      <c r="C615" s="3">
        <v>40000</v>
      </c>
      <c r="D615" s="3"/>
      <c r="E615" s="7">
        <f t="shared" si="38"/>
        <v>40000</v>
      </c>
      <c r="F615" s="5">
        <v>45974</v>
      </c>
      <c r="G615" s="4">
        <v>20251112</v>
      </c>
      <c r="H615" s="38" t="str">
        <f>VLOOKUP(B615,CAJEROS!B:D,3,0)</f>
        <v>Dispensador</v>
      </c>
      <c r="I615" s="34"/>
      <c r="J615" s="38" t="str">
        <f>VLOOKUP(B615,CAJEROS!B:E,4,0)</f>
        <v>SUCSANGIL1</v>
      </c>
    </row>
    <row r="616" spans="1:10">
      <c r="A616" s="32">
        <v>322</v>
      </c>
      <c r="B616" s="33">
        <v>2443</v>
      </c>
      <c r="C616" s="3">
        <v>80000</v>
      </c>
      <c r="D616" s="3"/>
      <c r="E616" s="7">
        <f t="shared" si="38"/>
        <v>80000</v>
      </c>
      <c r="F616" s="5">
        <v>45974</v>
      </c>
      <c r="G616" s="4">
        <v>20251112</v>
      </c>
      <c r="H616" s="38" t="str">
        <f>VLOOKUP(B616,CAJEROS!B:D,3,0)</f>
        <v>Dispensador</v>
      </c>
      <c r="I616" s="34"/>
      <c r="J616" s="38" t="str">
        <f>VLOOKUP(B616,CAJEROS!B:E,4,0)</f>
        <v>SUCSANGIL3</v>
      </c>
    </row>
    <row r="617" spans="1:10">
      <c r="A617" s="32">
        <v>365</v>
      </c>
      <c r="B617" s="33">
        <v>454</v>
      </c>
      <c r="C617" s="3">
        <v>310000</v>
      </c>
      <c r="D617" s="3"/>
      <c r="E617" s="7">
        <f t="shared" si="38"/>
        <v>310000</v>
      </c>
      <c r="F617" s="5">
        <v>45974</v>
      </c>
      <c r="G617" s="4">
        <v>20251112</v>
      </c>
      <c r="H617" s="38" t="str">
        <f>VLOOKUP(B617,CAJEROS!B:D,3,0)</f>
        <v>Dispensador</v>
      </c>
      <c r="I617" s="34"/>
      <c r="J617" s="38" t="str">
        <f>VLOOKUP(B617,CAJEROS!B:E,4,0)</f>
        <v>AGUAZUL1</v>
      </c>
    </row>
    <row r="618" spans="1:10">
      <c r="A618" s="32">
        <v>406</v>
      </c>
      <c r="B618" s="33">
        <v>4578</v>
      </c>
      <c r="C618" s="3">
        <v>400000</v>
      </c>
      <c r="D618" s="3"/>
      <c r="E618" s="7">
        <f t="shared" si="38"/>
        <v>400000</v>
      </c>
      <c r="F618" s="5">
        <v>45974</v>
      </c>
      <c r="G618" s="4">
        <v>20251112</v>
      </c>
      <c r="H618" s="38" t="str">
        <f>VLOOKUP(B618,CAJEROS!B:D,3,0)</f>
        <v>Dispensador</v>
      </c>
      <c r="I618" s="34"/>
      <c r="J618" s="38" t="str">
        <f>VLOOKUP(B618,CAJEROS!B:E,4,0)</f>
        <v>SUC_EMPRES1</v>
      </c>
    </row>
    <row r="619" spans="1:10">
      <c r="A619" s="32">
        <v>422</v>
      </c>
      <c r="B619" s="33">
        <v>4555</v>
      </c>
      <c r="C619" s="3">
        <v>350000</v>
      </c>
      <c r="D619" s="3"/>
      <c r="E619" s="7">
        <f t="shared" si="38"/>
        <v>350000</v>
      </c>
      <c r="F619" s="5">
        <v>45974</v>
      </c>
      <c r="G619" s="4">
        <v>20251112</v>
      </c>
      <c r="H619" s="38" t="str">
        <f>VLOOKUP(B619,CAJEROS!B:D,3,0)</f>
        <v>Dispensador</v>
      </c>
      <c r="I619" s="34"/>
      <c r="J619" s="38" t="str">
        <f>VLOOKUP(B619,CAJEROS!B:E,4,0)</f>
        <v>CHAPARRAL_2</v>
      </c>
    </row>
    <row r="620" spans="1:10">
      <c r="A620" s="32">
        <v>457</v>
      </c>
      <c r="B620" s="33">
        <v>9000</v>
      </c>
      <c r="C620" s="3">
        <v>750000</v>
      </c>
      <c r="D620" s="3"/>
      <c r="E620" s="7">
        <f t="shared" si="38"/>
        <v>750000</v>
      </c>
      <c r="F620" s="5">
        <v>45974</v>
      </c>
      <c r="G620" s="4">
        <v>20251112</v>
      </c>
      <c r="H620" s="38" t="str">
        <f>VLOOKUP(B620,CAJEROS!B:D,3,0)</f>
        <v>Dispensador</v>
      </c>
      <c r="I620" s="34"/>
      <c r="J620" s="38" t="str">
        <f>VLOOKUP(B620,CAJEROS!B:E,4,0)</f>
        <v>SUCSANPEDR1</v>
      </c>
    </row>
    <row r="621" spans="1:10">
      <c r="A621" s="32">
        <v>466</v>
      </c>
      <c r="B621" s="33">
        <v>6777</v>
      </c>
      <c r="C621" s="3">
        <v>80000</v>
      </c>
      <c r="D621" s="3"/>
      <c r="E621" s="7">
        <f t="shared" si="38"/>
        <v>80000</v>
      </c>
      <c r="F621" s="5">
        <v>45974</v>
      </c>
      <c r="G621" s="4">
        <v>20251112</v>
      </c>
      <c r="H621" s="38" t="str">
        <f>VLOOKUP(B621,CAJEROS!B:D,3,0)</f>
        <v>Dispensador</v>
      </c>
      <c r="I621" s="34"/>
      <c r="J621" s="38" t="str">
        <f>VLOOKUP(B621,CAJEROS!B:E,4,0)</f>
        <v>SUCFLOREN_2</v>
      </c>
    </row>
    <row r="622" spans="1:10">
      <c r="A622" s="32">
        <v>467</v>
      </c>
      <c r="B622" s="33">
        <v>8911</v>
      </c>
      <c r="C622" s="3">
        <v>2350000</v>
      </c>
      <c r="D622" s="3"/>
      <c r="E622" s="7">
        <f t="shared" si="38"/>
        <v>2350000</v>
      </c>
      <c r="F622" s="5">
        <v>45974</v>
      </c>
      <c r="G622" s="4">
        <v>20251112</v>
      </c>
      <c r="H622" s="38" t="str">
        <f>VLOOKUP(B622,CAJEROS!B:D,3,0)</f>
        <v>Dispensador</v>
      </c>
      <c r="I622" s="34"/>
      <c r="J622" s="38" t="str">
        <f>VLOOKUP(B622,CAJEROS!B:E,4,0)</f>
        <v>HDIVERPLZ_1</v>
      </c>
    </row>
    <row r="623" spans="1:10">
      <c r="A623" s="32">
        <v>467</v>
      </c>
      <c r="B623" s="33">
        <v>8912</v>
      </c>
      <c r="C623" s="3">
        <v>200000</v>
      </c>
      <c r="D623" s="3"/>
      <c r="E623" s="7">
        <f t="shared" si="38"/>
        <v>200000</v>
      </c>
      <c r="F623" s="5">
        <v>45974</v>
      </c>
      <c r="G623" s="4">
        <v>20251112</v>
      </c>
      <c r="H623" s="38" t="str">
        <f>VLOOKUP(B623,CAJEROS!B:D,3,0)</f>
        <v>Dispensador</v>
      </c>
      <c r="I623" s="34"/>
      <c r="J623" s="38" t="str">
        <f>VLOOKUP(B623,CAJEROS!B:E,4,0)</f>
        <v>HDIVERPLZ_2</v>
      </c>
    </row>
    <row r="624" spans="1:10">
      <c r="A624" s="32">
        <v>467</v>
      </c>
      <c r="B624" s="33">
        <v>8916</v>
      </c>
      <c r="C624" s="3">
        <v>4980000</v>
      </c>
      <c r="D624" s="3"/>
      <c r="E624" s="7">
        <f t="shared" si="38"/>
        <v>4980000</v>
      </c>
      <c r="F624" s="5">
        <v>45974</v>
      </c>
      <c r="G624" s="4">
        <v>20251112</v>
      </c>
      <c r="H624" s="38" t="str">
        <f>VLOOKUP(B624,CAJEROS!B:D,3,0)</f>
        <v>Dispensador</v>
      </c>
      <c r="I624" s="34"/>
      <c r="J624" s="38" t="str">
        <f>VLOOKUP(B624,CAJEROS!B:E,4,0)</f>
        <v>HDIVERPLZ_6</v>
      </c>
    </row>
    <row r="625" spans="1:10">
      <c r="A625" s="32">
        <v>467</v>
      </c>
      <c r="B625" s="33">
        <v>8917</v>
      </c>
      <c r="C625" s="3">
        <v>50000</v>
      </c>
      <c r="D625" s="3"/>
      <c r="E625" s="7">
        <f t="shared" si="38"/>
        <v>50000</v>
      </c>
      <c r="F625" s="5">
        <v>45974</v>
      </c>
      <c r="G625" s="4">
        <v>20251112</v>
      </c>
      <c r="H625" s="38" t="str">
        <f>VLOOKUP(B625,CAJEROS!B:D,3,0)</f>
        <v>Dispensador</v>
      </c>
      <c r="I625" s="34"/>
      <c r="J625" s="38" t="str">
        <f>VLOOKUP(B625,CAJEROS!B:E,4,0)</f>
        <v>HDIVERPLZ_7</v>
      </c>
    </row>
    <row r="626" spans="1:10">
      <c r="A626" s="32">
        <v>554</v>
      </c>
      <c r="B626" s="33">
        <v>8298</v>
      </c>
      <c r="C626" s="3">
        <v>1350000</v>
      </c>
      <c r="D626" s="3"/>
      <c r="E626" s="7">
        <f t="shared" si="38"/>
        <v>1350000</v>
      </c>
      <c r="F626" s="5">
        <v>45974</v>
      </c>
      <c r="G626" s="4">
        <v>20251112</v>
      </c>
      <c r="H626" s="38" t="str">
        <f>VLOOKUP(B626,CAJEROS!B:D,3,0)</f>
        <v>Dispensador</v>
      </c>
      <c r="I626" s="34"/>
      <c r="J626" s="38" t="str">
        <f>VLOOKUP(B626,CAJEROS!B:E,4,0)</f>
        <v>SUCBUEVIII3</v>
      </c>
    </row>
    <row r="627" spans="1:10">
      <c r="A627" s="32">
        <v>629</v>
      </c>
      <c r="B627" s="33">
        <v>4569</v>
      </c>
      <c r="C627" s="3">
        <v>1100000</v>
      </c>
      <c r="D627" s="3"/>
      <c r="E627" s="7">
        <f t="shared" si="38"/>
        <v>1100000</v>
      </c>
      <c r="F627" s="5">
        <v>45974</v>
      </c>
      <c r="G627" s="4">
        <v>20251112</v>
      </c>
      <c r="H627" s="38" t="str">
        <f>VLOOKUP(B627,CAJEROS!B:D,3,0)</f>
        <v>Dispensador</v>
      </c>
      <c r="I627" s="34"/>
      <c r="J627" s="38" t="str">
        <f>VLOOKUP(B627,CAJEROS!B:E,4,0)</f>
        <v>SUC_YOPAL1</v>
      </c>
    </row>
    <row r="628" spans="1:10">
      <c r="A628" s="32">
        <v>629</v>
      </c>
      <c r="B628" s="33">
        <v>4572</v>
      </c>
      <c r="C628" s="3">
        <v>120000</v>
      </c>
      <c r="D628" s="3"/>
      <c r="E628" s="7">
        <f t="shared" si="38"/>
        <v>120000</v>
      </c>
      <c r="F628" s="5">
        <v>45974</v>
      </c>
      <c r="G628" s="4">
        <v>20251112</v>
      </c>
      <c r="H628" s="38" t="str">
        <f>VLOOKUP(B628,CAJEROS!B:D,3,0)</f>
        <v>Dispensador</v>
      </c>
      <c r="I628" s="34"/>
      <c r="J628" s="38" t="str">
        <f>VLOOKUP(B628,CAJEROS!B:E,4,0)</f>
        <v>SUC_YOPAL3</v>
      </c>
    </row>
    <row r="629" spans="1:10">
      <c r="A629" s="32">
        <v>687</v>
      </c>
      <c r="B629" s="33">
        <v>8513</v>
      </c>
      <c r="C629" s="3">
        <v>140000</v>
      </c>
      <c r="D629" s="3"/>
      <c r="E629" s="7">
        <f t="shared" si="38"/>
        <v>140000</v>
      </c>
      <c r="F629" s="5">
        <v>45974</v>
      </c>
      <c r="G629" s="4">
        <v>20251112</v>
      </c>
      <c r="H629" s="38" t="str">
        <f>VLOOKUP(B629,CAJEROS!B:D,3,0)</f>
        <v>Dispensador</v>
      </c>
      <c r="I629" s="34"/>
      <c r="J629" s="38" t="str">
        <f>VLOOKUP(B629,CAJEROS!B:E,4,0)</f>
        <v>SUC_PLANE3</v>
      </c>
    </row>
    <row r="630" spans="1:10">
      <c r="A630" s="32">
        <v>724</v>
      </c>
      <c r="B630" s="33">
        <v>6894</v>
      </c>
      <c r="C630" s="3">
        <v>1000000</v>
      </c>
      <c r="D630" s="3"/>
      <c r="E630" s="7">
        <f t="shared" si="38"/>
        <v>1000000</v>
      </c>
      <c r="F630" s="5">
        <v>45974</v>
      </c>
      <c r="G630" s="4">
        <v>20251112</v>
      </c>
      <c r="H630" s="38" t="str">
        <f>VLOOKUP(B630,CAJEROS!B:D,3,0)</f>
        <v>Dispensador</v>
      </c>
      <c r="I630" s="34"/>
      <c r="J630" s="38" t="str">
        <f>VLOOKUP(B630,CAJEROS!B:E,4,0)</f>
        <v>SUC_FONSEC3</v>
      </c>
    </row>
    <row r="631" spans="1:10">
      <c r="A631" s="32">
        <v>30</v>
      </c>
      <c r="B631" s="33">
        <v>4957</v>
      </c>
      <c r="C631" s="3">
        <v>300000</v>
      </c>
      <c r="D631" s="3"/>
      <c r="E631" s="7">
        <f t="shared" si="38"/>
        <v>300000</v>
      </c>
      <c r="F631" s="5">
        <v>45974</v>
      </c>
      <c r="G631" s="4">
        <v>20251112</v>
      </c>
      <c r="H631" s="38" t="str">
        <f>VLOOKUP(B631,CAJEROS!B:D,3,0)</f>
        <v>Dispensador</v>
      </c>
      <c r="I631" s="34" t="s">
        <v>9</v>
      </c>
      <c r="J631" s="38" t="str">
        <f>VLOOKUP(B631,CAJEROS!B:E,4,0)</f>
        <v>SUC_CRAOCT1</v>
      </c>
    </row>
    <row r="632" spans="1:10">
      <c r="A632" s="32">
        <v>38</v>
      </c>
      <c r="B632" s="33">
        <v>6553</v>
      </c>
      <c r="C632" s="3">
        <v>200000</v>
      </c>
      <c r="D632" s="3"/>
      <c r="E632" s="7">
        <f t="shared" si="38"/>
        <v>200000</v>
      </c>
      <c r="F632" s="5">
        <v>45974</v>
      </c>
      <c r="G632" s="4">
        <v>20251112</v>
      </c>
      <c r="H632" s="38" t="str">
        <f>VLOOKUP(B632,CAJEROS!B:D,3,0)</f>
        <v>Dispensador</v>
      </c>
      <c r="I632" s="34" t="s">
        <v>9</v>
      </c>
      <c r="J632" s="38" t="str">
        <f>VLOOKUP(B632,CAJEROS!B:E,4,0)</f>
        <v>PAIPA1</v>
      </c>
    </row>
    <row r="633" spans="1:10">
      <c r="A633" s="32">
        <v>57</v>
      </c>
      <c r="B633" s="33">
        <v>9931</v>
      </c>
      <c r="C633" s="3">
        <v>300000</v>
      </c>
      <c r="D633" s="3"/>
      <c r="E633" s="7">
        <f t="shared" si="38"/>
        <v>300000</v>
      </c>
      <c r="F633" s="5">
        <v>45974</v>
      </c>
      <c r="G633" s="4">
        <v>20251112</v>
      </c>
      <c r="H633" s="38" t="str">
        <f>VLOOKUP(B633,CAJEROS!B:D,3,0)</f>
        <v>Dispensador</v>
      </c>
      <c r="I633" s="34" t="s">
        <v>9</v>
      </c>
      <c r="J633" s="38" t="str">
        <f>VLOOKUP(B633,CAJEROS!B:E,4,0)</f>
        <v>SUC_VILLAO3</v>
      </c>
    </row>
    <row r="634" spans="1:10">
      <c r="A634" s="32">
        <v>96</v>
      </c>
      <c r="B634" s="33">
        <v>1035</v>
      </c>
      <c r="C634" s="3">
        <v>30000</v>
      </c>
      <c r="D634" s="3"/>
      <c r="E634" s="7">
        <f t="shared" si="38"/>
        <v>30000</v>
      </c>
      <c r="F634" s="5">
        <v>45974</v>
      </c>
      <c r="G634" s="4">
        <v>20251112</v>
      </c>
      <c r="H634" s="38" t="str">
        <f>VLOOKUP(B634,CAJEROS!B:D,3,0)</f>
        <v>Dispensador</v>
      </c>
      <c r="I634" s="34" t="s">
        <v>9</v>
      </c>
      <c r="J634" s="38" t="str">
        <f>VLOOKUP(B634,CAJEROS!B:E,4,0)</f>
        <v>SUC_MAICAO1</v>
      </c>
    </row>
    <row r="635" spans="1:10">
      <c r="A635" s="32">
        <v>348</v>
      </c>
      <c r="B635" s="33">
        <v>9006</v>
      </c>
      <c r="C635" s="3">
        <v>100000</v>
      </c>
      <c r="D635" s="3">
        <v>100000</v>
      </c>
      <c r="E635" s="7">
        <f t="shared" si="38"/>
        <v>0</v>
      </c>
      <c r="F635" s="5">
        <v>45974</v>
      </c>
      <c r="G635" s="4">
        <v>20251112</v>
      </c>
      <c r="H635" s="38" t="str">
        <f>VLOOKUP(B635,CAJEROS!B:D,3,0)</f>
        <v>Dispensador</v>
      </c>
      <c r="I635" s="34" t="s">
        <v>9</v>
      </c>
      <c r="J635" s="38" t="str">
        <f>VLOOKUP(B635,CAJEROS!B:E,4,0)</f>
        <v>SUCSANDRES6</v>
      </c>
    </row>
    <row r="636" spans="1:10">
      <c r="A636" s="32">
        <v>358</v>
      </c>
      <c r="B636" s="33">
        <v>9648</v>
      </c>
      <c r="C636" s="3">
        <v>2000000</v>
      </c>
      <c r="D636" s="3"/>
      <c r="E636" s="7">
        <f t="shared" si="38"/>
        <v>2000000</v>
      </c>
      <c r="F636" s="5">
        <v>45974</v>
      </c>
      <c r="G636" s="4">
        <v>20251112</v>
      </c>
      <c r="H636" s="38" t="str">
        <f>VLOOKUP(B636,CAJEROS!B:D,3,0)</f>
        <v>Dispensador</v>
      </c>
      <c r="I636" s="34" t="s">
        <v>9</v>
      </c>
      <c r="J636" s="38" t="str">
        <f>VLOOKUP(B636,CAJEROS!B:E,4,0)</f>
        <v>SUC_SOGA3</v>
      </c>
    </row>
    <row r="637" spans="1:10">
      <c r="A637" s="32">
        <v>446</v>
      </c>
      <c r="B637" s="33">
        <v>3425</v>
      </c>
      <c r="C637" s="3">
        <v>1010000</v>
      </c>
      <c r="D637" s="3"/>
      <c r="E637" s="7">
        <f t="shared" si="38"/>
        <v>1010000</v>
      </c>
      <c r="F637" s="5">
        <v>45974</v>
      </c>
      <c r="G637" s="4">
        <v>20251112</v>
      </c>
      <c r="H637" s="38" t="str">
        <f>VLOOKUP(B637,CAJEROS!B:D,3,0)</f>
        <v>Dispensador</v>
      </c>
      <c r="I637" s="34" t="s">
        <v>9</v>
      </c>
      <c r="J637" s="38" t="str">
        <f>VLOOKUP(B637,CAJEROS!B:E,4,0)</f>
        <v>LIBANO2</v>
      </c>
    </row>
    <row r="638" spans="1:10">
      <c r="A638" s="32">
        <v>454</v>
      </c>
      <c r="B638" s="33">
        <v>1884</v>
      </c>
      <c r="C638" s="3">
        <v>200000</v>
      </c>
      <c r="D638" s="3"/>
      <c r="E638" s="7">
        <f t="shared" si="38"/>
        <v>200000</v>
      </c>
      <c r="F638" s="5">
        <v>45974</v>
      </c>
      <c r="G638" s="4">
        <v>20251112</v>
      </c>
      <c r="H638" s="38" t="str">
        <f>VLOOKUP(B638,CAJEROS!B:D,3,0)</f>
        <v>Dispensador</v>
      </c>
      <c r="I638" s="34" t="s">
        <v>9</v>
      </c>
      <c r="J638" s="38" t="str">
        <f>VLOOKUP(B638,CAJEROS!B:E,4,0)</f>
        <v>5TAVENIDA1</v>
      </c>
    </row>
    <row r="639" spans="1:10">
      <c r="A639" s="32">
        <v>512</v>
      </c>
      <c r="B639" s="33">
        <v>4718</v>
      </c>
      <c r="C639" s="3">
        <v>140000</v>
      </c>
      <c r="D639" s="3">
        <v>20000</v>
      </c>
      <c r="E639" s="7">
        <f t="shared" si="38"/>
        <v>120000</v>
      </c>
      <c r="F639" s="5">
        <v>45974</v>
      </c>
      <c r="G639" s="4">
        <v>20251112</v>
      </c>
      <c r="H639" s="38" t="str">
        <f>VLOOKUP(B639,CAJEROS!B:D,3,0)</f>
        <v>Dispensador</v>
      </c>
      <c r="I639" s="34" t="s">
        <v>9</v>
      </c>
      <c r="J639" s="38" t="str">
        <f>VLOOKUP(B639,CAJEROS!B:E,4,0)</f>
        <v>SUC_PLATO3</v>
      </c>
    </row>
    <row r="640" spans="1:10">
      <c r="A640" s="32">
        <v>531</v>
      </c>
      <c r="B640" s="33">
        <v>3943</v>
      </c>
      <c r="C640" s="3">
        <v>50000</v>
      </c>
      <c r="D640" s="3"/>
      <c r="E640" s="7">
        <f t="shared" si="38"/>
        <v>50000</v>
      </c>
      <c r="F640" s="5">
        <v>45974</v>
      </c>
      <c r="G640" s="4">
        <v>20251112</v>
      </c>
      <c r="H640" s="38" t="str">
        <f>VLOOKUP(B640,CAJEROS!B:D,3,0)</f>
        <v>Dispensador</v>
      </c>
      <c r="I640" s="34" t="s">
        <v>9</v>
      </c>
      <c r="J640" s="38" t="str">
        <f>VLOOKUP(B640,CAJEROS!B:E,4,0)</f>
        <v>SUC_SANMA1</v>
      </c>
    </row>
    <row r="641" spans="1:10">
      <c r="A641" s="32">
        <v>583</v>
      </c>
      <c r="B641" s="33">
        <v>5691</v>
      </c>
      <c r="C641" s="3">
        <v>200000</v>
      </c>
      <c r="D641" s="3"/>
      <c r="E641" s="7">
        <f t="shared" si="38"/>
        <v>200000</v>
      </c>
      <c r="F641" s="5">
        <v>45974</v>
      </c>
      <c r="G641" s="4">
        <v>20251112</v>
      </c>
      <c r="H641" s="38" t="str">
        <f>VLOOKUP(B641,CAJEROS!B:D,3,0)</f>
        <v>Dispensador</v>
      </c>
      <c r="I641" s="34" t="s">
        <v>9</v>
      </c>
      <c r="J641" s="38" t="str">
        <f>VLOOKUP(B641,CAJEROS!B:E,4,0)</f>
        <v>SUCRIOSUCI1</v>
      </c>
    </row>
    <row r="642" spans="1:10">
      <c r="A642" s="32">
        <v>789</v>
      </c>
      <c r="B642" s="33">
        <v>5660</v>
      </c>
      <c r="C642" s="3">
        <v>120000</v>
      </c>
      <c r="D642" s="3"/>
      <c r="E642" s="7">
        <f t="shared" si="38"/>
        <v>120000</v>
      </c>
      <c r="F642" s="5">
        <v>45974</v>
      </c>
      <c r="G642" s="4">
        <v>20251112</v>
      </c>
      <c r="H642" s="38" t="str">
        <f>VLOOKUP(B642,CAJEROS!B:D,3,0)</f>
        <v>Dispensador</v>
      </c>
      <c r="I642" s="34" t="s">
        <v>9</v>
      </c>
      <c r="J642" s="38" t="str">
        <f>VLOOKUP(B642,CAJEROS!B:E,4,0)</f>
        <v>MANGA1</v>
      </c>
    </row>
    <row r="643" spans="1:10">
      <c r="A643" s="32">
        <v>951</v>
      </c>
      <c r="B643" s="33">
        <v>7816</v>
      </c>
      <c r="C643" s="3">
        <v>1230000</v>
      </c>
      <c r="D643" s="3"/>
      <c r="E643" s="7">
        <f t="shared" si="38"/>
        <v>1230000</v>
      </c>
      <c r="F643" s="5">
        <v>45974</v>
      </c>
      <c r="G643" s="4">
        <v>20251112</v>
      </c>
      <c r="H643" s="38" t="str">
        <f>VLOOKUP(B643,CAJEROS!B:D,3,0)</f>
        <v>Dispensador</v>
      </c>
      <c r="I643" s="34" t="s">
        <v>9</v>
      </c>
      <c r="J643" s="38" t="str">
        <f>VLOOKUP(B643,CAJEROS!B:E,4,0)</f>
        <v>AUTOBOSC_4</v>
      </c>
    </row>
    <row r="644" spans="1:10">
      <c r="A644" s="32">
        <v>4</v>
      </c>
      <c r="B644" s="33">
        <v>8630</v>
      </c>
      <c r="C644" s="3">
        <v>18061000</v>
      </c>
      <c r="D644" s="3">
        <v>3020000</v>
      </c>
      <c r="E644" s="7">
        <f t="shared" ref="E644" si="39">+C644-D644</f>
        <v>15041000</v>
      </c>
      <c r="F644" s="5">
        <v>45974</v>
      </c>
      <c r="G644" s="4">
        <v>20251112</v>
      </c>
      <c r="H644" s="38" t="str">
        <f>VLOOKUP(B644,CAJEROS!B:D,3,0)</f>
        <v>Multifuncional</v>
      </c>
      <c r="I644" s="34"/>
      <c r="J644" s="38" t="str">
        <f>VLOOKUP(B644,CAJEROS!B:E,4,0)</f>
        <v>MF_SUCLAUR1</v>
      </c>
    </row>
    <row r="645" spans="1:10">
      <c r="A645" s="32">
        <v>74</v>
      </c>
      <c r="B645" s="33">
        <v>6215</v>
      </c>
      <c r="C645" s="3">
        <v>2214000</v>
      </c>
      <c r="D645" s="3"/>
      <c r="E645" s="7">
        <f t="shared" ref="E645:E670" si="40">+C645-D645</f>
        <v>2214000</v>
      </c>
      <c r="F645" s="5">
        <v>45974</v>
      </c>
      <c r="G645" s="4">
        <v>20251112</v>
      </c>
      <c r="H645" s="38" t="str">
        <f>VLOOKUP(B645,CAJEROS!B:D,3,0)</f>
        <v>Multifuncional</v>
      </c>
      <c r="I645" s="34"/>
      <c r="J645" s="38" t="str">
        <f>VLOOKUP(B645,CAJEROS!B:E,4,0)</f>
        <v>MF_PASTO</v>
      </c>
    </row>
    <row r="646" spans="1:10">
      <c r="A646" s="32">
        <v>91</v>
      </c>
      <c r="B646" s="33">
        <v>7943</v>
      </c>
      <c r="C646" s="3">
        <v>6083000</v>
      </c>
      <c r="D646" s="3"/>
      <c r="E646" s="7">
        <f t="shared" si="40"/>
        <v>6083000</v>
      </c>
      <c r="F646" s="5">
        <v>45974</v>
      </c>
      <c r="G646" s="4">
        <v>20251112</v>
      </c>
      <c r="H646" s="38" t="str">
        <f>VLOOKUP(B646,CAJEROS!B:D,3,0)</f>
        <v>Multifuncional</v>
      </c>
      <c r="I646" s="34"/>
      <c r="J646" s="38" t="str">
        <f>VLOOKUP(B646,CAJEROS!B:E,4,0)</f>
        <v>MF_MONTERI2</v>
      </c>
    </row>
    <row r="647" spans="1:10">
      <c r="A647" s="32">
        <v>202</v>
      </c>
      <c r="B647" s="33">
        <v>6608</v>
      </c>
      <c r="C647" s="3">
        <v>1119300</v>
      </c>
      <c r="D647" s="3"/>
      <c r="E647" s="7">
        <f t="shared" si="40"/>
        <v>1119300</v>
      </c>
      <c r="F647" s="5">
        <v>45974</v>
      </c>
      <c r="G647" s="4">
        <v>20251112</v>
      </c>
      <c r="H647" s="38" t="str">
        <f>VLOOKUP(B647,CAJEROS!B:D,3,0)</f>
        <v>Multifuncional</v>
      </c>
      <c r="I647" s="34"/>
      <c r="J647" s="38" t="str">
        <f>VLOOKUP(B647,CAJEROS!B:E,4,0)</f>
        <v>MF_AVPEPESI</v>
      </c>
    </row>
    <row r="648" spans="1:10">
      <c r="A648" s="32">
        <v>236</v>
      </c>
      <c r="B648" s="33">
        <v>8497</v>
      </c>
      <c r="C648" s="3">
        <v>37289250</v>
      </c>
      <c r="D648" s="3"/>
      <c r="E648" s="7">
        <f t="shared" si="40"/>
        <v>37289250</v>
      </c>
      <c r="F648" s="5">
        <v>45974</v>
      </c>
      <c r="G648" s="4">
        <v>20251112</v>
      </c>
      <c r="H648" s="38" t="str">
        <f>VLOOKUP(B648,CAJEROS!B:D,3,0)</f>
        <v>Multifuncional</v>
      </c>
      <c r="I648" s="34"/>
      <c r="J648" s="38" t="str">
        <f>VLOOKUP(B648,CAJEROS!B:E,4,0)</f>
        <v>MF_EXITCOL2</v>
      </c>
    </row>
    <row r="649" spans="1:10">
      <c r="A649" s="32">
        <v>292</v>
      </c>
      <c r="B649" s="33">
        <v>278</v>
      </c>
      <c r="C649" s="3">
        <v>50000</v>
      </c>
      <c r="D649" s="3"/>
      <c r="E649" s="7">
        <f t="shared" si="40"/>
        <v>50000</v>
      </c>
      <c r="F649" s="5">
        <v>45974</v>
      </c>
      <c r="G649" s="4">
        <v>20251112</v>
      </c>
      <c r="H649" s="38" t="str">
        <f>VLOOKUP(B649,CAJEROS!B:D,3,0)</f>
        <v>Multifuncional</v>
      </c>
      <c r="I649" s="34"/>
      <c r="J649" s="38" t="str">
        <f>VLOOKUP(B649,CAJEROS!B:E,4,0)</f>
        <v>ATM MF SUC CTRO DE CONFECCIO2</v>
      </c>
    </row>
    <row r="650" spans="1:10">
      <c r="A650" s="32">
        <v>302</v>
      </c>
      <c r="B650" s="33">
        <v>5170</v>
      </c>
      <c r="C650" s="3">
        <v>9100000</v>
      </c>
      <c r="D650" s="3"/>
      <c r="E650" s="7">
        <f t="shared" si="40"/>
        <v>9100000</v>
      </c>
      <c r="F650" s="5">
        <v>45974</v>
      </c>
      <c r="G650" s="4">
        <v>20251112</v>
      </c>
      <c r="H650" s="38" t="str">
        <f>VLOOKUP(B650,CAJEROS!B:D,3,0)</f>
        <v>Multifuncional</v>
      </c>
      <c r="I650" s="34"/>
      <c r="J650" s="38" t="str">
        <f>VLOOKUP(B650,CAJEROS!B:E,4,0)</f>
        <v>MF_QUEBRASE</v>
      </c>
    </row>
    <row r="651" spans="1:10">
      <c r="A651" s="32">
        <v>348</v>
      </c>
      <c r="B651" s="33">
        <v>6724</v>
      </c>
      <c r="C651" s="3">
        <v>1562000</v>
      </c>
      <c r="D651" s="3"/>
      <c r="E651" s="7">
        <f t="shared" si="40"/>
        <v>1562000</v>
      </c>
      <c r="F651" s="5">
        <v>45974</v>
      </c>
      <c r="G651" s="4">
        <v>20251112</v>
      </c>
      <c r="H651" s="38" t="str">
        <f>VLOOKUP(B651,CAJEROS!B:D,3,0)</f>
        <v>Multifuncional</v>
      </c>
      <c r="I651" s="34"/>
      <c r="J651" s="38" t="str">
        <f>VLOOKUP(B651,CAJEROS!B:E,4,0)</f>
        <v>MF_SANANDRE</v>
      </c>
    </row>
    <row r="652" spans="1:10">
      <c r="A652" s="32">
        <v>351</v>
      </c>
      <c r="B652" s="33">
        <v>6182</v>
      </c>
      <c r="C652" s="3">
        <v>2950000</v>
      </c>
      <c r="D652" s="3"/>
      <c r="E652" s="7">
        <f t="shared" si="40"/>
        <v>2950000</v>
      </c>
      <c r="F652" s="5">
        <v>45974</v>
      </c>
      <c r="G652" s="4">
        <v>20251112</v>
      </c>
      <c r="H652" s="38" t="str">
        <f>VLOOKUP(B652,CAJEROS!B:D,3,0)</f>
        <v>Multifuncional</v>
      </c>
      <c r="I652" s="34"/>
      <c r="J652" s="38" t="str">
        <f>VLOOKUP(B652,CAJEROS!B:E,4,0)</f>
        <v>MF_PUNTORIE</v>
      </c>
    </row>
    <row r="653" spans="1:10">
      <c r="A653" s="32">
        <v>395</v>
      </c>
      <c r="B653" s="33">
        <v>1529</v>
      </c>
      <c r="C653" s="3">
        <v>14118050</v>
      </c>
      <c r="D653" s="3"/>
      <c r="E653" s="7">
        <f t="shared" si="40"/>
        <v>14118050</v>
      </c>
      <c r="F653" s="5">
        <v>45974</v>
      </c>
      <c r="G653" s="4">
        <v>20251112</v>
      </c>
      <c r="H653" s="38" t="str">
        <f>VLOOKUP(B653,CAJEROS!B:D,3,0)</f>
        <v>Multifuncional</v>
      </c>
      <c r="I653" s="34"/>
      <c r="J653" s="38" t="str">
        <f>VLOOKUP(B653,CAJEROS!B:E,4,0)</f>
        <v>SUCMFVIVCI2</v>
      </c>
    </row>
    <row r="654" spans="1:10">
      <c r="A654" s="32">
        <v>451</v>
      </c>
      <c r="B654" s="33">
        <v>9434</v>
      </c>
      <c r="C654" s="3">
        <v>6350000</v>
      </c>
      <c r="D654" s="3"/>
      <c r="E654" s="7">
        <f t="shared" si="40"/>
        <v>6350000</v>
      </c>
      <c r="F654" s="5">
        <v>45974</v>
      </c>
      <c r="G654" s="4">
        <v>20251112</v>
      </c>
      <c r="H654" s="38" t="str">
        <f>VLOOKUP(B654,CAJEROS!B:D,3,0)</f>
        <v>Multifuncional</v>
      </c>
      <c r="I654" s="34"/>
      <c r="J654" s="38" t="str">
        <f>VLOOKUP(B654,CAJEROS!B:E,4,0)</f>
        <v>MFPTOASIS1</v>
      </c>
    </row>
    <row r="655" spans="1:10">
      <c r="A655" s="32">
        <v>455</v>
      </c>
      <c r="B655" s="33">
        <v>5206</v>
      </c>
      <c r="C655" s="3">
        <v>3190150</v>
      </c>
      <c r="D655" s="3"/>
      <c r="E655" s="7">
        <f t="shared" si="40"/>
        <v>3190150</v>
      </c>
      <c r="F655" s="5">
        <v>45974</v>
      </c>
      <c r="G655" s="4">
        <v>20251112</v>
      </c>
      <c r="H655" s="38" t="str">
        <f>VLOOKUP(B655,CAJEROS!B:D,3,0)</f>
        <v>Multifuncional</v>
      </c>
      <c r="I655" s="34"/>
      <c r="J655" s="38" t="str">
        <f>VLOOKUP(B655,CAJEROS!B:E,4,0)</f>
        <v>MF_CEIBAS1</v>
      </c>
    </row>
    <row r="656" spans="1:10">
      <c r="A656" s="32">
        <v>457</v>
      </c>
      <c r="B656" s="33">
        <v>9004</v>
      </c>
      <c r="C656" s="3">
        <v>4839300</v>
      </c>
      <c r="D656" s="3"/>
      <c r="E656" s="7">
        <f t="shared" si="40"/>
        <v>4839300</v>
      </c>
      <c r="F656" s="5">
        <v>45974</v>
      </c>
      <c r="G656" s="4">
        <v>20251112</v>
      </c>
      <c r="H656" s="38" t="str">
        <f>VLOOKUP(B656,CAJEROS!B:D,3,0)</f>
        <v>Multifuncional</v>
      </c>
      <c r="I656" s="34"/>
      <c r="J656" s="38" t="str">
        <f>VLOOKUP(B656,CAJEROS!B:E,4,0)</f>
        <v>MF_SSANPED1</v>
      </c>
    </row>
    <row r="657" spans="1:10">
      <c r="A657" s="32">
        <v>476</v>
      </c>
      <c r="B657" s="33">
        <v>7759</v>
      </c>
      <c r="C657" s="3">
        <v>11853700</v>
      </c>
      <c r="D657" s="3"/>
      <c r="E657" s="7">
        <f t="shared" si="40"/>
        <v>11853700</v>
      </c>
      <c r="F657" s="5">
        <v>45974</v>
      </c>
      <c r="G657" s="4">
        <v>20251112</v>
      </c>
      <c r="H657" s="38" t="str">
        <f>VLOOKUP(B657,CAJEROS!B:D,3,0)</f>
        <v>Multifuncional</v>
      </c>
      <c r="I657" s="34"/>
      <c r="J657" s="38" t="str">
        <f>VLOOKUP(B657,CAJEROS!B:E,4,0)</f>
        <v>MF_PAMPLONA</v>
      </c>
    </row>
    <row r="658" spans="1:10">
      <c r="A658" s="32">
        <v>495</v>
      </c>
      <c r="B658" s="33">
        <v>8482</v>
      </c>
      <c r="C658" s="3">
        <v>200</v>
      </c>
      <c r="D658" s="3"/>
      <c r="E658" s="7">
        <f t="shared" si="40"/>
        <v>200</v>
      </c>
      <c r="F658" s="5">
        <v>45974</v>
      </c>
      <c r="G658" s="4">
        <v>20251112</v>
      </c>
      <c r="H658" s="38" t="str">
        <f>VLOOKUP(B658,CAJEROS!B:D,3,0)</f>
        <v>Multifuncional</v>
      </c>
      <c r="I658" s="34"/>
      <c r="J658" s="38" t="str">
        <f>VLOOKUP(B658,CAJEROS!B:E,4,0)</f>
        <v>MF_SUCBOSQ1</v>
      </c>
    </row>
    <row r="659" spans="1:10">
      <c r="A659" s="32">
        <v>506</v>
      </c>
      <c r="B659" s="33">
        <v>7316</v>
      </c>
      <c r="C659" s="3">
        <v>3318500</v>
      </c>
      <c r="D659" s="3"/>
      <c r="E659" s="7">
        <f t="shared" si="40"/>
        <v>3318500</v>
      </c>
      <c r="F659" s="5">
        <v>45974</v>
      </c>
      <c r="G659" s="4">
        <v>20251112</v>
      </c>
      <c r="H659" s="38" t="str">
        <f>VLOOKUP(B659,CAJEROS!B:D,3,0)</f>
        <v>Multifuncional</v>
      </c>
      <c r="I659" s="34"/>
      <c r="J659" s="38" t="str">
        <f>VLOOKUP(B659,CAJEROS!B:E,4,0)</f>
        <v>MF_SINCELE2</v>
      </c>
    </row>
    <row r="660" spans="1:10">
      <c r="A660" s="32">
        <v>569</v>
      </c>
      <c r="B660" s="33">
        <v>8129</v>
      </c>
      <c r="C660" s="3">
        <v>17004000</v>
      </c>
      <c r="D660" s="3"/>
      <c r="E660" s="7">
        <f t="shared" si="40"/>
        <v>17004000</v>
      </c>
      <c r="F660" s="5">
        <v>45974</v>
      </c>
      <c r="G660" s="4">
        <v>20251112</v>
      </c>
      <c r="H660" s="38" t="str">
        <f>VLOOKUP(B660,CAJEROS!B:D,3,0)</f>
        <v>Multifuncional</v>
      </c>
      <c r="I660" s="34"/>
      <c r="J660" s="38" t="str">
        <f>VLOOKUP(B660,CAJEROS!B:E,4,0)</f>
        <v>MF_BUENMON2</v>
      </c>
    </row>
    <row r="661" spans="1:10">
      <c r="A661" s="32">
        <v>678</v>
      </c>
      <c r="B661" s="33">
        <v>5227</v>
      </c>
      <c r="C661" s="3">
        <v>3160000</v>
      </c>
      <c r="D661" s="3"/>
      <c r="E661" s="7">
        <f t="shared" si="40"/>
        <v>3160000</v>
      </c>
      <c r="F661" s="5">
        <v>45974</v>
      </c>
      <c r="G661" s="4">
        <v>20251112</v>
      </c>
      <c r="H661" s="38" t="str">
        <f>VLOOKUP(B661,CAJEROS!B:D,3,0)</f>
        <v>Multifuncional</v>
      </c>
      <c r="I661" s="34"/>
      <c r="J661" s="38" t="str">
        <f>VLOOKUP(B661,CAJEROS!B:E,4,0)</f>
        <v>MF_PASCASTE</v>
      </c>
    </row>
    <row r="662" spans="1:10">
      <c r="A662" s="32">
        <v>698</v>
      </c>
      <c r="B662" s="33">
        <v>5187</v>
      </c>
      <c r="C662" s="3">
        <v>100</v>
      </c>
      <c r="D662" s="3"/>
      <c r="E662" s="7">
        <f t="shared" si="40"/>
        <v>100</v>
      </c>
      <c r="F662" s="5">
        <v>45974</v>
      </c>
      <c r="G662" s="4">
        <v>20251112</v>
      </c>
      <c r="H662" s="38" t="str">
        <f>VLOOKUP(B662,CAJEROS!B:D,3,0)</f>
        <v>Multifuncional</v>
      </c>
      <c r="I662" s="34"/>
      <c r="J662" s="38" t="str">
        <f>VLOOKUP(B662,CAJEROS!B:E,4,0)</f>
        <v>MF_SCLLE79</v>
      </c>
    </row>
    <row r="663" spans="1:10">
      <c r="A663" s="32">
        <v>777</v>
      </c>
      <c r="B663" s="33">
        <v>4868</v>
      </c>
      <c r="C663" s="3">
        <v>208450</v>
      </c>
      <c r="D663" s="3"/>
      <c r="E663" s="7">
        <f t="shared" si="40"/>
        <v>208450</v>
      </c>
      <c r="F663" s="5">
        <v>45974</v>
      </c>
      <c r="G663" s="4">
        <v>20251112</v>
      </c>
      <c r="H663" s="38" t="str">
        <f>VLOOKUP(B663,CAJEROS!B:D,3,0)</f>
        <v>Multifuncional</v>
      </c>
      <c r="I663" s="34"/>
      <c r="J663" s="38" t="str">
        <f>VLOOKUP(B663,CAJEROS!B:E,4,0)</f>
        <v>MFPWASHING2</v>
      </c>
    </row>
    <row r="664" spans="1:10">
      <c r="A664" s="32">
        <v>777</v>
      </c>
      <c r="B664" s="33">
        <v>5009</v>
      </c>
      <c r="C664" s="3">
        <v>23215000</v>
      </c>
      <c r="D664" s="3"/>
      <c r="E664" s="7">
        <f t="shared" si="40"/>
        <v>23215000</v>
      </c>
      <c r="F664" s="5">
        <v>45974</v>
      </c>
      <c r="G664" s="4">
        <v>20251112</v>
      </c>
      <c r="H664" s="38" t="str">
        <f>VLOOKUP(B664,CAJEROS!B:D,3,0)</f>
        <v>Multifuncional</v>
      </c>
      <c r="I664" s="34"/>
      <c r="J664" s="38" t="str">
        <f>VLOOKUP(B664,CAJEROS!B:E,4,0)</f>
        <v>MF_PWASHING</v>
      </c>
    </row>
    <row r="665" spans="1:10">
      <c r="A665" s="32">
        <v>796</v>
      </c>
      <c r="B665" s="33">
        <v>6911</v>
      </c>
      <c r="C665" s="3">
        <v>3009000</v>
      </c>
      <c r="D665" s="3"/>
      <c r="E665" s="7">
        <f t="shared" si="40"/>
        <v>3009000</v>
      </c>
      <c r="F665" s="5">
        <v>45974</v>
      </c>
      <c r="G665" s="4">
        <v>20251112</v>
      </c>
      <c r="H665" s="38" t="str">
        <f>VLOOKUP(B665,CAJEROS!B:D,3,0)</f>
        <v>Multifuncional</v>
      </c>
      <c r="I665" s="34"/>
      <c r="J665" s="38" t="str">
        <f>VLOOKUP(B665,CAJEROS!B:E,4,0)</f>
        <v>MF_GIRON</v>
      </c>
    </row>
    <row r="666" spans="1:10">
      <c r="A666" s="32">
        <v>810</v>
      </c>
      <c r="B666" s="33">
        <v>8204</v>
      </c>
      <c r="C666" s="3">
        <v>2608400</v>
      </c>
      <c r="D666" s="3"/>
      <c r="E666" s="7">
        <f t="shared" si="40"/>
        <v>2608400</v>
      </c>
      <c r="F666" s="5">
        <v>45974</v>
      </c>
      <c r="G666" s="4">
        <v>20251112</v>
      </c>
      <c r="H666" s="38" t="str">
        <f>VLOOKUP(B666,CAJEROS!B:D,3,0)</f>
        <v>Multifuncional</v>
      </c>
      <c r="I666" s="34"/>
      <c r="J666" s="38" t="str">
        <f>VLOOKUP(B666,CAJEROS!B:E,4,0)</f>
        <v>MF_OESTE</v>
      </c>
    </row>
    <row r="667" spans="1:10">
      <c r="A667" s="32">
        <v>812</v>
      </c>
      <c r="B667" s="33">
        <v>5144</v>
      </c>
      <c r="C667" s="3">
        <v>5500000</v>
      </c>
      <c r="D667" s="3"/>
      <c r="E667" s="7">
        <f t="shared" si="40"/>
        <v>5500000</v>
      </c>
      <c r="F667" s="5">
        <v>45974</v>
      </c>
      <c r="G667" s="4">
        <v>20251112</v>
      </c>
      <c r="H667" s="38" t="str">
        <f>VLOOKUP(B667,CAJEROS!B:D,3,0)</f>
        <v>Multifuncional</v>
      </c>
      <c r="I667" s="34"/>
      <c r="J667" s="38" t="str">
        <f>VLOOKUP(B667,CAJEROS!B:E,4,0)</f>
        <v>MF_CHPICHPE</v>
      </c>
    </row>
    <row r="668" spans="1:10">
      <c r="A668" s="32">
        <v>812</v>
      </c>
      <c r="B668" s="33">
        <v>7613</v>
      </c>
      <c r="C668" s="3">
        <v>1854100</v>
      </c>
      <c r="D668" s="3"/>
      <c r="E668" s="7">
        <f t="shared" si="40"/>
        <v>1854100</v>
      </c>
      <c r="F668" s="5">
        <v>45974</v>
      </c>
      <c r="G668" s="4">
        <v>20251112</v>
      </c>
      <c r="H668" s="38" t="str">
        <f>VLOOKUP(B668,CAJEROS!B:D,3,0)</f>
        <v>Multifuncional</v>
      </c>
      <c r="I668" s="34"/>
      <c r="J668" s="38" t="str">
        <f>VLOOKUP(B668,CAJEROS!B:E,4,0)</f>
        <v>MF_CHPICHP2</v>
      </c>
    </row>
    <row r="669" spans="1:10">
      <c r="A669" s="32">
        <v>812</v>
      </c>
      <c r="B669" s="33">
        <v>7614</v>
      </c>
      <c r="C669" s="3">
        <v>632150</v>
      </c>
      <c r="D669" s="3"/>
      <c r="E669" s="7">
        <f t="shared" si="40"/>
        <v>632150</v>
      </c>
      <c r="F669" s="5">
        <v>45974</v>
      </c>
      <c r="G669" s="4">
        <v>20251112</v>
      </c>
      <c r="H669" s="38" t="str">
        <f>VLOOKUP(B669,CAJEROS!B:D,3,0)</f>
        <v>Multifuncional</v>
      </c>
      <c r="I669" s="34"/>
      <c r="J669" s="38" t="str">
        <f>VLOOKUP(B669,CAJEROS!B:E,4,0)</f>
        <v>MF_CHPICHP3</v>
      </c>
    </row>
    <row r="670" spans="1:10">
      <c r="A670" s="32">
        <v>829</v>
      </c>
      <c r="B670" s="33">
        <v>5137</v>
      </c>
      <c r="C670" s="3">
        <v>8916000</v>
      </c>
      <c r="D670" s="3"/>
      <c r="E670" s="7">
        <f t="shared" si="40"/>
        <v>8916000</v>
      </c>
      <c r="F670" s="5">
        <v>45974</v>
      </c>
      <c r="G670" s="4">
        <v>20251112</v>
      </c>
      <c r="H670" s="38" t="str">
        <f>VLOOKUP(B670,CAJEROS!B:D,3,0)</f>
        <v>Multifuncional</v>
      </c>
      <c r="I670" s="34"/>
      <c r="J670" s="38" t="str">
        <f>VLOOKUP(B670,CAJEROS!B:E,4,0)</f>
        <v>MF_UNICALI1</v>
      </c>
    </row>
    <row r="671" spans="1:10">
      <c r="A671" s="32">
        <v>193</v>
      </c>
      <c r="B671" s="33">
        <v>8537</v>
      </c>
      <c r="C671" s="3">
        <v>3830000</v>
      </c>
      <c r="D671" s="3"/>
      <c r="E671" s="7">
        <f t="shared" ref="E671:E718" si="41">+C671-D671</f>
        <v>3830000</v>
      </c>
      <c r="F671" s="5">
        <v>45974</v>
      </c>
      <c r="G671" s="4">
        <v>20251112</v>
      </c>
      <c r="H671" s="38" t="str">
        <f>VLOOKUP(B671,CAJEROS!B:D,3,0)</f>
        <v>Multifuncional</v>
      </c>
      <c r="I671" s="34" t="s">
        <v>9</v>
      </c>
      <c r="J671" s="38" t="str">
        <f>VLOOKUP(B671,CAJEROS!B:E,4,0)</f>
        <v>MF_HSUCFIC1</v>
      </c>
    </row>
    <row r="672" spans="1:10">
      <c r="A672" s="32">
        <v>682</v>
      </c>
      <c r="B672" s="33">
        <v>5049</v>
      </c>
      <c r="C672" s="3">
        <v>3675000</v>
      </c>
      <c r="D672" s="3"/>
      <c r="E672" s="7">
        <f t="shared" si="41"/>
        <v>3675000</v>
      </c>
      <c r="F672" s="5">
        <v>45974</v>
      </c>
      <c r="G672" s="4">
        <v>20251112</v>
      </c>
      <c r="H672" s="38" t="str">
        <f>VLOOKUP(B672,CAJEROS!B:D,3,0)</f>
        <v>Multifuncional</v>
      </c>
      <c r="I672" s="34" t="s">
        <v>9</v>
      </c>
      <c r="J672" s="38" t="str">
        <f>VLOOKUP(B672,CAJEROS!B:E,4,0)</f>
        <v>MF_CCFONTA1</v>
      </c>
    </row>
    <row r="673" spans="1:10">
      <c r="A673" s="32">
        <v>789</v>
      </c>
      <c r="B673" s="33">
        <v>5118</v>
      </c>
      <c r="C673" s="3">
        <v>3439200</v>
      </c>
      <c r="D673" s="3"/>
      <c r="E673" s="7">
        <f t="shared" si="41"/>
        <v>3439200</v>
      </c>
      <c r="F673" s="5">
        <v>45974</v>
      </c>
      <c r="G673" s="4">
        <v>20251112</v>
      </c>
      <c r="H673" s="38" t="str">
        <f>VLOOKUP(B673,CAJEROS!B:D,3,0)</f>
        <v>Multifuncional</v>
      </c>
      <c r="I673" s="34" t="s">
        <v>9</v>
      </c>
      <c r="J673" s="38" t="str">
        <f>VLOOKUP(B673,CAJEROS!B:E,4,0)</f>
        <v>MF_MANGA</v>
      </c>
    </row>
    <row r="674" spans="1:10">
      <c r="A674" s="32">
        <v>725</v>
      </c>
      <c r="B674" s="33">
        <v>5166</v>
      </c>
      <c r="C674" s="3">
        <v>3295000</v>
      </c>
      <c r="D674" s="3">
        <v>780000</v>
      </c>
      <c r="E674" s="7">
        <f t="shared" si="41"/>
        <v>2515000</v>
      </c>
      <c r="F674" s="5">
        <v>45974</v>
      </c>
      <c r="G674" s="4">
        <v>20251112</v>
      </c>
      <c r="H674" s="38" t="str">
        <f>VLOOKUP(B674,CAJEROS!B:D,3,0)</f>
        <v>Multifuncional</v>
      </c>
      <c r="I674" s="34" t="s">
        <v>9</v>
      </c>
      <c r="J674" s="38" t="str">
        <f>VLOOKUP(B674,CAJEROS!B:E,4,0)</f>
        <v>MF_DOSQUEBR</v>
      </c>
    </row>
    <row r="675" spans="1:10">
      <c r="A675" s="32">
        <v>317</v>
      </c>
      <c r="B675" s="33">
        <v>6613</v>
      </c>
      <c r="C675" s="3">
        <v>2775000</v>
      </c>
      <c r="D675" s="3"/>
      <c r="E675" s="7">
        <f t="shared" si="41"/>
        <v>2775000</v>
      </c>
      <c r="F675" s="5">
        <v>45974</v>
      </c>
      <c r="G675" s="4">
        <v>20251112</v>
      </c>
      <c r="H675" s="38" t="str">
        <f>VLOOKUP(B675,CAJEROS!B:D,3,0)</f>
        <v>Multifuncional</v>
      </c>
      <c r="I675" s="34" t="s">
        <v>9</v>
      </c>
      <c r="J675" s="38" t="str">
        <f>VLOOKUP(B675,CAJEROS!B:E,4,0)</f>
        <v>MF_ARAUCA</v>
      </c>
    </row>
    <row r="676" spans="1:10">
      <c r="A676" s="32">
        <v>554</v>
      </c>
      <c r="B676" s="33">
        <v>8295</v>
      </c>
      <c r="C676" s="3">
        <v>2750000</v>
      </c>
      <c r="D676" s="3">
        <v>2745500</v>
      </c>
      <c r="E676" s="7">
        <f t="shared" si="41"/>
        <v>4500</v>
      </c>
      <c r="F676" s="5">
        <v>45974</v>
      </c>
      <c r="G676" s="4">
        <v>20251112</v>
      </c>
      <c r="H676" s="38" t="str">
        <f>VLOOKUP(B676,CAJEROS!B:D,3,0)</f>
        <v>Multifuncional</v>
      </c>
      <c r="I676" s="34" t="s">
        <v>9</v>
      </c>
      <c r="J676" s="38" t="str">
        <f>VLOOKUP(B676,CAJEROS!B:E,4,0)</f>
        <v>MF_SBUVIII2</v>
      </c>
    </row>
    <row r="677" spans="1:10">
      <c r="A677" s="32">
        <v>481</v>
      </c>
      <c r="B677" s="33">
        <v>1010</v>
      </c>
      <c r="C677" s="3">
        <v>2625000</v>
      </c>
      <c r="D677" s="3"/>
      <c r="E677" s="7">
        <f t="shared" si="41"/>
        <v>2625000</v>
      </c>
      <c r="F677" s="5">
        <v>45974</v>
      </c>
      <c r="G677" s="4">
        <v>20251112</v>
      </c>
      <c r="H677" s="38" t="str">
        <f>VLOOKUP(B677,CAJEROS!B:D,3,0)</f>
        <v>Multifuncional</v>
      </c>
      <c r="I677" s="34" t="s">
        <v>9</v>
      </c>
      <c r="J677" s="38" t="str">
        <f>VLOOKUP(B677,CAJEROS!B:E,4,0)</f>
        <v>MF_SOLEDAD1</v>
      </c>
    </row>
    <row r="678" spans="1:10">
      <c r="A678" s="32">
        <v>795</v>
      </c>
      <c r="B678" s="33">
        <v>1027</v>
      </c>
      <c r="C678" s="3">
        <v>2522200</v>
      </c>
      <c r="D678" s="3">
        <v>1791400</v>
      </c>
      <c r="E678" s="7">
        <f t="shared" si="41"/>
        <v>730800</v>
      </c>
      <c r="F678" s="5">
        <v>45974</v>
      </c>
      <c r="G678" s="4">
        <v>20251112</v>
      </c>
      <c r="H678" s="38" t="str">
        <f>VLOOKUP(B678,CAJEROS!B:D,3,0)</f>
        <v>Multifuncional</v>
      </c>
      <c r="I678" s="34" t="s">
        <v>9</v>
      </c>
      <c r="J678" s="38" t="str">
        <f>VLOOKUP(B678,CAJEROS!B:E,4,0)</f>
        <v>MFSUCANVER1</v>
      </c>
    </row>
    <row r="679" spans="1:10">
      <c r="A679" s="32">
        <v>101</v>
      </c>
      <c r="B679" s="33">
        <v>5128</v>
      </c>
      <c r="C679" s="3">
        <v>2461000</v>
      </c>
      <c r="D679" s="3"/>
      <c r="E679" s="7">
        <f t="shared" si="41"/>
        <v>2461000</v>
      </c>
      <c r="F679" s="5">
        <v>45974</v>
      </c>
      <c r="G679" s="4">
        <v>20251112</v>
      </c>
      <c r="H679" s="38" t="str">
        <f>VLOOKUP(B679,CAJEROS!B:D,3,0)</f>
        <v>Multifuncional</v>
      </c>
      <c r="I679" s="34" t="s">
        <v>9</v>
      </c>
      <c r="J679" s="38" t="str">
        <f>VLOOKUP(B679,CAJEROS!B:E,4,0)</f>
        <v>MF_MULTDRIV</v>
      </c>
    </row>
    <row r="680" spans="1:10">
      <c r="A680" s="32">
        <v>944</v>
      </c>
      <c r="B680" s="33">
        <v>8353</v>
      </c>
      <c r="C680" s="3">
        <v>2070000</v>
      </c>
      <c r="D680" s="3"/>
      <c r="E680" s="7">
        <f t="shared" si="41"/>
        <v>2070000</v>
      </c>
      <c r="F680" s="5">
        <v>45974</v>
      </c>
      <c r="G680" s="4">
        <v>20251112</v>
      </c>
      <c r="H680" s="38" t="str">
        <f>VLOOKUP(B680,CAJEROS!B:D,3,0)</f>
        <v>Multifuncional</v>
      </c>
      <c r="I680" s="34" t="s">
        <v>9</v>
      </c>
      <c r="J680" s="38" t="str">
        <f>VLOOKUP(B680,CAJEROS!B:E,4,0)</f>
        <v>MF_SANTABO1</v>
      </c>
    </row>
    <row r="681" spans="1:10">
      <c r="A681" s="32">
        <v>78</v>
      </c>
      <c r="B681" s="33">
        <v>8594</v>
      </c>
      <c r="C681" s="3">
        <v>1893900</v>
      </c>
      <c r="D681" s="3"/>
      <c r="E681" s="7">
        <f t="shared" si="41"/>
        <v>1893900</v>
      </c>
      <c r="F681" s="5">
        <v>45974</v>
      </c>
      <c r="G681" s="4">
        <v>20251112</v>
      </c>
      <c r="H681" s="38" t="str">
        <f>VLOOKUP(B681,CAJEROS!B:D,3,0)</f>
        <v>Multifuncional</v>
      </c>
      <c r="I681" s="34" t="s">
        <v>9</v>
      </c>
      <c r="J681" s="38" t="str">
        <f>VLOOKUP(B681,CAJEROS!B:E,4,0)</f>
        <v>MF_CACIQUE2</v>
      </c>
    </row>
    <row r="682" spans="1:10">
      <c r="A682" s="32">
        <v>388</v>
      </c>
      <c r="B682" s="33">
        <v>5169</v>
      </c>
      <c r="C682" s="3">
        <v>1870000</v>
      </c>
      <c r="D682" s="3"/>
      <c r="E682" s="7">
        <f t="shared" si="41"/>
        <v>1870000</v>
      </c>
      <c r="F682" s="5">
        <v>45974</v>
      </c>
      <c r="G682" s="4">
        <v>20251112</v>
      </c>
      <c r="H682" s="38" t="str">
        <f>VLOOKUP(B682,CAJEROS!B:D,3,0)</f>
        <v>Multifuncional</v>
      </c>
      <c r="I682" s="34" t="s">
        <v>9</v>
      </c>
      <c r="J682" s="38" t="str">
        <f>VLOOKUP(B682,CAJEROS!B:E,4,0)</f>
        <v>MF_SUCHAYU1</v>
      </c>
    </row>
    <row r="683" spans="1:10">
      <c r="A683" s="32">
        <v>60</v>
      </c>
      <c r="B683" s="33">
        <v>8728</v>
      </c>
      <c r="C683" s="3">
        <v>1660850</v>
      </c>
      <c r="D683" s="3"/>
      <c r="E683" s="7">
        <f t="shared" si="41"/>
        <v>1660850</v>
      </c>
      <c r="F683" s="5">
        <v>45974</v>
      </c>
      <c r="G683" s="4">
        <v>20251112</v>
      </c>
      <c r="H683" s="38" t="str">
        <f>VLOOKUP(B683,CAJEROS!B:D,3,0)</f>
        <v>Multifuncional</v>
      </c>
      <c r="I683" s="34" t="s">
        <v>9</v>
      </c>
      <c r="J683" s="38" t="str">
        <f>VLOOKUP(B683,CAJEROS!B:E,4,0)</f>
        <v>MF_HCALIPR2</v>
      </c>
    </row>
    <row r="684" spans="1:10">
      <c r="A684" s="32">
        <v>81</v>
      </c>
      <c r="B684" s="33">
        <v>5036</v>
      </c>
      <c r="C684" s="3">
        <v>1610000</v>
      </c>
      <c r="D684" s="3">
        <v>350000</v>
      </c>
      <c r="E684" s="7">
        <f t="shared" si="41"/>
        <v>1260000</v>
      </c>
      <c r="F684" s="5">
        <v>45974</v>
      </c>
      <c r="G684" s="4">
        <v>20251112</v>
      </c>
      <c r="H684" s="38" t="str">
        <f>VLOOKUP(B684,CAJEROS!B:D,3,0)</f>
        <v>Multifuncional</v>
      </c>
      <c r="I684" s="34" t="s">
        <v>9</v>
      </c>
      <c r="J684" s="38" t="str">
        <f>VLOOKUP(B684,CAJEROS!B:E,4,0)</f>
        <v>MF_AVKENNE</v>
      </c>
    </row>
    <row r="685" spans="1:10">
      <c r="A685" s="32">
        <v>78</v>
      </c>
      <c r="B685" s="33">
        <v>6246</v>
      </c>
      <c r="C685" s="3">
        <v>1560000</v>
      </c>
      <c r="D685" s="3"/>
      <c r="E685" s="7">
        <f t="shared" si="41"/>
        <v>1560000</v>
      </c>
      <c r="F685" s="5">
        <v>45974</v>
      </c>
      <c r="G685" s="4">
        <v>20251112</v>
      </c>
      <c r="H685" s="38" t="str">
        <f>VLOOKUP(B685,CAJEROS!B:D,3,0)</f>
        <v>Multifuncional</v>
      </c>
      <c r="I685" s="34" t="s">
        <v>9</v>
      </c>
      <c r="J685" s="38" t="str">
        <f>VLOOKUP(B685,CAJEROS!B:E,4,0)</f>
        <v>MF_CACIQUE</v>
      </c>
    </row>
    <row r="686" spans="1:10">
      <c r="A686" s="32">
        <v>377</v>
      </c>
      <c r="B686" s="33">
        <v>1508</v>
      </c>
      <c r="C686" s="3">
        <v>1442000</v>
      </c>
      <c r="D686" s="3"/>
      <c r="E686" s="7">
        <f t="shared" si="41"/>
        <v>1442000</v>
      </c>
      <c r="F686" s="5">
        <v>45974</v>
      </c>
      <c r="G686" s="4">
        <v>20251112</v>
      </c>
      <c r="H686" s="38" t="str">
        <f>VLOOKUP(B686,CAJEROS!B:D,3,0)</f>
        <v>Multifuncional</v>
      </c>
      <c r="I686" s="34" t="s">
        <v>9</v>
      </c>
      <c r="J686" s="38" t="str">
        <f>VLOOKUP(B686,CAJEROS!B:E,4,0)</f>
        <v>MFSUCCIAV1</v>
      </c>
    </row>
    <row r="687" spans="1:10">
      <c r="A687" s="32">
        <v>551</v>
      </c>
      <c r="B687" s="33">
        <v>9644</v>
      </c>
      <c r="C687" s="3">
        <v>1353000</v>
      </c>
      <c r="D687" s="3">
        <v>860000</v>
      </c>
      <c r="E687" s="7">
        <f t="shared" si="41"/>
        <v>493000</v>
      </c>
      <c r="F687" s="5">
        <v>45974</v>
      </c>
      <c r="G687" s="4">
        <v>20251112</v>
      </c>
      <c r="H687" s="38" t="str">
        <f>VLOOKUP(B687,CAJEROS!B:D,3,0)</f>
        <v>Multifuncional</v>
      </c>
      <c r="I687" s="34" t="s">
        <v>9</v>
      </c>
      <c r="J687" s="38" t="str">
        <f>VLOOKUP(B687,CAJEROS!B:E,4,0)</f>
        <v>MFSUCUNIME2</v>
      </c>
    </row>
    <row r="688" spans="1:10">
      <c r="A688" s="32">
        <v>15</v>
      </c>
      <c r="B688" s="33">
        <v>8577</v>
      </c>
      <c r="C688" s="3">
        <v>1315300</v>
      </c>
      <c r="D688" s="3"/>
      <c r="E688" s="7">
        <f t="shared" si="41"/>
        <v>1315300</v>
      </c>
      <c r="F688" s="5">
        <v>45974</v>
      </c>
      <c r="G688" s="4">
        <v>20251112</v>
      </c>
      <c r="H688" s="38" t="str">
        <f>VLOOKUP(B688,CAJEROS!B:D,3,0)</f>
        <v>Multifuncional</v>
      </c>
      <c r="I688" s="34" t="s">
        <v>9</v>
      </c>
      <c r="J688" s="38" t="str">
        <f>VLOOKUP(B688,CAJEROS!B:E,4,0)</f>
        <v>MF_HITAGUI2</v>
      </c>
    </row>
    <row r="689" spans="1:10">
      <c r="A689" s="32">
        <v>392</v>
      </c>
      <c r="B689" s="33">
        <v>5064</v>
      </c>
      <c r="C689" s="3">
        <v>1300000</v>
      </c>
      <c r="D689" s="3"/>
      <c r="E689" s="7">
        <f t="shared" si="41"/>
        <v>1300000</v>
      </c>
      <c r="F689" s="5">
        <v>45974</v>
      </c>
      <c r="G689" s="4">
        <v>20251112</v>
      </c>
      <c r="H689" s="38" t="str">
        <f>VLOOKUP(B689,CAJEROS!B:D,3,0)</f>
        <v>Multifuncional</v>
      </c>
      <c r="I689" s="34" t="s">
        <v>9</v>
      </c>
      <c r="J689" s="38" t="str">
        <f>VLOOKUP(B689,CAJEROS!B:E,4,0)</f>
        <v>MF_LADORADA</v>
      </c>
    </row>
    <row r="690" spans="1:10">
      <c r="A690" s="32">
        <v>959</v>
      </c>
      <c r="B690" s="33">
        <v>9265</v>
      </c>
      <c r="C690" s="3">
        <v>1210000</v>
      </c>
      <c r="D690" s="3"/>
      <c r="E690" s="7">
        <f t="shared" si="41"/>
        <v>1210000</v>
      </c>
      <c r="F690" s="5">
        <v>45974</v>
      </c>
      <c r="G690" s="4">
        <v>20251112</v>
      </c>
      <c r="H690" s="38" t="str">
        <f>VLOOKUP(B690,CAJEROS!B:D,3,0)</f>
        <v>Multifuncional</v>
      </c>
      <c r="I690" s="34" t="s">
        <v>9</v>
      </c>
      <c r="J690" s="38" t="str">
        <f>VLOOKUP(B690,CAJEROS!B:E,4,0)</f>
        <v>MFSUCTURBO1</v>
      </c>
    </row>
    <row r="691" spans="1:10">
      <c r="A691" s="32">
        <v>15</v>
      </c>
      <c r="B691" s="33">
        <v>8576</v>
      </c>
      <c r="C691" s="3">
        <v>1152200</v>
      </c>
      <c r="D691" s="3"/>
      <c r="E691" s="7">
        <f t="shared" si="41"/>
        <v>1152200</v>
      </c>
      <c r="F691" s="5">
        <v>45974</v>
      </c>
      <c r="G691" s="4">
        <v>20251112</v>
      </c>
      <c r="H691" s="38" t="str">
        <f>VLOOKUP(B691,CAJEROS!B:D,3,0)</f>
        <v>Multifuncional</v>
      </c>
      <c r="I691" s="34" t="s">
        <v>9</v>
      </c>
      <c r="J691" s="38" t="str">
        <f>VLOOKUP(B691,CAJEROS!B:E,4,0)</f>
        <v>MF_HITAGUI1</v>
      </c>
    </row>
    <row r="692" spans="1:10">
      <c r="A692" s="32">
        <v>523</v>
      </c>
      <c r="B692" s="33">
        <v>5082</v>
      </c>
      <c r="C692" s="3">
        <v>1080000</v>
      </c>
      <c r="D692" s="3">
        <v>980000</v>
      </c>
      <c r="E692" s="7">
        <f t="shared" si="41"/>
        <v>100000</v>
      </c>
      <c r="F692" s="5">
        <v>45974</v>
      </c>
      <c r="G692" s="4">
        <v>20251112</v>
      </c>
      <c r="H692" s="38" t="str">
        <f>VLOOKUP(B692,CAJEROS!B:D,3,0)</f>
        <v>Multifuncional</v>
      </c>
      <c r="I692" s="34" t="s">
        <v>9</v>
      </c>
      <c r="J692" s="38" t="str">
        <f>VLOOKUP(B692,CAJEROS!B:E,4,0)</f>
        <v>MF_OVALLEDU</v>
      </c>
    </row>
    <row r="693" spans="1:10">
      <c r="A693" s="32">
        <v>916</v>
      </c>
      <c r="B693" s="33">
        <v>5052</v>
      </c>
      <c r="C693" s="3">
        <v>1050400</v>
      </c>
      <c r="D693" s="3"/>
      <c r="E693" s="7">
        <f t="shared" si="41"/>
        <v>1050400</v>
      </c>
      <c r="F693" s="5">
        <v>45974</v>
      </c>
      <c r="G693" s="4">
        <v>20251112</v>
      </c>
      <c r="H693" s="38" t="str">
        <f>VLOOKUP(B693,CAJEROS!B:D,3,0)</f>
        <v>Multifuncional</v>
      </c>
      <c r="I693" s="34" t="s">
        <v>9</v>
      </c>
      <c r="J693" s="38" t="str">
        <f>VLOOKUP(B693,CAJEROS!B:E,4,0)</f>
        <v>MF_OCEANMAL</v>
      </c>
    </row>
    <row r="694" spans="1:10">
      <c r="A694" s="32">
        <v>168</v>
      </c>
      <c r="B694" s="33">
        <v>5224</v>
      </c>
      <c r="C694" s="3">
        <v>1040000</v>
      </c>
      <c r="D694" s="3">
        <v>973850</v>
      </c>
      <c r="E694" s="7">
        <f t="shared" si="41"/>
        <v>66150</v>
      </c>
      <c r="F694" s="5">
        <v>45974</v>
      </c>
      <c r="G694" s="4">
        <v>20251112</v>
      </c>
      <c r="H694" s="38" t="str">
        <f>VLOOKUP(B694,CAJEROS!B:D,3,0)</f>
        <v>Multifuncional</v>
      </c>
      <c r="I694" s="34" t="s">
        <v>9</v>
      </c>
      <c r="J694" s="38" t="str">
        <f>VLOOKUP(B694,CAJEROS!B:E,4,0)</f>
        <v>MF_TOBERIN</v>
      </c>
    </row>
    <row r="695" spans="1:10">
      <c r="A695" s="32">
        <v>762</v>
      </c>
      <c r="B695" s="33">
        <v>5181</v>
      </c>
      <c r="C695" s="3">
        <v>1014500</v>
      </c>
      <c r="D695" s="3">
        <v>540000</v>
      </c>
      <c r="E695" s="7">
        <f t="shared" si="41"/>
        <v>474500</v>
      </c>
      <c r="F695" s="5">
        <v>45974</v>
      </c>
      <c r="G695" s="4">
        <v>20251112</v>
      </c>
      <c r="H695" s="38" t="str">
        <f>VLOOKUP(B695,CAJEROS!B:D,3,0)</f>
        <v>Multifuncional</v>
      </c>
      <c r="I695" s="34" t="s">
        <v>9</v>
      </c>
      <c r="J695" s="38" t="str">
        <f>VLOOKUP(B695,CAJEROS!B:E,4,0)</f>
        <v>MF_HERRADU1</v>
      </c>
    </row>
    <row r="696" spans="1:10">
      <c r="A696" s="32">
        <v>944</v>
      </c>
      <c r="B696" s="33">
        <v>8354</v>
      </c>
      <c r="C696" s="3">
        <v>1010000</v>
      </c>
      <c r="D696" s="3"/>
      <c r="E696" s="7">
        <f t="shared" si="41"/>
        <v>1010000</v>
      </c>
      <c r="F696" s="5">
        <v>45974</v>
      </c>
      <c r="G696" s="4">
        <v>20251112</v>
      </c>
      <c r="H696" s="38" t="str">
        <f>VLOOKUP(B696,CAJEROS!B:D,3,0)</f>
        <v>Multifuncional</v>
      </c>
      <c r="I696" s="34" t="s">
        <v>9</v>
      </c>
      <c r="J696" s="38" t="str">
        <f>VLOOKUP(B696,CAJEROS!B:E,4,0)</f>
        <v>MF_SANTABO2</v>
      </c>
    </row>
    <row r="697" spans="1:10">
      <c r="A697" s="32">
        <v>4</v>
      </c>
      <c r="B697" s="33">
        <v>316</v>
      </c>
      <c r="C697" s="3">
        <v>740000</v>
      </c>
      <c r="D697" s="3"/>
      <c r="E697" s="7">
        <f t="shared" si="41"/>
        <v>740000</v>
      </c>
      <c r="F697" s="5">
        <v>45974</v>
      </c>
      <c r="G697" s="4">
        <v>20251112</v>
      </c>
      <c r="H697" s="38" t="str">
        <f>VLOOKUP(B697,CAJEROS!B:D,3,0)</f>
        <v>Multifuncional</v>
      </c>
      <c r="I697" s="34" t="s">
        <v>9</v>
      </c>
      <c r="J697" s="38" t="str">
        <f>VLOOKUP(B697,CAJEROS!B:E,4,0)</f>
        <v>MF_SUCLAUR3</v>
      </c>
    </row>
    <row r="698" spans="1:10">
      <c r="A698" s="32">
        <v>692</v>
      </c>
      <c r="B698" s="33">
        <v>1515</v>
      </c>
      <c r="C698" s="3">
        <v>690000</v>
      </c>
      <c r="D698" s="3"/>
      <c r="E698" s="7">
        <f t="shared" si="41"/>
        <v>690000</v>
      </c>
      <c r="F698" s="5">
        <v>45974</v>
      </c>
      <c r="G698" s="4">
        <v>20251112</v>
      </c>
      <c r="H698" s="38" t="str">
        <f>VLOOKUP(B698,CAJEROS!B:D,3,0)</f>
        <v>Multifuncional</v>
      </c>
      <c r="I698" s="34" t="s">
        <v>9</v>
      </c>
      <c r="J698" s="38" t="str">
        <f>VLOOKUP(B698,CAJEROS!B:E,4,0)</f>
        <v>MFSUCALTPR1</v>
      </c>
    </row>
    <row r="699" spans="1:10">
      <c r="A699" s="32">
        <v>211</v>
      </c>
      <c r="B699" s="33">
        <v>5067</v>
      </c>
      <c r="C699" s="3">
        <v>610000</v>
      </c>
      <c r="D699" s="3"/>
      <c r="E699" s="7">
        <f t="shared" si="41"/>
        <v>610000</v>
      </c>
      <c r="F699" s="5">
        <v>45974</v>
      </c>
      <c r="G699" s="4">
        <v>20251112</v>
      </c>
      <c r="H699" s="38" t="str">
        <f>VLOOKUP(B699,CAJEROS!B:D,3,0)</f>
        <v>Multifuncional</v>
      </c>
      <c r="I699" s="34" t="s">
        <v>9</v>
      </c>
      <c r="J699" s="38" t="str">
        <f>VLOOKUP(B699,CAJEROS!B:E,4,0)</f>
        <v>MF_SCTROIND</v>
      </c>
    </row>
    <row r="700" spans="1:10">
      <c r="A700" s="32">
        <v>262</v>
      </c>
      <c r="B700" s="33">
        <v>5153</v>
      </c>
      <c r="C700" s="3">
        <v>580000</v>
      </c>
      <c r="D700" s="3"/>
      <c r="E700" s="7">
        <f t="shared" si="41"/>
        <v>580000</v>
      </c>
      <c r="F700" s="5">
        <v>45974</v>
      </c>
      <c r="G700" s="4">
        <v>20251112</v>
      </c>
      <c r="H700" s="38" t="str">
        <f>VLOOKUP(B700,CAJEROS!B:D,3,0)</f>
        <v>Multifuncional</v>
      </c>
      <c r="I700" s="34" t="s">
        <v>9</v>
      </c>
      <c r="J700" s="38" t="str">
        <f>VLOOKUP(B700,CAJEROS!B:E,4,0)</f>
        <v>MF_DUITAMA</v>
      </c>
    </row>
    <row r="701" spans="1:10">
      <c r="A701" s="32">
        <v>379</v>
      </c>
      <c r="B701" s="33">
        <v>6465</v>
      </c>
      <c r="C701" s="3">
        <v>535000</v>
      </c>
      <c r="D701" s="3"/>
      <c r="E701" s="7">
        <f t="shared" si="41"/>
        <v>535000</v>
      </c>
      <c r="F701" s="5">
        <v>45974</v>
      </c>
      <c r="G701" s="4">
        <v>20251112</v>
      </c>
      <c r="H701" s="38" t="str">
        <f>VLOOKUP(B701,CAJEROS!B:D,3,0)</f>
        <v>Multifuncional</v>
      </c>
      <c r="I701" s="34" t="s">
        <v>9</v>
      </c>
      <c r="J701" s="38" t="str">
        <f>VLOOKUP(B701,CAJEROS!B:E,4,0)</f>
        <v>MF_SUCTESO1</v>
      </c>
    </row>
    <row r="702" spans="1:10">
      <c r="A702" s="32">
        <v>54</v>
      </c>
      <c r="B702" s="33">
        <v>6204</v>
      </c>
      <c r="C702" s="3">
        <v>530000</v>
      </c>
      <c r="D702" s="3"/>
      <c r="E702" s="7">
        <f t="shared" si="41"/>
        <v>530000</v>
      </c>
      <c r="F702" s="5">
        <v>45974</v>
      </c>
      <c r="G702" s="4">
        <v>20251112</v>
      </c>
      <c r="H702" s="38" t="str">
        <f>VLOOKUP(B702,CAJEROS!B:D,3,0)</f>
        <v>Multifuncional</v>
      </c>
      <c r="I702" s="34" t="s">
        <v>9</v>
      </c>
      <c r="J702" s="38" t="str">
        <f>VLOOKUP(B702,CAJEROS!B:E,4,0)</f>
        <v>MF_CALLE122</v>
      </c>
    </row>
    <row r="703" spans="1:10">
      <c r="A703" s="32">
        <v>652</v>
      </c>
      <c r="B703" s="33">
        <v>5070</v>
      </c>
      <c r="C703" s="3">
        <v>472000</v>
      </c>
      <c r="D703" s="3"/>
      <c r="E703" s="7">
        <f t="shared" si="41"/>
        <v>472000</v>
      </c>
      <c r="F703" s="5">
        <v>45974</v>
      </c>
      <c r="G703" s="4">
        <v>20251112</v>
      </c>
      <c r="H703" s="38" t="str">
        <f>VLOOKUP(B703,CAJEROS!B:D,3,0)</f>
        <v>Multifuncional</v>
      </c>
      <c r="I703" s="34" t="s">
        <v>9</v>
      </c>
      <c r="J703" s="38" t="str">
        <f>VLOOKUP(B703,CAJEROS!B:E,4,0)</f>
        <v>MF_CHICO94</v>
      </c>
    </row>
    <row r="704" spans="1:10">
      <c r="A704" s="32">
        <v>61</v>
      </c>
      <c r="B704" s="33">
        <v>788</v>
      </c>
      <c r="C704" s="3">
        <v>440000</v>
      </c>
      <c r="D704" s="3"/>
      <c r="E704" s="7">
        <f t="shared" si="41"/>
        <v>440000</v>
      </c>
      <c r="F704" s="5">
        <v>45974</v>
      </c>
      <c r="G704" s="4">
        <v>20251112</v>
      </c>
      <c r="H704" s="38" t="str">
        <f>VLOOKUP(B704,CAJEROS!B:D,3,0)</f>
        <v>Multifuncional</v>
      </c>
      <c r="I704" s="34" t="s">
        <v>9</v>
      </c>
      <c r="J704" s="38" t="str">
        <f>VLOOKUP(B704,CAJEROS!B:E,4,0)</f>
        <v>MFSUCLAEST1</v>
      </c>
    </row>
    <row r="705" spans="1:10">
      <c r="A705" s="32">
        <v>31</v>
      </c>
      <c r="B705" s="33">
        <v>8737</v>
      </c>
      <c r="C705" s="3">
        <v>370000</v>
      </c>
      <c r="D705" s="3"/>
      <c r="E705" s="7">
        <f t="shared" si="41"/>
        <v>370000</v>
      </c>
      <c r="F705" s="5">
        <v>45974</v>
      </c>
      <c r="G705" s="4">
        <v>20251112</v>
      </c>
      <c r="H705" s="38" t="str">
        <f>VLOOKUP(B705,CAJEROS!B:D,3,0)</f>
        <v>Multifuncional</v>
      </c>
      <c r="I705" s="34" t="s">
        <v>9</v>
      </c>
      <c r="J705" s="38" t="str">
        <f>VLOOKUP(B705,CAJEROS!B:E,4,0)</f>
        <v>MF_SUCEINT1</v>
      </c>
    </row>
    <row r="706" spans="1:10">
      <c r="A706" s="32">
        <v>166</v>
      </c>
      <c r="B706" s="33">
        <v>7940</v>
      </c>
      <c r="C706" s="3">
        <v>350000</v>
      </c>
      <c r="D706" s="3"/>
      <c r="E706" s="7">
        <f t="shared" si="41"/>
        <v>350000</v>
      </c>
      <c r="F706" s="5">
        <v>45974</v>
      </c>
      <c r="G706" s="4">
        <v>20251112</v>
      </c>
      <c r="H706" s="38" t="str">
        <f>VLOOKUP(B706,CAJEROS!B:D,3,0)</f>
        <v>Multifuncional</v>
      </c>
      <c r="I706" s="34" t="s">
        <v>9</v>
      </c>
      <c r="J706" s="38" t="str">
        <f>VLOOKUP(B706,CAJEROS!B:E,4,0)</f>
        <v>MF_ALDELS22</v>
      </c>
    </row>
    <row r="707" spans="1:10">
      <c r="A707" s="32">
        <v>115</v>
      </c>
      <c r="B707" s="33">
        <v>5080</v>
      </c>
      <c r="C707" s="3">
        <v>340000</v>
      </c>
      <c r="D707" s="3"/>
      <c r="E707" s="7">
        <f t="shared" si="41"/>
        <v>340000</v>
      </c>
      <c r="F707" s="5">
        <v>45974</v>
      </c>
      <c r="G707" s="4">
        <v>20251112</v>
      </c>
      <c r="H707" s="38" t="str">
        <f>VLOOKUP(B707,CAJEROS!B:D,3,0)</f>
        <v>Multifuncional</v>
      </c>
      <c r="I707" s="34" t="s">
        <v>9</v>
      </c>
      <c r="J707" s="38" t="str">
        <f>VLOOKUP(B707,CAJEROS!B:E,4,0)</f>
        <v>MF_CIPEREIR</v>
      </c>
    </row>
    <row r="708" spans="1:10">
      <c r="A708" s="32">
        <v>937</v>
      </c>
      <c r="B708" s="33">
        <v>5115</v>
      </c>
      <c r="C708" s="3">
        <v>300950</v>
      </c>
      <c r="D708" s="3"/>
      <c r="E708" s="7">
        <f t="shared" si="41"/>
        <v>300950</v>
      </c>
      <c r="F708" s="5">
        <v>45974</v>
      </c>
      <c r="G708" s="4">
        <v>20251112</v>
      </c>
      <c r="H708" s="38" t="str">
        <f>VLOOKUP(B708,CAJEROS!B:D,3,0)</f>
        <v>Multifuncional</v>
      </c>
      <c r="I708" s="34" t="s">
        <v>9</v>
      </c>
      <c r="J708" s="38" t="str">
        <f>VLOOKUP(B708,CAJEROS!B:E,4,0)</f>
        <v>MFSUCMODEL1</v>
      </c>
    </row>
    <row r="709" spans="1:10">
      <c r="A709" s="32">
        <v>300</v>
      </c>
      <c r="B709" s="33">
        <v>5139</v>
      </c>
      <c r="C709" s="3">
        <v>260000</v>
      </c>
      <c r="D709" s="3">
        <v>160000</v>
      </c>
      <c r="E709" s="7">
        <f t="shared" si="41"/>
        <v>100000</v>
      </c>
      <c r="F709" s="5">
        <v>45974</v>
      </c>
      <c r="G709" s="4">
        <v>20251112</v>
      </c>
      <c r="H709" s="38" t="str">
        <f>VLOOKUP(B709,CAJEROS!B:D,3,0)</f>
        <v>Multifuncional</v>
      </c>
      <c r="I709" s="34" t="s">
        <v>9</v>
      </c>
      <c r="J709" s="38" t="str">
        <f>VLOOKUP(B709,CAJEROS!B:E,4,0)</f>
        <v>MF_AUTOP98</v>
      </c>
    </row>
    <row r="710" spans="1:10">
      <c r="A710" s="32">
        <v>806</v>
      </c>
      <c r="B710" s="33">
        <v>5156</v>
      </c>
      <c r="C710" s="3">
        <v>210000</v>
      </c>
      <c r="D710" s="3"/>
      <c r="E710" s="7">
        <f t="shared" si="41"/>
        <v>210000</v>
      </c>
      <c r="F710" s="5">
        <v>45974</v>
      </c>
      <c r="G710" s="4">
        <v>20251112</v>
      </c>
      <c r="H710" s="38" t="str">
        <f>VLOOKUP(B710,CAJEROS!B:D,3,0)</f>
        <v>Multifuncional</v>
      </c>
      <c r="I710" s="34" t="s">
        <v>9</v>
      </c>
      <c r="J710" s="38" t="str">
        <f>VLOOKUP(B710,CAJEROS!B:E,4,0)</f>
        <v>MF_ALZACIA</v>
      </c>
    </row>
    <row r="711" spans="1:10">
      <c r="A711" s="32">
        <v>677</v>
      </c>
      <c r="B711" s="33">
        <v>7124</v>
      </c>
      <c r="C711" s="3">
        <v>146400</v>
      </c>
      <c r="D711" s="3"/>
      <c r="E711" s="7">
        <f t="shared" si="41"/>
        <v>146400</v>
      </c>
      <c r="F711" s="5">
        <v>45974</v>
      </c>
      <c r="G711" s="4">
        <v>20251112</v>
      </c>
      <c r="H711" s="38" t="str">
        <f>VLOOKUP(B711,CAJEROS!B:D,3,0)</f>
        <v>Multifuncional</v>
      </c>
      <c r="I711" s="34" t="s">
        <v>9</v>
      </c>
      <c r="J711" s="38" t="str">
        <f>VLOOKUP(B711,CAJEROS!B:E,4,0)</f>
        <v>MF_PLMERMON</v>
      </c>
    </row>
    <row r="712" spans="1:10">
      <c r="A712" s="32">
        <v>244</v>
      </c>
      <c r="B712" s="33">
        <v>5129</v>
      </c>
      <c r="C712" s="3">
        <v>110000</v>
      </c>
      <c r="D712" s="3"/>
      <c r="E712" s="7">
        <f t="shared" si="41"/>
        <v>110000</v>
      </c>
      <c r="F712" s="5">
        <v>45974</v>
      </c>
      <c r="G712" s="4">
        <v>20251112</v>
      </c>
      <c r="H712" s="38" t="str">
        <f>VLOOKUP(B712,CAJEROS!B:D,3,0)</f>
        <v>Multifuncional</v>
      </c>
      <c r="I712" s="34" t="s">
        <v>9</v>
      </c>
      <c r="J712" s="38" t="str">
        <f>VLOOKUP(B712,CAJEROS!B:E,4,0)</f>
        <v>MF_TRIGALAN</v>
      </c>
    </row>
    <row r="713" spans="1:10">
      <c r="A713" s="32">
        <v>551</v>
      </c>
      <c r="B713" s="33">
        <v>9643</v>
      </c>
      <c r="C713" s="3">
        <v>100000</v>
      </c>
      <c r="D713" s="3"/>
      <c r="E713" s="7">
        <f t="shared" si="41"/>
        <v>100000</v>
      </c>
      <c r="F713" s="5">
        <v>45974</v>
      </c>
      <c r="G713" s="4">
        <v>20251112</v>
      </c>
      <c r="H713" s="38" t="str">
        <f>VLOOKUP(B713,CAJEROS!B:D,3,0)</f>
        <v>Multifuncional</v>
      </c>
      <c r="I713" s="34" t="s">
        <v>9</v>
      </c>
      <c r="J713" s="38" t="str">
        <f>VLOOKUP(B713,CAJEROS!B:E,4,0)</f>
        <v>MFSUCUNIME1</v>
      </c>
    </row>
    <row r="714" spans="1:10">
      <c r="A714" s="32">
        <v>609</v>
      </c>
      <c r="B714" s="33">
        <v>7875</v>
      </c>
      <c r="C714" s="3">
        <v>80000</v>
      </c>
      <c r="D714" s="3"/>
      <c r="E714" s="7">
        <f t="shared" si="41"/>
        <v>80000</v>
      </c>
      <c r="F714" s="5">
        <v>45974</v>
      </c>
      <c r="G714" s="4">
        <v>20251112</v>
      </c>
      <c r="H714" s="38" t="str">
        <f>VLOOKUP(B714,CAJEROS!B:D,3,0)</f>
        <v>Multifuncional</v>
      </c>
      <c r="I714" s="34" t="s">
        <v>9</v>
      </c>
      <c r="J714" s="38" t="str">
        <f>VLOOKUP(B714,CAJEROS!B:E,4,0)</f>
        <v>MFSUCABAST1</v>
      </c>
    </row>
    <row r="715" spans="1:10">
      <c r="A715" s="32">
        <v>68</v>
      </c>
      <c r="B715" s="33">
        <v>5135</v>
      </c>
      <c r="C715" s="3">
        <v>50000</v>
      </c>
      <c r="D715" s="3"/>
      <c r="E715" s="7">
        <f t="shared" si="41"/>
        <v>50000</v>
      </c>
      <c r="F715" s="5">
        <v>45974</v>
      </c>
      <c r="G715" s="4">
        <v>20251112</v>
      </c>
      <c r="H715" s="38" t="str">
        <f>VLOOKUP(B715,CAJEROS!B:D,3,0)</f>
        <v>Multifuncional</v>
      </c>
      <c r="I715" s="34" t="s">
        <v>9</v>
      </c>
      <c r="J715" s="38" t="str">
        <f>VLOOKUP(B715,CAJEROS!B:E,4,0)</f>
        <v>MF_IBAGUE</v>
      </c>
    </row>
    <row r="716" spans="1:10">
      <c r="A716" s="32">
        <v>481</v>
      </c>
      <c r="B716" s="33">
        <v>1011</v>
      </c>
      <c r="C716" s="3">
        <v>40000</v>
      </c>
      <c r="D716" s="3"/>
      <c r="E716" s="7">
        <f t="shared" si="41"/>
        <v>40000</v>
      </c>
      <c r="F716" s="5">
        <v>45974</v>
      </c>
      <c r="G716" s="4">
        <v>20251112</v>
      </c>
      <c r="H716" s="38" t="str">
        <f>VLOOKUP(B716,CAJEROS!B:D,3,0)</f>
        <v>Multifuncional</v>
      </c>
      <c r="I716" s="34" t="s">
        <v>9</v>
      </c>
      <c r="J716" s="38" t="str">
        <f>VLOOKUP(B716,CAJEROS!B:E,4,0)</f>
        <v>MF_SOLEDAD2</v>
      </c>
    </row>
    <row r="717" spans="1:10">
      <c r="A717" s="32">
        <v>609</v>
      </c>
      <c r="B717" s="33">
        <v>7888</v>
      </c>
      <c r="C717" s="3">
        <v>30000</v>
      </c>
      <c r="D717" s="3"/>
      <c r="E717" s="7">
        <f t="shared" si="41"/>
        <v>30000</v>
      </c>
      <c r="F717" s="5">
        <v>45974</v>
      </c>
      <c r="G717" s="4">
        <v>20251112</v>
      </c>
      <c r="H717" s="38" t="str">
        <f>VLOOKUP(B717,CAJEROS!B:D,3,0)</f>
        <v>Multifuncional</v>
      </c>
      <c r="I717" s="34" t="s">
        <v>9</v>
      </c>
      <c r="J717" s="38" t="str">
        <f>VLOOKUP(B717,CAJEROS!B:E,4,0)</f>
        <v>MFSUCABAST2</v>
      </c>
    </row>
    <row r="718" spans="1:10">
      <c r="A718" s="32">
        <v>944</v>
      </c>
      <c r="B718" s="33">
        <v>2228</v>
      </c>
      <c r="C718" s="3">
        <v>24000</v>
      </c>
      <c r="D718" s="3"/>
      <c r="E718" s="7">
        <f t="shared" si="41"/>
        <v>24000</v>
      </c>
      <c r="F718" s="5">
        <v>45974</v>
      </c>
      <c r="G718" s="4">
        <v>20251112</v>
      </c>
      <c r="H718" s="38" t="str">
        <f>VLOOKUP(B718,CAJEROS!B:D,3,0)</f>
        <v>Multifuncional</v>
      </c>
      <c r="I718" s="34" t="s">
        <v>9</v>
      </c>
      <c r="J718" s="38" t="str">
        <f>VLOOKUP(B718,CAJEROS!B:E,4,0)</f>
        <v>MF_SANTABO3</v>
      </c>
    </row>
    <row r="719" spans="1:10">
      <c r="A719" s="32">
        <v>828</v>
      </c>
      <c r="B719" s="33">
        <v>2234</v>
      </c>
      <c r="C719" s="3">
        <v>10000</v>
      </c>
      <c r="D719" s="3"/>
      <c r="E719" s="7">
        <f t="shared" ref="E719:E771" si="42">+C719-D719</f>
        <v>10000</v>
      </c>
      <c r="F719" s="5">
        <v>45974</v>
      </c>
      <c r="G719" s="4">
        <v>20251112</v>
      </c>
      <c r="H719" s="38" t="str">
        <f>VLOOKUP(B719,CAJEROS!B:D,3,0)</f>
        <v>Dispensador</v>
      </c>
      <c r="I719" s="34" t="s">
        <v>10</v>
      </c>
      <c r="J719" s="38" t="str">
        <f>VLOOKUP(B719,CAJEROS!B:E,4,0)</f>
        <v>SUC_SANJOS4</v>
      </c>
    </row>
    <row r="720" spans="1:10">
      <c r="A720" s="32">
        <v>348</v>
      </c>
      <c r="B720" s="33">
        <v>9007</v>
      </c>
      <c r="C720" s="3">
        <v>10000</v>
      </c>
      <c r="D720" s="3"/>
      <c r="E720" s="7">
        <f t="shared" si="42"/>
        <v>10000</v>
      </c>
      <c r="F720" s="5">
        <v>45974</v>
      </c>
      <c r="G720" s="4">
        <v>20251112</v>
      </c>
      <c r="H720" s="38" t="str">
        <f>VLOOKUP(B720,CAJEROS!B:D,3,0)</f>
        <v>Dispensador</v>
      </c>
      <c r="I720" s="34" t="s">
        <v>10</v>
      </c>
      <c r="J720" s="38" t="str">
        <f>VLOOKUP(B720,CAJEROS!B:E,4,0)</f>
        <v>SUCSANDRES7</v>
      </c>
    </row>
    <row r="721" spans="1:10">
      <c r="A721" s="32">
        <v>495</v>
      </c>
      <c r="B721" s="33">
        <v>8482</v>
      </c>
      <c r="C721" s="3">
        <v>200</v>
      </c>
      <c r="D721" s="3"/>
      <c r="E721" s="7">
        <f t="shared" si="42"/>
        <v>200</v>
      </c>
      <c r="F721" s="5">
        <v>45974</v>
      </c>
      <c r="G721" s="4">
        <v>20251112</v>
      </c>
      <c r="H721" s="38" t="str">
        <f>VLOOKUP(B721,CAJEROS!B:D,3,0)</f>
        <v>Multifuncional</v>
      </c>
      <c r="I721" s="34" t="s">
        <v>10</v>
      </c>
      <c r="J721" s="38" t="str">
        <f>VLOOKUP(B721,CAJEROS!B:E,4,0)</f>
        <v>MF_SUCBOSQ1</v>
      </c>
    </row>
    <row r="722" spans="1:10">
      <c r="A722" s="32">
        <v>392</v>
      </c>
      <c r="B722" s="33">
        <v>5265</v>
      </c>
      <c r="C722" s="3">
        <v>100000</v>
      </c>
      <c r="D722" s="3"/>
      <c r="E722" s="7">
        <f t="shared" si="42"/>
        <v>100000</v>
      </c>
      <c r="F722" s="5">
        <v>45975</v>
      </c>
      <c r="G722" s="4">
        <v>20251112</v>
      </c>
      <c r="H722" s="38" t="str">
        <f>VLOOKUP(B722,CAJEROS!B:D,3,0)</f>
        <v>Dispensador</v>
      </c>
      <c r="I722" s="34"/>
      <c r="J722" s="38" t="str">
        <f>VLOOKUP(B722,CAJEROS!B:E,4,0)</f>
        <v>SUC_LADORA4</v>
      </c>
    </row>
    <row r="723" spans="1:10">
      <c r="A723" s="32">
        <v>400</v>
      </c>
      <c r="B723" s="33">
        <v>2939</v>
      </c>
      <c r="C723" s="3">
        <v>20000</v>
      </c>
      <c r="D723" s="3"/>
      <c r="E723" s="7">
        <f t="shared" si="42"/>
        <v>20000</v>
      </c>
      <c r="F723" s="5">
        <v>45975</v>
      </c>
      <c r="G723" s="4">
        <v>20251112</v>
      </c>
      <c r="H723" s="38" t="str">
        <f>VLOOKUP(B723,CAJEROS!B:D,3,0)</f>
        <v>Dispensador</v>
      </c>
      <c r="I723" s="34"/>
      <c r="J723" s="38" t="str">
        <f>VLOOKUP(B723,CAJEROS!B:E,4,0)</f>
        <v>STA_BARBARA</v>
      </c>
    </row>
    <row r="724" spans="1:10">
      <c r="A724" s="32">
        <v>415</v>
      </c>
      <c r="B724" s="33">
        <v>8616</v>
      </c>
      <c r="C724" s="3">
        <v>510000</v>
      </c>
      <c r="D724" s="3"/>
      <c r="E724" s="7">
        <f t="shared" si="42"/>
        <v>510000</v>
      </c>
      <c r="F724" s="5">
        <v>45975</v>
      </c>
      <c r="G724" s="4">
        <v>20251112</v>
      </c>
      <c r="H724" s="38" t="str">
        <f>VLOOKUP(B724,CAJEROS!B:D,3,0)</f>
        <v>Dispensador</v>
      </c>
      <c r="I724" s="34"/>
      <c r="J724" s="38" t="str">
        <f>VLOOKUP(B724,CAJEROS!B:E,4,0)</f>
        <v>SUCRETIRO1</v>
      </c>
    </row>
    <row r="725" spans="1:10">
      <c r="A725" s="32">
        <v>522</v>
      </c>
      <c r="B725" s="33">
        <v>4592</v>
      </c>
      <c r="C725" s="3">
        <v>350000</v>
      </c>
      <c r="D725" s="3"/>
      <c r="E725" s="7">
        <f t="shared" si="42"/>
        <v>350000</v>
      </c>
      <c r="F725" s="5">
        <v>45975</v>
      </c>
      <c r="G725" s="4">
        <v>20251112</v>
      </c>
      <c r="H725" s="38" t="str">
        <f>VLOOKUP(B725,CAJEROS!B:D,3,0)</f>
        <v>Dispensador</v>
      </c>
      <c r="I725" s="34"/>
      <c r="J725" s="38" t="str">
        <f>VLOOKUP(B725,CAJEROS!B:E,4,0)</f>
        <v>SUC_PUERTC2</v>
      </c>
    </row>
    <row r="726" spans="1:10">
      <c r="A726" s="32">
        <v>658</v>
      </c>
      <c r="B726" s="33">
        <v>6228</v>
      </c>
      <c r="C726" s="3">
        <v>40000</v>
      </c>
      <c r="D726" s="3"/>
      <c r="E726" s="7">
        <f t="shared" si="42"/>
        <v>40000</v>
      </c>
      <c r="F726" s="5">
        <v>45975</v>
      </c>
      <c r="G726" s="4">
        <v>20251112</v>
      </c>
      <c r="H726" s="38" t="str">
        <f>VLOOKUP(B726,CAJEROS!B:D,3,0)</f>
        <v>Dispensador</v>
      </c>
      <c r="I726" s="34"/>
      <c r="J726" s="38" t="str">
        <f>VLOOKUP(B726,CAJEROS!B:E,4,0)</f>
        <v>SUCBELLASU1</v>
      </c>
    </row>
    <row r="727" spans="1:10">
      <c r="A727" s="32">
        <v>59</v>
      </c>
      <c r="B727" s="33">
        <v>3667</v>
      </c>
      <c r="C727" s="3">
        <v>80000</v>
      </c>
      <c r="D727" s="3"/>
      <c r="E727" s="7">
        <f t="shared" si="42"/>
        <v>80000</v>
      </c>
      <c r="F727" s="5">
        <v>45975</v>
      </c>
      <c r="G727" s="4">
        <v>20251113</v>
      </c>
      <c r="H727" s="38" t="str">
        <f>VLOOKUP(B727,CAJEROS!B:D,3,0)</f>
        <v>Dispensador</v>
      </c>
      <c r="I727" s="34"/>
      <c r="J727" s="38" t="str">
        <f>VLOOKUP(B727,CAJEROS!B:E,4,0)</f>
        <v>AVSANTAN_1</v>
      </c>
    </row>
    <row r="728" spans="1:10">
      <c r="A728" s="32">
        <v>93</v>
      </c>
      <c r="B728" s="33">
        <v>6055</v>
      </c>
      <c r="C728" s="3">
        <v>20000</v>
      </c>
      <c r="D728" s="3"/>
      <c r="E728" s="7">
        <f t="shared" si="42"/>
        <v>20000</v>
      </c>
      <c r="F728" s="5">
        <v>45975</v>
      </c>
      <c r="G728" s="4">
        <v>20251113</v>
      </c>
      <c r="H728" s="38" t="str">
        <f>VLOOKUP(B728,CAJEROS!B:D,3,0)</f>
        <v>Dispensador</v>
      </c>
      <c r="I728" s="34"/>
      <c r="J728" s="38" t="str">
        <f>VLOOKUP(B728,CAJEROS!B:E,4,0)</f>
        <v>SAHAGUN3</v>
      </c>
    </row>
    <row r="729" spans="1:10">
      <c r="A729" s="32">
        <v>162</v>
      </c>
      <c r="B729" s="33">
        <v>1620</v>
      </c>
      <c r="C729" s="3">
        <v>720000</v>
      </c>
      <c r="D729" s="3"/>
      <c r="E729" s="7">
        <f t="shared" si="42"/>
        <v>720000</v>
      </c>
      <c r="F729" s="5">
        <v>45975</v>
      </c>
      <c r="G729" s="4">
        <v>20251113</v>
      </c>
      <c r="H729" s="38" t="str">
        <f>VLOOKUP(B729,CAJEROS!B:D,3,0)</f>
        <v>Dispensador</v>
      </c>
      <c r="I729" s="34"/>
      <c r="J729" s="38" t="str">
        <f>VLOOKUP(B729,CAJEROS!B:E,4,0)</f>
        <v>SAN_PEDRO</v>
      </c>
    </row>
    <row r="730" spans="1:10">
      <c r="A730" s="32">
        <v>171</v>
      </c>
      <c r="B730" s="33">
        <v>4164</v>
      </c>
      <c r="C730" s="3">
        <v>1020000</v>
      </c>
      <c r="D730" s="3"/>
      <c r="E730" s="7">
        <f t="shared" si="42"/>
        <v>1020000</v>
      </c>
      <c r="F730" s="5">
        <v>45975</v>
      </c>
      <c r="G730" s="4">
        <v>20251113</v>
      </c>
      <c r="H730" s="38" t="str">
        <f>VLOOKUP(B730,CAJEROS!B:D,3,0)</f>
        <v>Dispensador</v>
      </c>
      <c r="I730" s="34"/>
      <c r="J730" s="38" t="str">
        <f>VLOOKUP(B730,CAJEROS!B:E,4,0)</f>
        <v>SUC_CIUSAL1</v>
      </c>
    </row>
    <row r="731" spans="1:10">
      <c r="A731" s="32">
        <v>305</v>
      </c>
      <c r="B731" s="33">
        <v>3278</v>
      </c>
      <c r="C731" s="3">
        <v>1000000</v>
      </c>
      <c r="D731" s="3"/>
      <c r="E731" s="7">
        <f t="shared" si="42"/>
        <v>1000000</v>
      </c>
      <c r="F731" s="5">
        <v>45975</v>
      </c>
      <c r="G731" s="4">
        <v>20251113</v>
      </c>
      <c r="H731" s="38" t="str">
        <f>VLOOKUP(B731,CAJEROS!B:D,3,0)</f>
        <v>Dispensador</v>
      </c>
      <c r="I731" s="34"/>
      <c r="J731" s="38" t="str">
        <f>VLOOKUP(B731,CAJEROS!B:E,4,0)</f>
        <v>VILLACASAN1</v>
      </c>
    </row>
    <row r="732" spans="1:10">
      <c r="A732" s="32">
        <v>305</v>
      </c>
      <c r="B732" s="33">
        <v>4897</v>
      </c>
      <c r="C732" s="3">
        <v>50000</v>
      </c>
      <c r="D732" s="3"/>
      <c r="E732" s="7">
        <f t="shared" si="42"/>
        <v>50000</v>
      </c>
      <c r="F732" s="5">
        <v>45975</v>
      </c>
      <c r="G732" s="4">
        <v>20251113</v>
      </c>
      <c r="H732" s="38" t="str">
        <f>VLOOKUP(B732,CAJEROS!B:D,3,0)</f>
        <v>Dispensador</v>
      </c>
      <c r="I732" s="34"/>
      <c r="J732" s="38" t="str">
        <f>VLOOKUP(B732,CAJEROS!B:E,4,0)</f>
        <v>SUC_VILLAN3</v>
      </c>
    </row>
    <row r="733" spans="1:10">
      <c r="A733" s="32">
        <v>318</v>
      </c>
      <c r="B733" s="33">
        <v>5349</v>
      </c>
      <c r="C733" s="3">
        <v>20000</v>
      </c>
      <c r="D733" s="3"/>
      <c r="E733" s="7">
        <f t="shared" si="42"/>
        <v>20000</v>
      </c>
      <c r="F733" s="5">
        <v>45975</v>
      </c>
      <c r="G733" s="4">
        <v>20251113</v>
      </c>
      <c r="H733" s="38" t="str">
        <f>VLOOKUP(B733,CAJEROS!B:D,3,0)</f>
        <v>Dispensador</v>
      </c>
      <c r="I733" s="34"/>
      <c r="J733" s="38" t="str">
        <f>VLOOKUP(B733,CAJEROS!B:E,4,0)</f>
        <v>SUC_OCANA2</v>
      </c>
    </row>
    <row r="734" spans="1:10">
      <c r="A734" s="32">
        <v>335</v>
      </c>
      <c r="B734" s="33">
        <v>3966</v>
      </c>
      <c r="C734" s="3">
        <v>50000</v>
      </c>
      <c r="D734" s="3"/>
      <c r="E734" s="7">
        <f t="shared" si="42"/>
        <v>50000</v>
      </c>
      <c r="F734" s="5">
        <v>45975</v>
      </c>
      <c r="G734" s="4">
        <v>20251113</v>
      </c>
      <c r="H734" s="38" t="str">
        <f>VLOOKUP(B734,CAJEROS!B:D,3,0)</f>
        <v>Dispensador</v>
      </c>
      <c r="I734" s="34"/>
      <c r="J734" s="38" t="str">
        <f>VLOOKUP(B734,CAJEROS!B:E,4,0)</f>
        <v>SUC_CAJIC_4</v>
      </c>
    </row>
    <row r="735" spans="1:10">
      <c r="A735" s="32">
        <v>343</v>
      </c>
      <c r="B735" s="33">
        <v>7954</v>
      </c>
      <c r="C735" s="3">
        <v>130000</v>
      </c>
      <c r="D735" s="3"/>
      <c r="E735" s="7">
        <f t="shared" si="42"/>
        <v>130000</v>
      </c>
      <c r="F735" s="5">
        <v>45975</v>
      </c>
      <c r="G735" s="4">
        <v>20251113</v>
      </c>
      <c r="H735" s="38" t="str">
        <f>VLOOKUP(B735,CAJEROS!B:D,3,0)</f>
        <v>Dispensador</v>
      </c>
      <c r="I735" s="34"/>
      <c r="J735" s="38" t="str">
        <f>VLOOKUP(B735,CAJEROS!B:E,4,0)</f>
        <v>SUCTABIO1</v>
      </c>
    </row>
    <row r="736" spans="1:10">
      <c r="A736" s="32">
        <v>591</v>
      </c>
      <c r="B736" s="33">
        <v>7833</v>
      </c>
      <c r="C736" s="3">
        <v>100000</v>
      </c>
      <c r="D736" s="3"/>
      <c r="E736" s="7">
        <f t="shared" si="42"/>
        <v>100000</v>
      </c>
      <c r="F736" s="5">
        <v>45975</v>
      </c>
      <c r="G736" s="4">
        <v>20251113</v>
      </c>
      <c r="H736" s="38" t="str">
        <f>VLOOKUP(B736,CAJEROS!B:D,3,0)</f>
        <v>Dispensador</v>
      </c>
      <c r="I736" s="34"/>
      <c r="J736" s="38" t="str">
        <f>VLOOKUP(B736,CAJEROS!B:E,4,0)</f>
        <v>SAMACA_1</v>
      </c>
    </row>
    <row r="737" spans="1:10">
      <c r="A737" s="32">
        <v>601</v>
      </c>
      <c r="B737" s="33">
        <v>6423</v>
      </c>
      <c r="C737" s="3">
        <v>20000</v>
      </c>
      <c r="D737" s="3"/>
      <c r="E737" s="7">
        <f t="shared" si="42"/>
        <v>20000</v>
      </c>
      <c r="F737" s="5">
        <v>45975</v>
      </c>
      <c r="G737" s="4">
        <v>20251113</v>
      </c>
      <c r="H737" s="38" t="str">
        <f>VLOOKUP(B737,CAJEROS!B:D,3,0)</f>
        <v>Dispensador</v>
      </c>
      <c r="I737" s="34"/>
      <c r="J737" s="38" t="str">
        <f>VLOOKUP(B737,CAJEROS!B:E,4,0)</f>
        <v>SUC_PQCOL3</v>
      </c>
    </row>
    <row r="738" spans="1:10">
      <c r="A738" s="32">
        <v>721</v>
      </c>
      <c r="B738" s="33">
        <v>8891</v>
      </c>
      <c r="C738" s="3">
        <v>50000</v>
      </c>
      <c r="D738" s="3"/>
      <c r="E738" s="7">
        <f t="shared" si="42"/>
        <v>50000</v>
      </c>
      <c r="F738" s="5">
        <v>45975</v>
      </c>
      <c r="G738" s="4">
        <v>20251113</v>
      </c>
      <c r="H738" s="38" t="str">
        <f>VLOOKUP(B738,CAJEROS!B:D,3,0)</f>
        <v>Dispensador</v>
      </c>
      <c r="I738" s="34"/>
      <c r="J738" s="38" t="str">
        <f>VLOOKUP(B738,CAJEROS!B:E,4,0)</f>
        <v>SUCHALLAGO1</v>
      </c>
    </row>
    <row r="739" spans="1:10">
      <c r="A739" s="32">
        <v>772</v>
      </c>
      <c r="B739" s="33">
        <v>3462</v>
      </c>
      <c r="C739" s="3">
        <v>50000</v>
      </c>
      <c r="D739" s="3"/>
      <c r="E739" s="7">
        <f t="shared" si="42"/>
        <v>50000</v>
      </c>
      <c r="F739" s="5">
        <v>45975</v>
      </c>
      <c r="G739" s="4">
        <v>20251113</v>
      </c>
      <c r="H739" s="38" t="str">
        <f>VLOOKUP(B739,CAJEROS!B:D,3,0)</f>
        <v>Dispensador</v>
      </c>
      <c r="I739" s="34"/>
      <c r="J739" s="38" t="str">
        <f>VLOOKUP(B739,CAJEROS!B:E,4,0)</f>
        <v>SUC_CAICED2</v>
      </c>
    </row>
    <row r="740" spans="1:10">
      <c r="A740" s="32">
        <v>820</v>
      </c>
      <c r="B740" s="33">
        <v>6988</v>
      </c>
      <c r="C740" s="3">
        <v>260000</v>
      </c>
      <c r="D740" s="3"/>
      <c r="E740" s="7">
        <f t="shared" si="42"/>
        <v>260000</v>
      </c>
      <c r="F740" s="5">
        <v>45975</v>
      </c>
      <c r="G740" s="4">
        <v>20251113</v>
      </c>
      <c r="H740" s="38" t="str">
        <f>VLOOKUP(B740,CAJEROS!B:D,3,0)</f>
        <v>Dispensador</v>
      </c>
      <c r="I740" s="34"/>
      <c r="J740" s="38" t="str">
        <f>VLOOKUP(B740,CAJEROS!B:E,4,0)</f>
        <v>AVCERO_2</v>
      </c>
    </row>
    <row r="741" spans="1:10">
      <c r="A741" s="32">
        <v>847</v>
      </c>
      <c r="B741" s="33">
        <v>4386</v>
      </c>
      <c r="C741" s="3">
        <v>10000</v>
      </c>
      <c r="D741" s="3"/>
      <c r="E741" s="7">
        <f t="shared" si="42"/>
        <v>10000</v>
      </c>
      <c r="F741" s="5">
        <v>45975</v>
      </c>
      <c r="G741" s="4">
        <v>20251113</v>
      </c>
      <c r="H741" s="38" t="str">
        <f>VLOOKUP(B741,CAJEROS!B:D,3,0)</f>
        <v>Dispensador</v>
      </c>
      <c r="I741" s="34"/>
      <c r="J741" s="38" t="str">
        <f>VLOOKUP(B741,CAJEROS!B:E,4,0)</f>
        <v>SUC_PFLORE1</v>
      </c>
    </row>
    <row r="742" spans="1:10">
      <c r="A742" s="32">
        <v>858</v>
      </c>
      <c r="B742" s="33">
        <v>2875</v>
      </c>
      <c r="C742" s="3">
        <v>100000</v>
      </c>
      <c r="D742" s="3"/>
      <c r="E742" s="7">
        <f t="shared" si="42"/>
        <v>100000</v>
      </c>
      <c r="F742" s="5">
        <v>45975</v>
      </c>
      <c r="G742" s="4">
        <v>20251113</v>
      </c>
      <c r="H742" s="38" t="str">
        <f>VLOOKUP(B742,CAJEROS!B:D,3,0)</f>
        <v>Dispensador</v>
      </c>
      <c r="I742" s="34"/>
      <c r="J742" s="38" t="str">
        <f>VLOOKUP(B742,CAJEROS!B:E,4,0)</f>
        <v>_CERRITO_1_</v>
      </c>
    </row>
    <row r="743" spans="1:10">
      <c r="A743" s="32">
        <v>907</v>
      </c>
      <c r="B743" s="33">
        <v>5547</v>
      </c>
      <c r="C743" s="3">
        <v>500000</v>
      </c>
      <c r="D743" s="3"/>
      <c r="E743" s="7">
        <f t="shared" si="42"/>
        <v>500000</v>
      </c>
      <c r="F743" s="5">
        <v>45975</v>
      </c>
      <c r="G743" s="4">
        <v>20251113</v>
      </c>
      <c r="H743" s="38" t="str">
        <f>VLOOKUP(B743,CAJEROS!B:D,3,0)</f>
        <v>Dispensador</v>
      </c>
      <c r="I743" s="34"/>
      <c r="J743" s="38" t="str">
        <f>VLOOKUP(B743,CAJEROS!B:E,4,0)</f>
        <v>LAFRONTER1</v>
      </c>
    </row>
    <row r="744" spans="1:10">
      <c r="A744" s="32">
        <v>60</v>
      </c>
      <c r="B744" s="33">
        <v>8720</v>
      </c>
      <c r="C744" s="3">
        <v>2700000</v>
      </c>
      <c r="D744" s="3"/>
      <c r="E744" s="7">
        <f t="shared" si="42"/>
        <v>2700000</v>
      </c>
      <c r="F744" s="5">
        <v>45975</v>
      </c>
      <c r="G744" s="4">
        <v>20251113</v>
      </c>
      <c r="H744" s="38" t="str">
        <f>VLOOKUP(B744,CAJEROS!B:D,3,0)</f>
        <v>Dispensador</v>
      </c>
      <c r="I744" s="34" t="s">
        <v>9</v>
      </c>
      <c r="J744" s="38" t="str">
        <f>VLOOKUP(B744,CAJEROS!B:E,4,0)</f>
        <v>HALLCALIPR2</v>
      </c>
    </row>
    <row r="745" spans="1:10">
      <c r="A745" s="32">
        <v>60</v>
      </c>
      <c r="B745" s="33">
        <v>8721</v>
      </c>
      <c r="C745" s="3">
        <v>1020000</v>
      </c>
      <c r="D745" s="3"/>
      <c r="E745" s="7">
        <f t="shared" si="42"/>
        <v>1020000</v>
      </c>
      <c r="F745" s="5">
        <v>45975</v>
      </c>
      <c r="G745" s="4">
        <v>20251113</v>
      </c>
      <c r="H745" s="38" t="str">
        <f>VLOOKUP(B745,CAJEROS!B:D,3,0)</f>
        <v>Dispensador</v>
      </c>
      <c r="I745" s="34" t="s">
        <v>9</v>
      </c>
      <c r="J745" s="38" t="str">
        <f>VLOOKUP(B745,CAJEROS!B:E,4,0)</f>
        <v>HALLCALIPR3</v>
      </c>
    </row>
    <row r="746" spans="1:10">
      <c r="A746" s="32">
        <v>60</v>
      </c>
      <c r="B746" s="33">
        <v>8722</v>
      </c>
      <c r="C746" s="3">
        <v>840000</v>
      </c>
      <c r="D746" s="3"/>
      <c r="E746" s="7">
        <f t="shared" si="42"/>
        <v>840000</v>
      </c>
      <c r="F746" s="5">
        <v>45975</v>
      </c>
      <c r="G746" s="4">
        <v>20251113</v>
      </c>
      <c r="H746" s="38" t="str">
        <f>VLOOKUP(B746,CAJEROS!B:D,3,0)</f>
        <v>Dispensador</v>
      </c>
      <c r="I746" s="34" t="s">
        <v>9</v>
      </c>
      <c r="J746" s="38" t="str">
        <f>VLOOKUP(B746,CAJEROS!B:E,4,0)</f>
        <v>HALLCALIPR4</v>
      </c>
    </row>
    <row r="747" spans="1:10">
      <c r="A747" s="32">
        <v>60</v>
      </c>
      <c r="B747" s="33">
        <v>8723</v>
      </c>
      <c r="C747" s="3">
        <v>30000</v>
      </c>
      <c r="D747" s="3"/>
      <c r="E747" s="7">
        <f t="shared" si="42"/>
        <v>30000</v>
      </c>
      <c r="F747" s="5">
        <v>45975</v>
      </c>
      <c r="G747" s="4">
        <v>20251113</v>
      </c>
      <c r="H747" s="38" t="str">
        <f>VLOOKUP(B747,CAJEROS!B:D,3,0)</f>
        <v>Dispensador</v>
      </c>
      <c r="I747" s="34" t="s">
        <v>9</v>
      </c>
      <c r="J747" s="38" t="str">
        <f>VLOOKUP(B747,CAJEROS!B:E,4,0)</f>
        <v>HALLCALIPR5</v>
      </c>
    </row>
    <row r="748" spans="1:10">
      <c r="A748" s="32">
        <v>202</v>
      </c>
      <c r="B748" s="33">
        <v>2020</v>
      </c>
      <c r="C748" s="3">
        <v>300000</v>
      </c>
      <c r="D748" s="3"/>
      <c r="E748" s="7">
        <f t="shared" si="42"/>
        <v>300000</v>
      </c>
      <c r="F748" s="5">
        <v>45975</v>
      </c>
      <c r="G748" s="4">
        <v>20251113</v>
      </c>
      <c r="H748" s="38" t="str">
        <f>VLOOKUP(B748,CAJEROS!B:D,3,0)</f>
        <v>Dispensador</v>
      </c>
      <c r="I748" s="34" t="s">
        <v>9</v>
      </c>
      <c r="J748" s="38" t="str">
        <f>VLOOKUP(B748,CAJEROS!B:E,4,0)</f>
        <v>SUC_AVPEPE1</v>
      </c>
    </row>
    <row r="749" spans="1:10">
      <c r="A749" s="32">
        <v>261</v>
      </c>
      <c r="B749" s="33">
        <v>8477</v>
      </c>
      <c r="C749" s="3">
        <v>3000000</v>
      </c>
      <c r="D749" s="3">
        <v>2000000</v>
      </c>
      <c r="E749" s="7">
        <f t="shared" si="42"/>
        <v>1000000</v>
      </c>
      <c r="F749" s="5">
        <v>45975</v>
      </c>
      <c r="G749" s="4">
        <v>20251113</v>
      </c>
      <c r="H749" s="38" t="str">
        <f>VLOOKUP(B749,CAJEROS!B:D,3,0)</f>
        <v>Dispensador</v>
      </c>
      <c r="I749" s="34" t="s">
        <v>9</v>
      </c>
      <c r="J749" s="38" t="str">
        <f>VLOOKUP(B749,CAJEROS!B:E,4,0)</f>
        <v>SUCAMPA3</v>
      </c>
    </row>
    <row r="750" spans="1:10">
      <c r="A750" s="32">
        <v>287</v>
      </c>
      <c r="B750" s="33">
        <v>905</v>
      </c>
      <c r="C750" s="3">
        <v>300000</v>
      </c>
      <c r="D750" s="3"/>
      <c r="E750" s="7">
        <f t="shared" si="42"/>
        <v>300000</v>
      </c>
      <c r="F750" s="5">
        <v>45975</v>
      </c>
      <c r="G750" s="4">
        <v>20251113</v>
      </c>
      <c r="H750" s="38" t="str">
        <f>VLOOKUP(B750,CAJEROS!B:D,3,0)</f>
        <v>Dispensador</v>
      </c>
      <c r="I750" s="34" t="s">
        <v>9</v>
      </c>
      <c r="J750" s="38" t="str">
        <f>VLOOKUP(B750,CAJEROS!B:E,4,0)</f>
        <v>ABASTOBGA_1</v>
      </c>
    </row>
    <row r="751" spans="1:10">
      <c r="A751" s="32">
        <v>297</v>
      </c>
      <c r="B751" s="33">
        <v>5398</v>
      </c>
      <c r="C751" s="3">
        <v>100000</v>
      </c>
      <c r="D751" s="3">
        <v>100000</v>
      </c>
      <c r="E751" s="7">
        <f t="shared" si="42"/>
        <v>0</v>
      </c>
      <c r="F751" s="5">
        <v>45975</v>
      </c>
      <c r="G751" s="4">
        <v>20251113</v>
      </c>
      <c r="H751" s="38" t="str">
        <f>VLOOKUP(B751,CAJEROS!B:D,3,0)</f>
        <v>Dispensador</v>
      </c>
      <c r="I751" s="34" t="s">
        <v>9</v>
      </c>
      <c r="J751" s="38" t="str">
        <f>VLOOKUP(B751,CAJEROS!B:E,4,0)</f>
        <v>AGUACHICA2</v>
      </c>
    </row>
    <row r="752" spans="1:10">
      <c r="A752" s="32">
        <v>325</v>
      </c>
      <c r="B752" s="33">
        <v>5575</v>
      </c>
      <c r="C752" s="3">
        <v>50000</v>
      </c>
      <c r="D752" s="3"/>
      <c r="E752" s="7">
        <f t="shared" si="42"/>
        <v>50000</v>
      </c>
      <c r="F752" s="5">
        <v>45975</v>
      </c>
      <c r="G752" s="4">
        <v>20251113</v>
      </c>
      <c r="H752" s="38" t="str">
        <f>VLOOKUP(B752,CAJEROS!B:D,3,0)</f>
        <v>Dispensador</v>
      </c>
      <c r="I752" s="34" t="s">
        <v>9</v>
      </c>
      <c r="J752" s="38" t="str">
        <f>VLOOKUP(B752,CAJEROS!B:E,4,0)</f>
        <v>SANTUARI2</v>
      </c>
    </row>
    <row r="753" spans="1:10">
      <c r="A753" s="32">
        <v>346</v>
      </c>
      <c r="B753" s="33">
        <v>3461</v>
      </c>
      <c r="C753" s="3">
        <v>990000</v>
      </c>
      <c r="D753" s="3"/>
      <c r="E753" s="7">
        <f t="shared" si="42"/>
        <v>990000</v>
      </c>
      <c r="F753" s="5">
        <v>45975</v>
      </c>
      <c r="G753" s="4">
        <v>20251113</v>
      </c>
      <c r="H753" s="38" t="str">
        <f>VLOOKUP(B753,CAJEROS!B:D,3,0)</f>
        <v>Dispensador</v>
      </c>
      <c r="I753" s="34" t="s">
        <v>9</v>
      </c>
      <c r="J753" s="38" t="str">
        <f>VLOOKUP(B753,CAJEROS!B:E,4,0)</f>
        <v>SUBACHOQUE</v>
      </c>
    </row>
    <row r="754" spans="1:10">
      <c r="A754" s="32">
        <v>392</v>
      </c>
      <c r="B754" s="33">
        <v>4890</v>
      </c>
      <c r="C754" s="3">
        <v>80000</v>
      </c>
      <c r="D754" s="3"/>
      <c r="E754" s="7">
        <f t="shared" si="42"/>
        <v>80000</v>
      </c>
      <c r="F754" s="5">
        <v>45975</v>
      </c>
      <c r="G754" s="4">
        <v>20251113</v>
      </c>
      <c r="H754" s="38" t="str">
        <f>VLOOKUP(B754,CAJEROS!B:D,3,0)</f>
        <v>Dispensador</v>
      </c>
      <c r="I754" s="34" t="s">
        <v>9</v>
      </c>
      <c r="J754" s="38" t="str">
        <f>VLOOKUP(B754,CAJEROS!B:E,4,0)</f>
        <v>LADORADA3</v>
      </c>
    </row>
    <row r="755" spans="1:10">
      <c r="A755" s="32">
        <v>467</v>
      </c>
      <c r="B755" s="33">
        <v>8912</v>
      </c>
      <c r="C755" s="3">
        <v>100000</v>
      </c>
      <c r="D755" s="3"/>
      <c r="E755" s="7">
        <f t="shared" si="42"/>
        <v>100000</v>
      </c>
      <c r="F755" s="5">
        <v>45975</v>
      </c>
      <c r="G755" s="4">
        <v>20251113</v>
      </c>
      <c r="H755" s="38" t="str">
        <f>VLOOKUP(B755,CAJEROS!B:D,3,0)</f>
        <v>Dispensador</v>
      </c>
      <c r="I755" s="34" t="s">
        <v>9</v>
      </c>
      <c r="J755" s="38" t="str">
        <f>VLOOKUP(B755,CAJEROS!B:E,4,0)</f>
        <v>HDIVERPLZ_2</v>
      </c>
    </row>
    <row r="756" spans="1:10">
      <c r="A756" s="32">
        <v>467</v>
      </c>
      <c r="B756" s="33">
        <v>8916</v>
      </c>
      <c r="C756" s="3">
        <v>200000</v>
      </c>
      <c r="D756" s="3"/>
      <c r="E756" s="7">
        <f t="shared" si="42"/>
        <v>200000</v>
      </c>
      <c r="F756" s="5">
        <v>45975</v>
      </c>
      <c r="G756" s="4">
        <v>20251113</v>
      </c>
      <c r="H756" s="38" t="str">
        <f>VLOOKUP(B756,CAJEROS!B:D,3,0)</f>
        <v>Dispensador</v>
      </c>
      <c r="I756" s="34" t="s">
        <v>9</v>
      </c>
      <c r="J756" s="38" t="str">
        <f>VLOOKUP(B756,CAJEROS!B:E,4,0)</f>
        <v>HDIVERPLZ_6</v>
      </c>
    </row>
    <row r="757" spans="1:10">
      <c r="A757" s="32">
        <v>536</v>
      </c>
      <c r="B757" s="33">
        <v>5362</v>
      </c>
      <c r="C757" s="3">
        <v>300000</v>
      </c>
      <c r="D757" s="3"/>
      <c r="E757" s="7">
        <f t="shared" si="42"/>
        <v>300000</v>
      </c>
      <c r="F757" s="5">
        <v>45975</v>
      </c>
      <c r="G757" s="4">
        <v>20251113</v>
      </c>
      <c r="H757" s="38" t="str">
        <f>VLOOKUP(B757,CAJEROS!B:D,3,0)</f>
        <v>Dispensador</v>
      </c>
      <c r="I757" s="34" t="s">
        <v>9</v>
      </c>
      <c r="J757" s="38" t="str">
        <f>VLOOKUP(B757,CAJEROS!B:E,4,0)</f>
        <v>QUIBDO_2</v>
      </c>
    </row>
    <row r="758" spans="1:10">
      <c r="A758" s="32">
        <v>536</v>
      </c>
      <c r="B758" s="33">
        <v>6915</v>
      </c>
      <c r="C758" s="3">
        <v>500000</v>
      </c>
      <c r="D758" s="3"/>
      <c r="E758" s="7">
        <f t="shared" si="42"/>
        <v>500000</v>
      </c>
      <c r="F758" s="5">
        <v>45975</v>
      </c>
      <c r="G758" s="4">
        <v>20251113</v>
      </c>
      <c r="H758" s="38" t="str">
        <f>VLOOKUP(B758,CAJEROS!B:D,3,0)</f>
        <v>Dispensador</v>
      </c>
      <c r="I758" s="34" t="s">
        <v>9</v>
      </c>
      <c r="J758" s="38" t="str">
        <f>VLOOKUP(B758,CAJEROS!B:E,4,0)</f>
        <v>SUC_QUIBDO7</v>
      </c>
    </row>
    <row r="759" spans="1:10">
      <c r="A759" s="32">
        <v>569</v>
      </c>
      <c r="B759" s="33">
        <v>4576</v>
      </c>
      <c r="C759" s="3">
        <v>40000</v>
      </c>
      <c r="D759" s="3"/>
      <c r="E759" s="7">
        <f t="shared" si="42"/>
        <v>40000</v>
      </c>
      <c r="F759" s="5">
        <v>45975</v>
      </c>
      <c r="G759" s="4">
        <v>20251113</v>
      </c>
      <c r="H759" s="38" t="str">
        <f>VLOOKUP(B759,CAJEROS!B:D,3,0)</f>
        <v>Dispensador</v>
      </c>
      <c r="I759" s="34" t="s">
        <v>9</v>
      </c>
      <c r="J759" s="38" t="str">
        <f>VLOOKUP(B759,CAJEROS!B:E,4,0)</f>
        <v>SUC_BUENAM2</v>
      </c>
    </row>
    <row r="760" spans="1:10">
      <c r="A760" s="32">
        <v>678</v>
      </c>
      <c r="B760" s="33">
        <v>6016</v>
      </c>
      <c r="C760" s="3">
        <v>70000</v>
      </c>
      <c r="D760" s="3"/>
      <c r="E760" s="7">
        <f t="shared" si="42"/>
        <v>70000</v>
      </c>
      <c r="F760" s="5">
        <v>45975</v>
      </c>
      <c r="G760" s="4">
        <v>20251113</v>
      </c>
      <c r="H760" s="38" t="str">
        <f>VLOOKUP(B760,CAJEROS!B:D,3,0)</f>
        <v>Dispensador</v>
      </c>
      <c r="I760" s="34" t="s">
        <v>9</v>
      </c>
      <c r="J760" s="38" t="str">
        <f>VLOOKUP(B760,CAJEROS!B:E,4,0)</f>
        <v>PASEOCAST_7</v>
      </c>
    </row>
    <row r="761" spans="1:10">
      <c r="A761" s="32">
        <v>688</v>
      </c>
      <c r="B761" s="33">
        <v>4843</v>
      </c>
      <c r="C761" s="3">
        <v>500000</v>
      </c>
      <c r="D761" s="3">
        <v>500000</v>
      </c>
      <c r="E761" s="7">
        <f t="shared" si="42"/>
        <v>0</v>
      </c>
      <c r="F761" s="5">
        <v>45975</v>
      </c>
      <c r="G761" s="4">
        <v>20251113</v>
      </c>
      <c r="H761" s="38" t="str">
        <f>VLOOKUP(B761,CAJEROS!B:D,3,0)</f>
        <v>Dispensador</v>
      </c>
      <c r="I761" s="34" t="s">
        <v>9</v>
      </c>
      <c r="J761" s="38" t="str">
        <f>VLOOKUP(B761,CAJEROS!B:E,4,0)</f>
        <v>SUC_CONTAD2</v>
      </c>
    </row>
    <row r="762" spans="1:10">
      <c r="A762" s="32">
        <v>705</v>
      </c>
      <c r="B762" s="33">
        <v>4151</v>
      </c>
      <c r="C762" s="3">
        <v>70000</v>
      </c>
      <c r="D762" s="3">
        <v>40000</v>
      </c>
      <c r="E762" s="7">
        <f t="shared" si="42"/>
        <v>30000</v>
      </c>
      <c r="F762" s="5">
        <v>45975</v>
      </c>
      <c r="G762" s="4">
        <v>20251113</v>
      </c>
      <c r="H762" s="38" t="str">
        <f>VLOOKUP(B762,CAJEROS!B:D,3,0)</f>
        <v>Dispensador</v>
      </c>
      <c r="I762" s="34" t="s">
        <v>9</v>
      </c>
      <c r="J762" s="38" t="str">
        <f>VLOOKUP(B762,CAJEROS!B:E,4,0)</f>
        <v>SUC_BAGRE1</v>
      </c>
    </row>
    <row r="763" spans="1:10">
      <c r="A763" s="32">
        <v>705</v>
      </c>
      <c r="B763" s="33">
        <v>4152</v>
      </c>
      <c r="C763" s="3">
        <v>720000</v>
      </c>
      <c r="D763" s="3">
        <v>720000</v>
      </c>
      <c r="E763" s="7">
        <f t="shared" si="42"/>
        <v>0</v>
      </c>
      <c r="F763" s="5">
        <v>45975</v>
      </c>
      <c r="G763" s="4">
        <v>20251113</v>
      </c>
      <c r="H763" s="38" t="str">
        <f>VLOOKUP(B763,CAJEROS!B:D,3,0)</f>
        <v>Dispensador</v>
      </c>
      <c r="I763" s="34" t="s">
        <v>9</v>
      </c>
      <c r="J763" s="38" t="str">
        <f>VLOOKUP(B763,CAJEROS!B:E,4,0)</f>
        <v>SUC_BAGRE2</v>
      </c>
    </row>
    <row r="764" spans="1:10">
      <c r="A764" s="32">
        <v>733</v>
      </c>
      <c r="B764" s="33">
        <v>5466</v>
      </c>
      <c r="C764" s="3">
        <v>1000000</v>
      </c>
      <c r="D764" s="3"/>
      <c r="E764" s="7">
        <f t="shared" si="42"/>
        <v>1000000</v>
      </c>
      <c r="F764" s="5">
        <v>45975</v>
      </c>
      <c r="G764" s="4">
        <v>20251113</v>
      </c>
      <c r="H764" s="38" t="str">
        <f>VLOOKUP(B764,CAJEROS!B:D,3,0)</f>
        <v>Dispensador</v>
      </c>
      <c r="I764" s="34" t="s">
        <v>9</v>
      </c>
      <c r="J764" s="38" t="str">
        <f>VLOOKUP(B764,CAJEROS!B:E,4,0)</f>
        <v>UNIONVALL2</v>
      </c>
    </row>
    <row r="765" spans="1:10">
      <c r="A765" s="32">
        <v>824</v>
      </c>
      <c r="B765" s="33">
        <v>220</v>
      </c>
      <c r="C765" s="3">
        <v>60000</v>
      </c>
      <c r="D765" s="3"/>
      <c r="E765" s="7">
        <f t="shared" si="42"/>
        <v>60000</v>
      </c>
      <c r="F765" s="5">
        <v>45975</v>
      </c>
      <c r="G765" s="4">
        <v>20251113</v>
      </c>
      <c r="H765" s="38" t="str">
        <f>VLOOKUP(B765,CAJEROS!B:D,3,0)</f>
        <v>Dispensador</v>
      </c>
      <c r="I765" s="34" t="s">
        <v>9</v>
      </c>
      <c r="J765" s="38" t="str">
        <f>VLOOKUP(B765,CAJEROS!B:E,4,0)</f>
        <v>SUCVENTPLZ6</v>
      </c>
    </row>
    <row r="766" spans="1:10">
      <c r="A766" s="32">
        <v>840</v>
      </c>
      <c r="B766" s="33">
        <v>4248</v>
      </c>
      <c r="C766" s="3">
        <v>200000</v>
      </c>
      <c r="D766" s="3"/>
      <c r="E766" s="7">
        <f t="shared" si="42"/>
        <v>200000</v>
      </c>
      <c r="F766" s="5">
        <v>45975</v>
      </c>
      <c r="G766" s="4">
        <v>20251113</v>
      </c>
      <c r="H766" s="38" t="str">
        <f>VLOOKUP(B766,CAJEROS!B:D,3,0)</f>
        <v>Dispensador</v>
      </c>
      <c r="I766" s="34" t="s">
        <v>9</v>
      </c>
      <c r="J766" s="38" t="str">
        <f>VLOOKUP(B766,CAJEROS!B:E,4,0)</f>
        <v>SUC_PAZARI1</v>
      </c>
    </row>
    <row r="767" spans="1:10">
      <c r="A767" s="32">
        <v>861</v>
      </c>
      <c r="B767" s="33">
        <v>5958</v>
      </c>
      <c r="C767" s="3">
        <v>210000</v>
      </c>
      <c r="D767" s="3"/>
      <c r="E767" s="7">
        <f t="shared" si="42"/>
        <v>210000</v>
      </c>
      <c r="F767" s="5">
        <v>45975</v>
      </c>
      <c r="G767" s="4">
        <v>20251113</v>
      </c>
      <c r="H767" s="38" t="str">
        <f>VLOOKUP(B767,CAJEROS!B:D,3,0)</f>
        <v>Dispensador</v>
      </c>
      <c r="I767" s="34" t="s">
        <v>9</v>
      </c>
      <c r="J767" s="38" t="str">
        <f>VLOOKUP(B767,CAJEROS!B:E,4,0)</f>
        <v>SUC_ALBANI2</v>
      </c>
    </row>
    <row r="768" spans="1:10">
      <c r="A768" s="32">
        <v>866</v>
      </c>
      <c r="B768" s="33">
        <v>6260</v>
      </c>
      <c r="C768" s="3">
        <v>100000</v>
      </c>
      <c r="D768" s="3"/>
      <c r="E768" s="7">
        <f t="shared" si="42"/>
        <v>100000</v>
      </c>
      <c r="F768" s="5">
        <v>45975</v>
      </c>
      <c r="G768" s="4">
        <v>20251113</v>
      </c>
      <c r="H768" s="38" t="str">
        <f>VLOOKUP(B768,CAJEROS!B:D,3,0)</f>
        <v>Dispensador</v>
      </c>
      <c r="I768" s="34" t="s">
        <v>9</v>
      </c>
      <c r="J768" s="38" t="str">
        <f>VLOOKUP(B768,CAJEROS!B:E,4,0)</f>
        <v>SUC_FLORID4</v>
      </c>
    </row>
    <row r="769" spans="1:10">
      <c r="A769" s="32">
        <v>882</v>
      </c>
      <c r="B769" s="33">
        <v>3510</v>
      </c>
      <c r="C769" s="3">
        <v>920000</v>
      </c>
      <c r="D769" s="3">
        <v>350000</v>
      </c>
      <c r="E769" s="7">
        <f t="shared" si="42"/>
        <v>570000</v>
      </c>
      <c r="F769" s="5">
        <v>45975</v>
      </c>
      <c r="G769" s="4">
        <v>20251113</v>
      </c>
      <c r="H769" s="38" t="str">
        <f>VLOOKUP(B769,CAJEROS!B:D,3,0)</f>
        <v>Dispensador</v>
      </c>
      <c r="I769" s="34" t="s">
        <v>9</v>
      </c>
      <c r="J769" s="38" t="str">
        <f>VLOOKUP(B769,CAJEROS!B:E,4,0)</f>
        <v>LIBERTADOR1</v>
      </c>
    </row>
    <row r="770" spans="1:10">
      <c r="A770" s="32">
        <v>927</v>
      </c>
      <c r="B770" s="33">
        <v>5751</v>
      </c>
      <c r="C770" s="3">
        <v>30000</v>
      </c>
      <c r="D770" s="3">
        <v>10000</v>
      </c>
      <c r="E770" s="7">
        <f t="shared" si="42"/>
        <v>20000</v>
      </c>
      <c r="F770" s="5">
        <v>45975</v>
      </c>
      <c r="G770" s="4">
        <v>20251113</v>
      </c>
      <c r="H770" s="38" t="str">
        <f>VLOOKUP(B770,CAJEROS!B:D,3,0)</f>
        <v>Dispensador</v>
      </c>
      <c r="I770" s="34" t="s">
        <v>9</v>
      </c>
      <c r="J770" s="38" t="str">
        <f>VLOOKUP(B770,CAJEROS!B:E,4,0)</f>
        <v>SUC_MOCOA3</v>
      </c>
    </row>
    <row r="771" spans="1:10">
      <c r="A771" s="32">
        <v>944</v>
      </c>
      <c r="B771" s="33">
        <v>8356</v>
      </c>
      <c r="C771" s="3">
        <v>100000</v>
      </c>
      <c r="D771" s="3"/>
      <c r="E771" s="7">
        <f t="shared" si="42"/>
        <v>100000</v>
      </c>
      <c r="F771" s="5">
        <v>45975</v>
      </c>
      <c r="G771" s="4">
        <v>20251113</v>
      </c>
      <c r="H771" s="38" t="str">
        <f>VLOOKUP(B771,CAJEROS!B:D,3,0)</f>
        <v>Dispensador</v>
      </c>
      <c r="I771" s="34" t="s">
        <v>9</v>
      </c>
      <c r="J771" s="38" t="str">
        <f>VLOOKUP(B771,CAJEROS!B:E,4,0)</f>
        <v>SUCSANTABO2</v>
      </c>
    </row>
    <row r="772" spans="1:10">
      <c r="A772" s="32">
        <v>236</v>
      </c>
      <c r="B772" s="33">
        <v>8497</v>
      </c>
      <c r="C772" s="3">
        <v>500</v>
      </c>
      <c r="D772" s="3"/>
      <c r="E772" s="7">
        <f t="shared" ref="E772:E788" si="43">+C772-D772</f>
        <v>500</v>
      </c>
      <c r="F772" s="5">
        <v>45975</v>
      </c>
      <c r="G772" s="4">
        <v>20251113</v>
      </c>
      <c r="H772" s="38" t="str">
        <f>VLOOKUP(B772,CAJEROS!B:D,3,0)</f>
        <v>Multifuncional</v>
      </c>
      <c r="I772" s="34"/>
      <c r="J772" s="38" t="str">
        <f>VLOOKUP(B772,CAJEROS!B:E,4,0)</f>
        <v>MF_EXITCOL2</v>
      </c>
    </row>
    <row r="773" spans="1:10">
      <c r="A773" s="32">
        <v>267</v>
      </c>
      <c r="B773" s="33">
        <v>6186</v>
      </c>
      <c r="C773" s="3">
        <v>770000</v>
      </c>
      <c r="D773" s="3"/>
      <c r="E773" s="7">
        <f t="shared" si="43"/>
        <v>770000</v>
      </c>
      <c r="F773" s="5">
        <v>45975</v>
      </c>
      <c r="G773" s="4">
        <v>20251113</v>
      </c>
      <c r="H773" s="38" t="str">
        <f>VLOOKUP(B773,CAJEROS!B:D,3,0)</f>
        <v>Multifuncional</v>
      </c>
      <c r="I773" s="34"/>
      <c r="J773" s="38" t="str">
        <f>VLOOKUP(B773,CAJEROS!B:E,4,0)</f>
        <v>MF_VISITACI</v>
      </c>
    </row>
    <row r="774" spans="1:10">
      <c r="A774" s="32">
        <v>318</v>
      </c>
      <c r="B774" s="33">
        <v>5136</v>
      </c>
      <c r="C774" s="3">
        <v>6383500</v>
      </c>
      <c r="D774" s="3"/>
      <c r="E774" s="7">
        <f t="shared" si="43"/>
        <v>6383500</v>
      </c>
      <c r="F774" s="5">
        <v>45975</v>
      </c>
      <c r="G774" s="4">
        <v>20251113</v>
      </c>
      <c r="H774" s="38" t="str">
        <f>VLOOKUP(B774,CAJEROS!B:D,3,0)</f>
        <v>Multifuncional</v>
      </c>
      <c r="I774" s="34"/>
      <c r="J774" s="38" t="str">
        <f>VLOOKUP(B774,CAJEROS!B:E,4,0)</f>
        <v>MF_SUCOCANA</v>
      </c>
    </row>
    <row r="775" spans="1:10">
      <c r="A775" s="32">
        <v>352</v>
      </c>
      <c r="B775" s="33">
        <v>6618</v>
      </c>
      <c r="C775" s="3">
        <v>310000</v>
      </c>
      <c r="D775" s="3"/>
      <c r="E775" s="7">
        <f t="shared" si="43"/>
        <v>310000</v>
      </c>
      <c r="F775" s="5">
        <v>45975</v>
      </c>
      <c r="G775" s="4">
        <v>20251113</v>
      </c>
      <c r="H775" s="38" t="str">
        <f>VLOOKUP(B775,CAJEROS!B:D,3,0)</f>
        <v>Multifuncional</v>
      </c>
      <c r="I775" s="34"/>
      <c r="J775" s="38" t="str">
        <f>VLOOKUP(B775,CAJEROS!B:E,4,0)</f>
        <v>MF_CHIQUINQ</v>
      </c>
    </row>
    <row r="776" spans="1:10">
      <c r="A776" s="32">
        <v>358</v>
      </c>
      <c r="B776" s="33">
        <v>5149</v>
      </c>
      <c r="C776" s="3">
        <v>2840000</v>
      </c>
      <c r="D776" s="3"/>
      <c r="E776" s="7">
        <f t="shared" si="43"/>
        <v>2840000</v>
      </c>
      <c r="F776" s="5">
        <v>45975</v>
      </c>
      <c r="G776" s="4">
        <v>20251113</v>
      </c>
      <c r="H776" s="38" t="str">
        <f>VLOOKUP(B776,CAJEROS!B:D,3,0)</f>
        <v>Multifuncional</v>
      </c>
      <c r="I776" s="34"/>
      <c r="J776" s="38" t="str">
        <f>VLOOKUP(B776,CAJEROS!B:E,4,0)</f>
        <v>MF_SOGAMOSO</v>
      </c>
    </row>
    <row r="777" spans="1:10">
      <c r="A777" s="32">
        <v>361</v>
      </c>
      <c r="B777" s="33">
        <v>5005</v>
      </c>
      <c r="C777" s="3">
        <v>2710000</v>
      </c>
      <c r="D777" s="3"/>
      <c r="E777" s="7">
        <f t="shared" si="43"/>
        <v>2710000</v>
      </c>
      <c r="F777" s="5">
        <v>45975</v>
      </c>
      <c r="G777" s="4">
        <v>20251113</v>
      </c>
      <c r="H777" s="38" t="str">
        <f>VLOOKUP(B777,CAJEROS!B:D,3,0)</f>
        <v>Multifuncional</v>
      </c>
      <c r="I777" s="34"/>
      <c r="J777" s="38" t="str">
        <f>VLOOKUP(B777,CAJEROS!B:E,4,0)</f>
        <v>MF_CDPFONTI</v>
      </c>
    </row>
    <row r="778" spans="1:10">
      <c r="A778" s="32">
        <v>453</v>
      </c>
      <c r="B778" s="33">
        <v>8018</v>
      </c>
      <c r="C778" s="3">
        <v>2014000</v>
      </c>
      <c r="D778" s="3"/>
      <c r="E778" s="7">
        <f t="shared" si="43"/>
        <v>2014000</v>
      </c>
      <c r="F778" s="5">
        <v>45975</v>
      </c>
      <c r="G778" s="4">
        <v>20251113</v>
      </c>
      <c r="H778" s="38" t="str">
        <f>VLOOKUP(B778,CAJEROS!B:D,3,0)</f>
        <v>Multifuncional</v>
      </c>
      <c r="I778" s="34"/>
      <c r="J778" s="38" t="str">
        <f>VLOOKUP(B778,CAJEROS!B:E,4,0)</f>
        <v>MFSUCPITAL1</v>
      </c>
    </row>
    <row r="779" spans="1:10">
      <c r="A779" s="32">
        <v>453</v>
      </c>
      <c r="B779" s="33">
        <v>8019</v>
      </c>
      <c r="C779" s="3">
        <v>19143500</v>
      </c>
      <c r="D779" s="3"/>
      <c r="E779" s="7">
        <f t="shared" si="43"/>
        <v>19143500</v>
      </c>
      <c r="F779" s="5">
        <v>45975</v>
      </c>
      <c r="G779" s="4">
        <v>20251113</v>
      </c>
      <c r="H779" s="38" t="str">
        <f>VLOOKUP(B779,CAJEROS!B:D,3,0)</f>
        <v>Multifuncional</v>
      </c>
      <c r="I779" s="34"/>
      <c r="J779" s="38" t="str">
        <f>VLOOKUP(B779,CAJEROS!B:E,4,0)</f>
        <v>MFSUCPITAL2</v>
      </c>
    </row>
    <row r="780" spans="1:10">
      <c r="A780" s="32">
        <v>467</v>
      </c>
      <c r="B780" s="33">
        <v>9052</v>
      </c>
      <c r="C780" s="3">
        <v>2648200</v>
      </c>
      <c r="D780" s="3"/>
      <c r="E780" s="7">
        <f t="shared" si="43"/>
        <v>2648200</v>
      </c>
      <c r="F780" s="5">
        <v>45975</v>
      </c>
      <c r="G780" s="4">
        <v>20251113</v>
      </c>
      <c r="H780" s="38" t="str">
        <f>VLOOKUP(B780,CAJEROS!B:D,3,0)</f>
        <v>Multifuncional</v>
      </c>
      <c r="I780" s="34"/>
      <c r="J780" s="38" t="str">
        <f>VLOOKUP(B780,CAJEROS!B:E,4,0)</f>
        <v>MFHDVERPLZ2</v>
      </c>
    </row>
    <row r="781" spans="1:10">
      <c r="A781" s="32">
        <v>652</v>
      </c>
      <c r="B781" s="33">
        <v>5070</v>
      </c>
      <c r="C781" s="3">
        <v>2469800</v>
      </c>
      <c r="D781" s="3"/>
      <c r="E781" s="7">
        <f t="shared" si="43"/>
        <v>2469800</v>
      </c>
      <c r="F781" s="5">
        <v>45975</v>
      </c>
      <c r="G781" s="4">
        <v>20251113</v>
      </c>
      <c r="H781" s="38" t="str">
        <f>VLOOKUP(B781,CAJEROS!B:D,3,0)</f>
        <v>Multifuncional</v>
      </c>
      <c r="I781" s="34"/>
      <c r="J781" s="38" t="str">
        <f>VLOOKUP(B781,CAJEROS!B:E,4,0)</f>
        <v>MF_CHICO94</v>
      </c>
    </row>
    <row r="782" spans="1:10">
      <c r="A782" s="32">
        <v>721</v>
      </c>
      <c r="B782" s="33">
        <v>8897</v>
      </c>
      <c r="C782" s="3">
        <v>3293000</v>
      </c>
      <c r="D782" s="3"/>
      <c r="E782" s="7">
        <f t="shared" si="43"/>
        <v>3293000</v>
      </c>
      <c r="F782" s="5">
        <v>45975</v>
      </c>
      <c r="G782" s="4">
        <v>20251113</v>
      </c>
      <c r="H782" s="38" t="str">
        <f>VLOOKUP(B782,CAJEROS!B:D,3,0)</f>
        <v>Multifuncional</v>
      </c>
      <c r="I782" s="34"/>
      <c r="J782" s="38" t="str">
        <f>VLOOKUP(B782,CAJEROS!B:E,4,0)</f>
        <v>MFSUCLAGO2</v>
      </c>
    </row>
    <row r="783" spans="1:10">
      <c r="A783" s="32">
        <v>764</v>
      </c>
      <c r="B783" s="33">
        <v>6715</v>
      </c>
      <c r="C783" s="3">
        <v>4000500</v>
      </c>
      <c r="D783" s="3"/>
      <c r="E783" s="7">
        <f t="shared" si="43"/>
        <v>4000500</v>
      </c>
      <c r="F783" s="5">
        <v>45975</v>
      </c>
      <c r="G783" s="4">
        <v>20251113</v>
      </c>
      <c r="H783" s="38" t="str">
        <f>VLOOKUP(B783,CAJEROS!B:D,3,0)</f>
        <v>Multifuncional</v>
      </c>
      <c r="I783" s="34"/>
      <c r="J783" s="38" t="str">
        <f>VLOOKUP(B783,CAJEROS!B:E,4,0)</f>
        <v>MF_JAMUNDI</v>
      </c>
    </row>
    <row r="784" spans="1:10">
      <c r="A784" s="32">
        <v>779</v>
      </c>
      <c r="B784" s="33">
        <v>5013</v>
      </c>
      <c r="C784" s="3">
        <v>6500000</v>
      </c>
      <c r="D784" s="3"/>
      <c r="E784" s="7">
        <f t="shared" si="43"/>
        <v>6500000</v>
      </c>
      <c r="F784" s="5">
        <v>45975</v>
      </c>
      <c r="G784" s="4">
        <v>20251113</v>
      </c>
      <c r="H784" s="38" t="str">
        <f>VLOOKUP(B784,CAJEROS!B:D,3,0)</f>
        <v>Multifuncional</v>
      </c>
      <c r="I784" s="34"/>
      <c r="J784" s="38" t="str">
        <f>VLOOKUP(B784,CAJEROS!B:E,4,0)</f>
        <v>MF_BUENASM1</v>
      </c>
    </row>
    <row r="785" spans="1:10">
      <c r="A785" s="32">
        <v>779</v>
      </c>
      <c r="B785" s="33">
        <v>8684</v>
      </c>
      <c r="C785" s="3">
        <v>32000</v>
      </c>
      <c r="D785" s="3"/>
      <c r="E785" s="7">
        <f t="shared" si="43"/>
        <v>32000</v>
      </c>
      <c r="F785" s="5">
        <v>45975</v>
      </c>
      <c r="G785" s="4">
        <v>20251113</v>
      </c>
      <c r="H785" s="38" t="str">
        <f>VLOOKUP(B785,CAJEROS!B:D,3,0)</f>
        <v>Multifuncional</v>
      </c>
      <c r="I785" s="34"/>
      <c r="J785" s="38" t="str">
        <f>VLOOKUP(B785,CAJEROS!B:E,4,0)</f>
        <v>MF_BUENVSM2</v>
      </c>
    </row>
    <row r="786" spans="1:10">
      <c r="A786" s="32">
        <v>852</v>
      </c>
      <c r="B786" s="33">
        <v>5050</v>
      </c>
      <c r="C786" s="3">
        <v>50000</v>
      </c>
      <c r="D786" s="3"/>
      <c r="E786" s="7">
        <f t="shared" si="43"/>
        <v>50000</v>
      </c>
      <c r="F786" s="5">
        <v>45975</v>
      </c>
      <c r="G786" s="4">
        <v>20251113</v>
      </c>
      <c r="H786" s="38" t="str">
        <f>VLOOKUP(B786,CAJEROS!B:D,3,0)</f>
        <v>Multifuncional</v>
      </c>
      <c r="I786" s="34"/>
      <c r="J786" s="38" t="str">
        <f>VLOOKUP(B786,CAJEROS!B:E,4,0)</f>
        <v>MF_VICPLAZA</v>
      </c>
    </row>
    <row r="787" spans="1:10">
      <c r="A787" s="32">
        <v>907</v>
      </c>
      <c r="B787" s="33">
        <v>4830</v>
      </c>
      <c r="C787" s="3">
        <v>10950100</v>
      </c>
      <c r="D787" s="3"/>
      <c r="E787" s="7">
        <f t="shared" si="43"/>
        <v>10950100</v>
      </c>
      <c r="F787" s="5">
        <v>45975</v>
      </c>
      <c r="G787" s="4">
        <v>20251113</v>
      </c>
      <c r="H787" s="38" t="str">
        <f>VLOOKUP(B787,CAJEROS!B:D,3,0)</f>
        <v>Multifuncional</v>
      </c>
      <c r="I787" s="34"/>
      <c r="J787" s="38" t="str">
        <f>VLOOKUP(B787,CAJEROS!B:E,4,0)</f>
        <v>MF_FRONTER2</v>
      </c>
    </row>
    <row r="788" spans="1:10">
      <c r="A788" s="32">
        <v>946</v>
      </c>
      <c r="B788" s="33">
        <v>5225</v>
      </c>
      <c r="C788" s="3">
        <v>3100100</v>
      </c>
      <c r="D788" s="3"/>
      <c r="E788" s="7">
        <f t="shared" si="43"/>
        <v>3100100</v>
      </c>
      <c r="F788" s="5">
        <v>45975</v>
      </c>
      <c r="G788" s="4">
        <v>20251113</v>
      </c>
      <c r="H788" s="38" t="str">
        <f>VLOOKUP(B788,CAJEROS!B:D,3,0)</f>
        <v>Multifuncional</v>
      </c>
      <c r="I788" s="34"/>
      <c r="J788" s="38" t="str">
        <f>VLOOKUP(B788,CAJEROS!B:E,4,0)</f>
        <v>MF_SABANACH</v>
      </c>
    </row>
    <row r="789" spans="1:10">
      <c r="A789" s="32">
        <v>829</v>
      </c>
      <c r="B789" s="33">
        <v>5137</v>
      </c>
      <c r="C789" s="3">
        <v>3575000</v>
      </c>
      <c r="D789" s="3"/>
      <c r="E789" s="7">
        <f t="shared" ref="E789:E825" si="44">+C789-D789</f>
        <v>3575000</v>
      </c>
      <c r="F789" s="5">
        <v>45975</v>
      </c>
      <c r="G789" s="4">
        <v>20251113</v>
      </c>
      <c r="H789" s="38" t="str">
        <f>VLOOKUP(B789,CAJEROS!B:D,3,0)</f>
        <v>Multifuncional</v>
      </c>
      <c r="I789" s="34" t="s">
        <v>9</v>
      </c>
      <c r="J789" s="38" t="str">
        <f>VLOOKUP(B789,CAJEROS!B:E,4,0)</f>
        <v>MF_UNICALI1</v>
      </c>
    </row>
    <row r="790" spans="1:10">
      <c r="A790" s="32">
        <v>796</v>
      </c>
      <c r="B790" s="33">
        <v>6911</v>
      </c>
      <c r="C790" s="3">
        <v>3300150</v>
      </c>
      <c r="D790" s="3">
        <v>3296600</v>
      </c>
      <c r="E790" s="7">
        <f t="shared" si="44"/>
        <v>3550</v>
      </c>
      <c r="F790" s="5">
        <v>45975</v>
      </c>
      <c r="G790" s="4">
        <v>20251113</v>
      </c>
      <c r="H790" s="38" t="str">
        <f>VLOOKUP(B790,CAJEROS!B:D,3,0)</f>
        <v>Multifuncional</v>
      </c>
      <c r="I790" s="34" t="s">
        <v>9</v>
      </c>
      <c r="J790" s="38" t="str">
        <f>VLOOKUP(B790,CAJEROS!B:E,4,0)</f>
        <v>MF_GIRON</v>
      </c>
    </row>
    <row r="791" spans="1:10">
      <c r="A791" s="32">
        <v>692</v>
      </c>
      <c r="B791" s="33">
        <v>1516</v>
      </c>
      <c r="C791" s="3">
        <v>2930000</v>
      </c>
      <c r="D791" s="3">
        <v>2920000</v>
      </c>
      <c r="E791" s="7">
        <f t="shared" si="44"/>
        <v>10000</v>
      </c>
      <c r="F791" s="5">
        <v>45975</v>
      </c>
      <c r="G791" s="4">
        <v>20251113</v>
      </c>
      <c r="H791" s="38" t="str">
        <f>VLOOKUP(B791,CAJEROS!B:D,3,0)</f>
        <v>Multifuncional</v>
      </c>
      <c r="I791" s="34" t="s">
        <v>9</v>
      </c>
      <c r="J791" s="38" t="str">
        <f>VLOOKUP(B791,CAJEROS!B:E,4,0)</f>
        <v>MFSUCALTPR2</v>
      </c>
    </row>
    <row r="792" spans="1:10">
      <c r="A792" s="32">
        <v>20</v>
      </c>
      <c r="B792" s="33">
        <v>8927</v>
      </c>
      <c r="C792" s="3">
        <v>2882300</v>
      </c>
      <c r="D792" s="3"/>
      <c r="E792" s="7">
        <f t="shared" si="44"/>
        <v>2882300</v>
      </c>
      <c r="F792" s="5">
        <v>45975</v>
      </c>
      <c r="G792" s="4">
        <v>20251113</v>
      </c>
      <c r="H792" s="38" t="str">
        <f>VLOOKUP(B792,CAJEROS!B:D,3,0)</f>
        <v>Multifuncional</v>
      </c>
      <c r="I792" s="34" t="s">
        <v>9</v>
      </c>
      <c r="J792" s="38" t="str">
        <f>VLOOKUP(B792,CAJEROS!B:E,4,0)</f>
        <v>MFSUCBUCMG2</v>
      </c>
    </row>
    <row r="793" spans="1:10">
      <c r="A793" s="32">
        <v>366</v>
      </c>
      <c r="B793" s="33">
        <v>5132</v>
      </c>
      <c r="C793" s="3">
        <v>2799600</v>
      </c>
      <c r="D793" s="3">
        <v>400</v>
      </c>
      <c r="E793" s="7">
        <f t="shared" si="44"/>
        <v>2799200</v>
      </c>
      <c r="F793" s="5">
        <v>45975</v>
      </c>
      <c r="G793" s="4">
        <v>20251113</v>
      </c>
      <c r="H793" s="38" t="str">
        <f>VLOOKUP(B793,CAJEROS!B:D,3,0)</f>
        <v>Multifuncional</v>
      </c>
      <c r="I793" s="34" t="s">
        <v>9</v>
      </c>
      <c r="J793" s="38" t="str">
        <f>VLOOKUP(B793,CAJEROS!B:E,4,0)</f>
        <v>MF_TERMTPTE</v>
      </c>
    </row>
    <row r="794" spans="1:10">
      <c r="A794" s="32">
        <v>292</v>
      </c>
      <c r="B794" s="33">
        <v>5116</v>
      </c>
      <c r="C794" s="3">
        <v>2790000</v>
      </c>
      <c r="D794" s="3">
        <v>890000</v>
      </c>
      <c r="E794" s="7">
        <f t="shared" si="44"/>
        <v>1900000</v>
      </c>
      <c r="F794" s="5">
        <v>45975</v>
      </c>
      <c r="G794" s="4">
        <v>20251113</v>
      </c>
      <c r="H794" s="38" t="str">
        <f>VLOOKUP(B794,CAJEROS!B:D,3,0)</f>
        <v>Multifuncional</v>
      </c>
      <c r="I794" s="34" t="s">
        <v>9</v>
      </c>
      <c r="J794" s="38" t="str">
        <f>VLOOKUP(B794,CAJEROS!B:E,4,0)</f>
        <v>MF_CONFECCI</v>
      </c>
    </row>
    <row r="795" spans="1:10">
      <c r="A795" s="32">
        <v>101</v>
      </c>
      <c r="B795" s="33">
        <v>5128</v>
      </c>
      <c r="C795" s="3">
        <v>2605000</v>
      </c>
      <c r="D795" s="3"/>
      <c r="E795" s="7">
        <f t="shared" si="44"/>
        <v>2605000</v>
      </c>
      <c r="F795" s="5">
        <v>45975</v>
      </c>
      <c r="G795" s="4">
        <v>20251113</v>
      </c>
      <c r="H795" s="38" t="str">
        <f>VLOOKUP(B795,CAJEROS!B:D,3,0)</f>
        <v>Multifuncional</v>
      </c>
      <c r="I795" s="34" t="s">
        <v>9</v>
      </c>
      <c r="J795" s="38" t="str">
        <f>VLOOKUP(B795,CAJEROS!B:E,4,0)</f>
        <v>MF_MULTDRIV</v>
      </c>
    </row>
    <row r="796" spans="1:10">
      <c r="A796" s="32">
        <v>477</v>
      </c>
      <c r="B796" s="33">
        <v>6251</v>
      </c>
      <c r="C796" s="3">
        <v>2342000</v>
      </c>
      <c r="D796" s="3"/>
      <c r="E796" s="7">
        <f t="shared" si="44"/>
        <v>2342000</v>
      </c>
      <c r="F796" s="5">
        <v>45975</v>
      </c>
      <c r="G796" s="4">
        <v>20251113</v>
      </c>
      <c r="H796" s="38" t="str">
        <f>VLOOKUP(B796,CAJEROS!B:D,3,0)</f>
        <v>Multifuncional</v>
      </c>
      <c r="I796" s="34" t="s">
        <v>9</v>
      </c>
      <c r="J796" s="38" t="str">
        <f>VLOOKUP(B796,CAJEROS!B:E,4,0)</f>
        <v>MF_GRANCENT</v>
      </c>
    </row>
    <row r="797" spans="1:10">
      <c r="A797" s="32">
        <v>61</v>
      </c>
      <c r="B797" s="33">
        <v>788</v>
      </c>
      <c r="C797" s="3">
        <v>2290000</v>
      </c>
      <c r="D797" s="3">
        <v>1676000</v>
      </c>
      <c r="E797" s="7">
        <f t="shared" si="44"/>
        <v>614000</v>
      </c>
      <c r="F797" s="5">
        <v>45975</v>
      </c>
      <c r="G797" s="4">
        <v>20251113</v>
      </c>
      <c r="H797" s="38" t="str">
        <f>VLOOKUP(B797,CAJEROS!B:D,3,0)</f>
        <v>Multifuncional</v>
      </c>
      <c r="I797" s="34" t="s">
        <v>9</v>
      </c>
      <c r="J797" s="38" t="str">
        <f>VLOOKUP(B797,CAJEROS!B:E,4,0)</f>
        <v>MFSUCLAEST1</v>
      </c>
    </row>
    <row r="798" spans="1:10">
      <c r="A798" s="32">
        <v>4</v>
      </c>
      <c r="B798" s="33">
        <v>8630</v>
      </c>
      <c r="C798" s="3">
        <v>2220100</v>
      </c>
      <c r="D798" s="3"/>
      <c r="E798" s="7">
        <f t="shared" si="44"/>
        <v>2220100</v>
      </c>
      <c r="F798" s="5">
        <v>45975</v>
      </c>
      <c r="G798" s="4">
        <v>20251113</v>
      </c>
      <c r="H798" s="38" t="str">
        <f>VLOOKUP(B798,CAJEROS!B:D,3,0)</f>
        <v>Multifuncional</v>
      </c>
      <c r="I798" s="34" t="s">
        <v>9</v>
      </c>
      <c r="J798" s="38" t="str">
        <f>VLOOKUP(B798,CAJEROS!B:E,4,0)</f>
        <v>MF_SUCLAUR1</v>
      </c>
    </row>
    <row r="799" spans="1:10">
      <c r="A799" s="32">
        <v>825</v>
      </c>
      <c r="B799" s="33">
        <v>5023</v>
      </c>
      <c r="C799" s="3">
        <v>2165100</v>
      </c>
      <c r="D799" s="3">
        <v>1230000</v>
      </c>
      <c r="E799" s="7">
        <f t="shared" si="44"/>
        <v>935100</v>
      </c>
      <c r="F799" s="5">
        <v>45975</v>
      </c>
      <c r="G799" s="4">
        <v>20251113</v>
      </c>
      <c r="H799" s="38" t="str">
        <f>VLOOKUP(B799,CAJEROS!B:D,3,0)</f>
        <v>Multifuncional</v>
      </c>
      <c r="I799" s="34" t="s">
        <v>9</v>
      </c>
      <c r="J799" s="38" t="str">
        <f>VLOOKUP(B799,CAJEROS!B:E,4,0)</f>
        <v>MF_ASTROCEN</v>
      </c>
    </row>
    <row r="800" spans="1:10">
      <c r="A800" s="32">
        <v>419</v>
      </c>
      <c r="B800" s="33">
        <v>5077</v>
      </c>
      <c r="C800" s="3">
        <v>2143700</v>
      </c>
      <c r="D800" s="3">
        <v>1680000</v>
      </c>
      <c r="E800" s="7">
        <f t="shared" si="44"/>
        <v>463700</v>
      </c>
      <c r="F800" s="5">
        <v>45975</v>
      </c>
      <c r="G800" s="4">
        <v>20251113</v>
      </c>
      <c r="H800" s="38" t="str">
        <f>VLOOKUP(B800,CAJEROS!B:D,3,0)</f>
        <v>Multifuncional</v>
      </c>
      <c r="I800" s="34" t="s">
        <v>9</v>
      </c>
      <c r="J800" s="38" t="str">
        <f>VLOOKUP(B800,CAJEROS!B:E,4,0)</f>
        <v>MF_CPUNIBOG</v>
      </c>
    </row>
    <row r="801" spans="1:10">
      <c r="A801" s="32">
        <v>915</v>
      </c>
      <c r="B801" s="33">
        <v>8313</v>
      </c>
      <c r="C801" s="3">
        <v>1985000</v>
      </c>
      <c r="D801" s="3">
        <v>1811600</v>
      </c>
      <c r="E801" s="7">
        <f t="shared" si="44"/>
        <v>173400</v>
      </c>
      <c r="F801" s="5">
        <v>45975</v>
      </c>
      <c r="G801" s="4">
        <v>20251113</v>
      </c>
      <c r="H801" s="38" t="str">
        <f>VLOOKUP(B801,CAJEROS!B:D,3,0)</f>
        <v>Multifuncional</v>
      </c>
      <c r="I801" s="34" t="s">
        <v>9</v>
      </c>
      <c r="J801" s="38" t="str">
        <f>VLOOKUP(B801,CAJEROS!B:E,4,0)</f>
        <v>MF_BANLABB1</v>
      </c>
    </row>
    <row r="802" spans="1:10">
      <c r="A802" s="32">
        <v>678</v>
      </c>
      <c r="B802" s="33">
        <v>5227</v>
      </c>
      <c r="C802" s="3">
        <v>1900600</v>
      </c>
      <c r="D802" s="3"/>
      <c r="E802" s="7">
        <f t="shared" si="44"/>
        <v>1900600</v>
      </c>
      <c r="F802" s="5">
        <v>45975</v>
      </c>
      <c r="G802" s="4">
        <v>20251113</v>
      </c>
      <c r="H802" s="38" t="str">
        <f>VLOOKUP(B802,CAJEROS!B:D,3,0)</f>
        <v>Multifuncional</v>
      </c>
      <c r="I802" s="34" t="s">
        <v>9</v>
      </c>
      <c r="J802" s="38" t="str">
        <f>VLOOKUP(B802,CAJEROS!B:E,4,0)</f>
        <v>MF_PASCASTE</v>
      </c>
    </row>
    <row r="803" spans="1:10">
      <c r="A803" s="32">
        <v>882</v>
      </c>
      <c r="B803" s="33">
        <v>5020</v>
      </c>
      <c r="C803" s="3">
        <v>1784500</v>
      </c>
      <c r="D803" s="3"/>
      <c r="E803" s="7">
        <f t="shared" si="44"/>
        <v>1784500</v>
      </c>
      <c r="F803" s="5">
        <v>45975</v>
      </c>
      <c r="G803" s="4">
        <v>20251113</v>
      </c>
      <c r="H803" s="38" t="str">
        <f>VLOOKUP(B803,CAJEROS!B:D,3,0)</f>
        <v>Multifuncional</v>
      </c>
      <c r="I803" s="34" t="s">
        <v>9</v>
      </c>
      <c r="J803" s="38" t="str">
        <f>VLOOKUP(B803,CAJEROS!B:E,4,0)</f>
        <v>MF_LIBERTAD</v>
      </c>
    </row>
    <row r="804" spans="1:10">
      <c r="A804" s="32">
        <v>302</v>
      </c>
      <c r="B804" s="33">
        <v>5170</v>
      </c>
      <c r="C804" s="3">
        <v>1550000</v>
      </c>
      <c r="D804" s="3">
        <v>1320000</v>
      </c>
      <c r="E804" s="7">
        <f t="shared" si="44"/>
        <v>230000</v>
      </c>
      <c r="F804" s="5">
        <v>45975</v>
      </c>
      <c r="G804" s="4">
        <v>20251113</v>
      </c>
      <c r="H804" s="38" t="str">
        <f>VLOOKUP(B804,CAJEROS!B:D,3,0)</f>
        <v>Multifuncional</v>
      </c>
      <c r="I804" s="34" t="s">
        <v>9</v>
      </c>
      <c r="J804" s="38" t="str">
        <f>VLOOKUP(B804,CAJEROS!B:E,4,0)</f>
        <v>MF_QUEBRASE</v>
      </c>
    </row>
    <row r="805" spans="1:10">
      <c r="A805" s="32">
        <v>609</v>
      </c>
      <c r="B805" s="33">
        <v>7888</v>
      </c>
      <c r="C805" s="3">
        <v>1530000</v>
      </c>
      <c r="D805" s="3"/>
      <c r="E805" s="7">
        <f t="shared" si="44"/>
        <v>1530000</v>
      </c>
      <c r="F805" s="5">
        <v>45975</v>
      </c>
      <c r="G805" s="4">
        <v>20251113</v>
      </c>
      <c r="H805" s="38" t="str">
        <f>VLOOKUP(B805,CAJEROS!B:D,3,0)</f>
        <v>Multifuncional</v>
      </c>
      <c r="I805" s="34" t="s">
        <v>9</v>
      </c>
      <c r="J805" s="38" t="str">
        <f>VLOOKUP(B805,CAJEROS!B:E,4,0)</f>
        <v>MFSUCABAST2</v>
      </c>
    </row>
    <row r="806" spans="1:10">
      <c r="A806" s="32">
        <v>718</v>
      </c>
      <c r="B806" s="33">
        <v>6248</v>
      </c>
      <c r="C806" s="3">
        <v>1200000</v>
      </c>
      <c r="D806" s="3"/>
      <c r="E806" s="7">
        <f t="shared" si="44"/>
        <v>1200000</v>
      </c>
      <c r="F806" s="5">
        <v>45975</v>
      </c>
      <c r="G806" s="4">
        <v>20251113</v>
      </c>
      <c r="H806" s="38" t="str">
        <f>VLOOKUP(B806,CAJEROS!B:D,3,0)</f>
        <v>Multifuncional</v>
      </c>
      <c r="I806" s="34" t="s">
        <v>9</v>
      </c>
      <c r="J806" s="38" t="str">
        <f>VLOOKUP(B806,CAJEROS!B:E,4,0)</f>
        <v>MF_LAESTACI</v>
      </c>
    </row>
    <row r="807" spans="1:10">
      <c r="A807" s="32">
        <v>806</v>
      </c>
      <c r="B807" s="33">
        <v>5156</v>
      </c>
      <c r="C807" s="3">
        <v>1130400</v>
      </c>
      <c r="D807" s="3"/>
      <c r="E807" s="7">
        <f t="shared" si="44"/>
        <v>1130400</v>
      </c>
      <c r="F807" s="5">
        <v>45975</v>
      </c>
      <c r="G807" s="4">
        <v>20251113</v>
      </c>
      <c r="H807" s="38" t="str">
        <f>VLOOKUP(B807,CAJEROS!B:D,3,0)</f>
        <v>Multifuncional</v>
      </c>
      <c r="I807" s="34" t="s">
        <v>9</v>
      </c>
      <c r="J807" s="38" t="str">
        <f>VLOOKUP(B807,CAJEROS!B:E,4,0)</f>
        <v>MF_ALZACIA</v>
      </c>
    </row>
    <row r="808" spans="1:10">
      <c r="A808" s="32">
        <v>795</v>
      </c>
      <c r="B808" s="33">
        <v>1029</v>
      </c>
      <c r="C808" s="3">
        <v>880000</v>
      </c>
      <c r="D808" s="3">
        <v>279000</v>
      </c>
      <c r="E808" s="7">
        <f t="shared" si="44"/>
        <v>601000</v>
      </c>
      <c r="F808" s="5">
        <v>45975</v>
      </c>
      <c r="G808" s="4">
        <v>20251113</v>
      </c>
      <c r="H808" s="38" t="str">
        <f>VLOOKUP(B808,CAJEROS!B:D,3,0)</f>
        <v>Multifuncional</v>
      </c>
      <c r="I808" s="34" t="s">
        <v>9</v>
      </c>
      <c r="J808" s="38" t="str">
        <f>VLOOKUP(B808,CAJEROS!B:E,4,0)</f>
        <v>MFSUCANVER3</v>
      </c>
    </row>
    <row r="809" spans="1:10">
      <c r="A809" s="32">
        <v>250</v>
      </c>
      <c r="B809" s="33">
        <v>5197</v>
      </c>
      <c r="C809" s="3">
        <v>829950</v>
      </c>
      <c r="D809" s="3">
        <v>590000</v>
      </c>
      <c r="E809" s="7">
        <f t="shared" si="44"/>
        <v>239950</v>
      </c>
      <c r="F809" s="5">
        <v>45975</v>
      </c>
      <c r="G809" s="4">
        <v>20251113</v>
      </c>
      <c r="H809" s="38" t="str">
        <f>VLOOKUP(B809,CAJEROS!B:D,3,0)</f>
        <v>Multifuncional</v>
      </c>
      <c r="I809" s="34" t="s">
        <v>9</v>
      </c>
      <c r="J809" s="38" t="str">
        <f>VLOOKUP(B809,CAJEROS!B:E,4,0)</f>
        <v>MF_MODELIA</v>
      </c>
    </row>
    <row r="810" spans="1:10">
      <c r="A810" s="32">
        <v>777</v>
      </c>
      <c r="B810" s="33">
        <v>5009</v>
      </c>
      <c r="C810" s="3">
        <v>670000</v>
      </c>
      <c r="D810" s="3"/>
      <c r="E810" s="7">
        <f t="shared" si="44"/>
        <v>670000</v>
      </c>
      <c r="F810" s="5">
        <v>45975</v>
      </c>
      <c r="G810" s="4">
        <v>20251113</v>
      </c>
      <c r="H810" s="38" t="str">
        <f>VLOOKUP(B810,CAJEROS!B:D,3,0)</f>
        <v>Multifuncional</v>
      </c>
      <c r="I810" s="34" t="s">
        <v>9</v>
      </c>
      <c r="J810" s="38" t="str">
        <f>VLOOKUP(B810,CAJEROS!B:E,4,0)</f>
        <v>MF_PWASHING</v>
      </c>
    </row>
    <row r="811" spans="1:10">
      <c r="A811" s="32">
        <v>395</v>
      </c>
      <c r="B811" s="33">
        <v>1528</v>
      </c>
      <c r="C811" s="3">
        <v>590000</v>
      </c>
      <c r="D811" s="3"/>
      <c r="E811" s="7">
        <f t="shared" si="44"/>
        <v>590000</v>
      </c>
      <c r="F811" s="5">
        <v>45975</v>
      </c>
      <c r="G811" s="4">
        <v>20251113</v>
      </c>
      <c r="H811" s="38" t="str">
        <f>VLOOKUP(B811,CAJEROS!B:D,3,0)</f>
        <v>Multifuncional</v>
      </c>
      <c r="I811" s="34" t="s">
        <v>9</v>
      </c>
      <c r="J811" s="38" t="str">
        <f>VLOOKUP(B811,CAJEROS!B:E,4,0)</f>
        <v>SUCMFVIVCI1</v>
      </c>
    </row>
    <row r="812" spans="1:10">
      <c r="A812" s="32">
        <v>516</v>
      </c>
      <c r="B812" s="33">
        <v>9729</v>
      </c>
      <c r="C812" s="3">
        <v>550000</v>
      </c>
      <c r="D812" s="3"/>
      <c r="E812" s="7">
        <f t="shared" si="44"/>
        <v>550000</v>
      </c>
      <c r="F812" s="5">
        <v>45975</v>
      </c>
      <c r="G812" s="4">
        <v>20251113</v>
      </c>
      <c r="H812" s="38" t="str">
        <f>VLOOKUP(B812,CAJEROS!B:D,3,0)</f>
        <v>Multifuncional</v>
      </c>
      <c r="I812" s="34" t="s">
        <v>9</v>
      </c>
      <c r="J812" s="38" t="str">
        <f>VLOOKUP(B812,CAJEROS!B:E,4,0)</f>
        <v>MF_SUCSTAM1</v>
      </c>
    </row>
    <row r="813" spans="1:10">
      <c r="A813" s="32">
        <v>571</v>
      </c>
      <c r="B813" s="33">
        <v>6150</v>
      </c>
      <c r="C813" s="3">
        <v>550000</v>
      </c>
      <c r="D813" s="3"/>
      <c r="E813" s="7">
        <f t="shared" si="44"/>
        <v>550000</v>
      </c>
      <c r="F813" s="5">
        <v>45975</v>
      </c>
      <c r="G813" s="4">
        <v>20251113</v>
      </c>
      <c r="H813" s="38" t="str">
        <f>VLOOKUP(B813,CAJEROS!B:D,3,0)</f>
        <v>Multifuncional</v>
      </c>
      <c r="I813" s="34" t="s">
        <v>9</v>
      </c>
      <c r="J813" s="38" t="str">
        <f>VLOOKUP(B813,CAJEROS!B:E,4,0)</f>
        <v>MF_PALATIN</v>
      </c>
    </row>
    <row r="814" spans="1:10">
      <c r="A814" s="32">
        <v>944</v>
      </c>
      <c r="B814" s="33">
        <v>2228</v>
      </c>
      <c r="C814" s="3">
        <v>500000</v>
      </c>
      <c r="D814" s="3"/>
      <c r="E814" s="7">
        <f t="shared" si="44"/>
        <v>500000</v>
      </c>
      <c r="F814" s="5">
        <v>45975</v>
      </c>
      <c r="G814" s="4">
        <v>20251113</v>
      </c>
      <c r="H814" s="38" t="str">
        <f>VLOOKUP(B814,CAJEROS!B:D,3,0)</f>
        <v>Multifuncional</v>
      </c>
      <c r="I814" s="34" t="s">
        <v>9</v>
      </c>
      <c r="J814" s="38" t="str">
        <f>VLOOKUP(B814,CAJEROS!B:E,4,0)</f>
        <v>MF_SANTABO3</v>
      </c>
    </row>
    <row r="815" spans="1:10">
      <c r="A815" s="32">
        <v>202</v>
      </c>
      <c r="B815" s="33">
        <v>6608</v>
      </c>
      <c r="C815" s="3">
        <v>339300</v>
      </c>
      <c r="D815" s="3"/>
      <c r="E815" s="7">
        <f t="shared" si="44"/>
        <v>339300</v>
      </c>
      <c r="F815" s="5">
        <v>45975</v>
      </c>
      <c r="G815" s="4">
        <v>20251113</v>
      </c>
      <c r="H815" s="38" t="str">
        <f>VLOOKUP(B815,CAJEROS!B:D,3,0)</f>
        <v>Multifuncional</v>
      </c>
      <c r="I815" s="34" t="s">
        <v>9</v>
      </c>
      <c r="J815" s="38" t="str">
        <f>VLOOKUP(B815,CAJEROS!B:E,4,0)</f>
        <v>MF_AVPEPESI</v>
      </c>
    </row>
    <row r="816" spans="1:10">
      <c r="A816" s="32">
        <v>91</v>
      </c>
      <c r="B816" s="33">
        <v>7943</v>
      </c>
      <c r="C816" s="3">
        <v>216000</v>
      </c>
      <c r="D816" s="3"/>
      <c r="E816" s="7">
        <f t="shared" si="44"/>
        <v>216000</v>
      </c>
      <c r="F816" s="5">
        <v>45975</v>
      </c>
      <c r="G816" s="4">
        <v>20251113</v>
      </c>
      <c r="H816" s="38" t="str">
        <f>VLOOKUP(B816,CAJEROS!B:D,3,0)</f>
        <v>Multifuncional</v>
      </c>
      <c r="I816" s="34" t="s">
        <v>9</v>
      </c>
      <c r="J816" s="38" t="str">
        <f>VLOOKUP(B816,CAJEROS!B:E,4,0)</f>
        <v>MF_MONTERI2</v>
      </c>
    </row>
    <row r="817" spans="1:10">
      <c r="A817" s="32">
        <v>625</v>
      </c>
      <c r="B817" s="33">
        <v>6096</v>
      </c>
      <c r="C817" s="3">
        <v>200000</v>
      </c>
      <c r="D817" s="3"/>
      <c r="E817" s="7">
        <f t="shared" si="44"/>
        <v>200000</v>
      </c>
      <c r="F817" s="5">
        <v>45975</v>
      </c>
      <c r="G817" s="4">
        <v>20251113</v>
      </c>
      <c r="H817" s="38" t="str">
        <f>VLOOKUP(B817,CAJEROS!B:D,3,0)</f>
        <v>Multifuncional</v>
      </c>
      <c r="I817" s="34" t="s">
        <v>9</v>
      </c>
      <c r="J817" s="38" t="str">
        <f>VLOOKUP(B817,CAJEROS!B:E,4,0)</f>
        <v>MF_BTRISTE</v>
      </c>
    </row>
    <row r="818" spans="1:10">
      <c r="A818" s="32">
        <v>317</v>
      </c>
      <c r="B818" s="33">
        <v>6613</v>
      </c>
      <c r="C818" s="3">
        <v>154000</v>
      </c>
      <c r="D818" s="3"/>
      <c r="E818" s="7">
        <f t="shared" si="44"/>
        <v>154000</v>
      </c>
      <c r="F818" s="5">
        <v>45975</v>
      </c>
      <c r="G818" s="4">
        <v>20251113</v>
      </c>
      <c r="H818" s="38" t="str">
        <f>VLOOKUP(B818,CAJEROS!B:D,3,0)</f>
        <v>Multifuncional</v>
      </c>
      <c r="I818" s="34" t="s">
        <v>9</v>
      </c>
      <c r="J818" s="38" t="str">
        <f>VLOOKUP(B818,CAJEROS!B:E,4,0)</f>
        <v>MF_ARAUCA</v>
      </c>
    </row>
    <row r="819" spans="1:10">
      <c r="A819" s="32">
        <v>123</v>
      </c>
      <c r="B819" s="33">
        <v>7134</v>
      </c>
      <c r="C819" s="3">
        <v>148000</v>
      </c>
      <c r="D819" s="3"/>
      <c r="E819" s="7">
        <f t="shared" si="44"/>
        <v>148000</v>
      </c>
      <c r="F819" s="5">
        <v>45975</v>
      </c>
      <c r="G819" s="4">
        <v>20251113</v>
      </c>
      <c r="H819" s="38" t="str">
        <f>VLOOKUP(B819,CAJEROS!B:D,3,0)</f>
        <v>Multifuncional</v>
      </c>
      <c r="I819" s="34" t="s">
        <v>9</v>
      </c>
      <c r="J819" s="38" t="str">
        <f>VLOOKUP(B819,CAJEROS!B:E,4,0)</f>
        <v>MF_CPRIONE2</v>
      </c>
    </row>
    <row r="820" spans="1:10">
      <c r="A820" s="32">
        <v>115</v>
      </c>
      <c r="B820" s="33">
        <v>5080</v>
      </c>
      <c r="C820" s="3">
        <v>120000</v>
      </c>
      <c r="D820" s="3"/>
      <c r="E820" s="7">
        <f t="shared" si="44"/>
        <v>120000</v>
      </c>
      <c r="F820" s="5">
        <v>45975</v>
      </c>
      <c r="G820" s="4">
        <v>20251113</v>
      </c>
      <c r="H820" s="38" t="str">
        <f>VLOOKUP(B820,CAJEROS!B:D,3,0)</f>
        <v>Multifuncional</v>
      </c>
      <c r="I820" s="34" t="s">
        <v>9</v>
      </c>
      <c r="J820" s="38" t="str">
        <f>VLOOKUP(B820,CAJEROS!B:E,4,0)</f>
        <v>MF_CIPEREIR</v>
      </c>
    </row>
    <row r="821" spans="1:10">
      <c r="A821" s="32">
        <v>609</v>
      </c>
      <c r="B821" s="33">
        <v>7875</v>
      </c>
      <c r="C821" s="3">
        <v>120000</v>
      </c>
      <c r="D821" s="3"/>
      <c r="E821" s="7">
        <f t="shared" si="44"/>
        <v>120000</v>
      </c>
      <c r="F821" s="5">
        <v>45975</v>
      </c>
      <c r="G821" s="4">
        <v>20251113</v>
      </c>
      <c r="H821" s="38" t="str">
        <f>VLOOKUP(B821,CAJEROS!B:D,3,0)</f>
        <v>Multifuncional</v>
      </c>
      <c r="I821" s="34" t="s">
        <v>9</v>
      </c>
      <c r="J821" s="38" t="str">
        <f>VLOOKUP(B821,CAJEROS!B:E,4,0)</f>
        <v>MFSUCABAST1</v>
      </c>
    </row>
    <row r="822" spans="1:10">
      <c r="A822" s="32">
        <v>166</v>
      </c>
      <c r="B822" s="33">
        <v>7939</v>
      </c>
      <c r="C822" s="3">
        <v>100000</v>
      </c>
      <c r="D822" s="3"/>
      <c r="E822" s="7">
        <f t="shared" si="44"/>
        <v>100000</v>
      </c>
      <c r="F822" s="5">
        <v>45975</v>
      </c>
      <c r="G822" s="4">
        <v>20251113</v>
      </c>
      <c r="H822" s="38" t="str">
        <f>VLOOKUP(B822,CAJEROS!B:D,3,0)</f>
        <v>Multifuncional</v>
      </c>
      <c r="I822" s="34" t="s">
        <v>9</v>
      </c>
      <c r="J822" s="38" t="str">
        <f>VLOOKUP(B822,CAJEROS!B:E,4,0)</f>
        <v>MF_ALDELSI1</v>
      </c>
    </row>
    <row r="823" spans="1:10">
      <c r="A823" s="32">
        <v>762</v>
      </c>
      <c r="B823" s="33">
        <v>5181</v>
      </c>
      <c r="C823" s="3">
        <v>90000</v>
      </c>
      <c r="D823" s="3"/>
      <c r="E823" s="7">
        <f t="shared" si="44"/>
        <v>90000</v>
      </c>
      <c r="F823" s="5">
        <v>45975</v>
      </c>
      <c r="G823" s="4">
        <v>20251113</v>
      </c>
      <c r="H823" s="38" t="str">
        <f>VLOOKUP(B823,CAJEROS!B:D,3,0)</f>
        <v>Multifuncional</v>
      </c>
      <c r="I823" s="34" t="s">
        <v>9</v>
      </c>
      <c r="J823" s="38" t="str">
        <f>VLOOKUP(B823,CAJEROS!B:E,4,0)</f>
        <v>MF_HERRADU1</v>
      </c>
    </row>
    <row r="824" spans="1:10">
      <c r="A824" s="32">
        <v>388</v>
      </c>
      <c r="B824" s="33">
        <v>5169</v>
      </c>
      <c r="C824" s="3">
        <v>30000</v>
      </c>
      <c r="D824" s="3"/>
      <c r="E824" s="7">
        <f t="shared" si="44"/>
        <v>30000</v>
      </c>
      <c r="F824" s="5">
        <v>45975</v>
      </c>
      <c r="G824" s="4">
        <v>20251113</v>
      </c>
      <c r="H824" s="38" t="str">
        <f>VLOOKUP(B824,CAJEROS!B:D,3,0)</f>
        <v>Multifuncional</v>
      </c>
      <c r="I824" s="34" t="s">
        <v>9</v>
      </c>
      <c r="J824" s="38" t="str">
        <f>VLOOKUP(B824,CAJEROS!B:E,4,0)</f>
        <v>MF_SUCHAYU1</v>
      </c>
    </row>
    <row r="825" spans="1:10">
      <c r="A825" s="32">
        <v>383</v>
      </c>
      <c r="B825" s="33">
        <v>5194</v>
      </c>
      <c r="C825" s="3">
        <v>25000</v>
      </c>
      <c r="D825" s="3">
        <v>20000</v>
      </c>
      <c r="E825" s="7">
        <f t="shared" si="44"/>
        <v>5000</v>
      </c>
      <c r="F825" s="5">
        <v>45975</v>
      </c>
      <c r="G825" s="4">
        <v>20251113</v>
      </c>
      <c r="H825" s="38" t="str">
        <f>VLOOKUP(B825,CAJEROS!B:D,3,0)</f>
        <v>Multifuncional</v>
      </c>
      <c r="I825" s="34" t="s">
        <v>9</v>
      </c>
      <c r="J825" s="38" t="str">
        <f>VLOOKUP(B825,CAJEROS!B:E,4,0)</f>
        <v>MF_MADRID</v>
      </c>
    </row>
    <row r="826" spans="1:10">
      <c r="A826" s="32">
        <v>623</v>
      </c>
      <c r="B826" s="33">
        <v>7375</v>
      </c>
      <c r="C826" s="3">
        <v>15000</v>
      </c>
      <c r="D826" s="3"/>
      <c r="E826" s="7">
        <f t="shared" ref="E826" si="45">+C826-D826</f>
        <v>15000</v>
      </c>
      <c r="F826" s="5">
        <v>45975</v>
      </c>
      <c r="G826" s="4">
        <v>20251113</v>
      </c>
      <c r="H826" s="38" t="str">
        <f>VLOOKUP(B826,CAJEROS!B:D,3,0)</f>
        <v>Multifuncional</v>
      </c>
      <c r="I826" s="34" t="s">
        <v>10</v>
      </c>
      <c r="J826" s="38" t="str">
        <f>VLOOKUP(B826,CAJEROS!B:E,4,0)</f>
        <v>MF_FUNDMAN2</v>
      </c>
    </row>
    <row r="827" spans="1:10">
      <c r="A827" s="32">
        <v>264</v>
      </c>
      <c r="B827" s="33">
        <v>9903</v>
      </c>
      <c r="C827" s="3">
        <v>20000</v>
      </c>
      <c r="D827" s="3"/>
      <c r="E827" s="7">
        <f t="shared" ref="E827:E833" si="46">+C827-D827</f>
        <v>20000</v>
      </c>
      <c r="F827" s="5">
        <v>45975</v>
      </c>
      <c r="G827" s="4">
        <v>20251113</v>
      </c>
      <c r="H827" s="38" t="str">
        <f>VLOOKUP(B827,CAJEROS!B:D,3,0)</f>
        <v>Dispensador</v>
      </c>
      <c r="I827" s="34" t="s">
        <v>10</v>
      </c>
      <c r="J827" s="38" t="str">
        <f>VLOOKUP(B827,CAJEROS!B:E,4,0)</f>
        <v>SUCFUSAGAS1</v>
      </c>
    </row>
    <row r="828" spans="1:10">
      <c r="A828" s="32">
        <v>372</v>
      </c>
      <c r="B828" s="33">
        <v>7917</v>
      </c>
      <c r="C828" s="3">
        <v>20000</v>
      </c>
      <c r="D828" s="3"/>
      <c r="E828" s="7">
        <f t="shared" si="46"/>
        <v>20000</v>
      </c>
      <c r="F828" s="5">
        <v>45975</v>
      </c>
      <c r="G828" s="4">
        <v>20251113</v>
      </c>
      <c r="H828" s="38" t="str">
        <f>VLOOKUP(B828,CAJEROS!B:D,3,0)</f>
        <v>Dispensador</v>
      </c>
      <c r="I828" s="34" t="s">
        <v>10</v>
      </c>
      <c r="J828" s="38" t="str">
        <f>VLOOKUP(B828,CAJEROS!B:E,4,0)</f>
        <v>SUCFACATA_3</v>
      </c>
    </row>
    <row r="829" spans="1:10">
      <c r="A829" s="32">
        <v>332</v>
      </c>
      <c r="B829" s="33">
        <v>7569</v>
      </c>
      <c r="C829" s="3">
        <v>10000</v>
      </c>
      <c r="D829" s="3"/>
      <c r="E829" s="7">
        <f t="shared" si="46"/>
        <v>10000</v>
      </c>
      <c r="F829" s="5">
        <v>45975</v>
      </c>
      <c r="G829" s="4">
        <v>20251113</v>
      </c>
      <c r="H829" s="38" t="str">
        <f>VLOOKUP(B829,CAJEROS!B:D,3,0)</f>
        <v>Multifuncional</v>
      </c>
      <c r="I829" s="34" t="s">
        <v>10</v>
      </c>
      <c r="J829" s="38" t="str">
        <f>VLOOKUP(B829,CAJEROS!B:E,4,0)</f>
        <v>MF_ZIPAQUI2</v>
      </c>
    </row>
    <row r="830" spans="1:10">
      <c r="A830" s="32">
        <v>584</v>
      </c>
      <c r="B830" s="33">
        <v>5570</v>
      </c>
      <c r="C830" s="3">
        <v>10000</v>
      </c>
      <c r="D830" s="3"/>
      <c r="E830" s="7">
        <f t="shared" si="46"/>
        <v>10000</v>
      </c>
      <c r="F830" s="5">
        <v>45975</v>
      </c>
      <c r="G830" s="4">
        <v>20251113</v>
      </c>
      <c r="H830" s="38" t="str">
        <f>VLOOKUP(B830,CAJEROS!B:D,3,0)</f>
        <v>Dispensador</v>
      </c>
      <c r="I830" s="34" t="s">
        <v>10</v>
      </c>
      <c r="J830" s="38" t="str">
        <f>VLOOKUP(B830,CAJEROS!B:E,4,0)</f>
        <v>HALLCHIGOR1</v>
      </c>
    </row>
    <row r="831" spans="1:10">
      <c r="A831" s="32">
        <v>451</v>
      </c>
      <c r="B831" s="33">
        <v>4967</v>
      </c>
      <c r="C831" s="3">
        <v>10000</v>
      </c>
      <c r="D831" s="3">
        <v>10000</v>
      </c>
      <c r="E831" s="7">
        <f t="shared" si="46"/>
        <v>0</v>
      </c>
      <c r="F831" s="5">
        <v>45975</v>
      </c>
      <c r="G831" s="4">
        <v>20251113</v>
      </c>
      <c r="H831" s="38" t="str">
        <f>VLOOKUP(B831,CAJEROS!B:D,3,0)</f>
        <v>Dispensador</v>
      </c>
      <c r="I831" s="34" t="s">
        <v>10</v>
      </c>
      <c r="J831" s="38" t="str">
        <f>VLOOKUP(B831,CAJEROS!B:E,4,0)</f>
        <v>SUCPTOASIS2</v>
      </c>
    </row>
    <row r="832" spans="1:10">
      <c r="A832" s="32">
        <v>60</v>
      </c>
      <c r="B832" s="33">
        <v>8727</v>
      </c>
      <c r="C832" s="3">
        <v>5000</v>
      </c>
      <c r="D832" s="3"/>
      <c r="E832" s="7">
        <f t="shared" si="46"/>
        <v>5000</v>
      </c>
      <c r="F832" s="5">
        <v>45975</v>
      </c>
      <c r="G832" s="4">
        <v>20251113</v>
      </c>
      <c r="H832" s="38" t="str">
        <f>VLOOKUP(B832,CAJEROS!B:D,3,0)</f>
        <v>Multifuncional</v>
      </c>
      <c r="I832" s="34" t="s">
        <v>10</v>
      </c>
      <c r="J832" s="38" t="str">
        <f>VLOOKUP(B832,CAJEROS!B:E,4,0)</f>
        <v>MF_HCALIPR1</v>
      </c>
    </row>
    <row r="833" spans="1:10">
      <c r="A833" s="32">
        <v>325</v>
      </c>
      <c r="B833" s="33">
        <v>5575</v>
      </c>
      <c r="C833" s="3">
        <v>200000</v>
      </c>
      <c r="D833" s="3"/>
      <c r="E833" s="7">
        <f t="shared" si="46"/>
        <v>200000</v>
      </c>
      <c r="F833" s="5">
        <v>45974</v>
      </c>
      <c r="G833" s="4">
        <v>20251105</v>
      </c>
      <c r="H833" s="38" t="str">
        <f>VLOOKUP(B833,CAJEROS!B:D,3,0)</f>
        <v>Dispensador</v>
      </c>
      <c r="I833" s="34" t="s">
        <v>13</v>
      </c>
      <c r="J833" s="38" t="str">
        <f>VLOOKUP(B833,CAJEROS!B:E,4,0)</f>
        <v>SANTUARI2</v>
      </c>
    </row>
    <row r="834" spans="1:10">
      <c r="A834" s="32">
        <v>236</v>
      </c>
      <c r="B834" s="33">
        <v>6242</v>
      </c>
      <c r="C834" s="3">
        <v>50000</v>
      </c>
      <c r="D834" s="3"/>
      <c r="E834" s="7">
        <f t="shared" si="38"/>
        <v>50000</v>
      </c>
      <c r="F834" s="5">
        <v>45974</v>
      </c>
      <c r="G834" s="4">
        <v>20251105</v>
      </c>
      <c r="H834" s="38" t="str">
        <f>VLOOKUP(B834,CAJEROS!B:D,3,0)</f>
        <v>Multifuncional</v>
      </c>
      <c r="I834" s="34" t="s">
        <v>13</v>
      </c>
      <c r="J834" s="38" t="str">
        <f>VLOOKUP(B834,CAJEROS!B:E,4,0)</f>
        <v>MF_EXITCOLO</v>
      </c>
    </row>
    <row r="835" spans="1:10">
      <c r="A835" s="32">
        <v>455</v>
      </c>
      <c r="B835" s="33">
        <v>5206</v>
      </c>
      <c r="C835" s="3">
        <v>23500</v>
      </c>
      <c r="D835" s="3"/>
      <c r="E835" s="7">
        <f t="shared" si="38"/>
        <v>23500</v>
      </c>
      <c r="F835" s="5">
        <v>45974</v>
      </c>
      <c r="G835" s="4">
        <v>20251113</v>
      </c>
      <c r="H835" s="38" t="str">
        <f>VLOOKUP(B835,CAJEROS!B:D,3,0)</f>
        <v>Multifuncional</v>
      </c>
      <c r="I835" s="34" t="s">
        <v>12</v>
      </c>
      <c r="J835" s="38" t="str">
        <f>VLOOKUP(B835,CAJEROS!B:E,4,0)</f>
        <v>MF_CEIBAS1</v>
      </c>
    </row>
    <row r="836" spans="1:10">
      <c r="A836" s="32">
        <v>15</v>
      </c>
      <c r="B836" s="33">
        <v>8572</v>
      </c>
      <c r="C836" s="3">
        <v>30000</v>
      </c>
      <c r="D836" s="3"/>
      <c r="E836" s="7">
        <f t="shared" si="38"/>
        <v>30000</v>
      </c>
      <c r="F836" s="5">
        <v>45974</v>
      </c>
      <c r="G836" s="4">
        <v>20251113</v>
      </c>
      <c r="H836" s="38" t="str">
        <f>VLOOKUP(B836,CAJEROS!B:D,3,0)</f>
        <v>Dispensador</v>
      </c>
      <c r="I836" s="34"/>
      <c r="J836" s="38" t="str">
        <f>VLOOKUP(B836,CAJEROS!B:E,4,0)</f>
        <v>HALLITAGUI2</v>
      </c>
    </row>
    <row r="837" spans="1:10">
      <c r="A837" s="32">
        <v>287</v>
      </c>
      <c r="B837" s="33">
        <v>906</v>
      </c>
      <c r="C837" s="3">
        <v>500000</v>
      </c>
      <c r="D837" s="3"/>
      <c r="E837" s="7">
        <f t="shared" si="38"/>
        <v>500000</v>
      </c>
      <c r="F837" s="5">
        <v>45974</v>
      </c>
      <c r="G837" s="4">
        <v>20251113</v>
      </c>
      <c r="H837" s="38" t="str">
        <f>VLOOKUP(B837,CAJEROS!B:D,3,0)</f>
        <v>Dispensador</v>
      </c>
      <c r="I837" s="34"/>
      <c r="J837" s="38" t="str">
        <f>VLOOKUP(B837,CAJEROS!B:E,4,0)</f>
        <v>ABASTOBGA_2</v>
      </c>
    </row>
    <row r="838" spans="1:10">
      <c r="A838" s="32">
        <v>389</v>
      </c>
      <c r="B838" s="33">
        <v>4690</v>
      </c>
      <c r="C838" s="3">
        <v>50000</v>
      </c>
      <c r="D838" s="3"/>
      <c r="E838" s="7">
        <f t="shared" si="38"/>
        <v>50000</v>
      </c>
      <c r="F838" s="5">
        <v>45974</v>
      </c>
      <c r="G838" s="4">
        <v>20251113</v>
      </c>
      <c r="H838" s="38" t="str">
        <f>VLOOKUP(B838,CAJEROS!B:D,3,0)</f>
        <v>Dispensador</v>
      </c>
      <c r="I838" s="34"/>
      <c r="J838" s="38" t="str">
        <f>VLOOKUP(B838,CAJEROS!B:E,4,0)</f>
        <v>SUC_MARIQ4</v>
      </c>
    </row>
    <row r="839" spans="1:10">
      <c r="A839" s="32">
        <v>664</v>
      </c>
      <c r="B839" s="33">
        <v>5191</v>
      </c>
      <c r="C839" s="3">
        <v>500000</v>
      </c>
      <c r="D839" s="3"/>
      <c r="E839" s="7">
        <f t="shared" si="38"/>
        <v>500000</v>
      </c>
      <c r="F839" s="5">
        <v>45974</v>
      </c>
      <c r="G839" s="4">
        <v>20251113</v>
      </c>
      <c r="H839" s="38" t="str">
        <f>VLOOKUP(B839,CAJEROS!B:D,3,0)</f>
        <v>Multifuncional</v>
      </c>
      <c r="I839" s="34"/>
      <c r="J839" s="38" t="str">
        <f>VLOOKUP(B839,CAJEROS!B:E,4,0)</f>
        <v>MF_CORABAST</v>
      </c>
    </row>
    <row r="840" spans="1:10">
      <c r="A840" s="32">
        <v>743</v>
      </c>
      <c r="B840" s="33">
        <v>5106</v>
      </c>
      <c r="C840" s="3">
        <v>18720000</v>
      </c>
      <c r="D840" s="3"/>
      <c r="E840" s="7">
        <f t="shared" si="38"/>
        <v>18720000</v>
      </c>
      <c r="F840" s="5">
        <v>45974</v>
      </c>
      <c r="G840" s="4">
        <v>20251113</v>
      </c>
      <c r="H840" s="38" t="str">
        <f>VLOOKUP(B840,CAJEROS!B:D,3,0)</f>
        <v>Multifuncional</v>
      </c>
      <c r="I840" s="34" t="s">
        <v>14</v>
      </c>
      <c r="J840" s="38" t="str">
        <f>VLOOKUP(B840,CAJEROS!B:E,4,0)</f>
        <v>MF_NORTHPOI</v>
      </c>
    </row>
    <row r="841" spans="1:10">
      <c r="A841" s="32">
        <v>843</v>
      </c>
      <c r="B841" s="33">
        <v>6716</v>
      </c>
      <c r="C841" s="3">
        <v>1000000</v>
      </c>
      <c r="D841" s="3"/>
      <c r="E841" s="7">
        <f t="shared" si="38"/>
        <v>1000000</v>
      </c>
      <c r="F841" s="5">
        <v>45974</v>
      </c>
      <c r="G841" s="4">
        <v>20251113</v>
      </c>
      <c r="H841" s="38" t="str">
        <f>VLOOKUP(B841,CAJEROS!B:D,3,0)</f>
        <v>Multifuncional</v>
      </c>
      <c r="I841" s="34"/>
      <c r="J841" s="38" t="str">
        <f>VLOOKUP(B841,CAJEROS!B:E,4,0)</f>
        <v>MF_CPBUENAV</v>
      </c>
    </row>
    <row r="842" spans="1:10">
      <c r="A842" s="32">
        <v>864</v>
      </c>
      <c r="B842" s="33">
        <v>5795</v>
      </c>
      <c r="C842" s="3">
        <v>340000</v>
      </c>
      <c r="D842" s="3"/>
      <c r="E842" s="7">
        <f t="shared" si="38"/>
        <v>340000</v>
      </c>
      <c r="F842" s="5">
        <v>45979</v>
      </c>
      <c r="G842" s="4">
        <v>20251118</v>
      </c>
      <c r="H842" s="38" t="str">
        <f>VLOOKUP(B842,CAJEROS!B:D,3,0)</f>
        <v>Dispensador</v>
      </c>
      <c r="I842" s="34" t="s">
        <v>15</v>
      </c>
      <c r="J842" s="38" t="str">
        <f>VLOOKUP(B842,CAJEROS!B:E,4,0)</f>
        <v>SUC_PRADER1</v>
      </c>
    </row>
    <row r="843" spans="1:10">
      <c r="A843" s="32">
        <v>360</v>
      </c>
      <c r="B843" s="33">
        <v>2855</v>
      </c>
      <c r="C843" s="3">
        <v>200000</v>
      </c>
      <c r="D843" s="3"/>
      <c r="E843" s="7">
        <f t="shared" si="38"/>
        <v>200000</v>
      </c>
      <c r="F843" s="5">
        <v>45979</v>
      </c>
      <c r="G843" s="4">
        <v>20251118</v>
      </c>
      <c r="H843" s="38" t="str">
        <f>VLOOKUP(B843,CAJEROS!B:D,3,0)</f>
        <v>Dispensador</v>
      </c>
      <c r="I843" s="34" t="s">
        <v>15</v>
      </c>
      <c r="J843" s="38" t="str">
        <f>VLOOKUP(B843,CAJEROS!B:E,4,0)</f>
        <v>_ESTADIO_1_</v>
      </c>
    </row>
    <row r="844" spans="1:10">
      <c r="A844" s="32">
        <v>724</v>
      </c>
      <c r="B844" s="33">
        <v>4004</v>
      </c>
      <c r="C844" s="3">
        <v>300000</v>
      </c>
      <c r="D844" s="3"/>
      <c r="E844" s="7">
        <f t="shared" si="38"/>
        <v>300000</v>
      </c>
      <c r="F844" s="5">
        <v>45979</v>
      </c>
      <c r="G844" s="4">
        <v>20251118</v>
      </c>
      <c r="H844" s="38" t="str">
        <f>VLOOKUP(B844,CAJEROS!B:D,3,0)</f>
        <v>Dispensador</v>
      </c>
      <c r="I844" s="34" t="s">
        <v>15</v>
      </c>
      <c r="J844" s="38" t="str">
        <f>VLOOKUP(B844,CAJEROS!B:E,4,0)</f>
        <v>SUC_FONSEC1</v>
      </c>
    </row>
    <row r="845" spans="1:10">
      <c r="A845" s="32">
        <v>864</v>
      </c>
      <c r="B845" s="33">
        <v>5377</v>
      </c>
      <c r="C845" s="3">
        <v>210000</v>
      </c>
      <c r="D845" s="3"/>
      <c r="E845" s="7">
        <f t="shared" si="38"/>
        <v>210000</v>
      </c>
      <c r="F845" s="5">
        <v>45979</v>
      </c>
      <c r="G845" s="4">
        <v>20251118</v>
      </c>
      <c r="H845" s="38" t="str">
        <f>VLOOKUP(B845,CAJEROS!B:D,3,0)</f>
        <v>Dispensador</v>
      </c>
      <c r="I845" s="34" t="s">
        <v>15</v>
      </c>
      <c r="J845" s="38" t="str">
        <f>VLOOKUP(B845,CAJEROS!B:E,4,0)</f>
        <v>SUC_PRADER3</v>
      </c>
    </row>
    <row r="846" spans="1:10">
      <c r="A846" s="32">
        <v>520</v>
      </c>
      <c r="B846" s="33">
        <v>4470</v>
      </c>
      <c r="C846" s="3">
        <v>10000</v>
      </c>
      <c r="D846" s="3"/>
      <c r="E846" s="7">
        <f t="shared" si="38"/>
        <v>10000</v>
      </c>
      <c r="F846" s="5">
        <v>45979</v>
      </c>
      <c r="G846" s="4">
        <v>20251114</v>
      </c>
      <c r="H846" s="38" t="str">
        <f>VLOOKUP(B846,CAJEROS!B:D,3,0)</f>
        <v>Dispensador</v>
      </c>
      <c r="I846" s="34"/>
      <c r="J846" s="38" t="str">
        <f>VLOOKUP(B846,CAJEROS!B:E,4,0)</f>
        <v>SUC_AMAGA1</v>
      </c>
    </row>
    <row r="847" spans="1:10">
      <c r="A847" s="32">
        <v>1</v>
      </c>
      <c r="B847" s="33">
        <v>4959</v>
      </c>
      <c r="C847" s="3">
        <v>900000</v>
      </c>
      <c r="D847" s="3"/>
      <c r="E847" s="7">
        <f t="shared" si="38"/>
        <v>900000</v>
      </c>
      <c r="F847" s="5">
        <v>45979</v>
      </c>
      <c r="G847" s="4">
        <v>20251114</v>
      </c>
      <c r="H847" s="38" t="str">
        <f>VLOOKUP(B847,CAJEROS!B:D,3,0)</f>
        <v>Dispensador</v>
      </c>
      <c r="I847" s="34"/>
      <c r="J847" s="38" t="str">
        <f>VLOOKUP(B847,CAJEROS!B:E,4,0)</f>
        <v>SUC_CARABO2</v>
      </c>
    </row>
    <row r="848" spans="1:10">
      <c r="A848" s="32">
        <v>57</v>
      </c>
      <c r="B848" s="33">
        <v>9950</v>
      </c>
      <c r="C848" s="3">
        <v>14910000</v>
      </c>
      <c r="D848" s="3"/>
      <c r="E848" s="7">
        <f t="shared" si="38"/>
        <v>14910000</v>
      </c>
      <c r="F848" s="5">
        <v>45979</v>
      </c>
      <c r="G848" s="4">
        <v>20251114</v>
      </c>
      <c r="H848" s="38" t="str">
        <f>VLOOKUP(B848,CAJEROS!B:D,3,0)</f>
        <v>Dispensador</v>
      </c>
      <c r="I848" s="34"/>
      <c r="J848" s="38" t="str">
        <f>VLOOKUP(B848,CAJEROS!B:E,4,0)</f>
        <v>SUC_VILLAO5</v>
      </c>
    </row>
    <row r="849" spans="1:10">
      <c r="A849" s="32">
        <v>38</v>
      </c>
      <c r="B849" s="33">
        <v>6553</v>
      </c>
      <c r="C849" s="3">
        <v>400000</v>
      </c>
      <c r="D849" s="3"/>
      <c r="E849" s="7">
        <f t="shared" si="38"/>
        <v>400000</v>
      </c>
      <c r="F849" s="5">
        <v>45979</v>
      </c>
      <c r="G849" s="4">
        <v>20251117</v>
      </c>
      <c r="H849" s="38" t="str">
        <f>VLOOKUP(B849,CAJEROS!B:D,3,0)</f>
        <v>Dispensador</v>
      </c>
      <c r="I849" s="34" t="s">
        <v>9</v>
      </c>
      <c r="J849" s="38" t="str">
        <f>VLOOKUP(B849,CAJEROS!B:E,4,0)</f>
        <v>PAIPA1</v>
      </c>
    </row>
    <row r="850" spans="1:10">
      <c r="A850" s="32">
        <v>38</v>
      </c>
      <c r="B850" s="33">
        <v>6554</v>
      </c>
      <c r="C850" s="3">
        <v>1000000</v>
      </c>
      <c r="D850" s="3"/>
      <c r="E850" s="7">
        <f t="shared" si="38"/>
        <v>1000000</v>
      </c>
      <c r="F850" s="5">
        <v>45979</v>
      </c>
      <c r="G850" s="4">
        <v>20251117</v>
      </c>
      <c r="H850" s="38" t="str">
        <f>VLOOKUP(B850,CAJEROS!B:D,3,0)</f>
        <v>Dispensador</v>
      </c>
      <c r="I850" s="34" t="s">
        <v>9</v>
      </c>
      <c r="J850" s="38" t="str">
        <f>VLOOKUP(B850,CAJEROS!B:E,4,0)</f>
        <v>PAIPA2</v>
      </c>
    </row>
    <row r="851" spans="1:10">
      <c r="A851" s="32">
        <v>60</v>
      </c>
      <c r="B851" s="33">
        <v>8721</v>
      </c>
      <c r="C851" s="3">
        <v>100000</v>
      </c>
      <c r="D851" s="3">
        <v>50000</v>
      </c>
      <c r="E851" s="7">
        <f t="shared" si="38"/>
        <v>50000</v>
      </c>
      <c r="F851" s="5">
        <v>45979</v>
      </c>
      <c r="G851" s="4">
        <v>20251117</v>
      </c>
      <c r="H851" s="38" t="str">
        <f>VLOOKUP(B851,CAJEROS!B:D,3,0)</f>
        <v>Dispensador</v>
      </c>
      <c r="I851" s="34" t="s">
        <v>9</v>
      </c>
      <c r="J851" s="38" t="str">
        <f>VLOOKUP(B851,CAJEROS!B:E,4,0)</f>
        <v>HALLCALIPR3</v>
      </c>
    </row>
    <row r="852" spans="1:10">
      <c r="A852" s="32">
        <v>60</v>
      </c>
      <c r="B852" s="33">
        <v>8722</v>
      </c>
      <c r="C852" s="3">
        <v>1100000</v>
      </c>
      <c r="D852" s="3"/>
      <c r="E852" s="7">
        <f t="shared" si="38"/>
        <v>1100000</v>
      </c>
      <c r="F852" s="5">
        <v>45979</v>
      </c>
      <c r="G852" s="4">
        <v>20251117</v>
      </c>
      <c r="H852" s="38" t="str">
        <f>VLOOKUP(B852,CAJEROS!B:D,3,0)</f>
        <v>Dispensador</v>
      </c>
      <c r="I852" s="34" t="s">
        <v>9</v>
      </c>
      <c r="J852" s="38" t="str">
        <f>VLOOKUP(B852,CAJEROS!B:E,4,0)</f>
        <v>HALLCALIPR4</v>
      </c>
    </row>
    <row r="853" spans="1:10">
      <c r="A853" s="32">
        <v>60</v>
      </c>
      <c r="B853" s="33">
        <v>8725</v>
      </c>
      <c r="C853" s="3">
        <v>200000</v>
      </c>
      <c r="D853" s="3"/>
      <c r="E853" s="7">
        <f t="shared" si="38"/>
        <v>200000</v>
      </c>
      <c r="F853" s="5">
        <v>45979</v>
      </c>
      <c r="G853" s="4">
        <v>20251117</v>
      </c>
      <c r="H853" s="38" t="str">
        <f>VLOOKUP(B853,CAJEROS!B:D,3,0)</f>
        <v>Dispensador</v>
      </c>
      <c r="I853" s="34" t="s">
        <v>9</v>
      </c>
      <c r="J853" s="38" t="str">
        <f>VLOOKUP(B853,CAJEROS!B:E,4,0)</f>
        <v>HALLCALIPR7</v>
      </c>
    </row>
    <row r="854" spans="1:10">
      <c r="A854" s="32">
        <v>64</v>
      </c>
      <c r="B854" s="33">
        <v>6447</v>
      </c>
      <c r="C854" s="3">
        <v>270000</v>
      </c>
      <c r="D854" s="3"/>
      <c r="E854" s="7">
        <f t="shared" si="38"/>
        <v>270000</v>
      </c>
      <c r="F854" s="5">
        <v>45979</v>
      </c>
      <c r="G854" s="4">
        <v>20251117</v>
      </c>
      <c r="H854" s="38" t="str">
        <f>VLOOKUP(B854,CAJEROS!B:D,3,0)</f>
        <v>Dispensador</v>
      </c>
      <c r="I854" s="34" t="s">
        <v>9</v>
      </c>
      <c r="J854" s="38" t="str">
        <f>VLOOKUP(B854,CAJEROS!B:E,4,0)</f>
        <v>VIPASA_5_R</v>
      </c>
    </row>
    <row r="855" spans="1:10">
      <c r="A855" s="32">
        <v>153</v>
      </c>
      <c r="B855" s="33">
        <v>9880</v>
      </c>
      <c r="C855" s="3">
        <v>1000000</v>
      </c>
      <c r="D855" s="3"/>
      <c r="E855" s="7">
        <f t="shared" si="38"/>
        <v>1000000</v>
      </c>
      <c r="F855" s="5">
        <v>45979</v>
      </c>
      <c r="G855" s="4">
        <v>20251117</v>
      </c>
      <c r="H855" s="38" t="str">
        <f>VLOOKUP(B855,CAJEROS!B:D,3,0)</f>
        <v>Dispensador</v>
      </c>
      <c r="I855" s="34" t="s">
        <v>9</v>
      </c>
      <c r="J855" s="38" t="str">
        <f>VLOOKUP(B855,CAJEROS!B:E,4,0)</f>
        <v>EXITOIBAG_2</v>
      </c>
    </row>
    <row r="856" spans="1:10">
      <c r="A856" s="32">
        <v>211</v>
      </c>
      <c r="B856" s="33">
        <v>5309</v>
      </c>
      <c r="C856" s="3">
        <v>50000</v>
      </c>
      <c r="D856" s="3">
        <v>40000</v>
      </c>
      <c r="E856" s="7">
        <f t="shared" si="38"/>
        <v>10000</v>
      </c>
      <c r="F856" s="5">
        <v>45979</v>
      </c>
      <c r="G856" s="4">
        <v>20251117</v>
      </c>
      <c r="H856" s="38" t="str">
        <f>VLOOKUP(B856,CAJEROS!B:D,3,0)</f>
        <v>Dispensador</v>
      </c>
      <c r="I856" s="34" t="s">
        <v>9</v>
      </c>
      <c r="J856" s="38" t="str">
        <f>VLOOKUP(B856,CAJEROS!B:E,4,0)</f>
        <v>SUC_INDUST2</v>
      </c>
    </row>
    <row r="857" spans="1:10">
      <c r="A857" s="32">
        <v>261</v>
      </c>
      <c r="B857" s="33">
        <v>8476</v>
      </c>
      <c r="C857" s="3">
        <v>200000</v>
      </c>
      <c r="D857" s="3"/>
      <c r="E857" s="7">
        <f t="shared" si="38"/>
        <v>200000</v>
      </c>
      <c r="F857" s="5">
        <v>45979</v>
      </c>
      <c r="G857" s="4">
        <v>20251117</v>
      </c>
      <c r="H857" s="38" t="str">
        <f>VLOOKUP(B857,CAJEROS!B:D,3,0)</f>
        <v>Dispensador</v>
      </c>
      <c r="I857" s="34" t="s">
        <v>9</v>
      </c>
      <c r="J857" s="38" t="str">
        <f>VLOOKUP(B857,CAJEROS!B:E,4,0)</f>
        <v>SUCAMPA2</v>
      </c>
    </row>
    <row r="858" spans="1:10">
      <c r="A858" s="32">
        <v>289</v>
      </c>
      <c r="B858" s="33">
        <v>4593</v>
      </c>
      <c r="C858" s="3">
        <v>330000</v>
      </c>
      <c r="D858" s="3"/>
      <c r="E858" s="7">
        <f t="shared" si="38"/>
        <v>330000</v>
      </c>
      <c r="F858" s="5">
        <v>45979</v>
      </c>
      <c r="G858" s="4">
        <v>20251117</v>
      </c>
      <c r="H858" s="38" t="str">
        <f>VLOOKUP(B858,CAJEROS!B:D,3,0)</f>
        <v>Dispensador</v>
      </c>
      <c r="I858" s="34" t="s">
        <v>9</v>
      </c>
      <c r="J858" s="38" t="str">
        <f>VLOOKUP(B858,CAJEROS!B:E,4,0)</f>
        <v>SUC_PGAIT3</v>
      </c>
    </row>
    <row r="859" spans="1:10">
      <c r="A859" s="32">
        <v>297</v>
      </c>
      <c r="B859" s="33">
        <v>5398</v>
      </c>
      <c r="C859" s="3">
        <v>2800000</v>
      </c>
      <c r="D859" s="3">
        <v>2800000</v>
      </c>
      <c r="E859" s="7">
        <f t="shared" si="38"/>
        <v>0</v>
      </c>
      <c r="F859" s="5">
        <v>45979</v>
      </c>
      <c r="G859" s="4">
        <v>20251117</v>
      </c>
      <c r="H859" s="38" t="str">
        <f>VLOOKUP(B859,CAJEROS!B:D,3,0)</f>
        <v>Dispensador</v>
      </c>
      <c r="I859" s="34" t="s">
        <v>9</v>
      </c>
      <c r="J859" s="38" t="str">
        <f>VLOOKUP(B859,CAJEROS!B:E,4,0)</f>
        <v>AGUACHICA2</v>
      </c>
    </row>
    <row r="860" spans="1:10">
      <c r="A860" s="32">
        <v>305</v>
      </c>
      <c r="B860" s="33">
        <v>4897</v>
      </c>
      <c r="C860" s="3">
        <v>40000</v>
      </c>
      <c r="D860" s="3"/>
      <c r="E860" s="7">
        <f t="shared" si="38"/>
        <v>40000</v>
      </c>
      <c r="F860" s="5">
        <v>45979</v>
      </c>
      <c r="G860" s="4">
        <v>20251117</v>
      </c>
      <c r="H860" s="38" t="str">
        <f>VLOOKUP(B860,CAJEROS!B:D,3,0)</f>
        <v>Dispensador</v>
      </c>
      <c r="I860" s="34" t="s">
        <v>9</v>
      </c>
      <c r="J860" s="38" t="str">
        <f>VLOOKUP(B860,CAJEROS!B:E,4,0)</f>
        <v>SUC_VILLAN3</v>
      </c>
    </row>
    <row r="861" spans="1:10">
      <c r="A861" s="32">
        <v>345</v>
      </c>
      <c r="B861" s="33">
        <v>6254</v>
      </c>
      <c r="C861" s="3">
        <v>250000</v>
      </c>
      <c r="D861" s="3"/>
      <c r="E861" s="7">
        <f t="shared" si="38"/>
        <v>250000</v>
      </c>
      <c r="F861" s="5">
        <v>45979</v>
      </c>
      <c r="G861" s="4">
        <v>20251117</v>
      </c>
      <c r="H861" s="38" t="str">
        <f>VLOOKUP(B861,CAJEROS!B:D,3,0)</f>
        <v>Dispensador</v>
      </c>
      <c r="I861" s="34" t="s">
        <v>9</v>
      </c>
      <c r="J861" s="38" t="str">
        <f>VLOOKUP(B861,CAJEROS!B:E,4,0)</f>
        <v>SUC_TENJO3</v>
      </c>
    </row>
    <row r="862" spans="1:10">
      <c r="A862" s="32">
        <v>385</v>
      </c>
      <c r="B862" s="33">
        <v>3694</v>
      </c>
      <c r="C862" s="3">
        <v>50000</v>
      </c>
      <c r="D862" s="3"/>
      <c r="E862" s="7">
        <f t="shared" si="38"/>
        <v>50000</v>
      </c>
      <c r="F862" s="5">
        <v>45979</v>
      </c>
      <c r="G862" s="4">
        <v>20251117</v>
      </c>
      <c r="H862" s="38" t="str">
        <f>VLOOKUP(B862,CAJEROS!B:D,3,0)</f>
        <v>Dispensador</v>
      </c>
      <c r="I862" s="34" t="s">
        <v>9</v>
      </c>
      <c r="J862" s="38" t="str">
        <f>VLOOKUP(B862,CAJEROS!B:E,4,0)</f>
        <v>SUC_VILLET3</v>
      </c>
    </row>
    <row r="863" spans="1:10">
      <c r="A863" s="32">
        <v>392</v>
      </c>
      <c r="B863" s="33">
        <v>4890</v>
      </c>
      <c r="C863" s="3">
        <v>310000</v>
      </c>
      <c r="D863" s="3"/>
      <c r="E863" s="7">
        <f t="shared" si="38"/>
        <v>310000</v>
      </c>
      <c r="F863" s="5">
        <v>45979</v>
      </c>
      <c r="G863" s="4">
        <v>20251117</v>
      </c>
      <c r="H863" s="38" t="str">
        <f>VLOOKUP(B863,CAJEROS!B:D,3,0)</f>
        <v>Dispensador</v>
      </c>
      <c r="I863" s="34" t="s">
        <v>9</v>
      </c>
      <c r="J863" s="38" t="str">
        <f>VLOOKUP(B863,CAJEROS!B:E,4,0)</f>
        <v>LADORADA3</v>
      </c>
    </row>
    <row r="864" spans="1:10">
      <c r="A864" s="32">
        <v>395</v>
      </c>
      <c r="B864" s="33">
        <v>1539</v>
      </c>
      <c r="C864" s="3">
        <v>840000</v>
      </c>
      <c r="D864" s="3"/>
      <c r="E864" s="7">
        <f t="shared" si="38"/>
        <v>840000</v>
      </c>
      <c r="F864" s="5">
        <v>45979</v>
      </c>
      <c r="G864" s="4">
        <v>20251117</v>
      </c>
      <c r="H864" s="38" t="str">
        <f>VLOOKUP(B864,CAJEROS!B:D,3,0)</f>
        <v>Dispensador</v>
      </c>
      <c r="I864" s="34" t="s">
        <v>9</v>
      </c>
      <c r="J864" s="38" t="str">
        <f>VLOOKUP(B864,CAJEROS!B:E,4,0)</f>
        <v>SUCVIVAVCI8</v>
      </c>
    </row>
    <row r="865" spans="1:10">
      <c r="A865" s="32">
        <v>398</v>
      </c>
      <c r="B865" s="33">
        <v>9562</v>
      </c>
      <c r="C865" s="3">
        <v>130000</v>
      </c>
      <c r="D865" s="3">
        <v>130000</v>
      </c>
      <c r="E865" s="7">
        <f t="shared" si="38"/>
        <v>0</v>
      </c>
      <c r="F865" s="5">
        <v>45979</v>
      </c>
      <c r="G865" s="4">
        <v>20251117</v>
      </c>
      <c r="H865" s="38" t="str">
        <f>VLOOKUP(B865,CAJEROS!B:D,3,0)</f>
        <v>Dispensador</v>
      </c>
      <c r="I865" s="34" t="s">
        <v>9</v>
      </c>
      <c r="J865" s="38" t="str">
        <f>VLOOKUP(B865,CAJEROS!B:E,4,0)</f>
        <v>SUC_CHINU2</v>
      </c>
    </row>
    <row r="866" spans="1:10">
      <c r="A866" s="32">
        <v>426</v>
      </c>
      <c r="B866" s="33">
        <v>7819</v>
      </c>
      <c r="C866" s="3">
        <v>200000</v>
      </c>
      <c r="D866" s="3"/>
      <c r="E866" s="7">
        <f t="shared" si="38"/>
        <v>200000</v>
      </c>
      <c r="F866" s="5">
        <v>45979</v>
      </c>
      <c r="G866" s="4">
        <v>20251117</v>
      </c>
      <c r="H866" s="38" t="str">
        <f>VLOOKUP(B866,CAJEROS!B:D,3,0)</f>
        <v>Dispensador</v>
      </c>
      <c r="I866" s="34" t="s">
        <v>9</v>
      </c>
      <c r="J866" s="38" t="str">
        <f>VLOOKUP(B866,CAJEROS!B:E,4,0)</f>
        <v>PURIFICACI2</v>
      </c>
    </row>
    <row r="867" spans="1:10">
      <c r="A867" s="32">
        <v>451</v>
      </c>
      <c r="B867" s="33">
        <v>4967</v>
      </c>
      <c r="C867" s="3">
        <v>200000</v>
      </c>
      <c r="D867" s="3"/>
      <c r="E867" s="7">
        <f t="shared" si="38"/>
        <v>200000</v>
      </c>
      <c r="F867" s="5">
        <v>45979</v>
      </c>
      <c r="G867" s="4">
        <v>20251117</v>
      </c>
      <c r="H867" s="38" t="str">
        <f>VLOOKUP(B867,CAJEROS!B:D,3,0)</f>
        <v>Dispensador</v>
      </c>
      <c r="I867" s="34" t="s">
        <v>9</v>
      </c>
      <c r="J867" s="38" t="str">
        <f>VLOOKUP(B867,CAJEROS!B:E,4,0)</f>
        <v>SUCPTOASIS2</v>
      </c>
    </row>
    <row r="868" spans="1:10">
      <c r="A868" s="32">
        <v>454</v>
      </c>
      <c r="B868" s="33">
        <v>1886</v>
      </c>
      <c r="C868" s="3">
        <v>30000</v>
      </c>
      <c r="D868" s="3"/>
      <c r="E868" s="7">
        <f t="shared" si="38"/>
        <v>30000</v>
      </c>
      <c r="F868" s="5">
        <v>45979</v>
      </c>
      <c r="G868" s="4">
        <v>20251117</v>
      </c>
      <c r="H868" s="38" t="str">
        <f>VLOOKUP(B868,CAJEROS!B:D,3,0)</f>
        <v>Dispensador</v>
      </c>
      <c r="I868" s="34" t="s">
        <v>9</v>
      </c>
      <c r="J868" s="38" t="str">
        <f>VLOOKUP(B868,CAJEROS!B:E,4,0)</f>
        <v>5TAVENIDA3</v>
      </c>
    </row>
    <row r="869" spans="1:10">
      <c r="A869" s="32">
        <v>473</v>
      </c>
      <c r="B869" s="33">
        <v>3441</v>
      </c>
      <c r="C869" s="3">
        <v>350000</v>
      </c>
      <c r="D869" s="3"/>
      <c r="E869" s="7">
        <f t="shared" si="38"/>
        <v>350000</v>
      </c>
      <c r="F869" s="5">
        <v>45979</v>
      </c>
      <c r="G869" s="4">
        <v>20251117</v>
      </c>
      <c r="H869" s="38" t="str">
        <f>VLOOKUP(B869,CAJEROS!B:D,3,0)</f>
        <v>Dispensador</v>
      </c>
      <c r="I869" s="34" t="s">
        <v>9</v>
      </c>
      <c r="J869" s="38" t="str">
        <f>VLOOKUP(B869,CAJEROS!B:E,4,0)</f>
        <v>VICAGUAN1</v>
      </c>
    </row>
    <row r="870" spans="1:10">
      <c r="A870" s="32">
        <v>484</v>
      </c>
      <c r="B870" s="33">
        <v>7226</v>
      </c>
      <c r="C870" s="3">
        <v>500000</v>
      </c>
      <c r="D870" s="3"/>
      <c r="E870" s="7">
        <f t="shared" si="38"/>
        <v>500000</v>
      </c>
      <c r="F870" s="5">
        <v>45979</v>
      </c>
      <c r="G870" s="4">
        <v>20251117</v>
      </c>
      <c r="H870" s="38" t="str">
        <f>VLOOKUP(B870,CAJEROS!B:D,3,0)</f>
        <v>Dispensador</v>
      </c>
      <c r="I870" s="34" t="s">
        <v>9</v>
      </c>
      <c r="J870" s="38" t="str">
        <f>VLOOKUP(B870,CAJEROS!B:E,4,0)</f>
        <v>MAGANGUE1</v>
      </c>
    </row>
    <row r="871" spans="1:10">
      <c r="A871" s="32">
        <v>499</v>
      </c>
      <c r="B871" s="33">
        <v>9807</v>
      </c>
      <c r="C871" s="3">
        <v>1950000</v>
      </c>
      <c r="D871" s="3"/>
      <c r="E871" s="7">
        <f t="shared" si="38"/>
        <v>1950000</v>
      </c>
      <c r="F871" s="5">
        <v>45979</v>
      </c>
      <c r="G871" s="4">
        <v>20251117</v>
      </c>
      <c r="H871" s="38" t="str">
        <f>VLOOKUP(B871,CAJEROS!B:D,3,0)</f>
        <v>Dispensador</v>
      </c>
      <c r="I871" s="34" t="s">
        <v>9</v>
      </c>
      <c r="J871" s="38" t="str">
        <f>VLOOKUP(B871,CAJEROS!B:E,4,0)</f>
        <v>SUCPARFABR9</v>
      </c>
    </row>
    <row r="872" spans="1:10">
      <c r="A872" s="32">
        <v>499</v>
      </c>
      <c r="B872" s="33">
        <v>9808</v>
      </c>
      <c r="C872" s="3">
        <v>800000</v>
      </c>
      <c r="D872" s="3"/>
      <c r="E872" s="7">
        <f t="shared" si="38"/>
        <v>800000</v>
      </c>
      <c r="F872" s="5">
        <v>45979</v>
      </c>
      <c r="G872" s="4">
        <v>20251117</v>
      </c>
      <c r="H872" s="38" t="str">
        <f>VLOOKUP(B872,CAJEROS!B:D,3,0)</f>
        <v>Dispensador</v>
      </c>
      <c r="I872" s="34" t="s">
        <v>9</v>
      </c>
      <c r="J872" s="38" t="str">
        <f>VLOOKUP(B872,CAJEROS!B:E,4,0)</f>
        <v>SUCPARFAB10</v>
      </c>
    </row>
    <row r="873" spans="1:10">
      <c r="A873" s="32">
        <v>522</v>
      </c>
      <c r="B873" s="33">
        <v>4590</v>
      </c>
      <c r="C873" s="3">
        <v>460000</v>
      </c>
      <c r="D873" s="3"/>
      <c r="E873" s="7">
        <f t="shared" si="38"/>
        <v>460000</v>
      </c>
      <c r="F873" s="5">
        <v>45979</v>
      </c>
      <c r="G873" s="4">
        <v>20251117</v>
      </c>
      <c r="H873" s="38" t="str">
        <f>VLOOKUP(B873,CAJEROS!B:D,3,0)</f>
        <v>Dispensador</v>
      </c>
      <c r="I873" s="34" t="s">
        <v>9</v>
      </c>
      <c r="J873" s="38" t="str">
        <f>VLOOKUP(B873,CAJEROS!B:E,4,0)</f>
        <v>SUC_PUERTC1</v>
      </c>
    </row>
    <row r="874" spans="1:10">
      <c r="A874" s="32">
        <v>523</v>
      </c>
      <c r="B874" s="33">
        <v>3997</v>
      </c>
      <c r="C874" s="3">
        <v>30000</v>
      </c>
      <c r="D874" s="3"/>
      <c r="E874" s="7">
        <f t="shared" si="38"/>
        <v>30000</v>
      </c>
      <c r="F874" s="5">
        <v>45979</v>
      </c>
      <c r="G874" s="4">
        <v>20251117</v>
      </c>
      <c r="H874" s="38" t="str">
        <f>VLOOKUP(B874,CAJEROS!B:D,3,0)</f>
        <v>Dispensador</v>
      </c>
      <c r="I874" s="34" t="s">
        <v>9</v>
      </c>
      <c r="J874" s="38" t="str">
        <f>VLOOKUP(B874,CAJEROS!B:E,4,0)</f>
        <v>SUC_OVALLE3</v>
      </c>
    </row>
    <row r="875" spans="1:10">
      <c r="A875" s="32">
        <v>536</v>
      </c>
      <c r="B875" s="33">
        <v>4795</v>
      </c>
      <c r="C875" s="3">
        <v>700000</v>
      </c>
      <c r="D875" s="3"/>
      <c r="E875" s="7">
        <f t="shared" si="38"/>
        <v>700000</v>
      </c>
      <c r="F875" s="5">
        <v>45979</v>
      </c>
      <c r="G875" s="4">
        <v>20251117</v>
      </c>
      <c r="H875" s="38" t="str">
        <f>VLOOKUP(B875,CAJEROS!B:D,3,0)</f>
        <v>Dispensador</v>
      </c>
      <c r="I875" s="34" t="s">
        <v>9</v>
      </c>
      <c r="J875" s="38" t="str">
        <f>VLOOKUP(B875,CAJEROS!B:E,4,0)</f>
        <v>SUC_QUIBDO1</v>
      </c>
    </row>
    <row r="876" spans="1:10">
      <c r="A876" s="32">
        <v>536</v>
      </c>
      <c r="B876" s="33">
        <v>6914</v>
      </c>
      <c r="C876" s="3">
        <v>1300000</v>
      </c>
      <c r="D876" s="3"/>
      <c r="E876" s="7">
        <f t="shared" si="38"/>
        <v>1300000</v>
      </c>
      <c r="F876" s="5">
        <v>45979</v>
      </c>
      <c r="G876" s="4">
        <v>20251117</v>
      </c>
      <c r="H876" s="38" t="str">
        <f>VLOOKUP(B876,CAJEROS!B:D,3,0)</f>
        <v>Dispensador</v>
      </c>
      <c r="I876" s="34" t="s">
        <v>9</v>
      </c>
      <c r="J876" s="38" t="str">
        <f>VLOOKUP(B876,CAJEROS!B:E,4,0)</f>
        <v>SUC_QUIBDO6</v>
      </c>
    </row>
    <row r="877" spans="1:10">
      <c r="A877" s="32">
        <v>536</v>
      </c>
      <c r="B877" s="33">
        <v>8993</v>
      </c>
      <c r="C877" s="3">
        <v>150000</v>
      </c>
      <c r="D877" s="3"/>
      <c r="E877" s="7">
        <f t="shared" si="38"/>
        <v>150000</v>
      </c>
      <c r="F877" s="5">
        <v>45979</v>
      </c>
      <c r="G877" s="4">
        <v>20251117</v>
      </c>
      <c r="H877" s="38" t="str">
        <f>VLOOKUP(B877,CAJEROS!B:D,3,0)</f>
        <v>Dispensador</v>
      </c>
      <c r="I877" s="34" t="s">
        <v>9</v>
      </c>
      <c r="J877" s="38" t="str">
        <f>VLOOKUP(B877,CAJEROS!B:E,4,0)</f>
        <v>SUC_QUIBDO8</v>
      </c>
    </row>
    <row r="878" spans="1:10">
      <c r="A878" s="32">
        <v>567</v>
      </c>
      <c r="B878" s="33">
        <v>4521</v>
      </c>
      <c r="C878" s="3">
        <v>8670000</v>
      </c>
      <c r="D878" s="3">
        <v>8670000</v>
      </c>
      <c r="E878" s="7">
        <f t="shared" si="38"/>
        <v>0</v>
      </c>
      <c r="F878" s="5">
        <v>45979</v>
      </c>
      <c r="G878" s="4">
        <v>20251117</v>
      </c>
      <c r="H878" s="38" t="str">
        <f>VLOOKUP(B878,CAJEROS!B:D,3,0)</f>
        <v>Dispensador</v>
      </c>
      <c r="I878" s="34" t="s">
        <v>9</v>
      </c>
      <c r="J878" s="38" t="str">
        <f>VLOOKUP(B878,CAJEROS!B:E,4,0)</f>
        <v>VENECIA2</v>
      </c>
    </row>
    <row r="879" spans="1:10">
      <c r="A879" s="32">
        <v>584</v>
      </c>
      <c r="B879" s="33">
        <v>6874</v>
      </c>
      <c r="C879" s="3">
        <v>700000</v>
      </c>
      <c r="D879" s="3"/>
      <c r="E879" s="7">
        <f t="shared" si="38"/>
        <v>700000</v>
      </c>
      <c r="F879" s="5">
        <v>45979</v>
      </c>
      <c r="G879" s="4">
        <v>20251117</v>
      </c>
      <c r="H879" s="38" t="str">
        <f>VLOOKUP(B879,CAJEROS!B:D,3,0)</f>
        <v>Dispensador</v>
      </c>
      <c r="I879" s="34" t="s">
        <v>9</v>
      </c>
      <c r="J879" s="38" t="str">
        <f>VLOOKUP(B879,CAJEROS!B:E,4,0)</f>
        <v>HALLCHIGOR2</v>
      </c>
    </row>
    <row r="880" spans="1:10">
      <c r="A880" s="32">
        <v>631</v>
      </c>
      <c r="B880" s="33">
        <v>2615</v>
      </c>
      <c r="C880" s="3">
        <f>150000+200000</f>
        <v>350000</v>
      </c>
      <c r="D880" s="3"/>
      <c r="E880" s="7">
        <f t="shared" si="38"/>
        <v>350000</v>
      </c>
      <c r="F880" s="5">
        <v>45979</v>
      </c>
      <c r="G880" s="4">
        <v>20251117</v>
      </c>
      <c r="H880" s="38" t="str">
        <f>VLOOKUP(B880,CAJEROS!B:D,3,0)</f>
        <v>Dispensador</v>
      </c>
      <c r="I880" s="34" t="s">
        <v>9</v>
      </c>
      <c r="J880" s="38" t="str">
        <f>VLOOKUP(B880,CAJEROS!B:E,4,0)</f>
        <v>SUCURIBIA_1</v>
      </c>
    </row>
    <row r="881" spans="1:10">
      <c r="A881" s="32">
        <v>688</v>
      </c>
      <c r="B881" s="33">
        <v>4840</v>
      </c>
      <c r="C881" s="3">
        <v>100000</v>
      </c>
      <c r="D881" s="3">
        <v>100000</v>
      </c>
      <c r="E881" s="7">
        <f t="shared" si="38"/>
        <v>0</v>
      </c>
      <c r="F881" s="5">
        <v>45979</v>
      </c>
      <c r="G881" s="4">
        <v>20251117</v>
      </c>
      <c r="H881" s="38" t="str">
        <f>VLOOKUP(B881,CAJEROS!B:D,3,0)</f>
        <v>Dispensador</v>
      </c>
      <c r="I881" s="34" t="s">
        <v>9</v>
      </c>
      <c r="J881" s="38" t="str">
        <f>VLOOKUP(B881,CAJEROS!B:E,4,0)</f>
        <v>SUC_CONTAD1</v>
      </c>
    </row>
    <row r="882" spans="1:10">
      <c r="A882" s="32">
        <v>709</v>
      </c>
      <c r="B882" s="33">
        <v>3426</v>
      </c>
      <c r="C882" s="3">
        <v>400000</v>
      </c>
      <c r="D882" s="3">
        <v>40000</v>
      </c>
      <c r="E882" s="7">
        <f t="shared" si="38"/>
        <v>360000</v>
      </c>
      <c r="F882" s="5">
        <v>45979</v>
      </c>
      <c r="G882" s="4">
        <v>20251117</v>
      </c>
      <c r="H882" s="38" t="str">
        <f>VLOOKUP(B882,CAJEROS!B:D,3,0)</f>
        <v>Dispensador</v>
      </c>
      <c r="I882" s="34" t="s">
        <v>9</v>
      </c>
      <c r="J882" s="38" t="str">
        <f>VLOOKUP(B882,CAJEROS!B:E,4,0)</f>
        <v>ABREGO</v>
      </c>
    </row>
    <row r="883" spans="1:10">
      <c r="A883" s="32">
        <v>730</v>
      </c>
      <c r="B883" s="33">
        <v>7262</v>
      </c>
      <c r="C883" s="3">
        <v>50000</v>
      </c>
      <c r="D883" s="3"/>
      <c r="E883" s="7">
        <f t="shared" si="38"/>
        <v>50000</v>
      </c>
      <c r="F883" s="5">
        <v>45979</v>
      </c>
      <c r="G883" s="4">
        <v>20251117</v>
      </c>
      <c r="H883" s="38" t="str">
        <f>VLOOKUP(B883,CAJEROS!B:D,3,0)</f>
        <v>Dispensador</v>
      </c>
      <c r="I883" s="34" t="s">
        <v>9</v>
      </c>
      <c r="J883" s="38" t="str">
        <f>VLOOKUP(B883,CAJEROS!B:E,4,0)</f>
        <v>SUC_LAMES1</v>
      </c>
    </row>
    <row r="884" spans="1:10">
      <c r="A884" s="32">
        <v>732</v>
      </c>
      <c r="B884" s="33">
        <v>6966</v>
      </c>
      <c r="C884" s="3">
        <v>210000</v>
      </c>
      <c r="D884" s="3"/>
      <c r="E884" s="7">
        <f t="shared" si="38"/>
        <v>210000</v>
      </c>
      <c r="F884" s="5">
        <v>45979</v>
      </c>
      <c r="G884" s="4">
        <v>20251117</v>
      </c>
      <c r="H884" s="38" t="str">
        <f>VLOOKUP(B884,CAJEROS!B:D,3,0)</f>
        <v>Dispensador</v>
      </c>
      <c r="I884" s="34" t="s">
        <v>9</v>
      </c>
      <c r="J884" s="38" t="str">
        <f>VLOOKUP(B884,CAJEROS!B:E,4,0)</f>
        <v>ROLDANIL_2</v>
      </c>
    </row>
    <row r="885" spans="1:10">
      <c r="A885" s="32">
        <v>741</v>
      </c>
      <c r="B885" s="33">
        <v>6842</v>
      </c>
      <c r="C885" s="3">
        <v>150000</v>
      </c>
      <c r="D885" s="3"/>
      <c r="E885" s="7">
        <f t="shared" si="38"/>
        <v>150000</v>
      </c>
      <c r="F885" s="5">
        <v>45979</v>
      </c>
      <c r="G885" s="4">
        <v>20251117</v>
      </c>
      <c r="H885" s="38" t="str">
        <f>VLOOKUP(B885,CAJEROS!B:D,3,0)</f>
        <v>Dispensador</v>
      </c>
      <c r="I885" s="34" t="s">
        <v>9</v>
      </c>
      <c r="J885" s="38" t="str">
        <f>VLOOKUP(B885,CAJEROS!B:E,4,0)</f>
        <v>SUC_IDEO_2</v>
      </c>
    </row>
    <row r="886" spans="1:10">
      <c r="A886" s="32">
        <v>745</v>
      </c>
      <c r="B886" s="33">
        <v>1471</v>
      </c>
      <c r="C886" s="3">
        <v>130000</v>
      </c>
      <c r="D886" s="3"/>
      <c r="E886" s="7">
        <f t="shared" si="38"/>
        <v>130000</v>
      </c>
      <c r="F886" s="5">
        <v>45979</v>
      </c>
      <c r="G886" s="4">
        <v>20251117</v>
      </c>
      <c r="H886" s="38" t="str">
        <f>VLOOKUP(B886,CAJEROS!B:D,3,0)</f>
        <v>Dispensador</v>
      </c>
      <c r="I886" s="34" t="s">
        <v>9</v>
      </c>
      <c r="J886" s="38" t="str">
        <f>VLOOKUP(B886,CAJEROS!B:E,4,0)</f>
        <v>SUCMALPLAZ1</v>
      </c>
    </row>
    <row r="887" spans="1:10">
      <c r="A887" s="32">
        <v>748</v>
      </c>
      <c r="B887" s="33">
        <v>4585</v>
      </c>
      <c r="C887" s="3">
        <v>50000</v>
      </c>
      <c r="D887" s="3"/>
      <c r="E887" s="7">
        <f t="shared" si="38"/>
        <v>50000</v>
      </c>
      <c r="F887" s="5">
        <v>45979</v>
      </c>
      <c r="G887" s="4">
        <v>20251117</v>
      </c>
      <c r="H887" s="38" t="str">
        <f>VLOOKUP(B887,CAJEROS!B:D,3,0)</f>
        <v>Dispensador</v>
      </c>
      <c r="I887" s="34" t="s">
        <v>9</v>
      </c>
      <c r="J887" s="38" t="str">
        <f>VLOOKUP(B887,CAJEROS!B:E,4,0)</f>
        <v>SUC_MOMPOX2</v>
      </c>
    </row>
    <row r="888" spans="1:10">
      <c r="A888" s="32">
        <v>799</v>
      </c>
      <c r="B888" s="33">
        <v>8185</v>
      </c>
      <c r="C888" s="3">
        <v>310000</v>
      </c>
      <c r="D888" s="3"/>
      <c r="E888" s="7">
        <f t="shared" si="38"/>
        <v>310000</v>
      </c>
      <c r="F888" s="5">
        <v>45979</v>
      </c>
      <c r="G888" s="4">
        <v>20251117</v>
      </c>
      <c r="H888" s="38" t="str">
        <f>VLOOKUP(B888,CAJEROS!B:D,3,0)</f>
        <v>Dispensador</v>
      </c>
      <c r="I888" s="34" t="s">
        <v>9</v>
      </c>
      <c r="J888" s="38" t="str">
        <f>VLOOKUP(B888,CAJEROS!B:E,4,0)</f>
        <v>SUC_FLORBL2</v>
      </c>
    </row>
    <row r="889" spans="1:10">
      <c r="A889" s="32">
        <v>799</v>
      </c>
      <c r="B889" s="33">
        <v>8187</v>
      </c>
      <c r="C889" s="3">
        <v>3200000</v>
      </c>
      <c r="D889" s="3"/>
      <c r="E889" s="7">
        <f t="shared" si="38"/>
        <v>3200000</v>
      </c>
      <c r="F889" s="5">
        <v>45979</v>
      </c>
      <c r="G889" s="4">
        <v>20251117</v>
      </c>
      <c r="H889" s="38" t="str">
        <f>VLOOKUP(B889,CAJEROS!B:D,3,0)</f>
        <v>Dispensador</v>
      </c>
      <c r="I889" s="34" t="s">
        <v>9</v>
      </c>
      <c r="J889" s="38" t="str">
        <f>VLOOKUP(B889,CAJEROS!B:E,4,0)</f>
        <v>SUC_FLORBL4</v>
      </c>
    </row>
    <row r="890" spans="1:10">
      <c r="A890" s="32">
        <v>828</v>
      </c>
      <c r="B890" s="33">
        <v>2234</v>
      </c>
      <c r="C890" s="3">
        <v>2100000</v>
      </c>
      <c r="D890" s="3"/>
      <c r="E890" s="7">
        <f t="shared" si="38"/>
        <v>2100000</v>
      </c>
      <c r="F890" s="5">
        <v>45979</v>
      </c>
      <c r="G890" s="4">
        <v>20251117</v>
      </c>
      <c r="H890" s="38" t="str">
        <f>VLOOKUP(B890,CAJEROS!B:D,3,0)</f>
        <v>Dispensador</v>
      </c>
      <c r="I890" s="34" t="s">
        <v>9</v>
      </c>
      <c r="J890" s="38" t="str">
        <f>VLOOKUP(B890,CAJEROS!B:E,4,0)</f>
        <v>SUC_SANJOS4</v>
      </c>
    </row>
    <row r="891" spans="1:10">
      <c r="A891" s="32">
        <v>832</v>
      </c>
      <c r="B891" s="33">
        <v>4767</v>
      </c>
      <c r="C891" s="3">
        <v>100000</v>
      </c>
      <c r="D891" s="3"/>
      <c r="E891" s="7">
        <f t="shared" si="38"/>
        <v>100000</v>
      </c>
      <c r="F891" s="5">
        <v>45979</v>
      </c>
      <c r="G891" s="4">
        <v>20251117</v>
      </c>
      <c r="H891" s="38" t="str">
        <f>VLOOKUP(B891,CAJEROS!B:D,3,0)</f>
        <v>Dispensador</v>
      </c>
      <c r="I891" s="34" t="s">
        <v>9</v>
      </c>
      <c r="J891" s="38" t="str">
        <f>VLOOKUP(B891,CAJEROS!B:E,4,0)</f>
        <v>SUC_SANTAN1</v>
      </c>
    </row>
    <row r="892" spans="1:10">
      <c r="A892" s="32">
        <v>882</v>
      </c>
      <c r="B892" s="33">
        <v>3510</v>
      </c>
      <c r="C892" s="3">
        <v>220000</v>
      </c>
      <c r="D892" s="3"/>
      <c r="E892" s="7">
        <f t="shared" si="38"/>
        <v>220000</v>
      </c>
      <c r="F892" s="5">
        <v>45979</v>
      </c>
      <c r="G892" s="4">
        <v>20251117</v>
      </c>
      <c r="H892" s="38" t="str">
        <f>VLOOKUP(B892,CAJEROS!B:D,3,0)</f>
        <v>Dispensador</v>
      </c>
      <c r="I892" s="34" t="s">
        <v>9</v>
      </c>
      <c r="J892" s="38" t="str">
        <f>VLOOKUP(B892,CAJEROS!B:E,4,0)</f>
        <v>LIBERTADOR1</v>
      </c>
    </row>
    <row r="893" spans="1:10">
      <c r="A893" s="32">
        <v>909</v>
      </c>
      <c r="B893" s="33">
        <v>6641</v>
      </c>
      <c r="C893" s="3">
        <v>100000</v>
      </c>
      <c r="D893" s="3">
        <v>100000</v>
      </c>
      <c r="E893" s="7">
        <f t="shared" si="38"/>
        <v>0</v>
      </c>
      <c r="F893" s="5">
        <v>45979</v>
      </c>
      <c r="G893" s="4">
        <v>20251117</v>
      </c>
      <c r="H893" s="38" t="str">
        <f>VLOOKUP(B893,CAJEROS!B:D,3,0)</f>
        <v>Dispensador</v>
      </c>
      <c r="I893" s="34" t="s">
        <v>9</v>
      </c>
      <c r="J893" s="38" t="str">
        <f>VLOOKUP(B893,CAJEROS!B:E,4,0)</f>
        <v>SUC_ROSAL2</v>
      </c>
    </row>
    <row r="894" spans="1:10">
      <c r="A894" s="32">
        <v>966</v>
      </c>
      <c r="B894" s="33">
        <v>9942</v>
      </c>
      <c r="C894" s="3">
        <v>400000</v>
      </c>
      <c r="D894" s="3"/>
      <c r="E894" s="7">
        <f t="shared" si="38"/>
        <v>400000</v>
      </c>
      <c r="F894" s="5">
        <v>45979</v>
      </c>
      <c r="G894" s="4">
        <v>20251117</v>
      </c>
      <c r="H894" s="38" t="str">
        <f>VLOOKUP(B894,CAJEROS!B:D,3,0)</f>
        <v>Dispensador</v>
      </c>
      <c r="I894" s="34" t="s">
        <v>9</v>
      </c>
      <c r="J894" s="38" t="str">
        <f>VLOOKUP(B894,CAJEROS!B:E,4,0)</f>
        <v>HALLSUCMTE2</v>
      </c>
    </row>
    <row r="895" spans="1:10">
      <c r="A895" s="32">
        <v>966</v>
      </c>
      <c r="B895" s="33">
        <v>9943</v>
      </c>
      <c r="C895" s="3">
        <v>1200000</v>
      </c>
      <c r="D895" s="3">
        <v>10000</v>
      </c>
      <c r="E895" s="7">
        <f t="shared" si="38"/>
        <v>1190000</v>
      </c>
      <c r="F895" s="5">
        <v>45979</v>
      </c>
      <c r="G895" s="4">
        <v>20251117</v>
      </c>
      <c r="H895" s="38" t="str">
        <f>VLOOKUP(B895,CAJEROS!B:D,3,0)</f>
        <v>Dispensador</v>
      </c>
      <c r="I895" s="34" t="s">
        <v>9</v>
      </c>
      <c r="J895" s="38" t="str">
        <f>VLOOKUP(B895,CAJEROS!B:E,4,0)</f>
        <v>HALLSUCMTE3</v>
      </c>
    </row>
    <row r="896" spans="1:10">
      <c r="A896" s="32">
        <v>1</v>
      </c>
      <c r="B896" s="33">
        <v>5000</v>
      </c>
      <c r="C896" s="3">
        <v>5000000</v>
      </c>
      <c r="D896" s="3"/>
      <c r="E896" s="7">
        <f t="shared" ref="E896:E936" si="47">+C896-D896</f>
        <v>5000000</v>
      </c>
      <c r="F896" s="5">
        <v>45979</v>
      </c>
      <c r="G896" s="4">
        <v>20251114</v>
      </c>
      <c r="H896" s="38" t="str">
        <f>VLOOKUP(B896,CAJEROS!B:D,3,0)</f>
        <v>Multifuncional</v>
      </c>
      <c r="I896" s="34"/>
      <c r="J896" s="38" t="str">
        <f>VLOOKUP(B896,CAJEROS!B:E,4,0)</f>
        <v>MF_CARABOBO</v>
      </c>
    </row>
    <row r="897" spans="1:10">
      <c r="A897" s="32">
        <v>33</v>
      </c>
      <c r="B897" s="33">
        <v>8861</v>
      </c>
      <c r="C897" s="3">
        <v>1977000</v>
      </c>
      <c r="D897" s="3"/>
      <c r="E897" s="7">
        <f t="shared" si="47"/>
        <v>1977000</v>
      </c>
      <c r="F897" s="5">
        <v>45979</v>
      </c>
      <c r="G897" s="4">
        <v>20251114</v>
      </c>
      <c r="H897" s="38" t="str">
        <f>VLOOKUP(B897,CAJEROS!B:D,3,0)</f>
        <v>Multifuncional</v>
      </c>
      <c r="I897" s="34"/>
      <c r="J897" s="38" t="str">
        <f>VLOOKUP(B897,CAJEROS!B:E,4,0)</f>
        <v>MF_SPOLCLU1</v>
      </c>
    </row>
    <row r="898" spans="1:10">
      <c r="A898" s="32">
        <v>37</v>
      </c>
      <c r="B898" s="33">
        <v>6406</v>
      </c>
      <c r="C898" s="3">
        <v>600000</v>
      </c>
      <c r="D898" s="3">
        <v>50000</v>
      </c>
      <c r="E898" s="7">
        <f t="shared" si="47"/>
        <v>550000</v>
      </c>
      <c r="F898" s="5">
        <v>45979</v>
      </c>
      <c r="G898" s="4">
        <v>20251114</v>
      </c>
      <c r="H898" s="38" t="str">
        <f>VLOOKUP(B898,CAJEROS!B:D,3,0)</f>
        <v>Multifuncional</v>
      </c>
      <c r="I898" s="34"/>
      <c r="J898" s="38" t="str">
        <f>VLOOKUP(B898,CAJEROS!B:E,4,0)</f>
        <v>MF_CALLE11</v>
      </c>
    </row>
    <row r="899" spans="1:10">
      <c r="A899" s="32">
        <v>77</v>
      </c>
      <c r="B899" s="33">
        <v>5204</v>
      </c>
      <c r="C899" s="3">
        <v>5000000</v>
      </c>
      <c r="D899" s="3"/>
      <c r="E899" s="7">
        <f t="shared" si="47"/>
        <v>5000000</v>
      </c>
      <c r="F899" s="5">
        <v>45979</v>
      </c>
      <c r="G899" s="4">
        <v>20251114</v>
      </c>
      <c r="H899" s="38" t="str">
        <f>VLOOKUP(B899,CAJEROS!B:D,3,0)</f>
        <v>Multifuncional</v>
      </c>
      <c r="I899" s="34"/>
      <c r="J899" s="38" t="str">
        <f>VLOOKUP(B899,CAJEROS!B:E,4,0)</f>
        <v>MF_TEQENDMA</v>
      </c>
    </row>
    <row r="900" spans="1:10">
      <c r="A900" s="32">
        <v>85</v>
      </c>
      <c r="B900" s="33">
        <v>8974</v>
      </c>
      <c r="C900" s="3">
        <v>755000</v>
      </c>
      <c r="D900" s="3"/>
      <c r="E900" s="7">
        <f t="shared" si="47"/>
        <v>755000</v>
      </c>
      <c r="F900" s="5">
        <v>45979</v>
      </c>
      <c r="G900" s="4">
        <v>20251114</v>
      </c>
      <c r="H900" s="38" t="str">
        <f>VLOOKUP(B900,CAJEROS!B:D,3,0)</f>
        <v>Multifuncional</v>
      </c>
      <c r="I900" s="34"/>
      <c r="J900" s="38" t="str">
        <f>VLOOKUP(B900,CAJEROS!B:E,4,0)</f>
        <v>MF_SUCSERZU</v>
      </c>
    </row>
    <row r="901" spans="1:10">
      <c r="A901" s="32">
        <v>91</v>
      </c>
      <c r="B901" s="33">
        <v>7943</v>
      </c>
      <c r="C901" s="3">
        <v>1494000</v>
      </c>
      <c r="D901" s="3"/>
      <c r="E901" s="7">
        <f t="shared" si="47"/>
        <v>1494000</v>
      </c>
      <c r="F901" s="5">
        <v>45979</v>
      </c>
      <c r="G901" s="4">
        <v>20251114</v>
      </c>
      <c r="H901" s="38" t="str">
        <f>VLOOKUP(B901,CAJEROS!B:D,3,0)</f>
        <v>Multifuncional</v>
      </c>
      <c r="I901" s="34"/>
      <c r="J901" s="38" t="str">
        <f>VLOOKUP(B901,CAJEROS!B:E,4,0)</f>
        <v>MF_MONTERI2</v>
      </c>
    </row>
    <row r="902" spans="1:10">
      <c r="A902" s="32">
        <v>172</v>
      </c>
      <c r="B902" s="33">
        <v>7429</v>
      </c>
      <c r="C902" s="3">
        <v>2360000</v>
      </c>
      <c r="D902" s="3"/>
      <c r="E902" s="7">
        <f t="shared" si="47"/>
        <v>2360000</v>
      </c>
      <c r="F902" s="5">
        <v>45979</v>
      </c>
      <c r="G902" s="4">
        <v>20251114</v>
      </c>
      <c r="H902" s="38" t="str">
        <f>VLOOKUP(B902,CAJEROS!B:D,3,0)</f>
        <v>Multifuncional</v>
      </c>
      <c r="I902" s="34"/>
      <c r="J902" s="38" t="str">
        <f>VLOOKUP(B902,CAJEROS!B:E,4,0)</f>
        <v>MF_TELEPORT</v>
      </c>
    </row>
    <row r="903" spans="1:10">
      <c r="A903" s="32">
        <v>225</v>
      </c>
      <c r="B903" s="33">
        <v>8869</v>
      </c>
      <c r="C903" s="3">
        <v>12000</v>
      </c>
      <c r="D903" s="3"/>
      <c r="E903" s="7">
        <f t="shared" si="47"/>
        <v>12000</v>
      </c>
      <c r="F903" s="5">
        <v>45979</v>
      </c>
      <c r="G903" s="4">
        <v>20251114</v>
      </c>
      <c r="H903" s="38" t="str">
        <f>VLOOKUP(B903,CAJEROS!B:D,3,0)</f>
        <v>Multifuncional</v>
      </c>
      <c r="I903" s="34"/>
      <c r="J903" s="38" t="str">
        <f>VLOOKUP(B903,CAJEROS!B:E,4,0)</f>
        <v>MF_SMPLNQS2</v>
      </c>
    </row>
    <row r="904" spans="1:10">
      <c r="A904" s="32">
        <v>229</v>
      </c>
      <c r="B904" s="33">
        <v>9605</v>
      </c>
      <c r="C904" s="3">
        <v>1669750</v>
      </c>
      <c r="D904" s="3">
        <v>50000</v>
      </c>
      <c r="E904" s="7">
        <f t="shared" si="47"/>
        <v>1619750</v>
      </c>
      <c r="F904" s="5">
        <v>45979</v>
      </c>
      <c r="G904" s="4">
        <v>20251114</v>
      </c>
      <c r="H904" s="38" t="str">
        <f>VLOOKUP(B904,CAJEROS!B:D,3,0)</f>
        <v>Multifuncional</v>
      </c>
      <c r="I904" s="34"/>
      <c r="J904" s="38" t="str">
        <f>VLOOKUP(B904,CAJEROS!B:E,4,0)</f>
        <v>MFSUCPASER2</v>
      </c>
    </row>
    <row r="905" spans="1:10">
      <c r="A905" s="32">
        <v>236</v>
      </c>
      <c r="B905" s="33">
        <v>6242</v>
      </c>
      <c r="C905" s="3">
        <v>2470150</v>
      </c>
      <c r="D905" s="3"/>
      <c r="E905" s="7">
        <f t="shared" si="47"/>
        <v>2470150</v>
      </c>
      <c r="F905" s="5">
        <v>45979</v>
      </c>
      <c r="G905" s="4">
        <v>20251114</v>
      </c>
      <c r="H905" s="38" t="str">
        <f>VLOOKUP(B905,CAJEROS!B:D,3,0)</f>
        <v>Multifuncional</v>
      </c>
      <c r="I905" s="34"/>
      <c r="J905" s="38" t="str">
        <f>VLOOKUP(B905,CAJEROS!B:E,4,0)</f>
        <v>MF_EXITCOLO</v>
      </c>
    </row>
    <row r="906" spans="1:10">
      <c r="A906" s="32">
        <v>265</v>
      </c>
      <c r="B906" s="33">
        <v>5083</v>
      </c>
      <c r="C906" s="3">
        <v>9197800</v>
      </c>
      <c r="D906" s="3"/>
      <c r="E906" s="7">
        <f t="shared" si="47"/>
        <v>9197800</v>
      </c>
      <c r="F906" s="5">
        <v>45979</v>
      </c>
      <c r="G906" s="4">
        <v>20251114</v>
      </c>
      <c r="H906" s="38" t="str">
        <f>VLOOKUP(B906,CAJEROS!B:D,3,0)</f>
        <v>Multifuncional</v>
      </c>
      <c r="I906" s="34"/>
      <c r="J906" s="38" t="str">
        <f>VLOOKUP(B906,CAJEROS!B:E,4,0)</f>
        <v>MF_VALLELIL</v>
      </c>
    </row>
    <row r="907" spans="1:10">
      <c r="A907" s="32">
        <v>371</v>
      </c>
      <c r="B907" s="33">
        <v>6718</v>
      </c>
      <c r="C907" s="3">
        <v>1200000</v>
      </c>
      <c r="D907" s="3"/>
      <c r="E907" s="7">
        <f t="shared" si="47"/>
        <v>1200000</v>
      </c>
      <c r="F907" s="5">
        <v>45979</v>
      </c>
      <c r="G907" s="4">
        <v>20251114</v>
      </c>
      <c r="H907" s="38" t="str">
        <f>VLOOKUP(B907,CAJEROS!B:D,3,0)</f>
        <v>Multifuncional</v>
      </c>
      <c r="I907" s="34"/>
      <c r="J907" s="38" t="str">
        <f>VLOOKUP(B907,CAJEROS!B:E,4,0)</f>
        <v>MF_CAUCASIA</v>
      </c>
    </row>
    <row r="908" spans="1:10">
      <c r="A908" s="32">
        <v>674</v>
      </c>
      <c r="B908" s="33">
        <v>5200</v>
      </c>
      <c r="C908" s="3">
        <v>2001000</v>
      </c>
      <c r="D908" s="3"/>
      <c r="E908" s="7">
        <f t="shared" si="47"/>
        <v>2001000</v>
      </c>
      <c r="F908" s="5">
        <v>45979</v>
      </c>
      <c r="G908" s="4">
        <v>20251114</v>
      </c>
      <c r="H908" s="38" t="str">
        <f>VLOOKUP(B908,CAJEROS!B:D,3,0)</f>
        <v>Multifuncional</v>
      </c>
      <c r="I908" s="34"/>
      <c r="J908" s="38" t="str">
        <f>VLOOKUP(B908,CAJEROS!B:E,4,0)</f>
        <v>MF_AV68FLOR</v>
      </c>
    </row>
    <row r="909" spans="1:10">
      <c r="A909" s="32">
        <v>745</v>
      </c>
      <c r="B909" s="33">
        <v>1477</v>
      </c>
      <c r="C909" s="3">
        <v>6650000</v>
      </c>
      <c r="D909" s="3"/>
      <c r="E909" s="7">
        <f t="shared" si="47"/>
        <v>6650000</v>
      </c>
      <c r="F909" s="5">
        <v>45979</v>
      </c>
      <c r="G909" s="4">
        <v>20251114</v>
      </c>
      <c r="H909" s="38" t="str">
        <f>VLOOKUP(B909,CAJEROS!B:D,3,0)</f>
        <v>Multifuncional</v>
      </c>
      <c r="I909" s="34"/>
      <c r="J909" s="38" t="str">
        <f>VLOOKUP(B909,CAJEROS!B:E,4,0)</f>
        <v>MFSUCMALPZ2</v>
      </c>
    </row>
    <row r="910" spans="1:10">
      <c r="A910" s="32">
        <v>845</v>
      </c>
      <c r="B910" s="33">
        <v>9232</v>
      </c>
      <c r="C910" s="3">
        <v>14130000</v>
      </c>
      <c r="D910" s="3"/>
      <c r="E910" s="7">
        <f t="shared" si="47"/>
        <v>14130000</v>
      </c>
      <c r="F910" s="5">
        <v>45979</v>
      </c>
      <c r="G910" s="4">
        <v>20251114</v>
      </c>
      <c r="H910" s="38" t="str">
        <f>VLOOKUP(B910,CAJEROS!B:D,3,0)</f>
        <v>Multifuncional</v>
      </c>
      <c r="I910" s="34"/>
      <c r="J910" s="38" t="str">
        <f>VLOOKUP(B910,CAJEROS!B:E,4,0)</f>
        <v>MFSUCLAPLT1</v>
      </c>
    </row>
    <row r="911" spans="1:10">
      <c r="A911" s="32">
        <v>867</v>
      </c>
      <c r="B911" s="33">
        <v>5043</v>
      </c>
      <c r="C911" s="3">
        <v>20000</v>
      </c>
      <c r="D911" s="3"/>
      <c r="E911" s="7">
        <f t="shared" si="47"/>
        <v>20000</v>
      </c>
      <c r="F911" s="5">
        <v>45979</v>
      </c>
      <c r="G911" s="4">
        <v>20251114</v>
      </c>
      <c r="H911" s="38" t="str">
        <f>VLOOKUP(B911,CAJEROS!B:D,3,0)</f>
        <v>Multifuncional</v>
      </c>
      <c r="I911" s="34"/>
      <c r="J911" s="38" t="str">
        <f>VLOOKUP(B911,CAJEROS!B:E,4,0)</f>
        <v>MF_UNARMENI</v>
      </c>
    </row>
    <row r="912" spans="1:10">
      <c r="A912" s="32">
        <v>876</v>
      </c>
      <c r="B912" s="33">
        <v>9682</v>
      </c>
      <c r="C912" s="3">
        <v>4348000</v>
      </c>
      <c r="D912" s="3"/>
      <c r="E912" s="7">
        <f t="shared" si="47"/>
        <v>4348000</v>
      </c>
      <c r="F912" s="5">
        <v>45979</v>
      </c>
      <c r="G912" s="4">
        <v>20251114</v>
      </c>
      <c r="H912" s="38" t="str">
        <f>VLOOKUP(B912,CAJEROS!B:D,3,0)</f>
        <v>Multifuncional</v>
      </c>
      <c r="I912" s="34"/>
      <c r="J912" s="38" t="str">
        <f>VLOOKUP(B912,CAJEROS!B:E,4,0)</f>
        <v>MF_VILCAM1</v>
      </c>
    </row>
    <row r="913" spans="1:10">
      <c r="A913" s="32">
        <v>890</v>
      </c>
      <c r="B913" s="33">
        <v>9584</v>
      </c>
      <c r="C913" s="3">
        <v>1000000</v>
      </c>
      <c r="D913" s="3"/>
      <c r="E913" s="7">
        <f t="shared" si="47"/>
        <v>1000000</v>
      </c>
      <c r="F913" s="5">
        <v>45979</v>
      </c>
      <c r="G913" s="4">
        <v>20251114</v>
      </c>
      <c r="H913" s="38" t="str">
        <f>VLOOKUP(B913,CAJEROS!B:D,3,0)</f>
        <v>Multifuncional</v>
      </c>
      <c r="I913" s="34"/>
      <c r="J913" s="38" t="str">
        <f>VLOOKUP(B913,CAJEROS!B:E,4,0)</f>
        <v>MFSUCACACI1</v>
      </c>
    </row>
    <row r="914" spans="1:10">
      <c r="A914" s="32">
        <v>894</v>
      </c>
      <c r="B914" s="33">
        <v>6466</v>
      </c>
      <c r="C914" s="3">
        <v>22235000</v>
      </c>
      <c r="D914" s="3"/>
      <c r="E914" s="7">
        <f t="shared" si="47"/>
        <v>22235000</v>
      </c>
      <c r="F914" s="5">
        <v>45979</v>
      </c>
      <c r="G914" s="4">
        <v>20251114</v>
      </c>
      <c r="H914" s="38" t="str">
        <f>VLOOKUP(B914,CAJEROS!B:D,3,0)</f>
        <v>Multifuncional</v>
      </c>
      <c r="I914" s="34"/>
      <c r="J914" s="38" t="str">
        <f>VLOOKUP(B914,CAJEROS!B:E,4,0)</f>
        <v>MF_TUMACO</v>
      </c>
    </row>
    <row r="915" spans="1:10">
      <c r="A915" s="32">
        <v>941</v>
      </c>
      <c r="B915" s="33">
        <v>5220</v>
      </c>
      <c r="C915" s="3">
        <v>7827000</v>
      </c>
      <c r="D915" s="3"/>
      <c r="E915" s="7">
        <f t="shared" si="47"/>
        <v>7827000</v>
      </c>
      <c r="F915" s="5">
        <v>45979</v>
      </c>
      <c r="G915" s="4">
        <v>20251114</v>
      </c>
      <c r="H915" s="38" t="str">
        <f>VLOOKUP(B915,CAJEROS!B:D,3,0)</f>
        <v>Multifuncional</v>
      </c>
      <c r="I915" s="34"/>
      <c r="J915" s="38" t="str">
        <f>VLOOKUP(B915,CAJEROS!B:E,4,0)</f>
        <v>MF_NEIVANVA</v>
      </c>
    </row>
    <row r="916" spans="1:10">
      <c r="A916" s="32">
        <v>363</v>
      </c>
      <c r="B916" s="33">
        <v>5168</v>
      </c>
      <c r="C916" s="3">
        <v>3510000</v>
      </c>
      <c r="D916" s="3"/>
      <c r="E916" s="7">
        <f t="shared" si="47"/>
        <v>3510000</v>
      </c>
      <c r="F916" s="5">
        <v>45979</v>
      </c>
      <c r="G916" s="4">
        <v>20251117</v>
      </c>
      <c r="H916" s="38" t="str">
        <f>VLOOKUP(B916,CAJEROS!B:D,3,0)</f>
        <v>Multifuncional</v>
      </c>
      <c r="I916" s="34" t="s">
        <v>9</v>
      </c>
      <c r="J916" s="38" t="str">
        <f>VLOOKUP(B916,CAJEROS!B:E,4,0)</f>
        <v>MF_YOPAL</v>
      </c>
    </row>
    <row r="917" spans="1:10">
      <c r="A917" s="32">
        <v>379</v>
      </c>
      <c r="B917" s="33">
        <v>6465</v>
      </c>
      <c r="C917" s="3">
        <v>2605000</v>
      </c>
      <c r="D917" s="3">
        <v>2090000</v>
      </c>
      <c r="E917" s="7">
        <f t="shared" si="47"/>
        <v>515000</v>
      </c>
      <c r="F917" s="5">
        <v>45979</v>
      </c>
      <c r="G917" s="4">
        <v>20251117</v>
      </c>
      <c r="H917" s="38" t="str">
        <f>VLOOKUP(B917,CAJEROS!B:D,3,0)</f>
        <v>Multifuncional</v>
      </c>
      <c r="I917" s="34" t="s">
        <v>9</v>
      </c>
      <c r="J917" s="38" t="str">
        <f>VLOOKUP(B917,CAJEROS!B:E,4,0)</f>
        <v>MF_SUCTESO1</v>
      </c>
    </row>
    <row r="918" spans="1:10">
      <c r="A918" s="32">
        <v>317</v>
      </c>
      <c r="B918" s="33">
        <v>6613</v>
      </c>
      <c r="C918" s="3">
        <v>2574450</v>
      </c>
      <c r="D918" s="3"/>
      <c r="E918" s="7">
        <f t="shared" si="47"/>
        <v>2574450</v>
      </c>
      <c r="F918" s="5">
        <v>45979</v>
      </c>
      <c r="G918" s="4">
        <v>20251117</v>
      </c>
      <c r="H918" s="38" t="str">
        <f>VLOOKUP(B918,CAJEROS!B:D,3,0)</f>
        <v>Multifuncional</v>
      </c>
      <c r="I918" s="34" t="s">
        <v>9</v>
      </c>
      <c r="J918" s="38" t="str">
        <f>VLOOKUP(B918,CAJEROS!B:E,4,0)</f>
        <v>MF_ARAUCA</v>
      </c>
    </row>
    <row r="919" spans="1:10">
      <c r="A919" s="32">
        <v>4</v>
      </c>
      <c r="B919" s="33">
        <v>8630</v>
      </c>
      <c r="C919" s="3">
        <v>2403500</v>
      </c>
      <c r="D919" s="3"/>
      <c r="E919" s="7">
        <f t="shared" si="47"/>
        <v>2403500</v>
      </c>
      <c r="F919" s="5">
        <v>45979</v>
      </c>
      <c r="G919" s="4">
        <v>20251117</v>
      </c>
      <c r="H919" s="38" t="str">
        <f>VLOOKUP(B919,CAJEROS!B:D,3,0)</f>
        <v>Multifuncional</v>
      </c>
      <c r="I919" s="34" t="s">
        <v>9</v>
      </c>
      <c r="J919" s="38" t="str">
        <f>VLOOKUP(B919,CAJEROS!B:E,4,0)</f>
        <v>MF_SUCLAUR1</v>
      </c>
    </row>
    <row r="920" spans="1:10">
      <c r="A920" s="32">
        <v>820</v>
      </c>
      <c r="B920" s="33">
        <v>6174</v>
      </c>
      <c r="C920" s="3">
        <v>2398200</v>
      </c>
      <c r="D920" s="3"/>
      <c r="E920" s="7">
        <f t="shared" si="47"/>
        <v>2398200</v>
      </c>
      <c r="F920" s="5">
        <v>45979</v>
      </c>
      <c r="G920" s="4">
        <v>20251117</v>
      </c>
      <c r="H920" s="38" t="str">
        <f>VLOOKUP(B920,CAJEROS!B:D,3,0)</f>
        <v>Multifuncional</v>
      </c>
      <c r="I920" s="34" t="s">
        <v>9</v>
      </c>
      <c r="J920" s="38" t="str">
        <f>VLOOKUP(B920,CAJEROS!B:E,4,0)</f>
        <v>MF_AVCERO</v>
      </c>
    </row>
    <row r="921" spans="1:10">
      <c r="A921" s="32">
        <v>385</v>
      </c>
      <c r="B921" s="33">
        <v>7139</v>
      </c>
      <c r="C921" s="3">
        <v>2372900</v>
      </c>
      <c r="D921" s="3"/>
      <c r="E921" s="7">
        <f t="shared" si="47"/>
        <v>2372900</v>
      </c>
      <c r="F921" s="5">
        <v>45979</v>
      </c>
      <c r="G921" s="4">
        <v>20251117</v>
      </c>
      <c r="H921" s="38" t="str">
        <f>VLOOKUP(B921,CAJEROS!B:D,3,0)</f>
        <v>Multifuncional</v>
      </c>
      <c r="I921" s="34" t="s">
        <v>9</v>
      </c>
      <c r="J921" s="38" t="str">
        <f>VLOOKUP(B921,CAJEROS!B:E,4,0)</f>
        <v>MF_VILLETA</v>
      </c>
    </row>
    <row r="922" spans="1:10">
      <c r="A922" s="32">
        <v>430</v>
      </c>
      <c r="B922" s="33">
        <v>5104</v>
      </c>
      <c r="C922" s="3">
        <v>2181000</v>
      </c>
      <c r="D922" s="3"/>
      <c r="E922" s="7">
        <f t="shared" si="47"/>
        <v>2181000</v>
      </c>
      <c r="F922" s="5">
        <v>45979</v>
      </c>
      <c r="G922" s="4">
        <v>20251117</v>
      </c>
      <c r="H922" s="38" t="str">
        <f>VLOOKUP(B922,CAJEROS!B:D,3,0)</f>
        <v>Multifuncional</v>
      </c>
      <c r="I922" s="34" t="s">
        <v>9</v>
      </c>
      <c r="J922" s="38" t="str">
        <f>VLOOKUP(B922,CAJEROS!B:E,4,0)</f>
        <v>MF_ZONAROSA</v>
      </c>
    </row>
    <row r="923" spans="1:10">
      <c r="A923" s="32">
        <v>15</v>
      </c>
      <c r="B923" s="33">
        <v>8576</v>
      </c>
      <c r="C923" s="3">
        <v>2161950</v>
      </c>
      <c r="D923" s="3"/>
      <c r="E923" s="7">
        <f t="shared" si="47"/>
        <v>2161950</v>
      </c>
      <c r="F923" s="5">
        <v>45979</v>
      </c>
      <c r="G923" s="4">
        <v>20251117</v>
      </c>
      <c r="H923" s="38" t="str">
        <f>VLOOKUP(B923,CAJEROS!B:D,3,0)</f>
        <v>Multifuncional</v>
      </c>
      <c r="I923" s="34" t="s">
        <v>9</v>
      </c>
      <c r="J923" s="38" t="str">
        <f>VLOOKUP(B923,CAJEROS!B:E,4,0)</f>
        <v>MF_HITAGUI1</v>
      </c>
    </row>
    <row r="924" spans="1:10">
      <c r="A924" s="32">
        <v>211</v>
      </c>
      <c r="B924" s="33">
        <v>5067</v>
      </c>
      <c r="C924" s="3">
        <v>1460000</v>
      </c>
      <c r="D924" s="3"/>
      <c r="E924" s="7">
        <f t="shared" si="47"/>
        <v>1460000</v>
      </c>
      <c r="F924" s="5">
        <v>45979</v>
      </c>
      <c r="G924" s="4">
        <v>20251117</v>
      </c>
      <c r="H924" s="38" t="str">
        <f>VLOOKUP(B924,CAJEROS!B:D,3,0)</f>
        <v>Multifuncional</v>
      </c>
      <c r="I924" s="34" t="s">
        <v>9</v>
      </c>
      <c r="J924" s="38" t="str">
        <f>VLOOKUP(B924,CAJEROS!B:E,4,0)</f>
        <v>MF_SCTROIND</v>
      </c>
    </row>
    <row r="925" spans="1:10">
      <c r="A925" s="32">
        <v>262</v>
      </c>
      <c r="B925" s="33">
        <v>5153</v>
      </c>
      <c r="C925" s="3">
        <v>1190000</v>
      </c>
      <c r="D925" s="3"/>
      <c r="E925" s="7">
        <f t="shared" si="47"/>
        <v>1190000</v>
      </c>
      <c r="F925" s="5">
        <v>45979</v>
      </c>
      <c r="G925" s="4">
        <v>20251117</v>
      </c>
      <c r="H925" s="38" t="str">
        <f>VLOOKUP(B925,CAJEROS!B:D,3,0)</f>
        <v>Multifuncional</v>
      </c>
      <c r="I925" s="34" t="s">
        <v>9</v>
      </c>
      <c r="J925" s="38" t="str">
        <f>VLOOKUP(B925,CAJEROS!B:E,4,0)</f>
        <v>MF_DUITAMA</v>
      </c>
    </row>
    <row r="926" spans="1:10">
      <c r="A926" s="32">
        <v>944</v>
      </c>
      <c r="B926" s="33">
        <v>2228</v>
      </c>
      <c r="C926" s="3">
        <v>1000000</v>
      </c>
      <c r="D926" s="3"/>
      <c r="E926" s="7">
        <f t="shared" si="47"/>
        <v>1000000</v>
      </c>
      <c r="F926" s="5">
        <v>45979</v>
      </c>
      <c r="G926" s="4">
        <v>20251117</v>
      </c>
      <c r="H926" s="38" t="str">
        <f>VLOOKUP(B926,CAJEROS!B:D,3,0)</f>
        <v>Multifuncional</v>
      </c>
      <c r="I926" s="34" t="s">
        <v>9</v>
      </c>
      <c r="J926" s="38" t="str">
        <f>VLOOKUP(B926,CAJEROS!B:E,4,0)</f>
        <v>MF_SANTABO3</v>
      </c>
    </row>
    <row r="927" spans="1:10">
      <c r="A927" s="32">
        <v>54</v>
      </c>
      <c r="B927" s="33">
        <v>6204</v>
      </c>
      <c r="C927" s="3">
        <v>860000</v>
      </c>
      <c r="D927" s="3"/>
      <c r="E927" s="7">
        <f t="shared" si="47"/>
        <v>860000</v>
      </c>
      <c r="F927" s="5">
        <v>45979</v>
      </c>
      <c r="G927" s="4">
        <v>20251117</v>
      </c>
      <c r="H927" s="38" t="str">
        <f>VLOOKUP(B927,CAJEROS!B:D,3,0)</f>
        <v>Multifuncional</v>
      </c>
      <c r="I927" s="34" t="s">
        <v>9</v>
      </c>
      <c r="J927" s="38" t="str">
        <f>VLOOKUP(B927,CAJEROS!B:E,4,0)</f>
        <v>MF_CALLE122</v>
      </c>
    </row>
    <row r="928" spans="1:10">
      <c r="A928" s="32">
        <v>907</v>
      </c>
      <c r="B928" s="33">
        <v>5019</v>
      </c>
      <c r="C928" s="3">
        <v>850000</v>
      </c>
      <c r="D928" s="3">
        <v>670000</v>
      </c>
      <c r="E928" s="7">
        <f t="shared" si="47"/>
        <v>180000</v>
      </c>
      <c r="F928" s="5">
        <v>45979</v>
      </c>
      <c r="G928" s="4">
        <v>20251117</v>
      </c>
      <c r="H928" s="38" t="str">
        <f>VLOOKUP(B928,CAJEROS!B:D,3,0)</f>
        <v>Multifuncional</v>
      </c>
      <c r="I928" s="34" t="s">
        <v>9</v>
      </c>
      <c r="J928" s="38" t="str">
        <f>VLOOKUP(B928,CAJEROS!B:E,4,0)</f>
        <v>MF_FRONTERA</v>
      </c>
    </row>
    <row r="929" spans="1:10">
      <c r="A929" s="32">
        <v>333</v>
      </c>
      <c r="B929" s="33">
        <v>5076</v>
      </c>
      <c r="C929" s="3">
        <v>803500</v>
      </c>
      <c r="D929" s="3"/>
      <c r="E929" s="7">
        <f t="shared" si="47"/>
        <v>803500</v>
      </c>
      <c r="F929" s="5">
        <v>45979</v>
      </c>
      <c r="G929" s="4">
        <v>20251117</v>
      </c>
      <c r="H929" s="38" t="str">
        <f>VLOOKUP(B929,CAJEROS!B:D,3,0)</f>
        <v>Multifuncional</v>
      </c>
      <c r="I929" s="34" t="s">
        <v>9</v>
      </c>
      <c r="J929" s="38" t="str">
        <f>VLOOKUP(B929,CAJEROS!B:E,4,0)</f>
        <v>MF_AVESMARI</v>
      </c>
    </row>
    <row r="930" spans="1:10">
      <c r="A930" s="32">
        <v>915</v>
      </c>
      <c r="B930" s="33">
        <v>8314</v>
      </c>
      <c r="C930" s="3">
        <v>530000</v>
      </c>
      <c r="D930" s="3"/>
      <c r="E930" s="7">
        <f t="shared" si="47"/>
        <v>530000</v>
      </c>
      <c r="F930" s="5">
        <v>45979</v>
      </c>
      <c r="G930" s="4">
        <v>20251117</v>
      </c>
      <c r="H930" s="38" t="str">
        <f>VLOOKUP(B930,CAJEROS!B:D,3,0)</f>
        <v>Multifuncional</v>
      </c>
      <c r="I930" s="34" t="s">
        <v>9</v>
      </c>
      <c r="J930" s="38" t="str">
        <f>VLOOKUP(B930,CAJEROS!B:E,4,0)</f>
        <v>MF_BANLABB2</v>
      </c>
    </row>
    <row r="931" spans="1:10">
      <c r="A931" s="32">
        <v>769</v>
      </c>
      <c r="B931" s="33">
        <v>8679</v>
      </c>
      <c r="C931" s="3">
        <v>510000</v>
      </c>
      <c r="D931" s="3"/>
      <c r="E931" s="7">
        <f t="shared" si="47"/>
        <v>510000</v>
      </c>
      <c r="F931" s="5">
        <v>45979</v>
      </c>
      <c r="G931" s="4">
        <v>20251117</v>
      </c>
      <c r="H931" s="38" t="str">
        <f>VLOOKUP(B931,CAJEROS!B:D,3,0)</f>
        <v>Multifuncional</v>
      </c>
      <c r="I931" s="34" t="s">
        <v>9</v>
      </c>
      <c r="J931" s="38" t="str">
        <f>VLOOKUP(B931,CAJEROS!B:E,4,0)</f>
        <v>MF_SUCPPRA1</v>
      </c>
    </row>
    <row r="932" spans="1:10">
      <c r="A932" s="32">
        <v>652</v>
      </c>
      <c r="B932" s="33">
        <v>5070</v>
      </c>
      <c r="C932" s="3">
        <v>460000</v>
      </c>
      <c r="D932" s="3"/>
      <c r="E932" s="7">
        <f t="shared" si="47"/>
        <v>460000</v>
      </c>
      <c r="F932" s="5">
        <v>45979</v>
      </c>
      <c r="G932" s="4">
        <v>20251117</v>
      </c>
      <c r="H932" s="38" t="str">
        <f>VLOOKUP(B932,CAJEROS!B:D,3,0)</f>
        <v>Multifuncional</v>
      </c>
      <c r="I932" s="34" t="s">
        <v>9</v>
      </c>
      <c r="J932" s="38" t="str">
        <f>VLOOKUP(B932,CAJEROS!B:E,4,0)</f>
        <v>MF_CHICO94</v>
      </c>
    </row>
    <row r="933" spans="1:10">
      <c r="A933" s="32">
        <v>516</v>
      </c>
      <c r="B933" s="33">
        <v>9729</v>
      </c>
      <c r="C933" s="3">
        <v>435000</v>
      </c>
      <c r="D933" s="3"/>
      <c r="E933" s="7">
        <f t="shared" si="47"/>
        <v>435000</v>
      </c>
      <c r="F933" s="5">
        <v>45979</v>
      </c>
      <c r="G933" s="4">
        <v>20251117</v>
      </c>
      <c r="H933" s="38" t="str">
        <f>VLOOKUP(B933,CAJEROS!B:D,3,0)</f>
        <v>Multifuncional</v>
      </c>
      <c r="I933" s="34" t="s">
        <v>9</v>
      </c>
      <c r="J933" s="38" t="str">
        <f>VLOOKUP(B933,CAJEROS!B:E,4,0)</f>
        <v>MF_SUCSTAM1</v>
      </c>
    </row>
    <row r="934" spans="1:10">
      <c r="A934" s="32">
        <v>166</v>
      </c>
      <c r="B934" s="33">
        <v>7940</v>
      </c>
      <c r="C934" s="3">
        <v>385000</v>
      </c>
      <c r="D934" s="3"/>
      <c r="E934" s="7">
        <f t="shared" si="47"/>
        <v>385000</v>
      </c>
      <c r="F934" s="5">
        <v>45979</v>
      </c>
      <c r="G934" s="4">
        <v>20251117</v>
      </c>
      <c r="H934" s="38" t="str">
        <f>VLOOKUP(B934,CAJEROS!B:D,3,0)</f>
        <v>Multifuncional</v>
      </c>
      <c r="I934" s="34" t="s">
        <v>9</v>
      </c>
      <c r="J934" s="38" t="str">
        <f>VLOOKUP(B934,CAJEROS!B:E,4,0)</f>
        <v>MF_ALDELS22</v>
      </c>
    </row>
    <row r="935" spans="1:10">
      <c r="A935" s="32">
        <v>728</v>
      </c>
      <c r="B935" s="33">
        <v>8587</v>
      </c>
      <c r="C935" s="3">
        <v>150000</v>
      </c>
      <c r="D935" s="3"/>
      <c r="E935" s="7">
        <f t="shared" si="47"/>
        <v>150000</v>
      </c>
      <c r="F935" s="5">
        <v>45979</v>
      </c>
      <c r="G935" s="4">
        <v>20251117</v>
      </c>
      <c r="H935" s="38" t="str">
        <f>VLOOKUP(B935,CAJEROS!B:D,3,0)</f>
        <v>Multifuncional</v>
      </c>
      <c r="I935" s="34" t="s">
        <v>9</v>
      </c>
      <c r="J935" s="38" t="str">
        <f>VLOOKUP(B935,CAJEROS!B:E,4,0)</f>
        <v>MF_SUCCART2</v>
      </c>
    </row>
    <row r="936" spans="1:10">
      <c r="A936" s="32">
        <v>723</v>
      </c>
      <c r="B936" s="33">
        <v>5046</v>
      </c>
      <c r="C936" s="3">
        <v>27000</v>
      </c>
      <c r="D936" s="3"/>
      <c r="E936" s="7">
        <f t="shared" si="47"/>
        <v>27000</v>
      </c>
      <c r="F936" s="5">
        <v>45979</v>
      </c>
      <c r="G936" s="4">
        <v>20251117</v>
      </c>
      <c r="H936" s="38" t="str">
        <f>VLOOKUP(B936,CAJEROS!B:D,3,0)</f>
        <v>Multifuncional</v>
      </c>
      <c r="I936" s="34" t="s">
        <v>9</v>
      </c>
      <c r="J936" s="38" t="str">
        <f>VLOOKUP(B936,CAJEROS!B:E,4,0)</f>
        <v>MF_PARBOLED</v>
      </c>
    </row>
    <row r="937" spans="1:10">
      <c r="A937" s="32">
        <v>455</v>
      </c>
      <c r="B937" s="33">
        <v>5206</v>
      </c>
      <c r="C937" s="3">
        <v>58200</v>
      </c>
      <c r="D937" s="3"/>
      <c r="E937" s="7">
        <f>+C937-D937</f>
        <v>58200</v>
      </c>
      <c r="F937" s="5">
        <v>45975</v>
      </c>
      <c r="G937" s="4">
        <v>20251114</v>
      </c>
      <c r="H937" s="38" t="str">
        <f>VLOOKUP(B937,CAJEROS!B:D,3,0)</f>
        <v>Multifuncional</v>
      </c>
      <c r="I937" s="34" t="s">
        <v>12</v>
      </c>
      <c r="J937" s="38" t="str">
        <f>VLOOKUP(B937,CAJEROS!B:E,4,0)</f>
        <v>MF_CEIBAS1</v>
      </c>
    </row>
    <row r="938" spans="1:10">
      <c r="A938" s="32">
        <v>779</v>
      </c>
      <c r="B938" s="33">
        <v>8685</v>
      </c>
      <c r="C938" s="3">
        <v>10483700</v>
      </c>
      <c r="D938" s="3"/>
      <c r="E938" s="7">
        <f>+C938-D938</f>
        <v>10483700</v>
      </c>
      <c r="F938" s="5">
        <v>45979</v>
      </c>
      <c r="G938" s="4">
        <v>20251117</v>
      </c>
      <c r="H938" s="38" t="str">
        <f>VLOOKUP(B938,CAJEROS!B:D,3,0)</f>
        <v>Multifuncional</v>
      </c>
      <c r="I938" s="34"/>
      <c r="J938" s="38" t="str">
        <f>VLOOKUP(B938,CAJEROS!B:E,4,0)</f>
        <v>MF_BUENVSM3</v>
      </c>
    </row>
    <row r="939" spans="1:10">
      <c r="A939" s="32">
        <v>20</v>
      </c>
      <c r="B939" s="33">
        <v>6839</v>
      </c>
      <c r="C939" s="3">
        <v>8495000</v>
      </c>
      <c r="D939" s="3">
        <v>7260000</v>
      </c>
      <c r="E939" s="7">
        <f t="shared" ref="E939:E942" si="48">+C939-D939</f>
        <v>1235000</v>
      </c>
      <c r="F939" s="5">
        <v>45979</v>
      </c>
      <c r="G939" s="4">
        <v>20251118</v>
      </c>
      <c r="H939" s="38" t="str">
        <f>VLOOKUP(B939,CAJEROS!B:D,3,0)</f>
        <v>Multifuncional</v>
      </c>
      <c r="I939" s="34" t="s">
        <v>13</v>
      </c>
      <c r="J939" s="38" t="str">
        <f>VLOOKUP(B939,CAJEROS!B:E,4,0)</f>
        <v>MF_BUCMANG3</v>
      </c>
    </row>
    <row r="940" spans="1:10">
      <c r="A940" s="32">
        <v>88</v>
      </c>
      <c r="B940" s="33">
        <v>5111</v>
      </c>
      <c r="C940" s="3">
        <v>1815400</v>
      </c>
      <c r="D940" s="3"/>
      <c r="E940" s="7">
        <f t="shared" si="48"/>
        <v>1815400</v>
      </c>
      <c r="F940" s="5">
        <v>45979</v>
      </c>
      <c r="G940" s="4">
        <v>20251118</v>
      </c>
      <c r="H940" s="38" t="str">
        <f>VLOOKUP(B940,CAJEROS!B:D,3,0)</f>
        <v>Multifuncional</v>
      </c>
      <c r="I940" s="34" t="s">
        <v>13</v>
      </c>
      <c r="J940" s="38" t="str">
        <f>VLOOKUP(B940,CAJEROS!B:E,4,0)</f>
        <v>MF_CUCUTPAL</v>
      </c>
    </row>
    <row r="941" spans="1:10">
      <c r="A941" s="32">
        <v>333</v>
      </c>
      <c r="B941" s="33">
        <v>442</v>
      </c>
      <c r="C941" s="3">
        <v>7644000</v>
      </c>
      <c r="D941" s="3"/>
      <c r="E941" s="7">
        <f t="shared" si="48"/>
        <v>7644000</v>
      </c>
      <c r="F941" s="5">
        <v>45979</v>
      </c>
      <c r="G941" s="4">
        <v>20251118</v>
      </c>
      <c r="H941" s="38" t="str">
        <f>VLOOKUP(B941,CAJEROS!B:D,3,0)</f>
        <v>Multifuncional</v>
      </c>
      <c r="I941" s="34" t="s">
        <v>13</v>
      </c>
      <c r="J941" s="38" t="str">
        <f>VLOOKUP(B941,CAJEROS!B:E,4,0)</f>
        <v>MFSUCAVMAR2</v>
      </c>
    </row>
    <row r="942" spans="1:10">
      <c r="A942" s="32">
        <v>348</v>
      </c>
      <c r="B942" s="33">
        <v>9009</v>
      </c>
      <c r="C942" s="3">
        <v>3736000</v>
      </c>
      <c r="D942" s="3">
        <v>3071000</v>
      </c>
      <c r="E942" s="7">
        <f t="shared" si="48"/>
        <v>665000</v>
      </c>
      <c r="F942" s="5">
        <v>45979</v>
      </c>
      <c r="G942" s="4">
        <v>20251118</v>
      </c>
      <c r="H942" s="38" t="str">
        <f>VLOOKUP(B942,CAJEROS!B:D,3,0)</f>
        <v>Multifuncional</v>
      </c>
      <c r="I942" s="34" t="s">
        <v>13</v>
      </c>
      <c r="J942" s="38" t="str">
        <f>VLOOKUP(B942,CAJEROS!B:E,4,0)</f>
        <v>MF_SANDRES2</v>
      </c>
    </row>
    <row r="943" spans="1:10">
      <c r="A943" s="32">
        <v>743</v>
      </c>
      <c r="B943" s="33">
        <v>5106</v>
      </c>
      <c r="C943" s="3">
        <v>3630000</v>
      </c>
      <c r="D943" s="3"/>
      <c r="E943" s="7">
        <f t="shared" si="38"/>
        <v>3630000</v>
      </c>
      <c r="F943" s="5">
        <v>45978</v>
      </c>
      <c r="G943" s="4">
        <v>20251115</v>
      </c>
      <c r="H943" s="38" t="str">
        <f>VLOOKUP(B943,CAJEROS!B:D,3,0)</f>
        <v>Multifuncional</v>
      </c>
      <c r="I943" s="34" t="s">
        <v>12</v>
      </c>
      <c r="J943" s="38" t="str">
        <f>VLOOKUP(B943,CAJEROS!B:E,4,0)</f>
        <v>MF_NORTHPOI</v>
      </c>
    </row>
    <row r="944" spans="1:10">
      <c r="A944" s="32">
        <v>831</v>
      </c>
      <c r="B944" s="33">
        <v>1014</v>
      </c>
      <c r="C944" s="3">
        <v>700000</v>
      </c>
      <c r="D944" s="3"/>
      <c r="E944" s="7">
        <f t="shared" si="38"/>
        <v>700000</v>
      </c>
      <c r="F944" s="5">
        <v>45978</v>
      </c>
      <c r="G944" s="4">
        <v>20251115</v>
      </c>
      <c r="H944" s="38" t="str">
        <f>VLOOKUP(B944,CAJEROS!B:D,3,0)</f>
        <v>Dispensador</v>
      </c>
      <c r="I944" s="34"/>
      <c r="J944" s="38" t="str">
        <f>VLOOKUP(B944,CAJEROS!B:E,4,0)</f>
        <v>SUC_CAREPA4</v>
      </c>
    </row>
    <row r="945" spans="1:10">
      <c r="A945" s="32">
        <v>93</v>
      </c>
      <c r="B945" s="33">
        <v>931</v>
      </c>
      <c r="C945" s="3">
        <v>10000</v>
      </c>
      <c r="D945" s="3"/>
      <c r="E945" s="7">
        <f t="shared" si="38"/>
        <v>10000</v>
      </c>
      <c r="F945" s="5">
        <v>45980</v>
      </c>
      <c r="G945" s="4">
        <v>20251114</v>
      </c>
      <c r="H945" s="38" t="str">
        <f>VLOOKUP(B945,CAJEROS!B:D,3,0)</f>
        <v>Dispensador</v>
      </c>
      <c r="I945" s="34"/>
      <c r="J945" s="38" t="str">
        <f>VLOOKUP(B945,CAJEROS!B:E,4,0)</f>
        <v>SAHAGUN2</v>
      </c>
    </row>
    <row r="946" spans="1:10">
      <c r="A946" s="32">
        <v>229</v>
      </c>
      <c r="B946" s="33">
        <v>8955</v>
      </c>
      <c r="C946" s="3">
        <v>360000</v>
      </c>
      <c r="D946" s="3"/>
      <c r="E946" s="7">
        <f t="shared" si="38"/>
        <v>360000</v>
      </c>
      <c r="F946" s="5">
        <v>45980</v>
      </c>
      <c r="G946" s="4">
        <v>20251118</v>
      </c>
      <c r="H946" s="38" t="str">
        <f>VLOOKUP(B946,CAJEROS!B:D,3,0)</f>
        <v>Dispensador</v>
      </c>
      <c r="I946" s="34"/>
      <c r="J946" s="38" t="str">
        <f>VLOOKUP(B946,CAJEROS!B:E,4,0)</f>
        <v>SUCPASERIO1</v>
      </c>
    </row>
    <row r="947" spans="1:10">
      <c r="A947" s="32">
        <v>60</v>
      </c>
      <c r="B947" s="33">
        <v>8719</v>
      </c>
      <c r="C947" s="3">
        <v>200000</v>
      </c>
      <c r="D947" s="3"/>
      <c r="E947" s="7">
        <f t="shared" si="38"/>
        <v>200000</v>
      </c>
      <c r="F947" s="5">
        <v>45980</v>
      </c>
      <c r="G947" s="4">
        <v>20251118</v>
      </c>
      <c r="H947" s="38" t="str">
        <f>VLOOKUP(B947,CAJEROS!B:D,3,0)</f>
        <v>Dispensador</v>
      </c>
      <c r="I947" s="34" t="s">
        <v>9</v>
      </c>
      <c r="J947" s="38" t="str">
        <f>VLOOKUP(B947,CAJEROS!B:E,4,0)</f>
        <v>HALLCALIPR1</v>
      </c>
    </row>
    <row r="948" spans="1:10">
      <c r="A948" s="32">
        <v>60</v>
      </c>
      <c r="B948" s="33">
        <v>8725</v>
      </c>
      <c r="C948" s="3">
        <v>200000</v>
      </c>
      <c r="D948" s="3"/>
      <c r="E948" s="7">
        <f t="shared" si="38"/>
        <v>200000</v>
      </c>
      <c r="F948" s="5">
        <v>45980</v>
      </c>
      <c r="G948" s="4">
        <v>20251118</v>
      </c>
      <c r="H948" s="38" t="str">
        <f>VLOOKUP(B948,CAJEROS!B:D,3,0)</f>
        <v>Dispensador</v>
      </c>
      <c r="I948" s="34" t="s">
        <v>9</v>
      </c>
      <c r="J948" s="38" t="str">
        <f>VLOOKUP(B948,CAJEROS!B:E,4,0)</f>
        <v>HALLCALIPR7</v>
      </c>
    </row>
    <row r="949" spans="1:10">
      <c r="A949" s="32">
        <v>153</v>
      </c>
      <c r="B949" s="33">
        <v>9879</v>
      </c>
      <c r="C949" s="3">
        <v>120000</v>
      </c>
      <c r="D949" s="3"/>
      <c r="E949" s="7">
        <f t="shared" si="38"/>
        <v>120000</v>
      </c>
      <c r="F949" s="5">
        <v>45980</v>
      </c>
      <c r="G949" s="4">
        <v>20251118</v>
      </c>
      <c r="H949" s="38" t="str">
        <f>VLOOKUP(B949,CAJEROS!B:D,3,0)</f>
        <v>Dispensador</v>
      </c>
      <c r="I949" s="34" t="s">
        <v>9</v>
      </c>
      <c r="J949" s="38" t="str">
        <f>VLOOKUP(B949,CAJEROS!B:E,4,0)</f>
        <v>EXITOIBAG_1</v>
      </c>
    </row>
    <row r="950" spans="1:10">
      <c r="A950" s="32">
        <v>153</v>
      </c>
      <c r="B950" s="33">
        <v>9881</v>
      </c>
      <c r="C950" s="3">
        <v>410000</v>
      </c>
      <c r="D950" s="3"/>
      <c r="E950" s="7">
        <f t="shared" si="38"/>
        <v>410000</v>
      </c>
      <c r="F950" s="5">
        <v>45980</v>
      </c>
      <c r="G950" s="4">
        <v>20251118</v>
      </c>
      <c r="H950" s="38" t="str">
        <f>VLOOKUP(B950,CAJEROS!B:D,3,0)</f>
        <v>Dispensador</v>
      </c>
      <c r="I950" s="34" t="s">
        <v>9</v>
      </c>
      <c r="J950" s="38" t="str">
        <f>VLOOKUP(B950,CAJEROS!B:E,4,0)</f>
        <v>EXITOIBAG_3</v>
      </c>
    </row>
    <row r="951" spans="1:10">
      <c r="A951" s="32">
        <v>190</v>
      </c>
      <c r="B951" s="33">
        <v>5557</v>
      </c>
      <c r="C951" s="3">
        <v>5730000</v>
      </c>
      <c r="D951" s="3"/>
      <c r="E951" s="7">
        <f t="shared" si="38"/>
        <v>5730000</v>
      </c>
      <c r="F951" s="5">
        <v>45980</v>
      </c>
      <c r="G951" s="4">
        <v>20251118</v>
      </c>
      <c r="H951" s="38" t="str">
        <f>VLOOKUP(B951,CAJEROS!B:D,3,0)</f>
        <v>Dispensador</v>
      </c>
      <c r="I951" s="34" t="s">
        <v>9</v>
      </c>
      <c r="J951" s="38" t="str">
        <f>VLOOKUP(B951,CAJEROS!B:E,4,0)</f>
        <v>SANDONA1</v>
      </c>
    </row>
    <row r="952" spans="1:10">
      <c r="A952" s="32">
        <v>231</v>
      </c>
      <c r="B952" s="33">
        <v>5209</v>
      </c>
      <c r="C952" s="3">
        <v>300000</v>
      </c>
      <c r="D952" s="3"/>
      <c r="E952" s="7">
        <f t="shared" si="38"/>
        <v>300000</v>
      </c>
      <c r="F952" s="5">
        <v>45980</v>
      </c>
      <c r="G952" s="4">
        <v>20251118</v>
      </c>
      <c r="H952" s="38" t="str">
        <f>VLOOKUP(B952,CAJEROS!B:D,3,0)</f>
        <v>Dispensador</v>
      </c>
      <c r="I952" s="34" t="s">
        <v>9</v>
      </c>
      <c r="J952" s="38" t="str">
        <f>VLOOKUP(B952,CAJEROS!B:E,4,0)</f>
        <v>RICAURTE_2</v>
      </c>
    </row>
    <row r="953" spans="1:10">
      <c r="A953" s="32">
        <v>240</v>
      </c>
      <c r="B953" s="33">
        <v>6372</v>
      </c>
      <c r="C953" s="3">
        <v>90000</v>
      </c>
      <c r="D953" s="3"/>
      <c r="E953" s="7">
        <f t="shared" si="38"/>
        <v>90000</v>
      </c>
      <c r="F953" s="5">
        <v>45980</v>
      </c>
      <c r="G953" s="4">
        <v>20251118</v>
      </c>
      <c r="H953" s="38" t="str">
        <f>VLOOKUP(B953,CAJEROS!B:D,3,0)</f>
        <v>Dispensador</v>
      </c>
      <c r="I953" s="34" t="s">
        <v>9</v>
      </c>
      <c r="J953" s="38" t="str">
        <f>VLOOKUP(B953,CAJEROS!B:E,4,0)</f>
        <v>STAFEANTI_2</v>
      </c>
    </row>
    <row r="954" spans="1:10">
      <c r="A954" s="32">
        <v>297</v>
      </c>
      <c r="B954" s="33">
        <v>5398</v>
      </c>
      <c r="C954" s="3">
        <v>250000</v>
      </c>
      <c r="D954" s="3">
        <v>250000</v>
      </c>
      <c r="E954" s="7">
        <f t="shared" si="38"/>
        <v>0</v>
      </c>
      <c r="F954" s="5">
        <v>45980</v>
      </c>
      <c r="G954" s="4">
        <v>20251118</v>
      </c>
      <c r="H954" s="38" t="str">
        <f>VLOOKUP(B954,CAJEROS!B:D,3,0)</f>
        <v>Dispensador</v>
      </c>
      <c r="I954" s="34" t="s">
        <v>9</v>
      </c>
      <c r="J954" s="38" t="str">
        <f>VLOOKUP(B954,CAJEROS!B:E,4,0)</f>
        <v>AGUACHICA2</v>
      </c>
    </row>
    <row r="955" spans="1:10">
      <c r="A955" s="32">
        <v>305</v>
      </c>
      <c r="B955" s="33">
        <v>4897</v>
      </c>
      <c r="C955" s="3">
        <v>150000</v>
      </c>
      <c r="D955" s="3"/>
      <c r="E955" s="7">
        <f t="shared" si="38"/>
        <v>150000</v>
      </c>
      <c r="F955" s="5">
        <v>45980</v>
      </c>
      <c r="G955" s="4">
        <v>20251118</v>
      </c>
      <c r="H955" s="38" t="str">
        <f>VLOOKUP(B955,CAJEROS!B:D,3,0)</f>
        <v>Dispensador</v>
      </c>
      <c r="I955" s="34" t="s">
        <v>9</v>
      </c>
      <c r="J955" s="38" t="str">
        <f>VLOOKUP(B955,CAJEROS!B:E,4,0)</f>
        <v>SUC_VILLAN3</v>
      </c>
    </row>
    <row r="956" spans="1:10">
      <c r="A956" s="32">
        <v>389</v>
      </c>
      <c r="B956" s="33">
        <v>4690</v>
      </c>
      <c r="C956" s="3">
        <v>380000</v>
      </c>
      <c r="D956" s="3">
        <v>360000</v>
      </c>
      <c r="E956" s="7">
        <f t="shared" si="38"/>
        <v>20000</v>
      </c>
      <c r="F956" s="5">
        <v>45980</v>
      </c>
      <c r="G956" s="4">
        <v>20251118</v>
      </c>
      <c r="H956" s="38" t="str">
        <f>VLOOKUP(B956,CAJEROS!B:D,3,0)</f>
        <v>Dispensador</v>
      </c>
      <c r="I956" s="34" t="s">
        <v>9</v>
      </c>
      <c r="J956" s="38" t="str">
        <f>VLOOKUP(B956,CAJEROS!B:E,4,0)</f>
        <v>SUC_MARIQ4</v>
      </c>
    </row>
    <row r="957" spans="1:10">
      <c r="A957" s="32">
        <v>466</v>
      </c>
      <c r="B957" s="33">
        <v>6777</v>
      </c>
      <c r="C957" s="3">
        <v>300000</v>
      </c>
      <c r="D957" s="3"/>
      <c r="E957" s="7">
        <f t="shared" si="38"/>
        <v>300000</v>
      </c>
      <c r="F957" s="5">
        <v>45980</v>
      </c>
      <c r="G957" s="4">
        <v>20251118</v>
      </c>
      <c r="H957" s="38" t="str">
        <f>VLOOKUP(B957,CAJEROS!B:D,3,0)</f>
        <v>Dispensador</v>
      </c>
      <c r="I957" s="34" t="s">
        <v>9</v>
      </c>
      <c r="J957" s="38" t="str">
        <f>VLOOKUP(B957,CAJEROS!B:E,4,0)</f>
        <v>SUCFLOREN_2</v>
      </c>
    </row>
    <row r="958" spans="1:10">
      <c r="A958" s="32">
        <v>499</v>
      </c>
      <c r="B958" s="33">
        <v>9806</v>
      </c>
      <c r="C958" s="3">
        <v>760000</v>
      </c>
      <c r="D958" s="3"/>
      <c r="E958" s="7">
        <f t="shared" si="38"/>
        <v>760000</v>
      </c>
      <c r="F958" s="5">
        <v>45980</v>
      </c>
      <c r="G958" s="4">
        <v>20251118</v>
      </c>
      <c r="H958" s="38" t="str">
        <f>VLOOKUP(B958,CAJEROS!B:D,3,0)</f>
        <v>Dispensador</v>
      </c>
      <c r="I958" s="34" t="s">
        <v>9</v>
      </c>
      <c r="J958" s="38" t="str">
        <f>VLOOKUP(B958,CAJEROS!B:E,4,0)</f>
        <v>SUCPARFABR8</v>
      </c>
    </row>
    <row r="959" spans="1:10">
      <c r="A959" s="32">
        <v>499</v>
      </c>
      <c r="B959" s="33">
        <v>9808</v>
      </c>
      <c r="C959" s="3">
        <v>90000</v>
      </c>
      <c r="D959" s="3"/>
      <c r="E959" s="7">
        <f t="shared" si="38"/>
        <v>90000</v>
      </c>
      <c r="F959" s="5">
        <v>45980</v>
      </c>
      <c r="G959" s="4">
        <v>20251118</v>
      </c>
      <c r="H959" s="38" t="str">
        <f>VLOOKUP(B959,CAJEROS!B:D,3,0)</f>
        <v>Dispensador</v>
      </c>
      <c r="I959" s="34" t="s">
        <v>9</v>
      </c>
      <c r="J959" s="38" t="str">
        <f>VLOOKUP(B959,CAJEROS!B:E,4,0)</f>
        <v>SUCPARFAB10</v>
      </c>
    </row>
    <row r="960" spans="1:10">
      <c r="A960" s="32">
        <v>502</v>
      </c>
      <c r="B960" s="33">
        <v>4626</v>
      </c>
      <c r="C960" s="3">
        <v>100000</v>
      </c>
      <c r="D960" s="3"/>
      <c r="E960" s="7">
        <f t="shared" si="38"/>
        <v>100000</v>
      </c>
      <c r="F960" s="5">
        <v>45980</v>
      </c>
      <c r="G960" s="4">
        <v>20251118</v>
      </c>
      <c r="H960" s="38" t="str">
        <f>VLOOKUP(B960,CAJEROS!B:D,3,0)</f>
        <v>Dispensador</v>
      </c>
      <c r="I960" s="34" t="s">
        <v>9</v>
      </c>
      <c r="J960" s="38" t="str">
        <f>VLOOKUP(B960,CAJEROS!B:E,4,0)</f>
        <v>SUC_LEYVA2</v>
      </c>
    </row>
    <row r="961" spans="1:10">
      <c r="A961" s="32">
        <v>536</v>
      </c>
      <c r="B961" s="33">
        <v>4795</v>
      </c>
      <c r="C961" s="3">
        <v>230000</v>
      </c>
      <c r="D961" s="3"/>
      <c r="E961" s="7">
        <f t="shared" si="38"/>
        <v>230000</v>
      </c>
      <c r="F961" s="5">
        <v>45980</v>
      </c>
      <c r="G961" s="4">
        <v>20251118</v>
      </c>
      <c r="H961" s="38" t="str">
        <f>VLOOKUP(B961,CAJEROS!B:D,3,0)</f>
        <v>Dispensador</v>
      </c>
      <c r="I961" s="34" t="s">
        <v>9</v>
      </c>
      <c r="J961" s="38" t="str">
        <f>VLOOKUP(B961,CAJEROS!B:E,4,0)</f>
        <v>SUC_QUIBDO1</v>
      </c>
    </row>
    <row r="962" spans="1:10">
      <c r="A962" s="32">
        <v>536</v>
      </c>
      <c r="B962" s="33">
        <v>4796</v>
      </c>
      <c r="C962" s="3">
        <v>30000</v>
      </c>
      <c r="D962" s="3"/>
      <c r="E962" s="7">
        <f t="shared" si="38"/>
        <v>30000</v>
      </c>
      <c r="F962" s="5">
        <v>45980</v>
      </c>
      <c r="G962" s="4">
        <v>20251118</v>
      </c>
      <c r="H962" s="38" t="str">
        <f>VLOOKUP(B962,CAJEROS!B:D,3,0)</f>
        <v>Dispensador</v>
      </c>
      <c r="I962" s="34" t="s">
        <v>9</v>
      </c>
      <c r="J962" s="38" t="str">
        <f>VLOOKUP(B962,CAJEROS!B:E,4,0)</f>
        <v>SUC_QUIBDO3</v>
      </c>
    </row>
    <row r="963" spans="1:10">
      <c r="A963" s="32">
        <v>536</v>
      </c>
      <c r="B963" s="33">
        <v>6913</v>
      </c>
      <c r="C963" s="3">
        <v>100000</v>
      </c>
      <c r="D963" s="3"/>
      <c r="E963" s="7">
        <f t="shared" si="38"/>
        <v>100000</v>
      </c>
      <c r="F963" s="5">
        <v>45980</v>
      </c>
      <c r="G963" s="4">
        <v>20251118</v>
      </c>
      <c r="H963" s="38" t="str">
        <f>VLOOKUP(B963,CAJEROS!B:D,3,0)</f>
        <v>Dispensador</v>
      </c>
      <c r="I963" s="34" t="s">
        <v>9</v>
      </c>
      <c r="J963" s="38" t="str">
        <f>VLOOKUP(B963,CAJEROS!B:E,4,0)</f>
        <v>SUC_QUIBDO5</v>
      </c>
    </row>
    <row r="964" spans="1:10">
      <c r="A964" s="32">
        <v>536</v>
      </c>
      <c r="B964" s="33">
        <v>6914</v>
      </c>
      <c r="C964" s="3">
        <v>60000</v>
      </c>
      <c r="D964" s="3"/>
      <c r="E964" s="7">
        <f t="shared" si="38"/>
        <v>60000</v>
      </c>
      <c r="F964" s="5">
        <v>45980</v>
      </c>
      <c r="G964" s="4">
        <v>20251118</v>
      </c>
      <c r="H964" s="38" t="str">
        <f>VLOOKUP(B964,CAJEROS!B:D,3,0)</f>
        <v>Dispensador</v>
      </c>
      <c r="I964" s="34" t="s">
        <v>9</v>
      </c>
      <c r="J964" s="38" t="str">
        <f>VLOOKUP(B964,CAJEROS!B:E,4,0)</f>
        <v>SUC_QUIBDO6</v>
      </c>
    </row>
    <row r="965" spans="1:10">
      <c r="A965" s="32">
        <v>541</v>
      </c>
      <c r="B965" s="33">
        <v>8654</v>
      </c>
      <c r="C965" s="3">
        <v>110000</v>
      </c>
      <c r="D965" s="3"/>
      <c r="E965" s="7">
        <f t="shared" si="38"/>
        <v>110000</v>
      </c>
      <c r="F965" s="5">
        <v>45980</v>
      </c>
      <c r="G965" s="4">
        <v>20251118</v>
      </c>
      <c r="H965" s="38" t="str">
        <f>VLOOKUP(B965,CAJEROS!B:D,3,0)</f>
        <v>Dispensador</v>
      </c>
      <c r="I965" s="34" t="s">
        <v>9</v>
      </c>
      <c r="J965" s="38" t="str">
        <f>VLOOKUP(B965,CAJEROS!B:E,4,0)</f>
        <v>SUCCALDASP5</v>
      </c>
    </row>
    <row r="966" spans="1:10">
      <c r="A966" s="32">
        <v>567</v>
      </c>
      <c r="B966" s="33">
        <v>4521</v>
      </c>
      <c r="C966" s="3">
        <v>6270000</v>
      </c>
      <c r="D966" s="3">
        <v>6270000</v>
      </c>
      <c r="E966" s="7">
        <f t="shared" si="38"/>
        <v>0</v>
      </c>
      <c r="F966" s="5">
        <v>45980</v>
      </c>
      <c r="G966" s="4">
        <v>20251118</v>
      </c>
      <c r="H966" s="38" t="str">
        <f>VLOOKUP(B966,CAJEROS!B:D,3,0)</f>
        <v>Dispensador</v>
      </c>
      <c r="I966" s="34" t="s">
        <v>9</v>
      </c>
      <c r="J966" s="38" t="str">
        <f>VLOOKUP(B966,CAJEROS!B:E,4,0)</f>
        <v>VENECIA2</v>
      </c>
    </row>
    <row r="967" spans="1:10">
      <c r="A967" s="32">
        <v>583</v>
      </c>
      <c r="B967" s="33">
        <v>5691</v>
      </c>
      <c r="C967" s="3">
        <v>600000</v>
      </c>
      <c r="D967" s="3"/>
      <c r="E967" s="7">
        <f t="shared" si="38"/>
        <v>600000</v>
      </c>
      <c r="F967" s="5">
        <v>45980</v>
      </c>
      <c r="G967" s="4">
        <v>20251118</v>
      </c>
      <c r="H967" s="38" t="str">
        <f>VLOOKUP(B967,CAJEROS!B:D,3,0)</f>
        <v>Dispensador</v>
      </c>
      <c r="I967" s="34" t="s">
        <v>9</v>
      </c>
      <c r="J967" s="38" t="str">
        <f>VLOOKUP(B967,CAJEROS!B:E,4,0)</f>
        <v>SUCRIOSUCI1</v>
      </c>
    </row>
    <row r="968" spans="1:10">
      <c r="A968" s="32">
        <v>631</v>
      </c>
      <c r="B968" s="33">
        <v>2616</v>
      </c>
      <c r="C968" s="3">
        <v>400000</v>
      </c>
      <c r="D968" s="3">
        <v>400000</v>
      </c>
      <c r="E968" s="7">
        <f t="shared" si="38"/>
        <v>0</v>
      </c>
      <c r="F968" s="5">
        <v>45980</v>
      </c>
      <c r="G968" s="4">
        <v>20251118</v>
      </c>
      <c r="H968" s="38" t="str">
        <f>VLOOKUP(B968,CAJEROS!B:D,3,0)</f>
        <v>Dispensador</v>
      </c>
      <c r="I968" s="34" t="s">
        <v>9</v>
      </c>
      <c r="J968" s="38" t="str">
        <f>VLOOKUP(B968,CAJEROS!B:E,4,0)</f>
        <v>SUCURIBIA_2</v>
      </c>
    </row>
    <row r="969" spans="1:10">
      <c r="A969" s="32">
        <v>651</v>
      </c>
      <c r="B969" s="33">
        <v>6511</v>
      </c>
      <c r="C969" s="3">
        <v>880000</v>
      </c>
      <c r="D969" s="3"/>
      <c r="E969" s="7">
        <f t="shared" si="38"/>
        <v>880000</v>
      </c>
      <c r="F969" s="5">
        <v>45980</v>
      </c>
      <c r="G969" s="4">
        <v>20251118</v>
      </c>
      <c r="H969" s="38" t="str">
        <f>VLOOKUP(B969,CAJEROS!B:D,3,0)</f>
        <v>Dispensador</v>
      </c>
      <c r="I969" s="34" t="s">
        <v>9</v>
      </c>
      <c r="J969" s="38" t="str">
        <f>VLOOKUP(B969,CAJEROS!B:E,4,0)</f>
        <v>BARBOSA</v>
      </c>
    </row>
    <row r="970" spans="1:10">
      <c r="A970" s="32">
        <v>705</v>
      </c>
      <c r="B970" s="33">
        <v>4151</v>
      </c>
      <c r="C970" s="3">
        <v>460000</v>
      </c>
      <c r="D970" s="3">
        <v>460000</v>
      </c>
      <c r="E970" s="7">
        <f t="shared" si="38"/>
        <v>0</v>
      </c>
      <c r="F970" s="5">
        <v>45980</v>
      </c>
      <c r="G970" s="4">
        <v>20251118</v>
      </c>
      <c r="H970" s="38" t="str">
        <f>VLOOKUP(B970,CAJEROS!B:D,3,0)</f>
        <v>Dispensador</v>
      </c>
      <c r="I970" s="34" t="s">
        <v>9</v>
      </c>
      <c r="J970" s="38" t="str">
        <f>VLOOKUP(B970,CAJEROS!B:E,4,0)</f>
        <v>SUC_BAGRE1</v>
      </c>
    </row>
    <row r="971" spans="1:10">
      <c r="A971" s="32">
        <v>721</v>
      </c>
      <c r="B971" s="33">
        <v>8892</v>
      </c>
      <c r="C971" s="3">
        <v>180000</v>
      </c>
      <c r="D971" s="3"/>
      <c r="E971" s="7">
        <f t="shared" si="38"/>
        <v>180000</v>
      </c>
      <c r="F971" s="5">
        <v>45980</v>
      </c>
      <c r="G971" s="4">
        <v>20251118</v>
      </c>
      <c r="H971" s="38" t="str">
        <f>VLOOKUP(B971,CAJEROS!B:D,3,0)</f>
        <v>Dispensador</v>
      </c>
      <c r="I971" s="34" t="s">
        <v>9</v>
      </c>
      <c r="J971" s="38" t="str">
        <f>VLOOKUP(B971,CAJEROS!B:E,4,0)</f>
        <v>SUCHALLAGO2</v>
      </c>
    </row>
    <row r="972" spans="1:10">
      <c r="A972" s="32">
        <v>763</v>
      </c>
      <c r="B972" s="33">
        <v>4997</v>
      </c>
      <c r="C972" s="3">
        <v>100000</v>
      </c>
      <c r="D972" s="3">
        <v>100000</v>
      </c>
      <c r="E972" s="7">
        <f t="shared" si="38"/>
        <v>0</v>
      </c>
      <c r="F972" s="5">
        <v>45980</v>
      </c>
      <c r="G972" s="4">
        <v>20251118</v>
      </c>
      <c r="H972" s="38" t="str">
        <f>VLOOKUP(B972,CAJEROS!B:D,3,0)</f>
        <v>Dispensador</v>
      </c>
      <c r="I972" s="34" t="s">
        <v>9</v>
      </c>
      <c r="J972" s="38" t="str">
        <f>VLOOKUP(B972,CAJEROS!B:E,4,0)</f>
        <v>SUC_INIRID2</v>
      </c>
    </row>
    <row r="973" spans="1:10">
      <c r="A973" s="32">
        <v>789</v>
      </c>
      <c r="B973" s="33">
        <v>5660</v>
      </c>
      <c r="C973" s="3">
        <v>600000</v>
      </c>
      <c r="D973" s="3"/>
      <c r="E973" s="7">
        <f t="shared" si="38"/>
        <v>600000</v>
      </c>
      <c r="F973" s="5">
        <v>45980</v>
      </c>
      <c r="G973" s="4">
        <v>20251118</v>
      </c>
      <c r="H973" s="38" t="str">
        <f>VLOOKUP(B973,CAJEROS!B:D,3,0)</f>
        <v>Dispensador</v>
      </c>
      <c r="I973" s="34" t="s">
        <v>9</v>
      </c>
      <c r="J973" s="38" t="str">
        <f>VLOOKUP(B973,CAJEROS!B:E,4,0)</f>
        <v>MANGA1</v>
      </c>
    </row>
    <row r="974" spans="1:10">
      <c r="A974" s="32">
        <v>799</v>
      </c>
      <c r="B974" s="33">
        <v>8185</v>
      </c>
      <c r="C974" s="3">
        <v>110000</v>
      </c>
      <c r="D974" s="3"/>
      <c r="E974" s="7">
        <f t="shared" si="38"/>
        <v>110000</v>
      </c>
      <c r="F974" s="5">
        <v>45980</v>
      </c>
      <c r="G974" s="4">
        <v>20251118</v>
      </c>
      <c r="H974" s="38" t="str">
        <f>VLOOKUP(B974,CAJEROS!B:D,3,0)</f>
        <v>Dispensador</v>
      </c>
      <c r="I974" s="34" t="s">
        <v>9</v>
      </c>
      <c r="J974" s="38" t="str">
        <f>VLOOKUP(B974,CAJEROS!B:E,4,0)</f>
        <v>SUC_FLORBL2</v>
      </c>
    </row>
    <row r="975" spans="1:10">
      <c r="A975" s="32">
        <v>829</v>
      </c>
      <c r="B975" s="33">
        <v>1157</v>
      </c>
      <c r="C975" s="3">
        <v>100000</v>
      </c>
      <c r="D975" s="3"/>
      <c r="E975" s="7">
        <f t="shared" si="38"/>
        <v>100000</v>
      </c>
      <c r="F975" s="5">
        <v>45980</v>
      </c>
      <c r="G975" s="4">
        <v>20251118</v>
      </c>
      <c r="H975" s="38" t="str">
        <f>VLOOKUP(B975,CAJEROS!B:D,3,0)</f>
        <v>Dispensador</v>
      </c>
      <c r="I975" s="34" t="s">
        <v>9</v>
      </c>
      <c r="J975" s="38" t="str">
        <f>VLOOKUP(B975,CAJEROS!B:E,4,0)</f>
        <v>SUCUNICCAL3</v>
      </c>
    </row>
    <row r="976" spans="1:10">
      <c r="A976" s="32">
        <v>866</v>
      </c>
      <c r="B976" s="33">
        <v>6260</v>
      </c>
      <c r="C976" s="3">
        <v>1100000</v>
      </c>
      <c r="D976" s="3"/>
      <c r="E976" s="7">
        <f t="shared" si="38"/>
        <v>1100000</v>
      </c>
      <c r="F976" s="5">
        <v>45980</v>
      </c>
      <c r="G976" s="4">
        <v>20251118</v>
      </c>
      <c r="H976" s="38" t="str">
        <f>VLOOKUP(B976,CAJEROS!B:D,3,0)</f>
        <v>Dispensador</v>
      </c>
      <c r="I976" s="34" t="s">
        <v>9</v>
      </c>
      <c r="J976" s="38" t="str">
        <f>VLOOKUP(B976,CAJEROS!B:E,4,0)</f>
        <v>SUC_FLORID4</v>
      </c>
    </row>
    <row r="977" spans="1:10">
      <c r="A977" s="32">
        <v>866</v>
      </c>
      <c r="B977" s="33">
        <v>8661</v>
      </c>
      <c r="C977" s="3">
        <v>4170000</v>
      </c>
      <c r="D977" s="3"/>
      <c r="E977" s="7">
        <f t="shared" si="38"/>
        <v>4170000</v>
      </c>
      <c r="F977" s="5">
        <v>45980</v>
      </c>
      <c r="G977" s="4">
        <v>20251118</v>
      </c>
      <c r="H977" s="38" t="str">
        <f>VLOOKUP(B977,CAJEROS!B:D,3,0)</f>
        <v>Dispensador</v>
      </c>
      <c r="I977" s="34" t="s">
        <v>9</v>
      </c>
      <c r="J977" s="38" t="str">
        <f>VLOOKUP(B977,CAJEROS!B:E,4,0)</f>
        <v>SUC_FLORID1</v>
      </c>
    </row>
    <row r="978" spans="1:10">
      <c r="A978" s="32">
        <v>882</v>
      </c>
      <c r="B978" s="33">
        <v>3510</v>
      </c>
      <c r="C978" s="3">
        <v>610000</v>
      </c>
      <c r="D978" s="3"/>
      <c r="E978" s="7">
        <f t="shared" si="38"/>
        <v>610000</v>
      </c>
      <c r="F978" s="5">
        <v>45980</v>
      </c>
      <c r="G978" s="4">
        <v>20251118</v>
      </c>
      <c r="H978" s="38" t="str">
        <f>VLOOKUP(B978,CAJEROS!B:D,3,0)</f>
        <v>Dispensador</v>
      </c>
      <c r="I978" s="34" t="s">
        <v>9</v>
      </c>
      <c r="J978" s="38" t="str">
        <f>VLOOKUP(B978,CAJEROS!B:E,4,0)</f>
        <v>LIBERTADOR1</v>
      </c>
    </row>
    <row r="979" spans="1:10">
      <c r="A979" s="32">
        <v>7</v>
      </c>
      <c r="B979" s="33">
        <v>5059</v>
      </c>
      <c r="C979" s="3">
        <v>248950</v>
      </c>
      <c r="D979" s="3"/>
      <c r="E979" s="7">
        <f t="shared" ref="E979" si="49">+C979-D979</f>
        <v>248950</v>
      </c>
      <c r="F979" s="5">
        <v>45980</v>
      </c>
      <c r="G979" s="4">
        <v>20251114</v>
      </c>
      <c r="H979" s="38" t="str">
        <f>VLOOKUP(B979,CAJEROS!B:D,3,0)</f>
        <v>Multifuncional</v>
      </c>
      <c r="I979" s="34"/>
      <c r="J979" s="38" t="str">
        <f>VLOOKUP(B979,CAJEROS!B:E,4,0)</f>
        <v>MF_LOSMOLI1</v>
      </c>
    </row>
    <row r="980" spans="1:10">
      <c r="A980" s="32">
        <v>7</v>
      </c>
      <c r="B980" s="33">
        <v>7812</v>
      </c>
      <c r="C980" s="3">
        <v>555000</v>
      </c>
      <c r="D980" s="3"/>
      <c r="E980" s="7">
        <f t="shared" ref="E980:E1000" si="50">+C980-D980</f>
        <v>555000</v>
      </c>
      <c r="F980" s="5">
        <v>45980</v>
      </c>
      <c r="G980" s="4">
        <v>20251114</v>
      </c>
      <c r="H980" s="38" t="str">
        <f>VLOOKUP(B980,CAJEROS!B:D,3,0)</f>
        <v>Multifuncional</v>
      </c>
      <c r="I980" s="34"/>
      <c r="J980" s="38" t="str">
        <f>VLOOKUP(B980,CAJEROS!B:E,4,0)</f>
        <v>MF_LOSMOLI3</v>
      </c>
    </row>
    <row r="981" spans="1:10">
      <c r="A981" s="32">
        <v>15</v>
      </c>
      <c r="B981" s="33">
        <v>8578</v>
      </c>
      <c r="C981" s="3">
        <v>1001050</v>
      </c>
      <c r="D981" s="3"/>
      <c r="E981" s="7">
        <f t="shared" si="50"/>
        <v>1001050</v>
      </c>
      <c r="F981" s="5">
        <v>45980</v>
      </c>
      <c r="G981" s="4">
        <v>20251114</v>
      </c>
      <c r="H981" s="38" t="str">
        <f>VLOOKUP(B981,CAJEROS!B:D,3,0)</f>
        <v>Multifuncional</v>
      </c>
      <c r="I981" s="34"/>
      <c r="J981" s="38" t="str">
        <f>VLOOKUP(B981,CAJEROS!B:E,4,0)</f>
        <v>MF_HITAGUI3</v>
      </c>
    </row>
    <row r="982" spans="1:10">
      <c r="A982" s="32">
        <v>108</v>
      </c>
      <c r="B982" s="33">
        <v>2254</v>
      </c>
      <c r="C982" s="3">
        <v>51900</v>
      </c>
      <c r="D982" s="3"/>
      <c r="E982" s="7">
        <f t="shared" si="50"/>
        <v>51900</v>
      </c>
      <c r="F982" s="5">
        <v>45980</v>
      </c>
      <c r="G982" s="4">
        <v>20251118</v>
      </c>
      <c r="H982" s="38" t="str">
        <f>VLOOKUP(B982,CAJEROS!B:D,3,0)</f>
        <v>Multifuncional</v>
      </c>
      <c r="I982" s="34"/>
      <c r="J982" s="38" t="str">
        <f>VLOOKUP(B982,CAJEROS!B:E,4,0)</f>
        <v>MFSUCPAMER2</v>
      </c>
    </row>
    <row r="983" spans="1:10">
      <c r="A983" s="32">
        <v>197</v>
      </c>
      <c r="B983" s="33">
        <v>5084</v>
      </c>
      <c r="C983" s="3">
        <v>1533000</v>
      </c>
      <c r="D983" s="3"/>
      <c r="E983" s="7">
        <f t="shared" si="50"/>
        <v>1533000</v>
      </c>
      <c r="F983" s="5">
        <v>45980</v>
      </c>
      <c r="G983" s="4">
        <v>20251114</v>
      </c>
      <c r="H983" s="38" t="str">
        <f>VLOOKUP(B983,CAJEROS!B:D,3,0)</f>
        <v>Multifuncional</v>
      </c>
      <c r="I983" s="34"/>
      <c r="J983" s="38" t="str">
        <f>VLOOKUP(B983,CAJEROS!B:E,4,0)</f>
        <v>MF_GUATAPUR</v>
      </c>
    </row>
    <row r="984" spans="1:10">
      <c r="A984" s="32">
        <v>258</v>
      </c>
      <c r="B984" s="33">
        <v>5155</v>
      </c>
      <c r="C984" s="3">
        <v>9475000</v>
      </c>
      <c r="D984" s="3"/>
      <c r="E984" s="7">
        <f t="shared" si="50"/>
        <v>9475000</v>
      </c>
      <c r="F984" s="5">
        <v>45980</v>
      </c>
      <c r="G984" s="4">
        <v>20251118</v>
      </c>
      <c r="H984" s="38" t="str">
        <f>VLOOKUP(B984,CAJEROS!B:D,3,0)</f>
        <v>Multifuncional</v>
      </c>
      <c r="I984" s="34"/>
      <c r="J984" s="38" t="str">
        <f>VLOOKUP(B984,CAJEROS!B:E,4,0)</f>
        <v>MF_TUNJA</v>
      </c>
    </row>
    <row r="985" spans="1:10">
      <c r="A985" s="32">
        <v>285</v>
      </c>
      <c r="B985" s="33">
        <v>5228</v>
      </c>
      <c r="C985" s="3">
        <v>45000</v>
      </c>
      <c r="D985" s="3"/>
      <c r="E985" s="7">
        <f t="shared" si="50"/>
        <v>45000</v>
      </c>
      <c r="F985" s="5">
        <v>45980</v>
      </c>
      <c r="G985" s="4">
        <v>20251114</v>
      </c>
      <c r="H985" s="38" t="str">
        <f>VLOOKUP(B985,CAJEROS!B:D,3,0)</f>
        <v>Multifuncional</v>
      </c>
      <c r="I985" s="34"/>
      <c r="J985" s="38" t="str">
        <f>VLOOKUP(B985,CAJEROS!B:E,4,0)</f>
        <v>MF_GARZON</v>
      </c>
    </row>
    <row r="986" spans="1:10">
      <c r="A986" s="32">
        <v>333</v>
      </c>
      <c r="B986" s="33">
        <v>442</v>
      </c>
      <c r="C986" s="3">
        <v>3751000</v>
      </c>
      <c r="D986" s="3"/>
      <c r="E986" s="7">
        <f t="shared" si="50"/>
        <v>3751000</v>
      </c>
      <c r="F986" s="5">
        <v>45980</v>
      </c>
      <c r="G986" s="4">
        <v>20251118</v>
      </c>
      <c r="H986" s="38" t="str">
        <f>VLOOKUP(B986,CAJEROS!B:D,3,0)</f>
        <v>Multifuncional</v>
      </c>
      <c r="I986" s="34"/>
      <c r="J986" s="38" t="str">
        <f>VLOOKUP(B986,CAJEROS!B:E,4,0)</f>
        <v>MFSUCAVMAR2</v>
      </c>
    </row>
    <row r="987" spans="1:10">
      <c r="A987" s="32">
        <v>333</v>
      </c>
      <c r="B987" s="33">
        <v>5076</v>
      </c>
      <c r="C987" s="3">
        <v>3079600</v>
      </c>
      <c r="D987" s="3"/>
      <c r="E987" s="7">
        <f t="shared" si="50"/>
        <v>3079600</v>
      </c>
      <c r="F987" s="5">
        <v>45980</v>
      </c>
      <c r="G987" s="4">
        <v>20251118</v>
      </c>
      <c r="H987" s="38" t="str">
        <f>VLOOKUP(B987,CAJEROS!B:D,3,0)</f>
        <v>Multifuncional</v>
      </c>
      <c r="I987" s="34"/>
      <c r="J987" s="38" t="str">
        <f>VLOOKUP(B987,CAJEROS!B:E,4,0)</f>
        <v>MF_AVESMARI</v>
      </c>
    </row>
    <row r="988" spans="1:10">
      <c r="A988" s="32">
        <v>363</v>
      </c>
      <c r="B988" s="33">
        <v>5168</v>
      </c>
      <c r="C988" s="3">
        <v>100</v>
      </c>
      <c r="D988" s="3"/>
      <c r="E988" s="7">
        <f t="shared" si="50"/>
        <v>100</v>
      </c>
      <c r="F988" s="5">
        <v>45980</v>
      </c>
      <c r="G988" s="4">
        <v>20251114</v>
      </c>
      <c r="H988" s="38" t="str">
        <f>VLOOKUP(B988,CAJEROS!B:D,3,0)</f>
        <v>Multifuncional</v>
      </c>
      <c r="I988" s="34"/>
      <c r="J988" s="38" t="str">
        <f>VLOOKUP(B988,CAJEROS!B:E,4,0)</f>
        <v>MF_YOPAL</v>
      </c>
    </row>
    <row r="989" spans="1:10">
      <c r="A989" s="32">
        <v>420</v>
      </c>
      <c r="B989" s="33">
        <v>5173</v>
      </c>
      <c r="C989" s="3">
        <v>550000</v>
      </c>
      <c r="D989" s="3"/>
      <c r="E989" s="7">
        <f t="shared" si="50"/>
        <v>550000</v>
      </c>
      <c r="F989" s="5">
        <v>45980</v>
      </c>
      <c r="G989" s="4">
        <v>20251118</v>
      </c>
      <c r="H989" s="38" t="str">
        <f>VLOOKUP(B989,CAJEROS!B:D,3,0)</f>
        <v>Multifuncional</v>
      </c>
      <c r="I989" s="34"/>
      <c r="J989" s="38" t="str">
        <f>VLOOKUP(B989,CAJEROS!B:E,4,0)</f>
        <v>MF_TEATAVEN</v>
      </c>
    </row>
    <row r="990" spans="1:10">
      <c r="A990" s="32">
        <v>430</v>
      </c>
      <c r="B990" s="33">
        <v>5104</v>
      </c>
      <c r="C990" s="3">
        <v>16000</v>
      </c>
      <c r="D990" s="3"/>
      <c r="E990" s="7">
        <f t="shared" si="50"/>
        <v>16000</v>
      </c>
      <c r="F990" s="5">
        <v>45980</v>
      </c>
      <c r="G990" s="4">
        <v>20251114</v>
      </c>
      <c r="H990" s="38" t="str">
        <f>VLOOKUP(B990,CAJEROS!B:D,3,0)</f>
        <v>Multifuncional</v>
      </c>
      <c r="I990" s="34"/>
      <c r="J990" s="38" t="str">
        <f>VLOOKUP(B990,CAJEROS!B:E,4,0)</f>
        <v>MF_ZONAROSA</v>
      </c>
    </row>
    <row r="991" spans="1:10">
      <c r="A991" s="32">
        <v>499</v>
      </c>
      <c r="B991" s="33">
        <v>172</v>
      </c>
      <c r="C991" s="3">
        <v>2980000</v>
      </c>
      <c r="D991" s="3"/>
      <c r="E991" s="7">
        <f t="shared" si="50"/>
        <v>2980000</v>
      </c>
      <c r="F991" s="5">
        <v>45980</v>
      </c>
      <c r="G991" s="4">
        <v>20251118</v>
      </c>
      <c r="H991" s="38" t="str">
        <f>VLOOKUP(B991,CAJEROS!B:D,3,0)</f>
        <v>Multifuncional</v>
      </c>
      <c r="I991" s="34"/>
      <c r="J991" s="38" t="str">
        <f>VLOOKUP(B991,CAJEROS!B:E,4,0)</f>
        <v>ATM MF SUC PLAZA FABRICATO 3</v>
      </c>
    </row>
    <row r="992" spans="1:10">
      <c r="A992" s="32">
        <v>554</v>
      </c>
      <c r="B992" s="33">
        <v>8294</v>
      </c>
      <c r="C992" s="3">
        <v>99950</v>
      </c>
      <c r="D992" s="3"/>
      <c r="E992" s="7">
        <f t="shared" si="50"/>
        <v>99950</v>
      </c>
      <c r="F992" s="5">
        <v>45980</v>
      </c>
      <c r="G992" s="4">
        <v>20251118</v>
      </c>
      <c r="H992" s="38" t="str">
        <f>VLOOKUP(B992,CAJEROS!B:D,3,0)</f>
        <v>Multifuncional</v>
      </c>
      <c r="I992" s="34"/>
      <c r="J992" s="38" t="str">
        <f>VLOOKUP(B992,CAJEROS!B:E,4,0)</f>
        <v>MF_SBUVIII1</v>
      </c>
    </row>
    <row r="993" spans="1:10">
      <c r="A993" s="32">
        <v>623</v>
      </c>
      <c r="B993" s="33">
        <v>7375</v>
      </c>
      <c r="C993" s="3">
        <v>7255000</v>
      </c>
      <c r="D993" s="3"/>
      <c r="E993" s="7">
        <f t="shared" si="50"/>
        <v>7255000</v>
      </c>
      <c r="F993" s="5">
        <v>45980</v>
      </c>
      <c r="G993" s="4">
        <v>20251118</v>
      </c>
      <c r="H993" s="38" t="str">
        <f>VLOOKUP(B993,CAJEROS!B:D,3,0)</f>
        <v>Multifuncional</v>
      </c>
      <c r="I993" s="34"/>
      <c r="J993" s="38" t="str">
        <f>VLOOKUP(B993,CAJEROS!B:E,4,0)</f>
        <v>MF_FUNDMAN2</v>
      </c>
    </row>
    <row r="994" spans="1:10">
      <c r="A994" s="32">
        <v>674</v>
      </c>
      <c r="B994" s="33">
        <v>5200</v>
      </c>
      <c r="C994" s="3">
        <v>150000</v>
      </c>
      <c r="D994" s="3"/>
      <c r="E994" s="7">
        <f t="shared" si="50"/>
        <v>150000</v>
      </c>
      <c r="F994" s="5">
        <v>45980</v>
      </c>
      <c r="G994" s="4">
        <v>20251118</v>
      </c>
      <c r="H994" s="38" t="str">
        <f>VLOOKUP(B994,CAJEROS!B:D,3,0)</f>
        <v>Multifuncional</v>
      </c>
      <c r="I994" s="34"/>
      <c r="J994" s="38" t="str">
        <f>VLOOKUP(B994,CAJEROS!B:E,4,0)</f>
        <v>MF_AV68FLOR</v>
      </c>
    </row>
    <row r="995" spans="1:10">
      <c r="A995" s="32">
        <v>690</v>
      </c>
      <c r="B995" s="33">
        <v>6180</v>
      </c>
      <c r="C995" s="3">
        <v>13672500</v>
      </c>
      <c r="D995" s="3"/>
      <c r="E995" s="7">
        <f t="shared" si="50"/>
        <v>13672500</v>
      </c>
      <c r="F995" s="5">
        <v>45980</v>
      </c>
      <c r="G995" s="4">
        <v>20251114</v>
      </c>
      <c r="H995" s="38" t="str">
        <f>VLOOKUP(B995,CAJEROS!B:D,3,0)</f>
        <v>Multifuncional</v>
      </c>
      <c r="I995" s="34"/>
      <c r="J995" s="38" t="str">
        <f>VLOOKUP(B995,CAJEROS!B:E,4,0)</f>
        <v>MF_HTQENDAM</v>
      </c>
    </row>
    <row r="996" spans="1:10">
      <c r="A996" s="32">
        <v>779</v>
      </c>
      <c r="B996" s="33">
        <v>5013</v>
      </c>
      <c r="C996" s="3">
        <v>150900</v>
      </c>
      <c r="D996" s="3">
        <v>22950</v>
      </c>
      <c r="E996" s="7">
        <f t="shared" si="50"/>
        <v>127950</v>
      </c>
      <c r="F996" s="5">
        <v>45980</v>
      </c>
      <c r="G996" s="4">
        <v>20251118</v>
      </c>
      <c r="H996" s="38" t="str">
        <f>VLOOKUP(B996,CAJEROS!B:D,3,0)</f>
        <v>Multifuncional</v>
      </c>
      <c r="I996" s="34"/>
      <c r="J996" s="38" t="str">
        <f>VLOOKUP(B996,CAJEROS!B:E,4,0)</f>
        <v>MF_BUENASM1</v>
      </c>
    </row>
    <row r="997" spans="1:10">
      <c r="A997" s="32">
        <v>779</v>
      </c>
      <c r="B997" s="33">
        <v>8685</v>
      </c>
      <c r="C997" s="3">
        <v>595350</v>
      </c>
      <c r="D997" s="3"/>
      <c r="E997" s="7">
        <f t="shared" si="50"/>
        <v>595350</v>
      </c>
      <c r="F997" s="5">
        <v>45980</v>
      </c>
      <c r="G997" s="4">
        <v>20251118</v>
      </c>
      <c r="H997" s="38" t="str">
        <f>VLOOKUP(B997,CAJEROS!B:D,3,0)</f>
        <v>Multifuncional</v>
      </c>
      <c r="I997" s="34"/>
      <c r="J997" s="38" t="str">
        <f>VLOOKUP(B997,CAJEROS!B:E,4,0)</f>
        <v>MF_BUENVSM3</v>
      </c>
    </row>
    <row r="998" spans="1:10">
      <c r="A998" s="32">
        <v>848</v>
      </c>
      <c r="B998" s="33">
        <v>7374</v>
      </c>
      <c r="C998" s="3">
        <v>350</v>
      </c>
      <c r="D998" s="3"/>
      <c r="E998" s="7">
        <f t="shared" si="50"/>
        <v>350</v>
      </c>
      <c r="F998" s="5">
        <v>45980</v>
      </c>
      <c r="G998" s="4">
        <v>20251118</v>
      </c>
      <c r="H998" s="38" t="str">
        <f>VLOOKUP(B998,CAJEROS!B:D,3,0)</f>
        <v>Multifuncional</v>
      </c>
      <c r="I998" s="34"/>
      <c r="J998" s="38" t="str">
        <f>VLOOKUP(B998,CAJEROS!B:E,4,0)</f>
        <v>MF_BUGA</v>
      </c>
    </row>
    <row r="999" spans="1:10">
      <c r="A999" s="32">
        <v>879</v>
      </c>
      <c r="B999" s="33">
        <v>5045</v>
      </c>
      <c r="C999" s="3">
        <v>7796250</v>
      </c>
      <c r="D999" s="3"/>
      <c r="E999" s="7">
        <f t="shared" si="50"/>
        <v>7796250</v>
      </c>
      <c r="F999" s="5">
        <v>45980</v>
      </c>
      <c r="G999" s="4">
        <v>20251118</v>
      </c>
      <c r="H999" s="38" t="str">
        <f>VLOOKUP(B999,CAJEROS!B:D,3,0)</f>
        <v>Multifuncional</v>
      </c>
      <c r="I999" s="34"/>
      <c r="J999" s="38" t="str">
        <f>VLOOKUP(B999,CAJEROS!B:E,4,0)</f>
        <v>MF_UNPASTO</v>
      </c>
    </row>
    <row r="1000" spans="1:10">
      <c r="A1000" s="32">
        <v>890</v>
      </c>
      <c r="B1000" s="33">
        <v>9584</v>
      </c>
      <c r="C1000" s="3">
        <v>1000</v>
      </c>
      <c r="D1000" s="3"/>
      <c r="E1000" s="7">
        <f t="shared" si="50"/>
        <v>1000</v>
      </c>
      <c r="F1000" s="5">
        <v>45980</v>
      </c>
      <c r="G1000" s="4">
        <v>20251118</v>
      </c>
      <c r="H1000" s="38" t="str">
        <f>VLOOKUP(B1000,CAJEROS!B:D,3,0)</f>
        <v>Multifuncional</v>
      </c>
      <c r="I1000" s="34"/>
      <c r="J1000" s="38" t="str">
        <f>VLOOKUP(B1000,CAJEROS!B:E,4,0)</f>
        <v>MFSUCACACI1</v>
      </c>
    </row>
    <row r="1001" spans="1:10">
      <c r="A1001" s="32">
        <v>15</v>
      </c>
      <c r="B1001" s="33">
        <v>8576</v>
      </c>
      <c r="C1001" s="3">
        <v>3835100</v>
      </c>
      <c r="D1001" s="3"/>
      <c r="E1001" s="7">
        <f t="shared" ref="E1001" si="51">+C1001-D1001</f>
        <v>3835100</v>
      </c>
      <c r="F1001" s="5">
        <v>45980</v>
      </c>
      <c r="G1001" s="4">
        <v>20251118</v>
      </c>
      <c r="H1001" s="38" t="str">
        <f>VLOOKUP(B1001,CAJEROS!B:D,3,0)</f>
        <v>Multifuncional</v>
      </c>
      <c r="I1001" s="34" t="s">
        <v>9</v>
      </c>
      <c r="J1001" s="38" t="str">
        <f>VLOOKUP(B1001,CAJEROS!B:E,4,0)</f>
        <v>MF_HITAGUI1</v>
      </c>
    </row>
    <row r="1002" spans="1:10">
      <c r="A1002" s="32">
        <v>571</v>
      </c>
      <c r="B1002" s="33">
        <v>6150</v>
      </c>
      <c r="C1002" s="3">
        <v>3390000</v>
      </c>
      <c r="D1002" s="3"/>
      <c r="E1002" s="7">
        <f t="shared" ref="E1002:E1042" si="52">+C1002-D1002</f>
        <v>3390000</v>
      </c>
      <c r="F1002" s="5">
        <v>45980</v>
      </c>
      <c r="G1002" s="4">
        <v>20251118</v>
      </c>
      <c r="H1002" s="38" t="str">
        <f>VLOOKUP(B1002,CAJEROS!B:D,3,0)</f>
        <v>Multifuncional</v>
      </c>
      <c r="I1002" s="34" t="s">
        <v>9</v>
      </c>
      <c r="J1002" s="38" t="str">
        <f>VLOOKUP(B1002,CAJEROS!B:E,4,0)</f>
        <v>MF_PALATIN</v>
      </c>
    </row>
    <row r="1003" spans="1:10">
      <c r="A1003" s="32">
        <v>392</v>
      </c>
      <c r="B1003" s="33">
        <v>5064</v>
      </c>
      <c r="C1003" s="3">
        <v>3345000</v>
      </c>
      <c r="D1003" s="3"/>
      <c r="E1003" s="7">
        <f t="shared" si="52"/>
        <v>3345000</v>
      </c>
      <c r="F1003" s="5">
        <v>45980</v>
      </c>
      <c r="G1003" s="4">
        <v>20251118</v>
      </c>
      <c r="H1003" s="38" t="str">
        <f>VLOOKUP(B1003,CAJEROS!B:D,3,0)</f>
        <v>Multifuncional</v>
      </c>
      <c r="I1003" s="34" t="s">
        <v>9</v>
      </c>
      <c r="J1003" s="38" t="str">
        <f>VLOOKUP(B1003,CAJEROS!B:E,4,0)</f>
        <v>MF_LADORADA</v>
      </c>
    </row>
    <row r="1004" spans="1:10">
      <c r="A1004" s="32">
        <v>154</v>
      </c>
      <c r="B1004" s="33">
        <v>5041</v>
      </c>
      <c r="C1004" s="3">
        <v>3270000</v>
      </c>
      <c r="D1004" s="3"/>
      <c r="E1004" s="7">
        <f t="shared" si="52"/>
        <v>3270000</v>
      </c>
      <c r="F1004" s="5">
        <v>45980</v>
      </c>
      <c r="G1004" s="4">
        <v>20251118</v>
      </c>
      <c r="H1004" s="38" t="str">
        <f>VLOOKUP(B1004,CAJEROS!B:D,3,0)</f>
        <v>Multifuncional</v>
      </c>
      <c r="I1004" s="34" t="s">
        <v>9</v>
      </c>
      <c r="J1004" s="38" t="str">
        <f>VLOOKUP(B1004,CAJEROS!B:E,4,0)</f>
        <v>MF_CMAYOR</v>
      </c>
    </row>
    <row r="1005" spans="1:10">
      <c r="A1005" s="32">
        <v>652</v>
      </c>
      <c r="B1005" s="33">
        <v>5070</v>
      </c>
      <c r="C1005" s="3">
        <v>3230000</v>
      </c>
      <c r="D1005" s="3"/>
      <c r="E1005" s="7">
        <f t="shared" si="52"/>
        <v>3230000</v>
      </c>
      <c r="F1005" s="5">
        <v>45980</v>
      </c>
      <c r="G1005" s="4">
        <v>20251118</v>
      </c>
      <c r="H1005" s="38" t="str">
        <f>VLOOKUP(B1005,CAJEROS!B:D,3,0)</f>
        <v>Multifuncional</v>
      </c>
      <c r="I1005" s="34" t="s">
        <v>9</v>
      </c>
      <c r="J1005" s="38" t="str">
        <f>VLOOKUP(B1005,CAJEROS!B:E,4,0)</f>
        <v>MF_CHICO94</v>
      </c>
    </row>
    <row r="1006" spans="1:10">
      <c r="A1006" s="32">
        <v>253</v>
      </c>
      <c r="B1006" s="33">
        <v>5176</v>
      </c>
      <c r="C1006" s="3">
        <v>3180000</v>
      </c>
      <c r="D1006" s="3"/>
      <c r="E1006" s="7">
        <f t="shared" si="52"/>
        <v>3180000</v>
      </c>
      <c r="F1006" s="5">
        <v>45980</v>
      </c>
      <c r="G1006" s="4">
        <v>20251118</v>
      </c>
      <c r="H1006" s="38" t="str">
        <f>VLOOKUP(B1006,CAJEROS!B:D,3,0)</f>
        <v>Multifuncional</v>
      </c>
      <c r="I1006" s="34" t="s">
        <v>9</v>
      </c>
      <c r="J1006" s="38" t="str">
        <f>VLOOKUP(B1006,CAJEROS!B:E,4,0)</f>
        <v>MF_SPTANORT</v>
      </c>
    </row>
    <row r="1007" spans="1:10">
      <c r="A1007" s="32">
        <v>824</v>
      </c>
      <c r="B1007" s="33">
        <v>5040</v>
      </c>
      <c r="C1007" s="3">
        <v>3115000</v>
      </c>
      <c r="D1007" s="3"/>
      <c r="E1007" s="7">
        <f t="shared" si="52"/>
        <v>3115000</v>
      </c>
      <c r="F1007" s="5">
        <v>45980</v>
      </c>
      <c r="G1007" s="4">
        <v>20251118</v>
      </c>
      <c r="H1007" s="38" t="str">
        <f>VLOOKUP(B1007,CAJEROS!B:D,3,0)</f>
        <v>Multifuncional</v>
      </c>
      <c r="I1007" s="34" t="s">
        <v>9</v>
      </c>
      <c r="J1007" s="38" t="str">
        <f>VLOOKUP(B1007,CAJEROS!B:E,4,0)</f>
        <v>MF_VENPLAZA</v>
      </c>
    </row>
    <row r="1008" spans="1:10">
      <c r="A1008" s="32">
        <v>541</v>
      </c>
      <c r="B1008" s="33">
        <v>5185</v>
      </c>
      <c r="C1008" s="3">
        <v>3050000</v>
      </c>
      <c r="D1008" s="3"/>
      <c r="E1008" s="7">
        <f t="shared" si="52"/>
        <v>3050000</v>
      </c>
      <c r="F1008" s="5">
        <v>45980</v>
      </c>
      <c r="G1008" s="4">
        <v>20251118</v>
      </c>
      <c r="H1008" s="38" t="str">
        <f>VLOOKUP(B1008,CAJEROS!B:D,3,0)</f>
        <v>Multifuncional</v>
      </c>
      <c r="I1008" s="34" t="s">
        <v>9</v>
      </c>
      <c r="J1008" s="38" t="str">
        <f>VLOOKUP(B1008,CAJEROS!B:E,4,0)</f>
        <v>MF_PARQCALD</v>
      </c>
    </row>
    <row r="1009" spans="1:10">
      <c r="A1009" s="32">
        <v>211</v>
      </c>
      <c r="B1009" s="33">
        <v>5067</v>
      </c>
      <c r="C1009" s="3">
        <v>3025000</v>
      </c>
      <c r="D1009" s="3">
        <v>844000</v>
      </c>
      <c r="E1009" s="7">
        <f t="shared" si="52"/>
        <v>2181000</v>
      </c>
      <c r="F1009" s="5">
        <v>45980</v>
      </c>
      <c r="G1009" s="4">
        <v>20251118</v>
      </c>
      <c r="H1009" s="38" t="str">
        <f>VLOOKUP(B1009,CAJEROS!B:D,3,0)</f>
        <v>Multifuncional</v>
      </c>
      <c r="I1009" s="34" t="s">
        <v>9</v>
      </c>
      <c r="J1009" s="38" t="str">
        <f>VLOOKUP(B1009,CAJEROS!B:E,4,0)</f>
        <v>MF_SCTROIND</v>
      </c>
    </row>
    <row r="1010" spans="1:10">
      <c r="A1010" s="32">
        <v>609</v>
      </c>
      <c r="B1010" s="33">
        <v>7875</v>
      </c>
      <c r="C1010" s="3">
        <v>2795000</v>
      </c>
      <c r="D1010" s="3"/>
      <c r="E1010" s="7">
        <f t="shared" si="52"/>
        <v>2795000</v>
      </c>
      <c r="F1010" s="5">
        <v>45980</v>
      </c>
      <c r="G1010" s="4">
        <v>20251118</v>
      </c>
      <c r="H1010" s="38" t="str">
        <f>VLOOKUP(B1010,CAJEROS!B:D,3,0)</f>
        <v>Multifuncional</v>
      </c>
      <c r="I1010" s="34" t="s">
        <v>9</v>
      </c>
      <c r="J1010" s="38" t="str">
        <f>VLOOKUP(B1010,CAJEROS!B:E,4,0)</f>
        <v>MFSUCABAST1</v>
      </c>
    </row>
    <row r="1011" spans="1:10">
      <c r="A1011" s="32">
        <v>70</v>
      </c>
      <c r="B1011" s="33">
        <v>5164</v>
      </c>
      <c r="C1011" s="3">
        <v>2774000</v>
      </c>
      <c r="D1011" s="3"/>
      <c r="E1011" s="7">
        <f t="shared" si="52"/>
        <v>2774000</v>
      </c>
      <c r="F1011" s="5">
        <v>45980</v>
      </c>
      <c r="G1011" s="4">
        <v>20251118</v>
      </c>
      <c r="H1011" s="38" t="str">
        <f>VLOOKUP(B1011,CAJEROS!B:D,3,0)</f>
        <v>Multifuncional</v>
      </c>
      <c r="I1011" s="34" t="s">
        <v>9</v>
      </c>
      <c r="J1011" s="38" t="str">
        <f>VLOOKUP(B1011,CAJEROS!B:E,4,0)</f>
        <v>MF_MANIZALE</v>
      </c>
    </row>
    <row r="1012" spans="1:10">
      <c r="A1012" s="32">
        <v>888</v>
      </c>
      <c r="B1012" s="33">
        <v>6818</v>
      </c>
      <c r="C1012" s="3">
        <v>2765000</v>
      </c>
      <c r="D1012" s="3"/>
      <c r="E1012" s="7">
        <f t="shared" si="52"/>
        <v>2765000</v>
      </c>
      <c r="F1012" s="5">
        <v>45980</v>
      </c>
      <c r="G1012" s="4">
        <v>20251118</v>
      </c>
      <c r="H1012" s="38" t="str">
        <f>VLOOKUP(B1012,CAJEROS!B:D,3,0)</f>
        <v>Multifuncional</v>
      </c>
      <c r="I1012" s="34" t="s">
        <v>9</v>
      </c>
      <c r="J1012" s="38" t="str">
        <f>VLOOKUP(B1012,CAJEROS!B:E,4,0)</f>
        <v>MF_IPIALES</v>
      </c>
    </row>
    <row r="1013" spans="1:10">
      <c r="A1013" s="32">
        <v>78</v>
      </c>
      <c r="B1013" s="33">
        <v>6246</v>
      </c>
      <c r="C1013" s="3">
        <v>2210000</v>
      </c>
      <c r="D1013" s="3"/>
      <c r="E1013" s="7">
        <f t="shared" si="52"/>
        <v>2210000</v>
      </c>
      <c r="F1013" s="5">
        <v>45980</v>
      </c>
      <c r="G1013" s="4">
        <v>20251118</v>
      </c>
      <c r="H1013" s="38" t="str">
        <f>VLOOKUP(B1013,CAJEROS!B:D,3,0)</f>
        <v>Multifuncional</v>
      </c>
      <c r="I1013" s="34" t="s">
        <v>9</v>
      </c>
      <c r="J1013" s="38" t="str">
        <f>VLOOKUP(B1013,CAJEROS!B:E,4,0)</f>
        <v>MF_CACIQUE</v>
      </c>
    </row>
    <row r="1014" spans="1:10">
      <c r="A1014" s="32">
        <v>692</v>
      </c>
      <c r="B1014" s="33">
        <v>1515</v>
      </c>
      <c r="C1014" s="3">
        <v>2017000</v>
      </c>
      <c r="D1014" s="3"/>
      <c r="E1014" s="7">
        <f t="shared" si="52"/>
        <v>2017000</v>
      </c>
      <c r="F1014" s="5">
        <v>45980</v>
      </c>
      <c r="G1014" s="4">
        <v>20251118</v>
      </c>
      <c r="H1014" s="38" t="str">
        <f>VLOOKUP(B1014,CAJEROS!B:D,3,0)</f>
        <v>Multifuncional</v>
      </c>
      <c r="I1014" s="34" t="s">
        <v>9</v>
      </c>
      <c r="J1014" s="38" t="str">
        <f>VLOOKUP(B1014,CAJEROS!B:E,4,0)</f>
        <v>MFSUCALTPR1</v>
      </c>
    </row>
    <row r="1015" spans="1:10">
      <c r="A1015" s="32">
        <v>166</v>
      </c>
      <c r="B1015" s="33">
        <v>7940</v>
      </c>
      <c r="C1015" s="3">
        <v>2000000</v>
      </c>
      <c r="D1015" s="3"/>
      <c r="E1015" s="7">
        <f t="shared" si="52"/>
        <v>2000000</v>
      </c>
      <c r="F1015" s="5">
        <v>45980</v>
      </c>
      <c r="G1015" s="4">
        <v>20251118</v>
      </c>
      <c r="H1015" s="38" t="str">
        <f>VLOOKUP(B1015,CAJEROS!B:D,3,0)</f>
        <v>Multifuncional</v>
      </c>
      <c r="I1015" s="34" t="s">
        <v>9</v>
      </c>
      <c r="J1015" s="38" t="str">
        <f>VLOOKUP(B1015,CAJEROS!B:E,4,0)</f>
        <v>MF_ALDELS22</v>
      </c>
    </row>
    <row r="1016" spans="1:10">
      <c r="A1016" s="32">
        <v>358</v>
      </c>
      <c r="B1016" s="33">
        <v>5149</v>
      </c>
      <c r="C1016" s="3">
        <v>1920000</v>
      </c>
      <c r="D1016" s="3"/>
      <c r="E1016" s="7">
        <f t="shared" si="52"/>
        <v>1920000</v>
      </c>
      <c r="F1016" s="5">
        <v>45980</v>
      </c>
      <c r="G1016" s="4">
        <v>20251118</v>
      </c>
      <c r="H1016" s="38" t="str">
        <f>VLOOKUP(B1016,CAJEROS!B:D,3,0)</f>
        <v>Multifuncional</v>
      </c>
      <c r="I1016" s="34" t="s">
        <v>9</v>
      </c>
      <c r="J1016" s="38" t="str">
        <f>VLOOKUP(B1016,CAJEROS!B:E,4,0)</f>
        <v>MF_SOGAMOSO</v>
      </c>
    </row>
    <row r="1017" spans="1:10">
      <c r="A1017" s="32">
        <v>516</v>
      </c>
      <c r="B1017" s="33">
        <v>9729</v>
      </c>
      <c r="C1017" s="3">
        <v>1920000</v>
      </c>
      <c r="D1017" s="3"/>
      <c r="E1017" s="7">
        <f t="shared" si="52"/>
        <v>1920000</v>
      </c>
      <c r="F1017" s="5">
        <v>45980</v>
      </c>
      <c r="G1017" s="4">
        <v>20251118</v>
      </c>
      <c r="H1017" s="38" t="str">
        <f>VLOOKUP(B1017,CAJEROS!B:D,3,0)</f>
        <v>Multifuncional</v>
      </c>
      <c r="I1017" s="34" t="s">
        <v>9</v>
      </c>
      <c r="J1017" s="38" t="str">
        <f>VLOOKUP(B1017,CAJEROS!B:E,4,0)</f>
        <v>MF_SUCSTAM1</v>
      </c>
    </row>
    <row r="1018" spans="1:10">
      <c r="A1018" s="32">
        <v>367</v>
      </c>
      <c r="B1018" s="33">
        <v>9580</v>
      </c>
      <c r="C1018" s="3">
        <v>1825000</v>
      </c>
      <c r="D1018" s="3">
        <v>1685000</v>
      </c>
      <c r="E1018" s="7">
        <f t="shared" si="52"/>
        <v>140000</v>
      </c>
      <c r="F1018" s="5">
        <v>45980</v>
      </c>
      <c r="G1018" s="4">
        <v>20251118</v>
      </c>
      <c r="H1018" s="38" t="str">
        <f>VLOOKUP(B1018,CAJEROS!B:D,3,0)</f>
        <v>Multifuncional</v>
      </c>
      <c r="I1018" s="34" t="s">
        <v>9</v>
      </c>
      <c r="J1018" s="38" t="str">
        <f>VLOOKUP(B1018,CAJEROS!B:E,4,0)</f>
        <v>MF_SUCGRAN1</v>
      </c>
    </row>
    <row r="1019" spans="1:10">
      <c r="A1019" s="32">
        <v>54</v>
      </c>
      <c r="B1019" s="33">
        <v>6204</v>
      </c>
      <c r="C1019" s="3">
        <v>1310000</v>
      </c>
      <c r="D1019" s="3"/>
      <c r="E1019" s="7">
        <f t="shared" si="52"/>
        <v>1310000</v>
      </c>
      <c r="F1019" s="5">
        <v>45980</v>
      </c>
      <c r="G1019" s="4">
        <v>20251118</v>
      </c>
      <c r="H1019" s="38" t="str">
        <f>VLOOKUP(B1019,CAJEROS!B:D,3,0)</f>
        <v>Multifuncional</v>
      </c>
      <c r="I1019" s="34" t="s">
        <v>9</v>
      </c>
      <c r="J1019" s="38" t="str">
        <f>VLOOKUP(B1019,CAJEROS!B:E,4,0)</f>
        <v>MF_CALLE122</v>
      </c>
    </row>
    <row r="1020" spans="1:10">
      <c r="A1020" s="32">
        <v>267</v>
      </c>
      <c r="B1020" s="33">
        <v>6186</v>
      </c>
      <c r="C1020" s="3">
        <v>1190000</v>
      </c>
      <c r="D1020" s="3"/>
      <c r="E1020" s="7">
        <f t="shared" si="52"/>
        <v>1190000</v>
      </c>
      <c r="F1020" s="5">
        <v>45980</v>
      </c>
      <c r="G1020" s="4">
        <v>20251118</v>
      </c>
      <c r="H1020" s="38" t="str">
        <f>VLOOKUP(B1020,CAJEROS!B:D,3,0)</f>
        <v>Multifuncional</v>
      </c>
      <c r="I1020" s="34" t="s">
        <v>9</v>
      </c>
      <c r="J1020" s="38" t="str">
        <f>VLOOKUP(B1020,CAJEROS!B:E,4,0)</f>
        <v>MF_VISITACI</v>
      </c>
    </row>
    <row r="1021" spans="1:10">
      <c r="A1021" s="32">
        <v>167</v>
      </c>
      <c r="B1021" s="33">
        <v>5030</v>
      </c>
      <c r="C1021" s="3">
        <v>1084050</v>
      </c>
      <c r="D1021" s="3"/>
      <c r="E1021" s="7">
        <f t="shared" si="52"/>
        <v>1084050</v>
      </c>
      <c r="F1021" s="5">
        <v>45980</v>
      </c>
      <c r="G1021" s="4">
        <v>20251118</v>
      </c>
      <c r="H1021" s="38" t="str">
        <f>VLOOKUP(B1021,CAJEROS!B:D,3,0)</f>
        <v>Multifuncional</v>
      </c>
      <c r="I1021" s="34" t="s">
        <v>9</v>
      </c>
      <c r="J1021" s="38" t="str">
        <f>VLOOKUP(B1021,CAJEROS!B:E,4,0)</f>
        <v>MF_AVENID82</v>
      </c>
    </row>
    <row r="1022" spans="1:10">
      <c r="A1022" s="32">
        <v>6</v>
      </c>
      <c r="B1022" s="33">
        <v>5001</v>
      </c>
      <c r="C1022" s="3">
        <v>1060000</v>
      </c>
      <c r="D1022" s="3"/>
      <c r="E1022" s="7">
        <f t="shared" si="52"/>
        <v>1060000</v>
      </c>
      <c r="F1022" s="5">
        <v>45980</v>
      </c>
      <c r="G1022" s="4">
        <v>20251118</v>
      </c>
      <c r="H1022" s="38" t="str">
        <f>VLOOKUP(B1022,CAJEROS!B:D,3,0)</f>
        <v>Multifuncional</v>
      </c>
      <c r="I1022" s="34" t="s">
        <v>9</v>
      </c>
      <c r="J1022" s="38" t="str">
        <f>VLOOKUP(B1022,CAJEROS!B:E,4,0)</f>
        <v>MF_AVJUNIN</v>
      </c>
    </row>
    <row r="1023" spans="1:10">
      <c r="A1023" s="32">
        <v>337</v>
      </c>
      <c r="B1023" s="33">
        <v>6253</v>
      </c>
      <c r="C1023" s="3">
        <v>1060000</v>
      </c>
      <c r="D1023" s="3"/>
      <c r="E1023" s="7">
        <f t="shared" si="52"/>
        <v>1060000</v>
      </c>
      <c r="F1023" s="5">
        <v>45980</v>
      </c>
      <c r="G1023" s="4">
        <v>20251118</v>
      </c>
      <c r="H1023" s="38" t="str">
        <f>VLOOKUP(B1023,CAJEROS!B:D,3,0)</f>
        <v>Multifuncional</v>
      </c>
      <c r="I1023" s="34" t="s">
        <v>9</v>
      </c>
      <c r="J1023" s="38" t="str">
        <f>VLOOKUP(B1023,CAJEROS!B:E,4,0)</f>
        <v>MF_CHIA</v>
      </c>
    </row>
    <row r="1024" spans="1:10">
      <c r="A1024" s="32">
        <v>361</v>
      </c>
      <c r="B1024" s="33">
        <v>5005</v>
      </c>
      <c r="C1024" s="3">
        <v>605000</v>
      </c>
      <c r="D1024" s="3"/>
      <c r="E1024" s="7">
        <f t="shared" si="52"/>
        <v>605000</v>
      </c>
      <c r="F1024" s="5">
        <v>45980</v>
      </c>
      <c r="G1024" s="4">
        <v>20251118</v>
      </c>
      <c r="H1024" s="38" t="str">
        <f>VLOOKUP(B1024,CAJEROS!B:D,3,0)</f>
        <v>Multifuncional</v>
      </c>
      <c r="I1024" s="34" t="s">
        <v>9</v>
      </c>
      <c r="J1024" s="38" t="str">
        <f>VLOOKUP(B1024,CAJEROS!B:E,4,0)</f>
        <v>MF_CDPFONTI</v>
      </c>
    </row>
    <row r="1025" spans="1:10">
      <c r="A1025" s="32">
        <v>395</v>
      </c>
      <c r="B1025" s="33">
        <v>1528</v>
      </c>
      <c r="C1025" s="3">
        <v>595000</v>
      </c>
      <c r="D1025" s="3"/>
      <c r="E1025" s="7">
        <f t="shared" si="52"/>
        <v>595000</v>
      </c>
      <c r="F1025" s="5">
        <v>45980</v>
      </c>
      <c r="G1025" s="4">
        <v>20251118</v>
      </c>
      <c r="H1025" s="38" t="str">
        <f>VLOOKUP(B1025,CAJEROS!B:D,3,0)</f>
        <v>Multifuncional</v>
      </c>
      <c r="I1025" s="34" t="s">
        <v>9</v>
      </c>
      <c r="J1025" s="38" t="str">
        <f>VLOOKUP(B1025,CAJEROS!B:E,4,0)</f>
        <v>SUCMFVIVCI1</v>
      </c>
    </row>
    <row r="1026" spans="1:10">
      <c r="A1026" s="32">
        <v>769</v>
      </c>
      <c r="B1026" s="33">
        <v>8679</v>
      </c>
      <c r="C1026" s="3">
        <v>570000</v>
      </c>
      <c r="D1026" s="3"/>
      <c r="E1026" s="7">
        <f t="shared" si="52"/>
        <v>570000</v>
      </c>
      <c r="F1026" s="5">
        <v>45980</v>
      </c>
      <c r="G1026" s="4">
        <v>20251118</v>
      </c>
      <c r="H1026" s="38" t="str">
        <f>VLOOKUP(B1026,CAJEROS!B:D,3,0)</f>
        <v>Multifuncional</v>
      </c>
      <c r="I1026" s="34" t="s">
        <v>9</v>
      </c>
      <c r="J1026" s="38" t="str">
        <f>VLOOKUP(B1026,CAJEROS!B:E,4,0)</f>
        <v>MF_SUCPPRA1</v>
      </c>
    </row>
    <row r="1027" spans="1:10">
      <c r="A1027" s="32">
        <v>377</v>
      </c>
      <c r="B1027" s="33">
        <v>1508</v>
      </c>
      <c r="C1027" s="3">
        <v>517000</v>
      </c>
      <c r="D1027" s="3"/>
      <c r="E1027" s="7">
        <f t="shared" si="52"/>
        <v>517000</v>
      </c>
      <c r="F1027" s="5">
        <v>45980</v>
      </c>
      <c r="G1027" s="4">
        <v>20251118</v>
      </c>
      <c r="H1027" s="38" t="str">
        <f>VLOOKUP(B1027,CAJEROS!B:D,3,0)</f>
        <v>Multifuncional</v>
      </c>
      <c r="I1027" s="34" t="s">
        <v>9</v>
      </c>
      <c r="J1027" s="38" t="str">
        <f>VLOOKUP(B1027,CAJEROS!B:E,4,0)</f>
        <v>MFSUCCIAV1</v>
      </c>
    </row>
    <row r="1028" spans="1:10">
      <c r="A1028" s="32">
        <v>237</v>
      </c>
      <c r="B1028" s="33">
        <v>6467</v>
      </c>
      <c r="C1028" s="3">
        <v>300000</v>
      </c>
      <c r="D1028" s="3"/>
      <c r="E1028" s="7">
        <f t="shared" si="52"/>
        <v>300000</v>
      </c>
      <c r="F1028" s="5">
        <v>45980</v>
      </c>
      <c r="G1028" s="4">
        <v>20251118</v>
      </c>
      <c r="H1028" s="38" t="str">
        <f>VLOOKUP(B1028,CAJEROS!B:D,3,0)</f>
        <v>Multifuncional</v>
      </c>
      <c r="I1028" s="34" t="s">
        <v>9</v>
      </c>
      <c r="J1028" s="38" t="str">
        <f>VLOOKUP(B1028,CAJEROS!B:E,4,0)</f>
        <v>MF_DORADOPL</v>
      </c>
    </row>
    <row r="1029" spans="1:10">
      <c r="A1029" s="32">
        <v>849</v>
      </c>
      <c r="B1029" s="33">
        <v>9725</v>
      </c>
      <c r="C1029" s="3">
        <v>300000</v>
      </c>
      <c r="D1029" s="3"/>
      <c r="E1029" s="7">
        <f t="shared" si="52"/>
        <v>300000</v>
      </c>
      <c r="F1029" s="5">
        <v>45980</v>
      </c>
      <c r="G1029" s="4">
        <v>20251118</v>
      </c>
      <c r="H1029" s="38" t="str">
        <f>VLOOKUP(B1029,CAJEROS!B:D,3,0)</f>
        <v>Multifuncional</v>
      </c>
      <c r="I1029" s="34" t="s">
        <v>9</v>
      </c>
      <c r="J1029" s="38" t="str">
        <f>VLOOKUP(B1029,CAJEROS!B:E,4,0)</f>
        <v>MF_SUNIVIL2</v>
      </c>
    </row>
    <row r="1030" spans="1:10">
      <c r="A1030" s="32">
        <v>916</v>
      </c>
      <c r="B1030" s="33">
        <v>5052</v>
      </c>
      <c r="C1030" s="3">
        <v>208200</v>
      </c>
      <c r="D1030" s="3"/>
      <c r="E1030" s="7">
        <f t="shared" si="52"/>
        <v>208200</v>
      </c>
      <c r="F1030" s="5">
        <v>45980</v>
      </c>
      <c r="G1030" s="4">
        <v>20251118</v>
      </c>
      <c r="H1030" s="38" t="str">
        <f>VLOOKUP(B1030,CAJEROS!B:D,3,0)</f>
        <v>Multifuncional</v>
      </c>
      <c r="I1030" s="34" t="s">
        <v>9</v>
      </c>
      <c r="J1030" s="38" t="str">
        <f>VLOOKUP(B1030,CAJEROS!B:E,4,0)</f>
        <v>MF_OCEANMAL</v>
      </c>
    </row>
    <row r="1031" spans="1:10">
      <c r="A1031" s="32">
        <v>236</v>
      </c>
      <c r="B1031" s="33">
        <v>8497</v>
      </c>
      <c r="C1031" s="3">
        <v>180000</v>
      </c>
      <c r="D1031" s="3"/>
      <c r="E1031" s="7">
        <f t="shared" si="52"/>
        <v>180000</v>
      </c>
      <c r="F1031" s="5">
        <v>45980</v>
      </c>
      <c r="G1031" s="4">
        <v>20251118</v>
      </c>
      <c r="H1031" s="38" t="str">
        <f>VLOOKUP(B1031,CAJEROS!B:D,3,0)</f>
        <v>Multifuncional</v>
      </c>
      <c r="I1031" s="34" t="s">
        <v>9</v>
      </c>
      <c r="J1031" s="38" t="str">
        <f>VLOOKUP(B1031,CAJEROS!B:E,4,0)</f>
        <v>MF_EXITCOL2</v>
      </c>
    </row>
    <row r="1032" spans="1:10">
      <c r="A1032" s="32">
        <v>60</v>
      </c>
      <c r="B1032" s="33">
        <v>8727</v>
      </c>
      <c r="C1032" s="3">
        <v>89000</v>
      </c>
      <c r="D1032" s="3"/>
      <c r="E1032" s="7">
        <f t="shared" si="52"/>
        <v>89000</v>
      </c>
      <c r="F1032" s="5">
        <v>45980</v>
      </c>
      <c r="G1032" s="4">
        <v>20251118</v>
      </c>
      <c r="H1032" s="38" t="str">
        <f>VLOOKUP(B1032,CAJEROS!B:D,3,0)</f>
        <v>Multifuncional</v>
      </c>
      <c r="I1032" s="34" t="s">
        <v>9</v>
      </c>
      <c r="J1032" s="38" t="str">
        <f>VLOOKUP(B1032,CAJEROS!B:E,4,0)</f>
        <v>MF_HCALIPR1</v>
      </c>
    </row>
    <row r="1033" spans="1:10">
      <c r="A1033" s="32">
        <v>178</v>
      </c>
      <c r="B1033" s="33">
        <v>6218</v>
      </c>
      <c r="C1033" s="3">
        <v>70000</v>
      </c>
      <c r="D1033" s="3">
        <v>30750</v>
      </c>
      <c r="E1033" s="7">
        <f t="shared" si="52"/>
        <v>39250</v>
      </c>
      <c r="F1033" s="5">
        <v>45980</v>
      </c>
      <c r="G1033" s="4">
        <v>20251118</v>
      </c>
      <c r="H1033" s="38" t="str">
        <f>VLOOKUP(B1033,CAJEROS!B:D,3,0)</f>
        <v>Multifuncional</v>
      </c>
      <c r="I1033" s="34" t="s">
        <v>9</v>
      </c>
      <c r="J1033" s="38" t="str">
        <f>VLOOKUP(B1033,CAJEROS!B:E,4,0)</f>
        <v>MF_CFINANCI</v>
      </c>
    </row>
    <row r="1034" spans="1:10">
      <c r="A1034" s="32">
        <v>915</v>
      </c>
      <c r="B1034" s="33">
        <v>8314</v>
      </c>
      <c r="C1034" s="3">
        <v>70000</v>
      </c>
      <c r="D1034" s="3"/>
      <c r="E1034" s="7">
        <f t="shared" si="52"/>
        <v>70000</v>
      </c>
      <c r="F1034" s="5">
        <v>45980</v>
      </c>
      <c r="G1034" s="4">
        <v>20251118</v>
      </c>
      <c r="H1034" s="38" t="str">
        <f>VLOOKUP(B1034,CAJEROS!B:D,3,0)</f>
        <v>Multifuncional</v>
      </c>
      <c r="I1034" s="34" t="s">
        <v>9</v>
      </c>
      <c r="J1034" s="38" t="str">
        <f>VLOOKUP(B1034,CAJEROS!B:E,4,0)</f>
        <v>MF_BANLABB2</v>
      </c>
    </row>
    <row r="1035" spans="1:10">
      <c r="A1035" s="32">
        <v>60</v>
      </c>
      <c r="B1035" s="33">
        <v>8729</v>
      </c>
      <c r="C1035" s="3">
        <v>50000</v>
      </c>
      <c r="D1035" s="3"/>
      <c r="E1035" s="7">
        <f t="shared" si="52"/>
        <v>50000</v>
      </c>
      <c r="F1035" s="5">
        <v>45980</v>
      </c>
      <c r="G1035" s="4">
        <v>20251118</v>
      </c>
      <c r="H1035" s="38" t="str">
        <f>VLOOKUP(B1035,CAJEROS!B:D,3,0)</f>
        <v>Multifuncional</v>
      </c>
      <c r="I1035" s="34" t="s">
        <v>9</v>
      </c>
      <c r="J1035" s="38" t="str">
        <f>VLOOKUP(B1035,CAJEROS!B:E,4,0)</f>
        <v>MF_HCALIPR3</v>
      </c>
    </row>
    <row r="1036" spans="1:10">
      <c r="A1036" s="32">
        <v>236</v>
      </c>
      <c r="B1036" s="33">
        <v>6242</v>
      </c>
      <c r="C1036" s="3">
        <v>50000</v>
      </c>
      <c r="D1036" s="3"/>
      <c r="E1036" s="7">
        <f t="shared" si="52"/>
        <v>50000</v>
      </c>
      <c r="F1036" s="5">
        <v>45980</v>
      </c>
      <c r="G1036" s="4">
        <v>20251118</v>
      </c>
      <c r="H1036" s="38" t="str">
        <f>VLOOKUP(B1036,CAJEROS!B:D,3,0)</f>
        <v>Multifuncional</v>
      </c>
      <c r="I1036" s="34" t="s">
        <v>9</v>
      </c>
      <c r="J1036" s="38" t="str">
        <f>VLOOKUP(B1036,CAJEROS!B:E,4,0)</f>
        <v>MF_EXITCOLO</v>
      </c>
    </row>
    <row r="1037" spans="1:10">
      <c r="A1037" s="32">
        <v>495</v>
      </c>
      <c r="B1037" s="33">
        <v>8482</v>
      </c>
      <c r="C1037" s="3">
        <v>35000</v>
      </c>
      <c r="D1037" s="3"/>
      <c r="E1037" s="7">
        <f t="shared" si="52"/>
        <v>35000</v>
      </c>
      <c r="F1037" s="5">
        <v>45980</v>
      </c>
      <c r="G1037" s="4">
        <v>20251118</v>
      </c>
      <c r="H1037" s="38" t="str">
        <f>VLOOKUP(B1037,CAJEROS!B:D,3,0)</f>
        <v>Multifuncional</v>
      </c>
      <c r="I1037" s="34" t="s">
        <v>9</v>
      </c>
      <c r="J1037" s="38" t="str">
        <f>VLOOKUP(B1037,CAJEROS!B:E,4,0)</f>
        <v>MF_SUCBOSQ1</v>
      </c>
    </row>
    <row r="1038" spans="1:10">
      <c r="A1038" s="32">
        <v>852</v>
      </c>
      <c r="B1038" s="33">
        <v>5050</v>
      </c>
      <c r="C1038" s="3">
        <v>30000</v>
      </c>
      <c r="D1038" s="3"/>
      <c r="E1038" s="7">
        <f t="shared" si="52"/>
        <v>30000</v>
      </c>
      <c r="F1038" s="5">
        <v>45980</v>
      </c>
      <c r="G1038" s="4">
        <v>20251118</v>
      </c>
      <c r="H1038" s="38" t="str">
        <f>VLOOKUP(B1038,CAJEROS!B:D,3,0)</f>
        <v>Multifuncional</v>
      </c>
      <c r="I1038" s="34" t="s">
        <v>9</v>
      </c>
      <c r="J1038" s="38" t="str">
        <f>VLOOKUP(B1038,CAJEROS!B:E,4,0)</f>
        <v>MF_VICPLAZA</v>
      </c>
    </row>
    <row r="1039" spans="1:10">
      <c r="A1039" s="32">
        <v>369</v>
      </c>
      <c r="B1039" s="33">
        <v>4285</v>
      </c>
      <c r="C1039" s="3">
        <v>50000</v>
      </c>
      <c r="D1039" s="3"/>
      <c r="E1039" s="7">
        <f t="shared" si="52"/>
        <v>50000</v>
      </c>
      <c r="F1039" s="5">
        <v>45979</v>
      </c>
      <c r="G1039" s="4">
        <v>20251112</v>
      </c>
      <c r="H1039" s="38" t="e">
        <f>VLOOKUP(B1039,CAJEROS!B:D,3,0)</f>
        <v>#N/A</v>
      </c>
      <c r="I1039" s="34"/>
      <c r="J1039" s="38" t="e">
        <f>VLOOKUP(B1039,CAJEROS!B:E,4,0)</f>
        <v>#N/A</v>
      </c>
    </row>
    <row r="1040" spans="1:10">
      <c r="A1040" s="32">
        <v>595</v>
      </c>
      <c r="B1040" s="33">
        <v>3697</v>
      </c>
      <c r="C1040" s="3">
        <v>200000</v>
      </c>
      <c r="D1040" s="3"/>
      <c r="E1040" s="7">
        <f t="shared" si="52"/>
        <v>200000</v>
      </c>
      <c r="F1040" s="5">
        <v>45979</v>
      </c>
      <c r="G1040" s="4">
        <v>20251112</v>
      </c>
      <c r="H1040" s="38" t="str">
        <f>VLOOKUP(B1040,CAJEROS!B:D,3,0)</f>
        <v>Dispensador</v>
      </c>
      <c r="I1040" s="34"/>
      <c r="J1040" s="38" t="str">
        <f>VLOOKUP(B1040,CAJEROS!B:E,4,0)</f>
        <v>SUC_BARAN1</v>
      </c>
    </row>
    <row r="1041" spans="1:10">
      <c r="A1041" s="32">
        <v>743</v>
      </c>
      <c r="B1041" s="33">
        <v>5106</v>
      </c>
      <c r="C1041" s="3">
        <v>6210000</v>
      </c>
      <c r="D1041" s="3"/>
      <c r="E1041" s="7">
        <f t="shared" si="52"/>
        <v>6210000</v>
      </c>
      <c r="F1041" s="5">
        <v>45979</v>
      </c>
      <c r="G1041" s="4">
        <v>20251112</v>
      </c>
      <c r="H1041" s="38" t="str">
        <f>VLOOKUP(B1041,CAJEROS!B:D,3,0)</f>
        <v>Multifuncional</v>
      </c>
      <c r="I1041" s="34"/>
      <c r="J1041" s="38" t="str">
        <f>VLOOKUP(B1041,CAJEROS!B:E,4,0)</f>
        <v>MF_NORTHPOI</v>
      </c>
    </row>
    <row r="1042" spans="1:10">
      <c r="A1042" s="32">
        <v>799</v>
      </c>
      <c r="B1042" s="33">
        <v>8187</v>
      </c>
      <c r="C1042" s="3">
        <v>1700000</v>
      </c>
      <c r="D1042" s="3"/>
      <c r="E1042" s="7">
        <f t="shared" si="52"/>
        <v>1700000</v>
      </c>
      <c r="F1042" s="5">
        <v>45979</v>
      </c>
      <c r="G1042" s="4">
        <v>20251112</v>
      </c>
      <c r="H1042" s="38" t="str">
        <f>VLOOKUP(B1042,CAJEROS!B:D,3,0)</f>
        <v>Dispensador</v>
      </c>
      <c r="I1042" s="34"/>
      <c r="J1042" s="38" t="str">
        <f>VLOOKUP(B1042,CAJEROS!B:E,4,0)</f>
        <v>SUC_FLORBL4</v>
      </c>
    </row>
    <row r="1043" spans="1:10">
      <c r="A1043" s="32">
        <v>85</v>
      </c>
      <c r="B1043" s="33">
        <v>8973</v>
      </c>
      <c r="C1043" s="3">
        <v>20000</v>
      </c>
      <c r="D1043" s="3"/>
      <c r="E1043" s="7">
        <f t="shared" ref="E1043" si="53">+C1043-D1043</f>
        <v>20000</v>
      </c>
      <c r="F1043" s="5">
        <v>45980</v>
      </c>
      <c r="G1043" s="4">
        <v>20251118</v>
      </c>
      <c r="H1043" s="38" t="str">
        <f>VLOOKUP(B1043,CAJEROS!B:D,3,0)</f>
        <v>Dispensador</v>
      </c>
      <c r="I1043" s="34" t="s">
        <v>10</v>
      </c>
      <c r="J1043" s="38" t="str">
        <f>VLOOKUP(B1043,CAJEROS!B:E,4,0)</f>
        <v>SUCSERZUL_4</v>
      </c>
    </row>
    <row r="1044" spans="1:10">
      <c r="A1044" s="32">
        <v>399</v>
      </c>
      <c r="B1044" s="33">
        <v>8625</v>
      </c>
      <c r="C1044" s="3">
        <v>10000</v>
      </c>
      <c r="D1044" s="3"/>
      <c r="E1044" s="7">
        <f t="shared" ref="E1044:E1099" si="54">+C1044-D1044</f>
        <v>10000</v>
      </c>
      <c r="F1044" s="5">
        <v>45980</v>
      </c>
      <c r="G1044" s="4">
        <v>20251118</v>
      </c>
      <c r="H1044" s="38" t="str">
        <f>VLOOKUP(B1044,CAJEROS!B:D,3,0)</f>
        <v>Dispensador</v>
      </c>
      <c r="I1044" s="34" t="s">
        <v>10</v>
      </c>
      <c r="J1044" s="38" t="str">
        <f>VLOOKUP(B1044,CAJEROS!B:E,4,0)</f>
        <v>SUCGIRARDO5</v>
      </c>
    </row>
    <row r="1045" spans="1:10">
      <c r="A1045" s="32">
        <v>556</v>
      </c>
      <c r="B1045" s="33">
        <v>8337</v>
      </c>
      <c r="C1045" s="3">
        <v>20000</v>
      </c>
      <c r="D1045" s="3">
        <v>20000</v>
      </c>
      <c r="E1045" s="7">
        <f t="shared" si="54"/>
        <v>0</v>
      </c>
      <c r="F1045" s="5">
        <v>45980</v>
      </c>
      <c r="G1045" s="4">
        <v>20251118</v>
      </c>
      <c r="H1045" s="38" t="str">
        <f>VLOOKUP(B1045,CAJEROS!B:D,3,0)</f>
        <v>Dispensador</v>
      </c>
      <c r="I1045" s="34" t="s">
        <v>10</v>
      </c>
      <c r="J1045" s="38" t="str">
        <f>VLOOKUP(B1045,CAJEROS!B:E,4,0)</f>
        <v>SUCCARVIBO4</v>
      </c>
    </row>
    <row r="1046" spans="1:10">
      <c r="A1046" s="32">
        <v>915</v>
      </c>
      <c r="B1046" s="33">
        <v>8315</v>
      </c>
      <c r="C1046" s="3">
        <v>10000</v>
      </c>
      <c r="D1046" s="3"/>
      <c r="E1046" s="7">
        <f t="shared" si="54"/>
        <v>10000</v>
      </c>
      <c r="F1046" s="5">
        <v>45980</v>
      </c>
      <c r="G1046" s="4">
        <v>20251118</v>
      </c>
      <c r="H1046" s="38" t="str">
        <f>VLOOKUP(B1046,CAJEROS!B:D,3,0)</f>
        <v>Dispensador</v>
      </c>
      <c r="I1046" s="34" t="s">
        <v>10</v>
      </c>
      <c r="J1046" s="38" t="str">
        <f>VLOOKUP(B1046,CAJEROS!B:E,4,0)</f>
        <v>SUCBANLABB1</v>
      </c>
    </row>
    <row r="1047" spans="1:10">
      <c r="A1047" s="32">
        <v>724</v>
      </c>
      <c r="B1047" s="33">
        <v>6894</v>
      </c>
      <c r="C1047" s="3">
        <v>20000</v>
      </c>
      <c r="D1047" s="3"/>
      <c r="E1047" s="7">
        <f t="shared" si="54"/>
        <v>20000</v>
      </c>
      <c r="F1047" s="5">
        <v>45980</v>
      </c>
      <c r="G1047" s="4">
        <v>20251118</v>
      </c>
      <c r="H1047" s="38" t="str">
        <f>VLOOKUP(B1047,CAJEROS!B:D,3,0)</f>
        <v>Dispensador</v>
      </c>
      <c r="I1047" s="34" t="s">
        <v>10</v>
      </c>
      <c r="J1047" s="38" t="str">
        <f>VLOOKUP(B1047,CAJEROS!B:E,4,0)</f>
        <v>SUC_FONSEC3</v>
      </c>
    </row>
    <row r="1048" spans="1:10">
      <c r="A1048" s="32">
        <v>186</v>
      </c>
      <c r="B1048" s="33">
        <v>6513</v>
      </c>
      <c r="C1048" s="3">
        <v>20000</v>
      </c>
      <c r="D1048" s="3">
        <v>20000</v>
      </c>
      <c r="E1048" s="7">
        <f t="shared" si="54"/>
        <v>0</v>
      </c>
      <c r="F1048" s="5">
        <v>45980</v>
      </c>
      <c r="G1048" s="4">
        <v>20251118</v>
      </c>
      <c r="H1048" s="38" t="str">
        <f>VLOOKUP(B1048,CAJEROS!B:D,3,0)</f>
        <v>Dispensador</v>
      </c>
      <c r="I1048" s="34" t="s">
        <v>10</v>
      </c>
      <c r="J1048" s="38" t="str">
        <f>VLOOKUP(B1048,CAJEROS!B:E,4,0)</f>
        <v>SUC_GALERI4</v>
      </c>
    </row>
    <row r="1049" spans="1:10">
      <c r="A1049" s="32">
        <v>163</v>
      </c>
      <c r="B1049" s="33">
        <v>5554</v>
      </c>
      <c r="C1049" s="3">
        <v>20000</v>
      </c>
      <c r="D1049" s="3"/>
      <c r="E1049" s="7">
        <f t="shared" si="54"/>
        <v>20000</v>
      </c>
      <c r="F1049" s="5">
        <v>45980</v>
      </c>
      <c r="G1049" s="4">
        <v>20251118</v>
      </c>
      <c r="H1049" s="38" t="str">
        <f>VLOOKUP(B1049,CAJEROS!B:D,3,0)</f>
        <v>Dispensador</v>
      </c>
      <c r="I1049" s="34" t="s">
        <v>10</v>
      </c>
      <c r="J1049" s="38" t="str">
        <f>VLOOKUP(B1049,CAJEROS!B:E,4,0)</f>
        <v>PTO_BERRIO2</v>
      </c>
    </row>
    <row r="1050" spans="1:10">
      <c r="A1050" s="32">
        <v>217</v>
      </c>
      <c r="B1050" s="33">
        <v>5208</v>
      </c>
      <c r="C1050" s="3">
        <v>20000</v>
      </c>
      <c r="D1050" s="3"/>
      <c r="E1050" s="7">
        <f t="shared" si="54"/>
        <v>20000</v>
      </c>
      <c r="F1050" s="5">
        <v>45980</v>
      </c>
      <c r="G1050" s="4">
        <v>20251118</v>
      </c>
      <c r="H1050" s="38" t="str">
        <f>VLOOKUP(B1050,CAJEROS!B:D,3,0)</f>
        <v>Multifuncional</v>
      </c>
      <c r="I1050" s="34" t="s">
        <v>10</v>
      </c>
      <c r="J1050" s="38" t="str">
        <f>VLOOKUP(B1050,CAJEROS!B:E,4,0)</f>
        <v>MF_MONTEVID</v>
      </c>
    </row>
    <row r="1051" spans="1:10">
      <c r="A1051" s="32">
        <v>750</v>
      </c>
      <c r="B1051" s="33">
        <v>5537</v>
      </c>
      <c r="C1051" s="3">
        <v>20000</v>
      </c>
      <c r="D1051" s="3"/>
      <c r="E1051" s="7">
        <f t="shared" si="54"/>
        <v>20000</v>
      </c>
      <c r="F1051" s="5">
        <v>45980</v>
      </c>
      <c r="G1051" s="4">
        <v>20251118</v>
      </c>
      <c r="H1051" s="38" t="str">
        <f>VLOOKUP(B1051,CAJEROS!B:D,3,0)</f>
        <v>Dispensador</v>
      </c>
      <c r="I1051" s="34" t="s">
        <v>10</v>
      </c>
      <c r="J1051" s="38" t="str">
        <f>VLOOKUP(B1051,CAJEROS!B:E,4,0)</f>
        <v>AV_ROOSVEL1</v>
      </c>
    </row>
    <row r="1052" spans="1:10">
      <c r="A1052" s="32">
        <v>162</v>
      </c>
      <c r="B1052" s="33">
        <v>5384</v>
      </c>
      <c r="C1052" s="3">
        <v>20000</v>
      </c>
      <c r="D1052" s="3"/>
      <c r="E1052" s="7">
        <f t="shared" si="54"/>
        <v>20000</v>
      </c>
      <c r="F1052" s="5">
        <v>45980</v>
      </c>
      <c r="G1052" s="4">
        <v>20251118</v>
      </c>
      <c r="H1052" s="38" t="str">
        <f>VLOOKUP(B1052,CAJEROS!B:D,3,0)</f>
        <v>Dispensador</v>
      </c>
      <c r="I1052" s="34" t="s">
        <v>10</v>
      </c>
      <c r="J1052" s="38" t="str">
        <f>VLOOKUP(B1052,CAJEROS!B:E,4,0)</f>
        <v>SAN_PEDRO2</v>
      </c>
    </row>
    <row r="1053" spans="1:10">
      <c r="A1053" s="32">
        <v>318</v>
      </c>
      <c r="B1053" s="33">
        <v>5349</v>
      </c>
      <c r="C1053" s="3">
        <v>10000</v>
      </c>
      <c r="D1053" s="3"/>
      <c r="E1053" s="7">
        <f t="shared" si="54"/>
        <v>10000</v>
      </c>
      <c r="F1053" s="5">
        <v>45980</v>
      </c>
      <c r="G1053" s="4">
        <v>20251118</v>
      </c>
      <c r="H1053" s="38" t="str">
        <f>VLOOKUP(B1053,CAJEROS!B:D,3,0)</f>
        <v>Dispensador</v>
      </c>
      <c r="I1053" s="34" t="s">
        <v>10</v>
      </c>
      <c r="J1053" s="38" t="str">
        <f>VLOOKUP(B1053,CAJEROS!B:E,4,0)</f>
        <v>SUC_OCANA2</v>
      </c>
    </row>
    <row r="1054" spans="1:10">
      <c r="A1054" s="32">
        <v>503</v>
      </c>
      <c r="B1054" s="33">
        <v>5031</v>
      </c>
      <c r="C1054" s="3">
        <v>20000</v>
      </c>
      <c r="D1054" s="3"/>
      <c r="E1054" s="7">
        <f t="shared" si="54"/>
        <v>20000</v>
      </c>
      <c r="F1054" s="5">
        <v>45980</v>
      </c>
      <c r="G1054" s="4">
        <v>20251118</v>
      </c>
      <c r="H1054" s="38" t="str">
        <f>VLOOKUP(B1054,CAJEROS!B:D,3,0)</f>
        <v>Dispensador</v>
      </c>
      <c r="I1054" s="34" t="s">
        <v>10</v>
      </c>
      <c r="J1054" s="38" t="str">
        <f>VLOOKUP(B1054,CAJEROS!B:E,4,0)</f>
        <v>YARUMAL1</v>
      </c>
    </row>
    <row r="1055" spans="1:10">
      <c r="A1055" s="32">
        <v>389</v>
      </c>
      <c r="B1055" s="33">
        <v>4689</v>
      </c>
      <c r="C1055" s="3">
        <v>20000</v>
      </c>
      <c r="D1055" s="3"/>
      <c r="E1055" s="7">
        <f t="shared" si="54"/>
        <v>20000</v>
      </c>
      <c r="F1055" s="5">
        <v>45980</v>
      </c>
      <c r="G1055" s="4">
        <v>20251118</v>
      </c>
      <c r="H1055" s="38" t="str">
        <f>VLOOKUP(B1055,CAJEROS!B:D,3,0)</f>
        <v>Dispensador</v>
      </c>
      <c r="I1055" s="34" t="s">
        <v>10</v>
      </c>
      <c r="J1055" s="38" t="str">
        <f>VLOOKUP(B1055,CAJEROS!B:E,4,0)</f>
        <v>SUC_MARIQ3</v>
      </c>
    </row>
    <row r="1056" spans="1:10">
      <c r="A1056" s="32">
        <v>330</v>
      </c>
      <c r="B1056" s="33">
        <v>4407</v>
      </c>
      <c r="C1056" s="3">
        <v>20000</v>
      </c>
      <c r="D1056" s="3"/>
      <c r="E1056" s="7">
        <f t="shared" si="54"/>
        <v>20000</v>
      </c>
      <c r="F1056" s="5">
        <v>45980</v>
      </c>
      <c r="G1056" s="4">
        <v>20251118</v>
      </c>
      <c r="H1056" s="38" t="str">
        <f>VLOOKUP(B1056,CAJEROS!B:D,3,0)</f>
        <v>Dispensador</v>
      </c>
      <c r="I1056" s="34" t="s">
        <v>10</v>
      </c>
      <c r="J1056" s="38" t="str">
        <f>VLOOKUP(B1056,CAJEROS!B:E,4,0)</f>
        <v>SUC_MALAMB2</v>
      </c>
    </row>
    <row r="1057" spans="1:10">
      <c r="A1057" s="32">
        <v>332</v>
      </c>
      <c r="B1057" s="33">
        <v>2553</v>
      </c>
      <c r="C1057" s="3">
        <v>20000</v>
      </c>
      <c r="D1057" s="3"/>
      <c r="E1057" s="7">
        <f t="shared" si="54"/>
        <v>20000</v>
      </c>
      <c r="F1057" s="5">
        <v>45980</v>
      </c>
      <c r="G1057" s="4">
        <v>20251118</v>
      </c>
      <c r="H1057" s="38" t="str">
        <f>VLOOKUP(B1057,CAJEROS!B:D,3,0)</f>
        <v>Dispensador</v>
      </c>
      <c r="I1057" s="34" t="s">
        <v>10</v>
      </c>
      <c r="J1057" s="38" t="str">
        <f>VLOOKUP(B1057,CAJEROS!B:E,4,0)</f>
        <v>ZIPAQUIRA_2</v>
      </c>
    </row>
    <row r="1058" spans="1:10">
      <c r="A1058" s="32">
        <v>108</v>
      </c>
      <c r="B1058" s="33">
        <v>2042</v>
      </c>
      <c r="C1058" s="3">
        <v>20000</v>
      </c>
      <c r="D1058" s="3"/>
      <c r="E1058" s="7">
        <f t="shared" si="54"/>
        <v>20000</v>
      </c>
      <c r="F1058" s="5">
        <v>45980</v>
      </c>
      <c r="G1058" s="4">
        <v>20251118</v>
      </c>
      <c r="H1058" s="38" t="str">
        <f>VLOOKUP(B1058,CAJEROS!B:D,3,0)</f>
        <v>Dispensador</v>
      </c>
      <c r="I1058" s="34" t="s">
        <v>10</v>
      </c>
      <c r="J1058" s="38" t="str">
        <f>VLOOKUP(B1058,CAJEROS!B:E,4,0)</f>
        <v>SUCPLZAMER5</v>
      </c>
    </row>
    <row r="1059" spans="1:10">
      <c r="A1059" s="32">
        <v>325</v>
      </c>
      <c r="B1059" s="33">
        <v>5575</v>
      </c>
      <c r="C1059" s="3">
        <v>20000</v>
      </c>
      <c r="D1059" s="3"/>
      <c r="E1059" s="7">
        <f t="shared" si="54"/>
        <v>20000</v>
      </c>
      <c r="F1059" s="5">
        <v>45980</v>
      </c>
      <c r="G1059" s="4">
        <v>20251118</v>
      </c>
      <c r="H1059" s="38" t="str">
        <f>VLOOKUP(B1059,CAJEROS!B:D,3,0)</f>
        <v>Dispensador</v>
      </c>
      <c r="I1059" s="34" t="s">
        <v>10</v>
      </c>
      <c r="J1059" s="38" t="str">
        <f>VLOOKUP(B1059,CAJEROS!B:E,4,0)</f>
        <v>SANTUARI2</v>
      </c>
    </row>
    <row r="1060" spans="1:10">
      <c r="A1060" s="32">
        <v>70</v>
      </c>
      <c r="B1060" s="33">
        <v>4729</v>
      </c>
      <c r="C1060" s="3">
        <v>1000000</v>
      </c>
      <c r="D1060" s="3"/>
      <c r="E1060" s="7">
        <f t="shared" si="54"/>
        <v>1000000</v>
      </c>
      <c r="F1060" s="5">
        <v>45981</v>
      </c>
      <c r="G1060" s="4">
        <v>20251119</v>
      </c>
      <c r="H1060" s="38" t="str">
        <f>VLOOKUP(B1060,CAJEROS!B:D,3,0)</f>
        <v>Dispensador</v>
      </c>
      <c r="I1060" s="34"/>
      <c r="J1060" s="38" t="str">
        <f>VLOOKUP(B1060,CAJEROS!B:E,4,0)</f>
        <v>PPMANIZLES4</v>
      </c>
    </row>
    <row r="1061" spans="1:10">
      <c r="A1061" s="32">
        <v>211</v>
      </c>
      <c r="B1061" s="33">
        <v>5308</v>
      </c>
      <c r="C1061" s="3">
        <v>20000</v>
      </c>
      <c r="D1061" s="3"/>
      <c r="E1061" s="7">
        <f t="shared" si="54"/>
        <v>20000</v>
      </c>
      <c r="F1061" s="5">
        <v>45981</v>
      </c>
      <c r="G1061" s="4">
        <v>20251119</v>
      </c>
      <c r="H1061" s="38" t="str">
        <f>VLOOKUP(B1061,CAJEROS!B:D,3,0)</f>
        <v>Dispensador</v>
      </c>
      <c r="I1061" s="34"/>
      <c r="J1061" s="38" t="str">
        <f>VLOOKUP(B1061,CAJEROS!B:E,4,0)</f>
        <v>SUC_INDUST1</v>
      </c>
    </row>
    <row r="1062" spans="1:10">
      <c r="A1062" s="32">
        <v>213</v>
      </c>
      <c r="B1062" s="33">
        <v>5594</v>
      </c>
      <c r="C1062" s="3">
        <v>200000</v>
      </c>
      <c r="D1062" s="3"/>
      <c r="E1062" s="7">
        <f t="shared" si="54"/>
        <v>200000</v>
      </c>
      <c r="F1062" s="5">
        <v>45981</v>
      </c>
      <c r="G1062" s="4">
        <v>20251119</v>
      </c>
      <c r="H1062" s="38" t="str">
        <f>VLOOKUP(B1062,CAJEROS!B:D,3,0)</f>
        <v>Dispensador</v>
      </c>
      <c r="I1062" s="34"/>
      <c r="J1062" s="38" t="str">
        <f>VLOOKUP(B1062,CAJEROS!B:E,4,0)</f>
        <v>CCMILPLAZA1</v>
      </c>
    </row>
    <row r="1063" spans="1:10">
      <c r="A1063" s="32">
        <v>213</v>
      </c>
      <c r="B1063" s="33">
        <v>5595</v>
      </c>
      <c r="C1063" s="3">
        <v>5170000</v>
      </c>
      <c r="D1063" s="3"/>
      <c r="E1063" s="7">
        <f t="shared" si="54"/>
        <v>5170000</v>
      </c>
      <c r="F1063" s="5">
        <v>45981</v>
      </c>
      <c r="G1063" s="4">
        <v>20251119</v>
      </c>
      <c r="H1063" s="38" t="str">
        <f>VLOOKUP(B1063,CAJEROS!B:D,3,0)</f>
        <v>Dispensador</v>
      </c>
      <c r="I1063" s="34"/>
      <c r="J1063" s="38" t="str">
        <f>VLOOKUP(B1063,CAJEROS!B:E,4,0)</f>
        <v>CCMILPLAZA2</v>
      </c>
    </row>
    <row r="1064" spans="1:10">
      <c r="A1064" s="32">
        <v>240</v>
      </c>
      <c r="B1064" s="33">
        <v>4510</v>
      </c>
      <c r="C1064" s="3">
        <v>450000</v>
      </c>
      <c r="D1064" s="3"/>
      <c r="E1064" s="7">
        <f t="shared" si="54"/>
        <v>450000</v>
      </c>
      <c r="F1064" s="5">
        <v>45981</v>
      </c>
      <c r="G1064" s="4">
        <v>20251119</v>
      </c>
      <c r="H1064" s="38" t="str">
        <f>VLOOKUP(B1064,CAJEROS!B:D,3,0)</f>
        <v>Dispensador</v>
      </c>
      <c r="I1064" s="34"/>
      <c r="J1064" s="38" t="str">
        <f>VLOOKUP(B1064,CAJEROS!B:E,4,0)</f>
        <v>SUC_SANTFE1</v>
      </c>
    </row>
    <row r="1065" spans="1:10">
      <c r="A1065" s="32">
        <v>240</v>
      </c>
      <c r="B1065" s="33">
        <v>6372</v>
      </c>
      <c r="C1065" s="3">
        <v>2020000</v>
      </c>
      <c r="D1065" s="3"/>
      <c r="E1065" s="7">
        <f t="shared" si="54"/>
        <v>2020000</v>
      </c>
      <c r="F1065" s="5">
        <v>45981</v>
      </c>
      <c r="G1065" s="4">
        <v>20251119</v>
      </c>
      <c r="H1065" s="38" t="str">
        <f>VLOOKUP(B1065,CAJEROS!B:D,3,0)</f>
        <v>Dispensador</v>
      </c>
      <c r="I1065" s="34"/>
      <c r="J1065" s="38" t="str">
        <f>VLOOKUP(B1065,CAJEROS!B:E,4,0)</f>
        <v>STAFEANTI_2</v>
      </c>
    </row>
    <row r="1066" spans="1:10">
      <c r="A1066" s="32">
        <v>289</v>
      </c>
      <c r="B1066" s="33">
        <v>3176</v>
      </c>
      <c r="C1066" s="3">
        <v>350000</v>
      </c>
      <c r="D1066" s="3"/>
      <c r="E1066" s="7">
        <f t="shared" si="54"/>
        <v>350000</v>
      </c>
      <c r="F1066" s="5">
        <v>45981</v>
      </c>
      <c r="G1066" s="4">
        <v>20251119</v>
      </c>
      <c r="H1066" s="38" t="str">
        <f>VLOOKUP(B1066,CAJEROS!B:D,3,0)</f>
        <v>Dispensador</v>
      </c>
      <c r="I1066" s="34"/>
      <c r="J1066" s="38" t="str">
        <f>VLOOKUP(B1066,CAJEROS!B:E,4,0)</f>
        <v>PUERTO_GAI1</v>
      </c>
    </row>
    <row r="1067" spans="1:10">
      <c r="A1067" s="32">
        <v>359</v>
      </c>
      <c r="B1067" s="33">
        <v>8425</v>
      </c>
      <c r="C1067" s="3">
        <v>500000</v>
      </c>
      <c r="D1067" s="3"/>
      <c r="E1067" s="7">
        <f t="shared" si="54"/>
        <v>500000</v>
      </c>
      <c r="F1067" s="5">
        <v>45981</v>
      </c>
      <c r="G1067" s="4">
        <v>20251119</v>
      </c>
      <c r="H1067" s="38" t="str">
        <f>VLOOKUP(B1067,CAJEROS!B:D,3,0)</f>
        <v>Dispensador</v>
      </c>
      <c r="I1067" s="34"/>
      <c r="J1067" s="38" t="str">
        <f>VLOOKUP(B1067,CAJEROS!B:E,4,0)</f>
        <v>SUCCOVENAS1</v>
      </c>
    </row>
    <row r="1068" spans="1:10">
      <c r="A1068" s="32">
        <v>372</v>
      </c>
      <c r="B1068" s="33">
        <v>7917</v>
      </c>
      <c r="C1068" s="3">
        <v>900000</v>
      </c>
      <c r="D1068" s="3"/>
      <c r="E1068" s="7">
        <f t="shared" si="54"/>
        <v>900000</v>
      </c>
      <c r="F1068" s="5">
        <v>45981</v>
      </c>
      <c r="G1068" s="4">
        <v>20251119</v>
      </c>
      <c r="H1068" s="38" t="str">
        <f>VLOOKUP(B1068,CAJEROS!B:D,3,0)</f>
        <v>Dispensador</v>
      </c>
      <c r="I1068" s="34"/>
      <c r="J1068" s="38" t="str">
        <f>VLOOKUP(B1068,CAJEROS!B:E,4,0)</f>
        <v>SUCFACATA_3</v>
      </c>
    </row>
    <row r="1069" spans="1:10">
      <c r="A1069" s="32">
        <v>473</v>
      </c>
      <c r="B1069" s="33">
        <v>3441</v>
      </c>
      <c r="C1069" s="3">
        <v>2110000</v>
      </c>
      <c r="D1069" s="3"/>
      <c r="E1069" s="7">
        <f t="shared" si="54"/>
        <v>2110000</v>
      </c>
      <c r="F1069" s="5">
        <v>45981</v>
      </c>
      <c r="G1069" s="4">
        <v>20251119</v>
      </c>
      <c r="H1069" s="38" t="str">
        <f>VLOOKUP(B1069,CAJEROS!B:D,3,0)</f>
        <v>Dispensador</v>
      </c>
      <c r="I1069" s="34"/>
      <c r="J1069" s="38" t="str">
        <f>VLOOKUP(B1069,CAJEROS!B:E,4,0)</f>
        <v>VICAGUAN1</v>
      </c>
    </row>
    <row r="1070" spans="1:10">
      <c r="A1070" s="32">
        <v>499</v>
      </c>
      <c r="B1070" s="33">
        <v>9805</v>
      </c>
      <c r="C1070" s="3">
        <v>2450000</v>
      </c>
      <c r="D1070" s="3"/>
      <c r="E1070" s="7">
        <f t="shared" si="54"/>
        <v>2450000</v>
      </c>
      <c r="F1070" s="5">
        <v>45981</v>
      </c>
      <c r="G1070" s="4">
        <v>20251119</v>
      </c>
      <c r="H1070" s="38" t="str">
        <f>VLOOKUP(B1070,CAJEROS!B:D,3,0)</f>
        <v>Dispensador</v>
      </c>
      <c r="I1070" s="34"/>
      <c r="J1070" s="38" t="str">
        <f>VLOOKUP(B1070,CAJEROS!B:E,4,0)</f>
        <v>SUCPLZFABR7</v>
      </c>
    </row>
    <row r="1071" spans="1:10">
      <c r="A1071" s="32">
        <v>509</v>
      </c>
      <c r="B1071" s="33">
        <v>8779</v>
      </c>
      <c r="C1071" s="3">
        <v>350000</v>
      </c>
      <c r="D1071" s="3"/>
      <c r="E1071" s="7">
        <f t="shared" si="54"/>
        <v>350000</v>
      </c>
      <c r="F1071" s="5">
        <v>45981</v>
      </c>
      <c r="G1071" s="4">
        <v>20251119</v>
      </c>
      <c r="H1071" s="38" t="str">
        <f>VLOOKUP(B1071,CAJEROS!B:D,3,0)</f>
        <v>Dispensador</v>
      </c>
      <c r="I1071" s="34"/>
      <c r="J1071" s="38" t="str">
        <f>VLOOKUP(B1071,CAJEROS!B:E,4,0)</f>
        <v>SUCTURBA2</v>
      </c>
    </row>
    <row r="1072" spans="1:10">
      <c r="A1072" s="32">
        <v>517</v>
      </c>
      <c r="B1072" s="33">
        <v>3873</v>
      </c>
      <c r="C1072" s="3">
        <v>100000</v>
      </c>
      <c r="D1072" s="3"/>
      <c r="E1072" s="7">
        <f t="shared" si="54"/>
        <v>100000</v>
      </c>
      <c r="F1072" s="5">
        <v>45981</v>
      </c>
      <c r="G1072" s="4">
        <v>20251119</v>
      </c>
      <c r="H1072" s="38" t="str">
        <f>VLOOKUP(B1072,CAJEROS!B:D,3,0)</f>
        <v>Dispensador</v>
      </c>
      <c r="I1072" s="34"/>
      <c r="J1072" s="38" t="str">
        <f>VLOOKUP(B1072,CAJEROS!B:E,4,0)</f>
        <v>SUC_RODADE2</v>
      </c>
    </row>
    <row r="1073" spans="1:10">
      <c r="A1073" s="32">
        <v>732</v>
      </c>
      <c r="B1073" s="33">
        <v>6966</v>
      </c>
      <c r="C1073" s="3">
        <v>1780000</v>
      </c>
      <c r="D1073" s="3"/>
      <c r="E1073" s="7">
        <f t="shared" si="54"/>
        <v>1780000</v>
      </c>
      <c r="F1073" s="5">
        <v>45981</v>
      </c>
      <c r="G1073" s="4">
        <v>20251119</v>
      </c>
      <c r="H1073" s="38" t="str">
        <f>VLOOKUP(B1073,CAJEROS!B:D,3,0)</f>
        <v>Dispensador</v>
      </c>
      <c r="I1073" s="34"/>
      <c r="J1073" s="38" t="str">
        <f>VLOOKUP(B1073,CAJEROS!B:E,4,0)</f>
        <v>ROLDANIL_2</v>
      </c>
    </row>
    <row r="1074" spans="1:10">
      <c r="A1074" s="32">
        <v>816</v>
      </c>
      <c r="B1074" s="33">
        <v>4113</v>
      </c>
      <c r="C1074" s="3">
        <v>400000</v>
      </c>
      <c r="D1074" s="3"/>
      <c r="E1074" s="7">
        <f t="shared" si="54"/>
        <v>400000</v>
      </c>
      <c r="F1074" s="5">
        <v>45981</v>
      </c>
      <c r="G1074" s="4">
        <v>20251119</v>
      </c>
      <c r="H1074" s="38" t="str">
        <f>VLOOKUP(B1074,CAJEROS!B:D,3,0)</f>
        <v>Dispensador</v>
      </c>
      <c r="I1074" s="34"/>
      <c r="J1074" s="38" t="str">
        <f>VLOOKUP(B1074,CAJEROS!B:E,4,0)</f>
        <v>SUC_CL10_4</v>
      </c>
    </row>
    <row r="1075" spans="1:10">
      <c r="A1075" s="32">
        <v>831</v>
      </c>
      <c r="B1075" s="33">
        <v>4654</v>
      </c>
      <c r="C1075" s="3">
        <v>20000</v>
      </c>
      <c r="D1075" s="3"/>
      <c r="E1075" s="7">
        <f t="shared" si="54"/>
        <v>20000</v>
      </c>
      <c r="F1075" s="5">
        <v>45981</v>
      </c>
      <c r="G1075" s="4">
        <v>20251119</v>
      </c>
      <c r="H1075" s="38" t="str">
        <f>VLOOKUP(B1075,CAJEROS!B:D,3,0)</f>
        <v>Dispensador</v>
      </c>
      <c r="I1075" s="34"/>
      <c r="J1075" s="38" t="str">
        <f>VLOOKUP(B1075,CAJEROS!B:E,4,0)</f>
        <v>SUC_CAREPA3</v>
      </c>
    </row>
    <row r="1076" spans="1:10">
      <c r="A1076" s="32">
        <v>846</v>
      </c>
      <c r="B1076" s="33">
        <v>4377</v>
      </c>
      <c r="C1076" s="3">
        <v>200000</v>
      </c>
      <c r="D1076" s="3"/>
      <c r="E1076" s="7">
        <f t="shared" si="54"/>
        <v>200000</v>
      </c>
      <c r="F1076" s="5">
        <v>45981</v>
      </c>
      <c r="G1076" s="4">
        <v>20251119</v>
      </c>
      <c r="H1076" s="38" t="str">
        <f>VLOOKUP(B1076,CAJEROS!B:D,3,0)</f>
        <v>Dispensador</v>
      </c>
      <c r="I1076" s="34"/>
      <c r="J1076" s="38" t="str">
        <f>VLOOKUP(B1076,CAJEROS!B:E,4,0)</f>
        <v>SUC_CUMAR2</v>
      </c>
    </row>
    <row r="1077" spans="1:10">
      <c r="A1077" s="32">
        <v>38</v>
      </c>
      <c r="B1077" s="33">
        <v>6553</v>
      </c>
      <c r="C1077" s="3">
        <v>1700000</v>
      </c>
      <c r="D1077" s="3"/>
      <c r="E1077" s="7">
        <f t="shared" si="54"/>
        <v>1700000</v>
      </c>
      <c r="F1077" s="5">
        <v>45981</v>
      </c>
      <c r="G1077" s="4">
        <v>20251119</v>
      </c>
      <c r="H1077" s="38" t="str">
        <f>VLOOKUP(B1077,CAJEROS!B:D,3,0)</f>
        <v>Dispensador</v>
      </c>
      <c r="I1077" s="34" t="s">
        <v>9</v>
      </c>
      <c r="J1077" s="38" t="str">
        <f>VLOOKUP(B1077,CAJEROS!B:E,4,0)</f>
        <v>PAIPA1</v>
      </c>
    </row>
    <row r="1078" spans="1:10">
      <c r="A1078" s="32">
        <v>64</v>
      </c>
      <c r="B1078" s="33">
        <v>6447</v>
      </c>
      <c r="C1078" s="3">
        <v>40000</v>
      </c>
      <c r="D1078" s="3"/>
      <c r="E1078" s="7">
        <f t="shared" si="54"/>
        <v>40000</v>
      </c>
      <c r="F1078" s="5">
        <v>45981</v>
      </c>
      <c r="G1078" s="4">
        <v>20251119</v>
      </c>
      <c r="H1078" s="38" t="str">
        <f>VLOOKUP(B1078,CAJEROS!B:D,3,0)</f>
        <v>Dispensador</v>
      </c>
      <c r="I1078" s="34" t="s">
        <v>9</v>
      </c>
      <c r="J1078" s="38" t="str">
        <f>VLOOKUP(B1078,CAJEROS!B:E,4,0)</f>
        <v>VIPASA_5_R</v>
      </c>
    </row>
    <row r="1079" spans="1:10">
      <c r="A1079" s="32">
        <v>93</v>
      </c>
      <c r="B1079" s="33">
        <v>931</v>
      </c>
      <c r="C1079" s="3">
        <v>90000</v>
      </c>
      <c r="D1079" s="3"/>
      <c r="E1079" s="7">
        <f t="shared" si="54"/>
        <v>90000</v>
      </c>
      <c r="F1079" s="5">
        <v>45981</v>
      </c>
      <c r="G1079" s="4">
        <v>20251119</v>
      </c>
      <c r="H1079" s="38" t="str">
        <f>VLOOKUP(B1079,CAJEROS!B:D,3,0)</f>
        <v>Dispensador</v>
      </c>
      <c r="I1079" s="34" t="s">
        <v>9</v>
      </c>
      <c r="J1079" s="38" t="str">
        <f>VLOOKUP(B1079,CAJEROS!B:E,4,0)</f>
        <v>SAHAGUN2</v>
      </c>
    </row>
    <row r="1080" spans="1:10">
      <c r="A1080" s="32">
        <v>193</v>
      </c>
      <c r="B1080" s="33">
        <v>8534</v>
      </c>
      <c r="C1080" s="3">
        <v>2950000</v>
      </c>
      <c r="D1080" s="3"/>
      <c r="E1080" s="7">
        <f t="shared" si="54"/>
        <v>2950000</v>
      </c>
      <c r="F1080" s="5">
        <v>45981</v>
      </c>
      <c r="G1080" s="4">
        <v>20251119</v>
      </c>
      <c r="H1080" s="38" t="str">
        <f>VLOOKUP(B1080,CAJEROS!B:D,3,0)</f>
        <v>Dispensador</v>
      </c>
      <c r="I1080" s="34" t="s">
        <v>9</v>
      </c>
      <c r="J1080" s="38" t="str">
        <f>VLOOKUP(B1080,CAJEROS!B:E,4,0)</f>
        <v>HALLSUCFIC4</v>
      </c>
    </row>
    <row r="1081" spans="1:10">
      <c r="A1081" s="32">
        <v>225</v>
      </c>
      <c r="B1081" s="33">
        <v>8867</v>
      </c>
      <c r="C1081" s="3">
        <v>50000</v>
      </c>
      <c r="D1081" s="3"/>
      <c r="E1081" s="7">
        <f t="shared" si="54"/>
        <v>50000</v>
      </c>
      <c r="F1081" s="5">
        <v>45981</v>
      </c>
      <c r="G1081" s="4">
        <v>20251119</v>
      </c>
      <c r="H1081" s="38" t="str">
        <f>VLOOKUP(B1081,CAJEROS!B:D,3,0)</f>
        <v>Dispensador</v>
      </c>
      <c r="I1081" s="34" t="s">
        <v>9</v>
      </c>
      <c r="J1081" s="38" t="str">
        <f>VLOOKUP(B1081,CAJEROS!B:E,4,0)</f>
        <v>SMALPLANQS5</v>
      </c>
    </row>
    <row r="1082" spans="1:10">
      <c r="A1082" s="32">
        <v>231</v>
      </c>
      <c r="B1082" s="33">
        <v>5209</v>
      </c>
      <c r="C1082" s="3">
        <v>300000</v>
      </c>
      <c r="D1082" s="3"/>
      <c r="E1082" s="7">
        <f t="shared" si="54"/>
        <v>300000</v>
      </c>
      <c r="F1082" s="5">
        <v>45981</v>
      </c>
      <c r="G1082" s="4">
        <v>20251119</v>
      </c>
      <c r="H1082" s="38" t="str">
        <f>VLOOKUP(B1082,CAJEROS!B:D,3,0)</f>
        <v>Dispensador</v>
      </c>
      <c r="I1082" s="34" t="s">
        <v>9</v>
      </c>
      <c r="J1082" s="38" t="str">
        <f>VLOOKUP(B1082,CAJEROS!B:E,4,0)</f>
        <v>RICAURTE_2</v>
      </c>
    </row>
    <row r="1083" spans="1:10">
      <c r="A1083" s="32">
        <v>253</v>
      </c>
      <c r="B1083" s="33">
        <v>5891</v>
      </c>
      <c r="C1083" s="3">
        <v>1000000</v>
      </c>
      <c r="D1083" s="3"/>
      <c r="E1083" s="7">
        <f t="shared" si="54"/>
        <v>1000000</v>
      </c>
      <c r="F1083" s="5">
        <v>45981</v>
      </c>
      <c r="G1083" s="4">
        <v>20251119</v>
      </c>
      <c r="H1083" s="38" t="str">
        <f>VLOOKUP(B1083,CAJEROS!B:D,3,0)</f>
        <v>Dispensador</v>
      </c>
      <c r="I1083" s="34" t="s">
        <v>9</v>
      </c>
      <c r="J1083" s="38" t="str">
        <f>VLOOKUP(B1083,CAJEROS!B:E,4,0)</f>
        <v>SUC_PNORTE1</v>
      </c>
    </row>
    <row r="1084" spans="1:10">
      <c r="A1084" s="32">
        <v>261</v>
      </c>
      <c r="B1084" s="33">
        <v>8475</v>
      </c>
      <c r="C1084" s="3">
        <v>100000</v>
      </c>
      <c r="D1084" s="3"/>
      <c r="E1084" s="7">
        <f t="shared" si="54"/>
        <v>100000</v>
      </c>
      <c r="F1084" s="5">
        <v>45981</v>
      </c>
      <c r="G1084" s="4">
        <v>20251119</v>
      </c>
      <c r="H1084" s="38" t="str">
        <f>VLOOKUP(B1084,CAJEROS!B:D,3,0)</f>
        <v>Dispensador</v>
      </c>
      <c r="I1084" s="34" t="s">
        <v>9</v>
      </c>
      <c r="J1084" s="38" t="str">
        <f>VLOOKUP(B1084,CAJEROS!B:E,4,0)</f>
        <v>SUCAMPA1</v>
      </c>
    </row>
    <row r="1085" spans="1:10">
      <c r="A1085" s="32">
        <v>348</v>
      </c>
      <c r="B1085" s="33">
        <v>9007</v>
      </c>
      <c r="C1085" s="3">
        <v>1000000</v>
      </c>
      <c r="D1085" s="3"/>
      <c r="E1085" s="7">
        <f t="shared" si="54"/>
        <v>1000000</v>
      </c>
      <c r="F1085" s="5">
        <v>45981</v>
      </c>
      <c r="G1085" s="4">
        <v>20251119</v>
      </c>
      <c r="H1085" s="38" t="str">
        <f>VLOOKUP(B1085,CAJEROS!B:D,3,0)</f>
        <v>Dispensador</v>
      </c>
      <c r="I1085" s="34" t="s">
        <v>9</v>
      </c>
      <c r="J1085" s="38" t="str">
        <f>VLOOKUP(B1085,CAJEROS!B:E,4,0)</f>
        <v>SUCSANDRES7</v>
      </c>
    </row>
    <row r="1086" spans="1:10">
      <c r="A1086" s="32">
        <v>369</v>
      </c>
      <c r="B1086" s="33">
        <v>3691</v>
      </c>
      <c r="C1086" s="3">
        <v>100000</v>
      </c>
      <c r="D1086" s="3"/>
      <c r="E1086" s="7">
        <f t="shared" si="54"/>
        <v>100000</v>
      </c>
      <c r="F1086" s="5">
        <v>45981</v>
      </c>
      <c r="G1086" s="4">
        <v>20251119</v>
      </c>
      <c r="H1086" s="38" t="str">
        <f>VLOOKUP(B1086,CAJEROS!B:D,3,0)</f>
        <v>Dispensador</v>
      </c>
      <c r="I1086" s="34" t="s">
        <v>9</v>
      </c>
      <c r="J1086" s="38" t="str">
        <f>VLOOKUP(B1086,CAJEROS!B:E,4,0)</f>
        <v>TAURAMENA</v>
      </c>
    </row>
    <row r="1087" spans="1:10">
      <c r="A1087" s="32">
        <v>398</v>
      </c>
      <c r="B1087" s="33">
        <v>9562</v>
      </c>
      <c r="C1087" s="3">
        <v>870000</v>
      </c>
      <c r="D1087" s="3">
        <v>870000</v>
      </c>
      <c r="E1087" s="7">
        <f t="shared" si="54"/>
        <v>0</v>
      </c>
      <c r="F1087" s="5">
        <v>45981</v>
      </c>
      <c r="G1087" s="4">
        <v>20251119</v>
      </c>
      <c r="H1087" s="38" t="str">
        <f>VLOOKUP(B1087,CAJEROS!B:D,3,0)</f>
        <v>Dispensador</v>
      </c>
      <c r="I1087" s="34" t="s">
        <v>9</v>
      </c>
      <c r="J1087" s="38" t="str">
        <f>VLOOKUP(B1087,CAJEROS!B:E,4,0)</f>
        <v>SUC_CHINU2</v>
      </c>
    </row>
    <row r="1088" spans="1:10">
      <c r="A1088" s="32">
        <v>399</v>
      </c>
      <c r="B1088" s="33">
        <v>8441</v>
      </c>
      <c r="C1088" s="3">
        <v>370000</v>
      </c>
      <c r="D1088" s="3"/>
      <c r="E1088" s="7">
        <f t="shared" si="54"/>
        <v>370000</v>
      </c>
      <c r="F1088" s="5">
        <v>45981</v>
      </c>
      <c r="G1088" s="4">
        <v>20251119</v>
      </c>
      <c r="H1088" s="38" t="str">
        <f>VLOOKUP(B1088,CAJEROS!B:D,3,0)</f>
        <v>Dispensador</v>
      </c>
      <c r="I1088" s="34" t="s">
        <v>9</v>
      </c>
      <c r="J1088" s="38" t="str">
        <f>VLOOKUP(B1088,CAJEROS!B:E,4,0)</f>
        <v>SUCGIRARDO2</v>
      </c>
    </row>
    <row r="1089" spans="1:10">
      <c r="A1089" s="32">
        <v>399</v>
      </c>
      <c r="B1089" s="33">
        <v>8442</v>
      </c>
      <c r="C1089" s="3">
        <v>300000</v>
      </c>
      <c r="D1089" s="3"/>
      <c r="E1089" s="7">
        <f t="shared" si="54"/>
        <v>300000</v>
      </c>
      <c r="F1089" s="5">
        <v>45981</v>
      </c>
      <c r="G1089" s="4">
        <v>20251119</v>
      </c>
      <c r="H1089" s="38" t="str">
        <f>VLOOKUP(B1089,CAJEROS!B:D,3,0)</f>
        <v>Dispensador</v>
      </c>
      <c r="I1089" s="34" t="s">
        <v>9</v>
      </c>
      <c r="J1089" s="38" t="str">
        <f>VLOOKUP(B1089,CAJEROS!B:E,4,0)</f>
        <v>SUCGIRARDO3</v>
      </c>
    </row>
    <row r="1090" spans="1:10">
      <c r="A1090" s="32">
        <v>516</v>
      </c>
      <c r="B1090" s="33">
        <v>9727</v>
      </c>
      <c r="C1090" s="3">
        <v>50000</v>
      </c>
      <c r="D1090" s="3"/>
      <c r="E1090" s="7">
        <f t="shared" si="54"/>
        <v>50000</v>
      </c>
      <c r="F1090" s="5">
        <v>45981</v>
      </c>
      <c r="G1090" s="4">
        <v>20251119</v>
      </c>
      <c r="H1090" s="38" t="str">
        <f>VLOOKUP(B1090,CAJEROS!B:D,3,0)</f>
        <v>Dispensador</v>
      </c>
      <c r="I1090" s="34" t="s">
        <v>9</v>
      </c>
      <c r="J1090" s="38" t="str">
        <f>VLOOKUP(B1090,CAJEROS!B:E,4,0)</f>
        <v>SUCSTAMART2</v>
      </c>
    </row>
    <row r="1091" spans="1:10">
      <c r="A1091" s="32">
        <v>604</v>
      </c>
      <c r="B1091" s="33">
        <v>8503</v>
      </c>
      <c r="C1091" s="3">
        <v>60000</v>
      </c>
      <c r="D1091" s="3"/>
      <c r="E1091" s="7">
        <f t="shared" si="54"/>
        <v>60000</v>
      </c>
      <c r="F1091" s="5">
        <v>45981</v>
      </c>
      <c r="G1091" s="4">
        <v>20251119</v>
      </c>
      <c r="H1091" s="38" t="str">
        <f>VLOOKUP(B1091,CAJEROS!B:D,3,0)</f>
        <v>Dispensador</v>
      </c>
      <c r="I1091" s="34" t="s">
        <v>9</v>
      </c>
      <c r="J1091" s="38" t="str">
        <f>VLOOKUP(B1091,CAJEROS!B:E,4,0)</f>
        <v>SUC_SOCHA_1</v>
      </c>
    </row>
    <row r="1092" spans="1:10">
      <c r="A1092" s="32">
        <v>678</v>
      </c>
      <c r="B1092" s="33">
        <v>6015</v>
      </c>
      <c r="C1092" s="3">
        <v>200000</v>
      </c>
      <c r="D1092" s="3"/>
      <c r="E1092" s="7">
        <f t="shared" si="54"/>
        <v>200000</v>
      </c>
      <c r="F1092" s="5">
        <v>45981</v>
      </c>
      <c r="G1092" s="4">
        <v>20251119</v>
      </c>
      <c r="H1092" s="38" t="str">
        <f>VLOOKUP(B1092,CAJEROS!B:D,3,0)</f>
        <v>Dispensador</v>
      </c>
      <c r="I1092" s="34" t="s">
        <v>9</v>
      </c>
      <c r="J1092" s="38" t="str">
        <f>VLOOKUP(B1092,CAJEROS!B:E,4,0)</f>
        <v>PASEOCAST_6</v>
      </c>
    </row>
    <row r="1093" spans="1:10">
      <c r="A1093" s="32">
        <v>688</v>
      </c>
      <c r="B1093" s="33">
        <v>4840</v>
      </c>
      <c r="C1093" s="3">
        <v>600000</v>
      </c>
      <c r="D1093" s="3">
        <v>600000</v>
      </c>
      <c r="E1093" s="7">
        <f t="shared" si="54"/>
        <v>0</v>
      </c>
      <c r="F1093" s="5">
        <v>45981</v>
      </c>
      <c r="G1093" s="4">
        <v>20251119</v>
      </c>
      <c r="H1093" s="38" t="str">
        <f>VLOOKUP(B1093,CAJEROS!B:D,3,0)</f>
        <v>Dispensador</v>
      </c>
      <c r="I1093" s="34" t="s">
        <v>9</v>
      </c>
      <c r="J1093" s="38" t="str">
        <f>VLOOKUP(B1093,CAJEROS!B:E,4,0)</f>
        <v>SUC_CONTAD1</v>
      </c>
    </row>
    <row r="1094" spans="1:10">
      <c r="A1094" s="32">
        <v>705</v>
      </c>
      <c r="B1094" s="33">
        <v>2792</v>
      </c>
      <c r="C1094" s="3">
        <v>70000</v>
      </c>
      <c r="D1094" s="3"/>
      <c r="E1094" s="7">
        <f t="shared" si="54"/>
        <v>70000</v>
      </c>
      <c r="F1094" s="5">
        <v>45981</v>
      </c>
      <c r="G1094" s="4">
        <v>20251119</v>
      </c>
      <c r="H1094" s="38" t="str">
        <f>VLOOKUP(B1094,CAJEROS!B:D,3,0)</f>
        <v>Dispensador</v>
      </c>
      <c r="I1094" s="34" t="s">
        <v>9</v>
      </c>
      <c r="J1094" s="38" t="str">
        <f>VLOOKUP(B1094,CAJEROS!B:E,4,0)</f>
        <v>_EL_BAGRE_</v>
      </c>
    </row>
    <row r="1095" spans="1:10">
      <c r="A1095" s="32">
        <v>721</v>
      </c>
      <c r="B1095" s="33">
        <v>8895</v>
      </c>
      <c r="C1095" s="3">
        <v>100000</v>
      </c>
      <c r="D1095" s="3"/>
      <c r="E1095" s="7">
        <f t="shared" si="54"/>
        <v>100000</v>
      </c>
      <c r="F1095" s="5">
        <v>45981</v>
      </c>
      <c r="G1095" s="4">
        <v>20251119</v>
      </c>
      <c r="H1095" s="38" t="str">
        <f>VLOOKUP(B1095,CAJEROS!B:D,3,0)</f>
        <v>Dispensador</v>
      </c>
      <c r="I1095" s="34" t="s">
        <v>9</v>
      </c>
      <c r="J1095" s="38" t="str">
        <f>VLOOKUP(B1095,CAJEROS!B:E,4,0)</f>
        <v>SUCHALLAGO5</v>
      </c>
    </row>
    <row r="1096" spans="1:10">
      <c r="A1096" s="32">
        <v>739</v>
      </c>
      <c r="B1096" s="33">
        <v>3803</v>
      </c>
      <c r="C1096" s="3">
        <v>90000</v>
      </c>
      <c r="D1096" s="3"/>
      <c r="E1096" s="7">
        <f t="shared" si="54"/>
        <v>90000</v>
      </c>
      <c r="F1096" s="5">
        <v>45981</v>
      </c>
      <c r="G1096" s="4">
        <v>20251119</v>
      </c>
      <c r="H1096" s="38" t="str">
        <f>VLOOKUP(B1096,CAJEROS!B:D,3,0)</f>
        <v>Dispensador</v>
      </c>
      <c r="I1096" s="34" t="s">
        <v>9</v>
      </c>
      <c r="J1096" s="38" t="str">
        <f>VLOOKUP(B1096,CAJEROS!B:E,4,0)</f>
        <v>SUC_NECO2</v>
      </c>
    </row>
    <row r="1097" spans="1:10">
      <c r="A1097" s="32">
        <v>866</v>
      </c>
      <c r="B1097" s="33">
        <v>6260</v>
      </c>
      <c r="C1097" s="3">
        <v>200000</v>
      </c>
      <c r="D1097" s="3"/>
      <c r="E1097" s="7">
        <f t="shared" si="54"/>
        <v>200000</v>
      </c>
      <c r="F1097" s="5">
        <v>45981</v>
      </c>
      <c r="G1097" s="4">
        <v>20251119</v>
      </c>
      <c r="H1097" s="38" t="str">
        <f>VLOOKUP(B1097,CAJEROS!B:D,3,0)</f>
        <v>Dispensador</v>
      </c>
      <c r="I1097" s="34" t="s">
        <v>9</v>
      </c>
      <c r="J1097" s="38" t="str">
        <f>VLOOKUP(B1097,CAJEROS!B:E,4,0)</f>
        <v>SUC_FLORID4</v>
      </c>
    </row>
    <row r="1098" spans="1:10">
      <c r="A1098" s="32">
        <v>927</v>
      </c>
      <c r="B1098" s="33">
        <v>5749</v>
      </c>
      <c r="C1098" s="3">
        <v>50000</v>
      </c>
      <c r="D1098" s="3"/>
      <c r="E1098" s="7">
        <f t="shared" si="54"/>
        <v>50000</v>
      </c>
      <c r="F1098" s="5">
        <v>45981</v>
      </c>
      <c r="G1098" s="4">
        <v>20251119</v>
      </c>
      <c r="H1098" s="38" t="str">
        <f>VLOOKUP(B1098,CAJEROS!B:D,3,0)</f>
        <v>Dispensador</v>
      </c>
      <c r="I1098" s="34" t="s">
        <v>9</v>
      </c>
      <c r="J1098" s="38" t="str">
        <f>VLOOKUP(B1098,CAJEROS!B:E,4,0)</f>
        <v>SUC_MOCOA1</v>
      </c>
    </row>
    <row r="1099" spans="1:10">
      <c r="A1099" s="32">
        <v>966</v>
      </c>
      <c r="B1099" s="33">
        <v>9943</v>
      </c>
      <c r="C1099" s="3">
        <v>610000</v>
      </c>
      <c r="D1099" s="3"/>
      <c r="E1099" s="7">
        <f t="shared" si="54"/>
        <v>610000</v>
      </c>
      <c r="F1099" s="5">
        <v>45981</v>
      </c>
      <c r="G1099" s="4">
        <v>20251119</v>
      </c>
      <c r="H1099" s="38" t="str">
        <f>VLOOKUP(B1099,CAJEROS!B:D,3,0)</f>
        <v>Dispensador</v>
      </c>
      <c r="I1099" s="34" t="s">
        <v>9</v>
      </c>
      <c r="J1099" s="38" t="str">
        <f>VLOOKUP(B1099,CAJEROS!B:E,4,0)</f>
        <v>HALLSUCMTE3</v>
      </c>
    </row>
    <row r="1100" spans="1:10">
      <c r="A1100" s="32">
        <v>8</v>
      </c>
      <c r="B1100" s="33">
        <v>5079</v>
      </c>
      <c r="C1100" s="3">
        <v>150000</v>
      </c>
      <c r="D1100" s="3"/>
      <c r="E1100" s="7">
        <f t="shared" ref="E1100" si="55">+C1100-D1100</f>
        <v>150000</v>
      </c>
      <c r="F1100" s="5">
        <v>45981</v>
      </c>
      <c r="G1100" s="4">
        <v>20251119</v>
      </c>
      <c r="H1100" s="38" t="str">
        <f>VLOOKUP(B1100,CAJEROS!B:D,3,0)</f>
        <v>Multifuncional</v>
      </c>
      <c r="I1100" s="34"/>
      <c r="J1100" s="38" t="str">
        <f>VLOOKUP(B1100,CAJEROS!B:E,4,0)</f>
        <v>MF_LAPLAYA</v>
      </c>
    </row>
    <row r="1101" spans="1:10">
      <c r="A1101" s="32">
        <v>8</v>
      </c>
      <c r="B1101" s="33">
        <v>7272</v>
      </c>
      <c r="C1101" s="3">
        <v>26700</v>
      </c>
      <c r="D1101" s="3"/>
      <c r="E1101" s="7">
        <f t="shared" ref="E1101:E1134" si="56">+C1101-D1101</f>
        <v>26700</v>
      </c>
      <c r="F1101" s="5">
        <v>45981</v>
      </c>
      <c r="G1101" s="4">
        <v>20251119</v>
      </c>
      <c r="H1101" s="38" t="str">
        <f>VLOOKUP(B1101,CAJEROS!B:D,3,0)</f>
        <v>Multifuncional</v>
      </c>
      <c r="I1101" s="34"/>
      <c r="J1101" s="38" t="str">
        <f>VLOOKUP(B1101,CAJEROS!B:E,4,0)</f>
        <v>MF_LAPLAYA2</v>
      </c>
    </row>
    <row r="1102" spans="1:10">
      <c r="A1102" s="32">
        <v>33</v>
      </c>
      <c r="B1102" s="33">
        <v>8861</v>
      </c>
      <c r="C1102" s="3">
        <v>834000</v>
      </c>
      <c r="D1102" s="3"/>
      <c r="E1102" s="7">
        <f t="shared" si="56"/>
        <v>834000</v>
      </c>
      <c r="F1102" s="5">
        <v>45981</v>
      </c>
      <c r="G1102" s="4">
        <v>20251119</v>
      </c>
      <c r="H1102" s="38" t="str">
        <f>VLOOKUP(B1102,CAJEROS!B:D,3,0)</f>
        <v>Multifuncional</v>
      </c>
      <c r="I1102" s="34"/>
      <c r="J1102" s="38" t="str">
        <f>VLOOKUP(B1102,CAJEROS!B:E,4,0)</f>
        <v>MF_SPOLCLU1</v>
      </c>
    </row>
    <row r="1103" spans="1:10">
      <c r="A1103" s="32">
        <v>40</v>
      </c>
      <c r="B1103" s="33">
        <v>5142</v>
      </c>
      <c r="C1103" s="3">
        <v>130000</v>
      </c>
      <c r="D1103" s="3"/>
      <c r="E1103" s="7">
        <f t="shared" si="56"/>
        <v>130000</v>
      </c>
      <c r="F1103" s="5">
        <v>45981</v>
      </c>
      <c r="G1103" s="4">
        <v>20251119</v>
      </c>
      <c r="H1103" s="38" t="str">
        <f>VLOOKUP(B1103,CAJEROS!B:D,3,0)</f>
        <v>Multifuncional</v>
      </c>
      <c r="I1103" s="34"/>
      <c r="J1103" s="38" t="str">
        <f>VLOOKUP(B1103,CAJEROS!B:E,4,0)</f>
        <v>MF_CENTRO93</v>
      </c>
    </row>
    <row r="1104" spans="1:10">
      <c r="A1104" s="32">
        <v>76</v>
      </c>
      <c r="B1104" s="33">
        <v>5126</v>
      </c>
      <c r="C1104" s="3">
        <v>15000</v>
      </c>
      <c r="D1104" s="3"/>
      <c r="E1104" s="7">
        <f t="shared" si="56"/>
        <v>15000</v>
      </c>
      <c r="F1104" s="5">
        <v>45981</v>
      </c>
      <c r="G1104" s="4">
        <v>20251119</v>
      </c>
      <c r="H1104" s="38" t="str">
        <f>VLOOKUP(B1104,CAJEROS!B:D,3,0)</f>
        <v>Multifuncional</v>
      </c>
      <c r="I1104" s="34"/>
      <c r="J1104" s="38" t="str">
        <f>VLOOKUP(B1104,CAJEROS!B:E,4,0)</f>
        <v>MF_NEIVA</v>
      </c>
    </row>
    <row r="1105" spans="1:10">
      <c r="A1105" s="32">
        <v>77</v>
      </c>
      <c r="B1105" s="33">
        <v>5204</v>
      </c>
      <c r="C1105" s="3">
        <v>35000</v>
      </c>
      <c r="D1105" s="3"/>
      <c r="E1105" s="7">
        <f t="shared" si="56"/>
        <v>35000</v>
      </c>
      <c r="F1105" s="5">
        <v>45981</v>
      </c>
      <c r="G1105" s="4">
        <v>20251119</v>
      </c>
      <c r="H1105" s="38" t="str">
        <f>VLOOKUP(B1105,CAJEROS!B:D,3,0)</f>
        <v>Multifuncional</v>
      </c>
      <c r="I1105" s="34"/>
      <c r="J1105" s="38" t="str">
        <f>VLOOKUP(B1105,CAJEROS!B:E,4,0)</f>
        <v>MF_TEQENDMA</v>
      </c>
    </row>
    <row r="1106" spans="1:10">
      <c r="A1106" s="32">
        <v>81</v>
      </c>
      <c r="B1106" s="33">
        <v>5036</v>
      </c>
      <c r="C1106" s="3">
        <v>24030000</v>
      </c>
      <c r="D1106" s="3"/>
      <c r="E1106" s="7">
        <f t="shared" si="56"/>
        <v>24030000</v>
      </c>
      <c r="F1106" s="5">
        <v>45981</v>
      </c>
      <c r="G1106" s="4">
        <v>20251119</v>
      </c>
      <c r="H1106" s="38" t="str">
        <f>VLOOKUP(B1106,CAJEROS!B:D,3,0)</f>
        <v>Multifuncional</v>
      </c>
      <c r="I1106" s="34"/>
      <c r="J1106" s="38" t="str">
        <f>VLOOKUP(B1106,CAJEROS!B:E,4,0)</f>
        <v>MF_AVKENNE</v>
      </c>
    </row>
    <row r="1107" spans="1:10">
      <c r="A1107" s="32">
        <v>91</v>
      </c>
      <c r="B1107" s="33">
        <v>5148</v>
      </c>
      <c r="C1107" s="3">
        <v>10000000</v>
      </c>
      <c r="D1107" s="3"/>
      <c r="E1107" s="7">
        <f t="shared" si="56"/>
        <v>10000000</v>
      </c>
      <c r="F1107" s="5">
        <v>45981</v>
      </c>
      <c r="G1107" s="4">
        <v>20251119</v>
      </c>
      <c r="H1107" s="38" t="str">
        <f>VLOOKUP(B1107,CAJEROS!B:D,3,0)</f>
        <v>Multifuncional</v>
      </c>
      <c r="I1107" s="34"/>
      <c r="J1107" s="38" t="str">
        <f>VLOOKUP(B1107,CAJEROS!B:E,4,0)</f>
        <v>MF_MONTERIA</v>
      </c>
    </row>
    <row r="1108" spans="1:10">
      <c r="A1108" s="32">
        <v>91</v>
      </c>
      <c r="B1108" s="33">
        <v>7943</v>
      </c>
      <c r="C1108" s="3">
        <v>5065000</v>
      </c>
      <c r="D1108" s="3"/>
      <c r="E1108" s="7">
        <f t="shared" si="56"/>
        <v>5065000</v>
      </c>
      <c r="F1108" s="5">
        <v>45981</v>
      </c>
      <c r="G1108" s="4">
        <v>20251119</v>
      </c>
      <c r="H1108" s="38" t="str">
        <f>VLOOKUP(B1108,CAJEROS!B:D,3,0)</f>
        <v>Multifuncional</v>
      </c>
      <c r="I1108" s="34"/>
      <c r="J1108" s="38" t="str">
        <f>VLOOKUP(B1108,CAJEROS!B:E,4,0)</f>
        <v>MF_MONTERI2</v>
      </c>
    </row>
    <row r="1109" spans="1:10">
      <c r="A1109" s="32">
        <v>96</v>
      </c>
      <c r="B1109" s="33">
        <v>6735</v>
      </c>
      <c r="C1109" s="3">
        <v>12120000</v>
      </c>
      <c r="D1109" s="3"/>
      <c r="E1109" s="7">
        <f t="shared" si="56"/>
        <v>12120000</v>
      </c>
      <c r="F1109" s="5">
        <v>45981</v>
      </c>
      <c r="G1109" s="4">
        <v>20251119</v>
      </c>
      <c r="H1109" s="38" t="str">
        <f>VLOOKUP(B1109,CAJEROS!B:D,3,0)</f>
        <v>Multifuncional</v>
      </c>
      <c r="I1109" s="34"/>
      <c r="J1109" s="38" t="str">
        <f>VLOOKUP(B1109,CAJEROS!B:E,4,0)</f>
        <v>MF_MAICAO</v>
      </c>
    </row>
    <row r="1110" spans="1:10">
      <c r="A1110" s="32">
        <v>101</v>
      </c>
      <c r="B1110" s="33">
        <v>5128</v>
      </c>
      <c r="C1110" s="3">
        <v>5490500</v>
      </c>
      <c r="D1110" s="3"/>
      <c r="E1110" s="7">
        <f t="shared" si="56"/>
        <v>5490500</v>
      </c>
      <c r="F1110" s="5">
        <v>45981</v>
      </c>
      <c r="G1110" s="4">
        <v>20251119</v>
      </c>
      <c r="H1110" s="38" t="str">
        <f>VLOOKUP(B1110,CAJEROS!B:D,3,0)</f>
        <v>Multifuncional</v>
      </c>
      <c r="I1110" s="34"/>
      <c r="J1110" s="38" t="str">
        <f>VLOOKUP(B1110,CAJEROS!B:E,4,0)</f>
        <v>MF_MULTDRIV</v>
      </c>
    </row>
    <row r="1111" spans="1:10">
      <c r="A1111" s="32">
        <v>191</v>
      </c>
      <c r="B1111" s="33">
        <v>5112</v>
      </c>
      <c r="C1111" s="3">
        <v>300</v>
      </c>
      <c r="D1111" s="3"/>
      <c r="E1111" s="7">
        <f t="shared" si="56"/>
        <v>300</v>
      </c>
      <c r="F1111" s="5">
        <v>45981</v>
      </c>
      <c r="G1111" s="4">
        <v>20251119</v>
      </c>
      <c r="H1111" s="38" t="str">
        <f>VLOOKUP(B1111,CAJEROS!B:D,3,0)</f>
        <v>Multifuncional</v>
      </c>
      <c r="I1111" s="34"/>
      <c r="J1111" s="38" t="str">
        <f>VLOOKUP(B1111,CAJEROS!B:E,4,0)</f>
        <v>MF_AVENID19</v>
      </c>
    </row>
    <row r="1112" spans="1:10">
      <c r="A1112" s="32">
        <v>198</v>
      </c>
      <c r="B1112" s="33">
        <v>5179</v>
      </c>
      <c r="C1112" s="3">
        <v>7208000</v>
      </c>
      <c r="D1112" s="3"/>
      <c r="E1112" s="7">
        <f t="shared" si="56"/>
        <v>7208000</v>
      </c>
      <c r="F1112" s="5">
        <v>45981</v>
      </c>
      <c r="G1112" s="4">
        <v>20251119</v>
      </c>
      <c r="H1112" s="38" t="str">
        <f>VLOOKUP(B1112,CAJEROS!B:D,3,0)</f>
        <v>Multifuncional</v>
      </c>
      <c r="I1112" s="34"/>
      <c r="J1112" s="38" t="str">
        <f>VLOOKUP(B1112,CAJEROS!B:E,4,0)</f>
        <v>MF_CENTSUBA</v>
      </c>
    </row>
    <row r="1113" spans="1:10">
      <c r="A1113" s="32">
        <v>233</v>
      </c>
      <c r="B1113" s="33">
        <v>7212</v>
      </c>
      <c r="C1113" s="3">
        <v>8500</v>
      </c>
      <c r="D1113" s="3"/>
      <c r="E1113" s="7">
        <f t="shared" si="56"/>
        <v>8500</v>
      </c>
      <c r="F1113" s="5">
        <v>45981</v>
      </c>
      <c r="G1113" s="4">
        <v>20251119</v>
      </c>
      <c r="H1113" s="38" t="str">
        <f>VLOOKUP(B1113,CAJEROS!B:D,3,0)</f>
        <v>Multifuncional</v>
      </c>
      <c r="I1113" s="34"/>
      <c r="J1113" s="38" t="str">
        <f>VLOOKUP(B1113,CAJEROS!B:E,4,0)</f>
        <v>MF_BARRIRPO</v>
      </c>
    </row>
    <row r="1114" spans="1:10">
      <c r="A1114" s="32">
        <v>265</v>
      </c>
      <c r="B1114" s="33">
        <v>5083</v>
      </c>
      <c r="C1114" s="3">
        <v>50</v>
      </c>
      <c r="D1114" s="3"/>
      <c r="E1114" s="7">
        <f t="shared" si="56"/>
        <v>50</v>
      </c>
      <c r="F1114" s="5">
        <v>45981</v>
      </c>
      <c r="G1114" s="4">
        <v>20251119</v>
      </c>
      <c r="H1114" s="38" t="str">
        <f>VLOOKUP(B1114,CAJEROS!B:D,3,0)</f>
        <v>Multifuncional</v>
      </c>
      <c r="I1114" s="34"/>
      <c r="J1114" s="38" t="str">
        <f>VLOOKUP(B1114,CAJEROS!B:E,4,0)</f>
        <v>MF_VALLELIL</v>
      </c>
    </row>
    <row r="1115" spans="1:10">
      <c r="A1115" s="32">
        <v>275</v>
      </c>
      <c r="B1115" s="33">
        <v>5034</v>
      </c>
      <c r="C1115" s="3">
        <v>9294500</v>
      </c>
      <c r="D1115" s="3"/>
      <c r="E1115" s="7">
        <f t="shared" si="56"/>
        <v>9294500</v>
      </c>
      <c r="F1115" s="5">
        <v>45981</v>
      </c>
      <c r="G1115" s="4">
        <v>20251119</v>
      </c>
      <c r="H1115" s="38" t="str">
        <f>VLOOKUP(B1115,CAJEROS!B:D,3,0)</f>
        <v>Multifuncional</v>
      </c>
      <c r="I1115" s="34"/>
      <c r="J1115" s="38" t="str">
        <f>VLOOKUP(B1115,CAJEROS!B:E,4,0)</f>
        <v>MF_BOUENVIG</v>
      </c>
    </row>
    <row r="1116" spans="1:10">
      <c r="A1116" s="32">
        <v>287</v>
      </c>
      <c r="B1116" s="33">
        <v>907</v>
      </c>
      <c r="C1116" s="3">
        <v>1000000</v>
      </c>
      <c r="D1116" s="3"/>
      <c r="E1116" s="7">
        <f t="shared" si="56"/>
        <v>1000000</v>
      </c>
      <c r="F1116" s="5">
        <v>45981</v>
      </c>
      <c r="G1116" s="4">
        <v>20251119</v>
      </c>
      <c r="H1116" s="38" t="str">
        <f>VLOOKUP(B1116,CAJEROS!B:D,3,0)</f>
        <v>Multifuncional</v>
      </c>
      <c r="I1116" s="34"/>
      <c r="J1116" s="38" t="str">
        <f>VLOOKUP(B1116,CAJEROS!B:E,4,0)</f>
        <v>MFABASTOBGA</v>
      </c>
    </row>
    <row r="1117" spans="1:10">
      <c r="A1117" s="32">
        <v>317</v>
      </c>
      <c r="B1117" s="33">
        <v>6613</v>
      </c>
      <c r="C1117" s="3">
        <v>12058550</v>
      </c>
      <c r="D1117" s="3"/>
      <c r="E1117" s="7">
        <f t="shared" si="56"/>
        <v>12058550</v>
      </c>
      <c r="F1117" s="5">
        <v>45981</v>
      </c>
      <c r="G1117" s="4">
        <v>20251119</v>
      </c>
      <c r="H1117" s="38" t="str">
        <f>VLOOKUP(B1117,CAJEROS!B:D,3,0)</f>
        <v>Multifuncional</v>
      </c>
      <c r="I1117" s="34"/>
      <c r="J1117" s="38" t="str">
        <f>VLOOKUP(B1117,CAJEROS!B:E,4,0)</f>
        <v>MF_ARAUCA</v>
      </c>
    </row>
    <row r="1118" spans="1:10">
      <c r="A1118" s="32">
        <v>419</v>
      </c>
      <c r="B1118" s="33">
        <v>5077</v>
      </c>
      <c r="C1118" s="3">
        <v>2249800</v>
      </c>
      <c r="D1118" s="3"/>
      <c r="E1118" s="7">
        <f t="shared" si="56"/>
        <v>2249800</v>
      </c>
      <c r="F1118" s="5">
        <v>45981</v>
      </c>
      <c r="G1118" s="4">
        <v>20251119</v>
      </c>
      <c r="H1118" s="38" t="str">
        <f>VLOOKUP(B1118,CAJEROS!B:D,3,0)</f>
        <v>Multifuncional</v>
      </c>
      <c r="I1118" s="34"/>
      <c r="J1118" s="38" t="str">
        <f>VLOOKUP(B1118,CAJEROS!B:E,4,0)</f>
        <v>MF_CPUNIBOG</v>
      </c>
    </row>
    <row r="1119" spans="1:10">
      <c r="A1119" s="32">
        <v>442</v>
      </c>
      <c r="B1119" s="33">
        <v>8887</v>
      </c>
      <c r="C1119" s="3">
        <v>2920100</v>
      </c>
      <c r="D1119" s="3"/>
      <c r="E1119" s="7">
        <f t="shared" si="56"/>
        <v>2920100</v>
      </c>
      <c r="F1119" s="5">
        <v>45981</v>
      </c>
      <c r="G1119" s="4">
        <v>20251119</v>
      </c>
      <c r="H1119" s="38" t="str">
        <f>VLOOKUP(B1119,CAJEROS!B:D,3,0)</f>
        <v>Multifuncional</v>
      </c>
      <c r="I1119" s="34"/>
      <c r="J1119" s="38" t="str">
        <f>VLOOKUP(B1119,CAJEROS!B:E,4,0)</f>
        <v>MFVIVABQUI1</v>
      </c>
    </row>
    <row r="1120" spans="1:10">
      <c r="A1120" s="32">
        <v>442</v>
      </c>
      <c r="B1120" s="33">
        <v>8888</v>
      </c>
      <c r="C1120" s="3">
        <v>33877100</v>
      </c>
      <c r="D1120" s="3"/>
      <c r="E1120" s="7">
        <f t="shared" si="56"/>
        <v>33877100</v>
      </c>
      <c r="F1120" s="5">
        <v>45981</v>
      </c>
      <c r="G1120" s="4">
        <v>20251119</v>
      </c>
      <c r="H1120" s="38" t="str">
        <f>VLOOKUP(B1120,CAJEROS!B:D,3,0)</f>
        <v>Multifuncional</v>
      </c>
      <c r="I1120" s="34"/>
      <c r="J1120" s="38" t="str">
        <f>VLOOKUP(B1120,CAJEROS!B:E,4,0)</f>
        <v>MFVIVABQUI2</v>
      </c>
    </row>
    <row r="1121" spans="1:10">
      <c r="A1121" s="32">
        <v>499</v>
      </c>
      <c r="B1121" s="33">
        <v>9811</v>
      </c>
      <c r="C1121" s="3">
        <v>127450</v>
      </c>
      <c r="D1121" s="3"/>
      <c r="E1121" s="7">
        <f t="shared" si="56"/>
        <v>127450</v>
      </c>
      <c r="F1121" s="5">
        <v>45981</v>
      </c>
      <c r="G1121" s="4">
        <v>20251119</v>
      </c>
      <c r="H1121" s="38" t="str">
        <f>VLOOKUP(B1121,CAJEROS!B:D,3,0)</f>
        <v>Multifuncional</v>
      </c>
      <c r="I1121" s="34"/>
      <c r="J1121" s="38" t="str">
        <f>VLOOKUP(B1121,CAJEROS!B:E,4,0)</f>
        <v>MF_SUCPLZF2</v>
      </c>
    </row>
    <row r="1122" spans="1:10">
      <c r="A1122" s="32">
        <v>517</v>
      </c>
      <c r="B1122" s="33">
        <v>5053</v>
      </c>
      <c r="C1122" s="3">
        <v>24216200</v>
      </c>
      <c r="D1122" s="3"/>
      <c r="E1122" s="7">
        <f t="shared" si="56"/>
        <v>24216200</v>
      </c>
      <c r="F1122" s="5">
        <v>45981</v>
      </c>
      <c r="G1122" s="4">
        <v>20251119</v>
      </c>
      <c r="H1122" s="38" t="str">
        <f>VLOOKUP(B1122,CAJEROS!B:D,3,0)</f>
        <v>Multifuncional</v>
      </c>
      <c r="I1122" s="34"/>
      <c r="J1122" s="38" t="str">
        <f>VLOOKUP(B1122,CAJEROS!B:E,4,0)</f>
        <v>MF_RODADERO</v>
      </c>
    </row>
    <row r="1123" spans="1:10">
      <c r="A1123" s="32">
        <v>536</v>
      </c>
      <c r="B1123" s="33">
        <v>6927</v>
      </c>
      <c r="C1123" s="3">
        <v>400000</v>
      </c>
      <c r="D1123" s="3"/>
      <c r="E1123" s="7">
        <f t="shared" si="56"/>
        <v>400000</v>
      </c>
      <c r="F1123" s="5">
        <v>45981</v>
      </c>
      <c r="G1123" s="4">
        <v>20251119</v>
      </c>
      <c r="H1123" s="38" t="str">
        <f>VLOOKUP(B1123,CAJEROS!B:D,3,0)</f>
        <v>Multifuncional</v>
      </c>
      <c r="I1123" s="34"/>
      <c r="J1123" s="38" t="str">
        <f>VLOOKUP(B1123,CAJEROS!B:E,4,0)</f>
        <v>MF_QUIBDO</v>
      </c>
    </row>
    <row r="1124" spans="1:10">
      <c r="A1124" s="32">
        <v>536</v>
      </c>
      <c r="B1124" s="33">
        <v>8988</v>
      </c>
      <c r="C1124" s="3">
        <v>3600000</v>
      </c>
      <c r="D1124" s="3"/>
      <c r="E1124" s="7">
        <f t="shared" si="56"/>
        <v>3600000</v>
      </c>
      <c r="F1124" s="5">
        <v>45981</v>
      </c>
      <c r="G1124" s="4">
        <v>20251119</v>
      </c>
      <c r="H1124" s="38" t="str">
        <f>VLOOKUP(B1124,CAJEROS!B:D,3,0)</f>
        <v>Multifuncional</v>
      </c>
      <c r="I1124" s="34"/>
      <c r="J1124" s="38" t="str">
        <f>VLOOKUP(B1124,CAJEROS!B:E,4,0)</f>
        <v>MF_QUIBDO2</v>
      </c>
    </row>
    <row r="1125" spans="1:10">
      <c r="A1125" s="32">
        <v>656</v>
      </c>
      <c r="B1125" s="33">
        <v>5103</v>
      </c>
      <c r="C1125" s="3">
        <v>44140000</v>
      </c>
      <c r="D1125" s="3"/>
      <c r="E1125" s="7">
        <f t="shared" si="56"/>
        <v>44140000</v>
      </c>
      <c r="F1125" s="5">
        <v>45981</v>
      </c>
      <c r="G1125" s="4">
        <v>20251119</v>
      </c>
      <c r="H1125" s="38" t="str">
        <f>VLOOKUP(B1125,CAJEROS!B:D,3,0)</f>
        <v>Multifuncional</v>
      </c>
      <c r="I1125" s="34"/>
      <c r="J1125" s="38" t="str">
        <f>VLOOKUP(B1125,CAJEROS!B:E,4,0)</f>
        <v>MF_MAYPLAZA</v>
      </c>
    </row>
    <row r="1126" spans="1:10">
      <c r="A1126" s="32">
        <v>690</v>
      </c>
      <c r="B1126" s="33">
        <v>6180</v>
      </c>
      <c r="C1126" s="3">
        <v>5948150</v>
      </c>
      <c r="D1126" s="3"/>
      <c r="E1126" s="7">
        <f t="shared" si="56"/>
        <v>5948150</v>
      </c>
      <c r="F1126" s="5">
        <v>45981</v>
      </c>
      <c r="G1126" s="4">
        <v>20251119</v>
      </c>
      <c r="H1126" s="38" t="str">
        <f>VLOOKUP(B1126,CAJEROS!B:D,3,0)</f>
        <v>Multifuncional</v>
      </c>
      <c r="I1126" s="34"/>
      <c r="J1126" s="38" t="str">
        <f>VLOOKUP(B1126,CAJEROS!B:E,4,0)</f>
        <v>MF_HTQENDAM</v>
      </c>
    </row>
    <row r="1127" spans="1:10">
      <c r="A1127" s="32">
        <v>779</v>
      </c>
      <c r="B1127" s="33">
        <v>8684</v>
      </c>
      <c r="C1127" s="3">
        <v>1938000</v>
      </c>
      <c r="D1127" s="3"/>
      <c r="E1127" s="7">
        <f t="shared" si="56"/>
        <v>1938000</v>
      </c>
      <c r="F1127" s="5">
        <v>45981</v>
      </c>
      <c r="G1127" s="4">
        <v>20251119</v>
      </c>
      <c r="H1127" s="38" t="str">
        <f>VLOOKUP(B1127,CAJEROS!B:D,3,0)</f>
        <v>Multifuncional</v>
      </c>
      <c r="I1127" s="34"/>
      <c r="J1127" s="38" t="str">
        <f>VLOOKUP(B1127,CAJEROS!B:E,4,0)</f>
        <v>MF_BUENVSM2</v>
      </c>
    </row>
    <row r="1128" spans="1:10">
      <c r="A1128" s="32">
        <v>816</v>
      </c>
      <c r="B1128" s="33">
        <v>5205</v>
      </c>
      <c r="C1128" s="3">
        <v>26102250</v>
      </c>
      <c r="D1128" s="3"/>
      <c r="E1128" s="7">
        <f t="shared" si="56"/>
        <v>26102250</v>
      </c>
      <c r="F1128" s="5">
        <v>45981</v>
      </c>
      <c r="G1128" s="4">
        <v>20251119</v>
      </c>
      <c r="H1128" s="38" t="str">
        <f>VLOOKUP(B1128,CAJEROS!B:D,3,0)</f>
        <v>Multifuncional</v>
      </c>
      <c r="I1128" s="34"/>
      <c r="J1128" s="38" t="str">
        <f>VLOOKUP(B1128,CAJEROS!B:E,4,0)</f>
        <v>MF_SUCLLE10</v>
      </c>
    </row>
    <row r="1129" spans="1:10">
      <c r="A1129" s="32">
        <v>866</v>
      </c>
      <c r="B1129" s="33">
        <v>8662</v>
      </c>
      <c r="C1129" s="3">
        <v>4000</v>
      </c>
      <c r="D1129" s="3"/>
      <c r="E1129" s="7">
        <f t="shared" si="56"/>
        <v>4000</v>
      </c>
      <c r="F1129" s="5">
        <v>45981</v>
      </c>
      <c r="G1129" s="4">
        <v>20251119</v>
      </c>
      <c r="H1129" s="38" t="str">
        <f>VLOOKUP(B1129,CAJEROS!B:D,3,0)</f>
        <v>Multifuncional</v>
      </c>
      <c r="I1129" s="34"/>
      <c r="J1129" s="38" t="str">
        <f>VLOOKUP(B1129,CAJEROS!B:E,4,0)</f>
        <v>MF_FLORID3</v>
      </c>
    </row>
    <row r="1130" spans="1:10">
      <c r="A1130" s="32">
        <v>867</v>
      </c>
      <c r="B1130" s="33">
        <v>5043</v>
      </c>
      <c r="C1130" s="3">
        <v>1000000</v>
      </c>
      <c r="D1130" s="3"/>
      <c r="E1130" s="7">
        <f t="shared" si="56"/>
        <v>1000000</v>
      </c>
      <c r="F1130" s="5">
        <v>45981</v>
      </c>
      <c r="G1130" s="4">
        <v>20251119</v>
      </c>
      <c r="H1130" s="38" t="str">
        <f>VLOOKUP(B1130,CAJEROS!B:D,3,0)</f>
        <v>Multifuncional</v>
      </c>
      <c r="I1130" s="34"/>
      <c r="J1130" s="38" t="str">
        <f>VLOOKUP(B1130,CAJEROS!B:E,4,0)</f>
        <v>MF_UNARMENI</v>
      </c>
    </row>
    <row r="1131" spans="1:10">
      <c r="A1131" s="32">
        <v>882</v>
      </c>
      <c r="B1131" s="33">
        <v>5020</v>
      </c>
      <c r="C1131" s="3">
        <v>1184500</v>
      </c>
      <c r="D1131" s="3"/>
      <c r="E1131" s="7">
        <f t="shared" si="56"/>
        <v>1184500</v>
      </c>
      <c r="F1131" s="5">
        <v>45981</v>
      </c>
      <c r="G1131" s="4">
        <v>20251119</v>
      </c>
      <c r="H1131" s="38" t="str">
        <f>VLOOKUP(B1131,CAJEROS!B:D,3,0)</f>
        <v>Multifuncional</v>
      </c>
      <c r="I1131" s="34"/>
      <c r="J1131" s="38" t="str">
        <f>VLOOKUP(B1131,CAJEROS!B:E,4,0)</f>
        <v>MF_LIBERTAD</v>
      </c>
    </row>
    <row r="1132" spans="1:10">
      <c r="A1132" s="32">
        <v>890</v>
      </c>
      <c r="B1132" s="33">
        <v>9584</v>
      </c>
      <c r="C1132" s="3">
        <v>58000</v>
      </c>
      <c r="D1132" s="3"/>
      <c r="E1132" s="7">
        <f t="shared" si="56"/>
        <v>58000</v>
      </c>
      <c r="F1132" s="5">
        <v>45981</v>
      </c>
      <c r="G1132" s="4">
        <v>20251119</v>
      </c>
      <c r="H1132" s="38" t="str">
        <f>VLOOKUP(B1132,CAJEROS!B:D,3,0)</f>
        <v>Multifuncional</v>
      </c>
      <c r="I1132" s="34"/>
      <c r="J1132" s="38" t="str">
        <f>VLOOKUP(B1132,CAJEROS!B:E,4,0)</f>
        <v>MFSUCACACI1</v>
      </c>
    </row>
    <row r="1133" spans="1:10">
      <c r="A1133" s="32">
        <v>894</v>
      </c>
      <c r="B1133" s="33">
        <v>6466</v>
      </c>
      <c r="C1133" s="3">
        <v>20600</v>
      </c>
      <c r="D1133" s="3"/>
      <c r="E1133" s="7">
        <f t="shared" si="56"/>
        <v>20600</v>
      </c>
      <c r="F1133" s="5">
        <v>45981</v>
      </c>
      <c r="G1133" s="4">
        <v>20251119</v>
      </c>
      <c r="H1133" s="38" t="str">
        <f>VLOOKUP(B1133,CAJEROS!B:D,3,0)</f>
        <v>Multifuncional</v>
      </c>
      <c r="I1133" s="34"/>
      <c r="J1133" s="38" t="str">
        <f>VLOOKUP(B1133,CAJEROS!B:E,4,0)</f>
        <v>MF_TUMACO</v>
      </c>
    </row>
    <row r="1134" spans="1:10">
      <c r="A1134" s="32">
        <v>927</v>
      </c>
      <c r="B1134" s="33">
        <v>5143</v>
      </c>
      <c r="C1134" s="3">
        <v>13590000</v>
      </c>
      <c r="D1134" s="3"/>
      <c r="E1134" s="7">
        <f t="shared" si="56"/>
        <v>13590000</v>
      </c>
      <c r="F1134" s="5">
        <v>45981</v>
      </c>
      <c r="G1134" s="4">
        <v>20251119</v>
      </c>
      <c r="H1134" s="38" t="str">
        <f>VLOOKUP(B1134,CAJEROS!B:D,3,0)</f>
        <v>Multifuncional</v>
      </c>
      <c r="I1134" s="34"/>
      <c r="J1134" s="38" t="str">
        <f>VLOOKUP(B1134,CAJEROS!B:E,4,0)</f>
        <v>MF_SUCMOCOA</v>
      </c>
    </row>
    <row r="1135" spans="1:10">
      <c r="A1135" s="32">
        <v>762</v>
      </c>
      <c r="B1135" s="33">
        <v>5181</v>
      </c>
      <c r="C1135" s="3">
        <v>3890000</v>
      </c>
      <c r="D1135" s="3"/>
      <c r="E1135" s="7">
        <f t="shared" ref="E1135" si="57">+C1135-D1135</f>
        <v>3890000</v>
      </c>
      <c r="F1135" s="5">
        <v>45981</v>
      </c>
      <c r="G1135" s="4">
        <v>20251119</v>
      </c>
      <c r="H1135" s="38" t="str">
        <f>VLOOKUP(B1135,CAJEROS!B:D,3,0)</f>
        <v>Multifuncional</v>
      </c>
      <c r="I1135" s="34" t="s">
        <v>9</v>
      </c>
      <c r="J1135" s="38" t="str">
        <f>VLOOKUP(B1135,CAJEROS!B:E,4,0)</f>
        <v>MF_HERRADU1</v>
      </c>
    </row>
    <row r="1136" spans="1:10">
      <c r="A1136" s="32">
        <v>74</v>
      </c>
      <c r="B1136" s="33">
        <v>6215</v>
      </c>
      <c r="C1136" s="3">
        <v>3870000</v>
      </c>
      <c r="D1136" s="3"/>
      <c r="E1136" s="7">
        <f t="shared" ref="E1136:E1169" si="58">+C1136-D1136</f>
        <v>3870000</v>
      </c>
      <c r="F1136" s="5">
        <v>45981</v>
      </c>
      <c r="G1136" s="4">
        <v>20251119</v>
      </c>
      <c r="H1136" s="38" t="str">
        <f>VLOOKUP(B1136,CAJEROS!B:D,3,0)</f>
        <v>Multifuncional</v>
      </c>
      <c r="I1136" s="34" t="s">
        <v>9</v>
      </c>
      <c r="J1136" s="38" t="str">
        <f>VLOOKUP(B1136,CAJEROS!B:E,4,0)</f>
        <v>MF_PASTO</v>
      </c>
    </row>
    <row r="1137" spans="1:10">
      <c r="A1137" s="32">
        <v>392</v>
      </c>
      <c r="B1137" s="33">
        <v>5064</v>
      </c>
      <c r="C1137" s="3">
        <v>2795000</v>
      </c>
      <c r="D1137" s="3"/>
      <c r="E1137" s="7">
        <f t="shared" si="58"/>
        <v>2795000</v>
      </c>
      <c r="F1137" s="5">
        <v>45981</v>
      </c>
      <c r="G1137" s="4">
        <v>20251119</v>
      </c>
      <c r="H1137" s="38" t="str">
        <f>VLOOKUP(B1137,CAJEROS!B:D,3,0)</f>
        <v>Multifuncional</v>
      </c>
      <c r="I1137" s="34" t="s">
        <v>9</v>
      </c>
      <c r="J1137" s="38" t="str">
        <f>VLOOKUP(B1137,CAJEROS!B:E,4,0)</f>
        <v>MF_LADORADA</v>
      </c>
    </row>
    <row r="1138" spans="1:10">
      <c r="A1138" s="32">
        <v>383</v>
      </c>
      <c r="B1138" s="33">
        <v>5194</v>
      </c>
      <c r="C1138" s="3">
        <v>2374000</v>
      </c>
      <c r="D1138" s="3"/>
      <c r="E1138" s="7">
        <f t="shared" si="58"/>
        <v>2374000</v>
      </c>
      <c r="F1138" s="5">
        <v>45981</v>
      </c>
      <c r="G1138" s="4">
        <v>20251119</v>
      </c>
      <c r="H1138" s="38" t="str">
        <f>VLOOKUP(B1138,CAJEROS!B:D,3,0)</f>
        <v>Multifuncional</v>
      </c>
      <c r="I1138" s="34" t="s">
        <v>9</v>
      </c>
      <c r="J1138" s="38" t="str">
        <f>VLOOKUP(B1138,CAJEROS!B:E,4,0)</f>
        <v>MF_MADRID</v>
      </c>
    </row>
    <row r="1139" spans="1:10">
      <c r="A1139" s="32">
        <v>322</v>
      </c>
      <c r="B1139" s="33">
        <v>2444</v>
      </c>
      <c r="C1139" s="3">
        <v>2260000</v>
      </c>
      <c r="D1139" s="3"/>
      <c r="E1139" s="7">
        <f t="shared" si="58"/>
        <v>2260000</v>
      </c>
      <c r="F1139" s="5">
        <v>45981</v>
      </c>
      <c r="G1139" s="4">
        <v>20251119</v>
      </c>
      <c r="H1139" s="38" t="str">
        <f>VLOOKUP(B1139,CAJEROS!B:D,3,0)</f>
        <v>Multifuncional</v>
      </c>
      <c r="I1139" s="34" t="s">
        <v>9</v>
      </c>
      <c r="J1139" s="38" t="str">
        <f>VLOOKUP(B1139,CAJEROS!B:E,4,0)</f>
        <v>MFSUCSNGIL1</v>
      </c>
    </row>
    <row r="1140" spans="1:10">
      <c r="A1140" s="32">
        <v>264</v>
      </c>
      <c r="B1140" s="33">
        <v>9906</v>
      </c>
      <c r="C1140" s="3">
        <v>2000000</v>
      </c>
      <c r="D1140" s="3"/>
      <c r="E1140" s="7">
        <f t="shared" si="58"/>
        <v>2000000</v>
      </c>
      <c r="F1140" s="5">
        <v>45981</v>
      </c>
      <c r="G1140" s="4">
        <v>20251119</v>
      </c>
      <c r="H1140" s="38" t="str">
        <f>VLOOKUP(B1140,CAJEROS!B:D,3,0)</f>
        <v>Multifuncional</v>
      </c>
      <c r="I1140" s="34" t="s">
        <v>9</v>
      </c>
      <c r="J1140" s="38" t="str">
        <f>VLOOKUP(B1140,CAJEROS!B:E,4,0)</f>
        <v>MFSUCFUSAG1</v>
      </c>
    </row>
    <row r="1141" spans="1:10">
      <c r="A1141" s="32">
        <v>718</v>
      </c>
      <c r="B1141" s="33">
        <v>6248</v>
      </c>
      <c r="C1141" s="3">
        <v>1768000</v>
      </c>
      <c r="D1141" s="3"/>
      <c r="E1141" s="7">
        <f t="shared" si="58"/>
        <v>1768000</v>
      </c>
      <c r="F1141" s="5">
        <v>45981</v>
      </c>
      <c r="G1141" s="4">
        <v>20251119</v>
      </c>
      <c r="H1141" s="38" t="str">
        <f>VLOOKUP(B1141,CAJEROS!B:D,3,0)</f>
        <v>Multifuncional</v>
      </c>
      <c r="I1141" s="34" t="s">
        <v>9</v>
      </c>
      <c r="J1141" s="38" t="str">
        <f>VLOOKUP(B1141,CAJEROS!B:E,4,0)</f>
        <v>MF_LAESTACI</v>
      </c>
    </row>
    <row r="1142" spans="1:10">
      <c r="A1142" s="32">
        <v>337</v>
      </c>
      <c r="B1142" s="33">
        <v>6253</v>
      </c>
      <c r="C1142" s="3">
        <v>1600000</v>
      </c>
      <c r="D1142" s="3"/>
      <c r="E1142" s="7">
        <f t="shared" si="58"/>
        <v>1600000</v>
      </c>
      <c r="F1142" s="5">
        <v>45981</v>
      </c>
      <c r="G1142" s="4">
        <v>20251119</v>
      </c>
      <c r="H1142" s="38" t="str">
        <f>VLOOKUP(B1142,CAJEROS!B:D,3,0)</f>
        <v>Multifuncional</v>
      </c>
      <c r="I1142" s="34" t="s">
        <v>9</v>
      </c>
      <c r="J1142" s="38" t="str">
        <f>VLOOKUP(B1142,CAJEROS!B:E,4,0)</f>
        <v>MF_CHIA</v>
      </c>
    </row>
    <row r="1143" spans="1:10">
      <c r="A1143" s="32">
        <v>959</v>
      </c>
      <c r="B1143" s="33">
        <v>9265</v>
      </c>
      <c r="C1143" s="3">
        <v>1590000</v>
      </c>
      <c r="D1143" s="3"/>
      <c r="E1143" s="7">
        <f t="shared" si="58"/>
        <v>1590000</v>
      </c>
      <c r="F1143" s="5">
        <v>45981</v>
      </c>
      <c r="G1143" s="4">
        <v>20251119</v>
      </c>
      <c r="H1143" s="38" t="str">
        <f>VLOOKUP(B1143,CAJEROS!B:D,3,0)</f>
        <v>Multifuncional</v>
      </c>
      <c r="I1143" s="34" t="s">
        <v>9</v>
      </c>
      <c r="J1143" s="38" t="str">
        <f>VLOOKUP(B1143,CAJEROS!B:E,4,0)</f>
        <v>MFSUCTURBO1</v>
      </c>
    </row>
    <row r="1144" spans="1:10">
      <c r="A1144" s="32">
        <v>54</v>
      </c>
      <c r="B1144" s="33">
        <v>6204</v>
      </c>
      <c r="C1144" s="3">
        <v>1550000</v>
      </c>
      <c r="D1144" s="3"/>
      <c r="E1144" s="7">
        <f t="shared" si="58"/>
        <v>1550000</v>
      </c>
      <c r="F1144" s="5">
        <v>45981</v>
      </c>
      <c r="G1144" s="4">
        <v>20251119</v>
      </c>
      <c r="H1144" s="38" t="str">
        <f>VLOOKUP(B1144,CAJEROS!B:D,3,0)</f>
        <v>Multifuncional</v>
      </c>
      <c r="I1144" s="34" t="s">
        <v>9</v>
      </c>
      <c r="J1144" s="38" t="str">
        <f>VLOOKUP(B1144,CAJEROS!B:E,4,0)</f>
        <v>MF_CALLE122</v>
      </c>
    </row>
    <row r="1145" spans="1:10">
      <c r="A1145" s="32">
        <v>516</v>
      </c>
      <c r="B1145" s="33">
        <v>9729</v>
      </c>
      <c r="C1145" s="3">
        <v>1520000</v>
      </c>
      <c r="D1145" s="3"/>
      <c r="E1145" s="7">
        <f t="shared" si="58"/>
        <v>1520000</v>
      </c>
      <c r="F1145" s="5">
        <v>45981</v>
      </c>
      <c r="G1145" s="4">
        <v>20251119</v>
      </c>
      <c r="H1145" s="38" t="str">
        <f>VLOOKUP(B1145,CAJEROS!B:D,3,0)</f>
        <v>Multifuncional</v>
      </c>
      <c r="I1145" s="34" t="s">
        <v>9</v>
      </c>
      <c r="J1145" s="38" t="str">
        <f>VLOOKUP(B1145,CAJEROS!B:E,4,0)</f>
        <v>MF_SUCSTAM1</v>
      </c>
    </row>
    <row r="1146" spans="1:10">
      <c r="A1146" s="32">
        <v>551</v>
      </c>
      <c r="B1146" s="33">
        <v>9643</v>
      </c>
      <c r="C1146" s="3">
        <v>1505000</v>
      </c>
      <c r="D1146" s="3"/>
      <c r="E1146" s="7">
        <f t="shared" si="58"/>
        <v>1505000</v>
      </c>
      <c r="F1146" s="5">
        <v>45981</v>
      </c>
      <c r="G1146" s="4">
        <v>20251119</v>
      </c>
      <c r="H1146" s="38" t="str">
        <f>VLOOKUP(B1146,CAJEROS!B:D,3,0)</f>
        <v>Multifuncional</v>
      </c>
      <c r="I1146" s="34" t="s">
        <v>9</v>
      </c>
      <c r="J1146" s="38" t="str">
        <f>VLOOKUP(B1146,CAJEROS!B:E,4,0)</f>
        <v>MFSUCUNIME1</v>
      </c>
    </row>
    <row r="1147" spans="1:10">
      <c r="A1147" s="32">
        <v>692</v>
      </c>
      <c r="B1147" s="33">
        <v>1516</v>
      </c>
      <c r="C1147" s="3">
        <v>1490000</v>
      </c>
      <c r="D1147" s="3"/>
      <c r="E1147" s="7">
        <f t="shared" si="58"/>
        <v>1490000</v>
      </c>
      <c r="F1147" s="5">
        <v>45981</v>
      </c>
      <c r="G1147" s="4">
        <v>20251119</v>
      </c>
      <c r="H1147" s="38" t="str">
        <f>VLOOKUP(B1147,CAJEROS!B:D,3,0)</f>
        <v>Multifuncional</v>
      </c>
      <c r="I1147" s="34" t="s">
        <v>9</v>
      </c>
      <c r="J1147" s="38" t="str">
        <f>VLOOKUP(B1147,CAJEROS!B:E,4,0)</f>
        <v>MFSUCALTPR2</v>
      </c>
    </row>
    <row r="1148" spans="1:10">
      <c r="A1148" s="32">
        <v>258</v>
      </c>
      <c r="B1148" s="33">
        <v>5155</v>
      </c>
      <c r="C1148" s="3">
        <v>1460000</v>
      </c>
      <c r="D1148" s="3"/>
      <c r="E1148" s="7">
        <f t="shared" si="58"/>
        <v>1460000</v>
      </c>
      <c r="F1148" s="5">
        <v>45981</v>
      </c>
      <c r="G1148" s="4">
        <v>20251119</v>
      </c>
      <c r="H1148" s="38" t="str">
        <f>VLOOKUP(B1148,CAJEROS!B:D,3,0)</f>
        <v>Multifuncional</v>
      </c>
      <c r="I1148" s="34" t="s">
        <v>9</v>
      </c>
      <c r="J1148" s="38" t="str">
        <f>VLOOKUP(B1148,CAJEROS!B:E,4,0)</f>
        <v>MF_TUNJA</v>
      </c>
    </row>
    <row r="1149" spans="1:10">
      <c r="A1149" s="32">
        <v>78</v>
      </c>
      <c r="B1149" s="33">
        <v>6246</v>
      </c>
      <c r="C1149" s="3">
        <v>1360000</v>
      </c>
      <c r="D1149" s="3"/>
      <c r="E1149" s="7">
        <f t="shared" si="58"/>
        <v>1360000</v>
      </c>
      <c r="F1149" s="5">
        <v>45981</v>
      </c>
      <c r="G1149" s="4">
        <v>20251119</v>
      </c>
      <c r="H1149" s="38" t="str">
        <f>VLOOKUP(B1149,CAJEROS!B:D,3,0)</f>
        <v>Multifuncional</v>
      </c>
      <c r="I1149" s="34" t="s">
        <v>9</v>
      </c>
      <c r="J1149" s="38" t="str">
        <f>VLOOKUP(B1149,CAJEROS!B:E,4,0)</f>
        <v>MF_CACIQUE</v>
      </c>
    </row>
    <row r="1150" spans="1:10">
      <c r="A1150" s="32">
        <v>108</v>
      </c>
      <c r="B1150" s="33">
        <v>2254</v>
      </c>
      <c r="C1150" s="3">
        <v>1264000</v>
      </c>
      <c r="D1150" s="3"/>
      <c r="E1150" s="7">
        <f t="shared" si="58"/>
        <v>1264000</v>
      </c>
      <c r="F1150" s="5">
        <v>45981</v>
      </c>
      <c r="G1150" s="4">
        <v>20251119</v>
      </c>
      <c r="H1150" s="38" t="str">
        <f>VLOOKUP(B1150,CAJEROS!B:D,3,0)</f>
        <v>Multifuncional</v>
      </c>
      <c r="I1150" s="34" t="s">
        <v>9</v>
      </c>
      <c r="J1150" s="38" t="str">
        <f>VLOOKUP(B1150,CAJEROS!B:E,4,0)</f>
        <v>MFSUCPAMER2</v>
      </c>
    </row>
    <row r="1151" spans="1:10">
      <c r="A1151" s="32">
        <v>499</v>
      </c>
      <c r="B1151" s="33">
        <v>9810</v>
      </c>
      <c r="C1151" s="3">
        <v>1199850</v>
      </c>
      <c r="D1151" s="3"/>
      <c r="E1151" s="7">
        <f t="shared" si="58"/>
        <v>1199850</v>
      </c>
      <c r="F1151" s="5">
        <v>45981</v>
      </c>
      <c r="G1151" s="4">
        <v>20251119</v>
      </c>
      <c r="H1151" s="38" t="str">
        <f>VLOOKUP(B1151,CAJEROS!B:D,3,0)</f>
        <v>Multifuncional</v>
      </c>
      <c r="I1151" s="34" t="s">
        <v>9</v>
      </c>
      <c r="J1151" s="38" t="str">
        <f>VLOOKUP(B1151,CAJEROS!B:E,4,0)</f>
        <v>MF_SUCPARF1</v>
      </c>
    </row>
    <row r="1152" spans="1:10">
      <c r="A1152" s="32">
        <v>795</v>
      </c>
      <c r="B1152" s="33">
        <v>1029</v>
      </c>
      <c r="C1152" s="3">
        <v>1000000</v>
      </c>
      <c r="D1152" s="3"/>
      <c r="E1152" s="7">
        <f t="shared" si="58"/>
        <v>1000000</v>
      </c>
      <c r="F1152" s="5">
        <v>45981</v>
      </c>
      <c r="G1152" s="4">
        <v>20251119</v>
      </c>
      <c r="H1152" s="38" t="str">
        <f>VLOOKUP(B1152,CAJEROS!B:D,3,0)</f>
        <v>Multifuncional</v>
      </c>
      <c r="I1152" s="34" t="s">
        <v>9</v>
      </c>
      <c r="J1152" s="38" t="str">
        <f>VLOOKUP(B1152,CAJEROS!B:E,4,0)</f>
        <v>MFSUCANVER3</v>
      </c>
    </row>
    <row r="1153" spans="1:10">
      <c r="A1153" s="32">
        <v>571</v>
      </c>
      <c r="B1153" s="33">
        <v>6150</v>
      </c>
      <c r="C1153" s="3">
        <v>760000</v>
      </c>
      <c r="D1153" s="3"/>
      <c r="E1153" s="7">
        <f t="shared" si="58"/>
        <v>760000</v>
      </c>
      <c r="F1153" s="5">
        <v>45981</v>
      </c>
      <c r="G1153" s="4">
        <v>20251119</v>
      </c>
      <c r="H1153" s="38" t="str">
        <f>VLOOKUP(B1153,CAJEROS!B:D,3,0)</f>
        <v>Multifuncional</v>
      </c>
      <c r="I1153" s="34" t="s">
        <v>9</v>
      </c>
      <c r="J1153" s="38" t="str">
        <f>VLOOKUP(B1153,CAJEROS!B:E,4,0)</f>
        <v>MF_PALATIN</v>
      </c>
    </row>
    <row r="1154" spans="1:10">
      <c r="A1154" s="32">
        <v>166</v>
      </c>
      <c r="B1154" s="33">
        <v>7939</v>
      </c>
      <c r="C1154" s="3">
        <v>750000</v>
      </c>
      <c r="D1154" s="3"/>
      <c r="E1154" s="7">
        <f t="shared" si="58"/>
        <v>750000</v>
      </c>
      <c r="F1154" s="5">
        <v>45981</v>
      </c>
      <c r="G1154" s="4">
        <v>20251119</v>
      </c>
      <c r="H1154" s="38" t="str">
        <f>VLOOKUP(B1154,CAJEROS!B:D,3,0)</f>
        <v>Multifuncional</v>
      </c>
      <c r="I1154" s="34" t="s">
        <v>9</v>
      </c>
      <c r="J1154" s="38" t="str">
        <f>VLOOKUP(B1154,CAJEROS!B:E,4,0)</f>
        <v>MF_ALDELSI1</v>
      </c>
    </row>
    <row r="1155" spans="1:10">
      <c r="A1155" s="32">
        <v>166</v>
      </c>
      <c r="B1155" s="33">
        <v>7940</v>
      </c>
      <c r="C1155" s="3">
        <v>550000</v>
      </c>
      <c r="D1155" s="3"/>
      <c r="E1155" s="7">
        <f t="shared" si="58"/>
        <v>550000</v>
      </c>
      <c r="F1155" s="5">
        <v>45981</v>
      </c>
      <c r="G1155" s="4">
        <v>20251119</v>
      </c>
      <c r="H1155" s="38" t="str">
        <f>VLOOKUP(B1155,CAJEROS!B:D,3,0)</f>
        <v>Multifuncional</v>
      </c>
      <c r="I1155" s="34" t="s">
        <v>9</v>
      </c>
      <c r="J1155" s="38" t="str">
        <f>VLOOKUP(B1155,CAJEROS!B:E,4,0)</f>
        <v>MF_ALDELS22</v>
      </c>
    </row>
    <row r="1156" spans="1:10">
      <c r="A1156" s="32">
        <v>795</v>
      </c>
      <c r="B1156" s="33">
        <v>1028</v>
      </c>
      <c r="C1156" s="3">
        <v>505000</v>
      </c>
      <c r="D1156" s="3"/>
      <c r="E1156" s="7">
        <f t="shared" si="58"/>
        <v>505000</v>
      </c>
      <c r="F1156" s="5">
        <v>45981</v>
      </c>
      <c r="G1156" s="4">
        <v>20251119</v>
      </c>
      <c r="H1156" s="38" t="str">
        <f>VLOOKUP(B1156,CAJEROS!B:D,3,0)</f>
        <v>Multifuncional</v>
      </c>
      <c r="I1156" s="34" t="s">
        <v>9</v>
      </c>
      <c r="J1156" s="38" t="str">
        <f>VLOOKUP(B1156,CAJEROS!B:E,4,0)</f>
        <v>MFSUCANVER2</v>
      </c>
    </row>
    <row r="1157" spans="1:10">
      <c r="A1157" s="32">
        <v>61</v>
      </c>
      <c r="B1157" s="33">
        <v>788</v>
      </c>
      <c r="C1157" s="3">
        <v>486000</v>
      </c>
      <c r="D1157" s="3"/>
      <c r="E1157" s="7">
        <f t="shared" si="58"/>
        <v>486000</v>
      </c>
      <c r="F1157" s="5">
        <v>45981</v>
      </c>
      <c r="G1157" s="4">
        <v>20251119</v>
      </c>
      <c r="H1157" s="38" t="str">
        <f>VLOOKUP(B1157,CAJEROS!B:D,3,0)</f>
        <v>Multifuncional</v>
      </c>
      <c r="I1157" s="34" t="s">
        <v>9</v>
      </c>
      <c r="J1157" s="38" t="str">
        <f>VLOOKUP(B1157,CAJEROS!B:E,4,0)</f>
        <v>MFSUCLAEST1</v>
      </c>
    </row>
    <row r="1158" spans="1:10">
      <c r="A1158" s="32">
        <v>123</v>
      </c>
      <c r="B1158" s="33">
        <v>7134</v>
      </c>
      <c r="C1158" s="3">
        <v>465600</v>
      </c>
      <c r="D1158" s="3"/>
      <c r="E1158" s="7">
        <f t="shared" si="58"/>
        <v>465600</v>
      </c>
      <c r="F1158" s="5">
        <v>45981</v>
      </c>
      <c r="G1158" s="4">
        <v>20251119</v>
      </c>
      <c r="H1158" s="38" t="str">
        <f>VLOOKUP(B1158,CAJEROS!B:D,3,0)</f>
        <v>Multifuncional</v>
      </c>
      <c r="I1158" s="34" t="s">
        <v>9</v>
      </c>
      <c r="J1158" s="38" t="str">
        <f>VLOOKUP(B1158,CAJEROS!B:E,4,0)</f>
        <v>MF_CPRIONE2</v>
      </c>
    </row>
    <row r="1159" spans="1:10">
      <c r="A1159" s="32">
        <v>115</v>
      </c>
      <c r="B1159" s="33">
        <v>5080</v>
      </c>
      <c r="C1159" s="3">
        <v>440000</v>
      </c>
      <c r="D1159" s="3"/>
      <c r="E1159" s="7">
        <f t="shared" si="58"/>
        <v>440000</v>
      </c>
      <c r="F1159" s="5">
        <v>45981</v>
      </c>
      <c r="G1159" s="4">
        <v>20251119</v>
      </c>
      <c r="H1159" s="38" t="str">
        <f>VLOOKUP(B1159,CAJEROS!B:D,3,0)</f>
        <v>Multifuncional</v>
      </c>
      <c r="I1159" s="34" t="s">
        <v>9</v>
      </c>
      <c r="J1159" s="38" t="str">
        <f>VLOOKUP(B1159,CAJEROS!B:E,4,0)</f>
        <v>MF_CIPEREIR</v>
      </c>
    </row>
    <row r="1160" spans="1:10">
      <c r="A1160" s="32">
        <v>217</v>
      </c>
      <c r="B1160" s="33">
        <v>5208</v>
      </c>
      <c r="C1160" s="3">
        <v>420000</v>
      </c>
      <c r="D1160" s="3"/>
      <c r="E1160" s="7">
        <f t="shared" si="58"/>
        <v>420000</v>
      </c>
      <c r="F1160" s="5">
        <v>45981</v>
      </c>
      <c r="G1160" s="4">
        <v>20251119</v>
      </c>
      <c r="H1160" s="38" t="str">
        <f>VLOOKUP(B1160,CAJEROS!B:D,3,0)</f>
        <v>Multifuncional</v>
      </c>
      <c r="I1160" s="34" t="s">
        <v>9</v>
      </c>
      <c r="J1160" s="38" t="str">
        <f>VLOOKUP(B1160,CAJEROS!B:E,4,0)</f>
        <v>MF_MONTEVID</v>
      </c>
    </row>
    <row r="1161" spans="1:10">
      <c r="A1161" s="32">
        <v>229</v>
      </c>
      <c r="B1161" s="33">
        <v>9604</v>
      </c>
      <c r="C1161" s="3">
        <v>400000</v>
      </c>
      <c r="D1161" s="3"/>
      <c r="E1161" s="7">
        <f t="shared" si="58"/>
        <v>400000</v>
      </c>
      <c r="F1161" s="5">
        <v>45981</v>
      </c>
      <c r="G1161" s="4">
        <v>20251119</v>
      </c>
      <c r="H1161" s="38" t="str">
        <f>VLOOKUP(B1161,CAJEROS!B:D,3,0)</f>
        <v>Multifuncional</v>
      </c>
      <c r="I1161" s="34" t="s">
        <v>9</v>
      </c>
      <c r="J1161" s="38" t="str">
        <f>VLOOKUP(B1161,CAJEROS!B:E,4,0)</f>
        <v>MFSUCPASER1</v>
      </c>
    </row>
    <row r="1162" spans="1:10">
      <c r="A1162" s="32">
        <v>716</v>
      </c>
      <c r="B1162" s="33">
        <v>5192</v>
      </c>
      <c r="C1162" s="3">
        <v>205000</v>
      </c>
      <c r="D1162" s="3"/>
      <c r="E1162" s="7">
        <f t="shared" si="58"/>
        <v>205000</v>
      </c>
      <c r="F1162" s="5">
        <v>45981</v>
      </c>
      <c r="G1162" s="4">
        <v>20251119</v>
      </c>
      <c r="H1162" s="38" t="str">
        <f>VLOOKUP(B1162,CAJEROS!B:D,3,0)</f>
        <v>Multifuncional</v>
      </c>
      <c r="I1162" s="34" t="s">
        <v>9</v>
      </c>
      <c r="J1162" s="38" t="str">
        <f>VLOOKUP(B1162,CAJEROS!B:E,4,0)</f>
        <v>MF_AVCGORDS</v>
      </c>
    </row>
    <row r="1163" spans="1:10">
      <c r="A1163" s="32">
        <v>907</v>
      </c>
      <c r="B1163" s="33">
        <v>4830</v>
      </c>
      <c r="C1163" s="3">
        <v>190000</v>
      </c>
      <c r="D1163" s="3"/>
      <c r="E1163" s="7">
        <f t="shared" si="58"/>
        <v>190000</v>
      </c>
      <c r="F1163" s="5">
        <v>45981</v>
      </c>
      <c r="G1163" s="4">
        <v>20251119</v>
      </c>
      <c r="H1163" s="38" t="str">
        <f>VLOOKUP(B1163,CAJEROS!B:D,3,0)</f>
        <v>Multifuncional</v>
      </c>
      <c r="I1163" s="34" t="s">
        <v>9</v>
      </c>
      <c r="J1163" s="38" t="str">
        <f>VLOOKUP(B1163,CAJEROS!B:E,4,0)</f>
        <v>MF_FRONTER2</v>
      </c>
    </row>
    <row r="1164" spans="1:10">
      <c r="A1164" s="32">
        <v>551</v>
      </c>
      <c r="B1164" s="33">
        <v>9644</v>
      </c>
      <c r="C1164" s="3">
        <v>180000</v>
      </c>
      <c r="D1164" s="3"/>
      <c r="E1164" s="7">
        <f t="shared" si="58"/>
        <v>180000</v>
      </c>
      <c r="F1164" s="5">
        <v>45981</v>
      </c>
      <c r="G1164" s="4">
        <v>20251119</v>
      </c>
      <c r="H1164" s="38" t="str">
        <f>VLOOKUP(B1164,CAJEROS!B:D,3,0)</f>
        <v>Multifuncional</v>
      </c>
      <c r="I1164" s="34" t="s">
        <v>9</v>
      </c>
      <c r="J1164" s="38" t="str">
        <f>VLOOKUP(B1164,CAJEROS!B:E,4,0)</f>
        <v>MFSUCUNIME2</v>
      </c>
    </row>
    <row r="1165" spans="1:10">
      <c r="A1165" s="32">
        <v>728</v>
      </c>
      <c r="B1165" s="33">
        <v>8587</v>
      </c>
      <c r="C1165" s="3">
        <v>100000</v>
      </c>
      <c r="D1165" s="3"/>
      <c r="E1165" s="7">
        <f t="shared" si="58"/>
        <v>100000</v>
      </c>
      <c r="F1165" s="5">
        <v>45981</v>
      </c>
      <c r="G1165" s="4">
        <v>20251119</v>
      </c>
      <c r="H1165" s="38" t="str">
        <f>VLOOKUP(B1165,CAJEROS!B:D,3,0)</f>
        <v>Multifuncional</v>
      </c>
      <c r="I1165" s="34" t="s">
        <v>9</v>
      </c>
      <c r="J1165" s="38" t="str">
        <f>VLOOKUP(B1165,CAJEROS!B:E,4,0)</f>
        <v>MF_SUCCART2</v>
      </c>
    </row>
    <row r="1166" spans="1:10">
      <c r="A1166" s="32">
        <v>481</v>
      </c>
      <c r="B1166" s="33">
        <v>1011</v>
      </c>
      <c r="C1166" s="3">
        <v>70000</v>
      </c>
      <c r="D1166" s="3"/>
      <c r="E1166" s="7">
        <f t="shared" si="58"/>
        <v>70000</v>
      </c>
      <c r="F1166" s="5">
        <v>45981</v>
      </c>
      <c r="G1166" s="4">
        <v>20251119</v>
      </c>
      <c r="H1166" s="38" t="str">
        <f>VLOOKUP(B1166,CAJEROS!B:D,3,0)</f>
        <v>Multifuncional</v>
      </c>
      <c r="I1166" s="34" t="s">
        <v>9</v>
      </c>
      <c r="J1166" s="38" t="str">
        <f>VLOOKUP(B1166,CAJEROS!B:E,4,0)</f>
        <v>MF_SOLEDAD2</v>
      </c>
    </row>
    <row r="1167" spans="1:10">
      <c r="A1167" s="32">
        <v>625</v>
      </c>
      <c r="B1167" s="33">
        <v>6096</v>
      </c>
      <c r="C1167" s="3">
        <v>50000</v>
      </c>
      <c r="D1167" s="3"/>
      <c r="E1167" s="7">
        <f t="shared" si="58"/>
        <v>50000</v>
      </c>
      <c r="F1167" s="5">
        <v>45981</v>
      </c>
      <c r="G1167" s="4">
        <v>20251119</v>
      </c>
      <c r="H1167" s="38" t="str">
        <f>VLOOKUP(B1167,CAJEROS!B:D,3,0)</f>
        <v>Multifuncional</v>
      </c>
      <c r="I1167" s="34" t="s">
        <v>9</v>
      </c>
      <c r="J1167" s="38" t="str">
        <f>VLOOKUP(B1167,CAJEROS!B:E,4,0)</f>
        <v>MF_BTRISTE</v>
      </c>
    </row>
    <row r="1168" spans="1:10">
      <c r="A1168" s="32">
        <v>477</v>
      </c>
      <c r="B1168" s="33">
        <v>6251</v>
      </c>
      <c r="C1168" s="3">
        <v>35000</v>
      </c>
      <c r="D1168" s="3"/>
      <c r="E1168" s="7">
        <f t="shared" si="58"/>
        <v>35000</v>
      </c>
      <c r="F1168" s="5">
        <v>45981</v>
      </c>
      <c r="G1168" s="4">
        <v>20251119</v>
      </c>
      <c r="H1168" s="38" t="str">
        <f>VLOOKUP(B1168,CAJEROS!B:D,3,0)</f>
        <v>Multifuncional</v>
      </c>
      <c r="I1168" s="34" t="s">
        <v>9</v>
      </c>
      <c r="J1168" s="38" t="str">
        <f>VLOOKUP(B1168,CAJEROS!B:E,4,0)</f>
        <v>MF_GRANCENT</v>
      </c>
    </row>
    <row r="1169" spans="1:10">
      <c r="A1169" s="32">
        <v>454</v>
      </c>
      <c r="B1169" s="33">
        <v>5231</v>
      </c>
      <c r="C1169" s="3">
        <v>25000</v>
      </c>
      <c r="D1169" s="3"/>
      <c r="E1169" s="7">
        <f t="shared" si="58"/>
        <v>25000</v>
      </c>
      <c r="F1169" s="5">
        <v>45981</v>
      </c>
      <c r="G1169" s="4">
        <v>20251119</v>
      </c>
      <c r="H1169" s="38" t="str">
        <f>VLOOKUP(B1169,CAJEROS!B:D,3,0)</f>
        <v>Multifuncional</v>
      </c>
      <c r="I1169" s="34" t="s">
        <v>9</v>
      </c>
      <c r="J1169" s="38" t="str">
        <f>VLOOKUP(B1169,CAJEROS!B:E,4,0)</f>
        <v>MF_5TAVENID</v>
      </c>
    </row>
    <row r="1170" spans="1:10">
      <c r="A1170" s="32">
        <v>915</v>
      </c>
      <c r="B1170" s="33">
        <v>8313</v>
      </c>
      <c r="C1170" s="3">
        <v>100</v>
      </c>
      <c r="D1170" s="3"/>
      <c r="E1170" s="7">
        <f t="shared" si="38"/>
        <v>100</v>
      </c>
      <c r="F1170" s="5">
        <v>45981</v>
      </c>
      <c r="G1170" s="4">
        <v>20251119</v>
      </c>
      <c r="H1170" s="38" t="str">
        <f>VLOOKUP(B1170,CAJEROS!B:D,3,0)</f>
        <v>Multifuncional</v>
      </c>
      <c r="I1170" s="34" t="s">
        <v>10</v>
      </c>
      <c r="J1170" s="38" t="str">
        <f>VLOOKUP(B1170,CAJEROS!B:E,4,0)</f>
        <v>MF_BANLABB1</v>
      </c>
    </row>
    <row r="1171" spans="1:10">
      <c r="A1171" s="32">
        <v>966</v>
      </c>
      <c r="B1171" s="33">
        <v>6290</v>
      </c>
      <c r="C1171" s="3">
        <v>10000</v>
      </c>
      <c r="D1171" s="3"/>
      <c r="E1171" s="7">
        <f t="shared" si="38"/>
        <v>10000</v>
      </c>
      <c r="F1171" s="5">
        <v>45981</v>
      </c>
      <c r="G1171" s="4">
        <v>20251120</v>
      </c>
      <c r="H1171" s="38" t="str">
        <f>VLOOKUP(B1171,CAJEROS!B:D,3,0)</f>
        <v>Dispensador</v>
      </c>
      <c r="I1171" s="34"/>
      <c r="J1171" s="38" t="str">
        <f>VLOOKUP(B1171,CAJEROS!B:E,4,0)</f>
        <v>MONTELIBA_2</v>
      </c>
    </row>
    <row r="1172" spans="1:10">
      <c r="A1172" s="32">
        <v>15</v>
      </c>
      <c r="B1172" s="33">
        <v>8571</v>
      </c>
      <c r="C1172" s="3">
        <v>670000</v>
      </c>
      <c r="D1172" s="3"/>
      <c r="E1172" s="7">
        <f t="shared" si="38"/>
        <v>670000</v>
      </c>
      <c r="F1172" s="5">
        <v>45982</v>
      </c>
      <c r="G1172" s="4">
        <v>20251120</v>
      </c>
      <c r="H1172" s="38" t="str">
        <f>VLOOKUP(B1172,CAJEROS!B:D,3,0)</f>
        <v>Dispensador</v>
      </c>
      <c r="I1172" s="34"/>
      <c r="J1172" s="38" t="str">
        <f>VLOOKUP(B1172,CAJEROS!B:E,4,0)</f>
        <v>HALLITAGUI1</v>
      </c>
    </row>
    <row r="1173" spans="1:10">
      <c r="A1173" s="32">
        <v>24</v>
      </c>
      <c r="B1173" s="33">
        <v>5292</v>
      </c>
      <c r="C1173" s="3">
        <v>40000</v>
      </c>
      <c r="D1173" s="3"/>
      <c r="E1173" s="7">
        <f t="shared" si="38"/>
        <v>40000</v>
      </c>
      <c r="F1173" s="5">
        <v>45982</v>
      </c>
      <c r="G1173" s="4">
        <v>20251120</v>
      </c>
      <c r="H1173" s="38" t="str">
        <f>VLOOKUP(B1173,CAJEROS!B:D,3,0)</f>
        <v>Dispensador</v>
      </c>
      <c r="I1173" s="34"/>
      <c r="J1173" s="38" t="str">
        <f>VLOOKUP(B1173,CAJEROS!B:E,4,0)</f>
        <v>SUC_RIONEG4</v>
      </c>
    </row>
    <row r="1174" spans="1:10">
      <c r="A1174" s="32">
        <v>42</v>
      </c>
      <c r="B1174" s="33">
        <v>7886</v>
      </c>
      <c r="C1174" s="3">
        <v>200000</v>
      </c>
      <c r="D1174" s="3"/>
      <c r="E1174" s="7">
        <f t="shared" si="38"/>
        <v>200000</v>
      </c>
      <c r="F1174" s="5">
        <v>45982</v>
      </c>
      <c r="G1174" s="4">
        <v>20251120</v>
      </c>
      <c r="H1174" s="38" t="str">
        <f>VLOOKUP(B1174,CAJEROS!B:D,3,0)</f>
        <v>Dispensador</v>
      </c>
      <c r="I1174" s="34"/>
      <c r="J1174" s="38" t="str">
        <f>VLOOKUP(B1174,CAJEROS!B:E,4,0)</f>
        <v>SUCPUENLAR2</v>
      </c>
    </row>
    <row r="1175" spans="1:10">
      <c r="A1175" s="32">
        <v>68</v>
      </c>
      <c r="B1175" s="33">
        <v>4991</v>
      </c>
      <c r="C1175" s="3">
        <v>1700000</v>
      </c>
      <c r="D1175" s="3"/>
      <c r="E1175" s="7">
        <f t="shared" si="38"/>
        <v>1700000</v>
      </c>
      <c r="F1175" s="5">
        <v>45982</v>
      </c>
      <c r="G1175" s="4">
        <v>20251120</v>
      </c>
      <c r="H1175" s="38" t="str">
        <f>VLOOKUP(B1175,CAJEROS!B:D,3,0)</f>
        <v>Dispensador</v>
      </c>
      <c r="I1175" s="34"/>
      <c r="J1175" s="38" t="str">
        <f>VLOOKUP(B1175,CAJEROS!B:E,4,0)</f>
        <v>AUTO_IBAGU4</v>
      </c>
    </row>
    <row r="1176" spans="1:10">
      <c r="A1176" s="32">
        <v>186</v>
      </c>
      <c r="B1176" s="33">
        <v>6508</v>
      </c>
      <c r="C1176" s="3">
        <v>2750000</v>
      </c>
      <c r="D1176" s="3"/>
      <c r="E1176" s="7">
        <f t="shared" si="38"/>
        <v>2750000</v>
      </c>
      <c r="F1176" s="5">
        <v>45982</v>
      </c>
      <c r="G1176" s="4">
        <v>20251120</v>
      </c>
      <c r="H1176" s="38" t="str">
        <f>VLOOKUP(B1176,CAJEROS!B:D,3,0)</f>
        <v>Dispensador</v>
      </c>
      <c r="I1176" s="34"/>
      <c r="J1176" s="38" t="str">
        <f>VLOOKUP(B1176,CAJEROS!B:E,4,0)</f>
        <v>SUC_GALERI1</v>
      </c>
    </row>
    <row r="1177" spans="1:10">
      <c r="A1177" s="32">
        <v>225</v>
      </c>
      <c r="B1177" s="33">
        <v>8866</v>
      </c>
      <c r="C1177" s="3">
        <v>30000</v>
      </c>
      <c r="D1177" s="3"/>
      <c r="E1177" s="7">
        <f t="shared" si="38"/>
        <v>30000</v>
      </c>
      <c r="F1177" s="5">
        <v>45982</v>
      </c>
      <c r="G1177" s="4">
        <v>20251120</v>
      </c>
      <c r="H1177" s="38" t="str">
        <f>VLOOKUP(B1177,CAJEROS!B:D,3,0)</f>
        <v>Dispensador</v>
      </c>
      <c r="I1177" s="34"/>
      <c r="J1177" s="38" t="str">
        <f>VLOOKUP(B1177,CAJEROS!B:E,4,0)</f>
        <v>SMALPLANQS4</v>
      </c>
    </row>
    <row r="1178" spans="1:10">
      <c r="A1178" s="32">
        <v>261</v>
      </c>
      <c r="B1178" s="33">
        <v>8475</v>
      </c>
      <c r="C1178" s="3">
        <v>500000</v>
      </c>
      <c r="D1178" s="3"/>
      <c r="E1178" s="7">
        <f t="shared" si="38"/>
        <v>500000</v>
      </c>
      <c r="F1178" s="5">
        <v>45982</v>
      </c>
      <c r="G1178" s="4">
        <v>20251120</v>
      </c>
      <c r="H1178" s="38" t="str">
        <f>VLOOKUP(B1178,CAJEROS!B:D,3,0)</f>
        <v>Dispensador</v>
      </c>
      <c r="I1178" s="34"/>
      <c r="J1178" s="38" t="str">
        <f>VLOOKUP(B1178,CAJEROS!B:E,4,0)</f>
        <v>SUCAMPA1</v>
      </c>
    </row>
    <row r="1179" spans="1:10">
      <c r="A1179" s="32">
        <v>291</v>
      </c>
      <c r="B1179" s="33">
        <v>4410</v>
      </c>
      <c r="C1179" s="3">
        <v>250000</v>
      </c>
      <c r="D1179" s="3"/>
      <c r="E1179" s="7">
        <f t="shared" si="38"/>
        <v>250000</v>
      </c>
      <c r="F1179" s="5">
        <v>45982</v>
      </c>
      <c r="G1179" s="4">
        <v>20251120</v>
      </c>
      <c r="H1179" s="38" t="str">
        <f>VLOOKUP(B1179,CAJEROS!B:D,3,0)</f>
        <v>Dispensador</v>
      </c>
      <c r="I1179" s="34"/>
      <c r="J1179" s="38" t="str">
        <f>VLOOKUP(B1179,CAJEROS!B:E,4,0)</f>
        <v>SUC_PALMAS2</v>
      </c>
    </row>
    <row r="1180" spans="1:10">
      <c r="A1180" s="32">
        <v>317</v>
      </c>
      <c r="B1180" s="33">
        <v>3403</v>
      </c>
      <c r="C1180" s="3">
        <v>10000</v>
      </c>
      <c r="D1180" s="3"/>
      <c r="E1180" s="7">
        <f t="shared" si="38"/>
        <v>10000</v>
      </c>
      <c r="F1180" s="5">
        <v>45982</v>
      </c>
      <c r="G1180" s="4">
        <v>20251120</v>
      </c>
      <c r="H1180" s="38" t="str">
        <f>VLOOKUP(B1180,CAJEROS!B:D,3,0)</f>
        <v>Dispensador</v>
      </c>
      <c r="I1180" s="34"/>
      <c r="J1180" s="38" t="str">
        <f>VLOOKUP(B1180,CAJEROS!B:E,4,0)</f>
        <v>SUCARAUCA_2</v>
      </c>
    </row>
    <row r="1181" spans="1:10">
      <c r="A1181" s="32">
        <v>317</v>
      </c>
      <c r="B1181" s="33">
        <v>3405</v>
      </c>
      <c r="C1181" s="3">
        <v>1500000</v>
      </c>
      <c r="D1181" s="3"/>
      <c r="E1181" s="7">
        <f t="shared" si="38"/>
        <v>1500000</v>
      </c>
      <c r="F1181" s="5">
        <v>45982</v>
      </c>
      <c r="G1181" s="4">
        <v>20251120</v>
      </c>
      <c r="H1181" s="38" t="str">
        <f>VLOOKUP(B1181,CAJEROS!B:D,3,0)</f>
        <v>Dispensador</v>
      </c>
      <c r="I1181" s="34"/>
      <c r="J1181" s="38" t="str">
        <f>VLOOKUP(B1181,CAJEROS!B:E,4,0)</f>
        <v>SUCARAUCA_4</v>
      </c>
    </row>
    <row r="1182" spans="1:10">
      <c r="A1182" s="32">
        <v>348</v>
      </c>
      <c r="B1182" s="33">
        <v>5649</v>
      </c>
      <c r="C1182" s="3">
        <v>100000</v>
      </c>
      <c r="D1182" s="3"/>
      <c r="E1182" s="7">
        <f t="shared" si="38"/>
        <v>100000</v>
      </c>
      <c r="F1182" s="5">
        <v>45982</v>
      </c>
      <c r="G1182" s="4">
        <v>20251119</v>
      </c>
      <c r="H1182" s="38" t="str">
        <f>VLOOKUP(B1182,CAJEROS!B:D,3,0)</f>
        <v>Dispensador</v>
      </c>
      <c r="I1182" s="34"/>
      <c r="J1182" s="38" t="str">
        <f>VLOOKUP(B1182,CAJEROS!B:E,4,0)</f>
        <v>SUCSANDRES5</v>
      </c>
    </row>
    <row r="1183" spans="1:10">
      <c r="A1183" s="32">
        <v>369</v>
      </c>
      <c r="B1183" s="33">
        <v>4185</v>
      </c>
      <c r="C1183" s="3">
        <v>200000</v>
      </c>
      <c r="D1183" s="3"/>
      <c r="E1183" s="7">
        <f t="shared" si="38"/>
        <v>200000</v>
      </c>
      <c r="F1183" s="5">
        <v>45982</v>
      </c>
      <c r="G1183" s="4">
        <v>20251119</v>
      </c>
      <c r="H1183" s="38" t="str">
        <f>VLOOKUP(B1183,CAJEROS!B:D,3,0)</f>
        <v>Dispensador</v>
      </c>
      <c r="I1183" s="34"/>
      <c r="J1183" s="38" t="str">
        <f>VLOOKUP(B1183,CAJEROS!B:E,4,0)</f>
        <v>SUC_TAURAM3</v>
      </c>
    </row>
    <row r="1184" spans="1:10">
      <c r="A1184" s="32">
        <v>385</v>
      </c>
      <c r="B1184" s="33">
        <v>1826</v>
      </c>
      <c r="C1184" s="3">
        <v>5050000</v>
      </c>
      <c r="D1184" s="3"/>
      <c r="E1184" s="7">
        <f t="shared" si="38"/>
        <v>5050000</v>
      </c>
      <c r="F1184" s="5">
        <v>45982</v>
      </c>
      <c r="G1184" s="4">
        <v>20251120</v>
      </c>
      <c r="H1184" s="38" t="str">
        <f>VLOOKUP(B1184,CAJEROS!B:D,3,0)</f>
        <v>Dispensador</v>
      </c>
      <c r="I1184" s="34"/>
      <c r="J1184" s="38" t="str">
        <f>VLOOKUP(B1184,CAJEROS!B:E,4,0)</f>
        <v>OFVILLETA1</v>
      </c>
    </row>
    <row r="1185" spans="1:10">
      <c r="A1185" s="32">
        <v>385</v>
      </c>
      <c r="B1185" s="33">
        <v>3694</v>
      </c>
      <c r="C1185" s="3">
        <v>150000</v>
      </c>
      <c r="D1185" s="3"/>
      <c r="E1185" s="7">
        <f t="shared" si="38"/>
        <v>150000</v>
      </c>
      <c r="F1185" s="5">
        <v>45982</v>
      </c>
      <c r="G1185" s="4">
        <v>20251120</v>
      </c>
      <c r="H1185" s="38" t="str">
        <f>VLOOKUP(B1185,CAJEROS!B:D,3,0)</f>
        <v>Dispensador</v>
      </c>
      <c r="I1185" s="34"/>
      <c r="J1185" s="38" t="str">
        <f>VLOOKUP(B1185,CAJEROS!B:E,4,0)</f>
        <v>SUC_VILLET3</v>
      </c>
    </row>
    <row r="1186" spans="1:10">
      <c r="A1186" s="32">
        <v>385</v>
      </c>
      <c r="B1186" s="33">
        <v>6601</v>
      </c>
      <c r="C1186" s="3">
        <v>16210000</v>
      </c>
      <c r="D1186" s="3"/>
      <c r="E1186" s="7">
        <f t="shared" si="38"/>
        <v>16210000</v>
      </c>
      <c r="F1186" s="5">
        <v>45982</v>
      </c>
      <c r="G1186" s="4">
        <v>20251120</v>
      </c>
      <c r="H1186" s="38" t="str">
        <f>VLOOKUP(B1186,CAJEROS!B:D,3,0)</f>
        <v>Dispensador</v>
      </c>
      <c r="I1186" s="34"/>
      <c r="J1186" s="38" t="str">
        <f>VLOOKUP(B1186,CAJEROS!B:E,4,0)</f>
        <v>OFVILLETA_2</v>
      </c>
    </row>
    <row r="1187" spans="1:10">
      <c r="A1187" s="32">
        <v>389</v>
      </c>
      <c r="B1187" s="33">
        <v>4689</v>
      </c>
      <c r="C1187" s="3">
        <v>870000</v>
      </c>
      <c r="D1187" s="3"/>
      <c r="E1187" s="7">
        <f t="shared" si="38"/>
        <v>870000</v>
      </c>
      <c r="F1187" s="5">
        <v>45982</v>
      </c>
      <c r="G1187" s="4">
        <v>20251120</v>
      </c>
      <c r="H1187" s="38" t="str">
        <f>VLOOKUP(B1187,CAJEROS!B:D,3,0)</f>
        <v>Dispensador</v>
      </c>
      <c r="I1187" s="34"/>
      <c r="J1187" s="38" t="str">
        <f>VLOOKUP(B1187,CAJEROS!B:E,4,0)</f>
        <v>SUC_MARIQ3</v>
      </c>
    </row>
    <row r="1188" spans="1:10">
      <c r="A1188" s="32">
        <v>398</v>
      </c>
      <c r="B1188" s="33">
        <v>3527</v>
      </c>
      <c r="C1188" s="3">
        <v>7990000</v>
      </c>
      <c r="D1188" s="3"/>
      <c r="E1188" s="7">
        <f t="shared" si="38"/>
        <v>7990000</v>
      </c>
      <c r="F1188" s="5">
        <v>45982</v>
      </c>
      <c r="G1188" s="4">
        <v>20251120</v>
      </c>
      <c r="H1188" s="38" t="str">
        <f>VLOOKUP(B1188,CAJEROS!B:D,3,0)</f>
        <v>Dispensador</v>
      </c>
      <c r="I1188" s="34"/>
      <c r="J1188" s="38" t="str">
        <f>VLOOKUP(B1188,CAJEROS!B:E,4,0)</f>
        <v>SUC_CHINU</v>
      </c>
    </row>
    <row r="1189" spans="1:10">
      <c r="A1189" s="32">
        <v>427</v>
      </c>
      <c r="B1189" s="33">
        <v>4271</v>
      </c>
      <c r="C1189" s="3">
        <v>10000</v>
      </c>
      <c r="D1189" s="3"/>
      <c r="E1189" s="7">
        <f t="shared" si="38"/>
        <v>10000</v>
      </c>
      <c r="F1189" s="5">
        <v>45982</v>
      </c>
      <c r="G1189" s="4">
        <v>20251120</v>
      </c>
      <c r="H1189" s="38" t="str">
        <f>VLOOKUP(B1189,CAJEROS!B:D,3,0)</f>
        <v>Dispensador</v>
      </c>
      <c r="I1189" s="34"/>
      <c r="J1189" s="38" t="str">
        <f>VLOOKUP(B1189,CAJEROS!B:E,4,0)</f>
        <v>SALDANA</v>
      </c>
    </row>
    <row r="1190" spans="1:10">
      <c r="A1190" s="32">
        <v>507</v>
      </c>
      <c r="B1190" s="33">
        <v>1727</v>
      </c>
      <c r="C1190" s="3">
        <v>100000</v>
      </c>
      <c r="D1190" s="3"/>
      <c r="E1190" s="7">
        <f t="shared" si="38"/>
        <v>100000</v>
      </c>
      <c r="F1190" s="5">
        <v>45982</v>
      </c>
      <c r="G1190" s="4">
        <v>20251119</v>
      </c>
      <c r="H1190" s="38" t="str">
        <f>VLOOKUP(B1190,CAJEROS!B:D,3,0)</f>
        <v>Dispensador</v>
      </c>
      <c r="I1190" s="34"/>
      <c r="J1190" s="38" t="str">
        <f>VLOOKUP(B1190,CAJEROS!B:E,4,0)</f>
        <v>OFSANTOLU3</v>
      </c>
    </row>
    <row r="1191" spans="1:10">
      <c r="A1191" s="32">
        <v>556</v>
      </c>
      <c r="B1191" s="33">
        <v>8335</v>
      </c>
      <c r="C1191" s="3">
        <v>20000</v>
      </c>
      <c r="D1191" s="3"/>
      <c r="E1191" s="7">
        <f t="shared" si="38"/>
        <v>20000</v>
      </c>
      <c r="F1191" s="5">
        <v>45982</v>
      </c>
      <c r="G1191" s="4">
        <v>20251120</v>
      </c>
      <c r="H1191" s="38" t="str">
        <f>VLOOKUP(B1191,CAJEROS!B:D,3,0)</f>
        <v>Dispensador</v>
      </c>
      <c r="I1191" s="34"/>
      <c r="J1191" s="38" t="str">
        <f>VLOOKUP(B1191,CAJEROS!B:E,4,0)</f>
        <v>SUCCARVIBO2</v>
      </c>
    </row>
    <row r="1192" spans="1:10">
      <c r="A1192" s="32">
        <v>556</v>
      </c>
      <c r="B1192" s="33">
        <v>8338</v>
      </c>
      <c r="C1192" s="3">
        <v>50000</v>
      </c>
      <c r="D1192" s="3"/>
      <c r="E1192" s="7">
        <f t="shared" si="38"/>
        <v>50000</v>
      </c>
      <c r="F1192" s="5">
        <v>45982</v>
      </c>
      <c r="G1192" s="4">
        <v>20251120</v>
      </c>
      <c r="H1192" s="38" t="str">
        <f>VLOOKUP(B1192,CAJEROS!B:D,3,0)</f>
        <v>Dispensador</v>
      </c>
      <c r="I1192" s="34"/>
      <c r="J1192" s="38" t="str">
        <f>VLOOKUP(B1192,CAJEROS!B:E,4,0)</f>
        <v>SUCCARVIBO5</v>
      </c>
    </row>
    <row r="1193" spans="1:10">
      <c r="A1193" s="32">
        <v>656</v>
      </c>
      <c r="B1193" s="33">
        <v>5663</v>
      </c>
      <c r="C1193" s="3">
        <v>40000</v>
      </c>
      <c r="D1193" s="3"/>
      <c r="E1193" s="7">
        <f t="shared" si="38"/>
        <v>40000</v>
      </c>
      <c r="F1193" s="5">
        <v>45982</v>
      </c>
      <c r="G1193" s="4">
        <v>20251120</v>
      </c>
      <c r="H1193" s="38" t="str">
        <f>VLOOKUP(B1193,CAJEROS!B:D,3,0)</f>
        <v>Dispensador</v>
      </c>
      <c r="I1193" s="34"/>
      <c r="J1193" s="38" t="str">
        <f>VLOOKUP(B1193,CAJEROS!B:E,4,0)</f>
        <v>SUC_MAYALP2</v>
      </c>
    </row>
    <row r="1194" spans="1:10">
      <c r="A1194" s="32">
        <v>707</v>
      </c>
      <c r="B1194" s="33">
        <v>2679</v>
      </c>
      <c r="C1194" s="3">
        <v>250000</v>
      </c>
      <c r="D1194" s="3"/>
      <c r="E1194" s="7">
        <f t="shared" si="38"/>
        <v>250000</v>
      </c>
      <c r="F1194" s="5">
        <v>45982</v>
      </c>
      <c r="G1194" s="4">
        <v>20251120</v>
      </c>
      <c r="H1194" s="38" t="str">
        <f>VLOOKUP(B1194,CAJEROS!B:D,3,0)</f>
        <v>Dispensador</v>
      </c>
      <c r="I1194" s="34"/>
      <c r="J1194" s="38" t="str">
        <f>VLOOKUP(B1194,CAJEROS!B:E,4,0)</f>
        <v>MANI_CASANA</v>
      </c>
    </row>
    <row r="1195" spans="1:10">
      <c r="A1195" s="32">
        <v>708</v>
      </c>
      <c r="B1195" s="33">
        <v>5753</v>
      </c>
      <c r="C1195" s="3">
        <v>150000</v>
      </c>
      <c r="D1195" s="3"/>
      <c r="E1195" s="7">
        <f t="shared" si="38"/>
        <v>150000</v>
      </c>
      <c r="F1195" s="5">
        <v>45982</v>
      </c>
      <c r="G1195" s="4">
        <v>20251120</v>
      </c>
      <c r="H1195" s="38" t="str">
        <f>VLOOKUP(B1195,CAJEROS!B:D,3,0)</f>
        <v>Dispensador</v>
      </c>
      <c r="I1195" s="34"/>
      <c r="J1195" s="38" t="str">
        <f>VLOOKUP(B1195,CAJEROS!B:E,4,0)</f>
        <v>SUC_ANSER3</v>
      </c>
    </row>
    <row r="1196" spans="1:10">
      <c r="A1196" s="32">
        <v>765</v>
      </c>
      <c r="B1196" s="33">
        <v>310</v>
      </c>
      <c r="C1196" s="3">
        <v>20000</v>
      </c>
      <c r="D1196" s="3"/>
      <c r="E1196" s="7">
        <f t="shared" si="38"/>
        <v>20000</v>
      </c>
      <c r="F1196" s="5">
        <v>45982</v>
      </c>
      <c r="G1196" s="4">
        <v>20251120</v>
      </c>
      <c r="H1196" s="38" t="str">
        <f>VLOOKUP(B1196,CAJEROS!B:D,3,0)</f>
        <v>Dispensador</v>
      </c>
      <c r="I1196" s="34"/>
      <c r="J1196" s="38" t="str">
        <f>VLOOKUP(B1196,CAJEROS!B:E,4,0)</f>
        <v>SUC_BECERR2</v>
      </c>
    </row>
    <row r="1197" spans="1:10">
      <c r="A1197" s="32">
        <v>795</v>
      </c>
      <c r="B1197" s="33">
        <v>1023</v>
      </c>
      <c r="C1197" s="3">
        <v>200000</v>
      </c>
      <c r="D1197" s="3"/>
      <c r="E1197" s="7">
        <f t="shared" si="38"/>
        <v>200000</v>
      </c>
      <c r="F1197" s="5">
        <v>45982</v>
      </c>
      <c r="G1197" s="4">
        <v>20251120</v>
      </c>
      <c r="H1197" s="38" t="str">
        <f>VLOOKUP(B1197,CAJEROS!B:D,3,0)</f>
        <v>Dispensador</v>
      </c>
      <c r="I1197" s="34"/>
      <c r="J1197" s="38" t="str">
        <f>VLOOKUP(B1197,CAJEROS!B:E,4,0)</f>
        <v>SUCANAVERA3</v>
      </c>
    </row>
    <row r="1198" spans="1:10">
      <c r="A1198" s="32">
        <v>809</v>
      </c>
      <c r="B1198" s="33">
        <v>3131</v>
      </c>
      <c r="C1198" s="3">
        <v>2000000</v>
      </c>
      <c r="D1198" s="3"/>
      <c r="E1198" s="7">
        <f t="shared" si="38"/>
        <v>2000000</v>
      </c>
      <c r="F1198" s="5">
        <v>45982</v>
      </c>
      <c r="G1198" s="4">
        <v>20251120</v>
      </c>
      <c r="H1198" s="38" t="str">
        <f>VLOOKUP(B1198,CAJEROS!B:D,3,0)</f>
        <v>Dispensador</v>
      </c>
      <c r="I1198" s="34"/>
      <c r="J1198" s="38" t="str">
        <f>VLOOKUP(B1198,CAJEROS!B:E,4,0)</f>
        <v>SUC_MIRANDA</v>
      </c>
    </row>
    <row r="1199" spans="1:10">
      <c r="A1199" s="32">
        <v>849</v>
      </c>
      <c r="B1199" s="33">
        <v>9721</v>
      </c>
      <c r="C1199" s="3">
        <v>850000</v>
      </c>
      <c r="D1199" s="3"/>
      <c r="E1199" s="7">
        <f t="shared" si="38"/>
        <v>850000</v>
      </c>
      <c r="F1199" s="5">
        <v>45982</v>
      </c>
      <c r="G1199" s="4">
        <v>20251120</v>
      </c>
      <c r="H1199" s="38" t="str">
        <f>VLOOKUP(B1199,CAJEROS!B:D,3,0)</f>
        <v>Dispensador</v>
      </c>
      <c r="I1199" s="34"/>
      <c r="J1199" s="38" t="str">
        <f>VLOOKUP(B1199,CAJEROS!B:E,4,0)</f>
        <v>SUCUNIVILL2</v>
      </c>
    </row>
    <row r="1200" spans="1:10">
      <c r="A1200" s="32">
        <v>916</v>
      </c>
      <c r="B1200" s="33">
        <v>5743</v>
      </c>
      <c r="C1200" s="3">
        <v>10000</v>
      </c>
      <c r="D1200" s="3"/>
      <c r="E1200" s="7">
        <f t="shared" si="38"/>
        <v>10000</v>
      </c>
      <c r="F1200" s="5">
        <v>45982</v>
      </c>
      <c r="G1200" s="4">
        <v>20251120</v>
      </c>
      <c r="H1200" s="38" t="str">
        <f>VLOOKUP(B1200,CAJEROS!B:D,3,0)</f>
        <v>Dispensador</v>
      </c>
      <c r="I1200" s="34"/>
      <c r="J1200" s="38" t="str">
        <f>VLOOKUP(B1200,CAJEROS!B:E,4,0)</f>
        <v>SUC_OCEANM3</v>
      </c>
    </row>
    <row r="1201" spans="1:10">
      <c r="A1201" s="32">
        <v>289</v>
      </c>
      <c r="B1201" s="33">
        <v>8874</v>
      </c>
      <c r="C1201" s="3">
        <v>110000</v>
      </c>
      <c r="D1201" s="3"/>
      <c r="E1201" s="7">
        <f t="shared" si="38"/>
        <v>110000</v>
      </c>
      <c r="F1201" s="5">
        <v>45982</v>
      </c>
      <c r="G1201" s="4">
        <v>20251120</v>
      </c>
      <c r="H1201" s="38" t="str">
        <f>VLOOKUP(B1201,CAJEROS!B:D,3,0)</f>
        <v>Dispensador</v>
      </c>
      <c r="I1201" s="34" t="s">
        <v>9</v>
      </c>
      <c r="J1201" s="38" t="str">
        <f>VLOOKUP(B1201,CAJEROS!B:E,4,0)</f>
        <v>PUERTO_GAI5</v>
      </c>
    </row>
    <row r="1202" spans="1:10">
      <c r="A1202" s="32">
        <v>306</v>
      </c>
      <c r="B1202" s="33">
        <v>544</v>
      </c>
      <c r="C1202" s="3">
        <v>2690000</v>
      </c>
      <c r="D1202" s="3"/>
      <c r="E1202" s="7">
        <f t="shared" si="38"/>
        <v>2690000</v>
      </c>
      <c r="F1202" s="5">
        <v>45982</v>
      </c>
      <c r="G1202" s="4">
        <v>20251120</v>
      </c>
      <c r="H1202" s="38" t="str">
        <f>VLOOKUP(B1202,CAJEROS!B:D,3,0)</f>
        <v>Dispensador</v>
      </c>
      <c r="I1202" s="34" t="s">
        <v>9</v>
      </c>
      <c r="J1202" s="38" t="e">
        <f>VLOOKUP(B1202,CAJEROS!B:E,4,0)</f>
        <v>#N/A</v>
      </c>
    </row>
    <row r="1203" spans="1:10">
      <c r="A1203" s="32">
        <v>541</v>
      </c>
      <c r="B1203" s="33">
        <v>8659</v>
      </c>
      <c r="C1203" s="3">
        <v>50000</v>
      </c>
      <c r="D1203" s="3"/>
      <c r="E1203" s="7">
        <f t="shared" si="38"/>
        <v>50000</v>
      </c>
      <c r="F1203" s="5">
        <v>45982</v>
      </c>
      <c r="G1203" s="4">
        <v>20251120</v>
      </c>
      <c r="H1203" s="38" t="str">
        <f>VLOOKUP(B1203,CAJEROS!B:D,3,0)</f>
        <v>Dispensador</v>
      </c>
      <c r="I1203" s="34" t="s">
        <v>9</v>
      </c>
      <c r="J1203" s="38" t="str">
        <f>VLOOKUP(B1203,CAJEROS!B:E,4,0)</f>
        <v>SUCCALDAS10</v>
      </c>
    </row>
    <row r="1204" spans="1:10">
      <c r="A1204" s="32">
        <v>741</v>
      </c>
      <c r="B1204" s="33">
        <v>6842</v>
      </c>
      <c r="C1204" s="3">
        <v>250000</v>
      </c>
      <c r="D1204" s="3"/>
      <c r="E1204" s="7">
        <f t="shared" si="38"/>
        <v>250000</v>
      </c>
      <c r="F1204" s="5">
        <v>45982</v>
      </c>
      <c r="G1204" s="4">
        <v>20251120</v>
      </c>
      <c r="H1204" s="38" t="str">
        <f>VLOOKUP(B1204,CAJEROS!B:D,3,0)</f>
        <v>Dispensador</v>
      </c>
      <c r="I1204" s="34" t="s">
        <v>9</v>
      </c>
      <c r="J1204" s="38" t="str">
        <f>VLOOKUP(B1204,CAJEROS!B:E,4,0)</f>
        <v>SUC_IDEO_2</v>
      </c>
    </row>
    <row r="1205" spans="1:10">
      <c r="A1205" s="32">
        <v>789</v>
      </c>
      <c r="B1205" s="33">
        <v>5660</v>
      </c>
      <c r="C1205" s="3">
        <v>100000</v>
      </c>
      <c r="D1205" s="3"/>
      <c r="E1205" s="7">
        <f t="shared" si="38"/>
        <v>100000</v>
      </c>
      <c r="F1205" s="5">
        <v>45982</v>
      </c>
      <c r="G1205" s="4">
        <v>20251120</v>
      </c>
      <c r="H1205" s="38" t="str">
        <f>VLOOKUP(B1205,CAJEROS!B:D,3,0)</f>
        <v>Dispensador</v>
      </c>
      <c r="I1205" s="34" t="s">
        <v>9</v>
      </c>
      <c r="J1205" s="38" t="str">
        <f>VLOOKUP(B1205,CAJEROS!B:E,4,0)</f>
        <v>MANGA1</v>
      </c>
    </row>
    <row r="1206" spans="1:10">
      <c r="A1206" s="32">
        <v>832</v>
      </c>
      <c r="B1206" s="33">
        <v>4767</v>
      </c>
      <c r="C1206" s="3">
        <v>300000</v>
      </c>
      <c r="D1206" s="3"/>
      <c r="E1206" s="7">
        <f t="shared" si="38"/>
        <v>300000</v>
      </c>
      <c r="F1206" s="5">
        <v>45982</v>
      </c>
      <c r="G1206" s="4">
        <v>20251120</v>
      </c>
      <c r="H1206" s="38" t="str">
        <f>VLOOKUP(B1206,CAJEROS!B:D,3,0)</f>
        <v>Dispensador</v>
      </c>
      <c r="I1206" s="34" t="s">
        <v>9</v>
      </c>
      <c r="J1206" s="38" t="str">
        <f>VLOOKUP(B1206,CAJEROS!B:E,4,0)</f>
        <v>SUC_SANTAN1</v>
      </c>
    </row>
    <row r="1207" spans="1:10">
      <c r="A1207" s="32">
        <v>866</v>
      </c>
      <c r="B1207" s="33">
        <v>467</v>
      </c>
      <c r="C1207" s="3">
        <v>450000</v>
      </c>
      <c r="D1207" s="3"/>
      <c r="E1207" s="7">
        <f t="shared" si="38"/>
        <v>450000</v>
      </c>
      <c r="F1207" s="5">
        <v>45982</v>
      </c>
      <c r="G1207" s="4">
        <v>20251120</v>
      </c>
      <c r="H1207" s="38" t="str">
        <f>VLOOKUP(B1207,CAJEROS!B:D,3,0)</f>
        <v>Dispensador</v>
      </c>
      <c r="I1207" s="34" t="s">
        <v>9</v>
      </c>
      <c r="J1207" s="38" t="str">
        <f>VLOOKUP(B1207,CAJEROS!B:E,4,0)</f>
        <v>OFCFLORIDA2</v>
      </c>
    </row>
    <row r="1208" spans="1:10">
      <c r="A1208" s="32">
        <v>882</v>
      </c>
      <c r="B1208" s="33">
        <v>3510</v>
      </c>
      <c r="C1208" s="3">
        <v>500000</v>
      </c>
      <c r="D1208" s="3"/>
      <c r="E1208" s="7">
        <f t="shared" si="38"/>
        <v>500000</v>
      </c>
      <c r="F1208" s="5">
        <v>45982</v>
      </c>
      <c r="G1208" s="4">
        <v>20251120</v>
      </c>
      <c r="H1208" s="38" t="str">
        <f>VLOOKUP(B1208,CAJEROS!B:D,3,0)</f>
        <v>Dispensador</v>
      </c>
      <c r="I1208" s="34" t="s">
        <v>9</v>
      </c>
      <c r="J1208" s="38" t="str">
        <f>VLOOKUP(B1208,CAJEROS!B:E,4,0)</f>
        <v>LIBERTADOR1</v>
      </c>
    </row>
    <row r="1209" spans="1:10">
      <c r="A1209" s="32">
        <v>927</v>
      </c>
      <c r="B1209" s="33">
        <v>5751</v>
      </c>
      <c r="C1209" s="3">
        <v>100000</v>
      </c>
      <c r="D1209" s="3"/>
      <c r="E1209" s="7">
        <f t="shared" si="38"/>
        <v>100000</v>
      </c>
      <c r="F1209" s="5">
        <v>45982</v>
      </c>
      <c r="G1209" s="4">
        <v>20251120</v>
      </c>
      <c r="H1209" s="38" t="str">
        <f>VLOOKUP(B1209,CAJEROS!B:D,3,0)</f>
        <v>Dispensador</v>
      </c>
      <c r="I1209" s="34" t="s">
        <v>9</v>
      </c>
      <c r="J1209" s="38" t="str">
        <f>VLOOKUP(B1209,CAJEROS!B:E,4,0)</f>
        <v>SUC_MOCOA3</v>
      </c>
    </row>
    <row r="1210" spans="1:10">
      <c r="A1210" s="32"/>
      <c r="B1210" s="33"/>
      <c r="C1210" s="3"/>
      <c r="D1210" s="3"/>
      <c r="E1210" s="7">
        <f t="shared" si="38"/>
        <v>0</v>
      </c>
      <c r="F1210" s="5"/>
      <c r="G1210" s="4"/>
      <c r="H1210" s="38" t="e">
        <f>VLOOKUP(B1210,CAJEROS!B:D,3,0)</f>
        <v>#N/A</v>
      </c>
      <c r="I1210" s="34"/>
      <c r="J1210" s="38" t="e">
        <f>VLOOKUP(B1210,CAJEROS!B:E,4,0)</f>
        <v>#N/A</v>
      </c>
    </row>
    <row r="1211" spans="1:10">
      <c r="A1211" s="32"/>
      <c r="B1211" s="33"/>
      <c r="C1211" s="3"/>
      <c r="D1211" s="3"/>
      <c r="E1211" s="7">
        <f t="shared" si="38"/>
        <v>0</v>
      </c>
      <c r="F1211" s="5"/>
      <c r="G1211" s="4"/>
      <c r="H1211" s="38" t="e">
        <f>VLOOKUP(B1211,CAJEROS!B:D,3,0)</f>
        <v>#N/A</v>
      </c>
      <c r="I1211" s="34"/>
      <c r="J1211" s="38" t="e">
        <f>VLOOKUP(B1211,CAJEROS!B:E,4,0)</f>
        <v>#N/A</v>
      </c>
    </row>
    <row r="1212" spans="1:10">
      <c r="A1212" s="32"/>
      <c r="B1212" s="33"/>
      <c r="C1212" s="3"/>
      <c r="D1212" s="3"/>
      <c r="E1212" s="7">
        <f t="shared" si="38"/>
        <v>0</v>
      </c>
      <c r="F1212" s="5"/>
      <c r="G1212" s="4"/>
      <c r="H1212" s="38" t="e">
        <f>VLOOKUP(B1212,CAJEROS!B:D,3,0)</f>
        <v>#N/A</v>
      </c>
      <c r="I1212" s="34"/>
      <c r="J1212" s="38" t="e">
        <f>VLOOKUP(B1212,CAJEROS!B:E,4,0)</f>
        <v>#N/A</v>
      </c>
    </row>
    <row r="1213" spans="1:10">
      <c r="A1213" s="32"/>
      <c r="B1213" s="33"/>
      <c r="C1213" s="3"/>
      <c r="D1213" s="3"/>
      <c r="E1213" s="7">
        <f t="shared" si="38"/>
        <v>0</v>
      </c>
      <c r="F1213" s="5"/>
      <c r="G1213" s="4"/>
      <c r="H1213" s="38" t="e">
        <f>VLOOKUP(B1213,CAJEROS!B:D,3,0)</f>
        <v>#N/A</v>
      </c>
      <c r="I1213" s="34"/>
      <c r="J1213" s="38" t="e">
        <f>VLOOKUP(B1213,CAJEROS!B:E,4,0)</f>
        <v>#N/A</v>
      </c>
    </row>
    <row r="1214" spans="1:10">
      <c r="A1214" s="32"/>
      <c r="B1214" s="33"/>
      <c r="C1214" s="3"/>
      <c r="D1214" s="3"/>
      <c r="E1214" s="7">
        <f t="shared" si="38"/>
        <v>0</v>
      </c>
      <c r="F1214" s="5"/>
      <c r="G1214" s="4"/>
      <c r="H1214" s="38" t="e">
        <f>VLOOKUP(B1214,CAJEROS!B:D,3,0)</f>
        <v>#N/A</v>
      </c>
      <c r="I1214" s="34"/>
      <c r="J1214" s="38" t="e">
        <f>VLOOKUP(B1214,CAJEROS!B:E,4,0)</f>
        <v>#N/A</v>
      </c>
    </row>
    <row r="1215" spans="1:10">
      <c r="A1215" s="32"/>
      <c r="B1215" s="33"/>
      <c r="C1215" s="3"/>
      <c r="D1215" s="3"/>
      <c r="E1215" s="7">
        <f t="shared" si="38"/>
        <v>0</v>
      </c>
      <c r="F1215" s="5"/>
      <c r="G1215" s="4"/>
      <c r="H1215" s="38" t="e">
        <f>VLOOKUP(B1215,CAJEROS!B:D,3,0)</f>
        <v>#N/A</v>
      </c>
      <c r="I1215" s="34"/>
      <c r="J1215" s="38" t="e">
        <f>VLOOKUP(B1215,CAJEROS!B:E,4,0)</f>
        <v>#N/A</v>
      </c>
    </row>
    <row r="1216" spans="1:10">
      <c r="A1216" s="32"/>
      <c r="B1216" s="33"/>
      <c r="C1216" s="3"/>
      <c r="D1216" s="3"/>
      <c r="E1216" s="7">
        <f t="shared" si="38"/>
        <v>0</v>
      </c>
      <c r="F1216" s="5"/>
      <c r="G1216" s="4"/>
      <c r="H1216" s="38" t="e">
        <f>VLOOKUP(B1216,CAJEROS!B:D,3,0)</f>
        <v>#N/A</v>
      </c>
      <c r="I1216" s="34"/>
      <c r="J1216" s="38" t="e">
        <f>VLOOKUP(B1216,CAJEROS!B:E,4,0)</f>
        <v>#N/A</v>
      </c>
    </row>
    <row r="1217" spans="1:10">
      <c r="A1217" s="32"/>
      <c r="B1217" s="33"/>
      <c r="C1217" s="3"/>
      <c r="D1217" s="3"/>
      <c r="E1217" s="7">
        <f t="shared" si="38"/>
        <v>0</v>
      </c>
      <c r="F1217" s="5"/>
      <c r="G1217" s="4"/>
      <c r="H1217" s="38" t="e">
        <f>VLOOKUP(B1217,CAJEROS!B:D,3,0)</f>
        <v>#N/A</v>
      </c>
      <c r="I1217" s="34"/>
      <c r="J1217" s="38" t="e">
        <f>VLOOKUP(B1217,CAJEROS!B:E,4,0)</f>
        <v>#N/A</v>
      </c>
    </row>
    <row r="1218" spans="1:10">
      <c r="A1218" s="32"/>
      <c r="B1218" s="33"/>
      <c r="C1218" s="3"/>
      <c r="D1218" s="3"/>
      <c r="E1218" s="7">
        <f t="shared" si="38"/>
        <v>0</v>
      </c>
      <c r="F1218" s="5"/>
      <c r="G1218" s="4"/>
      <c r="H1218" s="38" t="e">
        <f>VLOOKUP(B1218,CAJEROS!B:D,3,0)</f>
        <v>#N/A</v>
      </c>
      <c r="I1218" s="34"/>
      <c r="J1218" s="38" t="e">
        <f>VLOOKUP(B1218,CAJEROS!B:E,4,0)</f>
        <v>#N/A</v>
      </c>
    </row>
    <row r="1219" spans="1:10">
      <c r="A1219" s="15"/>
      <c r="B1219" s="15"/>
      <c r="C1219" s="16">
        <f>SUM(C2:C1218)</f>
        <v>2276603400</v>
      </c>
      <c r="D1219" s="16">
        <f>SUM(D2:D1218)</f>
        <v>222021400</v>
      </c>
      <c r="E1219" s="16">
        <f>SUM(E2:E1218)</f>
        <v>2054582000</v>
      </c>
      <c r="F1219" s="17" t="s">
        <v>16</v>
      </c>
      <c r="G1219" s="18"/>
      <c r="H1219" s="17"/>
      <c r="I1219" s="17"/>
      <c r="J1219" s="17"/>
    </row>
    <row r="1220" spans="1:10">
      <c r="A1220" s="15"/>
      <c r="B1220" s="15"/>
      <c r="C1220" s="39">
        <f>+C1219-D1219</f>
        <v>2054582000</v>
      </c>
      <c r="D1220" s="40" t="s">
        <v>17</v>
      </c>
      <c r="E1220" s="19">
        <v>2044362000</v>
      </c>
      <c r="F1220" s="36" t="s">
        <v>18</v>
      </c>
      <c r="G1220" s="37"/>
      <c r="H1220" s="17"/>
      <c r="I1220" s="17"/>
      <c r="J1220" s="17"/>
    </row>
    <row r="1221" spans="1:10">
      <c r="A1221" s="15"/>
      <c r="B1221" s="15"/>
      <c r="C1221" s="15" t="b">
        <f>C1220=E1219</f>
        <v>1</v>
      </c>
      <c r="D1221" s="35"/>
      <c r="E1221" s="16">
        <f>+E1219-E1220</f>
        <v>10220000</v>
      </c>
      <c r="F1221" s="18" t="s">
        <v>19</v>
      </c>
      <c r="G1221" s="18"/>
      <c r="H1221" s="17"/>
      <c r="I1221" s="17"/>
      <c r="J1221" s="17"/>
    </row>
    <row r="1222" spans="1:10">
      <c r="D1222" t="s">
        <v>20</v>
      </c>
      <c r="E1222" s="1"/>
    </row>
    <row r="1223" spans="1:10">
      <c r="A1223" t="s">
        <v>20</v>
      </c>
      <c r="D1223" s="1"/>
      <c r="E1223" s="2"/>
    </row>
    <row r="1224" spans="1:10">
      <c r="E1224" s="2"/>
    </row>
    <row r="1225" spans="1:10">
      <c r="E1225" s="2"/>
    </row>
    <row r="1226" spans="1:10">
      <c r="E1226" s="2"/>
    </row>
    <row r="1227" spans="1:10">
      <c r="E1227" s="2"/>
    </row>
    <row r="1228" spans="1:10">
      <c r="D1228" t="s">
        <v>20</v>
      </c>
      <c r="E1228" s="2"/>
    </row>
  </sheetData>
  <autoFilter ref="A1:J1223" xr:uid="{C0920F45-5A9D-4924-A609-483B173B30F1}"/>
  <mergeCells count="2">
    <mergeCell ref="D1220:D1221"/>
    <mergeCell ref="F1220:G1220"/>
  </mergeCells>
  <phoneticPr fontId="1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A2B-B5BC-4390-A31C-3960AD007FC8}">
  <sheetPr>
    <tabColor rgb="FFFF99FF"/>
  </sheetPr>
  <dimension ref="A1:K7115"/>
  <sheetViews>
    <sheetView showGridLines="0" tabSelected="1" zoomScale="115" zoomScaleNormal="115" workbookViewId="0">
      <pane ySplit="1" topLeftCell="A25" activePane="bottomLeft" state="frozen"/>
      <selection pane="bottomLeft" activeCell="D1" sqref="D1"/>
      <selection activeCell="B735" sqref="B735"/>
    </sheetView>
  </sheetViews>
  <sheetFormatPr defaultColWidth="11.42578125" defaultRowHeight="14.45"/>
  <cols>
    <col min="1" max="1" width="6.85546875" customWidth="1"/>
    <col min="3" max="3" width="14.28515625" bestFit="1" customWidth="1"/>
    <col min="4" max="5" width="11.42578125" customWidth="1"/>
    <col min="6" max="6" width="18.5703125" customWidth="1"/>
    <col min="8" max="8" width="14" customWidth="1"/>
    <col min="9" max="9" width="13.5703125" customWidth="1"/>
  </cols>
  <sheetData>
    <row r="1" spans="1:10" ht="56.45" customHeight="1">
      <c r="A1" s="20" t="s">
        <v>0</v>
      </c>
      <c r="B1" s="20" t="s">
        <v>21</v>
      </c>
      <c r="C1" s="20" t="s">
        <v>2</v>
      </c>
      <c r="D1" s="20" t="s">
        <v>3</v>
      </c>
      <c r="E1" s="20" t="s">
        <v>4</v>
      </c>
      <c r="F1" s="20" t="s">
        <v>22</v>
      </c>
      <c r="G1" s="20" t="s">
        <v>6</v>
      </c>
      <c r="H1" s="13" t="s">
        <v>1</v>
      </c>
      <c r="I1" s="20" t="s">
        <v>23</v>
      </c>
      <c r="J1" s="20" t="s">
        <v>23</v>
      </c>
    </row>
    <row r="2" spans="1:10">
      <c r="A2" s="9">
        <v>61</v>
      </c>
      <c r="B2" s="9">
        <v>788</v>
      </c>
      <c r="C2" s="3">
        <v>1370000</v>
      </c>
      <c r="D2" s="3">
        <v>1370000</v>
      </c>
      <c r="E2" s="7">
        <v>0</v>
      </c>
      <c r="F2" s="5">
        <v>45870</v>
      </c>
      <c r="G2" s="4">
        <v>20250731</v>
      </c>
      <c r="H2" s="6" t="s">
        <v>24</v>
      </c>
      <c r="I2" s="8" t="s">
        <v>9</v>
      </c>
      <c r="J2" s="6" t="s">
        <v>25</v>
      </c>
    </row>
    <row r="3" spans="1:10">
      <c r="A3" s="9">
        <v>322</v>
      </c>
      <c r="B3" s="9">
        <v>2444</v>
      </c>
      <c r="C3" s="3">
        <v>920000</v>
      </c>
      <c r="D3" s="3">
        <v>920000</v>
      </c>
      <c r="E3" s="7">
        <f t="shared" ref="E3:E5" si="0">+C3-D3</f>
        <v>0</v>
      </c>
      <c r="F3" s="5">
        <v>45870</v>
      </c>
      <c r="G3" s="4">
        <v>20250731</v>
      </c>
      <c r="H3" s="6" t="str">
        <f>VLOOKUP(B3,CAJEROS!B:D,3,0)</f>
        <v>Multifuncional</v>
      </c>
      <c r="I3" s="8" t="s">
        <v>9</v>
      </c>
      <c r="J3" s="6" t="str">
        <f>VLOOKUP(B3,CAJEROS!B:E,4,0)</f>
        <v>MFSUCSNGIL1</v>
      </c>
    </row>
    <row r="4" spans="1:10">
      <c r="A4" s="9">
        <v>6</v>
      </c>
      <c r="B4" s="9">
        <v>5001</v>
      </c>
      <c r="C4" s="3">
        <v>190000</v>
      </c>
      <c r="D4" s="3">
        <v>190000</v>
      </c>
      <c r="E4" s="7">
        <f t="shared" si="0"/>
        <v>0</v>
      </c>
      <c r="F4" s="5">
        <v>45870</v>
      </c>
      <c r="G4" s="4">
        <v>20250731</v>
      </c>
      <c r="H4" s="6" t="str">
        <f>VLOOKUP(B4,CAJEROS!B:D,3,0)</f>
        <v>Multifuncional</v>
      </c>
      <c r="I4" s="8" t="s">
        <v>9</v>
      </c>
      <c r="J4" s="6" t="str">
        <f>VLOOKUP(B4,CAJEROS!B:E,4,0)</f>
        <v>MF_AVJUNIN</v>
      </c>
    </row>
    <row r="5" spans="1:10">
      <c r="A5" s="9">
        <v>361</v>
      </c>
      <c r="B5" s="9">
        <v>5005</v>
      </c>
      <c r="C5" s="3">
        <v>1550000</v>
      </c>
      <c r="D5" s="3">
        <v>1550000</v>
      </c>
      <c r="E5" s="7">
        <f t="shared" si="0"/>
        <v>0</v>
      </c>
      <c r="F5" s="5">
        <v>45870</v>
      </c>
      <c r="G5" s="4">
        <v>20250731</v>
      </c>
      <c r="H5" s="6" t="str">
        <f>VLOOKUP(B5,CAJEROS!B:D,3,0)</f>
        <v>Multifuncional</v>
      </c>
      <c r="I5" s="8" t="s">
        <v>9</v>
      </c>
      <c r="J5" s="6" t="str">
        <f>VLOOKUP(B5,CAJEROS!B:E,4,0)</f>
        <v>MF_CDPFONTI</v>
      </c>
    </row>
    <row r="6" spans="1:10">
      <c r="A6" s="9">
        <v>623</v>
      </c>
      <c r="B6" s="9">
        <v>5047</v>
      </c>
      <c r="C6" s="3">
        <v>1480000</v>
      </c>
      <c r="D6" s="3">
        <v>1480000</v>
      </c>
      <c r="E6" s="7">
        <v>0</v>
      </c>
      <c r="F6" s="5">
        <v>45870</v>
      </c>
      <c r="G6" s="4">
        <v>20250731</v>
      </c>
      <c r="H6" s="6" t="s">
        <v>24</v>
      </c>
      <c r="I6" s="8" t="s">
        <v>9</v>
      </c>
      <c r="J6" s="6" t="s">
        <v>26</v>
      </c>
    </row>
    <row r="7" spans="1:10">
      <c r="A7" s="9">
        <v>262</v>
      </c>
      <c r="B7" s="9">
        <v>5153</v>
      </c>
      <c r="C7" s="3">
        <v>2210000</v>
      </c>
      <c r="D7" s="3">
        <v>2210000</v>
      </c>
      <c r="E7" s="7">
        <f t="shared" ref="E7:E12" si="1">+C7-D7</f>
        <v>0</v>
      </c>
      <c r="F7" s="5">
        <v>45870</v>
      </c>
      <c r="G7" s="4">
        <v>20250731</v>
      </c>
      <c r="H7" s="6" t="str">
        <f>VLOOKUP(B7,CAJEROS!B:D,3,0)</f>
        <v>Multifuncional</v>
      </c>
      <c r="I7" s="8" t="s">
        <v>9</v>
      </c>
      <c r="J7" s="6" t="str">
        <f>VLOOKUP(B7,CAJEROS!B:E,4,0)</f>
        <v>MF_DUITAMA</v>
      </c>
    </row>
    <row r="8" spans="1:10">
      <c r="A8" s="9">
        <v>217</v>
      </c>
      <c r="B8" s="9">
        <v>5208</v>
      </c>
      <c r="C8" s="3">
        <v>100000</v>
      </c>
      <c r="D8" s="3">
        <v>100000</v>
      </c>
      <c r="E8" s="7">
        <f t="shared" si="1"/>
        <v>0</v>
      </c>
      <c r="F8" s="5">
        <v>45870</v>
      </c>
      <c r="G8" s="4">
        <v>20250731</v>
      </c>
      <c r="H8" s="6" t="str">
        <f>VLOOKUP(B8,CAJEROS!B:D,3,0)</f>
        <v>Multifuncional</v>
      </c>
      <c r="I8" s="8" t="s">
        <v>9</v>
      </c>
      <c r="J8" s="6" t="str">
        <f>VLOOKUP(B8,CAJEROS!B:E,4,0)</f>
        <v>MF_MONTEVID</v>
      </c>
    </row>
    <row r="9" spans="1:10">
      <c r="A9" s="9">
        <v>79</v>
      </c>
      <c r="B9" s="9">
        <v>6245</v>
      </c>
      <c r="C9" s="3">
        <v>220000</v>
      </c>
      <c r="D9" s="3">
        <v>220000</v>
      </c>
      <c r="E9" s="7">
        <f t="shared" si="1"/>
        <v>0</v>
      </c>
      <c r="F9" s="5">
        <v>45870</v>
      </c>
      <c r="G9" s="4">
        <v>20250731</v>
      </c>
      <c r="H9" s="6" t="str">
        <f>VLOOKUP(B9,CAJEROS!B:D,3,0)</f>
        <v>Multifuncional</v>
      </c>
      <c r="I9" s="8" t="s">
        <v>9</v>
      </c>
      <c r="J9" s="6" t="str">
        <f>VLOOKUP(B9,CAJEROS!B:E,4,0)</f>
        <v>MF_LAQUINTA</v>
      </c>
    </row>
    <row r="10" spans="1:10">
      <c r="A10" s="9">
        <v>348</v>
      </c>
      <c r="B10" s="9">
        <v>6724</v>
      </c>
      <c r="C10" s="3">
        <v>2913000</v>
      </c>
      <c r="D10" s="3">
        <v>2913000</v>
      </c>
      <c r="E10" s="7">
        <f t="shared" si="1"/>
        <v>0</v>
      </c>
      <c r="F10" s="5">
        <v>45870</v>
      </c>
      <c r="G10" s="4">
        <v>20250731</v>
      </c>
      <c r="H10" s="6" t="str">
        <f>VLOOKUP(B10,CAJEROS!B:D,3,0)</f>
        <v>Multifuncional</v>
      </c>
      <c r="I10" s="8" t="s">
        <v>9</v>
      </c>
      <c r="J10" s="6" t="str">
        <f>VLOOKUP(B10,CAJEROS!B:E,4,0)</f>
        <v>MF_SANANDRE</v>
      </c>
    </row>
    <row r="11" spans="1:10">
      <c r="A11" s="9">
        <v>166</v>
      </c>
      <c r="B11" s="9">
        <v>7939</v>
      </c>
      <c r="C11" s="3">
        <v>60000</v>
      </c>
      <c r="D11" s="3">
        <v>60000</v>
      </c>
      <c r="E11" s="7">
        <f t="shared" si="1"/>
        <v>0</v>
      </c>
      <c r="F11" s="5">
        <v>45870</v>
      </c>
      <c r="G11" s="4">
        <v>20250731</v>
      </c>
      <c r="H11" s="6" t="str">
        <f>VLOOKUP(B11,CAJEROS!B:D,3,0)</f>
        <v>Multifuncional</v>
      </c>
      <c r="I11" s="8" t="s">
        <v>9</v>
      </c>
      <c r="J11" s="6" t="str">
        <f>VLOOKUP(B11,CAJEROS!B:E,4,0)</f>
        <v>MF_ALDELSI1</v>
      </c>
    </row>
    <row r="12" spans="1:10">
      <c r="A12" s="9">
        <v>569</v>
      </c>
      <c r="B12" s="9">
        <v>8129</v>
      </c>
      <c r="C12" s="3">
        <v>1843000</v>
      </c>
      <c r="D12" s="3">
        <v>1843000</v>
      </c>
      <c r="E12" s="7">
        <f t="shared" si="1"/>
        <v>0</v>
      </c>
      <c r="F12" s="5">
        <v>45870</v>
      </c>
      <c r="G12" s="4">
        <v>20250731</v>
      </c>
      <c r="H12" s="6" t="str">
        <f>VLOOKUP(B12,CAJEROS!B:D,3,0)</f>
        <v>Multifuncional</v>
      </c>
      <c r="I12" s="8" t="s">
        <v>9</v>
      </c>
      <c r="J12" s="6" t="str">
        <f>VLOOKUP(B12,CAJEROS!B:E,4,0)</f>
        <v>MF_BUENMON2</v>
      </c>
    </row>
    <row r="13" spans="1:10">
      <c r="A13" s="9">
        <v>915</v>
      </c>
      <c r="B13" s="9">
        <v>8313</v>
      </c>
      <c r="C13" s="3">
        <v>1060000</v>
      </c>
      <c r="D13" s="3">
        <v>1060000</v>
      </c>
      <c r="E13" s="7">
        <v>0</v>
      </c>
      <c r="F13" s="5">
        <v>45870</v>
      </c>
      <c r="G13" s="4">
        <v>20250731</v>
      </c>
      <c r="H13" s="6" t="s">
        <v>24</v>
      </c>
      <c r="I13" s="8" t="s">
        <v>9</v>
      </c>
      <c r="J13" s="6" t="s">
        <v>27</v>
      </c>
    </row>
    <row r="14" spans="1:10">
      <c r="A14" s="9">
        <v>302</v>
      </c>
      <c r="B14" s="9">
        <v>5170</v>
      </c>
      <c r="C14" s="3">
        <v>580000</v>
      </c>
      <c r="D14" s="3">
        <v>580000</v>
      </c>
      <c r="E14" s="7">
        <v>0</v>
      </c>
      <c r="F14" s="5">
        <v>45870</v>
      </c>
      <c r="G14" s="4">
        <v>20250731</v>
      </c>
      <c r="H14" s="6" t="s">
        <v>24</v>
      </c>
      <c r="I14" s="8" t="s">
        <v>9</v>
      </c>
      <c r="J14" s="6" t="s">
        <v>28</v>
      </c>
    </row>
    <row r="15" spans="1:10">
      <c r="A15" s="9">
        <v>93</v>
      </c>
      <c r="B15" s="9">
        <v>7126</v>
      </c>
      <c r="C15" s="3">
        <v>1411000</v>
      </c>
      <c r="D15" s="3">
        <v>1411000</v>
      </c>
      <c r="E15" s="7">
        <v>0</v>
      </c>
      <c r="F15" s="5">
        <v>45870</v>
      </c>
      <c r="G15" s="4">
        <v>20250731</v>
      </c>
      <c r="H15" s="6" t="s">
        <v>24</v>
      </c>
      <c r="I15" s="8" t="s">
        <v>9</v>
      </c>
      <c r="J15" s="6" t="s">
        <v>29</v>
      </c>
    </row>
    <row r="16" spans="1:10">
      <c r="A16" s="9">
        <v>32</v>
      </c>
      <c r="B16" s="9">
        <v>5027</v>
      </c>
      <c r="C16" s="3">
        <v>220000</v>
      </c>
      <c r="D16" s="3">
        <v>220000</v>
      </c>
      <c r="E16" s="7">
        <f t="shared" ref="E16:E17" si="2">+C16-D16</f>
        <v>0</v>
      </c>
      <c r="F16" s="5">
        <v>45870</v>
      </c>
      <c r="G16" s="4">
        <v>20250731</v>
      </c>
      <c r="H16" s="6" t="str">
        <f>VLOOKUP(B16,CAJEROS!B:D,3,0)</f>
        <v>Multifuncional</v>
      </c>
      <c r="I16" s="8" t="s">
        <v>9</v>
      </c>
      <c r="J16" s="6" t="str">
        <f>VLOOKUP(B16,CAJEROS!B:E,4,0)</f>
        <v>MF_ANTCOUNT</v>
      </c>
    </row>
    <row r="17" spans="1:10">
      <c r="A17" s="9">
        <v>76</v>
      </c>
      <c r="B17" s="9">
        <v>5126</v>
      </c>
      <c r="C17" s="3">
        <v>100000</v>
      </c>
      <c r="D17" s="3">
        <v>100000</v>
      </c>
      <c r="E17" s="7">
        <f t="shared" si="2"/>
        <v>0</v>
      </c>
      <c r="F17" s="5">
        <v>45870</v>
      </c>
      <c r="G17" s="4">
        <v>20250731</v>
      </c>
      <c r="H17" s="6" t="str">
        <f>VLOOKUP(B17,CAJEROS!B:D,3,0)</f>
        <v>Multifuncional</v>
      </c>
      <c r="I17" s="8" t="s">
        <v>9</v>
      </c>
      <c r="J17" s="6" t="str">
        <f>VLOOKUP(B17,CAJEROS!B:E,4,0)</f>
        <v>MF_NEIVA</v>
      </c>
    </row>
    <row r="18" spans="1:10">
      <c r="A18" s="9">
        <v>60</v>
      </c>
      <c r="B18" s="9">
        <v>8719</v>
      </c>
      <c r="C18" s="3">
        <v>10000000</v>
      </c>
      <c r="D18" s="3">
        <v>10000000</v>
      </c>
      <c r="E18" s="7">
        <v>0</v>
      </c>
      <c r="F18" s="5">
        <v>45870</v>
      </c>
      <c r="G18" s="4">
        <v>20250731</v>
      </c>
      <c r="H18" s="6" t="s">
        <v>30</v>
      </c>
      <c r="I18" s="8" t="s">
        <v>9</v>
      </c>
      <c r="J18" s="6" t="s">
        <v>31</v>
      </c>
    </row>
    <row r="19" spans="1:10">
      <c r="A19" s="9">
        <v>335</v>
      </c>
      <c r="B19" s="9">
        <v>5741</v>
      </c>
      <c r="C19" s="3">
        <v>700000</v>
      </c>
      <c r="D19" s="3">
        <v>700000</v>
      </c>
      <c r="E19" s="7">
        <v>0</v>
      </c>
      <c r="F19" s="5">
        <v>45870</v>
      </c>
      <c r="G19" s="4">
        <v>20250731</v>
      </c>
      <c r="H19" s="6" t="s">
        <v>30</v>
      </c>
      <c r="I19" s="8" t="s">
        <v>9</v>
      </c>
      <c r="J19" s="6" t="s">
        <v>32</v>
      </c>
    </row>
    <row r="20" spans="1:10">
      <c r="A20" s="9">
        <v>1</v>
      </c>
      <c r="B20" s="9">
        <v>5000</v>
      </c>
      <c r="C20" s="3">
        <v>50000</v>
      </c>
      <c r="D20" s="3">
        <v>50000</v>
      </c>
      <c r="E20" s="7">
        <f t="shared" ref="E20:E23" si="3">+C20-D20</f>
        <v>0</v>
      </c>
      <c r="F20" s="5">
        <v>45873</v>
      </c>
      <c r="G20" s="4">
        <v>20250803</v>
      </c>
      <c r="H20" s="6" t="str">
        <f>VLOOKUP(B20,CAJEROS!B:D,3,0)</f>
        <v>Multifuncional</v>
      </c>
      <c r="I20" s="8" t="s">
        <v>9</v>
      </c>
      <c r="J20" s="6" t="str">
        <f>VLOOKUP(B20,CAJEROS!B:E,4,0)</f>
        <v>MF_CARABOBO</v>
      </c>
    </row>
    <row r="21" spans="1:10">
      <c r="A21" s="9">
        <v>852</v>
      </c>
      <c r="B21" s="9">
        <v>5050</v>
      </c>
      <c r="C21" s="3">
        <v>2510000</v>
      </c>
      <c r="D21" s="3">
        <v>2510000</v>
      </c>
      <c r="E21" s="7">
        <f t="shared" si="3"/>
        <v>0</v>
      </c>
      <c r="F21" s="5">
        <v>45873</v>
      </c>
      <c r="G21" s="4">
        <v>20250803</v>
      </c>
      <c r="H21" s="6" t="str">
        <f>VLOOKUP(B21,CAJEROS!B:D,3,0)</f>
        <v>Multifuncional</v>
      </c>
      <c r="I21" s="8" t="s">
        <v>9</v>
      </c>
      <c r="J21" s="6" t="str">
        <f>VLOOKUP(B21,CAJEROS!B:E,4,0)</f>
        <v>MF_VICPLAZA</v>
      </c>
    </row>
    <row r="22" spans="1:10">
      <c r="A22" s="9">
        <v>250</v>
      </c>
      <c r="B22" s="9">
        <v>5197</v>
      </c>
      <c r="C22" s="3">
        <v>650000</v>
      </c>
      <c r="D22" s="3">
        <v>650000</v>
      </c>
      <c r="E22" s="7">
        <f t="shared" si="3"/>
        <v>0</v>
      </c>
      <c r="F22" s="5">
        <v>45873</v>
      </c>
      <c r="G22" s="4">
        <v>20250803</v>
      </c>
      <c r="H22" s="6" t="str">
        <f>VLOOKUP(B22,CAJEROS!B:D,3,0)</f>
        <v>Multifuncional</v>
      </c>
      <c r="I22" s="8" t="s">
        <v>9</v>
      </c>
      <c r="J22" s="6" t="str">
        <f>VLOOKUP(B22,CAJEROS!B:E,4,0)</f>
        <v>MF_MODELIA</v>
      </c>
    </row>
    <row r="23" spans="1:10">
      <c r="A23" s="9">
        <v>769</v>
      </c>
      <c r="B23" s="9">
        <v>8679</v>
      </c>
      <c r="C23" s="3">
        <v>1580000</v>
      </c>
      <c r="D23" s="3">
        <v>1580000</v>
      </c>
      <c r="E23" s="7">
        <f t="shared" si="3"/>
        <v>0</v>
      </c>
      <c r="F23" s="5">
        <v>45873</v>
      </c>
      <c r="G23" s="4">
        <v>20250803</v>
      </c>
      <c r="H23" s="6" t="str">
        <f>VLOOKUP(B23,CAJEROS!B:D,3,0)</f>
        <v>Multifuncional</v>
      </c>
      <c r="I23" s="8" t="s">
        <v>9</v>
      </c>
      <c r="J23" s="6" t="str">
        <f>VLOOKUP(B23,CAJEROS!B:E,4,0)</f>
        <v>MF_SUCPPRA1</v>
      </c>
    </row>
    <row r="24" spans="1:10">
      <c r="A24" s="9">
        <v>64</v>
      </c>
      <c r="B24" s="9">
        <v>6447</v>
      </c>
      <c r="C24" s="3">
        <v>510000</v>
      </c>
      <c r="D24" s="3">
        <v>510000</v>
      </c>
      <c r="E24" s="7">
        <v>0</v>
      </c>
      <c r="F24" s="5">
        <v>45870</v>
      </c>
      <c r="G24" s="4">
        <v>20250731</v>
      </c>
      <c r="H24" s="6" t="s">
        <v>30</v>
      </c>
      <c r="I24" s="8" t="s">
        <v>9</v>
      </c>
      <c r="J24" s="6" t="s">
        <v>33</v>
      </c>
    </row>
    <row r="25" spans="1:10">
      <c r="A25" s="9">
        <v>849</v>
      </c>
      <c r="B25" s="9">
        <v>9723</v>
      </c>
      <c r="C25" s="3">
        <v>40000</v>
      </c>
      <c r="D25" s="3">
        <v>40000</v>
      </c>
      <c r="E25" s="7">
        <v>0</v>
      </c>
      <c r="F25" s="5">
        <v>45870</v>
      </c>
      <c r="G25" s="4">
        <v>20250731</v>
      </c>
      <c r="H25" s="6" t="s">
        <v>30</v>
      </c>
      <c r="I25" s="8" t="s">
        <v>9</v>
      </c>
      <c r="J25" s="6" t="s">
        <v>34</v>
      </c>
    </row>
    <row r="26" spans="1:10">
      <c r="A26" s="9">
        <v>866</v>
      </c>
      <c r="B26" s="9">
        <v>6260</v>
      </c>
      <c r="C26" s="3">
        <v>100000</v>
      </c>
      <c r="D26" s="3">
        <v>100000</v>
      </c>
      <c r="E26" s="7">
        <v>0</v>
      </c>
      <c r="F26" s="5">
        <v>45870</v>
      </c>
      <c r="G26" s="4">
        <v>20250731</v>
      </c>
      <c r="H26" s="6" t="s">
        <v>30</v>
      </c>
      <c r="I26" s="8" t="s">
        <v>9</v>
      </c>
      <c r="J26" s="6" t="s">
        <v>35</v>
      </c>
    </row>
    <row r="27" spans="1:10">
      <c r="A27" s="9">
        <v>305</v>
      </c>
      <c r="B27" s="9">
        <v>4897</v>
      </c>
      <c r="C27" s="3">
        <v>200000</v>
      </c>
      <c r="D27" s="3">
        <v>200000</v>
      </c>
      <c r="E27" s="7">
        <v>0</v>
      </c>
      <c r="F27" s="5">
        <v>45873</v>
      </c>
      <c r="G27" s="4">
        <v>20250803</v>
      </c>
      <c r="H27" s="6" t="s">
        <v>30</v>
      </c>
      <c r="I27" s="8" t="s">
        <v>9</v>
      </c>
      <c r="J27" s="6" t="s">
        <v>36</v>
      </c>
    </row>
    <row r="28" spans="1:10">
      <c r="A28" s="9">
        <v>536</v>
      </c>
      <c r="B28" s="9">
        <v>4795</v>
      </c>
      <c r="C28" s="3">
        <v>1030000</v>
      </c>
      <c r="D28" s="3">
        <v>1030000</v>
      </c>
      <c r="E28" s="7">
        <v>0</v>
      </c>
      <c r="F28" s="5">
        <v>45873</v>
      </c>
      <c r="G28" s="4">
        <v>20250803</v>
      </c>
      <c r="H28" s="6" t="s">
        <v>30</v>
      </c>
      <c r="I28" s="8" t="s">
        <v>9</v>
      </c>
      <c r="J28" s="6" t="s">
        <v>37</v>
      </c>
    </row>
    <row r="29" spans="1:10">
      <c r="A29" s="9">
        <v>927</v>
      </c>
      <c r="B29" s="9">
        <v>5749</v>
      </c>
      <c r="C29" s="3">
        <v>70000</v>
      </c>
      <c r="D29" s="3">
        <v>70000</v>
      </c>
      <c r="E29" s="7">
        <v>0</v>
      </c>
      <c r="F29" s="5">
        <v>45873</v>
      </c>
      <c r="G29" s="4">
        <v>20250803</v>
      </c>
      <c r="H29" s="6" t="s">
        <v>30</v>
      </c>
      <c r="I29" s="8" t="s">
        <v>9</v>
      </c>
      <c r="J29" s="6" t="s">
        <v>38</v>
      </c>
    </row>
    <row r="30" spans="1:10">
      <c r="A30" s="9">
        <v>927</v>
      </c>
      <c r="B30" s="9">
        <v>5750</v>
      </c>
      <c r="C30" s="3">
        <v>30000</v>
      </c>
      <c r="D30" s="3">
        <v>30000</v>
      </c>
      <c r="E30" s="7">
        <v>0</v>
      </c>
      <c r="F30" s="5">
        <v>45873</v>
      </c>
      <c r="G30" s="4">
        <v>20250803</v>
      </c>
      <c r="H30" s="6" t="s">
        <v>30</v>
      </c>
      <c r="I30" s="8" t="s">
        <v>9</v>
      </c>
      <c r="J30" s="6" t="s">
        <v>39</v>
      </c>
    </row>
    <row r="31" spans="1:10">
      <c r="A31" s="9">
        <v>966</v>
      </c>
      <c r="B31" s="9">
        <v>9943</v>
      </c>
      <c r="C31" s="3">
        <v>200000</v>
      </c>
      <c r="D31" s="3">
        <v>200000</v>
      </c>
      <c r="E31" s="7">
        <v>0</v>
      </c>
      <c r="F31" s="5">
        <v>45873</v>
      </c>
      <c r="G31" s="4">
        <v>20250803</v>
      </c>
      <c r="H31" s="6" t="s">
        <v>30</v>
      </c>
      <c r="I31" s="8" t="s">
        <v>9</v>
      </c>
      <c r="J31" s="6" t="s">
        <v>40</v>
      </c>
    </row>
    <row r="32" spans="1:10">
      <c r="A32" s="9">
        <v>331</v>
      </c>
      <c r="B32" s="9">
        <v>574</v>
      </c>
      <c r="C32" s="3">
        <v>280000</v>
      </c>
      <c r="D32" s="3">
        <v>280000</v>
      </c>
      <c r="E32" s="7">
        <f t="shared" ref="E32:E40" si="4">+C32-D32</f>
        <v>0</v>
      </c>
      <c r="F32" s="5">
        <v>45874</v>
      </c>
      <c r="G32" s="4">
        <v>20250804</v>
      </c>
      <c r="H32" s="6" t="str">
        <f>VLOOKUP(B32,CAJEROS!B:D,3,0)</f>
        <v>Multifuncional</v>
      </c>
      <c r="I32" s="8" t="s">
        <v>9</v>
      </c>
      <c r="J32" s="6" t="str">
        <f>VLOOKUP(B32,CAJEROS!B:E,4,0)</f>
        <v>MF_SUCARKA1</v>
      </c>
    </row>
    <row r="33" spans="1:10">
      <c r="A33" s="9">
        <v>61</v>
      </c>
      <c r="B33" s="9">
        <v>788</v>
      </c>
      <c r="C33" s="3">
        <v>1675000</v>
      </c>
      <c r="D33" s="3">
        <v>1675000</v>
      </c>
      <c r="E33" s="7">
        <f t="shared" si="4"/>
        <v>0</v>
      </c>
      <c r="F33" s="5">
        <v>45874</v>
      </c>
      <c r="G33" s="4">
        <v>20250804</v>
      </c>
      <c r="H33" s="6" t="str">
        <f>VLOOKUP(B33,CAJEROS!B:D,3,0)</f>
        <v>Multifuncional</v>
      </c>
      <c r="I33" s="8" t="s">
        <v>9</v>
      </c>
      <c r="J33" s="6" t="str">
        <f>VLOOKUP(B33,CAJEROS!B:E,4,0)</f>
        <v>MFSUCLAEST1</v>
      </c>
    </row>
    <row r="34" spans="1:10">
      <c r="A34" s="9">
        <v>6</v>
      </c>
      <c r="B34" s="9">
        <v>5001</v>
      </c>
      <c r="C34" s="3">
        <v>90000</v>
      </c>
      <c r="D34" s="3">
        <v>90000</v>
      </c>
      <c r="E34" s="7">
        <f t="shared" si="4"/>
        <v>0</v>
      </c>
      <c r="F34" s="5">
        <v>45874</v>
      </c>
      <c r="G34" s="4">
        <v>20250804</v>
      </c>
      <c r="H34" s="6" t="str">
        <f>VLOOKUP(B34,CAJEROS!B:D,3,0)</f>
        <v>Multifuncional</v>
      </c>
      <c r="I34" s="8" t="s">
        <v>9</v>
      </c>
      <c r="J34" s="6" t="str">
        <f>VLOOKUP(B34,CAJEROS!B:E,4,0)</f>
        <v>MF_AVJUNIN</v>
      </c>
    </row>
    <row r="35" spans="1:10">
      <c r="A35" s="9">
        <v>517</v>
      </c>
      <c r="B35" s="9">
        <v>5053</v>
      </c>
      <c r="C35" s="3">
        <v>1684000</v>
      </c>
      <c r="D35" s="3">
        <v>1684000</v>
      </c>
      <c r="E35" s="7">
        <f t="shared" si="4"/>
        <v>0</v>
      </c>
      <c r="F35" s="5">
        <v>45874</v>
      </c>
      <c r="G35" s="4">
        <v>20250804</v>
      </c>
      <c r="H35" s="6" t="str">
        <f>VLOOKUP(B35,CAJEROS!B:D,3,0)</f>
        <v>Multifuncional</v>
      </c>
      <c r="I35" s="8" t="s">
        <v>9</v>
      </c>
      <c r="J35" s="6" t="str">
        <f>VLOOKUP(B35,CAJEROS!B:E,4,0)</f>
        <v>MF_RODADERO</v>
      </c>
    </row>
    <row r="36" spans="1:10">
      <c r="A36" s="9">
        <v>781</v>
      </c>
      <c r="B36" s="9">
        <v>5057</v>
      </c>
      <c r="C36" s="3">
        <v>2970000</v>
      </c>
      <c r="D36" s="3">
        <v>2970000</v>
      </c>
      <c r="E36" s="7">
        <f t="shared" si="4"/>
        <v>0</v>
      </c>
      <c r="F36" s="5">
        <v>45874</v>
      </c>
      <c r="G36" s="4">
        <v>20250804</v>
      </c>
      <c r="H36" s="6" t="str">
        <f>VLOOKUP(B36,CAJEROS!B:D,3,0)</f>
        <v>Multifuncional</v>
      </c>
      <c r="I36" s="8" t="s">
        <v>9</v>
      </c>
      <c r="J36" s="6" t="str">
        <f>VLOOKUP(B36,CAJEROS!B:E,4,0)</f>
        <v>MF_PRPLAZA</v>
      </c>
    </row>
    <row r="37" spans="1:10">
      <c r="A37" s="9">
        <v>383</v>
      </c>
      <c r="B37" s="9">
        <v>5194</v>
      </c>
      <c r="C37" s="3">
        <v>1980000</v>
      </c>
      <c r="D37" s="3">
        <v>1980000</v>
      </c>
      <c r="E37" s="7">
        <f t="shared" si="4"/>
        <v>0</v>
      </c>
      <c r="F37" s="5">
        <v>45874</v>
      </c>
      <c r="G37" s="4">
        <v>20250804</v>
      </c>
      <c r="H37" s="6" t="str">
        <f>VLOOKUP(B37,CAJEROS!B:D,3,0)</f>
        <v>Multifuncional</v>
      </c>
      <c r="I37" s="8" t="s">
        <v>9</v>
      </c>
      <c r="J37" s="6" t="str">
        <f>VLOOKUP(B37,CAJEROS!B:E,4,0)</f>
        <v>MF_MADRID</v>
      </c>
    </row>
    <row r="38" spans="1:10">
      <c r="A38" s="9">
        <v>859</v>
      </c>
      <c r="B38" s="9">
        <v>5207</v>
      </c>
      <c r="C38" s="3">
        <v>1762000</v>
      </c>
      <c r="D38" s="3">
        <v>1762000</v>
      </c>
      <c r="E38" s="7">
        <f t="shared" si="4"/>
        <v>0</v>
      </c>
      <c r="F38" s="5">
        <v>45874</v>
      </c>
      <c r="G38" s="4">
        <v>20250804</v>
      </c>
      <c r="H38" s="6" t="e">
        <f>VLOOKUP(B38,CAJEROS!B:D,3,0)</f>
        <v>#N/A</v>
      </c>
      <c r="I38" s="8" t="s">
        <v>9</v>
      </c>
      <c r="J38" s="6" t="e">
        <f>VLOOKUP(B38,CAJEROS!B:E,4,0)</f>
        <v>#N/A</v>
      </c>
    </row>
    <row r="39" spans="1:10">
      <c r="A39" s="9">
        <v>941</v>
      </c>
      <c r="B39" s="9">
        <v>5220</v>
      </c>
      <c r="C39" s="3">
        <v>2840000</v>
      </c>
      <c r="D39" s="3">
        <v>2840000</v>
      </c>
      <c r="E39" s="7">
        <f t="shared" si="4"/>
        <v>0</v>
      </c>
      <c r="F39" s="5">
        <v>45874</v>
      </c>
      <c r="G39" s="4">
        <v>20250804</v>
      </c>
      <c r="H39" s="6" t="str">
        <f>VLOOKUP(B39,CAJEROS!B:D,3,0)</f>
        <v>Multifuncional</v>
      </c>
      <c r="I39" s="8" t="s">
        <v>9</v>
      </c>
      <c r="J39" s="6" t="str">
        <f>VLOOKUP(B39,CAJEROS!B:E,4,0)</f>
        <v>MF_NEIVANVA</v>
      </c>
    </row>
    <row r="40" spans="1:10">
      <c r="A40" s="9">
        <v>236</v>
      </c>
      <c r="B40" s="9">
        <v>8497</v>
      </c>
      <c r="C40" s="3">
        <v>100000</v>
      </c>
      <c r="D40" s="3">
        <v>100000</v>
      </c>
      <c r="E40" s="7">
        <f t="shared" si="4"/>
        <v>0</v>
      </c>
      <c r="F40" s="5">
        <v>45874</v>
      </c>
      <c r="G40" s="4">
        <v>20250804</v>
      </c>
      <c r="H40" s="6" t="str">
        <f>VLOOKUP(B40,CAJEROS!B:D,3,0)</f>
        <v>Multifuncional</v>
      </c>
      <c r="I40" s="8" t="s">
        <v>9</v>
      </c>
      <c r="J40" s="6" t="str">
        <f>VLOOKUP(B40,CAJEROS!B:E,4,0)</f>
        <v>MF_EXITCOL2</v>
      </c>
    </row>
    <row r="41" spans="1:10">
      <c r="A41" s="9">
        <v>442</v>
      </c>
      <c r="B41" s="9">
        <v>8887</v>
      </c>
      <c r="C41" s="3">
        <v>1382500</v>
      </c>
      <c r="D41" s="3">
        <v>1382500</v>
      </c>
      <c r="E41" s="7">
        <v>0</v>
      </c>
      <c r="F41" s="5">
        <v>45873</v>
      </c>
      <c r="G41" s="4">
        <v>20250803</v>
      </c>
      <c r="H41" s="6" t="s">
        <v>24</v>
      </c>
      <c r="I41" s="8" t="s">
        <v>9</v>
      </c>
      <c r="J41" s="6" t="s">
        <v>41</v>
      </c>
    </row>
    <row r="42" spans="1:10">
      <c r="A42" s="9">
        <v>442</v>
      </c>
      <c r="B42" s="9">
        <v>8887</v>
      </c>
      <c r="C42" s="3">
        <v>1110000</v>
      </c>
      <c r="D42" s="3">
        <v>1110000</v>
      </c>
      <c r="E42" s="7">
        <v>0</v>
      </c>
      <c r="F42" s="5">
        <v>45874</v>
      </c>
      <c r="G42" s="4">
        <v>20250804</v>
      </c>
      <c r="H42" s="6" t="s">
        <v>24</v>
      </c>
      <c r="I42" s="8" t="s">
        <v>9</v>
      </c>
      <c r="J42" s="6" t="s">
        <v>41</v>
      </c>
    </row>
    <row r="43" spans="1:10">
      <c r="A43" s="9">
        <v>438</v>
      </c>
      <c r="B43" s="9">
        <v>1565</v>
      </c>
      <c r="C43" s="3">
        <v>2870000</v>
      </c>
      <c r="D43" s="3">
        <v>2870000</v>
      </c>
      <c r="E43" s="7">
        <v>0</v>
      </c>
      <c r="F43" s="5">
        <v>45874</v>
      </c>
      <c r="G43" s="4">
        <v>20250804</v>
      </c>
      <c r="H43" s="6" t="s">
        <v>24</v>
      </c>
      <c r="I43" s="8" t="s">
        <v>9</v>
      </c>
      <c r="J43" s="6" t="s">
        <v>42</v>
      </c>
    </row>
    <row r="44" spans="1:10">
      <c r="A44" s="9">
        <v>844</v>
      </c>
      <c r="B44" s="9">
        <v>6157</v>
      </c>
      <c r="C44" s="3">
        <v>50000</v>
      </c>
      <c r="D44" s="3">
        <v>50000</v>
      </c>
      <c r="E44" s="7">
        <v>0</v>
      </c>
      <c r="F44" s="5">
        <v>45870</v>
      </c>
      <c r="G44" s="4">
        <v>20250731</v>
      </c>
      <c r="H44" s="6" t="s">
        <v>30</v>
      </c>
      <c r="I44" s="8" t="s">
        <v>9</v>
      </c>
      <c r="J44" s="6" t="s">
        <v>43</v>
      </c>
    </row>
    <row r="45" spans="1:10">
      <c r="A45" s="9">
        <v>706</v>
      </c>
      <c r="B45" s="9">
        <v>4147</v>
      </c>
      <c r="C45" s="3">
        <v>4700000</v>
      </c>
      <c r="D45" s="3">
        <v>4700000</v>
      </c>
      <c r="E45" s="7">
        <v>0</v>
      </c>
      <c r="F45" s="5">
        <v>45873</v>
      </c>
      <c r="G45" s="4">
        <v>20250801</v>
      </c>
      <c r="H45" s="6" t="s">
        <v>30</v>
      </c>
      <c r="I45" s="8"/>
      <c r="J45" s="6" t="s">
        <v>44</v>
      </c>
    </row>
    <row r="46" spans="1:10">
      <c r="A46" s="9">
        <v>305</v>
      </c>
      <c r="B46" s="9">
        <v>7722</v>
      </c>
      <c r="C46" s="3">
        <v>850000</v>
      </c>
      <c r="D46" s="3">
        <v>850000</v>
      </c>
      <c r="E46" s="7">
        <v>0</v>
      </c>
      <c r="F46" s="5">
        <v>45873</v>
      </c>
      <c r="G46" s="4">
        <v>20250803</v>
      </c>
      <c r="H46" s="6" t="s">
        <v>30</v>
      </c>
      <c r="I46" s="8" t="s">
        <v>9</v>
      </c>
      <c r="J46" s="6" t="s">
        <v>45</v>
      </c>
    </row>
    <row r="47" spans="1:10">
      <c r="A47" s="9">
        <v>372</v>
      </c>
      <c r="B47" s="9">
        <v>7917</v>
      </c>
      <c r="C47" s="3">
        <v>80000</v>
      </c>
      <c r="D47" s="3">
        <v>80000</v>
      </c>
      <c r="E47" s="7">
        <v>0</v>
      </c>
      <c r="F47" s="5">
        <v>45873</v>
      </c>
      <c r="G47" s="4">
        <v>20250803</v>
      </c>
      <c r="H47" s="6" t="s">
        <v>30</v>
      </c>
      <c r="I47" s="8" t="s">
        <v>9</v>
      </c>
      <c r="J47" s="6" t="s">
        <v>46</v>
      </c>
    </row>
    <row r="48" spans="1:10">
      <c r="A48" s="9">
        <v>944</v>
      </c>
      <c r="B48" s="9">
        <v>8357</v>
      </c>
      <c r="C48" s="3">
        <v>100000</v>
      </c>
      <c r="D48" s="3">
        <v>100000</v>
      </c>
      <c r="E48" s="7">
        <v>0</v>
      </c>
      <c r="F48" s="5">
        <v>45873</v>
      </c>
      <c r="G48" s="4">
        <v>20250803</v>
      </c>
      <c r="H48" s="6" t="s">
        <v>30</v>
      </c>
      <c r="I48" s="8" t="s">
        <v>9</v>
      </c>
      <c r="J48" s="6" t="s">
        <v>47</v>
      </c>
    </row>
    <row r="49" spans="1:10">
      <c r="A49" s="9">
        <v>111</v>
      </c>
      <c r="B49" s="9">
        <v>5671</v>
      </c>
      <c r="C49" s="3">
        <v>200000</v>
      </c>
      <c r="D49" s="3">
        <v>200000</v>
      </c>
      <c r="E49" s="7">
        <v>0</v>
      </c>
      <c r="F49" s="5">
        <v>45874</v>
      </c>
      <c r="G49" s="4">
        <v>20250804</v>
      </c>
      <c r="H49" s="6" t="s">
        <v>30</v>
      </c>
      <c r="I49" s="8" t="s">
        <v>9</v>
      </c>
      <c r="J49" s="6" t="s">
        <v>48</v>
      </c>
    </row>
    <row r="50" spans="1:10">
      <c r="A50" s="9">
        <v>372</v>
      </c>
      <c r="B50" s="9">
        <v>7917</v>
      </c>
      <c r="C50" s="3">
        <v>20000</v>
      </c>
      <c r="D50" s="3">
        <v>20000</v>
      </c>
      <c r="E50" s="7">
        <v>0</v>
      </c>
      <c r="F50" s="5">
        <v>45874</v>
      </c>
      <c r="G50" s="4">
        <v>20250804</v>
      </c>
      <c r="H50" s="6" t="s">
        <v>30</v>
      </c>
      <c r="I50" s="8" t="s">
        <v>10</v>
      </c>
      <c r="J50" s="6" t="s">
        <v>46</v>
      </c>
    </row>
    <row r="51" spans="1:10">
      <c r="A51" s="9">
        <v>395</v>
      </c>
      <c r="B51" s="9">
        <v>1528</v>
      </c>
      <c r="C51" s="3">
        <v>180000</v>
      </c>
      <c r="D51" s="3">
        <v>180000</v>
      </c>
      <c r="E51" s="7">
        <f t="shared" ref="E51:E53" si="5">+C51-D51</f>
        <v>0</v>
      </c>
      <c r="F51" s="5">
        <v>45874</v>
      </c>
      <c r="G51" s="4">
        <v>20250804</v>
      </c>
      <c r="H51" s="6" t="str">
        <f>VLOOKUP(B51,CAJEROS!B:D,3,0)</f>
        <v>Multifuncional</v>
      </c>
      <c r="I51" s="8" t="s">
        <v>9</v>
      </c>
      <c r="J51" s="6" t="str">
        <f>VLOOKUP(B51,CAJEROS!B:E,4,0)</f>
        <v>SUCMFVIVCI1</v>
      </c>
    </row>
    <row r="52" spans="1:10">
      <c r="A52" s="9">
        <v>944</v>
      </c>
      <c r="B52" s="9">
        <v>2228</v>
      </c>
      <c r="C52" s="3">
        <v>134950</v>
      </c>
      <c r="D52" s="3">
        <v>134950</v>
      </c>
      <c r="E52" s="7">
        <f t="shared" si="5"/>
        <v>0</v>
      </c>
      <c r="F52" s="5">
        <v>45870</v>
      </c>
      <c r="G52" s="4">
        <v>20250731</v>
      </c>
      <c r="H52" s="6" t="str">
        <f>VLOOKUP(B52,CAJEROS!B:D,3,0)</f>
        <v>Multifuncional</v>
      </c>
      <c r="I52" s="8" t="s">
        <v>9</v>
      </c>
      <c r="J52" s="6" t="str">
        <f>VLOOKUP(B52,CAJEROS!B:E,4,0)</f>
        <v>MF_SANTABO3</v>
      </c>
    </row>
    <row r="53" spans="1:10">
      <c r="A53" s="9">
        <v>623</v>
      </c>
      <c r="B53" s="9">
        <v>7375</v>
      </c>
      <c r="C53" s="3">
        <v>50000</v>
      </c>
      <c r="D53" s="3">
        <v>50000</v>
      </c>
      <c r="E53" s="7">
        <f t="shared" si="5"/>
        <v>0</v>
      </c>
      <c r="F53" s="5">
        <v>45875</v>
      </c>
      <c r="G53" s="4">
        <v>20250805</v>
      </c>
      <c r="H53" s="6" t="str">
        <f>VLOOKUP(B53,CAJEROS!B:D,3,0)</f>
        <v>Multifuncional</v>
      </c>
      <c r="I53" s="8" t="s">
        <v>9</v>
      </c>
      <c r="J53" s="6" t="str">
        <f>VLOOKUP(B53,CAJEROS!B:E,4,0)</f>
        <v>MF_FUNDMAN2</v>
      </c>
    </row>
    <row r="54" spans="1:10">
      <c r="A54" s="9">
        <v>623</v>
      </c>
      <c r="B54" s="9">
        <v>5047</v>
      </c>
      <c r="C54" s="3">
        <v>1400000</v>
      </c>
      <c r="D54" s="3">
        <v>1400000</v>
      </c>
      <c r="E54" s="7">
        <v>0</v>
      </c>
      <c r="F54" s="5">
        <v>45875</v>
      </c>
      <c r="G54" s="4">
        <v>20250805</v>
      </c>
      <c r="H54" s="6" t="s">
        <v>24</v>
      </c>
      <c r="I54" s="8" t="s">
        <v>9</v>
      </c>
      <c r="J54" s="6" t="s">
        <v>26</v>
      </c>
    </row>
    <row r="55" spans="1:10">
      <c r="A55" s="9">
        <v>523</v>
      </c>
      <c r="B55" s="9">
        <v>5082</v>
      </c>
      <c r="C55" s="3">
        <v>2500000</v>
      </c>
      <c r="D55" s="3">
        <v>2500000</v>
      </c>
      <c r="E55" s="7">
        <v>0</v>
      </c>
      <c r="F55" s="5">
        <v>45874</v>
      </c>
      <c r="G55" s="4">
        <v>20250804</v>
      </c>
      <c r="H55" s="6" t="s">
        <v>24</v>
      </c>
      <c r="I55" s="8" t="s">
        <v>9</v>
      </c>
      <c r="J55" s="6" t="s">
        <v>49</v>
      </c>
    </row>
    <row r="56" spans="1:10">
      <c r="A56" s="9">
        <v>523</v>
      </c>
      <c r="B56" s="9">
        <v>5082</v>
      </c>
      <c r="C56" s="3">
        <v>1120000</v>
      </c>
      <c r="D56" s="3">
        <v>1120000</v>
      </c>
      <c r="E56" s="7">
        <v>0</v>
      </c>
      <c r="F56" s="5">
        <v>45875</v>
      </c>
      <c r="G56" s="4">
        <v>20250805</v>
      </c>
      <c r="H56" s="6" t="s">
        <v>24</v>
      </c>
      <c r="I56" s="8" t="s">
        <v>9</v>
      </c>
      <c r="J56" s="6" t="s">
        <v>49</v>
      </c>
    </row>
    <row r="57" spans="1:10">
      <c r="A57" s="9">
        <v>829</v>
      </c>
      <c r="B57" s="9">
        <v>5137</v>
      </c>
      <c r="C57" s="3">
        <v>10000</v>
      </c>
      <c r="D57" s="3">
        <v>10000</v>
      </c>
      <c r="E57" s="7">
        <v>0</v>
      </c>
      <c r="F57" s="5">
        <v>45874</v>
      </c>
      <c r="G57" s="4">
        <v>20250804</v>
      </c>
      <c r="H57" s="6" t="s">
        <v>24</v>
      </c>
      <c r="I57" s="8" t="s">
        <v>10</v>
      </c>
      <c r="J57" s="6" t="s">
        <v>50</v>
      </c>
    </row>
    <row r="58" spans="1:10">
      <c r="A58" s="9">
        <v>829</v>
      </c>
      <c r="B58" s="9">
        <v>5137</v>
      </c>
      <c r="C58" s="3">
        <v>1040000</v>
      </c>
      <c r="D58" s="3">
        <v>1040000</v>
      </c>
      <c r="E58" s="7">
        <v>0</v>
      </c>
      <c r="F58" s="5">
        <v>45875</v>
      </c>
      <c r="G58" s="4">
        <v>20250805</v>
      </c>
      <c r="H58" s="6" t="s">
        <v>24</v>
      </c>
      <c r="I58" s="8" t="s">
        <v>9</v>
      </c>
      <c r="J58" s="6" t="s">
        <v>50</v>
      </c>
    </row>
    <row r="59" spans="1:10">
      <c r="A59" s="9">
        <v>300</v>
      </c>
      <c r="B59" s="9">
        <v>5139</v>
      </c>
      <c r="C59" s="3">
        <v>1070000</v>
      </c>
      <c r="D59" s="3">
        <v>1070000</v>
      </c>
      <c r="E59" s="7">
        <v>0</v>
      </c>
      <c r="F59" s="5">
        <v>45874</v>
      </c>
      <c r="G59" s="4">
        <v>20250804</v>
      </c>
      <c r="H59" s="6" t="s">
        <v>24</v>
      </c>
      <c r="I59" s="8" t="s">
        <v>9</v>
      </c>
      <c r="J59" s="6" t="s">
        <v>51</v>
      </c>
    </row>
    <row r="60" spans="1:10">
      <c r="A60" s="9">
        <v>300</v>
      </c>
      <c r="B60" s="9">
        <v>5139</v>
      </c>
      <c r="C60" s="3">
        <v>270000</v>
      </c>
      <c r="D60" s="3">
        <v>270000</v>
      </c>
      <c r="E60" s="7">
        <v>0</v>
      </c>
      <c r="F60" s="5">
        <v>45875</v>
      </c>
      <c r="G60" s="4">
        <v>20250805</v>
      </c>
      <c r="H60" s="6" t="s">
        <v>24</v>
      </c>
      <c r="I60" s="8" t="s">
        <v>9</v>
      </c>
      <c r="J60" s="6" t="s">
        <v>51</v>
      </c>
    </row>
    <row r="61" spans="1:10">
      <c r="A61" s="9">
        <v>262</v>
      </c>
      <c r="B61" s="9">
        <v>5153</v>
      </c>
      <c r="C61" s="3">
        <v>20000</v>
      </c>
      <c r="D61" s="3">
        <v>20000</v>
      </c>
      <c r="E61" s="7">
        <v>0</v>
      </c>
      <c r="F61" s="5">
        <v>45874</v>
      </c>
      <c r="G61" s="4">
        <v>20250804</v>
      </c>
      <c r="H61" s="6" t="s">
        <v>24</v>
      </c>
      <c r="I61" s="8" t="s">
        <v>10</v>
      </c>
      <c r="J61" s="6" t="s">
        <v>52</v>
      </c>
    </row>
    <row r="62" spans="1:10">
      <c r="A62" s="9">
        <v>253</v>
      </c>
      <c r="B62" s="9">
        <v>5176</v>
      </c>
      <c r="C62" s="3">
        <v>210000</v>
      </c>
      <c r="D62" s="3">
        <v>210000</v>
      </c>
      <c r="E62" s="7">
        <v>0</v>
      </c>
      <c r="F62" s="5">
        <v>45873</v>
      </c>
      <c r="G62" s="4">
        <v>20250803</v>
      </c>
      <c r="H62" s="6" t="s">
        <v>24</v>
      </c>
      <c r="I62" s="8" t="s">
        <v>9</v>
      </c>
      <c r="J62" s="6" t="s">
        <v>53</v>
      </c>
    </row>
    <row r="63" spans="1:10">
      <c r="A63" s="9">
        <v>253</v>
      </c>
      <c r="B63" s="9">
        <v>5176</v>
      </c>
      <c r="C63" s="3">
        <v>1380000</v>
      </c>
      <c r="D63" s="3">
        <v>1380000</v>
      </c>
      <c r="E63" s="7">
        <v>0</v>
      </c>
      <c r="F63" s="5">
        <v>45874</v>
      </c>
      <c r="G63" s="4">
        <v>20250804</v>
      </c>
      <c r="H63" s="6" t="s">
        <v>24</v>
      </c>
      <c r="I63" s="8" t="s">
        <v>9</v>
      </c>
      <c r="J63" s="6" t="s">
        <v>53</v>
      </c>
    </row>
    <row r="64" spans="1:10">
      <c r="A64" s="9">
        <v>383</v>
      </c>
      <c r="B64" s="9">
        <v>5194</v>
      </c>
      <c r="C64" s="3">
        <v>560000</v>
      </c>
      <c r="D64" s="3">
        <f>490000+70000</f>
        <v>560000</v>
      </c>
      <c r="E64" s="7">
        <f t="shared" ref="E64:E65" si="6">+C64-D64</f>
        <v>0</v>
      </c>
      <c r="F64" s="5">
        <v>45873</v>
      </c>
      <c r="G64" s="4">
        <v>20250803</v>
      </c>
      <c r="H64" s="6" t="str">
        <f>VLOOKUP(B64,CAJEROS!B:D,3,0)</f>
        <v>Multifuncional</v>
      </c>
      <c r="I64" s="8" t="s">
        <v>9</v>
      </c>
      <c r="J64" s="6" t="str">
        <f>VLOOKUP(B64,CAJEROS!B:E,4,0)</f>
        <v>MF_MADRID</v>
      </c>
    </row>
    <row r="65" spans="1:10">
      <c r="A65" s="9">
        <v>250</v>
      </c>
      <c r="B65" s="9">
        <v>5197</v>
      </c>
      <c r="C65" s="3">
        <v>610000</v>
      </c>
      <c r="D65" s="3">
        <v>610000</v>
      </c>
      <c r="E65" s="7">
        <f t="shared" si="6"/>
        <v>0</v>
      </c>
      <c r="F65" s="5">
        <v>45870</v>
      </c>
      <c r="G65" s="4">
        <v>20250731</v>
      </c>
      <c r="H65" s="6" t="str">
        <f>VLOOKUP(B65,CAJEROS!B:D,3,0)</f>
        <v>Multifuncional</v>
      </c>
      <c r="I65" s="8" t="s">
        <v>9</v>
      </c>
      <c r="J65" s="6" t="str">
        <f>VLOOKUP(B65,CAJEROS!B:E,4,0)</f>
        <v>MF_MODELIA</v>
      </c>
    </row>
    <row r="66" spans="1:10">
      <c r="A66" s="9">
        <v>454</v>
      </c>
      <c r="B66" s="9">
        <v>5231</v>
      </c>
      <c r="C66" s="3">
        <v>1390000</v>
      </c>
      <c r="D66" s="3">
        <v>1390000</v>
      </c>
      <c r="E66" s="7">
        <v>0</v>
      </c>
      <c r="F66" s="5">
        <v>45870</v>
      </c>
      <c r="G66" s="4">
        <v>20250731</v>
      </c>
      <c r="H66" s="6" t="s">
        <v>24</v>
      </c>
      <c r="I66" s="8" t="s">
        <v>9</v>
      </c>
      <c r="J66" s="6" t="s">
        <v>54</v>
      </c>
    </row>
    <row r="67" spans="1:10">
      <c r="A67" s="9">
        <v>454</v>
      </c>
      <c r="B67" s="9">
        <v>5231</v>
      </c>
      <c r="C67" s="3">
        <v>170000</v>
      </c>
      <c r="D67" s="3">
        <v>170000</v>
      </c>
      <c r="E67" s="7">
        <v>0</v>
      </c>
      <c r="F67" s="5">
        <v>45874</v>
      </c>
      <c r="G67" s="4">
        <v>20250804</v>
      </c>
      <c r="H67" s="6" t="s">
        <v>24</v>
      </c>
      <c r="I67" s="8" t="s">
        <v>9</v>
      </c>
      <c r="J67" s="6" t="s">
        <v>54</v>
      </c>
    </row>
    <row r="68" spans="1:10">
      <c r="A68" s="9">
        <v>166</v>
      </c>
      <c r="B68" s="9">
        <v>7940</v>
      </c>
      <c r="C68" s="3">
        <v>170000</v>
      </c>
      <c r="D68" s="3">
        <v>170000</v>
      </c>
      <c r="E68" s="7">
        <v>0</v>
      </c>
      <c r="F68" s="5">
        <v>45870</v>
      </c>
      <c r="G68" s="4">
        <v>20250731</v>
      </c>
      <c r="H68" s="6" t="s">
        <v>24</v>
      </c>
      <c r="I68" s="8" t="s">
        <v>9</v>
      </c>
      <c r="J68" s="6" t="s">
        <v>55</v>
      </c>
    </row>
    <row r="69" spans="1:10">
      <c r="A69" s="9">
        <v>166</v>
      </c>
      <c r="B69" s="9">
        <v>7940</v>
      </c>
      <c r="C69" s="3">
        <v>1000000</v>
      </c>
      <c r="D69" s="3">
        <v>1000000</v>
      </c>
      <c r="E69" s="7">
        <v>0</v>
      </c>
      <c r="F69" s="5">
        <v>45873</v>
      </c>
      <c r="G69" s="4">
        <v>20250803</v>
      </c>
      <c r="H69" s="6" t="s">
        <v>24</v>
      </c>
      <c r="I69" s="8" t="s">
        <v>9</v>
      </c>
      <c r="J69" s="6" t="s">
        <v>55</v>
      </c>
    </row>
    <row r="70" spans="1:10">
      <c r="A70" s="9">
        <v>166</v>
      </c>
      <c r="B70" s="9">
        <v>7940</v>
      </c>
      <c r="C70" s="3">
        <v>2815000</v>
      </c>
      <c r="D70" s="3">
        <v>2815000</v>
      </c>
      <c r="E70" s="7">
        <v>0</v>
      </c>
      <c r="F70" s="5">
        <v>45874</v>
      </c>
      <c r="G70" s="4">
        <v>20250804</v>
      </c>
      <c r="H70" s="6" t="s">
        <v>24</v>
      </c>
      <c r="I70" s="8" t="s">
        <v>9</v>
      </c>
      <c r="J70" s="6" t="s">
        <v>55</v>
      </c>
    </row>
    <row r="71" spans="1:10">
      <c r="A71" s="9">
        <v>915</v>
      </c>
      <c r="B71" s="9">
        <v>8313</v>
      </c>
      <c r="C71" s="3">
        <v>170000</v>
      </c>
      <c r="D71" s="3">
        <v>170000</v>
      </c>
      <c r="E71" s="7">
        <v>0</v>
      </c>
      <c r="F71" s="5">
        <v>45874</v>
      </c>
      <c r="G71" s="4">
        <v>20250804</v>
      </c>
      <c r="H71" s="6" t="s">
        <v>24</v>
      </c>
      <c r="I71" s="8" t="s">
        <v>9</v>
      </c>
      <c r="J71" s="6" t="s">
        <v>27</v>
      </c>
    </row>
    <row r="72" spans="1:10">
      <c r="A72" s="9">
        <v>915</v>
      </c>
      <c r="B72" s="9">
        <v>8313</v>
      </c>
      <c r="C72" s="3">
        <v>370000</v>
      </c>
      <c r="D72" s="3">
        <v>370000</v>
      </c>
      <c r="E72" s="7">
        <v>0</v>
      </c>
      <c r="F72" s="5">
        <v>45875</v>
      </c>
      <c r="G72" s="4">
        <v>20250805</v>
      </c>
      <c r="H72" s="6" t="s">
        <v>24</v>
      </c>
      <c r="I72" s="8" t="s">
        <v>9</v>
      </c>
      <c r="J72" s="6" t="s">
        <v>27</v>
      </c>
    </row>
    <row r="73" spans="1:10">
      <c r="A73" s="9">
        <v>915</v>
      </c>
      <c r="B73" s="9">
        <v>8314</v>
      </c>
      <c r="C73" s="3">
        <v>400000</v>
      </c>
      <c r="D73" s="3">
        <v>400000</v>
      </c>
      <c r="E73" s="7">
        <v>0</v>
      </c>
      <c r="F73" s="5">
        <v>45870</v>
      </c>
      <c r="G73" s="4">
        <v>20250731</v>
      </c>
      <c r="H73" s="6" t="s">
        <v>24</v>
      </c>
      <c r="I73" s="8" t="s">
        <v>9</v>
      </c>
      <c r="J73" s="6" t="s">
        <v>56</v>
      </c>
    </row>
    <row r="74" spans="1:10">
      <c r="A74" s="9">
        <v>915</v>
      </c>
      <c r="B74" s="9">
        <v>8314</v>
      </c>
      <c r="C74" s="3">
        <v>250000</v>
      </c>
      <c r="D74" s="3">
        <v>250000</v>
      </c>
      <c r="E74" s="7">
        <v>0</v>
      </c>
      <c r="F74" s="5">
        <v>45874</v>
      </c>
      <c r="G74" s="4">
        <v>20250804</v>
      </c>
      <c r="H74" s="6" t="s">
        <v>24</v>
      </c>
      <c r="I74" s="8" t="s">
        <v>9</v>
      </c>
      <c r="J74" s="6" t="s">
        <v>56</v>
      </c>
    </row>
    <row r="75" spans="1:10">
      <c r="A75" s="9">
        <v>264</v>
      </c>
      <c r="B75" s="9">
        <v>9906</v>
      </c>
      <c r="C75" s="3">
        <v>180000</v>
      </c>
      <c r="D75" s="3">
        <v>180000</v>
      </c>
      <c r="E75" s="7">
        <v>0</v>
      </c>
      <c r="F75" s="5">
        <v>45870</v>
      </c>
      <c r="G75" s="4">
        <v>20250731</v>
      </c>
      <c r="H75" s="6" t="s">
        <v>24</v>
      </c>
      <c r="I75" s="8" t="s">
        <v>9</v>
      </c>
      <c r="J75" s="6" t="s">
        <v>57</v>
      </c>
    </row>
    <row r="76" spans="1:10">
      <c r="A76" s="9">
        <v>57</v>
      </c>
      <c r="B76" s="9">
        <v>9963</v>
      </c>
      <c r="C76" s="3">
        <v>291000</v>
      </c>
      <c r="D76" s="3">
        <v>291000</v>
      </c>
      <c r="E76" s="7">
        <v>0</v>
      </c>
      <c r="F76" s="5">
        <v>45873</v>
      </c>
      <c r="G76" s="4">
        <v>20250803</v>
      </c>
      <c r="H76" s="6" t="s">
        <v>24</v>
      </c>
      <c r="I76" s="8" t="s">
        <v>9</v>
      </c>
      <c r="J76" s="6" t="s">
        <v>58</v>
      </c>
    </row>
    <row r="77" spans="1:10">
      <c r="A77" s="9">
        <v>32</v>
      </c>
      <c r="B77" s="9">
        <v>5027</v>
      </c>
      <c r="C77" s="3">
        <v>1570000</v>
      </c>
      <c r="D77" s="3">
        <v>1570000</v>
      </c>
      <c r="E77" s="7">
        <f t="shared" ref="E77:E78" si="7">+C77-D77</f>
        <v>0</v>
      </c>
      <c r="F77" s="5">
        <v>45875</v>
      </c>
      <c r="G77" s="4">
        <v>20250805</v>
      </c>
      <c r="H77" s="6" t="str">
        <f>VLOOKUP(B77,CAJEROS!B:D,3,0)</f>
        <v>Multifuncional</v>
      </c>
      <c r="I77" s="8" t="s">
        <v>9</v>
      </c>
      <c r="J77" s="6" t="str">
        <f>VLOOKUP(B77,CAJEROS!B:E,4,0)</f>
        <v>MF_ANTCOUNT</v>
      </c>
    </row>
    <row r="78" spans="1:10">
      <c r="A78" s="9">
        <v>60</v>
      </c>
      <c r="B78" s="9">
        <v>8729</v>
      </c>
      <c r="C78" s="3">
        <v>55000</v>
      </c>
      <c r="D78" s="3">
        <v>55000</v>
      </c>
      <c r="E78" s="7">
        <f t="shared" si="7"/>
        <v>0</v>
      </c>
      <c r="F78" s="5">
        <v>45875</v>
      </c>
      <c r="G78" s="4">
        <v>20250805</v>
      </c>
      <c r="H78" s="6" t="str">
        <f>VLOOKUP(B78,CAJEROS!B:D,3,0)</f>
        <v>Multifuncional</v>
      </c>
      <c r="I78" s="8" t="s">
        <v>9</v>
      </c>
      <c r="J78" s="6" t="str">
        <f>VLOOKUP(B78,CAJEROS!B:E,4,0)</f>
        <v>MF_HCALIPR3</v>
      </c>
    </row>
    <row r="79" spans="1:10">
      <c r="A79" s="9">
        <v>60</v>
      </c>
      <c r="B79" s="9">
        <v>8721</v>
      </c>
      <c r="C79" s="3">
        <v>300000</v>
      </c>
      <c r="D79" s="3">
        <v>300000</v>
      </c>
      <c r="E79" s="7">
        <v>0</v>
      </c>
      <c r="F79" s="5">
        <v>45870</v>
      </c>
      <c r="G79" s="4">
        <v>20250731</v>
      </c>
      <c r="H79" s="6" t="s">
        <v>30</v>
      </c>
      <c r="I79" s="8" t="s">
        <v>9</v>
      </c>
      <c r="J79" s="6" t="s">
        <v>59</v>
      </c>
    </row>
    <row r="80" spans="1:10">
      <c r="A80" s="9">
        <v>96</v>
      </c>
      <c r="B80" s="9">
        <v>1035</v>
      </c>
      <c r="C80" s="3">
        <v>3010000</v>
      </c>
      <c r="D80" s="3">
        <v>3010000</v>
      </c>
      <c r="E80" s="7">
        <v>0</v>
      </c>
      <c r="F80" s="5">
        <v>45870</v>
      </c>
      <c r="G80" s="4">
        <v>20250731</v>
      </c>
      <c r="H80" s="6" t="s">
        <v>30</v>
      </c>
      <c r="I80" s="8" t="s">
        <v>9</v>
      </c>
      <c r="J80" s="6" t="s">
        <v>60</v>
      </c>
    </row>
    <row r="81" spans="1:10">
      <c r="A81" s="9">
        <v>153</v>
      </c>
      <c r="B81" s="9">
        <v>9880</v>
      </c>
      <c r="C81" s="3">
        <v>400000</v>
      </c>
      <c r="D81" s="3">
        <v>400000</v>
      </c>
      <c r="E81" s="7">
        <v>0</v>
      </c>
      <c r="F81" s="5">
        <v>45870</v>
      </c>
      <c r="G81" s="4">
        <v>20250731</v>
      </c>
      <c r="H81" s="6" t="s">
        <v>30</v>
      </c>
      <c r="I81" s="8" t="s">
        <v>9</v>
      </c>
      <c r="J81" s="6" t="s">
        <v>61</v>
      </c>
    </row>
    <row r="82" spans="1:10">
      <c r="A82" s="9">
        <v>631</v>
      </c>
      <c r="B82" s="9">
        <v>2615</v>
      </c>
      <c r="C82" s="3">
        <v>880000</v>
      </c>
      <c r="D82" s="3">
        <v>880000</v>
      </c>
      <c r="E82" s="7">
        <v>0</v>
      </c>
      <c r="F82" s="5">
        <v>45870</v>
      </c>
      <c r="G82" s="4">
        <v>20250731</v>
      </c>
      <c r="H82" s="6" t="s">
        <v>30</v>
      </c>
      <c r="I82" s="8" t="s">
        <v>9</v>
      </c>
      <c r="J82" s="6" t="s">
        <v>62</v>
      </c>
    </row>
    <row r="83" spans="1:10">
      <c r="A83" s="9">
        <v>706</v>
      </c>
      <c r="B83" s="9">
        <v>4146</v>
      </c>
      <c r="C83" s="3">
        <v>500000</v>
      </c>
      <c r="D83" s="3">
        <v>500000</v>
      </c>
      <c r="E83" s="7">
        <v>0</v>
      </c>
      <c r="F83" s="5">
        <v>45873</v>
      </c>
      <c r="G83" s="4">
        <v>20250801</v>
      </c>
      <c r="H83" s="6" t="s">
        <v>30</v>
      </c>
      <c r="I83" s="8"/>
      <c r="J83" s="6" t="s">
        <v>63</v>
      </c>
    </row>
    <row r="84" spans="1:10">
      <c r="A84" s="9">
        <v>345</v>
      </c>
      <c r="B84" s="9">
        <v>6254</v>
      </c>
      <c r="C84" s="3">
        <v>230000</v>
      </c>
      <c r="D84" s="3">
        <v>230000</v>
      </c>
      <c r="E84" s="7">
        <v>0</v>
      </c>
      <c r="F84" s="5">
        <v>45873</v>
      </c>
      <c r="G84" s="4">
        <v>20250803</v>
      </c>
      <c r="H84" s="6" t="s">
        <v>30</v>
      </c>
      <c r="I84" s="8" t="s">
        <v>9</v>
      </c>
      <c r="J84" s="6" t="s">
        <v>64</v>
      </c>
    </row>
    <row r="85" spans="1:10">
      <c r="A85" s="9">
        <v>499</v>
      </c>
      <c r="B85" s="9">
        <v>9808</v>
      </c>
      <c r="C85" s="3">
        <v>100000</v>
      </c>
      <c r="D85" s="3">
        <v>100000</v>
      </c>
      <c r="E85" s="7">
        <v>0</v>
      </c>
      <c r="F85" s="5">
        <v>45873</v>
      </c>
      <c r="G85" s="4">
        <v>20250803</v>
      </c>
      <c r="H85" s="6" t="s">
        <v>30</v>
      </c>
      <c r="I85" s="8" t="s">
        <v>9</v>
      </c>
      <c r="J85" s="6" t="s">
        <v>65</v>
      </c>
    </row>
    <row r="86" spans="1:10">
      <c r="A86" s="9">
        <v>631</v>
      </c>
      <c r="B86" s="9">
        <v>2615</v>
      </c>
      <c r="C86" s="3">
        <v>610000</v>
      </c>
      <c r="D86" s="3">
        <v>610000</v>
      </c>
      <c r="E86" s="7">
        <v>0</v>
      </c>
      <c r="F86" s="5">
        <v>45873</v>
      </c>
      <c r="G86" s="4">
        <v>20250803</v>
      </c>
      <c r="H86" s="6" t="s">
        <v>30</v>
      </c>
      <c r="I86" s="8" t="s">
        <v>9</v>
      </c>
      <c r="J86" s="6" t="s">
        <v>62</v>
      </c>
    </row>
    <row r="87" spans="1:10">
      <c r="A87" s="9">
        <v>842</v>
      </c>
      <c r="B87" s="9">
        <v>1645</v>
      </c>
      <c r="C87" s="3">
        <v>200000</v>
      </c>
      <c r="D87" s="3">
        <v>200000</v>
      </c>
      <c r="E87" s="7">
        <v>0</v>
      </c>
      <c r="F87" s="5">
        <v>45873</v>
      </c>
      <c r="G87" s="4">
        <v>20250803</v>
      </c>
      <c r="H87" s="6" t="s">
        <v>30</v>
      </c>
      <c r="I87" s="8" t="s">
        <v>9</v>
      </c>
      <c r="J87" s="6" t="s">
        <v>66</v>
      </c>
    </row>
    <row r="88" spans="1:10">
      <c r="A88" s="9">
        <v>96</v>
      </c>
      <c r="B88" s="9">
        <v>1035</v>
      </c>
      <c r="C88" s="3">
        <v>610000</v>
      </c>
      <c r="D88" s="3">
        <v>610000</v>
      </c>
      <c r="E88" s="7">
        <v>0</v>
      </c>
      <c r="F88" s="5">
        <v>45874</v>
      </c>
      <c r="G88" s="4">
        <v>20250804</v>
      </c>
      <c r="H88" s="6" t="s">
        <v>30</v>
      </c>
      <c r="I88" s="8" t="s">
        <v>9</v>
      </c>
      <c r="J88" s="6" t="s">
        <v>60</v>
      </c>
    </row>
    <row r="89" spans="1:10">
      <c r="A89" s="9">
        <v>312</v>
      </c>
      <c r="B89" s="9">
        <v>3122</v>
      </c>
      <c r="C89" s="3">
        <v>100000</v>
      </c>
      <c r="D89" s="3">
        <v>100000</v>
      </c>
      <c r="E89" s="7">
        <v>0</v>
      </c>
      <c r="F89" s="5">
        <v>45874</v>
      </c>
      <c r="G89" s="4">
        <v>20250804</v>
      </c>
      <c r="H89" s="6" t="s">
        <v>30</v>
      </c>
      <c r="I89" s="8" t="s">
        <v>9</v>
      </c>
      <c r="J89" s="6" t="s">
        <v>67</v>
      </c>
    </row>
    <row r="90" spans="1:10">
      <c r="A90" s="9">
        <v>502</v>
      </c>
      <c r="B90" s="9">
        <v>4626</v>
      </c>
      <c r="C90" s="3">
        <v>360000</v>
      </c>
      <c r="D90" s="3">
        <v>360000</v>
      </c>
      <c r="E90" s="7">
        <v>0</v>
      </c>
      <c r="F90" s="5">
        <v>45874</v>
      </c>
      <c r="G90" s="4">
        <v>20250804</v>
      </c>
      <c r="H90" s="6" t="s">
        <v>30</v>
      </c>
      <c r="I90" s="8" t="s">
        <v>9</v>
      </c>
      <c r="J90" s="6" t="s">
        <v>68</v>
      </c>
    </row>
    <row r="91" spans="1:10">
      <c r="A91" s="9">
        <v>799</v>
      </c>
      <c r="B91" s="9">
        <v>8184</v>
      </c>
      <c r="C91" s="3">
        <v>50000</v>
      </c>
      <c r="D91" s="3">
        <v>50000</v>
      </c>
      <c r="E91" s="7">
        <v>0</v>
      </c>
      <c r="F91" s="5">
        <v>45874</v>
      </c>
      <c r="G91" s="4">
        <v>20250804</v>
      </c>
      <c r="H91" s="6" t="s">
        <v>30</v>
      </c>
      <c r="I91" s="8" t="s">
        <v>9</v>
      </c>
      <c r="J91" s="6" t="s">
        <v>69</v>
      </c>
    </row>
    <row r="92" spans="1:10">
      <c r="A92" s="9">
        <v>951</v>
      </c>
      <c r="B92" s="9">
        <v>7816</v>
      </c>
      <c r="C92" s="3">
        <v>1850000</v>
      </c>
      <c r="D92" s="3">
        <v>1850000</v>
      </c>
      <c r="E92" s="7">
        <v>0</v>
      </c>
      <c r="F92" s="5">
        <v>45874</v>
      </c>
      <c r="G92" s="4">
        <v>20250804</v>
      </c>
      <c r="H92" s="6" t="s">
        <v>30</v>
      </c>
      <c r="I92" s="8" t="s">
        <v>9</v>
      </c>
      <c r="J92" s="6" t="s">
        <v>70</v>
      </c>
    </row>
    <row r="93" spans="1:10">
      <c r="A93" s="9">
        <v>481</v>
      </c>
      <c r="B93" s="9">
        <v>1010</v>
      </c>
      <c r="C93" s="3">
        <v>1080000</v>
      </c>
      <c r="D93" s="3">
        <v>1080000</v>
      </c>
      <c r="E93" s="7">
        <f t="shared" ref="E93:E97" si="8">+C93-D93</f>
        <v>0</v>
      </c>
      <c r="F93" s="5">
        <v>45877</v>
      </c>
      <c r="G93" s="4">
        <v>20250807</v>
      </c>
      <c r="H93" s="6" t="str">
        <f>VLOOKUP(B93,CAJEROS!B:D,3,0)</f>
        <v>Multifuncional</v>
      </c>
      <c r="I93" s="8" t="s">
        <v>9</v>
      </c>
      <c r="J93" s="6" t="str">
        <f>VLOOKUP(B93,CAJEROS!B:E,4,0)</f>
        <v>MF_SOLEDAD1</v>
      </c>
    </row>
    <row r="94" spans="1:10">
      <c r="A94" s="9">
        <v>795</v>
      </c>
      <c r="B94" s="9">
        <v>1028</v>
      </c>
      <c r="C94" s="3">
        <v>1460000</v>
      </c>
      <c r="D94" s="3">
        <v>1460000</v>
      </c>
      <c r="E94" s="7">
        <f t="shared" si="8"/>
        <v>0</v>
      </c>
      <c r="F94" s="5">
        <v>45877</v>
      </c>
      <c r="G94" s="4">
        <v>20250807</v>
      </c>
      <c r="H94" s="6" t="str">
        <f>VLOOKUP(B94,CAJEROS!B:D,3,0)</f>
        <v>Multifuncional</v>
      </c>
      <c r="I94" s="8" t="s">
        <v>9</v>
      </c>
      <c r="J94" s="6" t="str">
        <f>VLOOKUP(B94,CAJEROS!B:E,4,0)</f>
        <v>MFSUCANVER2</v>
      </c>
    </row>
    <row r="95" spans="1:10">
      <c r="A95" s="9">
        <v>907</v>
      </c>
      <c r="B95" s="9">
        <v>4830</v>
      </c>
      <c r="C95" s="3">
        <v>1500000</v>
      </c>
      <c r="D95" s="3">
        <v>1500000</v>
      </c>
      <c r="E95" s="7">
        <f t="shared" si="8"/>
        <v>0</v>
      </c>
      <c r="F95" s="5">
        <v>45877</v>
      </c>
      <c r="G95" s="4">
        <v>20250807</v>
      </c>
      <c r="H95" s="6" t="str">
        <f>VLOOKUP(B95,CAJEROS!B:D,3,0)</f>
        <v>Multifuncional</v>
      </c>
      <c r="I95" s="8" t="s">
        <v>9</v>
      </c>
      <c r="J95" s="6" t="str">
        <f>VLOOKUP(B95,CAJEROS!B:E,4,0)</f>
        <v>MF_FRONTER2</v>
      </c>
    </row>
    <row r="96" spans="1:10">
      <c r="A96" s="9">
        <v>77</v>
      </c>
      <c r="B96" s="9">
        <v>5204</v>
      </c>
      <c r="C96" s="3">
        <v>1040000</v>
      </c>
      <c r="D96" s="3">
        <v>1040000</v>
      </c>
      <c r="E96" s="7">
        <f t="shared" si="8"/>
        <v>0</v>
      </c>
      <c r="F96" s="5">
        <v>45877</v>
      </c>
      <c r="G96" s="4">
        <v>20250807</v>
      </c>
      <c r="H96" s="6" t="str">
        <f>VLOOKUP(B96,CAJEROS!B:D,3,0)</f>
        <v>Multifuncional</v>
      </c>
      <c r="I96" s="8" t="s">
        <v>9</v>
      </c>
      <c r="J96" s="6" t="str">
        <f>VLOOKUP(B96,CAJEROS!B:E,4,0)</f>
        <v>MF_TEQENDMA</v>
      </c>
    </row>
    <row r="97" spans="1:10">
      <c r="A97" s="9">
        <v>20</v>
      </c>
      <c r="B97" s="9">
        <v>8927</v>
      </c>
      <c r="C97" s="3">
        <v>1982400</v>
      </c>
      <c r="D97" s="3">
        <v>1982400</v>
      </c>
      <c r="E97" s="7">
        <f t="shared" si="8"/>
        <v>0</v>
      </c>
      <c r="F97" s="5">
        <v>45877</v>
      </c>
      <c r="G97" s="4">
        <v>20250807</v>
      </c>
      <c r="H97" s="6" t="str">
        <f>VLOOKUP(B97,CAJEROS!B:D,3,0)</f>
        <v>Multifuncional</v>
      </c>
      <c r="I97" s="8" t="s">
        <v>9</v>
      </c>
      <c r="J97" s="6" t="str">
        <f>VLOOKUP(B97,CAJEROS!B:E,4,0)</f>
        <v>MFSUCBUCMG2</v>
      </c>
    </row>
    <row r="98" spans="1:10">
      <c r="A98" s="9">
        <v>7</v>
      </c>
      <c r="B98" s="9">
        <v>7812</v>
      </c>
      <c r="C98" s="3">
        <v>825000</v>
      </c>
      <c r="D98" s="3">
        <v>825000</v>
      </c>
      <c r="E98" s="7">
        <f t="shared" ref="E98:E100" si="9">+C98-D98</f>
        <v>0</v>
      </c>
      <c r="F98" s="5">
        <v>45875</v>
      </c>
      <c r="G98" s="4">
        <v>20250805</v>
      </c>
      <c r="H98" s="6" t="str">
        <f>VLOOKUP(B98,CAJEROS!B:D,3,0)</f>
        <v>Multifuncional</v>
      </c>
      <c r="I98" s="8" t="s">
        <v>9</v>
      </c>
      <c r="J98" s="6" t="str">
        <f>VLOOKUP(B98,CAJEROS!B:E,4,0)</f>
        <v>MF_LOSMOLI3</v>
      </c>
    </row>
    <row r="99" spans="1:10">
      <c r="A99" s="9">
        <v>609</v>
      </c>
      <c r="B99" s="9">
        <v>7875</v>
      </c>
      <c r="C99" s="3">
        <v>230000</v>
      </c>
      <c r="D99" s="3">
        <v>230000</v>
      </c>
      <c r="E99" s="7">
        <f t="shared" si="9"/>
        <v>0</v>
      </c>
      <c r="F99" s="5">
        <v>45873</v>
      </c>
      <c r="G99" s="4">
        <v>20250803</v>
      </c>
      <c r="H99" s="6" t="str">
        <f>VLOOKUP(B99,CAJEROS!B:D,3,0)</f>
        <v>Multifuncional</v>
      </c>
      <c r="I99" s="8" t="s">
        <v>9</v>
      </c>
      <c r="J99" s="6" t="str">
        <f>VLOOKUP(B99,CAJEROS!B:E,4,0)</f>
        <v>MFSUCABAST1</v>
      </c>
    </row>
    <row r="100" spans="1:10">
      <c r="A100" s="9">
        <v>769</v>
      </c>
      <c r="B100" s="9">
        <v>8679</v>
      </c>
      <c r="C100" s="3">
        <v>840000</v>
      </c>
      <c r="D100" s="3">
        <v>840000</v>
      </c>
      <c r="E100" s="7">
        <f t="shared" si="9"/>
        <v>0</v>
      </c>
      <c r="F100" s="5">
        <v>45875</v>
      </c>
      <c r="G100" s="4">
        <v>20250805</v>
      </c>
      <c r="H100" s="6" t="str">
        <f>VLOOKUP(B100,CAJEROS!B:D,3,0)</f>
        <v>Multifuncional</v>
      </c>
      <c r="I100" s="8" t="s">
        <v>9</v>
      </c>
      <c r="J100" s="6" t="str">
        <f>VLOOKUP(B100,CAJEROS!B:E,4,0)</f>
        <v>MF_SUCPPRA1</v>
      </c>
    </row>
    <row r="101" spans="1:10">
      <c r="A101" s="9">
        <v>229</v>
      </c>
      <c r="B101" s="9">
        <v>8957</v>
      </c>
      <c r="C101" s="3">
        <v>200000</v>
      </c>
      <c r="D101" s="3">
        <v>200000</v>
      </c>
      <c r="E101" s="7">
        <v>0</v>
      </c>
      <c r="F101" s="5">
        <v>45870</v>
      </c>
      <c r="G101" s="4">
        <v>20250731</v>
      </c>
      <c r="H101" s="6" t="s">
        <v>30</v>
      </c>
      <c r="I101" s="8" t="s">
        <v>9</v>
      </c>
      <c r="J101" s="6" t="s">
        <v>71</v>
      </c>
    </row>
    <row r="102" spans="1:10">
      <c r="A102" s="9">
        <v>229</v>
      </c>
      <c r="B102" s="9">
        <v>8957</v>
      </c>
      <c r="C102" s="3">
        <v>260000</v>
      </c>
      <c r="D102" s="3">
        <v>260000</v>
      </c>
      <c r="E102" s="7">
        <v>0</v>
      </c>
      <c r="F102" s="5">
        <v>45873</v>
      </c>
      <c r="G102" s="4">
        <v>20250803</v>
      </c>
      <c r="H102" s="6" t="s">
        <v>30</v>
      </c>
      <c r="I102" s="8" t="s">
        <v>9</v>
      </c>
      <c r="J102" s="6" t="s">
        <v>71</v>
      </c>
    </row>
    <row r="103" spans="1:10">
      <c r="A103" s="9">
        <v>848</v>
      </c>
      <c r="B103" s="9">
        <v>4739</v>
      </c>
      <c r="C103" s="3">
        <v>200000</v>
      </c>
      <c r="D103" s="3">
        <v>200000</v>
      </c>
      <c r="E103" s="7">
        <v>0</v>
      </c>
      <c r="F103" s="5">
        <v>45873</v>
      </c>
      <c r="G103" s="4">
        <v>20250803</v>
      </c>
      <c r="H103" s="6" t="s">
        <v>30</v>
      </c>
      <c r="I103" s="8" t="s">
        <v>9</v>
      </c>
      <c r="J103" s="6" t="s">
        <v>72</v>
      </c>
    </row>
    <row r="104" spans="1:10">
      <c r="A104" s="9">
        <v>492</v>
      </c>
      <c r="B104" s="9">
        <v>6238</v>
      </c>
      <c r="C104" s="3">
        <v>170000</v>
      </c>
      <c r="D104" s="3">
        <v>170000</v>
      </c>
      <c r="E104" s="7">
        <v>0</v>
      </c>
      <c r="F104" s="5">
        <v>45874</v>
      </c>
      <c r="G104" s="4">
        <v>20250804</v>
      </c>
      <c r="H104" s="6" t="s">
        <v>30</v>
      </c>
      <c r="I104" s="8" t="s">
        <v>9</v>
      </c>
      <c r="J104" s="6" t="s">
        <v>73</v>
      </c>
    </row>
    <row r="105" spans="1:10">
      <c r="A105" s="9">
        <v>4</v>
      </c>
      <c r="B105" s="9">
        <v>8629</v>
      </c>
      <c r="C105" s="3">
        <v>400000</v>
      </c>
      <c r="D105" s="3">
        <v>400000</v>
      </c>
      <c r="E105" s="7">
        <v>0</v>
      </c>
      <c r="F105" s="5">
        <v>45877</v>
      </c>
      <c r="G105" s="4">
        <v>20250806</v>
      </c>
      <c r="H105" s="6" t="s">
        <v>30</v>
      </c>
      <c r="I105" s="8"/>
      <c r="J105" s="6" t="s">
        <v>74</v>
      </c>
    </row>
    <row r="106" spans="1:10">
      <c r="A106" s="9">
        <v>237</v>
      </c>
      <c r="B106" s="9">
        <v>270</v>
      </c>
      <c r="C106" s="3">
        <v>110000</v>
      </c>
      <c r="D106" s="3">
        <v>110000</v>
      </c>
      <c r="E106" s="7">
        <v>0</v>
      </c>
      <c r="F106" s="5">
        <v>45877</v>
      </c>
      <c r="G106" s="4">
        <v>20250806</v>
      </c>
      <c r="H106" s="6" t="s">
        <v>30</v>
      </c>
      <c r="I106" s="8"/>
      <c r="J106" s="6" t="s">
        <v>75</v>
      </c>
    </row>
    <row r="107" spans="1:10">
      <c r="A107" s="9">
        <v>372</v>
      </c>
      <c r="B107" s="9">
        <v>7917</v>
      </c>
      <c r="C107" s="3">
        <v>100000</v>
      </c>
      <c r="D107" s="3">
        <v>100000</v>
      </c>
      <c r="E107" s="7">
        <v>0</v>
      </c>
      <c r="F107" s="5">
        <v>45877</v>
      </c>
      <c r="G107" s="4">
        <v>20250807</v>
      </c>
      <c r="H107" s="6" t="s">
        <v>30</v>
      </c>
      <c r="I107" s="8" t="s">
        <v>9</v>
      </c>
      <c r="J107" s="6" t="s">
        <v>46</v>
      </c>
    </row>
    <row r="108" spans="1:10">
      <c r="A108" s="9">
        <v>601</v>
      </c>
      <c r="B108" s="9">
        <v>6425</v>
      </c>
      <c r="C108" s="3">
        <v>3650000</v>
      </c>
      <c r="D108" s="3">
        <v>3650000</v>
      </c>
      <c r="E108" s="7">
        <v>0</v>
      </c>
      <c r="F108" s="5">
        <v>45877</v>
      </c>
      <c r="G108" s="4">
        <v>20250807</v>
      </c>
      <c r="H108" s="6" t="s">
        <v>30</v>
      </c>
      <c r="I108" s="8" t="s">
        <v>9</v>
      </c>
      <c r="J108" s="6" t="s">
        <v>76</v>
      </c>
    </row>
    <row r="109" spans="1:10">
      <c r="A109" s="9">
        <v>333</v>
      </c>
      <c r="B109" s="9">
        <v>5076</v>
      </c>
      <c r="C109" s="3">
        <v>1645000</v>
      </c>
      <c r="D109" s="3">
        <v>1645000</v>
      </c>
      <c r="E109" s="7">
        <f t="shared" ref="E109:E117" si="10">+C109-D109</f>
        <v>0</v>
      </c>
      <c r="F109" s="5">
        <v>45880</v>
      </c>
      <c r="G109" s="4">
        <v>20250810</v>
      </c>
      <c r="H109" s="6" t="str">
        <f>VLOOKUP(B109,CAJEROS!B:D,3,0)</f>
        <v>Multifuncional</v>
      </c>
      <c r="I109" s="8" t="s">
        <v>9</v>
      </c>
      <c r="J109" s="6" t="str">
        <f>VLOOKUP(B109,CAJEROS!B:E,4,0)</f>
        <v>MF_AVESMARI</v>
      </c>
    </row>
    <row r="110" spans="1:10">
      <c r="A110" s="9">
        <v>79</v>
      </c>
      <c r="B110" s="9">
        <v>6245</v>
      </c>
      <c r="C110" s="3">
        <v>920000</v>
      </c>
      <c r="D110" s="3">
        <v>920000</v>
      </c>
      <c r="E110" s="7">
        <f t="shared" si="10"/>
        <v>0</v>
      </c>
      <c r="F110" s="5">
        <v>45874</v>
      </c>
      <c r="G110" s="4">
        <v>20250804</v>
      </c>
      <c r="H110" s="6" t="str">
        <f>VLOOKUP(B110,CAJEROS!B:D,3,0)</f>
        <v>Multifuncional</v>
      </c>
      <c r="I110" s="8"/>
      <c r="J110" s="6" t="str">
        <f>VLOOKUP(B110,CAJEROS!B:E,4,0)</f>
        <v>MF_LAQUINTA</v>
      </c>
    </row>
    <row r="111" spans="1:10">
      <c r="A111" s="9">
        <v>237</v>
      </c>
      <c r="B111" s="9">
        <v>6467</v>
      </c>
      <c r="C111" s="3">
        <v>1000000</v>
      </c>
      <c r="D111" s="3">
        <v>1000000</v>
      </c>
      <c r="E111" s="7">
        <f t="shared" si="10"/>
        <v>0</v>
      </c>
      <c r="F111" s="5">
        <v>45880</v>
      </c>
      <c r="G111" s="4">
        <v>20250810</v>
      </c>
      <c r="H111" s="6" t="str">
        <f>VLOOKUP(B111,CAJEROS!B:D,3,0)</f>
        <v>Multifuncional</v>
      </c>
      <c r="I111" s="8" t="s">
        <v>9</v>
      </c>
      <c r="J111" s="6" t="str">
        <f>VLOOKUP(B111,CAJEROS!B:E,4,0)</f>
        <v>MF_DORADOPL</v>
      </c>
    </row>
    <row r="112" spans="1:10">
      <c r="A112" s="9">
        <v>915</v>
      </c>
      <c r="B112" s="9">
        <v>8314</v>
      </c>
      <c r="C112" s="3">
        <v>200000</v>
      </c>
      <c r="D112" s="3">
        <v>200000</v>
      </c>
      <c r="E112" s="7">
        <f t="shared" si="10"/>
        <v>0</v>
      </c>
      <c r="F112" s="5">
        <v>45880</v>
      </c>
      <c r="G112" s="4">
        <v>20250810</v>
      </c>
      <c r="H112" s="6" t="str">
        <f>VLOOKUP(B112,CAJEROS!B:D,3,0)</f>
        <v>Multifuncional</v>
      </c>
      <c r="I112" s="8" t="s">
        <v>9</v>
      </c>
      <c r="J112" s="6" t="str">
        <f>VLOOKUP(B112,CAJEROS!B:E,4,0)</f>
        <v>MF_BANLABB2</v>
      </c>
    </row>
    <row r="113" spans="1:10">
      <c r="A113" s="9">
        <v>4</v>
      </c>
      <c r="B113" s="9">
        <v>8631</v>
      </c>
      <c r="C113" s="3">
        <v>2214000</v>
      </c>
      <c r="D113" s="3">
        <v>2214000</v>
      </c>
      <c r="E113" s="7">
        <f t="shared" si="10"/>
        <v>0</v>
      </c>
      <c r="F113" s="5">
        <v>45880</v>
      </c>
      <c r="G113" s="4">
        <v>20250810</v>
      </c>
      <c r="H113" s="6" t="str">
        <f>VLOOKUP(B113,CAJEROS!B:D,3,0)</f>
        <v>Multifuncional</v>
      </c>
      <c r="I113" s="8" t="s">
        <v>9</v>
      </c>
      <c r="J113" s="6" t="str">
        <f>VLOOKUP(B113,CAJEROS!B:E,4,0)</f>
        <v>MF_SUCLAUR2</v>
      </c>
    </row>
    <row r="114" spans="1:10">
      <c r="A114" s="9">
        <v>743</v>
      </c>
      <c r="B114" s="9">
        <v>5106</v>
      </c>
      <c r="C114" s="3">
        <v>639700</v>
      </c>
      <c r="D114" s="3">
        <v>639700</v>
      </c>
      <c r="E114" s="7">
        <f t="shared" si="10"/>
        <v>0</v>
      </c>
      <c r="F114" s="5">
        <v>45875</v>
      </c>
      <c r="G114" s="4">
        <v>20250805</v>
      </c>
      <c r="H114" s="6" t="str">
        <f>VLOOKUP(B114,CAJEROS!B:D,3,0)</f>
        <v>Multifuncional</v>
      </c>
      <c r="I114" s="8" t="s">
        <v>9</v>
      </c>
      <c r="J114" s="6" t="str">
        <f>VLOOKUP(B114,CAJEROS!B:E,4,0)</f>
        <v>MF_NORTHPOI</v>
      </c>
    </row>
    <row r="115" spans="1:10">
      <c r="A115" s="9">
        <v>674</v>
      </c>
      <c r="B115" s="9">
        <v>5200</v>
      </c>
      <c r="C115" s="3">
        <v>630000</v>
      </c>
      <c r="D115" s="3">
        <v>630000</v>
      </c>
      <c r="E115" s="7">
        <f t="shared" si="10"/>
        <v>0</v>
      </c>
      <c r="F115" s="5">
        <v>45870</v>
      </c>
      <c r="G115" s="4">
        <v>20250731</v>
      </c>
      <c r="H115" s="6" t="str">
        <f>VLOOKUP(B115,CAJEROS!B:D,3,0)</f>
        <v>Multifuncional</v>
      </c>
      <c r="I115" s="8" t="s">
        <v>9</v>
      </c>
      <c r="J115" s="6" t="str">
        <f>VLOOKUP(B115,CAJEROS!B:E,4,0)</f>
        <v>MF_AV68FLOR</v>
      </c>
    </row>
    <row r="116" spans="1:10">
      <c r="A116" s="9">
        <v>634</v>
      </c>
      <c r="B116" s="9">
        <v>5087</v>
      </c>
      <c r="C116" s="3">
        <v>1005000</v>
      </c>
      <c r="D116" s="3">
        <v>1005000</v>
      </c>
      <c r="E116" s="7">
        <f t="shared" si="10"/>
        <v>0</v>
      </c>
      <c r="F116" s="5">
        <v>45877</v>
      </c>
      <c r="G116" s="4">
        <v>20250807</v>
      </c>
      <c r="H116" s="6" t="str">
        <f>VLOOKUP(B116,CAJEROS!B:D,3,0)</f>
        <v>Multifuncional</v>
      </c>
      <c r="I116" s="8" t="s">
        <v>9</v>
      </c>
      <c r="J116" s="6" t="str">
        <f>VLOOKUP(B116,CAJEROS!B:E,4,0)</f>
        <v>MF_AVENI127</v>
      </c>
    </row>
    <row r="117" spans="1:10">
      <c r="A117" s="9">
        <v>68</v>
      </c>
      <c r="B117" s="9">
        <v>5135</v>
      </c>
      <c r="C117" s="3">
        <v>430000</v>
      </c>
      <c r="D117" s="3">
        <v>430000</v>
      </c>
      <c r="E117" s="7">
        <f t="shared" si="10"/>
        <v>0</v>
      </c>
      <c r="F117" s="5">
        <v>45873</v>
      </c>
      <c r="G117" s="4">
        <v>20250803</v>
      </c>
      <c r="H117" s="6" t="str">
        <f>VLOOKUP(B117,CAJEROS!B:D,3,0)</f>
        <v>Multifuncional</v>
      </c>
      <c r="I117" s="8" t="s">
        <v>9</v>
      </c>
      <c r="J117" s="6" t="str">
        <f>VLOOKUP(B117,CAJEROS!B:E,4,0)</f>
        <v>MF_IBAGUE</v>
      </c>
    </row>
    <row r="118" spans="1:10">
      <c r="A118" s="9">
        <v>690</v>
      </c>
      <c r="B118" s="9">
        <v>6180</v>
      </c>
      <c r="C118" s="3">
        <v>1270000</v>
      </c>
      <c r="D118" s="3">
        <v>1270000</v>
      </c>
      <c r="E118" s="7">
        <v>0</v>
      </c>
      <c r="F118" s="5">
        <v>45870</v>
      </c>
      <c r="G118" s="4">
        <v>20250731</v>
      </c>
      <c r="H118" s="6" t="s">
        <v>24</v>
      </c>
      <c r="I118" s="8" t="s">
        <v>9</v>
      </c>
      <c r="J118" s="6" t="s">
        <v>77</v>
      </c>
    </row>
    <row r="119" spans="1:10">
      <c r="A119" s="9">
        <v>690</v>
      </c>
      <c r="B119" s="9">
        <v>6180</v>
      </c>
      <c r="C119" s="3">
        <v>1080000</v>
      </c>
      <c r="D119" s="3">
        <v>1080000</v>
      </c>
      <c r="E119" s="7">
        <v>0</v>
      </c>
      <c r="F119" s="5">
        <v>45873</v>
      </c>
      <c r="G119" s="4">
        <v>20250803</v>
      </c>
      <c r="H119" s="6" t="s">
        <v>24</v>
      </c>
      <c r="I119" s="8" t="s">
        <v>9</v>
      </c>
      <c r="J119" s="6" t="s">
        <v>77</v>
      </c>
    </row>
    <row r="120" spans="1:10">
      <c r="A120" s="9">
        <v>554</v>
      </c>
      <c r="B120" s="9">
        <v>8294</v>
      </c>
      <c r="C120" s="3">
        <v>2090000</v>
      </c>
      <c r="D120" s="3">
        <v>2090000</v>
      </c>
      <c r="E120" s="7">
        <v>0</v>
      </c>
      <c r="F120" s="5">
        <v>45875</v>
      </c>
      <c r="G120" s="4">
        <v>20250805</v>
      </c>
      <c r="H120" s="6" t="s">
        <v>24</v>
      </c>
      <c r="I120" s="8" t="s">
        <v>9</v>
      </c>
      <c r="J120" s="6" t="s">
        <v>78</v>
      </c>
    </row>
    <row r="121" spans="1:10">
      <c r="A121" s="9">
        <v>554</v>
      </c>
      <c r="B121" s="9">
        <v>8294</v>
      </c>
      <c r="C121" s="3">
        <v>210000</v>
      </c>
      <c r="D121" s="3">
        <v>210000</v>
      </c>
      <c r="E121" s="7">
        <v>0</v>
      </c>
      <c r="F121" s="5">
        <v>45877</v>
      </c>
      <c r="G121" s="4">
        <v>20250807</v>
      </c>
      <c r="H121" s="6" t="s">
        <v>24</v>
      </c>
      <c r="I121" s="8" t="s">
        <v>9</v>
      </c>
      <c r="J121" s="6" t="s">
        <v>78</v>
      </c>
    </row>
    <row r="122" spans="1:10">
      <c r="A122" s="9">
        <v>383</v>
      </c>
      <c r="B122" s="9">
        <v>5194</v>
      </c>
      <c r="C122" s="3">
        <v>770000</v>
      </c>
      <c r="D122" s="3">
        <v>770000</v>
      </c>
      <c r="E122" s="7">
        <f t="shared" ref="E122" si="11">+C122-D122</f>
        <v>0</v>
      </c>
      <c r="F122" s="5">
        <v>45880</v>
      </c>
      <c r="G122" s="4">
        <v>20250810</v>
      </c>
      <c r="H122" s="6" t="str">
        <f>VLOOKUP(B122,CAJEROS!B:D,3,0)</f>
        <v>Multifuncional</v>
      </c>
      <c r="I122" s="8" t="s">
        <v>9</v>
      </c>
      <c r="J122" s="6" t="str">
        <f>VLOOKUP(B122,CAJEROS!B:E,4,0)</f>
        <v>MF_MADRID</v>
      </c>
    </row>
    <row r="123" spans="1:10">
      <c r="A123" s="9">
        <v>705</v>
      </c>
      <c r="B123" s="9">
        <v>4151</v>
      </c>
      <c r="C123" s="3">
        <v>170000</v>
      </c>
      <c r="D123" s="3">
        <v>170000</v>
      </c>
      <c r="E123" s="7">
        <v>0</v>
      </c>
      <c r="F123" s="5">
        <v>45873</v>
      </c>
      <c r="G123" s="4">
        <v>20250803</v>
      </c>
      <c r="H123" s="6" t="s">
        <v>30</v>
      </c>
      <c r="I123" s="8" t="s">
        <v>9</v>
      </c>
      <c r="J123" s="6" t="s">
        <v>79</v>
      </c>
    </row>
    <row r="124" spans="1:10">
      <c r="A124" s="9">
        <v>864</v>
      </c>
      <c r="B124" s="9">
        <v>5795</v>
      </c>
      <c r="C124" s="3">
        <v>2300000</v>
      </c>
      <c r="D124" s="3">
        <v>2300000</v>
      </c>
      <c r="E124" s="7">
        <v>0</v>
      </c>
      <c r="F124" s="5">
        <v>45873</v>
      </c>
      <c r="G124" s="4">
        <v>20250803</v>
      </c>
      <c r="H124" s="6" t="s">
        <v>30</v>
      </c>
      <c r="I124" s="8" t="s">
        <v>9</v>
      </c>
      <c r="J124" s="6" t="s">
        <v>80</v>
      </c>
    </row>
    <row r="125" spans="1:10">
      <c r="A125" s="9">
        <v>864</v>
      </c>
      <c r="B125" s="9">
        <v>5795</v>
      </c>
      <c r="C125" s="3">
        <v>100000</v>
      </c>
      <c r="D125" s="3">
        <v>100000</v>
      </c>
      <c r="E125" s="7">
        <v>0</v>
      </c>
      <c r="F125" s="5">
        <v>45874</v>
      </c>
      <c r="G125" s="4">
        <v>20250804</v>
      </c>
      <c r="H125" s="6" t="s">
        <v>30</v>
      </c>
      <c r="I125" s="8" t="s">
        <v>9</v>
      </c>
      <c r="J125" s="6" t="s">
        <v>80</v>
      </c>
    </row>
    <row r="126" spans="1:10">
      <c r="A126" s="9">
        <v>951</v>
      </c>
      <c r="B126" s="9">
        <v>7776</v>
      </c>
      <c r="C126" s="3">
        <v>100000</v>
      </c>
      <c r="D126" s="3">
        <v>100000</v>
      </c>
      <c r="E126" s="7">
        <v>0</v>
      </c>
      <c r="F126" s="5">
        <v>45875</v>
      </c>
      <c r="G126" s="4">
        <v>20250805</v>
      </c>
      <c r="H126" s="6" t="s">
        <v>30</v>
      </c>
      <c r="I126" s="8"/>
      <c r="J126" s="6" t="s">
        <v>81</v>
      </c>
    </row>
    <row r="127" spans="1:10">
      <c r="A127" s="9">
        <v>716</v>
      </c>
      <c r="B127" s="9">
        <v>4597</v>
      </c>
      <c r="C127" s="3">
        <v>2790000</v>
      </c>
      <c r="D127" s="3">
        <v>2790000</v>
      </c>
      <c r="E127" s="7">
        <v>0</v>
      </c>
      <c r="F127" s="5">
        <v>45877</v>
      </c>
      <c r="G127" s="4">
        <v>20250806</v>
      </c>
      <c r="H127" s="6" t="s">
        <v>30</v>
      </c>
      <c r="I127" s="8"/>
      <c r="J127" s="6" t="s">
        <v>82</v>
      </c>
    </row>
    <row r="128" spans="1:10">
      <c r="A128" s="9">
        <v>706</v>
      </c>
      <c r="B128" s="9">
        <v>4147</v>
      </c>
      <c r="C128" s="3">
        <v>250000</v>
      </c>
      <c r="D128" s="3">
        <v>250000</v>
      </c>
      <c r="E128" s="7">
        <v>0</v>
      </c>
      <c r="F128" s="5">
        <v>45877</v>
      </c>
      <c r="G128" s="4">
        <v>20250807</v>
      </c>
      <c r="H128" s="6" t="s">
        <v>30</v>
      </c>
      <c r="I128" s="8" t="s">
        <v>9</v>
      </c>
      <c r="J128" s="6" t="s">
        <v>44</v>
      </c>
    </row>
    <row r="129" spans="1:10">
      <c r="A129" s="9">
        <v>816</v>
      </c>
      <c r="B129" s="9">
        <v>4113</v>
      </c>
      <c r="C129" s="3">
        <v>250000</v>
      </c>
      <c r="D129" s="3">
        <v>250000</v>
      </c>
      <c r="E129" s="7">
        <v>0</v>
      </c>
      <c r="F129" s="5">
        <v>45877</v>
      </c>
      <c r="G129" s="4">
        <v>20250807</v>
      </c>
      <c r="H129" s="6" t="s">
        <v>30</v>
      </c>
      <c r="I129" s="8" t="s">
        <v>9</v>
      </c>
      <c r="J129" s="6" t="s">
        <v>83</v>
      </c>
    </row>
    <row r="130" spans="1:10">
      <c r="A130" s="9">
        <v>864</v>
      </c>
      <c r="B130" s="9">
        <v>5795</v>
      </c>
      <c r="C130" s="3">
        <v>300000</v>
      </c>
      <c r="D130" s="3">
        <v>300000</v>
      </c>
      <c r="E130" s="7">
        <v>0</v>
      </c>
      <c r="F130" s="5">
        <v>45877</v>
      </c>
      <c r="G130" s="4">
        <v>20250807</v>
      </c>
      <c r="H130" s="6" t="s">
        <v>30</v>
      </c>
      <c r="I130" s="8" t="s">
        <v>9</v>
      </c>
      <c r="J130" s="6" t="s">
        <v>80</v>
      </c>
    </row>
    <row r="131" spans="1:10">
      <c r="A131" s="9">
        <v>38</v>
      </c>
      <c r="B131" s="9">
        <v>6554</v>
      </c>
      <c r="C131" s="3">
        <v>200000</v>
      </c>
      <c r="D131" s="3">
        <v>200000</v>
      </c>
      <c r="E131" s="7">
        <v>0</v>
      </c>
      <c r="F131" s="5">
        <v>45880</v>
      </c>
      <c r="G131" s="4">
        <v>20250810</v>
      </c>
      <c r="H131" s="6" t="s">
        <v>30</v>
      </c>
      <c r="I131" s="8" t="s">
        <v>9</v>
      </c>
      <c r="J131" s="6" t="s">
        <v>84</v>
      </c>
    </row>
    <row r="132" spans="1:10">
      <c r="A132" s="9">
        <v>115</v>
      </c>
      <c r="B132" s="9">
        <v>4758</v>
      </c>
      <c r="C132" s="3">
        <v>1000000</v>
      </c>
      <c r="D132" s="3">
        <v>1000000</v>
      </c>
      <c r="E132" s="7">
        <v>0</v>
      </c>
      <c r="F132" s="5">
        <v>45880</v>
      </c>
      <c r="G132" s="4">
        <v>20250810</v>
      </c>
      <c r="H132" s="6" t="s">
        <v>30</v>
      </c>
      <c r="I132" s="8" t="s">
        <v>9</v>
      </c>
      <c r="J132" s="6" t="s">
        <v>85</v>
      </c>
    </row>
    <row r="133" spans="1:10">
      <c r="A133" s="9">
        <v>367</v>
      </c>
      <c r="B133" s="9">
        <v>6261</v>
      </c>
      <c r="C133" s="3">
        <v>100000</v>
      </c>
      <c r="D133" s="3">
        <v>100000</v>
      </c>
      <c r="E133" s="7">
        <v>0</v>
      </c>
      <c r="F133" s="5">
        <v>45880</v>
      </c>
      <c r="G133" s="4">
        <v>20250810</v>
      </c>
      <c r="H133" s="6" t="s">
        <v>30</v>
      </c>
      <c r="I133" s="8" t="s">
        <v>9</v>
      </c>
      <c r="J133" s="6" t="s">
        <v>86</v>
      </c>
    </row>
    <row r="134" spans="1:10">
      <c r="A134" s="9">
        <v>481</v>
      </c>
      <c r="B134" s="9">
        <v>1010</v>
      </c>
      <c r="C134" s="3">
        <v>1010000</v>
      </c>
      <c r="D134" s="3">
        <v>1010000</v>
      </c>
      <c r="E134" s="7">
        <f t="shared" ref="E134" si="12">+C134-D134</f>
        <v>0</v>
      </c>
      <c r="F134" s="5">
        <v>45881</v>
      </c>
      <c r="G134" s="4">
        <v>20250811</v>
      </c>
      <c r="H134" s="6" t="str">
        <f>VLOOKUP(B134,CAJEROS!B:D,3,0)</f>
        <v>Multifuncional</v>
      </c>
      <c r="I134" s="8" t="s">
        <v>9</v>
      </c>
      <c r="J134" s="6" t="str">
        <f>VLOOKUP(B134,CAJEROS!B:E,4,0)</f>
        <v>MF_SOLEDAD1</v>
      </c>
    </row>
    <row r="135" spans="1:10">
      <c r="A135" s="9">
        <v>745</v>
      </c>
      <c r="B135" s="9">
        <v>1477</v>
      </c>
      <c r="C135" s="3">
        <v>1146000</v>
      </c>
      <c r="D135" s="3">
        <v>1146000</v>
      </c>
      <c r="E135" s="7">
        <v>0</v>
      </c>
      <c r="F135" s="5">
        <v>45880</v>
      </c>
      <c r="G135" s="4">
        <v>20250810</v>
      </c>
      <c r="H135" s="6" t="s">
        <v>24</v>
      </c>
      <c r="I135" s="8" t="s">
        <v>9</v>
      </c>
      <c r="J135" s="6" t="s">
        <v>87</v>
      </c>
    </row>
    <row r="136" spans="1:10">
      <c r="A136" s="9">
        <v>745</v>
      </c>
      <c r="B136" s="9">
        <v>1477</v>
      </c>
      <c r="C136" s="3">
        <v>2860000</v>
      </c>
      <c r="D136" s="3">
        <v>2860000</v>
      </c>
      <c r="E136" s="7">
        <v>0</v>
      </c>
      <c r="F136" s="5">
        <v>45881</v>
      </c>
      <c r="G136" s="4">
        <v>20250811</v>
      </c>
      <c r="H136" s="6" t="s">
        <v>24</v>
      </c>
      <c r="I136" s="8" t="s">
        <v>9</v>
      </c>
      <c r="J136" s="6" t="s">
        <v>87</v>
      </c>
    </row>
    <row r="137" spans="1:10">
      <c r="A137" s="9">
        <v>438</v>
      </c>
      <c r="B137" s="9">
        <v>1565</v>
      </c>
      <c r="C137" s="3">
        <v>2020000</v>
      </c>
      <c r="D137" s="3">
        <v>2020000</v>
      </c>
      <c r="E137" s="7">
        <v>0</v>
      </c>
      <c r="F137" s="5">
        <v>45880</v>
      </c>
      <c r="G137" s="4">
        <v>20250810</v>
      </c>
      <c r="H137" s="6" t="s">
        <v>24</v>
      </c>
      <c r="I137" s="8" t="s">
        <v>9</v>
      </c>
      <c r="J137" s="6" t="s">
        <v>42</v>
      </c>
    </row>
    <row r="138" spans="1:10">
      <c r="A138" s="9">
        <v>438</v>
      </c>
      <c r="B138" s="9">
        <v>1565</v>
      </c>
      <c r="C138" s="3">
        <v>2640000</v>
      </c>
      <c r="D138" s="3">
        <v>2640000</v>
      </c>
      <c r="E138" s="7">
        <v>0</v>
      </c>
      <c r="F138" s="5">
        <v>45881</v>
      </c>
      <c r="G138" s="4">
        <v>20250811</v>
      </c>
      <c r="H138" s="6" t="s">
        <v>24</v>
      </c>
      <c r="I138" s="8" t="s">
        <v>9</v>
      </c>
      <c r="J138" s="6" t="s">
        <v>42</v>
      </c>
    </row>
    <row r="139" spans="1:10">
      <c r="A139" s="9">
        <v>361</v>
      </c>
      <c r="B139" s="9">
        <v>5005</v>
      </c>
      <c r="C139" s="3">
        <v>650000</v>
      </c>
      <c r="D139" s="3">
        <v>650000</v>
      </c>
      <c r="E139" s="7">
        <f t="shared" ref="E139:E141" si="13">+C139-D139</f>
        <v>0</v>
      </c>
      <c r="F139" s="5">
        <v>45881</v>
      </c>
      <c r="G139" s="4">
        <v>20250811</v>
      </c>
      <c r="H139" s="6" t="str">
        <f>VLOOKUP(B139,CAJEROS!B:D,3,0)</f>
        <v>Multifuncional</v>
      </c>
      <c r="I139" s="8" t="s">
        <v>9</v>
      </c>
      <c r="J139" s="6" t="str">
        <f>VLOOKUP(B139,CAJEROS!B:E,4,0)</f>
        <v>MF_CDPFONTI</v>
      </c>
    </row>
    <row r="140" spans="1:10">
      <c r="A140" s="9">
        <v>825</v>
      </c>
      <c r="B140" s="9">
        <v>5023</v>
      </c>
      <c r="C140" s="3">
        <v>1454100</v>
      </c>
      <c r="D140" s="3">
        <v>1454100</v>
      </c>
      <c r="E140" s="7">
        <f t="shared" si="13"/>
        <v>0</v>
      </c>
      <c r="F140" s="5">
        <v>45881</v>
      </c>
      <c r="G140" s="4">
        <v>20250811</v>
      </c>
      <c r="H140" s="6" t="str">
        <f>VLOOKUP(B140,CAJEROS!B:D,3,0)</f>
        <v>Multifuncional</v>
      </c>
      <c r="I140" s="8" t="s">
        <v>9</v>
      </c>
      <c r="J140" s="6" t="str">
        <f>VLOOKUP(B140,CAJEROS!B:E,4,0)</f>
        <v>MF_ASTROCEN</v>
      </c>
    </row>
    <row r="141" spans="1:10">
      <c r="A141" s="9">
        <v>279</v>
      </c>
      <c r="B141" s="9">
        <v>5147</v>
      </c>
      <c r="C141" s="3">
        <v>192000</v>
      </c>
      <c r="D141" s="3">
        <v>192000</v>
      </c>
      <c r="E141" s="7">
        <f t="shared" si="13"/>
        <v>0</v>
      </c>
      <c r="F141" s="5">
        <v>45881</v>
      </c>
      <c r="G141" s="4">
        <v>20250811</v>
      </c>
      <c r="H141" s="6" t="str">
        <f>VLOOKUP(B141,CAJEROS!B:D,3,0)</f>
        <v>Multifuncional</v>
      </c>
      <c r="I141" s="8" t="s">
        <v>9</v>
      </c>
      <c r="J141" s="6" t="str">
        <f>VLOOKUP(B141,CAJEROS!B:E,4,0)</f>
        <v>MF_ITAGPARQ</v>
      </c>
    </row>
    <row r="142" spans="1:10">
      <c r="A142" s="9">
        <v>91</v>
      </c>
      <c r="B142" s="9">
        <v>5148</v>
      </c>
      <c r="C142" s="3">
        <v>1660000</v>
      </c>
      <c r="D142" s="3">
        <v>1660000</v>
      </c>
      <c r="E142" s="7">
        <v>0</v>
      </c>
      <c r="F142" s="5">
        <v>45880</v>
      </c>
      <c r="G142" s="4">
        <v>20250810</v>
      </c>
      <c r="H142" s="6" t="s">
        <v>24</v>
      </c>
      <c r="I142" s="8" t="s">
        <v>9</v>
      </c>
      <c r="J142" s="6" t="s">
        <v>88</v>
      </c>
    </row>
    <row r="143" spans="1:10">
      <c r="A143" s="9">
        <v>91</v>
      </c>
      <c r="B143" s="9">
        <v>5148</v>
      </c>
      <c r="C143" s="3">
        <v>210000</v>
      </c>
      <c r="D143" s="3">
        <v>210000</v>
      </c>
      <c r="E143" s="7">
        <v>0</v>
      </c>
      <c r="F143" s="5">
        <v>45881</v>
      </c>
      <c r="G143" s="4">
        <v>20250811</v>
      </c>
      <c r="H143" s="6" t="s">
        <v>24</v>
      </c>
      <c r="I143" s="8" t="s">
        <v>9</v>
      </c>
      <c r="J143" s="6" t="s">
        <v>88</v>
      </c>
    </row>
    <row r="144" spans="1:10">
      <c r="A144" s="9">
        <v>716</v>
      </c>
      <c r="B144" s="9">
        <v>5192</v>
      </c>
      <c r="C144" s="3">
        <v>2000000</v>
      </c>
      <c r="D144" s="3">
        <v>2000000</v>
      </c>
      <c r="E144" s="7">
        <f t="shared" ref="E144:E148" si="14">+C144-D144</f>
        <v>0</v>
      </c>
      <c r="F144" s="5">
        <v>45880</v>
      </c>
      <c r="G144" s="4">
        <v>20250810</v>
      </c>
      <c r="H144" s="6" t="str">
        <f>VLOOKUP(B144,CAJEROS!B:D,3,0)</f>
        <v>Multifuncional</v>
      </c>
      <c r="I144" s="8" t="s">
        <v>9</v>
      </c>
      <c r="J144" s="6" t="str">
        <f>VLOOKUP(B144,CAJEROS!B:E,4,0)</f>
        <v>MF_AVCGORDS</v>
      </c>
    </row>
    <row r="145" spans="1:10">
      <c r="A145" s="9">
        <v>941</v>
      </c>
      <c r="B145" s="9">
        <v>5220</v>
      </c>
      <c r="C145" s="3">
        <v>1800000</v>
      </c>
      <c r="D145" s="3">
        <v>1800000</v>
      </c>
      <c r="E145" s="7">
        <f t="shared" si="14"/>
        <v>0</v>
      </c>
      <c r="F145" s="5">
        <v>45881</v>
      </c>
      <c r="G145" s="4">
        <v>20250811</v>
      </c>
      <c r="H145" s="6" t="str">
        <f>VLOOKUP(B145,CAJEROS!B:D,3,0)</f>
        <v>Multifuncional</v>
      </c>
      <c r="I145" s="8" t="s">
        <v>9</v>
      </c>
      <c r="J145" s="6" t="str">
        <f>VLOOKUP(B145,CAJEROS!B:E,4,0)</f>
        <v>MF_NEIVANVA</v>
      </c>
    </row>
    <row r="146" spans="1:10">
      <c r="A146" s="9">
        <v>625</v>
      </c>
      <c r="B146" s="9">
        <v>6096</v>
      </c>
      <c r="C146" s="3">
        <v>450000</v>
      </c>
      <c r="D146" s="3">
        <v>450000</v>
      </c>
      <c r="E146" s="7">
        <f t="shared" si="14"/>
        <v>0</v>
      </c>
      <c r="F146" s="5">
        <v>45881</v>
      </c>
      <c r="G146" s="4">
        <v>20250811</v>
      </c>
      <c r="H146" s="6" t="str">
        <f>VLOOKUP(B146,CAJEROS!B:D,3,0)</f>
        <v>Multifuncional</v>
      </c>
      <c r="I146" s="8" t="s">
        <v>9</v>
      </c>
      <c r="J146" s="6" t="str">
        <f>VLOOKUP(B146,CAJEROS!B:E,4,0)</f>
        <v>MF_BTRISTE</v>
      </c>
    </row>
    <row r="147" spans="1:10">
      <c r="A147" s="9">
        <v>844</v>
      </c>
      <c r="B147" s="9">
        <v>6169</v>
      </c>
      <c r="C147" s="3">
        <v>2700000</v>
      </c>
      <c r="D147" s="3">
        <v>2700000</v>
      </c>
      <c r="E147" s="7">
        <f t="shared" si="14"/>
        <v>0</v>
      </c>
      <c r="F147" s="5">
        <v>45881</v>
      </c>
      <c r="G147" s="4">
        <v>20250811</v>
      </c>
      <c r="H147" s="6" t="str">
        <f>VLOOKUP(B147,CAJEROS!B:D,3,0)</f>
        <v>Multifuncional</v>
      </c>
      <c r="I147" s="8" t="s">
        <v>9</v>
      </c>
      <c r="J147" s="6" t="str">
        <f>VLOOKUP(B147,CAJEROS!B:E,4,0)</f>
        <v>MF_PRIMAVRA</v>
      </c>
    </row>
    <row r="148" spans="1:10">
      <c r="A148" s="9">
        <v>54</v>
      </c>
      <c r="B148" s="9">
        <v>6204</v>
      </c>
      <c r="C148" s="3">
        <v>190000</v>
      </c>
      <c r="D148" s="3">
        <v>190000</v>
      </c>
      <c r="E148" s="7">
        <f t="shared" si="14"/>
        <v>0</v>
      </c>
      <c r="F148" s="5">
        <v>45880</v>
      </c>
      <c r="G148" s="4">
        <v>20250810</v>
      </c>
      <c r="H148" s="6" t="str">
        <f>VLOOKUP(B148,CAJEROS!B:D,3,0)</f>
        <v>Multifuncional</v>
      </c>
      <c r="I148" s="8" t="s">
        <v>9</v>
      </c>
      <c r="J148" s="6" t="str">
        <f>VLOOKUP(B148,CAJEROS!B:E,4,0)</f>
        <v>MF_CALLE122</v>
      </c>
    </row>
    <row r="149" spans="1:10">
      <c r="A149" s="9">
        <v>741</v>
      </c>
      <c r="B149" s="9">
        <v>6843</v>
      </c>
      <c r="C149" s="3">
        <v>248000</v>
      </c>
      <c r="D149" s="3">
        <v>248000</v>
      </c>
      <c r="E149" s="7">
        <v>0</v>
      </c>
      <c r="F149" s="5">
        <v>45880</v>
      </c>
      <c r="G149" s="4">
        <v>20250810</v>
      </c>
      <c r="H149" s="6" t="s">
        <v>24</v>
      </c>
      <c r="I149" s="8" t="s">
        <v>9</v>
      </c>
      <c r="J149" s="6" t="s">
        <v>89</v>
      </c>
    </row>
    <row r="150" spans="1:10">
      <c r="A150" s="9">
        <v>741</v>
      </c>
      <c r="B150" s="9">
        <v>6843</v>
      </c>
      <c r="C150" s="3">
        <v>184000</v>
      </c>
      <c r="D150" s="3">
        <v>184000</v>
      </c>
      <c r="E150" s="7">
        <v>0</v>
      </c>
      <c r="F150" s="5">
        <v>45881</v>
      </c>
      <c r="G150" s="4">
        <v>20250811</v>
      </c>
      <c r="H150" s="6" t="s">
        <v>24</v>
      </c>
      <c r="I150" s="8" t="s">
        <v>9</v>
      </c>
      <c r="J150" s="6" t="s">
        <v>89</v>
      </c>
    </row>
    <row r="151" spans="1:10">
      <c r="A151" s="9">
        <v>812</v>
      </c>
      <c r="B151" s="9">
        <v>7613</v>
      </c>
      <c r="C151" s="3">
        <v>2030000</v>
      </c>
      <c r="D151" s="3">
        <v>2030000</v>
      </c>
      <c r="E151" s="7">
        <f t="shared" ref="E151" si="15">+C151-D151</f>
        <v>0</v>
      </c>
      <c r="F151" s="5">
        <v>45881</v>
      </c>
      <c r="G151" s="4">
        <v>20250811</v>
      </c>
      <c r="H151" s="6" t="str">
        <f>VLOOKUP(B151,CAJEROS!B:D,3,0)</f>
        <v>Multifuncional</v>
      </c>
      <c r="I151" s="8" t="s">
        <v>9</v>
      </c>
      <c r="J151" s="6" t="str">
        <f>VLOOKUP(B151,CAJEROS!B:E,4,0)</f>
        <v>MF_CHPICHP2</v>
      </c>
    </row>
    <row r="152" spans="1:10">
      <c r="A152" s="9">
        <v>556</v>
      </c>
      <c r="B152" s="9">
        <v>8333</v>
      </c>
      <c r="C152" s="3">
        <v>27505000</v>
      </c>
      <c r="D152" s="3">
        <v>27505000</v>
      </c>
      <c r="E152" s="7">
        <v>0</v>
      </c>
      <c r="F152" s="5">
        <v>45874</v>
      </c>
      <c r="G152" s="4">
        <v>20250804</v>
      </c>
      <c r="H152" s="6" t="s">
        <v>24</v>
      </c>
      <c r="I152" s="8"/>
      <c r="J152" s="6" t="s">
        <v>90</v>
      </c>
    </row>
    <row r="153" spans="1:10">
      <c r="A153" s="9">
        <v>882</v>
      </c>
      <c r="B153" s="9">
        <v>5020</v>
      </c>
      <c r="C153" s="3">
        <v>250000</v>
      </c>
      <c r="D153" s="3">
        <v>250000</v>
      </c>
      <c r="E153" s="7">
        <f t="shared" ref="E153" si="16">+C153-D153</f>
        <v>0</v>
      </c>
      <c r="F153" s="5">
        <v>45873</v>
      </c>
      <c r="G153" s="4">
        <v>20250803</v>
      </c>
      <c r="H153" s="6" t="str">
        <f>VLOOKUP(B153,CAJEROS!B:D,3,0)</f>
        <v>Multifuncional</v>
      </c>
      <c r="I153" s="8" t="s">
        <v>9</v>
      </c>
      <c r="J153" s="6" t="str">
        <f>VLOOKUP(B153,CAJEROS!B:E,4,0)</f>
        <v>MF_LIBERTAD</v>
      </c>
    </row>
    <row r="154" spans="1:10">
      <c r="A154" s="9">
        <v>300</v>
      </c>
      <c r="B154" s="9">
        <v>5139</v>
      </c>
      <c r="C154" s="3">
        <v>200000</v>
      </c>
      <c r="D154" s="3">
        <v>200000</v>
      </c>
      <c r="E154" s="7">
        <v>0</v>
      </c>
      <c r="F154" s="5">
        <v>45880</v>
      </c>
      <c r="G154" s="4">
        <v>20250810</v>
      </c>
      <c r="H154" s="6" t="s">
        <v>24</v>
      </c>
      <c r="I154" s="8" t="s">
        <v>9</v>
      </c>
      <c r="J154" s="6" t="s">
        <v>51</v>
      </c>
    </row>
    <row r="155" spans="1:10">
      <c r="A155" s="9">
        <v>300</v>
      </c>
      <c r="B155" s="9">
        <v>5139</v>
      </c>
      <c r="C155" s="3">
        <v>1740000</v>
      </c>
      <c r="D155" s="3">
        <v>1740000</v>
      </c>
      <c r="E155" s="7">
        <v>0</v>
      </c>
      <c r="F155" s="5">
        <v>45881</v>
      </c>
      <c r="G155" s="4">
        <v>20250811</v>
      </c>
      <c r="H155" s="6" t="s">
        <v>24</v>
      </c>
      <c r="I155" s="8" t="s">
        <v>9</v>
      </c>
      <c r="J155" s="6" t="s">
        <v>51</v>
      </c>
    </row>
    <row r="156" spans="1:10">
      <c r="A156" s="9">
        <v>725</v>
      </c>
      <c r="B156" s="9">
        <v>5166</v>
      </c>
      <c r="C156" s="3">
        <v>150000</v>
      </c>
      <c r="D156" s="3">
        <v>150000</v>
      </c>
      <c r="E156" s="7">
        <v>0</v>
      </c>
      <c r="F156" s="5">
        <v>45870</v>
      </c>
      <c r="G156" s="4">
        <v>20250731</v>
      </c>
      <c r="H156" s="6" t="s">
        <v>24</v>
      </c>
      <c r="I156" s="8" t="s">
        <v>9</v>
      </c>
      <c r="J156" s="6" t="s">
        <v>91</v>
      </c>
    </row>
    <row r="157" spans="1:10">
      <c r="A157" s="9">
        <v>725</v>
      </c>
      <c r="B157" s="9">
        <v>5166</v>
      </c>
      <c r="C157" s="3">
        <v>225000</v>
      </c>
      <c r="D157" s="3">
        <v>225000</v>
      </c>
      <c r="E157" s="7">
        <v>0</v>
      </c>
      <c r="F157" s="5">
        <v>45877</v>
      </c>
      <c r="G157" s="4">
        <v>20250807</v>
      </c>
      <c r="H157" s="6" t="s">
        <v>24</v>
      </c>
      <c r="I157" s="8" t="s">
        <v>9</v>
      </c>
      <c r="J157" s="6" t="s">
        <v>91</v>
      </c>
    </row>
    <row r="158" spans="1:10">
      <c r="A158" s="9">
        <v>363</v>
      </c>
      <c r="B158" s="9">
        <v>5168</v>
      </c>
      <c r="C158" s="3">
        <v>2610000</v>
      </c>
      <c r="D158" s="3">
        <v>2610000</v>
      </c>
      <c r="E158" s="7">
        <v>0</v>
      </c>
      <c r="F158" s="5">
        <v>45880</v>
      </c>
      <c r="G158" s="4">
        <v>20250810</v>
      </c>
      <c r="H158" s="6" t="s">
        <v>24</v>
      </c>
      <c r="I158" s="8" t="s">
        <v>9</v>
      </c>
      <c r="J158" s="6" t="s">
        <v>92</v>
      </c>
    </row>
    <row r="159" spans="1:10">
      <c r="A159" s="9">
        <v>363</v>
      </c>
      <c r="B159" s="9">
        <v>5168</v>
      </c>
      <c r="C159" s="3">
        <v>1780000</v>
      </c>
      <c r="D159" s="3">
        <v>1780000</v>
      </c>
      <c r="E159" s="7">
        <v>0</v>
      </c>
      <c r="F159" s="5">
        <v>45881</v>
      </c>
      <c r="G159" s="4">
        <v>20250811</v>
      </c>
      <c r="H159" s="6" t="s">
        <v>24</v>
      </c>
      <c r="I159" s="8" t="s">
        <v>9</v>
      </c>
      <c r="J159" s="6" t="s">
        <v>92</v>
      </c>
    </row>
    <row r="160" spans="1:10">
      <c r="A160" s="9">
        <v>674</v>
      </c>
      <c r="B160" s="9">
        <v>5200</v>
      </c>
      <c r="C160" s="3">
        <v>1360000</v>
      </c>
      <c r="D160" s="3">
        <v>1360000</v>
      </c>
      <c r="E160" s="7">
        <v>0</v>
      </c>
      <c r="F160" s="5">
        <v>45875</v>
      </c>
      <c r="G160" s="4">
        <v>20250805</v>
      </c>
      <c r="H160" s="6" t="s">
        <v>24</v>
      </c>
      <c r="I160" s="8" t="s">
        <v>9</v>
      </c>
      <c r="J160" s="6" t="s">
        <v>93</v>
      </c>
    </row>
    <row r="161" spans="1:10">
      <c r="A161" s="9">
        <v>674</v>
      </c>
      <c r="B161" s="9">
        <v>5200</v>
      </c>
      <c r="C161" s="3">
        <v>475000</v>
      </c>
      <c r="D161" s="3">
        <v>475000</v>
      </c>
      <c r="E161" s="7">
        <v>0</v>
      </c>
      <c r="F161" s="5">
        <v>45881</v>
      </c>
      <c r="G161" s="4">
        <v>20250811</v>
      </c>
      <c r="H161" s="6" t="s">
        <v>24</v>
      </c>
      <c r="I161" s="8" t="s">
        <v>9</v>
      </c>
      <c r="J161" s="6" t="s">
        <v>93</v>
      </c>
    </row>
    <row r="162" spans="1:10">
      <c r="A162" s="9">
        <v>455</v>
      </c>
      <c r="B162" s="9">
        <v>5206</v>
      </c>
      <c r="C162" s="3">
        <v>480000</v>
      </c>
      <c r="D162" s="3">
        <v>480000</v>
      </c>
      <c r="E162" s="7">
        <v>0</v>
      </c>
      <c r="F162" s="5">
        <v>45874</v>
      </c>
      <c r="G162" s="4">
        <v>20250804</v>
      </c>
      <c r="H162" s="6" t="s">
        <v>24</v>
      </c>
      <c r="I162" s="8" t="s">
        <v>9</v>
      </c>
      <c r="J162" s="6" t="s">
        <v>94</v>
      </c>
    </row>
    <row r="163" spans="1:10">
      <c r="A163" s="9">
        <v>455</v>
      </c>
      <c r="B163" s="9">
        <v>5206</v>
      </c>
      <c r="C163" s="3">
        <v>1700000</v>
      </c>
      <c r="D163" s="3">
        <v>1700000</v>
      </c>
      <c r="E163" s="7">
        <v>0</v>
      </c>
      <c r="F163" s="5">
        <v>45875</v>
      </c>
      <c r="G163" s="4">
        <v>20250805</v>
      </c>
      <c r="H163" s="6" t="s">
        <v>24</v>
      </c>
      <c r="I163" s="8" t="s">
        <v>9</v>
      </c>
      <c r="J163" s="6" t="s">
        <v>94</v>
      </c>
    </row>
    <row r="164" spans="1:10">
      <c r="A164" s="9">
        <v>229</v>
      </c>
      <c r="B164" s="9">
        <v>9605</v>
      </c>
      <c r="C164" s="3">
        <v>2720000</v>
      </c>
      <c r="D164" s="3">
        <v>2720000</v>
      </c>
      <c r="E164" s="7">
        <f t="shared" ref="E164:E165" si="17">+C164-D164</f>
        <v>0</v>
      </c>
      <c r="F164" s="5">
        <v>45881</v>
      </c>
      <c r="G164" s="4">
        <v>20250811</v>
      </c>
      <c r="H164" s="6" t="str">
        <f>VLOOKUP(B164,CAJEROS!B:D,3,0)</f>
        <v>Multifuncional</v>
      </c>
      <c r="I164" s="8" t="s">
        <v>9</v>
      </c>
      <c r="J164" s="6" t="str">
        <f>VLOOKUP(B164,CAJEROS!B:E,4,0)</f>
        <v>MFSUCPASER2</v>
      </c>
    </row>
    <row r="165" spans="1:10">
      <c r="A165" s="9">
        <v>667</v>
      </c>
      <c r="B165" s="9">
        <v>5167</v>
      </c>
      <c r="C165" s="3">
        <v>2780000</v>
      </c>
      <c r="D165" s="3">
        <v>2780000</v>
      </c>
      <c r="E165" s="7">
        <f t="shared" si="17"/>
        <v>0</v>
      </c>
      <c r="F165" s="5">
        <v>45881</v>
      </c>
      <c r="G165" s="4">
        <v>20250811</v>
      </c>
      <c r="H165" s="6" t="str">
        <f>VLOOKUP(B165,CAJEROS!B:D,3,0)</f>
        <v>Multifuncional</v>
      </c>
      <c r="I165" s="8" t="s">
        <v>9</v>
      </c>
      <c r="J165" s="6" t="str">
        <f>VLOOKUP(B165,CAJEROS!B:E,4,0)</f>
        <v>MF_VALVANE1</v>
      </c>
    </row>
    <row r="166" spans="1:10">
      <c r="A166" s="9">
        <v>343</v>
      </c>
      <c r="B166" s="9">
        <v>7955</v>
      </c>
      <c r="C166" s="3">
        <v>260000</v>
      </c>
      <c r="D166" s="3">
        <v>260000</v>
      </c>
      <c r="E166" s="7">
        <v>0</v>
      </c>
      <c r="F166" s="5">
        <v>45870</v>
      </c>
      <c r="G166" s="4">
        <v>20250731</v>
      </c>
      <c r="H166" s="6" t="s">
        <v>30</v>
      </c>
      <c r="I166" s="8" t="s">
        <v>9</v>
      </c>
      <c r="J166" s="6" t="s">
        <v>95</v>
      </c>
    </row>
    <row r="167" spans="1:10">
      <c r="A167" s="9">
        <v>520</v>
      </c>
      <c r="B167" s="9">
        <v>4471</v>
      </c>
      <c r="C167" s="3">
        <v>750000</v>
      </c>
      <c r="D167" s="3">
        <v>750000</v>
      </c>
      <c r="E167" s="7">
        <v>0</v>
      </c>
      <c r="F167" s="5">
        <v>45870</v>
      </c>
      <c r="G167" s="4">
        <v>20250731</v>
      </c>
      <c r="H167" s="6" t="s">
        <v>30</v>
      </c>
      <c r="I167" s="8" t="s">
        <v>9</v>
      </c>
      <c r="J167" s="6" t="s">
        <v>96</v>
      </c>
    </row>
    <row r="168" spans="1:10">
      <c r="A168" s="9">
        <v>631</v>
      </c>
      <c r="B168" s="9">
        <v>2794</v>
      </c>
      <c r="C168" s="3">
        <v>700000</v>
      </c>
      <c r="D168" s="3">
        <v>700000</v>
      </c>
      <c r="E168" s="7">
        <v>0</v>
      </c>
      <c r="F168" s="5">
        <v>45870</v>
      </c>
      <c r="G168" s="4">
        <v>20250731</v>
      </c>
      <c r="H168" s="6" t="s">
        <v>30</v>
      </c>
      <c r="I168" s="8" t="s">
        <v>9</v>
      </c>
      <c r="J168" s="6" t="s">
        <v>97</v>
      </c>
    </row>
    <row r="169" spans="1:10">
      <c r="A169" s="9">
        <v>631</v>
      </c>
      <c r="B169" s="9">
        <v>2795</v>
      </c>
      <c r="C169" s="3">
        <v>150000</v>
      </c>
      <c r="D169" s="3">
        <v>150000</v>
      </c>
      <c r="E169" s="7">
        <v>0</v>
      </c>
      <c r="F169" s="5">
        <v>45870</v>
      </c>
      <c r="G169" s="4">
        <v>20250731</v>
      </c>
      <c r="H169" s="6" t="s">
        <v>30</v>
      </c>
      <c r="I169" s="8" t="s">
        <v>9</v>
      </c>
      <c r="J169" s="6" t="s">
        <v>98</v>
      </c>
    </row>
    <row r="170" spans="1:10">
      <c r="A170" s="9">
        <v>211</v>
      </c>
      <c r="B170" s="9">
        <v>5309</v>
      </c>
      <c r="C170" s="3">
        <v>150000</v>
      </c>
      <c r="D170" s="3">
        <v>150000</v>
      </c>
      <c r="E170" s="7">
        <v>0</v>
      </c>
      <c r="F170" s="5">
        <v>45873</v>
      </c>
      <c r="G170" s="4">
        <v>20250803</v>
      </c>
      <c r="H170" s="6" t="s">
        <v>30</v>
      </c>
      <c r="I170" s="8" t="s">
        <v>9</v>
      </c>
      <c r="J170" s="6" t="s">
        <v>99</v>
      </c>
    </row>
    <row r="171" spans="1:10">
      <c r="A171" s="9">
        <v>389</v>
      </c>
      <c r="B171" s="9">
        <v>4690</v>
      </c>
      <c r="C171" s="3">
        <v>390000</v>
      </c>
      <c r="D171" s="3">
        <v>390000</v>
      </c>
      <c r="E171" s="7">
        <v>0</v>
      </c>
      <c r="F171" s="5">
        <v>45873</v>
      </c>
      <c r="G171" s="4">
        <v>20250803</v>
      </c>
      <c r="H171" s="6" t="s">
        <v>30</v>
      </c>
      <c r="I171" s="8" t="s">
        <v>9</v>
      </c>
      <c r="J171" s="6" t="s">
        <v>100</v>
      </c>
    </row>
    <row r="172" spans="1:10">
      <c r="A172" s="9">
        <v>799</v>
      </c>
      <c r="B172" s="9">
        <v>8185</v>
      </c>
      <c r="C172" s="3">
        <v>50000</v>
      </c>
      <c r="D172" s="3">
        <v>50000</v>
      </c>
      <c r="E172" s="7">
        <v>0</v>
      </c>
      <c r="F172" s="5">
        <v>45873</v>
      </c>
      <c r="G172" s="4">
        <v>20250803</v>
      </c>
      <c r="H172" s="6" t="s">
        <v>30</v>
      </c>
      <c r="I172" s="8" t="s">
        <v>9</v>
      </c>
      <c r="J172" s="6" t="s">
        <v>101</v>
      </c>
    </row>
    <row r="173" spans="1:10">
      <c r="A173" s="9">
        <v>211</v>
      </c>
      <c r="B173" s="9">
        <v>5309</v>
      </c>
      <c r="C173" s="3">
        <v>300000</v>
      </c>
      <c r="D173" s="3">
        <v>300000</v>
      </c>
      <c r="E173" s="7">
        <v>0</v>
      </c>
      <c r="F173" s="5">
        <v>45874</v>
      </c>
      <c r="G173" s="4">
        <v>20250804</v>
      </c>
      <c r="H173" s="6" t="s">
        <v>30</v>
      </c>
      <c r="I173" s="8" t="s">
        <v>9</v>
      </c>
      <c r="J173" s="6" t="s">
        <v>99</v>
      </c>
    </row>
    <row r="174" spans="1:10">
      <c r="A174" s="9">
        <v>799</v>
      </c>
      <c r="B174" s="9">
        <v>8185</v>
      </c>
      <c r="C174" s="3">
        <v>50000</v>
      </c>
      <c r="D174" s="3">
        <v>50000</v>
      </c>
      <c r="E174" s="7">
        <v>0</v>
      </c>
      <c r="F174" s="5">
        <v>45874</v>
      </c>
      <c r="G174" s="4">
        <v>20250804</v>
      </c>
      <c r="H174" s="6" t="s">
        <v>30</v>
      </c>
      <c r="I174" s="8" t="s">
        <v>9</v>
      </c>
      <c r="J174" s="6" t="s">
        <v>101</v>
      </c>
    </row>
    <row r="175" spans="1:10">
      <c r="A175" s="9">
        <v>914</v>
      </c>
      <c r="B175" s="9">
        <v>5544</v>
      </c>
      <c r="C175" s="3">
        <v>110000</v>
      </c>
      <c r="D175" s="3">
        <v>110000</v>
      </c>
      <c r="E175" s="7">
        <v>0</v>
      </c>
      <c r="F175" s="5">
        <v>45874</v>
      </c>
      <c r="G175" s="4">
        <v>20250804</v>
      </c>
      <c r="H175" s="6" t="s">
        <v>30</v>
      </c>
      <c r="I175" s="8" t="s">
        <v>9</v>
      </c>
      <c r="J175" s="6" t="s">
        <v>102</v>
      </c>
    </row>
    <row r="176" spans="1:10">
      <c r="A176" s="9">
        <v>343</v>
      </c>
      <c r="B176" s="9">
        <v>7955</v>
      </c>
      <c r="C176" s="3">
        <v>2200000</v>
      </c>
      <c r="D176" s="3">
        <v>2200000</v>
      </c>
      <c r="E176" s="7">
        <v>0</v>
      </c>
      <c r="F176" s="5">
        <v>45877</v>
      </c>
      <c r="G176" s="4">
        <v>20250807</v>
      </c>
      <c r="H176" s="6" t="s">
        <v>30</v>
      </c>
      <c r="I176" s="8" t="s">
        <v>9</v>
      </c>
      <c r="J176" s="6" t="s">
        <v>95</v>
      </c>
    </row>
    <row r="177" spans="1:10">
      <c r="A177" s="9">
        <v>389</v>
      </c>
      <c r="B177" s="9">
        <v>4690</v>
      </c>
      <c r="C177" s="3">
        <v>100000</v>
      </c>
      <c r="D177" s="3">
        <v>100000</v>
      </c>
      <c r="E177" s="7">
        <v>0</v>
      </c>
      <c r="F177" s="5">
        <v>45877</v>
      </c>
      <c r="G177" s="4">
        <v>20250807</v>
      </c>
      <c r="H177" s="6" t="s">
        <v>30</v>
      </c>
      <c r="I177" s="8" t="s">
        <v>9</v>
      </c>
      <c r="J177" s="6" t="s">
        <v>100</v>
      </c>
    </row>
    <row r="178" spans="1:10">
      <c r="A178" s="9">
        <v>631</v>
      </c>
      <c r="B178" s="9">
        <v>2617</v>
      </c>
      <c r="C178" s="3">
        <v>200000</v>
      </c>
      <c r="D178" s="3">
        <v>200000</v>
      </c>
      <c r="E178" s="7">
        <v>0</v>
      </c>
      <c r="F178" s="5">
        <v>45877</v>
      </c>
      <c r="G178" s="4">
        <v>20250807</v>
      </c>
      <c r="H178" s="6" t="s">
        <v>30</v>
      </c>
      <c r="I178" s="8" t="s">
        <v>9</v>
      </c>
      <c r="J178" s="6" t="s">
        <v>103</v>
      </c>
    </row>
    <row r="179" spans="1:10">
      <c r="A179" s="9">
        <v>724</v>
      </c>
      <c r="B179" s="9">
        <v>4004</v>
      </c>
      <c r="C179" s="3">
        <v>1000000</v>
      </c>
      <c r="D179" s="3">
        <v>1000000</v>
      </c>
      <c r="E179" s="7">
        <v>0</v>
      </c>
      <c r="F179" s="5">
        <v>45877</v>
      </c>
      <c r="G179" s="4">
        <v>20250807</v>
      </c>
      <c r="H179" s="6" t="s">
        <v>30</v>
      </c>
      <c r="I179" s="8" t="s">
        <v>9</v>
      </c>
      <c r="J179" s="6" t="s">
        <v>104</v>
      </c>
    </row>
    <row r="180" spans="1:10">
      <c r="A180" s="9">
        <v>739</v>
      </c>
      <c r="B180" s="9">
        <v>3664</v>
      </c>
      <c r="C180" s="3">
        <v>8000000</v>
      </c>
      <c r="D180" s="3">
        <v>8000000</v>
      </c>
      <c r="E180" s="7">
        <v>0</v>
      </c>
      <c r="F180" s="5">
        <v>45877</v>
      </c>
      <c r="G180" s="4">
        <v>20250807</v>
      </c>
      <c r="H180" s="6" t="s">
        <v>30</v>
      </c>
      <c r="I180" s="8" t="s">
        <v>9</v>
      </c>
      <c r="J180" s="6" t="s">
        <v>105</v>
      </c>
    </row>
    <row r="181" spans="1:10">
      <c r="A181" s="9">
        <v>775</v>
      </c>
      <c r="B181" s="9">
        <v>6986</v>
      </c>
      <c r="C181" s="3">
        <v>100000</v>
      </c>
      <c r="D181" s="3">
        <v>100000</v>
      </c>
      <c r="E181" s="7">
        <v>0</v>
      </c>
      <c r="F181" s="5">
        <v>45877</v>
      </c>
      <c r="G181" s="4">
        <v>20250807</v>
      </c>
      <c r="H181" s="6" t="s">
        <v>30</v>
      </c>
      <c r="I181" s="8" t="s">
        <v>9</v>
      </c>
      <c r="J181" s="6" t="s">
        <v>106</v>
      </c>
    </row>
    <row r="182" spans="1:10">
      <c r="A182" s="9">
        <v>780</v>
      </c>
      <c r="B182" s="9">
        <v>4714</v>
      </c>
      <c r="C182" s="3">
        <v>200000</v>
      </c>
      <c r="D182" s="3">
        <v>200000</v>
      </c>
      <c r="E182" s="7">
        <v>0</v>
      </c>
      <c r="F182" s="5">
        <v>45880</v>
      </c>
      <c r="G182" s="4">
        <v>20250810</v>
      </c>
      <c r="H182" s="6" t="s">
        <v>30</v>
      </c>
      <c r="I182" s="8" t="s">
        <v>9</v>
      </c>
      <c r="J182" s="6" t="s">
        <v>107</v>
      </c>
    </row>
    <row r="183" spans="1:10">
      <c r="A183" s="9">
        <v>799</v>
      </c>
      <c r="B183" s="9">
        <v>8185</v>
      </c>
      <c r="C183" s="3">
        <v>700000</v>
      </c>
      <c r="D183" s="3">
        <v>700000</v>
      </c>
      <c r="E183" s="7">
        <v>0</v>
      </c>
      <c r="F183" s="5">
        <v>45880</v>
      </c>
      <c r="G183" s="4">
        <v>20250810</v>
      </c>
      <c r="H183" s="6" t="s">
        <v>30</v>
      </c>
      <c r="I183" s="8" t="s">
        <v>9</v>
      </c>
      <c r="J183" s="6" t="s">
        <v>101</v>
      </c>
    </row>
    <row r="184" spans="1:10">
      <c r="A184" s="9">
        <v>229</v>
      </c>
      <c r="B184" s="9">
        <v>8957</v>
      </c>
      <c r="C184" s="3">
        <v>200000</v>
      </c>
      <c r="D184" s="3">
        <v>200000</v>
      </c>
      <c r="E184" s="7">
        <v>0</v>
      </c>
      <c r="F184" s="5">
        <v>45881</v>
      </c>
      <c r="G184" s="4">
        <v>20250811</v>
      </c>
      <c r="H184" s="6" t="s">
        <v>30</v>
      </c>
      <c r="I184" s="8" t="s">
        <v>9</v>
      </c>
      <c r="J184" s="6" t="s">
        <v>71</v>
      </c>
    </row>
    <row r="185" spans="1:10">
      <c r="A185" s="9">
        <v>395</v>
      </c>
      <c r="B185" s="9">
        <v>1529</v>
      </c>
      <c r="C185" s="3">
        <v>2400000</v>
      </c>
      <c r="D185" s="3">
        <v>2400000</v>
      </c>
      <c r="E185" s="7">
        <f t="shared" ref="E185:E195" si="18">+C185-D185</f>
        <v>0</v>
      </c>
      <c r="F185" s="5">
        <v>45882</v>
      </c>
      <c r="G185" s="4">
        <v>20250812</v>
      </c>
      <c r="H185" s="6" t="str">
        <f>VLOOKUP(B185,CAJEROS!B:D,3,0)</f>
        <v>Multifuncional</v>
      </c>
      <c r="I185" s="8" t="s">
        <v>9</v>
      </c>
      <c r="J185" s="6" t="str">
        <f>VLOOKUP(B185,CAJEROS!B:E,4,0)</f>
        <v>SUCMFVIVCI2</v>
      </c>
    </row>
    <row r="186" spans="1:10">
      <c r="A186" s="9">
        <v>261</v>
      </c>
      <c r="B186" s="9">
        <v>5048</v>
      </c>
      <c r="C186" s="3">
        <v>1900000</v>
      </c>
      <c r="D186" s="3">
        <v>1900000</v>
      </c>
      <c r="E186" s="7">
        <f t="shared" si="18"/>
        <v>0</v>
      </c>
      <c r="F186" s="5">
        <v>45882</v>
      </c>
      <c r="G186" s="4">
        <v>20250812</v>
      </c>
      <c r="H186" s="6" t="str">
        <f>VLOOKUP(B186,CAJEROS!B:D,3,0)</f>
        <v>Multifuncional</v>
      </c>
      <c r="I186" s="8" t="s">
        <v>9</v>
      </c>
      <c r="J186" s="6" t="str">
        <f>VLOOKUP(B186,CAJEROS!B:E,4,0)</f>
        <v>MF_CAMPANA</v>
      </c>
    </row>
    <row r="187" spans="1:10">
      <c r="A187" s="9">
        <v>916</v>
      </c>
      <c r="B187" s="9">
        <v>5052</v>
      </c>
      <c r="C187" s="3">
        <v>1080000</v>
      </c>
      <c r="D187" s="3">
        <v>1080000</v>
      </c>
      <c r="E187" s="7">
        <f t="shared" si="18"/>
        <v>0</v>
      </c>
      <c r="F187" s="5">
        <v>45881</v>
      </c>
      <c r="G187" s="4">
        <v>20250811</v>
      </c>
      <c r="H187" s="6" t="str">
        <f>VLOOKUP(B187,CAJEROS!B:D,3,0)</f>
        <v>Multifuncional</v>
      </c>
      <c r="I187" s="8" t="s">
        <v>9</v>
      </c>
      <c r="J187" s="6" t="str">
        <f>VLOOKUP(B187,CAJEROS!B:E,4,0)</f>
        <v>MF_OCEANMAL</v>
      </c>
    </row>
    <row r="188" spans="1:10">
      <c r="A188" s="9">
        <v>806</v>
      </c>
      <c r="B188" s="9">
        <v>5156</v>
      </c>
      <c r="C188" s="3">
        <v>2693950</v>
      </c>
      <c r="D188" s="3">
        <v>2693950</v>
      </c>
      <c r="E188" s="7">
        <f t="shared" si="18"/>
        <v>0</v>
      </c>
      <c r="F188" s="5">
        <v>45882</v>
      </c>
      <c r="G188" s="4">
        <v>20250812</v>
      </c>
      <c r="H188" s="6" t="str">
        <f>VLOOKUP(B188,CAJEROS!B:D,3,0)</f>
        <v>Multifuncional</v>
      </c>
      <c r="I188" s="8" t="s">
        <v>9</v>
      </c>
      <c r="J188" s="6" t="str">
        <f>VLOOKUP(B188,CAJEROS!B:E,4,0)</f>
        <v>MF_ALZACIA</v>
      </c>
    </row>
    <row r="189" spans="1:10">
      <c r="A189" s="9">
        <v>859</v>
      </c>
      <c r="B189" s="9">
        <v>5207</v>
      </c>
      <c r="C189" s="3">
        <v>2630000</v>
      </c>
      <c r="D189" s="3">
        <v>2630000</v>
      </c>
      <c r="E189" s="7">
        <f t="shared" si="18"/>
        <v>0</v>
      </c>
      <c r="F189" s="5">
        <v>45882</v>
      </c>
      <c r="G189" s="4">
        <v>20250812</v>
      </c>
      <c r="H189" s="6" t="e">
        <f>VLOOKUP(B189,CAJEROS!B:D,3,0)</f>
        <v>#N/A</v>
      </c>
      <c r="I189" s="8" t="s">
        <v>9</v>
      </c>
      <c r="J189" s="6" t="e">
        <f>VLOOKUP(B189,CAJEROS!B:E,4,0)</f>
        <v>#N/A</v>
      </c>
    </row>
    <row r="190" spans="1:10">
      <c r="A190" s="9">
        <v>221</v>
      </c>
      <c r="B190" s="9">
        <v>5221</v>
      </c>
      <c r="C190" s="3">
        <v>1440000</v>
      </c>
      <c r="D190" s="3">
        <v>1440000</v>
      </c>
      <c r="E190" s="7">
        <f t="shared" si="18"/>
        <v>0</v>
      </c>
      <c r="F190" s="5">
        <v>45882</v>
      </c>
      <c r="G190" s="4">
        <v>20250812</v>
      </c>
      <c r="H190" s="6" t="str">
        <f>VLOOKUP(B190,CAJEROS!B:D,3,0)</f>
        <v>Multifuncional</v>
      </c>
      <c r="I190" s="8" t="s">
        <v>9</v>
      </c>
      <c r="J190" s="6" t="str">
        <f>VLOOKUP(B190,CAJEROS!B:E,4,0)</f>
        <v>MF_SOACHA</v>
      </c>
    </row>
    <row r="191" spans="1:10">
      <c r="A191" s="9">
        <v>79</v>
      </c>
      <c r="B191" s="9">
        <v>6245</v>
      </c>
      <c r="C191" s="3">
        <v>510000</v>
      </c>
      <c r="D191" s="3">
        <v>510000</v>
      </c>
      <c r="E191" s="7">
        <f t="shared" si="18"/>
        <v>0</v>
      </c>
      <c r="F191" s="5">
        <v>45882</v>
      </c>
      <c r="G191" s="4">
        <v>20250812</v>
      </c>
      <c r="H191" s="6" t="str">
        <f>VLOOKUP(B191,CAJEROS!B:D,3,0)</f>
        <v>Multifuncional</v>
      </c>
      <c r="I191" s="8" t="s">
        <v>9</v>
      </c>
      <c r="J191" s="6" t="str">
        <f>VLOOKUP(B191,CAJEROS!B:E,4,0)</f>
        <v>MF_LAQUINTA</v>
      </c>
    </row>
    <row r="192" spans="1:10">
      <c r="A192" s="9">
        <v>718</v>
      </c>
      <c r="B192" s="9">
        <v>6248</v>
      </c>
      <c r="C192" s="3">
        <v>310000</v>
      </c>
      <c r="D192" s="3">
        <v>310000</v>
      </c>
      <c r="E192" s="7">
        <f t="shared" si="18"/>
        <v>0</v>
      </c>
      <c r="F192" s="5">
        <v>45882</v>
      </c>
      <c r="G192" s="4">
        <v>20250812</v>
      </c>
      <c r="H192" s="6" t="str">
        <f>VLOOKUP(B192,CAJEROS!B:D,3,0)</f>
        <v>Multifuncional</v>
      </c>
      <c r="I192" s="8" t="s">
        <v>9</v>
      </c>
      <c r="J192" s="6" t="str">
        <f>VLOOKUP(B192,CAJEROS!B:E,4,0)</f>
        <v>MF_LAESTACI</v>
      </c>
    </row>
    <row r="193" spans="1:10">
      <c r="A193" s="9">
        <v>332</v>
      </c>
      <c r="B193" s="9">
        <v>7569</v>
      </c>
      <c r="C193" s="3">
        <v>800000</v>
      </c>
      <c r="D193" s="3">
        <f>710000+90000</f>
        <v>800000</v>
      </c>
      <c r="E193" s="7">
        <f t="shared" si="18"/>
        <v>0</v>
      </c>
      <c r="F193" s="5">
        <v>45880</v>
      </c>
      <c r="G193" s="4">
        <v>20250810</v>
      </c>
      <c r="H193" s="6" t="str">
        <f>VLOOKUP(B193,CAJEROS!B:D,3,0)</f>
        <v>Multifuncional</v>
      </c>
      <c r="I193" s="8" t="s">
        <v>9</v>
      </c>
      <c r="J193" s="6" t="str">
        <f>VLOOKUP(B193,CAJEROS!B:E,4,0)</f>
        <v>MF_ZIPAQUI2</v>
      </c>
    </row>
    <row r="194" spans="1:10">
      <c r="A194" s="9">
        <v>554</v>
      </c>
      <c r="B194" s="9">
        <v>8295</v>
      </c>
      <c r="C194" s="3">
        <v>2135000</v>
      </c>
      <c r="D194" s="3">
        <v>2135000</v>
      </c>
      <c r="E194" s="7">
        <f t="shared" si="18"/>
        <v>0</v>
      </c>
      <c r="F194" s="5">
        <v>45882</v>
      </c>
      <c r="G194" s="4">
        <v>20250812</v>
      </c>
      <c r="H194" s="6" t="str">
        <f>VLOOKUP(B194,CAJEROS!B:D,3,0)</f>
        <v>Multifuncional</v>
      </c>
      <c r="I194" s="8" t="s">
        <v>9</v>
      </c>
      <c r="J194" s="6" t="str">
        <f>VLOOKUP(B194,CAJEROS!B:E,4,0)</f>
        <v>MF_SBUVIII2</v>
      </c>
    </row>
    <row r="195" spans="1:10">
      <c r="A195" s="9">
        <v>481</v>
      </c>
      <c r="B195" s="9">
        <v>1011</v>
      </c>
      <c r="C195" s="3">
        <v>1411000</v>
      </c>
      <c r="D195" s="3">
        <v>1411000</v>
      </c>
      <c r="E195" s="7">
        <f t="shared" si="18"/>
        <v>0</v>
      </c>
      <c r="F195" s="5">
        <v>45874</v>
      </c>
      <c r="G195" s="4">
        <v>20250804</v>
      </c>
      <c r="H195" s="6" t="str">
        <f>VLOOKUP(B195,CAJEROS!B:D,3,0)</f>
        <v>Multifuncional</v>
      </c>
      <c r="I195" s="8" t="s">
        <v>9</v>
      </c>
      <c r="J195" s="6" t="str">
        <f>VLOOKUP(B195,CAJEROS!B:E,4,0)</f>
        <v>MF_SOLEDAD2</v>
      </c>
    </row>
    <row r="196" spans="1:10">
      <c r="A196" s="9">
        <v>692</v>
      </c>
      <c r="B196" s="9">
        <v>1515</v>
      </c>
      <c r="C196" s="3">
        <v>290000</v>
      </c>
      <c r="D196" s="3">
        <v>290000</v>
      </c>
      <c r="E196" s="7">
        <v>0</v>
      </c>
      <c r="F196" s="5">
        <v>45870</v>
      </c>
      <c r="G196" s="4">
        <v>20250731</v>
      </c>
      <c r="H196" s="6" t="s">
        <v>24</v>
      </c>
      <c r="I196" s="8" t="s">
        <v>9</v>
      </c>
      <c r="J196" s="6" t="s">
        <v>108</v>
      </c>
    </row>
    <row r="197" spans="1:10">
      <c r="A197" s="9">
        <v>692</v>
      </c>
      <c r="B197" s="9">
        <v>1515</v>
      </c>
      <c r="C197" s="3">
        <v>480000</v>
      </c>
      <c r="D197" s="3">
        <v>480000</v>
      </c>
      <c r="E197" s="7">
        <v>0</v>
      </c>
      <c r="F197" s="5">
        <v>45874</v>
      </c>
      <c r="G197" s="4">
        <v>20250804</v>
      </c>
      <c r="H197" s="6" t="s">
        <v>24</v>
      </c>
      <c r="I197" s="8" t="s">
        <v>9</v>
      </c>
      <c r="J197" s="6" t="s">
        <v>108</v>
      </c>
    </row>
    <row r="198" spans="1:10">
      <c r="A198" s="9">
        <v>322</v>
      </c>
      <c r="B198" s="9">
        <v>2444</v>
      </c>
      <c r="C198" s="3">
        <v>2490000</v>
      </c>
      <c r="D198" s="3">
        <v>2490000</v>
      </c>
      <c r="E198" s="7">
        <v>0</v>
      </c>
      <c r="F198" s="5">
        <v>45874</v>
      </c>
      <c r="G198" s="4">
        <v>20250804</v>
      </c>
      <c r="H198" s="6" t="s">
        <v>24</v>
      </c>
      <c r="I198" s="8" t="s">
        <v>9</v>
      </c>
      <c r="J198" s="6" t="s">
        <v>109</v>
      </c>
    </row>
    <row r="199" spans="1:10">
      <c r="A199" s="9">
        <v>322</v>
      </c>
      <c r="B199" s="9">
        <v>2444</v>
      </c>
      <c r="C199" s="3">
        <v>800000</v>
      </c>
      <c r="D199" s="3">
        <v>800000</v>
      </c>
      <c r="E199" s="7">
        <v>0</v>
      </c>
      <c r="F199" s="5">
        <v>45881</v>
      </c>
      <c r="G199" s="4">
        <v>20250811</v>
      </c>
      <c r="H199" s="6" t="s">
        <v>24</v>
      </c>
      <c r="I199" s="8" t="s">
        <v>9</v>
      </c>
      <c r="J199" s="6" t="s">
        <v>109</v>
      </c>
    </row>
    <row r="200" spans="1:10">
      <c r="A200" s="9">
        <v>907</v>
      </c>
      <c r="B200" s="9">
        <v>4830</v>
      </c>
      <c r="C200" s="3">
        <v>2970000</v>
      </c>
      <c r="D200" s="3">
        <v>2970000</v>
      </c>
      <c r="E200" s="7">
        <v>0</v>
      </c>
      <c r="F200" s="5">
        <v>45875</v>
      </c>
      <c r="G200" s="4">
        <v>20250805</v>
      </c>
      <c r="H200" s="6" t="s">
        <v>24</v>
      </c>
      <c r="I200" s="8" t="s">
        <v>9</v>
      </c>
      <c r="J200" s="6" t="s">
        <v>110</v>
      </c>
    </row>
    <row r="201" spans="1:10">
      <c r="A201" s="9">
        <v>907</v>
      </c>
      <c r="B201" s="9">
        <v>4830</v>
      </c>
      <c r="C201" s="3">
        <v>70000</v>
      </c>
      <c r="D201" s="3">
        <v>70000</v>
      </c>
      <c r="E201" s="7">
        <v>0</v>
      </c>
      <c r="F201" s="5">
        <v>45882</v>
      </c>
      <c r="G201" s="4">
        <v>20250812</v>
      </c>
      <c r="H201" s="6" t="s">
        <v>24</v>
      </c>
      <c r="I201" s="8" t="s">
        <v>9</v>
      </c>
      <c r="J201" s="6" t="s">
        <v>110</v>
      </c>
    </row>
    <row r="202" spans="1:10">
      <c r="A202" s="9">
        <v>59</v>
      </c>
      <c r="B202" s="9">
        <v>5002</v>
      </c>
      <c r="C202" s="3">
        <v>640000</v>
      </c>
      <c r="D202" s="3">
        <v>640000</v>
      </c>
      <c r="E202" s="7">
        <f t="shared" ref="E202" si="19">+C202-D202</f>
        <v>0</v>
      </c>
      <c r="F202" s="5">
        <v>45877</v>
      </c>
      <c r="G202" s="4">
        <v>20250807</v>
      </c>
      <c r="H202" s="6" t="str">
        <f>VLOOKUP(B202,CAJEROS!B:D,3,0)</f>
        <v>Multifuncional</v>
      </c>
      <c r="I202" s="8" t="s">
        <v>9</v>
      </c>
      <c r="J202" s="6" t="str">
        <f>VLOOKUP(B202,CAJEROS!B:E,4,0)</f>
        <v>MF_AVSTNDER</v>
      </c>
    </row>
    <row r="203" spans="1:10">
      <c r="A203" s="9">
        <v>907</v>
      </c>
      <c r="B203" s="9">
        <v>5019</v>
      </c>
      <c r="C203" s="3">
        <v>2734800</v>
      </c>
      <c r="D203" s="3">
        <v>2734800</v>
      </c>
      <c r="E203" s="7">
        <v>0</v>
      </c>
      <c r="F203" s="5">
        <v>45870</v>
      </c>
      <c r="G203" s="4">
        <v>20250731</v>
      </c>
      <c r="H203" s="6" t="s">
        <v>24</v>
      </c>
      <c r="I203" s="8" t="s">
        <v>9</v>
      </c>
      <c r="J203" s="6" t="s">
        <v>111</v>
      </c>
    </row>
    <row r="204" spans="1:10">
      <c r="A204" s="9">
        <v>907</v>
      </c>
      <c r="B204" s="9">
        <v>5019</v>
      </c>
      <c r="C204" s="3">
        <v>130000</v>
      </c>
      <c r="D204" s="3">
        <v>130000</v>
      </c>
      <c r="E204" s="7">
        <v>0</v>
      </c>
      <c r="F204" s="5">
        <v>45873</v>
      </c>
      <c r="G204" s="4">
        <v>20250803</v>
      </c>
      <c r="H204" s="6" t="s">
        <v>24</v>
      </c>
      <c r="I204" s="8" t="s">
        <v>9</v>
      </c>
      <c r="J204" s="6" t="s">
        <v>111</v>
      </c>
    </row>
    <row r="205" spans="1:10">
      <c r="A205" s="9">
        <v>781</v>
      </c>
      <c r="B205" s="9">
        <v>5057</v>
      </c>
      <c r="C205" s="3">
        <v>290000</v>
      </c>
      <c r="D205" s="3">
        <v>290000</v>
      </c>
      <c r="E205" s="7">
        <f t="shared" ref="E205:E207" si="20">+C205-D205</f>
        <v>0</v>
      </c>
      <c r="F205" s="5">
        <v>45880</v>
      </c>
      <c r="G205" s="4">
        <v>20250810</v>
      </c>
      <c r="H205" s="6" t="str">
        <f>VLOOKUP(B205,CAJEROS!B:D,3,0)</f>
        <v>Multifuncional</v>
      </c>
      <c r="I205" s="8" t="s">
        <v>9</v>
      </c>
      <c r="J205" s="6" t="str">
        <f>VLOOKUP(B205,CAJEROS!B:E,4,0)</f>
        <v>MF_PRPLAZA</v>
      </c>
    </row>
    <row r="206" spans="1:10">
      <c r="A206" s="9">
        <v>115</v>
      </c>
      <c r="B206" s="9">
        <v>5080</v>
      </c>
      <c r="C206" s="3">
        <v>410000</v>
      </c>
      <c r="D206" s="3">
        <v>410000</v>
      </c>
      <c r="E206" s="7">
        <f t="shared" si="20"/>
        <v>0</v>
      </c>
      <c r="F206" s="5">
        <v>45880</v>
      </c>
      <c r="G206" s="4">
        <v>20250810</v>
      </c>
      <c r="H206" s="6" t="str">
        <f>VLOOKUP(B206,CAJEROS!B:D,3,0)</f>
        <v>Multifuncional</v>
      </c>
      <c r="I206" s="8" t="s">
        <v>9</v>
      </c>
      <c r="J206" s="6" t="str">
        <f>VLOOKUP(B206,CAJEROS!B:E,4,0)</f>
        <v>MF_CIPEREIR</v>
      </c>
    </row>
    <row r="207" spans="1:10">
      <c r="A207" s="9">
        <v>73</v>
      </c>
      <c r="B207" s="9">
        <v>5108</v>
      </c>
      <c r="C207" s="3">
        <v>1000000</v>
      </c>
      <c r="D207" s="3">
        <v>1000000</v>
      </c>
      <c r="E207" s="7">
        <f t="shared" si="20"/>
        <v>0</v>
      </c>
      <c r="F207" s="5">
        <v>45882</v>
      </c>
      <c r="G207" s="4">
        <v>20250812</v>
      </c>
      <c r="H207" s="6" t="str">
        <f>VLOOKUP(B207,CAJEROS!B:D,3,0)</f>
        <v>Multifuncional</v>
      </c>
      <c r="I207" s="8" t="s">
        <v>9</v>
      </c>
      <c r="J207" s="6" t="str">
        <f>VLOOKUP(B207,CAJEROS!B:E,4,0)</f>
        <v>MF_PEREIRA</v>
      </c>
    </row>
    <row r="208" spans="1:10">
      <c r="A208" s="9">
        <v>91</v>
      </c>
      <c r="B208" s="9">
        <v>5148</v>
      </c>
      <c r="C208" s="3">
        <v>630000</v>
      </c>
      <c r="D208" s="3">
        <v>630000</v>
      </c>
      <c r="E208" s="7">
        <v>0</v>
      </c>
      <c r="F208" s="5">
        <v>45874</v>
      </c>
      <c r="G208" s="4">
        <v>20250804</v>
      </c>
      <c r="H208" s="6" t="s">
        <v>24</v>
      </c>
      <c r="I208" s="8" t="s">
        <v>9</v>
      </c>
      <c r="J208" s="6" t="s">
        <v>88</v>
      </c>
    </row>
    <row r="209" spans="1:10">
      <c r="A209" s="9">
        <v>91</v>
      </c>
      <c r="B209" s="9">
        <v>5148</v>
      </c>
      <c r="C209" s="3">
        <v>630000</v>
      </c>
      <c r="D209" s="3">
        <v>630000</v>
      </c>
      <c r="E209" s="7">
        <v>0</v>
      </c>
      <c r="F209" s="5">
        <v>45877</v>
      </c>
      <c r="G209" s="4">
        <v>20250807</v>
      </c>
      <c r="H209" s="6" t="s">
        <v>24</v>
      </c>
      <c r="I209" s="8" t="s">
        <v>9</v>
      </c>
      <c r="J209" s="6" t="s">
        <v>88</v>
      </c>
    </row>
    <row r="210" spans="1:10">
      <c r="A210" s="9">
        <v>70</v>
      </c>
      <c r="B210" s="9">
        <v>5164</v>
      </c>
      <c r="C210" s="3">
        <v>1000000</v>
      </c>
      <c r="D210" s="3">
        <v>1000000</v>
      </c>
      <c r="E210" s="7">
        <f t="shared" ref="E210:E211" si="21">+C210-D210</f>
        <v>0</v>
      </c>
      <c r="F210" s="5">
        <v>45875</v>
      </c>
      <c r="G210" s="4">
        <v>20250805</v>
      </c>
      <c r="H210" s="6" t="str">
        <f>VLOOKUP(B210,CAJEROS!B:D,3,0)</f>
        <v>Multifuncional</v>
      </c>
      <c r="I210" s="8" t="s">
        <v>9</v>
      </c>
      <c r="J210" s="6" t="str">
        <f>VLOOKUP(B210,CAJEROS!B:E,4,0)</f>
        <v>MF_MANIZALE</v>
      </c>
    </row>
    <row r="211" spans="1:10">
      <c r="A211" s="9">
        <v>388</v>
      </c>
      <c r="B211" s="9">
        <v>5169</v>
      </c>
      <c r="C211" s="3">
        <v>800000</v>
      </c>
      <c r="D211" s="3">
        <f>210000+590000</f>
        <v>800000</v>
      </c>
      <c r="E211" s="7">
        <f t="shared" si="21"/>
        <v>0</v>
      </c>
      <c r="F211" s="5">
        <v>45875</v>
      </c>
      <c r="G211" s="4">
        <v>20250805</v>
      </c>
      <c r="H211" s="6" t="str">
        <f>VLOOKUP(B211,CAJEROS!B:D,3,0)</f>
        <v>Multifuncional</v>
      </c>
      <c r="I211" s="8" t="s">
        <v>9</v>
      </c>
      <c r="J211" s="6" t="str">
        <f>VLOOKUP(B211,CAJEROS!B:E,4,0)</f>
        <v>MF_SUCHAYU1</v>
      </c>
    </row>
    <row r="212" spans="1:10">
      <c r="A212" s="9">
        <v>20</v>
      </c>
      <c r="B212" s="9">
        <v>6839</v>
      </c>
      <c r="C212" s="3">
        <v>105000</v>
      </c>
      <c r="D212" s="3">
        <v>105000</v>
      </c>
      <c r="E212" s="7">
        <v>0</v>
      </c>
      <c r="F212" s="5">
        <v>45874</v>
      </c>
      <c r="G212" s="4">
        <v>20250804</v>
      </c>
      <c r="H212" s="6" t="s">
        <v>24</v>
      </c>
      <c r="I212" s="8" t="s">
        <v>9</v>
      </c>
      <c r="J212" s="6" t="s">
        <v>112</v>
      </c>
    </row>
    <row r="213" spans="1:10">
      <c r="A213" s="9">
        <v>20</v>
      </c>
      <c r="B213" s="9">
        <v>6839</v>
      </c>
      <c r="C213" s="3">
        <v>570000</v>
      </c>
      <c r="D213" s="3">
        <v>570000</v>
      </c>
      <c r="E213" s="7">
        <v>0</v>
      </c>
      <c r="F213" s="5">
        <v>45875</v>
      </c>
      <c r="G213" s="4">
        <v>20250805</v>
      </c>
      <c r="H213" s="6" t="s">
        <v>24</v>
      </c>
      <c r="I213" s="8" t="s">
        <v>9</v>
      </c>
      <c r="J213" s="6" t="s">
        <v>112</v>
      </c>
    </row>
    <row r="214" spans="1:10">
      <c r="A214" s="9">
        <v>419</v>
      </c>
      <c r="B214" s="9">
        <v>7980</v>
      </c>
      <c r="C214" s="3">
        <v>2520000</v>
      </c>
      <c r="D214" s="3">
        <v>2520000</v>
      </c>
      <c r="E214" s="7">
        <v>0</v>
      </c>
      <c r="F214" s="5">
        <v>45877</v>
      </c>
      <c r="G214" s="4">
        <v>20250807</v>
      </c>
      <c r="H214" s="6" t="s">
        <v>24</v>
      </c>
      <c r="I214" s="8" t="s">
        <v>9</v>
      </c>
      <c r="J214" s="6" t="s">
        <v>113</v>
      </c>
    </row>
    <row r="215" spans="1:10">
      <c r="A215" s="9">
        <v>419</v>
      </c>
      <c r="B215" s="9">
        <v>7980</v>
      </c>
      <c r="C215" s="3">
        <v>1390000</v>
      </c>
      <c r="D215" s="3">
        <v>1390000</v>
      </c>
      <c r="E215" s="7">
        <v>0</v>
      </c>
      <c r="F215" s="5">
        <v>45881</v>
      </c>
      <c r="G215" s="4">
        <v>20250811</v>
      </c>
      <c r="H215" s="6" t="s">
        <v>24</v>
      </c>
      <c r="I215" s="8" t="s">
        <v>9</v>
      </c>
      <c r="J215" s="6" t="s">
        <v>113</v>
      </c>
    </row>
    <row r="216" spans="1:10">
      <c r="A216" s="9">
        <v>419</v>
      </c>
      <c r="B216" s="9">
        <v>7980</v>
      </c>
      <c r="C216" s="3">
        <v>700000</v>
      </c>
      <c r="D216" s="3">
        <v>700000</v>
      </c>
      <c r="E216" s="7">
        <v>0</v>
      </c>
      <c r="F216" s="5">
        <v>45882</v>
      </c>
      <c r="G216" s="4">
        <v>20250812</v>
      </c>
      <c r="H216" s="6" t="s">
        <v>24</v>
      </c>
      <c r="I216" s="8" t="s">
        <v>9</v>
      </c>
      <c r="J216" s="6" t="s">
        <v>113</v>
      </c>
    </row>
    <row r="217" spans="1:10">
      <c r="A217" s="9">
        <v>15</v>
      </c>
      <c r="B217" s="9">
        <v>8576</v>
      </c>
      <c r="C217" s="3">
        <v>2120000</v>
      </c>
      <c r="D217" s="3">
        <v>2120000</v>
      </c>
      <c r="E217" s="7">
        <v>0</v>
      </c>
      <c r="F217" s="5">
        <v>45875</v>
      </c>
      <c r="G217" s="4">
        <v>20250805</v>
      </c>
      <c r="H217" s="6" t="s">
        <v>24</v>
      </c>
      <c r="I217" s="8" t="s">
        <v>9</v>
      </c>
      <c r="J217" s="6" t="s">
        <v>114</v>
      </c>
    </row>
    <row r="218" spans="1:10">
      <c r="A218" s="9">
        <v>520</v>
      </c>
      <c r="B218" s="9">
        <v>4470</v>
      </c>
      <c r="C218" s="3">
        <v>1280000</v>
      </c>
      <c r="D218" s="3">
        <v>1280000</v>
      </c>
      <c r="E218" s="7">
        <v>0</v>
      </c>
      <c r="F218" s="5">
        <v>45870</v>
      </c>
      <c r="G218" s="4">
        <v>20250731</v>
      </c>
      <c r="H218" s="6" t="s">
        <v>30</v>
      </c>
      <c r="I218" s="8" t="s">
        <v>9</v>
      </c>
      <c r="J218" s="6" t="s">
        <v>115</v>
      </c>
    </row>
    <row r="219" spans="1:10">
      <c r="A219" s="9">
        <v>638</v>
      </c>
      <c r="B219" s="9">
        <v>4486</v>
      </c>
      <c r="C219" s="3">
        <v>800000</v>
      </c>
      <c r="D219" s="3">
        <v>800000</v>
      </c>
      <c r="E219" s="7">
        <v>0</v>
      </c>
      <c r="F219" s="5">
        <v>45870</v>
      </c>
      <c r="G219" s="4">
        <v>20250731</v>
      </c>
      <c r="H219" s="6" t="s">
        <v>30</v>
      </c>
      <c r="I219" s="8" t="s">
        <v>9</v>
      </c>
      <c r="J219" s="6" t="s">
        <v>116</v>
      </c>
    </row>
    <row r="220" spans="1:10">
      <c r="A220" s="9">
        <v>681</v>
      </c>
      <c r="B220" s="9">
        <v>8420</v>
      </c>
      <c r="C220" s="3">
        <v>800000</v>
      </c>
      <c r="D220" s="3">
        <v>800000</v>
      </c>
      <c r="E220" s="7">
        <v>0</v>
      </c>
      <c r="F220" s="5">
        <v>45870</v>
      </c>
      <c r="G220" s="4">
        <v>20250731</v>
      </c>
      <c r="H220" s="6" t="s">
        <v>30</v>
      </c>
      <c r="I220" s="8" t="s">
        <v>9</v>
      </c>
      <c r="J220" s="6" t="s">
        <v>117</v>
      </c>
    </row>
    <row r="221" spans="1:10">
      <c r="A221" s="9">
        <v>512</v>
      </c>
      <c r="B221" s="9">
        <v>4168</v>
      </c>
      <c r="C221" s="3">
        <v>150000</v>
      </c>
      <c r="D221" s="3">
        <v>150000</v>
      </c>
      <c r="E221" s="7">
        <v>0</v>
      </c>
      <c r="F221" s="5">
        <v>45873</v>
      </c>
      <c r="G221" s="4">
        <v>20250803</v>
      </c>
      <c r="H221" s="6" t="s">
        <v>30</v>
      </c>
      <c r="I221" s="8" t="s">
        <v>9</v>
      </c>
      <c r="J221" s="6" t="s">
        <v>118</v>
      </c>
    </row>
    <row r="222" spans="1:10">
      <c r="A222" s="9">
        <v>516</v>
      </c>
      <c r="B222" s="9">
        <v>9728</v>
      </c>
      <c r="C222" s="3">
        <v>1560000</v>
      </c>
      <c r="D222" s="3">
        <v>1560000</v>
      </c>
      <c r="E222" s="7">
        <v>0</v>
      </c>
      <c r="F222" s="5">
        <v>45873</v>
      </c>
      <c r="G222" s="4">
        <v>20250803</v>
      </c>
      <c r="H222" s="6" t="s">
        <v>30</v>
      </c>
      <c r="I222" s="8" t="s">
        <v>9</v>
      </c>
      <c r="J222" s="6" t="s">
        <v>119</v>
      </c>
    </row>
    <row r="223" spans="1:10">
      <c r="A223" s="9">
        <v>567</v>
      </c>
      <c r="B223" s="9">
        <v>4521</v>
      </c>
      <c r="C223" s="3">
        <v>8770000</v>
      </c>
      <c r="D223" s="3">
        <v>8770000</v>
      </c>
      <c r="E223" s="7">
        <v>0</v>
      </c>
      <c r="F223" s="5">
        <v>45873</v>
      </c>
      <c r="G223" s="4">
        <v>20250803</v>
      </c>
      <c r="H223" s="6" t="s">
        <v>30</v>
      </c>
      <c r="I223" s="8" t="s">
        <v>9</v>
      </c>
      <c r="J223" s="6" t="s">
        <v>120</v>
      </c>
    </row>
    <row r="224" spans="1:10">
      <c r="A224" s="9">
        <v>289</v>
      </c>
      <c r="B224" s="9">
        <v>4593</v>
      </c>
      <c r="C224" s="3">
        <v>2590000</v>
      </c>
      <c r="D224" s="3">
        <v>2590000</v>
      </c>
      <c r="E224" s="7">
        <v>0</v>
      </c>
      <c r="F224" s="5">
        <v>45874</v>
      </c>
      <c r="G224" s="4">
        <v>20250804</v>
      </c>
      <c r="H224" s="6" t="s">
        <v>30</v>
      </c>
      <c r="I224" s="8" t="s">
        <v>9</v>
      </c>
      <c r="J224" s="6" t="s">
        <v>121</v>
      </c>
    </row>
    <row r="225" spans="1:10">
      <c r="A225" s="9">
        <v>343</v>
      </c>
      <c r="B225" s="9">
        <v>7954</v>
      </c>
      <c r="C225" s="3">
        <v>70000</v>
      </c>
      <c r="D225" s="3">
        <v>70000</v>
      </c>
      <c r="E225" s="7">
        <v>0</v>
      </c>
      <c r="F225" s="5">
        <v>45877</v>
      </c>
      <c r="G225" s="4">
        <v>20250806</v>
      </c>
      <c r="H225" s="6" t="s">
        <v>30</v>
      </c>
      <c r="I225" s="8"/>
      <c r="J225" s="6" t="s">
        <v>122</v>
      </c>
    </row>
    <row r="226" spans="1:10">
      <c r="A226" s="9">
        <v>153</v>
      </c>
      <c r="B226" s="9">
        <v>9880</v>
      </c>
      <c r="C226" s="3">
        <v>820000</v>
      </c>
      <c r="D226" s="3">
        <v>820000</v>
      </c>
      <c r="E226" s="7">
        <v>0</v>
      </c>
      <c r="F226" s="5">
        <v>45880</v>
      </c>
      <c r="G226" s="4">
        <v>20250810</v>
      </c>
      <c r="H226" s="6" t="s">
        <v>30</v>
      </c>
      <c r="I226" s="8" t="s">
        <v>9</v>
      </c>
      <c r="J226" s="6" t="s">
        <v>61</v>
      </c>
    </row>
    <row r="227" spans="1:10">
      <c r="A227" s="9">
        <v>289</v>
      </c>
      <c r="B227" s="9">
        <v>4593</v>
      </c>
      <c r="C227" s="3">
        <v>2500000</v>
      </c>
      <c r="D227" s="3">
        <v>2500000</v>
      </c>
      <c r="E227" s="7">
        <v>0</v>
      </c>
      <c r="F227" s="5">
        <v>45880</v>
      </c>
      <c r="G227" s="4">
        <v>20250810</v>
      </c>
      <c r="H227" s="6" t="s">
        <v>30</v>
      </c>
      <c r="I227" s="8" t="s">
        <v>9</v>
      </c>
      <c r="J227" s="6" t="s">
        <v>121</v>
      </c>
    </row>
    <row r="228" spans="1:10">
      <c r="A228" s="9">
        <v>486</v>
      </c>
      <c r="B228" s="9">
        <v>5693</v>
      </c>
      <c r="C228" s="3">
        <v>100000</v>
      </c>
      <c r="D228" s="3">
        <v>100000</v>
      </c>
      <c r="E228" s="7">
        <v>0</v>
      </c>
      <c r="F228" s="5">
        <v>45880</v>
      </c>
      <c r="G228" s="4">
        <v>20250810</v>
      </c>
      <c r="H228" s="6" t="s">
        <v>30</v>
      </c>
      <c r="I228" s="8" t="s">
        <v>9</v>
      </c>
      <c r="J228" s="6" t="s">
        <v>123</v>
      </c>
    </row>
    <row r="229" spans="1:10">
      <c r="A229" s="9">
        <v>567</v>
      </c>
      <c r="B229" s="9">
        <v>4521</v>
      </c>
      <c r="C229" s="3">
        <v>13850000</v>
      </c>
      <c r="D229" s="3">
        <v>13850000</v>
      </c>
      <c r="E229" s="7">
        <v>0</v>
      </c>
      <c r="F229" s="5">
        <v>45880</v>
      </c>
      <c r="G229" s="4">
        <v>20250810</v>
      </c>
      <c r="H229" s="6" t="s">
        <v>30</v>
      </c>
      <c r="I229" s="8" t="s">
        <v>9</v>
      </c>
      <c r="J229" s="6" t="s">
        <v>120</v>
      </c>
    </row>
    <row r="230" spans="1:10">
      <c r="A230" s="9">
        <v>772</v>
      </c>
      <c r="B230" s="9">
        <v>3462</v>
      </c>
      <c r="C230" s="3">
        <v>6000000</v>
      </c>
      <c r="D230" s="3">
        <v>6000000</v>
      </c>
      <c r="E230" s="7">
        <v>0</v>
      </c>
      <c r="F230" s="5">
        <v>45880</v>
      </c>
      <c r="G230" s="4">
        <v>20250810</v>
      </c>
      <c r="H230" s="6" t="s">
        <v>30</v>
      </c>
      <c r="I230" s="8" t="s">
        <v>9</v>
      </c>
      <c r="J230" s="6" t="s">
        <v>124</v>
      </c>
    </row>
    <row r="231" spans="1:10">
      <c r="A231" s="9">
        <v>927</v>
      </c>
      <c r="B231" s="9">
        <v>5750</v>
      </c>
      <c r="C231" s="3">
        <v>30000</v>
      </c>
      <c r="D231" s="3">
        <v>30000</v>
      </c>
      <c r="E231" s="7">
        <v>0</v>
      </c>
      <c r="F231" s="5">
        <v>45880</v>
      </c>
      <c r="G231" s="4">
        <v>20250810</v>
      </c>
      <c r="H231" s="6" t="s">
        <v>30</v>
      </c>
      <c r="I231" s="8" t="s">
        <v>9</v>
      </c>
      <c r="J231" s="6" t="s">
        <v>39</v>
      </c>
    </row>
    <row r="232" spans="1:10">
      <c r="A232" s="9">
        <v>153</v>
      </c>
      <c r="B232" s="9">
        <v>9880</v>
      </c>
      <c r="C232" s="3">
        <v>160000</v>
      </c>
      <c r="D232" s="3">
        <v>160000</v>
      </c>
      <c r="E232" s="7">
        <v>0</v>
      </c>
      <c r="F232" s="5">
        <v>45881</v>
      </c>
      <c r="G232" s="4">
        <v>20250811</v>
      </c>
      <c r="H232" s="6" t="s">
        <v>30</v>
      </c>
      <c r="I232" s="8" t="s">
        <v>9</v>
      </c>
      <c r="J232" s="6" t="s">
        <v>61</v>
      </c>
    </row>
    <row r="233" spans="1:10">
      <c r="A233" s="9">
        <v>567</v>
      </c>
      <c r="B233" s="9">
        <v>4521</v>
      </c>
      <c r="C233" s="3">
        <v>20000</v>
      </c>
      <c r="D233" s="3">
        <v>20000</v>
      </c>
      <c r="E233" s="7">
        <v>0</v>
      </c>
      <c r="F233" s="5">
        <v>45881</v>
      </c>
      <c r="G233" s="4">
        <v>20250811</v>
      </c>
      <c r="H233" s="6" t="s">
        <v>30</v>
      </c>
      <c r="I233" s="8" t="s">
        <v>10</v>
      </c>
      <c r="J233" s="6" t="s">
        <v>120</v>
      </c>
    </row>
    <row r="234" spans="1:10">
      <c r="A234" s="9">
        <v>681</v>
      </c>
      <c r="B234" s="9">
        <v>8420</v>
      </c>
      <c r="C234" s="3">
        <v>100000</v>
      </c>
      <c r="D234" s="3">
        <v>100000</v>
      </c>
      <c r="E234" s="7">
        <v>0</v>
      </c>
      <c r="F234" s="5">
        <v>45882</v>
      </c>
      <c r="G234" s="4">
        <v>20250812</v>
      </c>
      <c r="H234" s="6" t="s">
        <v>30</v>
      </c>
      <c r="I234" s="8" t="s">
        <v>9</v>
      </c>
      <c r="J234" s="6" t="s">
        <v>117</v>
      </c>
    </row>
    <row r="235" spans="1:10">
      <c r="A235" s="9">
        <v>395</v>
      </c>
      <c r="B235" s="9">
        <v>1528</v>
      </c>
      <c r="C235" s="3">
        <v>1450000</v>
      </c>
      <c r="D235" s="3">
        <f>615000+835000</f>
        <v>1450000</v>
      </c>
      <c r="E235" s="7">
        <f t="shared" ref="E235:E250" si="22">+C235-D235</f>
        <v>0</v>
      </c>
      <c r="F235" s="5">
        <v>45882</v>
      </c>
      <c r="G235" s="4">
        <v>20250812</v>
      </c>
      <c r="H235" s="6" t="str">
        <f>VLOOKUP(B235,CAJEROS!B:D,3,0)</f>
        <v>Multifuncional</v>
      </c>
      <c r="I235" s="8" t="s">
        <v>9</v>
      </c>
      <c r="J235" s="6" t="str">
        <f>VLOOKUP(B235,CAJEROS!B:E,4,0)</f>
        <v>SUCMFVIVCI1</v>
      </c>
    </row>
    <row r="236" spans="1:10">
      <c r="A236" s="9">
        <v>141</v>
      </c>
      <c r="B236" s="10">
        <v>1541</v>
      </c>
      <c r="C236" s="3">
        <v>110000</v>
      </c>
      <c r="D236" s="3">
        <v>110000</v>
      </c>
      <c r="E236" s="7">
        <f t="shared" si="22"/>
        <v>0</v>
      </c>
      <c r="F236" s="5">
        <v>45883</v>
      </c>
      <c r="G236" s="4">
        <v>20250813</v>
      </c>
      <c r="H236" s="6" t="str">
        <f>VLOOKUP(B236,CAJEROS!B:D,3,0)</f>
        <v>Multifuncional</v>
      </c>
      <c r="I236" s="8" t="s">
        <v>9</v>
      </c>
      <c r="J236" s="6" t="str">
        <f>VLOOKUP(B236,CAJEROS!B:E,4,0)</f>
        <v>MFSUCMERCA1</v>
      </c>
    </row>
    <row r="237" spans="1:10">
      <c r="A237" s="9">
        <v>108</v>
      </c>
      <c r="B237" s="10">
        <v>2254</v>
      </c>
      <c r="C237" s="3">
        <v>1513000</v>
      </c>
      <c r="D237" s="3">
        <v>1513000</v>
      </c>
      <c r="E237" s="7">
        <f t="shared" si="22"/>
        <v>0</v>
      </c>
      <c r="F237" s="5">
        <v>45883</v>
      </c>
      <c r="G237" s="4">
        <v>20250813</v>
      </c>
      <c r="H237" s="6" t="str">
        <f>VLOOKUP(B237,CAJEROS!B:D,3,0)</f>
        <v>Multifuncional</v>
      </c>
      <c r="I237" s="8" t="s">
        <v>9</v>
      </c>
      <c r="J237" s="6" t="str">
        <f>VLOOKUP(B237,CAJEROS!B:E,4,0)</f>
        <v>MFSUCPAMER2</v>
      </c>
    </row>
    <row r="238" spans="1:10">
      <c r="A238" s="9">
        <v>777</v>
      </c>
      <c r="B238" s="10">
        <v>5009</v>
      </c>
      <c r="C238" s="3">
        <v>1105000</v>
      </c>
      <c r="D238" s="3">
        <v>1105000</v>
      </c>
      <c r="E238" s="7">
        <f t="shared" si="22"/>
        <v>0</v>
      </c>
      <c r="F238" s="5">
        <v>45883</v>
      </c>
      <c r="G238" s="4">
        <v>20250813</v>
      </c>
      <c r="H238" s="6" t="str">
        <f>VLOOKUP(B238,CAJEROS!B:D,3,0)</f>
        <v>Multifuncional</v>
      </c>
      <c r="I238" s="8" t="s">
        <v>9</v>
      </c>
      <c r="J238" s="6" t="str">
        <f>VLOOKUP(B238,CAJEROS!B:E,4,0)</f>
        <v>MF_PWASHING</v>
      </c>
    </row>
    <row r="239" spans="1:10">
      <c r="A239" s="9">
        <v>824</v>
      </c>
      <c r="B239" s="10">
        <v>5040</v>
      </c>
      <c r="C239" s="3">
        <v>50000</v>
      </c>
      <c r="D239" s="3">
        <v>50000</v>
      </c>
      <c r="E239" s="7">
        <f t="shared" si="22"/>
        <v>0</v>
      </c>
      <c r="F239" s="5">
        <v>45883</v>
      </c>
      <c r="G239" s="4">
        <v>20250813</v>
      </c>
      <c r="H239" s="6" t="str">
        <f>VLOOKUP(B239,CAJEROS!B:D,3,0)</f>
        <v>Multifuncional</v>
      </c>
      <c r="I239" s="8" t="s">
        <v>9</v>
      </c>
      <c r="J239" s="6" t="str">
        <f>VLOOKUP(B239,CAJEROS!B:E,4,0)</f>
        <v>MF_VENPLAZA</v>
      </c>
    </row>
    <row r="240" spans="1:10">
      <c r="A240" s="9">
        <v>623</v>
      </c>
      <c r="B240" s="10">
        <v>5047</v>
      </c>
      <c r="C240" s="3">
        <v>1720000</v>
      </c>
      <c r="D240" s="3">
        <v>1720000</v>
      </c>
      <c r="E240" s="7">
        <f t="shared" si="22"/>
        <v>0</v>
      </c>
      <c r="F240" s="5">
        <v>45883</v>
      </c>
      <c r="G240" s="4">
        <v>20250813</v>
      </c>
      <c r="H240" s="6" t="str">
        <f>VLOOKUP(B240,CAJEROS!B:D,3,0)</f>
        <v>Multifuncional</v>
      </c>
      <c r="I240" s="8" t="s">
        <v>9</v>
      </c>
      <c r="J240" s="6" t="str">
        <f>VLOOKUP(B240,CAJEROS!B:E,4,0)</f>
        <v>MF_FMANIZAL</v>
      </c>
    </row>
    <row r="241" spans="1:10">
      <c r="A241" s="9">
        <v>24</v>
      </c>
      <c r="B241" s="9">
        <v>5066</v>
      </c>
      <c r="C241" s="3">
        <v>2566000</v>
      </c>
      <c r="D241" s="3">
        <v>2566000</v>
      </c>
      <c r="E241" s="7">
        <f t="shared" si="22"/>
        <v>0</v>
      </c>
      <c r="F241" s="5">
        <v>45882</v>
      </c>
      <c r="G241" s="4">
        <v>20250812</v>
      </c>
      <c r="H241" s="6" t="str">
        <f>VLOOKUP(B241,CAJEROS!B:D,3,0)</f>
        <v>Multifuncional</v>
      </c>
      <c r="I241" s="8" t="s">
        <v>9</v>
      </c>
      <c r="J241" s="6" t="str">
        <f>VLOOKUP(B241,CAJEROS!B:E,4,0)</f>
        <v>MF_RIONEGPA</v>
      </c>
    </row>
    <row r="242" spans="1:10">
      <c r="A242" s="9">
        <v>300</v>
      </c>
      <c r="B242" s="10">
        <v>5139</v>
      </c>
      <c r="C242" s="3">
        <v>410000</v>
      </c>
      <c r="D242" s="3">
        <v>410000</v>
      </c>
      <c r="E242" s="7">
        <f t="shared" si="22"/>
        <v>0</v>
      </c>
      <c r="F242" s="5">
        <v>45883</v>
      </c>
      <c r="G242" s="4">
        <v>20250813</v>
      </c>
      <c r="H242" s="6" t="str">
        <f>VLOOKUP(B242,CAJEROS!B:D,3,0)</f>
        <v>Multifuncional</v>
      </c>
      <c r="I242" s="8" t="s">
        <v>9</v>
      </c>
      <c r="J242" s="6" t="str">
        <f>VLOOKUP(B242,CAJEROS!B:E,4,0)</f>
        <v>MF_AUTOP98</v>
      </c>
    </row>
    <row r="243" spans="1:10">
      <c r="A243" s="9">
        <v>53</v>
      </c>
      <c r="B243" s="10">
        <v>5141</v>
      </c>
      <c r="C243" s="3">
        <v>2550000</v>
      </c>
      <c r="D243" s="3">
        <v>2550000</v>
      </c>
      <c r="E243" s="7">
        <f t="shared" si="22"/>
        <v>0</v>
      </c>
      <c r="F243" s="5">
        <v>45883</v>
      </c>
      <c r="G243" s="4">
        <v>20250813</v>
      </c>
      <c r="H243" s="6" t="str">
        <f>VLOOKUP(B243,CAJEROS!B:D,3,0)</f>
        <v>Multifuncional</v>
      </c>
      <c r="I243" s="8" t="s">
        <v>9</v>
      </c>
      <c r="J243" s="6" t="str">
        <f>VLOOKUP(B243,CAJEROS!B:E,4,0)</f>
        <v>MF_CARRDECI</v>
      </c>
    </row>
    <row r="244" spans="1:10">
      <c r="A244" s="9">
        <v>750</v>
      </c>
      <c r="B244" s="10">
        <v>5157</v>
      </c>
      <c r="C244" s="3">
        <v>1360000</v>
      </c>
      <c r="D244" s="3">
        <v>1360000</v>
      </c>
      <c r="E244" s="7">
        <f t="shared" si="22"/>
        <v>0</v>
      </c>
      <c r="F244" s="5">
        <v>45883</v>
      </c>
      <c r="G244" s="4">
        <v>20250813</v>
      </c>
      <c r="H244" s="6" t="str">
        <f>VLOOKUP(B244,CAJEROS!B:D,3,0)</f>
        <v>Multifuncional</v>
      </c>
      <c r="I244" s="8" t="s">
        <v>9</v>
      </c>
      <c r="J244" s="6" t="str">
        <f>VLOOKUP(B244,CAJEROS!B:E,4,0)</f>
        <v>MF_AVROOSVL</v>
      </c>
    </row>
    <row r="245" spans="1:10">
      <c r="A245" s="9">
        <v>541</v>
      </c>
      <c r="B245" s="10">
        <v>5185</v>
      </c>
      <c r="C245" s="3">
        <v>1525000</v>
      </c>
      <c r="D245" s="3">
        <v>1525000</v>
      </c>
      <c r="E245" s="7">
        <f t="shared" si="22"/>
        <v>0</v>
      </c>
      <c r="F245" s="5">
        <v>45883</v>
      </c>
      <c r="G245" s="4">
        <v>20250813</v>
      </c>
      <c r="H245" s="6" t="str">
        <f>VLOOKUP(B245,CAJEROS!B:D,3,0)</f>
        <v>Multifuncional</v>
      </c>
      <c r="I245" s="8" t="s">
        <v>9</v>
      </c>
      <c r="J245" s="6" t="str">
        <f>VLOOKUP(B245,CAJEROS!B:E,4,0)</f>
        <v>MF_PARQCALD</v>
      </c>
    </row>
    <row r="246" spans="1:10">
      <c r="A246" s="9">
        <v>217</v>
      </c>
      <c r="B246" s="10">
        <v>5208</v>
      </c>
      <c r="C246" s="3">
        <v>1670000</v>
      </c>
      <c r="D246" s="3">
        <v>1670000</v>
      </c>
      <c r="E246" s="7">
        <f t="shared" si="22"/>
        <v>0</v>
      </c>
      <c r="F246" s="5">
        <v>45883</v>
      </c>
      <c r="G246" s="4">
        <v>20250813</v>
      </c>
      <c r="H246" s="6" t="str">
        <f>VLOOKUP(B246,CAJEROS!B:D,3,0)</f>
        <v>Multifuncional</v>
      </c>
      <c r="I246" s="8" t="s">
        <v>9</v>
      </c>
      <c r="J246" s="6" t="str">
        <f>VLOOKUP(B246,CAJEROS!B:E,4,0)</f>
        <v>MF_MONTEVID</v>
      </c>
    </row>
    <row r="247" spans="1:10">
      <c r="A247" s="9">
        <v>571</v>
      </c>
      <c r="B247" s="10">
        <v>6150</v>
      </c>
      <c r="C247" s="3">
        <v>1626000</v>
      </c>
      <c r="D247" s="3">
        <v>1626000</v>
      </c>
      <c r="E247" s="7">
        <f t="shared" si="22"/>
        <v>0</v>
      </c>
      <c r="F247" s="5">
        <v>45883</v>
      </c>
      <c r="G247" s="4">
        <v>20250813</v>
      </c>
      <c r="H247" s="6" t="str">
        <f>VLOOKUP(B247,CAJEROS!B:D,3,0)</f>
        <v>Multifuncional</v>
      </c>
      <c r="I247" s="8" t="s">
        <v>9</v>
      </c>
      <c r="J247" s="6" t="str">
        <f>VLOOKUP(B247,CAJEROS!B:E,4,0)</f>
        <v>MF_PALATIN</v>
      </c>
    </row>
    <row r="248" spans="1:10">
      <c r="A248" s="9">
        <v>379</v>
      </c>
      <c r="B248" s="9">
        <v>6465</v>
      </c>
      <c r="C248" s="3">
        <v>330000</v>
      </c>
      <c r="D248" s="3">
        <v>330000</v>
      </c>
      <c r="E248" s="7">
        <f t="shared" si="22"/>
        <v>0</v>
      </c>
      <c r="F248" s="5">
        <v>45881</v>
      </c>
      <c r="G248" s="4">
        <v>20250811</v>
      </c>
      <c r="H248" s="6" t="str">
        <f>VLOOKUP(B248,CAJEROS!B:D,3,0)</f>
        <v>Multifuncional</v>
      </c>
      <c r="I248" s="8" t="s">
        <v>9</v>
      </c>
      <c r="J248" s="6" t="str">
        <f>VLOOKUP(B248,CAJEROS!B:E,4,0)</f>
        <v>MF_SUCTESO1</v>
      </c>
    </row>
    <row r="249" spans="1:10">
      <c r="A249" s="9">
        <v>352</v>
      </c>
      <c r="B249" s="10">
        <v>6618</v>
      </c>
      <c r="C249" s="3">
        <v>139000</v>
      </c>
      <c r="D249" s="3">
        <v>139000</v>
      </c>
      <c r="E249" s="7">
        <f t="shared" si="22"/>
        <v>0</v>
      </c>
      <c r="F249" s="5">
        <v>45883</v>
      </c>
      <c r="G249" s="4">
        <v>20250813</v>
      </c>
      <c r="H249" s="6" t="str">
        <f>VLOOKUP(B249,CAJEROS!B:D,3,0)</f>
        <v>Multifuncional</v>
      </c>
      <c r="I249" s="8" t="s">
        <v>9</v>
      </c>
      <c r="J249" s="6" t="str">
        <f>VLOOKUP(B249,CAJEROS!B:E,4,0)</f>
        <v>MF_CHIQUINQ</v>
      </c>
    </row>
    <row r="250" spans="1:10">
      <c r="A250" s="9">
        <v>677</v>
      </c>
      <c r="B250" s="10">
        <v>7124</v>
      </c>
      <c r="C250" s="3">
        <v>91550</v>
      </c>
      <c r="D250" s="3">
        <v>91550</v>
      </c>
      <c r="E250" s="7">
        <f t="shared" si="22"/>
        <v>0</v>
      </c>
      <c r="F250" s="5">
        <v>45883</v>
      </c>
      <c r="G250" s="4">
        <v>20250813</v>
      </c>
      <c r="H250" s="6" t="str">
        <f>VLOOKUP(B250,CAJEROS!B:D,3,0)</f>
        <v>Multifuncional</v>
      </c>
      <c r="I250" s="8" t="s">
        <v>9</v>
      </c>
      <c r="J250" s="6" t="str">
        <f>VLOOKUP(B250,CAJEROS!B:E,4,0)</f>
        <v>MF_PLMERMON</v>
      </c>
    </row>
    <row r="251" spans="1:10">
      <c r="A251" s="9">
        <v>915</v>
      </c>
      <c r="B251" s="9">
        <v>8313</v>
      </c>
      <c r="C251" s="3">
        <v>160000</v>
      </c>
      <c r="D251" s="3">
        <v>160000</v>
      </c>
      <c r="E251" s="7">
        <v>0</v>
      </c>
      <c r="F251" s="5">
        <v>45882</v>
      </c>
      <c r="G251" s="4">
        <v>20250812</v>
      </c>
      <c r="H251" s="6" t="s">
        <v>24</v>
      </c>
      <c r="I251" s="8" t="s">
        <v>9</v>
      </c>
      <c r="J251" s="6" t="s">
        <v>27</v>
      </c>
    </row>
    <row r="252" spans="1:10">
      <c r="A252" s="9">
        <v>915</v>
      </c>
      <c r="B252" s="10">
        <v>8313</v>
      </c>
      <c r="C252" s="3">
        <v>810000</v>
      </c>
      <c r="D252" s="3">
        <v>810000</v>
      </c>
      <c r="E252" s="7">
        <v>0</v>
      </c>
      <c r="F252" s="5">
        <v>45883</v>
      </c>
      <c r="G252" s="4">
        <v>20250813</v>
      </c>
      <c r="H252" s="6" t="s">
        <v>24</v>
      </c>
      <c r="I252" s="8" t="s">
        <v>9</v>
      </c>
      <c r="J252" s="6" t="s">
        <v>27</v>
      </c>
    </row>
    <row r="253" spans="1:10">
      <c r="A253" s="9">
        <v>795</v>
      </c>
      <c r="B253" s="9">
        <v>1027</v>
      </c>
      <c r="C253" s="3">
        <v>768350</v>
      </c>
      <c r="D253" s="3">
        <v>768350</v>
      </c>
      <c r="E253" s="7">
        <f t="shared" ref="E253:E256" si="23">+C253-D253</f>
        <v>0</v>
      </c>
      <c r="F253" s="5">
        <v>45874</v>
      </c>
      <c r="G253" s="4">
        <v>20250804</v>
      </c>
      <c r="H253" s="6" t="str">
        <f>VLOOKUP(B253,CAJEROS!B:D,3,0)</f>
        <v>Multifuncional</v>
      </c>
      <c r="I253" s="8" t="s">
        <v>9</v>
      </c>
      <c r="J253" s="6" t="str">
        <f>VLOOKUP(B253,CAJEROS!B:E,4,0)</f>
        <v>MFSUCANVER1</v>
      </c>
    </row>
    <row r="254" spans="1:10">
      <c r="A254" s="9">
        <v>167</v>
      </c>
      <c r="B254" s="9">
        <v>5030</v>
      </c>
      <c r="C254" s="3">
        <v>1021400</v>
      </c>
      <c r="D254" s="3">
        <v>1021400</v>
      </c>
      <c r="E254" s="7">
        <f t="shared" si="23"/>
        <v>0</v>
      </c>
      <c r="F254" s="5">
        <v>45881</v>
      </c>
      <c r="G254" s="4">
        <v>20250811</v>
      </c>
      <c r="H254" s="6" t="str">
        <f>VLOOKUP(B254,CAJEROS!B:D,3,0)</f>
        <v>Multifuncional</v>
      </c>
      <c r="I254" s="8" t="s">
        <v>9</v>
      </c>
      <c r="J254" s="6" t="str">
        <f>VLOOKUP(B254,CAJEROS!B:E,4,0)</f>
        <v>MF_AVENID82</v>
      </c>
    </row>
    <row r="255" spans="1:10">
      <c r="A255" s="9">
        <v>852</v>
      </c>
      <c r="B255" s="9">
        <v>5050</v>
      </c>
      <c r="C255" s="3">
        <v>2400000</v>
      </c>
      <c r="D255" s="3">
        <f>1190000+1160000+50000</f>
        <v>2400000</v>
      </c>
      <c r="E255" s="7">
        <f t="shared" si="23"/>
        <v>0</v>
      </c>
      <c r="F255" s="5">
        <v>45881</v>
      </c>
      <c r="G255" s="4">
        <v>20250811</v>
      </c>
      <c r="H255" s="6" t="str">
        <f>VLOOKUP(B255,CAJEROS!B:D,3,0)</f>
        <v>Multifuncional</v>
      </c>
      <c r="I255" s="8" t="s">
        <v>9</v>
      </c>
      <c r="J255" s="6" t="str">
        <f>VLOOKUP(B255,CAJEROS!B:E,4,0)</f>
        <v>MF_VICPLAZA</v>
      </c>
    </row>
    <row r="256" spans="1:10">
      <c r="A256" s="9">
        <v>517</v>
      </c>
      <c r="B256" s="9">
        <v>5053</v>
      </c>
      <c r="C256" s="3">
        <v>991200</v>
      </c>
      <c r="D256" s="3">
        <f>111800+879400</f>
        <v>991200</v>
      </c>
      <c r="E256" s="7">
        <f t="shared" si="23"/>
        <v>0</v>
      </c>
      <c r="F256" s="5">
        <v>45873</v>
      </c>
      <c r="G256" s="4">
        <v>20250803</v>
      </c>
      <c r="H256" s="6" t="str">
        <f>VLOOKUP(B256,CAJEROS!B:D,3,0)</f>
        <v>Multifuncional</v>
      </c>
      <c r="I256" s="8" t="s">
        <v>9</v>
      </c>
      <c r="J256" s="6" t="str">
        <f>VLOOKUP(B256,CAJEROS!B:E,4,0)</f>
        <v>MF_RODADERO</v>
      </c>
    </row>
    <row r="257" spans="1:10">
      <c r="A257" s="9">
        <v>523</v>
      </c>
      <c r="B257" s="9">
        <v>5082</v>
      </c>
      <c r="C257" s="3">
        <v>2970000</v>
      </c>
      <c r="D257" s="3">
        <f>2720000+250000</f>
        <v>2970000</v>
      </c>
      <c r="E257" s="7">
        <f t="shared" ref="E257" si="24">+C257-D257</f>
        <v>0</v>
      </c>
      <c r="F257" s="5">
        <v>45880</v>
      </c>
      <c r="G257" s="4">
        <v>20250810</v>
      </c>
      <c r="H257" s="6" t="str">
        <f>VLOOKUP(B257,CAJEROS!B:D,3,0)</f>
        <v>Multifuncional</v>
      </c>
      <c r="I257" s="8" t="s">
        <v>9</v>
      </c>
      <c r="J257" s="6" t="str">
        <f>VLOOKUP(B257,CAJEROS!B:E,4,0)</f>
        <v>MF_OVALLEDU</v>
      </c>
    </row>
    <row r="258" spans="1:10">
      <c r="A258" s="9">
        <v>511</v>
      </c>
      <c r="B258" s="9">
        <v>5122</v>
      </c>
      <c r="C258" s="3">
        <v>310000</v>
      </c>
      <c r="D258" s="3">
        <v>310000</v>
      </c>
      <c r="E258" s="7">
        <v>0</v>
      </c>
      <c r="F258" s="5">
        <v>45870</v>
      </c>
      <c r="G258" s="4">
        <v>20250731</v>
      </c>
      <c r="H258" s="6" t="s">
        <v>24</v>
      </c>
      <c r="I258" s="8" t="s">
        <v>9</v>
      </c>
      <c r="J258" s="6" t="s">
        <v>125</v>
      </c>
    </row>
    <row r="259" spans="1:10">
      <c r="A259" s="9">
        <v>511</v>
      </c>
      <c r="B259" s="9">
        <v>5122</v>
      </c>
      <c r="C259" s="3">
        <v>1690000</v>
      </c>
      <c r="D259" s="3">
        <v>1690000</v>
      </c>
      <c r="E259" s="7">
        <v>0</v>
      </c>
      <c r="F259" s="5">
        <v>45874</v>
      </c>
      <c r="G259" s="4">
        <v>20250804</v>
      </c>
      <c r="H259" s="6" t="s">
        <v>24</v>
      </c>
      <c r="I259" s="8" t="s">
        <v>9</v>
      </c>
      <c r="J259" s="6" t="s">
        <v>125</v>
      </c>
    </row>
    <row r="260" spans="1:10">
      <c r="A260" s="9">
        <v>432</v>
      </c>
      <c r="B260" s="9">
        <v>5195</v>
      </c>
      <c r="C260" s="3">
        <v>53500</v>
      </c>
      <c r="D260" s="3">
        <v>53500</v>
      </c>
      <c r="E260" s="7">
        <v>0</v>
      </c>
      <c r="F260" s="5">
        <v>45870</v>
      </c>
      <c r="G260" s="4">
        <v>20250731</v>
      </c>
      <c r="H260" s="6" t="s">
        <v>24</v>
      </c>
      <c r="I260" s="8" t="s">
        <v>9</v>
      </c>
      <c r="J260" s="6" t="s">
        <v>126</v>
      </c>
    </row>
    <row r="261" spans="1:10">
      <c r="A261" s="9">
        <v>432</v>
      </c>
      <c r="B261" s="9">
        <v>5195</v>
      </c>
      <c r="C261" s="3">
        <v>2010000</v>
      </c>
      <c r="D261" s="3">
        <v>2010000</v>
      </c>
      <c r="E261" s="7">
        <v>0</v>
      </c>
      <c r="F261" s="5">
        <v>45874</v>
      </c>
      <c r="G261" s="4">
        <v>20250804</v>
      </c>
      <c r="H261" s="6" t="s">
        <v>24</v>
      </c>
      <c r="I261" s="8" t="s">
        <v>9</v>
      </c>
      <c r="J261" s="6" t="s">
        <v>126</v>
      </c>
    </row>
    <row r="262" spans="1:10">
      <c r="A262" s="9">
        <v>793</v>
      </c>
      <c r="B262" s="9">
        <v>5216</v>
      </c>
      <c r="C262" s="3">
        <v>151600</v>
      </c>
      <c r="D262" s="3">
        <v>151600</v>
      </c>
      <c r="E262" s="7">
        <v>0</v>
      </c>
      <c r="F262" s="5">
        <v>45874</v>
      </c>
      <c r="G262" s="4">
        <v>20250804</v>
      </c>
      <c r="H262" s="6" t="s">
        <v>24</v>
      </c>
      <c r="I262" s="8" t="s">
        <v>9</v>
      </c>
      <c r="J262" s="6" t="s">
        <v>127</v>
      </c>
    </row>
    <row r="263" spans="1:10">
      <c r="A263" s="9">
        <v>793</v>
      </c>
      <c r="B263" s="9">
        <v>5216</v>
      </c>
      <c r="C263" s="3">
        <v>60000</v>
      </c>
      <c r="D263" s="3">
        <v>60000</v>
      </c>
      <c r="E263" s="7">
        <v>0</v>
      </c>
      <c r="F263" s="5">
        <v>45875</v>
      </c>
      <c r="G263" s="4">
        <v>20250805</v>
      </c>
      <c r="H263" s="6" t="s">
        <v>24</v>
      </c>
      <c r="I263" s="8" t="s">
        <v>9</v>
      </c>
      <c r="J263" s="6" t="s">
        <v>127</v>
      </c>
    </row>
    <row r="264" spans="1:10">
      <c r="A264" s="9">
        <v>793</v>
      </c>
      <c r="B264" s="9">
        <v>5216</v>
      </c>
      <c r="C264" s="3">
        <v>346000</v>
      </c>
      <c r="D264" s="3">
        <v>346000</v>
      </c>
      <c r="E264" s="7">
        <v>0</v>
      </c>
      <c r="F264" s="5">
        <v>45881</v>
      </c>
      <c r="G264" s="4">
        <v>20250811</v>
      </c>
      <c r="H264" s="6" t="s">
        <v>24</v>
      </c>
      <c r="I264" s="8" t="s">
        <v>9</v>
      </c>
      <c r="J264" s="6" t="s">
        <v>127</v>
      </c>
    </row>
    <row r="265" spans="1:10">
      <c r="A265" s="9">
        <v>30</v>
      </c>
      <c r="B265" s="9">
        <v>6172</v>
      </c>
      <c r="C265" s="3">
        <v>200000</v>
      </c>
      <c r="D265" s="3">
        <v>200000</v>
      </c>
      <c r="E265" s="7">
        <f t="shared" ref="E265" si="25">+C265-D265</f>
        <v>0</v>
      </c>
      <c r="F265" s="5">
        <v>45880</v>
      </c>
      <c r="G265" s="4">
        <v>20250810</v>
      </c>
      <c r="H265" s="6" t="str">
        <f>VLOOKUP(B265,CAJEROS!B:D,3,0)</f>
        <v>Multifuncional</v>
      </c>
      <c r="I265" s="8" t="s">
        <v>9</v>
      </c>
      <c r="J265" s="6" t="str">
        <f>VLOOKUP(B265,CAJEROS!B:E,4,0)</f>
        <v>MF_CROCTAV1</v>
      </c>
    </row>
    <row r="266" spans="1:10">
      <c r="A266" s="9">
        <v>78</v>
      </c>
      <c r="B266" s="9">
        <v>6246</v>
      </c>
      <c r="C266" s="3">
        <v>1150000</v>
      </c>
      <c r="D266" s="3">
        <v>1150000</v>
      </c>
      <c r="E266" s="7">
        <v>0</v>
      </c>
      <c r="F266" s="5">
        <v>45880</v>
      </c>
      <c r="G266" s="4">
        <v>20250810</v>
      </c>
      <c r="H266" s="6" t="s">
        <v>24</v>
      </c>
      <c r="I266" s="8" t="s">
        <v>9</v>
      </c>
      <c r="J266" s="6" t="s">
        <v>128</v>
      </c>
    </row>
    <row r="267" spans="1:10">
      <c r="A267" s="9">
        <v>78</v>
      </c>
      <c r="B267" s="9">
        <v>6246</v>
      </c>
      <c r="C267" s="3">
        <v>1510000</v>
      </c>
      <c r="D267" s="3">
        <v>1510000</v>
      </c>
      <c r="E267" s="7">
        <v>0</v>
      </c>
      <c r="F267" s="5">
        <v>45882</v>
      </c>
      <c r="G267" s="4">
        <v>20250812</v>
      </c>
      <c r="H267" s="6" t="s">
        <v>24</v>
      </c>
      <c r="I267" s="8" t="s">
        <v>9</v>
      </c>
      <c r="J267" s="6" t="s">
        <v>128</v>
      </c>
    </row>
    <row r="268" spans="1:10">
      <c r="A268" s="9">
        <v>15</v>
      </c>
      <c r="B268" s="9">
        <v>8578</v>
      </c>
      <c r="C268" s="3">
        <v>870000</v>
      </c>
      <c r="D268" s="3">
        <v>870000</v>
      </c>
      <c r="E268" s="7">
        <v>0</v>
      </c>
      <c r="F268" s="5">
        <v>45870</v>
      </c>
      <c r="G268" s="4">
        <v>20250731</v>
      </c>
      <c r="H268" s="6" t="s">
        <v>24</v>
      </c>
      <c r="I268" s="8" t="s">
        <v>9</v>
      </c>
      <c r="J268" s="6" t="s">
        <v>129</v>
      </c>
    </row>
    <row r="269" spans="1:10">
      <c r="A269" s="9">
        <v>728</v>
      </c>
      <c r="B269" s="9">
        <v>8587</v>
      </c>
      <c r="C269" s="3">
        <v>2610000</v>
      </c>
      <c r="D269" s="3">
        <v>2610000</v>
      </c>
      <c r="E269" s="7">
        <v>0</v>
      </c>
      <c r="F269" s="5">
        <v>45873</v>
      </c>
      <c r="G269" s="4">
        <v>20250803</v>
      </c>
      <c r="H269" s="6" t="s">
        <v>24</v>
      </c>
      <c r="I269" s="8" t="s">
        <v>9</v>
      </c>
      <c r="J269" s="6" t="s">
        <v>130</v>
      </c>
    </row>
    <row r="270" spans="1:10">
      <c r="A270" s="9">
        <v>728</v>
      </c>
      <c r="B270" s="9">
        <v>8587</v>
      </c>
      <c r="C270" s="3">
        <v>1640000</v>
      </c>
      <c r="D270" s="3">
        <v>1640000</v>
      </c>
      <c r="E270" s="7">
        <v>0</v>
      </c>
      <c r="F270" s="5">
        <v>45874</v>
      </c>
      <c r="G270" s="4">
        <v>20250804</v>
      </c>
      <c r="H270" s="6" t="s">
        <v>24</v>
      </c>
      <c r="I270" s="8" t="s">
        <v>9</v>
      </c>
      <c r="J270" s="6" t="s">
        <v>130</v>
      </c>
    </row>
    <row r="271" spans="1:10">
      <c r="A271" s="9">
        <v>866</v>
      </c>
      <c r="B271" s="9">
        <v>8662</v>
      </c>
      <c r="C271" s="3">
        <v>760000</v>
      </c>
      <c r="D271" s="3">
        <v>760000</v>
      </c>
      <c r="E271" s="7">
        <v>0</v>
      </c>
      <c r="F271" s="5">
        <v>45881</v>
      </c>
      <c r="G271" s="4">
        <v>20250811</v>
      </c>
      <c r="H271" s="6" t="s">
        <v>24</v>
      </c>
      <c r="I271" s="8" t="s">
        <v>9</v>
      </c>
      <c r="J271" s="6" t="s">
        <v>131</v>
      </c>
    </row>
    <row r="272" spans="1:10">
      <c r="A272" s="9">
        <v>866</v>
      </c>
      <c r="B272" s="9">
        <v>8662</v>
      </c>
      <c r="C272" s="3">
        <v>1140000</v>
      </c>
      <c r="D272" s="3">
        <v>1140000</v>
      </c>
      <c r="E272" s="7">
        <v>0</v>
      </c>
      <c r="F272" s="5">
        <v>45882</v>
      </c>
      <c r="G272" s="4">
        <v>20250812</v>
      </c>
      <c r="H272" s="6" t="s">
        <v>24</v>
      </c>
      <c r="I272" s="8" t="s">
        <v>9</v>
      </c>
      <c r="J272" s="6" t="s">
        <v>131</v>
      </c>
    </row>
    <row r="273" spans="1:10">
      <c r="A273" s="9">
        <v>957</v>
      </c>
      <c r="B273" s="10">
        <v>9512</v>
      </c>
      <c r="C273" s="3">
        <v>2980000</v>
      </c>
      <c r="D273" s="3">
        <v>2980000</v>
      </c>
      <c r="E273" s="7">
        <f t="shared" ref="E273:E275" si="26">+C273-D273</f>
        <v>0</v>
      </c>
      <c r="F273" s="5">
        <v>45883</v>
      </c>
      <c r="G273" s="4">
        <v>20250813</v>
      </c>
      <c r="H273" s="6" t="str">
        <f>VLOOKUP(B273,CAJEROS!B:D,3,0)</f>
        <v>Multifuncional</v>
      </c>
      <c r="I273" s="8" t="s">
        <v>9</v>
      </c>
      <c r="J273" s="6" t="str">
        <f>VLOOKUP(B273,CAJEROS!B:E,4,0)</f>
        <v>MFSUCPARAL1</v>
      </c>
    </row>
    <row r="274" spans="1:10">
      <c r="A274" s="9">
        <v>197</v>
      </c>
      <c r="B274" s="10">
        <v>5084</v>
      </c>
      <c r="C274" s="3">
        <v>10000</v>
      </c>
      <c r="D274" s="3">
        <v>10000</v>
      </c>
      <c r="E274" s="7">
        <f t="shared" si="26"/>
        <v>0</v>
      </c>
      <c r="F274" s="5">
        <v>45883</v>
      </c>
      <c r="G274" s="4">
        <v>20250813</v>
      </c>
      <c r="H274" s="6" t="str">
        <f>VLOOKUP(B274,CAJEROS!B:D,3,0)</f>
        <v>Multifuncional</v>
      </c>
      <c r="I274" s="8" t="s">
        <v>10</v>
      </c>
      <c r="J274" s="6" t="str">
        <f>VLOOKUP(B274,CAJEROS!B:E,4,0)</f>
        <v>MF_GUATAPUR</v>
      </c>
    </row>
    <row r="275" spans="1:10">
      <c r="A275" s="9">
        <v>337</v>
      </c>
      <c r="B275" s="10">
        <v>6253</v>
      </c>
      <c r="C275" s="3">
        <v>1150000</v>
      </c>
      <c r="D275" s="3">
        <v>1150000</v>
      </c>
      <c r="E275" s="7">
        <f t="shared" si="26"/>
        <v>0</v>
      </c>
      <c r="F275" s="5">
        <v>45883</v>
      </c>
      <c r="G275" s="4">
        <v>20250813</v>
      </c>
      <c r="H275" s="6" t="str">
        <f>VLOOKUP(B275,CAJEROS!B:D,3,0)</f>
        <v>Multifuncional</v>
      </c>
      <c r="I275" s="8" t="s">
        <v>9</v>
      </c>
      <c r="J275" s="6" t="str">
        <f>VLOOKUP(B275,CAJEROS!B:E,4,0)</f>
        <v>MF_CHIA</v>
      </c>
    </row>
    <row r="276" spans="1:10">
      <c r="A276" s="9">
        <v>916</v>
      </c>
      <c r="B276" s="9">
        <v>5743</v>
      </c>
      <c r="C276" s="3">
        <v>300000</v>
      </c>
      <c r="D276" s="3">
        <v>300000</v>
      </c>
      <c r="E276" s="7">
        <v>0</v>
      </c>
      <c r="F276" s="5">
        <v>45870</v>
      </c>
      <c r="G276" s="4">
        <v>20250731</v>
      </c>
      <c r="H276" s="6" t="s">
        <v>30</v>
      </c>
      <c r="I276" s="8" t="s">
        <v>9</v>
      </c>
      <c r="J276" s="6" t="s">
        <v>132</v>
      </c>
    </row>
    <row r="277" spans="1:10">
      <c r="A277" s="9">
        <v>317</v>
      </c>
      <c r="B277" s="9">
        <v>3403</v>
      </c>
      <c r="C277" s="3">
        <v>200000</v>
      </c>
      <c r="D277" s="3">
        <v>200000</v>
      </c>
      <c r="E277" s="7">
        <v>0</v>
      </c>
      <c r="F277" s="5">
        <v>45873</v>
      </c>
      <c r="G277" s="4">
        <v>20250803</v>
      </c>
      <c r="H277" s="6" t="s">
        <v>30</v>
      </c>
      <c r="I277" s="8" t="s">
        <v>9</v>
      </c>
      <c r="J277" s="6" t="s">
        <v>133</v>
      </c>
    </row>
    <row r="278" spans="1:10">
      <c r="A278" s="9">
        <v>392</v>
      </c>
      <c r="B278" s="9">
        <v>4890</v>
      </c>
      <c r="C278" s="3">
        <v>720000</v>
      </c>
      <c r="D278" s="3">
        <v>720000</v>
      </c>
      <c r="E278" s="7">
        <v>0</v>
      </c>
      <c r="F278" s="5">
        <v>45873</v>
      </c>
      <c r="G278" s="4">
        <v>20250803</v>
      </c>
      <c r="H278" s="6" t="s">
        <v>30</v>
      </c>
      <c r="I278" s="8" t="s">
        <v>9</v>
      </c>
      <c r="J278" s="6" t="s">
        <v>134</v>
      </c>
    </row>
    <row r="279" spans="1:10">
      <c r="A279" s="9">
        <v>861</v>
      </c>
      <c r="B279" s="9">
        <v>5957</v>
      </c>
      <c r="C279" s="3">
        <v>370000</v>
      </c>
      <c r="D279" s="3">
        <v>370000</v>
      </c>
      <c r="E279" s="7">
        <v>0</v>
      </c>
      <c r="F279" s="5">
        <v>45873</v>
      </c>
      <c r="G279" s="4">
        <v>20250803</v>
      </c>
      <c r="H279" s="6" t="s">
        <v>30</v>
      </c>
      <c r="I279" s="8" t="s">
        <v>9</v>
      </c>
      <c r="J279" s="6" t="s">
        <v>135</v>
      </c>
    </row>
    <row r="280" spans="1:10">
      <c r="A280" s="9">
        <v>861</v>
      </c>
      <c r="B280" s="9">
        <v>5958</v>
      </c>
      <c r="C280" s="3">
        <v>760000</v>
      </c>
      <c r="D280" s="3">
        <v>760000</v>
      </c>
      <c r="E280" s="7">
        <v>0</v>
      </c>
      <c r="F280" s="5">
        <v>45873</v>
      </c>
      <c r="G280" s="4">
        <v>20250803</v>
      </c>
      <c r="H280" s="6" t="s">
        <v>30</v>
      </c>
      <c r="I280" s="8" t="s">
        <v>9</v>
      </c>
      <c r="J280" s="6" t="s">
        <v>136</v>
      </c>
    </row>
    <row r="281" spans="1:10">
      <c r="A281" s="9">
        <v>741</v>
      </c>
      <c r="B281" s="9">
        <v>6841</v>
      </c>
      <c r="C281" s="3">
        <v>1580000</v>
      </c>
      <c r="D281" s="3">
        <v>1580000</v>
      </c>
      <c r="E281" s="7">
        <v>0</v>
      </c>
      <c r="F281" s="5">
        <v>45874</v>
      </c>
      <c r="G281" s="4">
        <v>20250804</v>
      </c>
      <c r="H281" s="6" t="s">
        <v>30</v>
      </c>
      <c r="I281" s="8" t="s">
        <v>9</v>
      </c>
      <c r="J281" s="6" t="s">
        <v>137</v>
      </c>
    </row>
    <row r="282" spans="1:10">
      <c r="A282" s="9">
        <v>422</v>
      </c>
      <c r="B282" s="9">
        <v>4555</v>
      </c>
      <c r="C282" s="3">
        <v>1250000</v>
      </c>
      <c r="D282" s="3">
        <v>1250000</v>
      </c>
      <c r="E282" s="7">
        <v>0</v>
      </c>
      <c r="F282" s="5">
        <v>45877</v>
      </c>
      <c r="G282" s="4">
        <v>20250806</v>
      </c>
      <c r="H282" s="6" t="s">
        <v>30</v>
      </c>
      <c r="I282" s="8"/>
      <c r="J282" s="6" t="s">
        <v>138</v>
      </c>
    </row>
    <row r="283" spans="1:10">
      <c r="A283" s="9">
        <v>186</v>
      </c>
      <c r="B283" s="9">
        <v>6514</v>
      </c>
      <c r="C283" s="3">
        <v>300000</v>
      </c>
      <c r="D283" s="3">
        <v>300000</v>
      </c>
      <c r="E283" s="7">
        <v>0</v>
      </c>
      <c r="F283" s="5">
        <v>45877</v>
      </c>
      <c r="G283" s="4">
        <v>20250807</v>
      </c>
      <c r="H283" s="6" t="s">
        <v>30</v>
      </c>
      <c r="I283" s="8" t="s">
        <v>9</v>
      </c>
      <c r="J283" s="6" t="s">
        <v>139</v>
      </c>
    </row>
    <row r="284" spans="1:10">
      <c r="A284" s="9">
        <v>591</v>
      </c>
      <c r="B284" s="9">
        <v>7833</v>
      </c>
      <c r="C284" s="3">
        <v>9470000</v>
      </c>
      <c r="D284" s="3">
        <v>9470000</v>
      </c>
      <c r="E284" s="7">
        <v>0</v>
      </c>
      <c r="F284" s="5">
        <v>45877</v>
      </c>
      <c r="G284" s="4">
        <v>20250807</v>
      </c>
      <c r="H284" s="6" t="s">
        <v>30</v>
      </c>
      <c r="I284" s="8" t="s">
        <v>9</v>
      </c>
      <c r="J284" s="6" t="s">
        <v>140</v>
      </c>
    </row>
    <row r="285" spans="1:10">
      <c r="A285" s="9">
        <v>7</v>
      </c>
      <c r="B285" s="9">
        <v>5617</v>
      </c>
      <c r="C285" s="3">
        <v>1000000</v>
      </c>
      <c r="D285" s="3">
        <v>1000000</v>
      </c>
      <c r="E285" s="7">
        <v>0</v>
      </c>
      <c r="F285" s="5">
        <v>45880</v>
      </c>
      <c r="G285" s="4">
        <v>20250810</v>
      </c>
      <c r="H285" s="6" t="s">
        <v>30</v>
      </c>
      <c r="I285" s="8" t="s">
        <v>9</v>
      </c>
      <c r="J285" s="6" t="s">
        <v>141</v>
      </c>
    </row>
    <row r="286" spans="1:10">
      <c r="A286" s="9">
        <v>392</v>
      </c>
      <c r="B286" s="9">
        <v>4890</v>
      </c>
      <c r="C286" s="3">
        <v>50000</v>
      </c>
      <c r="D286" s="3">
        <v>50000</v>
      </c>
      <c r="E286" s="7">
        <v>0</v>
      </c>
      <c r="F286" s="5">
        <v>45880</v>
      </c>
      <c r="G286" s="4">
        <v>20250810</v>
      </c>
      <c r="H286" s="6" t="s">
        <v>30</v>
      </c>
      <c r="I286" s="8" t="s">
        <v>9</v>
      </c>
      <c r="J286" s="6" t="s">
        <v>134</v>
      </c>
    </row>
    <row r="287" spans="1:10">
      <c r="A287" s="9">
        <v>467</v>
      </c>
      <c r="B287" s="9">
        <v>8912</v>
      </c>
      <c r="C287" s="3">
        <v>50000</v>
      </c>
      <c r="D287" s="3">
        <v>50000</v>
      </c>
      <c r="E287" s="7">
        <v>0</v>
      </c>
      <c r="F287" s="5">
        <v>45880</v>
      </c>
      <c r="G287" s="4">
        <v>20250810</v>
      </c>
      <c r="H287" s="6" t="s">
        <v>30</v>
      </c>
      <c r="I287" s="8" t="s">
        <v>9</v>
      </c>
      <c r="J287" s="6" t="s">
        <v>142</v>
      </c>
    </row>
    <row r="288" spans="1:10">
      <c r="A288" s="9">
        <v>30</v>
      </c>
      <c r="B288" s="9">
        <v>4957</v>
      </c>
      <c r="C288" s="3">
        <v>300000</v>
      </c>
      <c r="D288" s="3">
        <v>300000</v>
      </c>
      <c r="E288" s="7">
        <v>0</v>
      </c>
      <c r="F288" s="5">
        <v>45881</v>
      </c>
      <c r="G288" s="4">
        <v>20250811</v>
      </c>
      <c r="H288" s="6" t="s">
        <v>30</v>
      </c>
      <c r="I288" s="8" t="s">
        <v>9</v>
      </c>
      <c r="J288" s="6" t="s">
        <v>143</v>
      </c>
    </row>
    <row r="289" spans="1:10">
      <c r="A289" s="9">
        <v>30</v>
      </c>
      <c r="B289" s="9">
        <v>4958</v>
      </c>
      <c r="C289" s="3">
        <v>2000000</v>
      </c>
      <c r="D289" s="3">
        <v>2000000</v>
      </c>
      <c r="E289" s="7">
        <v>0</v>
      </c>
      <c r="F289" s="5">
        <v>45881</v>
      </c>
      <c r="G289" s="4">
        <v>20250811</v>
      </c>
      <c r="H289" s="6" t="s">
        <v>30</v>
      </c>
      <c r="I289" s="8" t="s">
        <v>9</v>
      </c>
      <c r="J289" s="6" t="s">
        <v>144</v>
      </c>
    </row>
    <row r="290" spans="1:10">
      <c r="A290" s="9">
        <v>186</v>
      </c>
      <c r="B290" s="9">
        <v>6514</v>
      </c>
      <c r="C290" s="3">
        <v>2700000</v>
      </c>
      <c r="D290" s="3">
        <v>2700000</v>
      </c>
      <c r="E290" s="7">
        <v>0</v>
      </c>
      <c r="F290" s="5">
        <v>45881</v>
      </c>
      <c r="G290" s="4">
        <v>20250811</v>
      </c>
      <c r="H290" s="6" t="s">
        <v>30</v>
      </c>
      <c r="I290" s="8" t="s">
        <v>9</v>
      </c>
      <c r="J290" s="6" t="s">
        <v>139</v>
      </c>
    </row>
    <row r="291" spans="1:10">
      <c r="A291" s="9">
        <v>385</v>
      </c>
      <c r="B291" s="9">
        <v>1826</v>
      </c>
      <c r="C291" s="3">
        <v>90000</v>
      </c>
      <c r="D291" s="3">
        <v>90000</v>
      </c>
      <c r="E291" s="7">
        <v>0</v>
      </c>
      <c r="F291" s="5">
        <v>45881</v>
      </c>
      <c r="G291" s="4">
        <v>20250811</v>
      </c>
      <c r="H291" s="6" t="s">
        <v>30</v>
      </c>
      <c r="I291" s="8" t="s">
        <v>9</v>
      </c>
      <c r="J291" s="6" t="s">
        <v>145</v>
      </c>
    </row>
    <row r="292" spans="1:10">
      <c r="A292" s="9">
        <v>849</v>
      </c>
      <c r="B292" s="9">
        <v>9720</v>
      </c>
      <c r="C292" s="3">
        <v>1400000</v>
      </c>
      <c r="D292" s="3">
        <v>1400000</v>
      </c>
      <c r="E292" s="7">
        <v>0</v>
      </c>
      <c r="F292" s="5">
        <v>45881</v>
      </c>
      <c r="G292" s="4">
        <v>20250811</v>
      </c>
      <c r="H292" s="6" t="s">
        <v>30</v>
      </c>
      <c r="I292" s="8" t="s">
        <v>9</v>
      </c>
      <c r="J292" s="6" t="s">
        <v>146</v>
      </c>
    </row>
    <row r="293" spans="1:10">
      <c r="A293" s="9">
        <v>849</v>
      </c>
      <c r="B293" s="9">
        <v>9723</v>
      </c>
      <c r="C293" s="3">
        <v>800000</v>
      </c>
      <c r="D293" s="3">
        <v>800000</v>
      </c>
      <c r="E293" s="7">
        <v>0</v>
      </c>
      <c r="F293" s="5">
        <v>45881</v>
      </c>
      <c r="G293" s="4">
        <v>20250811</v>
      </c>
      <c r="H293" s="6" t="s">
        <v>30</v>
      </c>
      <c r="I293" s="8" t="s">
        <v>9</v>
      </c>
      <c r="J293" s="6" t="s">
        <v>34</v>
      </c>
    </row>
    <row r="294" spans="1:10">
      <c r="A294" s="9">
        <v>861</v>
      </c>
      <c r="B294" s="9">
        <v>5958</v>
      </c>
      <c r="C294" s="3">
        <v>200000</v>
      </c>
      <c r="D294" s="3">
        <v>200000</v>
      </c>
      <c r="E294" s="7">
        <v>0</v>
      </c>
      <c r="F294" s="5">
        <v>45881</v>
      </c>
      <c r="G294" s="4">
        <v>20250811</v>
      </c>
      <c r="H294" s="6" t="s">
        <v>30</v>
      </c>
      <c r="I294" s="8" t="s">
        <v>9</v>
      </c>
      <c r="J294" s="6" t="s">
        <v>136</v>
      </c>
    </row>
    <row r="295" spans="1:10">
      <c r="A295" s="9">
        <v>392</v>
      </c>
      <c r="B295" s="9">
        <v>4890</v>
      </c>
      <c r="C295" s="3">
        <v>90000</v>
      </c>
      <c r="D295" s="3">
        <v>90000</v>
      </c>
      <c r="E295" s="7">
        <v>0</v>
      </c>
      <c r="F295" s="5">
        <v>45882</v>
      </c>
      <c r="G295" s="4">
        <v>20250812</v>
      </c>
      <c r="H295" s="6" t="s">
        <v>30</v>
      </c>
      <c r="I295" s="8" t="s">
        <v>9</v>
      </c>
      <c r="J295" s="6" t="s">
        <v>134</v>
      </c>
    </row>
    <row r="296" spans="1:10">
      <c r="A296" s="9">
        <v>741</v>
      </c>
      <c r="B296" s="9">
        <v>6842</v>
      </c>
      <c r="C296" s="3">
        <v>500000</v>
      </c>
      <c r="D296" s="3">
        <v>500000</v>
      </c>
      <c r="E296" s="7">
        <v>0</v>
      </c>
      <c r="F296" s="5">
        <v>45882</v>
      </c>
      <c r="G296" s="4">
        <v>20250812</v>
      </c>
      <c r="H296" s="6" t="s">
        <v>30</v>
      </c>
      <c r="I296" s="8" t="s">
        <v>9</v>
      </c>
      <c r="J296" s="6" t="s">
        <v>147</v>
      </c>
    </row>
    <row r="297" spans="1:10">
      <c r="A297" s="9">
        <v>30</v>
      </c>
      <c r="B297" s="10">
        <v>4958</v>
      </c>
      <c r="C297" s="3">
        <v>2900000</v>
      </c>
      <c r="D297" s="3">
        <v>2900000</v>
      </c>
      <c r="E297" s="7">
        <v>0</v>
      </c>
      <c r="F297" s="5">
        <v>45883</v>
      </c>
      <c r="G297" s="4">
        <v>20250813</v>
      </c>
      <c r="H297" s="6" t="s">
        <v>30</v>
      </c>
      <c r="I297" s="8" t="s">
        <v>9</v>
      </c>
      <c r="J297" s="6" t="s">
        <v>144</v>
      </c>
    </row>
    <row r="298" spans="1:10">
      <c r="A298" s="9">
        <v>163</v>
      </c>
      <c r="B298" s="10">
        <v>4130</v>
      </c>
      <c r="C298" s="3">
        <v>900000</v>
      </c>
      <c r="D298" s="3">
        <v>900000</v>
      </c>
      <c r="E298" s="7">
        <v>0</v>
      </c>
      <c r="F298" s="5">
        <v>45883</v>
      </c>
      <c r="G298" s="4">
        <v>20250813</v>
      </c>
      <c r="H298" s="6" t="s">
        <v>30</v>
      </c>
      <c r="I298" s="8" t="s">
        <v>9</v>
      </c>
      <c r="J298" s="6" t="s">
        <v>148</v>
      </c>
    </row>
    <row r="299" spans="1:10">
      <c r="A299" s="9">
        <v>305</v>
      </c>
      <c r="B299" s="10">
        <v>3279</v>
      </c>
      <c r="C299" s="3">
        <v>2990000</v>
      </c>
      <c r="D299" s="3">
        <v>2990000</v>
      </c>
      <c r="E299" s="7">
        <v>0</v>
      </c>
      <c r="F299" s="5">
        <v>45883</v>
      </c>
      <c r="G299" s="4">
        <v>20250813</v>
      </c>
      <c r="H299" s="6" t="s">
        <v>30</v>
      </c>
      <c r="I299" s="8" t="s">
        <v>9</v>
      </c>
      <c r="J299" s="6" t="s">
        <v>149</v>
      </c>
    </row>
    <row r="300" spans="1:10">
      <c r="A300" s="9">
        <v>392</v>
      </c>
      <c r="B300" s="10">
        <v>4890</v>
      </c>
      <c r="C300" s="3">
        <v>1600000</v>
      </c>
      <c r="D300" s="3">
        <v>1600000</v>
      </c>
      <c r="E300" s="7">
        <v>0</v>
      </c>
      <c r="F300" s="5">
        <v>45883</v>
      </c>
      <c r="G300" s="4">
        <v>20250813</v>
      </c>
      <c r="H300" s="6" t="s">
        <v>30</v>
      </c>
      <c r="I300" s="8" t="s">
        <v>9</v>
      </c>
      <c r="J300" s="6" t="s">
        <v>134</v>
      </c>
    </row>
    <row r="301" spans="1:10">
      <c r="A301" s="9">
        <v>849</v>
      </c>
      <c r="B301" s="10">
        <v>9721</v>
      </c>
      <c r="C301" s="3">
        <v>4300000</v>
      </c>
      <c r="D301" s="3">
        <v>4300000</v>
      </c>
      <c r="E301" s="7">
        <v>0</v>
      </c>
      <c r="F301" s="5">
        <v>45883</v>
      </c>
      <c r="G301" s="4">
        <v>20250813</v>
      </c>
      <c r="H301" s="6" t="s">
        <v>30</v>
      </c>
      <c r="I301" s="8" t="s">
        <v>9</v>
      </c>
      <c r="J301" s="6" t="s">
        <v>150</v>
      </c>
    </row>
    <row r="302" spans="1:10">
      <c r="A302" s="9">
        <v>481</v>
      </c>
      <c r="B302" s="10">
        <v>1011</v>
      </c>
      <c r="C302" s="3">
        <v>1020000</v>
      </c>
      <c r="D302" s="3">
        <v>1020000</v>
      </c>
      <c r="E302" s="7">
        <f t="shared" ref="E302:E309" si="27">+C302-D302</f>
        <v>0</v>
      </c>
      <c r="F302" s="5">
        <v>45884</v>
      </c>
      <c r="G302" s="4">
        <v>20250814</v>
      </c>
      <c r="H302" s="6" t="str">
        <f>VLOOKUP(B302,CAJEROS!B:D,3,0)</f>
        <v>Multifuncional</v>
      </c>
      <c r="I302" s="8" t="s">
        <v>9</v>
      </c>
      <c r="J302" s="6" t="str">
        <f>VLOOKUP(B302,CAJEROS!B:E,4,0)</f>
        <v>MF_SOLEDAD2</v>
      </c>
    </row>
    <row r="303" spans="1:10">
      <c r="A303" s="9">
        <v>745</v>
      </c>
      <c r="B303" s="10">
        <v>1477</v>
      </c>
      <c r="C303" s="3">
        <v>2676000</v>
      </c>
      <c r="D303" s="3">
        <v>2676000</v>
      </c>
      <c r="E303" s="7">
        <f t="shared" si="27"/>
        <v>0</v>
      </c>
      <c r="F303" s="5">
        <v>45884</v>
      </c>
      <c r="G303" s="4">
        <v>20250814</v>
      </c>
      <c r="H303" s="6" t="str">
        <f>VLOOKUP(B303,CAJEROS!B:D,3,0)</f>
        <v>Multifuncional</v>
      </c>
      <c r="I303" s="8" t="s">
        <v>9</v>
      </c>
      <c r="J303" s="6" t="str">
        <f>VLOOKUP(B303,CAJEROS!B:E,4,0)</f>
        <v>MFSUCMALPZ2</v>
      </c>
    </row>
    <row r="304" spans="1:10">
      <c r="A304" s="9">
        <v>377</v>
      </c>
      <c r="B304" s="10">
        <v>1508</v>
      </c>
      <c r="C304" s="3">
        <v>1613000</v>
      </c>
      <c r="D304" s="3">
        <v>1613000</v>
      </c>
      <c r="E304" s="7">
        <f t="shared" si="27"/>
        <v>0</v>
      </c>
      <c r="F304" s="5">
        <v>45884</v>
      </c>
      <c r="G304" s="4">
        <v>20250814</v>
      </c>
      <c r="H304" s="6" t="str">
        <f>VLOOKUP(B304,CAJEROS!B:D,3,0)</f>
        <v>Multifuncional</v>
      </c>
      <c r="I304" s="8" t="s">
        <v>9</v>
      </c>
      <c r="J304" s="6" t="str">
        <f>VLOOKUP(B304,CAJEROS!B:E,4,0)</f>
        <v>MFSUCCIAV1</v>
      </c>
    </row>
    <row r="305" spans="1:10">
      <c r="A305" s="9">
        <v>395</v>
      </c>
      <c r="B305" s="10">
        <v>1529</v>
      </c>
      <c r="C305" s="3">
        <v>1520000</v>
      </c>
      <c r="D305" s="3">
        <v>1520000</v>
      </c>
      <c r="E305" s="7">
        <f t="shared" si="27"/>
        <v>0</v>
      </c>
      <c r="F305" s="5">
        <v>45884</v>
      </c>
      <c r="G305" s="4">
        <v>20250814</v>
      </c>
      <c r="H305" s="6" t="str">
        <f>VLOOKUP(B305,CAJEROS!B:D,3,0)</f>
        <v>Multifuncional</v>
      </c>
      <c r="I305" s="8" t="s">
        <v>9</v>
      </c>
      <c r="J305" s="6" t="str">
        <f>VLOOKUP(B305,CAJEROS!B:E,4,0)</f>
        <v>SUCMFVIVCI2</v>
      </c>
    </row>
    <row r="306" spans="1:10">
      <c r="A306" s="9">
        <v>882</v>
      </c>
      <c r="B306" s="10">
        <v>5020</v>
      </c>
      <c r="C306" s="3">
        <v>1650000</v>
      </c>
      <c r="D306" s="3">
        <v>1650000</v>
      </c>
      <c r="E306" s="7">
        <f t="shared" si="27"/>
        <v>0</v>
      </c>
      <c r="F306" s="5">
        <v>45884</v>
      </c>
      <c r="G306" s="4">
        <v>20250814</v>
      </c>
      <c r="H306" s="6" t="str">
        <f>VLOOKUP(B306,CAJEROS!B:D,3,0)</f>
        <v>Multifuncional</v>
      </c>
      <c r="I306" s="8" t="s">
        <v>9</v>
      </c>
      <c r="J306" s="6" t="str">
        <f>VLOOKUP(B306,CAJEROS!B:E,4,0)</f>
        <v>MF_LIBERTAD</v>
      </c>
    </row>
    <row r="307" spans="1:10">
      <c r="A307" s="9">
        <v>154</v>
      </c>
      <c r="B307" s="10">
        <v>5041</v>
      </c>
      <c r="C307" s="3">
        <v>490000</v>
      </c>
      <c r="D307" s="3">
        <v>490000</v>
      </c>
      <c r="E307" s="7">
        <f t="shared" si="27"/>
        <v>0</v>
      </c>
      <c r="F307" s="5">
        <v>45884</v>
      </c>
      <c r="G307" s="4">
        <v>20250814</v>
      </c>
      <c r="H307" s="6" t="str">
        <f>VLOOKUP(B307,CAJEROS!B:D,3,0)</f>
        <v>Multifuncional</v>
      </c>
      <c r="I307" s="8" t="s">
        <v>9</v>
      </c>
      <c r="J307" s="6" t="str">
        <f>VLOOKUP(B307,CAJEROS!B:E,4,0)</f>
        <v>MF_CMAYOR</v>
      </c>
    </row>
    <row r="308" spans="1:10">
      <c r="A308" s="9">
        <v>781</v>
      </c>
      <c r="B308" s="10">
        <v>5057</v>
      </c>
      <c r="C308" s="3">
        <v>1600000</v>
      </c>
      <c r="D308" s="3">
        <v>1600000</v>
      </c>
      <c r="E308" s="7">
        <f t="shared" si="27"/>
        <v>0</v>
      </c>
      <c r="F308" s="5">
        <v>45884</v>
      </c>
      <c r="G308" s="4">
        <v>20250814</v>
      </c>
      <c r="H308" s="6" t="str">
        <f>VLOOKUP(B308,CAJEROS!B:D,3,0)</f>
        <v>Multifuncional</v>
      </c>
      <c r="I308" s="8" t="s">
        <v>9</v>
      </c>
      <c r="J308" s="6" t="str">
        <f>VLOOKUP(B308,CAJEROS!B:E,4,0)</f>
        <v>MF_PRPLAZA</v>
      </c>
    </row>
    <row r="309" spans="1:10">
      <c r="A309" s="9">
        <v>292</v>
      </c>
      <c r="B309" s="10">
        <v>5116</v>
      </c>
      <c r="C309" s="3">
        <v>1470000</v>
      </c>
      <c r="D309" s="3">
        <v>1470000</v>
      </c>
      <c r="E309" s="7">
        <f t="shared" si="27"/>
        <v>0</v>
      </c>
      <c r="F309" s="5">
        <v>45884</v>
      </c>
      <c r="G309" s="4">
        <v>20250814</v>
      </c>
      <c r="H309" s="6" t="str">
        <f>VLOOKUP(B309,CAJEROS!B:D,3,0)</f>
        <v>Multifuncional</v>
      </c>
      <c r="I309" s="8" t="s">
        <v>9</v>
      </c>
      <c r="J309" s="6" t="str">
        <f>VLOOKUP(B309,CAJEROS!B:E,4,0)</f>
        <v>MF_CONFECCI</v>
      </c>
    </row>
    <row r="310" spans="1:10">
      <c r="A310" s="9">
        <v>725</v>
      </c>
      <c r="B310" s="10">
        <v>5166</v>
      </c>
      <c r="C310" s="3">
        <v>900000</v>
      </c>
      <c r="D310" s="3">
        <v>900000</v>
      </c>
      <c r="E310" s="7">
        <v>0</v>
      </c>
      <c r="F310" s="5">
        <v>45883</v>
      </c>
      <c r="G310" s="4">
        <v>20250813</v>
      </c>
      <c r="H310" s="6" t="s">
        <v>24</v>
      </c>
      <c r="I310" s="8" t="s">
        <v>9</v>
      </c>
      <c r="J310" s="6" t="s">
        <v>91</v>
      </c>
    </row>
    <row r="311" spans="1:10">
      <c r="A311" s="9">
        <v>725</v>
      </c>
      <c r="B311" s="10">
        <v>5166</v>
      </c>
      <c r="C311" s="3">
        <v>1060000</v>
      </c>
      <c r="D311" s="3">
        <v>1060000</v>
      </c>
      <c r="E311" s="7">
        <v>0</v>
      </c>
      <c r="F311" s="5">
        <v>45884</v>
      </c>
      <c r="G311" s="4">
        <v>20250814</v>
      </c>
      <c r="H311" s="6" t="s">
        <v>24</v>
      </c>
      <c r="I311" s="8" t="s">
        <v>9</v>
      </c>
      <c r="J311" s="6" t="s">
        <v>91</v>
      </c>
    </row>
    <row r="312" spans="1:10">
      <c r="A312" s="9">
        <v>237</v>
      </c>
      <c r="B312" s="10">
        <v>6467</v>
      </c>
      <c r="C312" s="3">
        <v>95000</v>
      </c>
      <c r="D312" s="3">
        <v>95000</v>
      </c>
      <c r="E312" s="7">
        <v>0</v>
      </c>
      <c r="F312" s="5">
        <v>45883</v>
      </c>
      <c r="G312" s="4">
        <v>20250813</v>
      </c>
      <c r="H312" s="6" t="s">
        <v>24</v>
      </c>
      <c r="I312" s="8" t="s">
        <v>9</v>
      </c>
      <c r="J312" s="6" t="s">
        <v>151</v>
      </c>
    </row>
    <row r="313" spans="1:10">
      <c r="A313" s="9">
        <v>237</v>
      </c>
      <c r="B313" s="10">
        <v>6467</v>
      </c>
      <c r="C313" s="3">
        <v>2620000</v>
      </c>
      <c r="D313" s="3">
        <v>2620000</v>
      </c>
      <c r="E313" s="7">
        <v>0</v>
      </c>
      <c r="F313" s="5">
        <v>45884</v>
      </c>
      <c r="G313" s="4">
        <v>20250814</v>
      </c>
      <c r="H313" s="6" t="s">
        <v>24</v>
      </c>
      <c r="I313" s="8" t="s">
        <v>9</v>
      </c>
      <c r="J313" s="6" t="s">
        <v>151</v>
      </c>
    </row>
    <row r="314" spans="1:10">
      <c r="A314" s="9">
        <v>725</v>
      </c>
      <c r="B314" s="10">
        <v>8090</v>
      </c>
      <c r="C314" s="3">
        <v>50000</v>
      </c>
      <c r="D314" s="3">
        <v>50000</v>
      </c>
      <c r="E314" s="7">
        <f t="shared" ref="E314:E315" si="28">+C314-D314</f>
        <v>0</v>
      </c>
      <c r="F314" s="5">
        <v>45884</v>
      </c>
      <c r="G314" s="4">
        <v>20250814</v>
      </c>
      <c r="H314" s="6" t="str">
        <f>VLOOKUP(B314,CAJEROS!B:D,3,0)</f>
        <v>Multifuncional</v>
      </c>
      <c r="I314" s="8" t="s">
        <v>9</v>
      </c>
      <c r="J314" s="6" t="str">
        <f>VLOOKUP(B314,CAJEROS!B:E,4,0)</f>
        <v>MF_DOSQUEB2</v>
      </c>
    </row>
    <row r="315" spans="1:10">
      <c r="A315" s="9">
        <v>769</v>
      </c>
      <c r="B315" s="10">
        <v>8679</v>
      </c>
      <c r="C315" s="3">
        <v>640000</v>
      </c>
      <c r="D315" s="3">
        <v>640000</v>
      </c>
      <c r="E315" s="7">
        <f t="shared" si="28"/>
        <v>0</v>
      </c>
      <c r="F315" s="5">
        <v>45884</v>
      </c>
      <c r="G315" s="4">
        <v>20250814</v>
      </c>
      <c r="H315" s="6" t="str">
        <f>VLOOKUP(B315,CAJEROS!B:D,3,0)</f>
        <v>Multifuncional</v>
      </c>
      <c r="I315" s="8" t="s">
        <v>9</v>
      </c>
      <c r="J315" s="6" t="str">
        <f>VLOOKUP(B315,CAJEROS!B:E,4,0)</f>
        <v>MF_SUCPPRA1</v>
      </c>
    </row>
    <row r="316" spans="1:10">
      <c r="A316" s="9">
        <v>33</v>
      </c>
      <c r="B316" s="9">
        <v>8861</v>
      </c>
      <c r="C316" s="3">
        <v>1000</v>
      </c>
      <c r="D316" s="3">
        <v>1000</v>
      </c>
      <c r="E316" s="7">
        <f t="shared" ref="E316" si="29">+C316-D316</f>
        <v>0</v>
      </c>
      <c r="F316" s="5">
        <v>45882</v>
      </c>
      <c r="G316" s="4">
        <v>20250812</v>
      </c>
      <c r="H316" s="6" t="str">
        <f>VLOOKUP(B316,CAJEROS!B:D,3,0)</f>
        <v>Multifuncional</v>
      </c>
      <c r="I316" s="8"/>
      <c r="J316" s="6" t="str">
        <f>VLOOKUP(B316,CAJEROS!B:E,4,0)</f>
        <v>MF_SPOLCLU1</v>
      </c>
    </row>
    <row r="317" spans="1:10">
      <c r="A317" s="9">
        <v>54</v>
      </c>
      <c r="B317" s="10">
        <v>6204</v>
      </c>
      <c r="C317" s="3">
        <v>410000</v>
      </c>
      <c r="D317" s="3">
        <v>410000</v>
      </c>
      <c r="E317" s="7">
        <v>0</v>
      </c>
      <c r="F317" s="5">
        <v>45883</v>
      </c>
      <c r="G317" s="4">
        <v>20250813</v>
      </c>
      <c r="H317" s="6" t="s">
        <v>24</v>
      </c>
      <c r="I317" s="8" t="s">
        <v>9</v>
      </c>
      <c r="J317" s="6" t="s">
        <v>152</v>
      </c>
    </row>
    <row r="318" spans="1:10">
      <c r="A318" s="9">
        <v>54</v>
      </c>
      <c r="B318" s="10">
        <v>6204</v>
      </c>
      <c r="C318" s="3">
        <v>850000</v>
      </c>
      <c r="D318" s="3">
        <v>850000</v>
      </c>
      <c r="E318" s="7">
        <v>0</v>
      </c>
      <c r="F318" s="5">
        <v>45884</v>
      </c>
      <c r="G318" s="4">
        <v>20250814</v>
      </c>
      <c r="H318" s="6" t="s">
        <v>24</v>
      </c>
      <c r="I318" s="8" t="s">
        <v>9</v>
      </c>
      <c r="J318" s="6" t="s">
        <v>152</v>
      </c>
    </row>
    <row r="319" spans="1:10">
      <c r="A319" s="9">
        <v>609</v>
      </c>
      <c r="B319" s="9">
        <v>7875</v>
      </c>
      <c r="C319" s="3">
        <v>1840000</v>
      </c>
      <c r="D319" s="3">
        <f>495000+1190000+155000</f>
        <v>1840000</v>
      </c>
      <c r="E319" s="7">
        <f t="shared" ref="E319" si="30">+C319-D319</f>
        <v>0</v>
      </c>
      <c r="F319" s="5">
        <v>45882</v>
      </c>
      <c r="G319" s="4">
        <v>20250812</v>
      </c>
      <c r="H319" s="6" t="str">
        <f>VLOOKUP(B319,CAJEROS!B:D,3,0)</f>
        <v>Multifuncional</v>
      </c>
      <c r="I319" s="8" t="s">
        <v>9</v>
      </c>
      <c r="J319" s="6" t="str">
        <f>VLOOKUP(B319,CAJEROS!B:E,4,0)</f>
        <v>MFSUCABAST1</v>
      </c>
    </row>
    <row r="320" spans="1:10">
      <c r="A320" s="9">
        <v>229</v>
      </c>
      <c r="B320" s="10">
        <v>9605</v>
      </c>
      <c r="C320" s="3">
        <v>190000</v>
      </c>
      <c r="D320" s="3">
        <v>190000</v>
      </c>
      <c r="E320" s="7">
        <v>0</v>
      </c>
      <c r="F320" s="5">
        <v>45883</v>
      </c>
      <c r="G320" s="4">
        <v>20250813</v>
      </c>
      <c r="H320" s="6" t="s">
        <v>24</v>
      </c>
      <c r="I320" s="8" t="s">
        <v>9</v>
      </c>
      <c r="J320" s="6" t="s">
        <v>153</v>
      </c>
    </row>
    <row r="321" spans="1:10">
      <c r="A321" s="9">
        <v>229</v>
      </c>
      <c r="B321" s="10">
        <v>9605</v>
      </c>
      <c r="C321" s="3">
        <v>2910000</v>
      </c>
      <c r="D321" s="3">
        <v>2910000</v>
      </c>
      <c r="E321" s="7">
        <v>0</v>
      </c>
      <c r="F321" s="5">
        <v>45884</v>
      </c>
      <c r="G321" s="4">
        <v>20250814</v>
      </c>
      <c r="H321" s="6" t="s">
        <v>24</v>
      </c>
      <c r="I321" s="8" t="s">
        <v>9</v>
      </c>
      <c r="J321" s="6" t="s">
        <v>153</v>
      </c>
    </row>
    <row r="322" spans="1:10">
      <c r="A322" s="9">
        <v>503</v>
      </c>
      <c r="B322" s="9">
        <v>5032</v>
      </c>
      <c r="C322" s="3">
        <v>80000</v>
      </c>
      <c r="D322" s="3">
        <v>80000</v>
      </c>
      <c r="E322" s="7">
        <v>0</v>
      </c>
      <c r="F322" s="5">
        <v>45880</v>
      </c>
      <c r="G322" s="4">
        <v>20250810</v>
      </c>
      <c r="H322" s="6" t="s">
        <v>30</v>
      </c>
      <c r="I322" s="8" t="s">
        <v>9</v>
      </c>
      <c r="J322" s="6" t="s">
        <v>154</v>
      </c>
    </row>
    <row r="323" spans="1:10">
      <c r="A323" s="9">
        <v>153</v>
      </c>
      <c r="B323" s="9">
        <v>9881</v>
      </c>
      <c r="C323" s="3">
        <v>80000</v>
      </c>
      <c r="D323" s="3">
        <v>80000</v>
      </c>
      <c r="E323" s="7">
        <v>0</v>
      </c>
      <c r="F323" s="5">
        <v>45881</v>
      </c>
      <c r="G323" s="4">
        <v>20250811</v>
      </c>
      <c r="H323" s="6" t="s">
        <v>30</v>
      </c>
      <c r="I323" s="8" t="s">
        <v>9</v>
      </c>
      <c r="J323" s="6" t="s">
        <v>155</v>
      </c>
    </row>
    <row r="324" spans="1:10">
      <c r="A324" s="9">
        <v>153</v>
      </c>
      <c r="B324" s="9">
        <v>9882</v>
      </c>
      <c r="C324" s="3">
        <v>690000</v>
      </c>
      <c r="D324" s="3">
        <v>690000</v>
      </c>
      <c r="E324" s="7">
        <v>0</v>
      </c>
      <c r="F324" s="5">
        <v>45881</v>
      </c>
      <c r="G324" s="4">
        <v>20250811</v>
      </c>
      <c r="H324" s="6" t="s">
        <v>30</v>
      </c>
      <c r="I324" s="8" t="s">
        <v>9</v>
      </c>
      <c r="J324" s="6" t="s">
        <v>156</v>
      </c>
    </row>
    <row r="325" spans="1:10">
      <c r="A325" s="9">
        <v>688</v>
      </c>
      <c r="B325" s="9">
        <v>4843</v>
      </c>
      <c r="C325" s="3">
        <v>220000</v>
      </c>
      <c r="D325" s="3">
        <v>220000</v>
      </c>
      <c r="E325" s="7">
        <v>0</v>
      </c>
      <c r="F325" s="5">
        <v>45881</v>
      </c>
      <c r="G325" s="4">
        <v>20250811</v>
      </c>
      <c r="H325" s="6" t="s">
        <v>30</v>
      </c>
      <c r="I325" s="8" t="s">
        <v>9</v>
      </c>
      <c r="J325" s="6" t="s">
        <v>157</v>
      </c>
    </row>
    <row r="326" spans="1:10">
      <c r="A326" s="9">
        <v>503</v>
      </c>
      <c r="B326" s="9">
        <v>5032</v>
      </c>
      <c r="C326" s="3">
        <v>5560000</v>
      </c>
      <c r="D326" s="3">
        <v>5560000</v>
      </c>
      <c r="E326" s="7">
        <v>0</v>
      </c>
      <c r="F326" s="5">
        <v>45882</v>
      </c>
      <c r="G326" s="4">
        <v>20250812</v>
      </c>
      <c r="H326" s="6" t="s">
        <v>30</v>
      </c>
      <c r="I326" s="8"/>
      <c r="J326" s="6" t="s">
        <v>154</v>
      </c>
    </row>
    <row r="327" spans="1:10">
      <c r="A327" s="9">
        <v>153</v>
      </c>
      <c r="B327" s="10">
        <v>9881</v>
      </c>
      <c r="C327" s="3">
        <v>20000</v>
      </c>
      <c r="D327" s="3">
        <v>20000</v>
      </c>
      <c r="E327" s="7">
        <v>0</v>
      </c>
      <c r="F327" s="5">
        <v>45882</v>
      </c>
      <c r="G327" s="4">
        <v>20250812</v>
      </c>
      <c r="H327" s="6" t="s">
        <v>30</v>
      </c>
      <c r="I327" s="8" t="s">
        <v>10</v>
      </c>
      <c r="J327" s="6" t="s">
        <v>155</v>
      </c>
    </row>
    <row r="328" spans="1:10">
      <c r="A328" s="9">
        <v>185</v>
      </c>
      <c r="B328" s="10">
        <v>7959</v>
      </c>
      <c r="C328" s="3">
        <v>10000</v>
      </c>
      <c r="D328" s="3">
        <v>10000</v>
      </c>
      <c r="E328" s="7">
        <v>0</v>
      </c>
      <c r="F328" s="5">
        <v>45882</v>
      </c>
      <c r="G328" s="4">
        <v>20250813</v>
      </c>
      <c r="H328" s="6" t="s">
        <v>30</v>
      </c>
      <c r="I328" s="8"/>
      <c r="J328" s="6" t="s">
        <v>158</v>
      </c>
    </row>
    <row r="329" spans="1:10">
      <c r="A329" s="9">
        <v>368</v>
      </c>
      <c r="B329" s="10">
        <v>6775</v>
      </c>
      <c r="C329" s="3">
        <v>1620000</v>
      </c>
      <c r="D329" s="3">
        <v>1620000</v>
      </c>
      <c r="E329" s="7">
        <v>0</v>
      </c>
      <c r="F329" s="5">
        <v>45883</v>
      </c>
      <c r="G329" s="4">
        <v>20250813</v>
      </c>
      <c r="H329" s="6" t="s">
        <v>30</v>
      </c>
      <c r="I329" s="8" t="s">
        <v>9</v>
      </c>
      <c r="J329" s="6" t="s">
        <v>159</v>
      </c>
    </row>
    <row r="330" spans="1:10">
      <c r="A330" s="9">
        <v>569</v>
      </c>
      <c r="B330" s="10">
        <v>4575</v>
      </c>
      <c r="C330" s="3">
        <v>200000</v>
      </c>
      <c r="D330" s="3">
        <v>200000</v>
      </c>
      <c r="E330" s="7">
        <v>0</v>
      </c>
      <c r="F330" s="5">
        <v>45883</v>
      </c>
      <c r="G330" s="4">
        <v>20250813</v>
      </c>
      <c r="H330" s="6" t="s">
        <v>30</v>
      </c>
      <c r="I330" s="8" t="s">
        <v>9</v>
      </c>
      <c r="J330" s="6" t="s">
        <v>160</v>
      </c>
    </row>
    <row r="331" spans="1:10">
      <c r="A331" s="9">
        <v>96</v>
      </c>
      <c r="B331" s="10">
        <v>1036</v>
      </c>
      <c r="C331" s="3">
        <v>1330000</v>
      </c>
      <c r="D331" s="3">
        <v>1330000</v>
      </c>
      <c r="E331" s="7">
        <v>0</v>
      </c>
      <c r="F331" s="5">
        <v>45884</v>
      </c>
      <c r="G331" s="4">
        <v>20250814</v>
      </c>
      <c r="H331" s="6" t="s">
        <v>30</v>
      </c>
      <c r="I331" s="8" t="s">
        <v>9</v>
      </c>
      <c r="J331" s="6" t="s">
        <v>161</v>
      </c>
    </row>
    <row r="332" spans="1:10">
      <c r="A332" s="9">
        <v>153</v>
      </c>
      <c r="B332" s="10">
        <v>9881</v>
      </c>
      <c r="C332" s="3">
        <v>120000</v>
      </c>
      <c r="D332" s="3">
        <v>120000</v>
      </c>
      <c r="E332" s="7">
        <v>0</v>
      </c>
      <c r="F332" s="5">
        <v>45884</v>
      </c>
      <c r="G332" s="4">
        <v>20250814</v>
      </c>
      <c r="H332" s="6" t="s">
        <v>30</v>
      </c>
      <c r="I332" s="8" t="s">
        <v>9</v>
      </c>
      <c r="J332" s="6" t="s">
        <v>155</v>
      </c>
    </row>
    <row r="333" spans="1:10">
      <c r="A333" s="9">
        <v>688</v>
      </c>
      <c r="B333" s="10">
        <v>4843</v>
      </c>
      <c r="C333" s="3">
        <v>100000</v>
      </c>
      <c r="D333" s="3">
        <v>100000</v>
      </c>
      <c r="E333" s="7">
        <v>0</v>
      </c>
      <c r="F333" s="5">
        <v>45884</v>
      </c>
      <c r="G333" s="4">
        <v>20250814</v>
      </c>
      <c r="H333" s="6" t="s">
        <v>30</v>
      </c>
      <c r="I333" s="8" t="s">
        <v>9</v>
      </c>
      <c r="J333" s="6" t="s">
        <v>157</v>
      </c>
    </row>
    <row r="334" spans="1:10">
      <c r="A334" s="9">
        <v>61</v>
      </c>
      <c r="B334" s="10">
        <v>788</v>
      </c>
      <c r="C334" s="3">
        <v>1383100</v>
      </c>
      <c r="D334" s="3">
        <v>1383100</v>
      </c>
      <c r="E334" s="7">
        <f t="shared" ref="E334:E342" si="31">+C334-D334</f>
        <v>0</v>
      </c>
      <c r="F334" s="5">
        <v>45888</v>
      </c>
      <c r="G334" s="4">
        <v>20250818</v>
      </c>
      <c r="H334" s="6" t="str">
        <f>VLOOKUP(B334,CAJEROS!B:D,3,0)</f>
        <v>Multifuncional</v>
      </c>
      <c r="I334" s="8" t="s">
        <v>9</v>
      </c>
      <c r="J334" s="6" t="str">
        <f>VLOOKUP(B334,CAJEROS!B:E,4,0)</f>
        <v>MFSUCLAEST1</v>
      </c>
    </row>
    <row r="335" spans="1:10">
      <c r="A335" s="9">
        <v>692</v>
      </c>
      <c r="B335" s="10">
        <v>1515</v>
      </c>
      <c r="C335" s="3">
        <v>1590000</v>
      </c>
      <c r="D335" s="3">
        <v>1590000</v>
      </c>
      <c r="E335" s="7">
        <f t="shared" si="31"/>
        <v>0</v>
      </c>
      <c r="F335" s="5">
        <v>45888</v>
      </c>
      <c r="G335" s="4">
        <v>20250818</v>
      </c>
      <c r="H335" s="6" t="str">
        <f>VLOOKUP(B335,CAJEROS!B:D,3,0)</f>
        <v>Multifuncional</v>
      </c>
      <c r="I335" s="8" t="s">
        <v>9</v>
      </c>
      <c r="J335" s="6" t="str">
        <f>VLOOKUP(B335,CAJEROS!B:E,4,0)</f>
        <v>MFSUCALTPR1</v>
      </c>
    </row>
    <row r="336" spans="1:10">
      <c r="A336" s="9">
        <v>261</v>
      </c>
      <c r="B336" s="10">
        <v>5048</v>
      </c>
      <c r="C336" s="3">
        <v>80000</v>
      </c>
      <c r="D336" s="3">
        <v>80000</v>
      </c>
      <c r="E336" s="7">
        <f t="shared" si="31"/>
        <v>0</v>
      </c>
      <c r="F336" s="5">
        <v>45888</v>
      </c>
      <c r="G336" s="4">
        <v>20250818</v>
      </c>
      <c r="H336" s="6" t="str">
        <f>VLOOKUP(B336,CAJEROS!B:D,3,0)</f>
        <v>Multifuncional</v>
      </c>
      <c r="I336" s="8" t="s">
        <v>9</v>
      </c>
      <c r="J336" s="6" t="str">
        <f>VLOOKUP(B336,CAJEROS!B:E,4,0)</f>
        <v>MF_CAMPANA</v>
      </c>
    </row>
    <row r="337" spans="1:10">
      <c r="A337" s="9">
        <v>300</v>
      </c>
      <c r="B337" s="10">
        <v>5139</v>
      </c>
      <c r="C337" s="3">
        <v>500000</v>
      </c>
      <c r="D337" s="3">
        <v>500000</v>
      </c>
      <c r="E337" s="7">
        <f t="shared" si="31"/>
        <v>0</v>
      </c>
      <c r="F337" s="5">
        <v>45888</v>
      </c>
      <c r="G337" s="4">
        <v>20250818</v>
      </c>
      <c r="H337" s="6" t="str">
        <f>VLOOKUP(B337,CAJEROS!B:D,3,0)</f>
        <v>Multifuncional</v>
      </c>
      <c r="I337" s="8" t="s">
        <v>9</v>
      </c>
      <c r="J337" s="6" t="str">
        <f>VLOOKUP(B337,CAJEROS!B:E,4,0)</f>
        <v>MF_AUTOP98</v>
      </c>
    </row>
    <row r="338" spans="1:10">
      <c r="A338" s="9">
        <v>762</v>
      </c>
      <c r="B338" s="10">
        <v>5181</v>
      </c>
      <c r="C338" s="3">
        <v>1220000</v>
      </c>
      <c r="D338" s="3">
        <v>1220000</v>
      </c>
      <c r="E338" s="7">
        <f t="shared" si="31"/>
        <v>0</v>
      </c>
      <c r="F338" s="5">
        <v>45888</v>
      </c>
      <c r="G338" s="4">
        <v>20250818</v>
      </c>
      <c r="H338" s="6" t="str">
        <f>VLOOKUP(B338,CAJEROS!B:D,3,0)</f>
        <v>Multifuncional</v>
      </c>
      <c r="I338" s="8" t="s">
        <v>9</v>
      </c>
      <c r="J338" s="6" t="str">
        <f>VLOOKUP(B338,CAJEROS!B:E,4,0)</f>
        <v>MF_HERRADU1</v>
      </c>
    </row>
    <row r="339" spans="1:10">
      <c r="A339" s="9">
        <v>250</v>
      </c>
      <c r="B339" s="10">
        <v>5197</v>
      </c>
      <c r="C339" s="3">
        <v>812900</v>
      </c>
      <c r="D339" s="3">
        <v>812900</v>
      </c>
      <c r="E339" s="7">
        <f t="shared" si="31"/>
        <v>0</v>
      </c>
      <c r="F339" s="5">
        <v>45888</v>
      </c>
      <c r="G339" s="4">
        <v>20250818</v>
      </c>
      <c r="H339" s="6" t="str">
        <f>VLOOKUP(B339,CAJEROS!B:D,3,0)</f>
        <v>Multifuncional</v>
      </c>
      <c r="I339" s="8" t="s">
        <v>9</v>
      </c>
      <c r="J339" s="6" t="str">
        <f>VLOOKUP(B339,CAJEROS!B:E,4,0)</f>
        <v>MF_MODELIA</v>
      </c>
    </row>
    <row r="340" spans="1:10">
      <c r="A340" s="9">
        <v>601</v>
      </c>
      <c r="B340" s="10">
        <v>6407</v>
      </c>
      <c r="C340" s="3">
        <v>170900</v>
      </c>
      <c r="D340" s="3">
        <v>170900</v>
      </c>
      <c r="E340" s="7">
        <f t="shared" si="31"/>
        <v>0</v>
      </c>
      <c r="F340" s="5">
        <v>45888</v>
      </c>
      <c r="G340" s="4">
        <v>20250818</v>
      </c>
      <c r="H340" s="6" t="str">
        <f>VLOOKUP(B340,CAJEROS!B:D,3,0)</f>
        <v>Multifuncional</v>
      </c>
      <c r="I340" s="8" t="s">
        <v>9</v>
      </c>
      <c r="J340" s="6" t="str">
        <f>VLOOKUP(B340,CAJEROS!B:E,4,0)</f>
        <v>MF_COLINACA</v>
      </c>
    </row>
    <row r="341" spans="1:10">
      <c r="A341" s="9">
        <v>728</v>
      </c>
      <c r="B341" s="10">
        <v>8587</v>
      </c>
      <c r="C341" s="3">
        <v>1050000</v>
      </c>
      <c r="D341" s="3">
        <v>1050000</v>
      </c>
      <c r="E341" s="7">
        <f t="shared" si="31"/>
        <v>0</v>
      </c>
      <c r="F341" s="5">
        <v>45888</v>
      </c>
      <c r="G341" s="4">
        <v>20250818</v>
      </c>
      <c r="H341" s="6" t="str">
        <f>VLOOKUP(B341,CAJEROS!B:D,3,0)</f>
        <v>Multifuncional</v>
      </c>
      <c r="I341" s="8" t="s">
        <v>9</v>
      </c>
      <c r="J341" s="6" t="str">
        <f>VLOOKUP(B341,CAJEROS!B:E,4,0)</f>
        <v>MF_SUCCART2</v>
      </c>
    </row>
    <row r="342" spans="1:10">
      <c r="A342" s="9">
        <v>57</v>
      </c>
      <c r="B342" s="10">
        <v>9963</v>
      </c>
      <c r="C342" s="3">
        <v>468000</v>
      </c>
      <c r="D342" s="3">
        <v>468000</v>
      </c>
      <c r="E342" s="7">
        <f t="shared" si="31"/>
        <v>0</v>
      </c>
      <c r="F342" s="5">
        <v>45884</v>
      </c>
      <c r="G342" s="4">
        <v>20250814</v>
      </c>
      <c r="H342" s="6" t="str">
        <f>VLOOKUP(B342,CAJEROS!B:D,3,0)</f>
        <v>Multifuncional</v>
      </c>
      <c r="I342" s="8"/>
      <c r="J342" s="6" t="str">
        <f>VLOOKUP(B342,CAJEROS!B:E,4,0)</f>
        <v>MF_VILLAVI1</v>
      </c>
    </row>
    <row r="343" spans="1:10">
      <c r="A343" s="9">
        <v>825</v>
      </c>
      <c r="B343" s="9">
        <v>5023</v>
      </c>
      <c r="C343" s="3">
        <v>2140000</v>
      </c>
      <c r="D343" s="3">
        <v>2140000</v>
      </c>
      <c r="E343" s="7">
        <v>0</v>
      </c>
      <c r="F343" s="5">
        <v>45873</v>
      </c>
      <c r="G343" s="4">
        <v>20250803</v>
      </c>
      <c r="H343" s="6" t="s">
        <v>24</v>
      </c>
      <c r="I343" s="8" t="s">
        <v>9</v>
      </c>
      <c r="J343" s="6" t="s">
        <v>162</v>
      </c>
    </row>
    <row r="344" spans="1:10">
      <c r="A344" s="9">
        <v>682</v>
      </c>
      <c r="B344" s="9">
        <v>5049</v>
      </c>
      <c r="C344" s="3">
        <v>1800000</v>
      </c>
      <c r="D344" s="3">
        <v>1800000</v>
      </c>
      <c r="E344" s="7">
        <v>0</v>
      </c>
      <c r="F344" s="5">
        <v>45880</v>
      </c>
      <c r="G344" s="4">
        <v>20250810</v>
      </c>
      <c r="H344" s="6" t="s">
        <v>24</v>
      </c>
      <c r="I344" s="8" t="s">
        <v>9</v>
      </c>
      <c r="J344" s="6" t="s">
        <v>163</v>
      </c>
    </row>
    <row r="345" spans="1:10">
      <c r="A345" s="9">
        <v>682</v>
      </c>
      <c r="B345" s="9">
        <v>5049</v>
      </c>
      <c r="C345" s="3">
        <v>414000</v>
      </c>
      <c r="D345" s="3">
        <v>414000</v>
      </c>
      <c r="E345" s="7">
        <v>0</v>
      </c>
      <c r="F345" s="5">
        <v>45881</v>
      </c>
      <c r="G345" s="4">
        <v>20250811</v>
      </c>
      <c r="H345" s="6" t="s">
        <v>24</v>
      </c>
      <c r="I345" s="8" t="s">
        <v>9</v>
      </c>
      <c r="J345" s="6" t="s">
        <v>163</v>
      </c>
    </row>
    <row r="346" spans="1:10">
      <c r="A346" s="9">
        <v>682</v>
      </c>
      <c r="B346" s="9">
        <v>5049</v>
      </c>
      <c r="C346" s="3">
        <v>2471000</v>
      </c>
      <c r="D346" s="3">
        <v>2471000</v>
      </c>
      <c r="E346" s="7">
        <v>0</v>
      </c>
      <c r="F346" s="5">
        <v>45882</v>
      </c>
      <c r="G346" s="4">
        <v>20250812</v>
      </c>
      <c r="H346" s="6" t="s">
        <v>24</v>
      </c>
      <c r="I346" s="8" t="s">
        <v>9</v>
      </c>
      <c r="J346" s="6" t="s">
        <v>163</v>
      </c>
    </row>
    <row r="347" spans="1:10">
      <c r="A347" s="9">
        <v>682</v>
      </c>
      <c r="B347" s="10">
        <v>5049</v>
      </c>
      <c r="C347" s="3">
        <v>1655000</v>
      </c>
      <c r="D347" s="3">
        <v>1655000</v>
      </c>
      <c r="E347" s="7">
        <v>0</v>
      </c>
      <c r="F347" s="5">
        <v>45883</v>
      </c>
      <c r="G347" s="4">
        <v>20250813</v>
      </c>
      <c r="H347" s="6" t="s">
        <v>24</v>
      </c>
      <c r="I347" s="8" t="s">
        <v>9</v>
      </c>
      <c r="J347" s="6" t="s">
        <v>163</v>
      </c>
    </row>
    <row r="348" spans="1:10">
      <c r="A348" s="9">
        <v>937</v>
      </c>
      <c r="B348" s="9">
        <v>5115</v>
      </c>
      <c r="C348" s="3">
        <v>700000</v>
      </c>
      <c r="D348" s="3">
        <v>700000</v>
      </c>
      <c r="E348" s="7">
        <v>0</v>
      </c>
      <c r="F348" s="5">
        <v>45880</v>
      </c>
      <c r="G348" s="4">
        <v>20250810</v>
      </c>
      <c r="H348" s="6" t="s">
        <v>24</v>
      </c>
      <c r="I348" s="8" t="s">
        <v>9</v>
      </c>
      <c r="J348" s="6" t="s">
        <v>164</v>
      </c>
    </row>
    <row r="349" spans="1:10">
      <c r="A349" s="9">
        <v>937</v>
      </c>
      <c r="B349" s="10">
        <v>5115</v>
      </c>
      <c r="C349" s="3">
        <v>2110000</v>
      </c>
      <c r="D349" s="3">
        <v>2110000</v>
      </c>
      <c r="E349" s="7">
        <v>0</v>
      </c>
      <c r="F349" s="5">
        <v>45883</v>
      </c>
      <c r="G349" s="4">
        <v>20250813</v>
      </c>
      <c r="H349" s="6" t="s">
        <v>24</v>
      </c>
      <c r="I349" s="8" t="s">
        <v>9</v>
      </c>
      <c r="J349" s="6" t="s">
        <v>164</v>
      </c>
    </row>
    <row r="350" spans="1:10">
      <c r="A350" s="9">
        <v>937</v>
      </c>
      <c r="B350" s="10">
        <v>5115</v>
      </c>
      <c r="C350" s="3">
        <v>290000</v>
      </c>
      <c r="D350" s="3">
        <v>290000</v>
      </c>
      <c r="E350" s="7">
        <v>0</v>
      </c>
      <c r="F350" s="5">
        <v>45884</v>
      </c>
      <c r="G350" s="4">
        <v>20250814</v>
      </c>
      <c r="H350" s="6" t="s">
        <v>24</v>
      </c>
      <c r="I350" s="8" t="s">
        <v>9</v>
      </c>
      <c r="J350" s="6" t="s">
        <v>164</v>
      </c>
    </row>
    <row r="351" spans="1:10">
      <c r="A351" s="9">
        <v>750</v>
      </c>
      <c r="B351" s="9">
        <v>5157</v>
      </c>
      <c r="C351" s="3">
        <v>1920000</v>
      </c>
      <c r="D351" s="3">
        <v>1920000</v>
      </c>
      <c r="E351" s="7">
        <f t="shared" ref="E351:E352" si="32">+C351-D351</f>
        <v>0</v>
      </c>
      <c r="F351" s="5">
        <v>45877</v>
      </c>
      <c r="G351" s="4">
        <v>20250807</v>
      </c>
      <c r="H351" s="6" t="str">
        <f>VLOOKUP(B351,CAJEROS!B:D,3,0)</f>
        <v>Multifuncional</v>
      </c>
      <c r="I351" s="8" t="s">
        <v>9</v>
      </c>
      <c r="J351" s="6" t="str">
        <f>VLOOKUP(B351,CAJEROS!B:E,4,0)</f>
        <v>MF_AVROOSVL</v>
      </c>
    </row>
    <row r="352" spans="1:10">
      <c r="A352" s="9">
        <v>946</v>
      </c>
      <c r="B352" s="9">
        <v>5225</v>
      </c>
      <c r="C352" s="3">
        <v>2170000</v>
      </c>
      <c r="D352" s="3">
        <v>2170000</v>
      </c>
      <c r="E352" s="7">
        <f t="shared" si="32"/>
        <v>0</v>
      </c>
      <c r="F352" s="5">
        <v>45882</v>
      </c>
      <c r="G352" s="4">
        <v>20250812</v>
      </c>
      <c r="H352" s="6" t="str">
        <f>VLOOKUP(B352,CAJEROS!B:D,3,0)</f>
        <v>Multifuncional</v>
      </c>
      <c r="I352" s="8" t="s">
        <v>9</v>
      </c>
      <c r="J352" s="6" t="str">
        <f>VLOOKUP(B352,CAJEROS!B:E,4,0)</f>
        <v>MF_SABANACH</v>
      </c>
    </row>
    <row r="353" spans="1:10">
      <c r="A353" s="9">
        <v>509</v>
      </c>
      <c r="B353" s="9">
        <v>8835</v>
      </c>
      <c r="C353" s="3">
        <v>1380000</v>
      </c>
      <c r="D353" s="3">
        <v>1380000</v>
      </c>
      <c r="E353" s="7">
        <v>0</v>
      </c>
      <c r="F353" s="5">
        <v>45874</v>
      </c>
      <c r="G353" s="4">
        <v>20250804</v>
      </c>
      <c r="H353" s="6" t="s">
        <v>24</v>
      </c>
      <c r="I353" s="8" t="s">
        <v>9</v>
      </c>
      <c r="J353" s="6" t="s">
        <v>165</v>
      </c>
    </row>
    <row r="354" spans="1:10">
      <c r="A354" s="9">
        <v>509</v>
      </c>
      <c r="B354" s="9">
        <v>8835</v>
      </c>
      <c r="C354" s="3">
        <v>370000</v>
      </c>
      <c r="D354" s="3">
        <v>370000</v>
      </c>
      <c r="E354" s="7">
        <v>0</v>
      </c>
      <c r="F354" s="5">
        <v>45881</v>
      </c>
      <c r="G354" s="4">
        <v>20250811</v>
      </c>
      <c r="H354" s="6" t="s">
        <v>24</v>
      </c>
      <c r="I354" s="8" t="s">
        <v>9</v>
      </c>
      <c r="J354" s="6" t="s">
        <v>165</v>
      </c>
    </row>
    <row r="355" spans="1:10">
      <c r="A355" s="9">
        <v>457</v>
      </c>
      <c r="B355" s="10">
        <v>9004</v>
      </c>
      <c r="C355" s="3">
        <v>1530000</v>
      </c>
      <c r="D355" s="3">
        <f>910000+620000</f>
        <v>1530000</v>
      </c>
      <c r="E355" s="7">
        <f t="shared" ref="E355:E356" si="33">+C355-D355</f>
        <v>0</v>
      </c>
      <c r="F355" s="5">
        <v>45883</v>
      </c>
      <c r="G355" s="4">
        <v>20250813</v>
      </c>
      <c r="H355" s="6" t="str">
        <f>VLOOKUP(B355,CAJEROS!B:D,3,0)</f>
        <v>Multifuncional</v>
      </c>
      <c r="I355" s="8" t="s">
        <v>9</v>
      </c>
      <c r="J355" s="6" t="str">
        <f>VLOOKUP(B355,CAJEROS!B:E,4,0)</f>
        <v>MF_SSANPED1</v>
      </c>
    </row>
    <row r="356" spans="1:10">
      <c r="A356" s="9">
        <v>383</v>
      </c>
      <c r="B356" s="10">
        <v>5194</v>
      </c>
      <c r="C356" s="3">
        <v>150000</v>
      </c>
      <c r="D356" s="3">
        <v>150000</v>
      </c>
      <c r="E356" s="7">
        <f t="shared" si="33"/>
        <v>0</v>
      </c>
      <c r="F356" s="5">
        <v>45888</v>
      </c>
      <c r="G356" s="4">
        <v>20250818</v>
      </c>
      <c r="H356" s="6" t="str">
        <f>VLOOKUP(B356,CAJEROS!B:D,3,0)</f>
        <v>Multifuncional</v>
      </c>
      <c r="I356" s="8" t="s">
        <v>9</v>
      </c>
      <c r="J356" s="6" t="str">
        <f>VLOOKUP(B356,CAJEROS!B:E,4,0)</f>
        <v>MF_MADRID</v>
      </c>
    </row>
    <row r="357" spans="1:10">
      <c r="A357" s="9">
        <v>457</v>
      </c>
      <c r="B357" s="9">
        <v>9001</v>
      </c>
      <c r="C357" s="3">
        <v>500000</v>
      </c>
      <c r="D357" s="3">
        <v>500000</v>
      </c>
      <c r="E357" s="7">
        <v>0</v>
      </c>
      <c r="F357" s="5">
        <v>45873</v>
      </c>
      <c r="G357" s="4">
        <v>20250803</v>
      </c>
      <c r="H357" s="6" t="s">
        <v>30</v>
      </c>
      <c r="I357" s="8" t="s">
        <v>9</v>
      </c>
      <c r="J357" s="6" t="s">
        <v>166</v>
      </c>
    </row>
    <row r="358" spans="1:10">
      <c r="A358" s="9">
        <v>864</v>
      </c>
      <c r="B358" s="9">
        <v>5377</v>
      </c>
      <c r="C358" s="3">
        <v>1150000</v>
      </c>
      <c r="D358" s="3">
        <v>1150000</v>
      </c>
      <c r="E358" s="7">
        <v>0</v>
      </c>
      <c r="F358" s="5">
        <v>45873</v>
      </c>
      <c r="G358" s="4">
        <v>20250803</v>
      </c>
      <c r="H358" s="6" t="s">
        <v>30</v>
      </c>
      <c r="I358" s="8" t="s">
        <v>9</v>
      </c>
      <c r="J358" s="6" t="s">
        <v>167</v>
      </c>
    </row>
    <row r="359" spans="1:10">
      <c r="A359" s="9">
        <v>688</v>
      </c>
      <c r="B359" s="9">
        <v>4840</v>
      </c>
      <c r="C359" s="3">
        <v>200000</v>
      </c>
      <c r="D359" s="3">
        <v>200000</v>
      </c>
      <c r="E359" s="7">
        <v>0</v>
      </c>
      <c r="F359" s="5">
        <v>45874</v>
      </c>
      <c r="G359" s="4">
        <v>20250804</v>
      </c>
      <c r="H359" s="6" t="s">
        <v>30</v>
      </c>
      <c r="I359" s="8" t="s">
        <v>9</v>
      </c>
      <c r="J359" s="6" t="s">
        <v>168</v>
      </c>
    </row>
    <row r="360" spans="1:10">
      <c r="A360" s="9">
        <v>721</v>
      </c>
      <c r="B360" s="9">
        <v>8894</v>
      </c>
      <c r="C360" s="3">
        <v>100000</v>
      </c>
      <c r="D360" s="3">
        <v>100000</v>
      </c>
      <c r="E360" s="7">
        <v>0</v>
      </c>
      <c r="F360" s="5">
        <v>45874</v>
      </c>
      <c r="G360" s="4">
        <v>20250804</v>
      </c>
      <c r="H360" s="6" t="s">
        <v>30</v>
      </c>
      <c r="I360" s="8" t="s">
        <v>9</v>
      </c>
      <c r="J360" s="6" t="s">
        <v>169</v>
      </c>
    </row>
    <row r="361" spans="1:10">
      <c r="A361" s="9">
        <v>721</v>
      </c>
      <c r="B361" s="9">
        <v>8893</v>
      </c>
      <c r="C361" s="3">
        <v>20000</v>
      </c>
      <c r="D361" s="3">
        <v>20000</v>
      </c>
      <c r="E361" s="7">
        <v>0</v>
      </c>
      <c r="F361" s="5">
        <v>45874</v>
      </c>
      <c r="G361" s="4">
        <v>20250804</v>
      </c>
      <c r="H361" s="6" t="s">
        <v>30</v>
      </c>
      <c r="I361" s="8" t="s">
        <v>10</v>
      </c>
      <c r="J361" s="6" t="s">
        <v>170</v>
      </c>
    </row>
    <row r="362" spans="1:10">
      <c r="A362" s="9">
        <v>721</v>
      </c>
      <c r="B362" s="9">
        <v>8892</v>
      </c>
      <c r="C362" s="3">
        <v>20000</v>
      </c>
      <c r="D362" s="3">
        <v>20000</v>
      </c>
      <c r="E362" s="7">
        <v>0</v>
      </c>
      <c r="F362" s="5">
        <v>45874</v>
      </c>
      <c r="G362" s="4">
        <v>20250804</v>
      </c>
      <c r="H362" s="6" t="s">
        <v>30</v>
      </c>
      <c r="I362" s="8" t="s">
        <v>10</v>
      </c>
      <c r="J362" s="6" t="s">
        <v>171</v>
      </c>
    </row>
    <row r="363" spans="1:10">
      <c r="A363" s="9">
        <v>384</v>
      </c>
      <c r="B363" s="9">
        <v>3842</v>
      </c>
      <c r="C363" s="3">
        <v>9560000</v>
      </c>
      <c r="D363" s="3">
        <v>9560000</v>
      </c>
      <c r="E363" s="7">
        <v>0</v>
      </c>
      <c r="F363" s="5">
        <v>45877</v>
      </c>
      <c r="G363" s="4">
        <v>20250807</v>
      </c>
      <c r="H363" s="6" t="s">
        <v>30</v>
      </c>
      <c r="I363" s="8" t="s">
        <v>9</v>
      </c>
      <c r="J363" s="6" t="s">
        <v>172</v>
      </c>
    </row>
    <row r="364" spans="1:10">
      <c r="A364" s="9">
        <v>864</v>
      </c>
      <c r="B364" s="9">
        <v>5377</v>
      </c>
      <c r="C364" s="3">
        <v>360000</v>
      </c>
      <c r="D364" s="3">
        <v>360000</v>
      </c>
      <c r="E364" s="7">
        <v>0</v>
      </c>
      <c r="F364" s="5">
        <v>45877</v>
      </c>
      <c r="G364" s="4">
        <v>20250807</v>
      </c>
      <c r="H364" s="6" t="s">
        <v>30</v>
      </c>
      <c r="I364" s="8" t="s">
        <v>9</v>
      </c>
      <c r="J364" s="6" t="s">
        <v>167</v>
      </c>
    </row>
    <row r="365" spans="1:10">
      <c r="A365" s="9">
        <v>384</v>
      </c>
      <c r="B365" s="9">
        <v>3841</v>
      </c>
      <c r="C365" s="3">
        <v>16020000</v>
      </c>
      <c r="D365" s="3">
        <v>16020000</v>
      </c>
      <c r="E365" s="7">
        <v>0</v>
      </c>
      <c r="F365" s="5">
        <v>45880</v>
      </c>
      <c r="G365" s="4">
        <v>20250810</v>
      </c>
      <c r="H365" s="6" t="s">
        <v>30</v>
      </c>
      <c r="I365" s="8" t="s">
        <v>9</v>
      </c>
      <c r="J365" s="6" t="s">
        <v>173</v>
      </c>
    </row>
    <row r="366" spans="1:10">
      <c r="A366" s="9">
        <v>743</v>
      </c>
      <c r="B366" s="9">
        <v>5697</v>
      </c>
      <c r="C366" s="3">
        <v>100000</v>
      </c>
      <c r="D366" s="3">
        <v>100000</v>
      </c>
      <c r="E366" s="7">
        <v>0</v>
      </c>
      <c r="F366" s="5">
        <v>45880</v>
      </c>
      <c r="G366" s="4">
        <v>20250810</v>
      </c>
      <c r="H366" s="6" t="s">
        <v>30</v>
      </c>
      <c r="I366" s="8" t="s">
        <v>9</v>
      </c>
      <c r="J366" s="6" t="s">
        <v>174</v>
      </c>
    </row>
    <row r="367" spans="1:10">
      <c r="A367" s="9">
        <v>864</v>
      </c>
      <c r="B367" s="9">
        <v>5377</v>
      </c>
      <c r="C367" s="3">
        <v>200000</v>
      </c>
      <c r="D367" s="3">
        <v>200000</v>
      </c>
      <c r="E367" s="7">
        <v>0</v>
      </c>
      <c r="F367" s="5">
        <v>45880</v>
      </c>
      <c r="G367" s="4">
        <v>20250810</v>
      </c>
      <c r="H367" s="6" t="s">
        <v>30</v>
      </c>
      <c r="I367" s="8" t="s">
        <v>9</v>
      </c>
      <c r="J367" s="6" t="s">
        <v>167</v>
      </c>
    </row>
    <row r="368" spans="1:10">
      <c r="A368" s="9">
        <v>171</v>
      </c>
      <c r="B368" s="10">
        <v>4164</v>
      </c>
      <c r="C368" s="3">
        <v>10000</v>
      </c>
      <c r="D368" s="3">
        <v>10000</v>
      </c>
      <c r="E368" s="7">
        <v>0</v>
      </c>
      <c r="F368" s="5">
        <v>45883</v>
      </c>
      <c r="G368" s="4">
        <v>20250813</v>
      </c>
      <c r="H368" s="6" t="s">
        <v>30</v>
      </c>
      <c r="I368" s="8" t="s">
        <v>10</v>
      </c>
      <c r="J368" s="6" t="s">
        <v>175</v>
      </c>
    </row>
    <row r="369" spans="1:10">
      <c r="A369" s="9">
        <v>57</v>
      </c>
      <c r="B369" s="10">
        <v>9929</v>
      </c>
      <c r="C369" s="3">
        <v>870000</v>
      </c>
      <c r="D369" s="3">
        <v>870000</v>
      </c>
      <c r="E369" s="7">
        <v>0</v>
      </c>
      <c r="F369" s="5">
        <v>45884</v>
      </c>
      <c r="G369" s="4">
        <v>20250814</v>
      </c>
      <c r="H369" s="6" t="s">
        <v>30</v>
      </c>
      <c r="I369" s="8"/>
      <c r="J369" s="6" t="s">
        <v>176</v>
      </c>
    </row>
    <row r="370" spans="1:10">
      <c r="A370" s="9">
        <v>688</v>
      </c>
      <c r="B370" s="10">
        <v>4840</v>
      </c>
      <c r="C370" s="3">
        <v>20000</v>
      </c>
      <c r="D370" s="3">
        <v>20000</v>
      </c>
      <c r="E370" s="7">
        <v>0</v>
      </c>
      <c r="F370" s="5">
        <v>45884</v>
      </c>
      <c r="G370" s="4">
        <v>20250814</v>
      </c>
      <c r="H370" s="6" t="s">
        <v>30</v>
      </c>
      <c r="I370" s="8" t="s">
        <v>10</v>
      </c>
      <c r="J370" s="6" t="s">
        <v>168</v>
      </c>
    </row>
    <row r="371" spans="1:10">
      <c r="A371" s="9">
        <v>907</v>
      </c>
      <c r="B371" s="10">
        <v>5547</v>
      </c>
      <c r="C371" s="3">
        <v>3560000</v>
      </c>
      <c r="D371" s="3">
        <v>3560000</v>
      </c>
      <c r="E371" s="7">
        <v>0</v>
      </c>
      <c r="F371" s="5">
        <v>45888</v>
      </c>
      <c r="G371" s="4">
        <v>20250815</v>
      </c>
      <c r="H371" s="6" t="s">
        <v>30</v>
      </c>
      <c r="I371" s="8"/>
      <c r="J371" s="6" t="s">
        <v>177</v>
      </c>
    </row>
    <row r="372" spans="1:10">
      <c r="A372" s="9">
        <v>442</v>
      </c>
      <c r="B372" s="10">
        <v>8885</v>
      </c>
      <c r="C372" s="3">
        <v>600000</v>
      </c>
      <c r="D372" s="3">
        <v>600000</v>
      </c>
      <c r="E372" s="7">
        <v>0</v>
      </c>
      <c r="F372" s="5">
        <v>45888</v>
      </c>
      <c r="G372" s="4">
        <v>20250818</v>
      </c>
      <c r="H372" s="6" t="s">
        <v>30</v>
      </c>
      <c r="I372" s="8" t="s">
        <v>9</v>
      </c>
      <c r="J372" s="6" t="s">
        <v>178</v>
      </c>
    </row>
    <row r="373" spans="1:10">
      <c r="A373" s="9">
        <v>688</v>
      </c>
      <c r="B373" s="10">
        <v>4840</v>
      </c>
      <c r="C373" s="3">
        <v>900000</v>
      </c>
      <c r="D373" s="3">
        <v>900000</v>
      </c>
      <c r="E373" s="7">
        <v>0</v>
      </c>
      <c r="F373" s="5">
        <v>45888</v>
      </c>
      <c r="G373" s="4">
        <v>20250818</v>
      </c>
      <c r="H373" s="6" t="s">
        <v>30</v>
      </c>
      <c r="I373" s="8" t="s">
        <v>9</v>
      </c>
      <c r="J373" s="6" t="s">
        <v>168</v>
      </c>
    </row>
    <row r="374" spans="1:10">
      <c r="A374" s="9">
        <v>721</v>
      </c>
      <c r="B374" s="10">
        <v>8892</v>
      </c>
      <c r="C374" s="3">
        <v>40000</v>
      </c>
      <c r="D374" s="3">
        <v>40000</v>
      </c>
      <c r="E374" s="7">
        <v>0</v>
      </c>
      <c r="F374" s="5">
        <v>45888</v>
      </c>
      <c r="G374" s="4">
        <v>20250818</v>
      </c>
      <c r="H374" s="6" t="s">
        <v>30</v>
      </c>
      <c r="I374" s="8" t="s">
        <v>9</v>
      </c>
      <c r="J374" s="6" t="s">
        <v>171</v>
      </c>
    </row>
    <row r="375" spans="1:10">
      <c r="A375" s="9">
        <v>799</v>
      </c>
      <c r="B375" s="10">
        <v>8184</v>
      </c>
      <c r="C375" s="3">
        <v>300000</v>
      </c>
      <c r="D375" s="3">
        <v>300000</v>
      </c>
      <c r="E375" s="7">
        <v>0</v>
      </c>
      <c r="F375" s="5">
        <v>45888</v>
      </c>
      <c r="G375" s="4">
        <v>20250818</v>
      </c>
      <c r="H375" s="6" t="s">
        <v>30</v>
      </c>
      <c r="I375" s="8" t="s">
        <v>9</v>
      </c>
      <c r="J375" s="6" t="s">
        <v>69</v>
      </c>
    </row>
    <row r="376" spans="1:10">
      <c r="A376" s="9">
        <v>831</v>
      </c>
      <c r="B376" s="10">
        <v>4654</v>
      </c>
      <c r="C376" s="3">
        <v>1300000</v>
      </c>
      <c r="D376" s="3">
        <v>1300000</v>
      </c>
      <c r="E376" s="7">
        <v>0</v>
      </c>
      <c r="F376" s="5">
        <v>45888</v>
      </c>
      <c r="G376" s="4">
        <v>20250818</v>
      </c>
      <c r="H376" s="6" t="s">
        <v>30</v>
      </c>
      <c r="I376" s="8" t="s">
        <v>9</v>
      </c>
      <c r="J376" s="6" t="s">
        <v>179</v>
      </c>
    </row>
    <row r="377" spans="1:10">
      <c r="A377" s="9">
        <v>866</v>
      </c>
      <c r="B377" s="10">
        <v>467</v>
      </c>
      <c r="C377" s="3">
        <v>70000</v>
      </c>
      <c r="D377" s="3">
        <v>70000</v>
      </c>
      <c r="E377" s="7">
        <v>0</v>
      </c>
      <c r="F377" s="5">
        <v>45888</v>
      </c>
      <c r="G377" s="4">
        <v>20250818</v>
      </c>
      <c r="H377" s="6" t="s">
        <v>30</v>
      </c>
      <c r="I377" s="8" t="s">
        <v>9</v>
      </c>
      <c r="J377" s="6" t="s">
        <v>180</v>
      </c>
    </row>
    <row r="378" spans="1:10">
      <c r="A378" s="9">
        <v>914</v>
      </c>
      <c r="B378" s="10">
        <v>5544</v>
      </c>
      <c r="C378" s="3">
        <v>220000</v>
      </c>
      <c r="D378" s="3">
        <v>220000</v>
      </c>
      <c r="E378" s="7">
        <v>0</v>
      </c>
      <c r="F378" s="5">
        <v>45888</v>
      </c>
      <c r="G378" s="4">
        <v>20250818</v>
      </c>
      <c r="H378" s="6" t="s">
        <v>30</v>
      </c>
      <c r="I378" s="8" t="s">
        <v>9</v>
      </c>
      <c r="J378" s="6" t="s">
        <v>102</v>
      </c>
    </row>
    <row r="379" spans="1:10">
      <c r="A379" s="9">
        <v>993</v>
      </c>
      <c r="B379" s="10">
        <v>3470</v>
      </c>
      <c r="C379" s="3">
        <v>900000</v>
      </c>
      <c r="D379" s="3">
        <v>900000</v>
      </c>
      <c r="E379" s="7">
        <v>0</v>
      </c>
      <c r="F379" s="5">
        <v>45888</v>
      </c>
      <c r="G379" s="4">
        <v>20250818</v>
      </c>
      <c r="H379" s="6" t="s">
        <v>30</v>
      </c>
      <c r="I379" s="8" t="s">
        <v>9</v>
      </c>
      <c r="J379" s="6" t="s">
        <v>181</v>
      </c>
    </row>
    <row r="380" spans="1:10">
      <c r="A380" s="9">
        <v>211</v>
      </c>
      <c r="B380" s="10">
        <v>5308</v>
      </c>
      <c r="C380" s="3">
        <v>1810000</v>
      </c>
      <c r="D380" s="3">
        <v>1810000</v>
      </c>
      <c r="E380" s="7">
        <v>0</v>
      </c>
      <c r="F380" s="5">
        <v>45888</v>
      </c>
      <c r="G380" s="4">
        <v>20250815</v>
      </c>
      <c r="H380" s="6" t="s">
        <v>30</v>
      </c>
      <c r="I380" s="8" t="s">
        <v>9</v>
      </c>
      <c r="J380" s="6" t="s">
        <v>182</v>
      </c>
    </row>
    <row r="381" spans="1:10">
      <c r="A381" s="9">
        <v>59</v>
      </c>
      <c r="B381" s="10">
        <v>5002</v>
      </c>
      <c r="C381" s="3">
        <v>2300000</v>
      </c>
      <c r="D381" s="3">
        <f>1060000+1240000</f>
        <v>2300000</v>
      </c>
      <c r="E381" s="7">
        <f t="shared" ref="E381" si="34">+C381-D381</f>
        <v>0</v>
      </c>
      <c r="F381" s="5">
        <v>45888</v>
      </c>
      <c r="G381" s="4">
        <v>20250818</v>
      </c>
      <c r="H381" s="6" t="str">
        <f>VLOOKUP(B381,CAJEROS!B:D,3,0)</f>
        <v>Multifuncional</v>
      </c>
      <c r="I381" s="8" t="s">
        <v>9</v>
      </c>
      <c r="J381" s="6" t="str">
        <f>VLOOKUP(B381,CAJEROS!B:E,4,0)</f>
        <v>MF_AVSTNDER</v>
      </c>
    </row>
    <row r="382" spans="1:10">
      <c r="A382" s="9">
        <v>634</v>
      </c>
      <c r="B382" s="9">
        <v>5087</v>
      </c>
      <c r="C382" s="3">
        <v>5000000</v>
      </c>
      <c r="D382" s="3">
        <v>5000000</v>
      </c>
      <c r="E382" s="7">
        <v>0</v>
      </c>
      <c r="F382" s="5">
        <v>45882</v>
      </c>
      <c r="G382" s="4">
        <v>20250812</v>
      </c>
      <c r="H382" s="6" t="s">
        <v>24</v>
      </c>
      <c r="I382" s="8"/>
      <c r="J382" s="6" t="s">
        <v>183</v>
      </c>
    </row>
    <row r="383" spans="1:10">
      <c r="A383" s="9">
        <v>634</v>
      </c>
      <c r="B383" s="10">
        <v>5087</v>
      </c>
      <c r="C383" s="3">
        <v>2420000</v>
      </c>
      <c r="D383" s="3">
        <v>2420000</v>
      </c>
      <c r="E383" s="7">
        <v>0</v>
      </c>
      <c r="F383" s="5">
        <v>45883</v>
      </c>
      <c r="G383" s="4">
        <v>20250813</v>
      </c>
      <c r="H383" s="6" t="s">
        <v>24</v>
      </c>
      <c r="I383" s="8" t="s">
        <v>9</v>
      </c>
      <c r="J383" s="6" t="s">
        <v>183</v>
      </c>
    </row>
    <row r="384" spans="1:10">
      <c r="A384" s="9">
        <v>634</v>
      </c>
      <c r="B384" s="10">
        <v>5087</v>
      </c>
      <c r="C384" s="3">
        <v>2980000</v>
      </c>
      <c r="D384" s="3">
        <v>2980000</v>
      </c>
      <c r="E384" s="7">
        <v>0</v>
      </c>
      <c r="F384" s="5">
        <v>45884</v>
      </c>
      <c r="G384" s="4">
        <v>20250814</v>
      </c>
      <c r="H384" s="6" t="s">
        <v>24</v>
      </c>
      <c r="I384" s="8" t="s">
        <v>9</v>
      </c>
      <c r="J384" s="6" t="s">
        <v>183</v>
      </c>
    </row>
    <row r="385" spans="1:10">
      <c r="A385" s="9">
        <v>656</v>
      </c>
      <c r="B385" s="10">
        <v>5103</v>
      </c>
      <c r="C385" s="3">
        <v>1750000</v>
      </c>
      <c r="D385" s="3">
        <v>1750000</v>
      </c>
      <c r="E385" s="7">
        <f t="shared" ref="E385:E388" si="35">+C385-D385</f>
        <v>0</v>
      </c>
      <c r="F385" s="5">
        <v>45889</v>
      </c>
      <c r="G385" s="4">
        <v>20250819</v>
      </c>
      <c r="H385" s="6" t="str">
        <f>VLOOKUP(B385,CAJEROS!B:D,3,0)</f>
        <v>Multifuncional</v>
      </c>
      <c r="I385" s="8" t="s">
        <v>9</v>
      </c>
      <c r="J385" s="6" t="str">
        <f>VLOOKUP(B385,CAJEROS!B:E,4,0)</f>
        <v>MF_MAYPLAZA</v>
      </c>
    </row>
    <row r="386" spans="1:10">
      <c r="A386" s="9">
        <v>541</v>
      </c>
      <c r="B386" s="10">
        <v>5185</v>
      </c>
      <c r="C386" s="3">
        <v>1740900</v>
      </c>
      <c r="D386" s="3">
        <v>1740900</v>
      </c>
      <c r="E386" s="7">
        <f t="shared" si="35"/>
        <v>0</v>
      </c>
      <c r="F386" s="5">
        <v>45889</v>
      </c>
      <c r="G386" s="4">
        <v>20250819</v>
      </c>
      <c r="H386" s="6" t="str">
        <f>VLOOKUP(B386,CAJEROS!B:D,3,0)</f>
        <v>Multifuncional</v>
      </c>
      <c r="I386" s="8" t="s">
        <v>9</v>
      </c>
      <c r="J386" s="6" t="str">
        <f>VLOOKUP(B386,CAJEROS!B:E,4,0)</f>
        <v>MF_PARQCALD</v>
      </c>
    </row>
    <row r="387" spans="1:10">
      <c r="A387" s="9">
        <v>30</v>
      </c>
      <c r="B387" s="10">
        <v>6172</v>
      </c>
      <c r="C387" s="3">
        <v>200000</v>
      </c>
      <c r="D387" s="3">
        <v>200000</v>
      </c>
      <c r="E387" s="7">
        <f t="shared" si="35"/>
        <v>0</v>
      </c>
      <c r="F387" s="5">
        <v>45889</v>
      </c>
      <c r="G387" s="4">
        <v>20250819</v>
      </c>
      <c r="H387" s="6" t="str">
        <f>VLOOKUP(B387,CAJEROS!B:D,3,0)</f>
        <v>Multifuncional</v>
      </c>
      <c r="I387" s="8" t="s">
        <v>9</v>
      </c>
      <c r="J387" s="6" t="str">
        <f>VLOOKUP(B387,CAJEROS!B:E,4,0)</f>
        <v>MF_CROCTAV1</v>
      </c>
    </row>
    <row r="388" spans="1:10">
      <c r="A388" s="9">
        <v>741</v>
      </c>
      <c r="B388" s="10">
        <v>6843</v>
      </c>
      <c r="C388" s="3">
        <v>1160000</v>
      </c>
      <c r="D388" s="3">
        <v>1160000</v>
      </c>
      <c r="E388" s="7">
        <f t="shared" si="35"/>
        <v>0</v>
      </c>
      <c r="F388" s="5">
        <v>45889</v>
      </c>
      <c r="G388" s="4">
        <v>20250819</v>
      </c>
      <c r="H388" s="6" t="str">
        <f>VLOOKUP(B388,CAJEROS!B:D,3,0)</f>
        <v>Multifuncional</v>
      </c>
      <c r="I388" s="8" t="s">
        <v>9</v>
      </c>
      <c r="J388" s="6" t="str">
        <f>VLOOKUP(B388,CAJEROS!B:E,4,0)</f>
        <v>MFSUC_IDEO1</v>
      </c>
    </row>
    <row r="389" spans="1:10">
      <c r="A389" s="9">
        <v>779</v>
      </c>
      <c r="B389" s="9">
        <v>8685</v>
      </c>
      <c r="C389" s="3">
        <v>1131300</v>
      </c>
      <c r="D389" s="3">
        <v>1131300</v>
      </c>
      <c r="E389" s="7">
        <v>0</v>
      </c>
      <c r="F389" s="5">
        <v>45875</v>
      </c>
      <c r="G389" s="4">
        <v>20250805</v>
      </c>
      <c r="H389" s="6" t="s">
        <v>24</v>
      </c>
      <c r="I389" s="8" t="s">
        <v>9</v>
      </c>
      <c r="J389" s="6" t="s">
        <v>184</v>
      </c>
    </row>
    <row r="390" spans="1:10">
      <c r="A390" s="9">
        <v>779</v>
      </c>
      <c r="B390" s="9">
        <v>8685</v>
      </c>
      <c r="C390" s="3">
        <v>838500</v>
      </c>
      <c r="D390" s="3">
        <v>838500</v>
      </c>
      <c r="E390" s="7">
        <v>0</v>
      </c>
      <c r="F390" s="5">
        <v>45881</v>
      </c>
      <c r="G390" s="4">
        <v>20250811</v>
      </c>
      <c r="H390" s="6" t="s">
        <v>24</v>
      </c>
      <c r="I390" s="8" t="s">
        <v>9</v>
      </c>
      <c r="J390" s="6" t="s">
        <v>184</v>
      </c>
    </row>
    <row r="391" spans="1:10">
      <c r="A391" s="9">
        <v>779</v>
      </c>
      <c r="B391" s="10">
        <v>8685</v>
      </c>
      <c r="C391" s="3">
        <v>2420000</v>
      </c>
      <c r="D391" s="3">
        <v>2420000</v>
      </c>
      <c r="E391" s="7">
        <v>0</v>
      </c>
      <c r="F391" s="5">
        <v>45883</v>
      </c>
      <c r="G391" s="4">
        <v>20250813</v>
      </c>
      <c r="H391" s="6" t="s">
        <v>24</v>
      </c>
      <c r="I391" s="8" t="s">
        <v>9</v>
      </c>
      <c r="J391" s="6" t="s">
        <v>184</v>
      </c>
    </row>
    <row r="392" spans="1:10">
      <c r="A392" s="9">
        <v>229</v>
      </c>
      <c r="B392" s="10">
        <v>9604</v>
      </c>
      <c r="C392" s="3">
        <v>510000</v>
      </c>
      <c r="D392" s="3">
        <v>510000</v>
      </c>
      <c r="E392" s="7">
        <f t="shared" ref="E392" si="36">+C392-D392</f>
        <v>0</v>
      </c>
      <c r="F392" s="5">
        <v>45889</v>
      </c>
      <c r="G392" s="4">
        <v>20250819</v>
      </c>
      <c r="H392" s="6" t="str">
        <f>VLOOKUP(B392,CAJEROS!B:D,3,0)</f>
        <v>Multifuncional</v>
      </c>
      <c r="I392" s="8" t="s">
        <v>9</v>
      </c>
      <c r="J392" s="6" t="str">
        <f>VLOOKUP(B392,CAJEROS!B:E,4,0)</f>
        <v>MFSUCPASER1</v>
      </c>
    </row>
    <row r="393" spans="1:10">
      <c r="A393" s="9">
        <v>197</v>
      </c>
      <c r="B393" s="10">
        <v>5084</v>
      </c>
      <c r="C393" s="3">
        <v>10000</v>
      </c>
      <c r="D393" s="3">
        <v>10000</v>
      </c>
      <c r="E393" s="7">
        <v>0</v>
      </c>
      <c r="F393" s="5">
        <v>45884</v>
      </c>
      <c r="G393" s="4">
        <v>20250814</v>
      </c>
      <c r="H393" s="6" t="s">
        <v>24</v>
      </c>
      <c r="I393" s="8" t="s">
        <v>10</v>
      </c>
      <c r="J393" s="6" t="s">
        <v>185</v>
      </c>
    </row>
    <row r="394" spans="1:10">
      <c r="A394" s="9">
        <v>197</v>
      </c>
      <c r="B394" s="10">
        <v>5084</v>
      </c>
      <c r="C394" s="3">
        <v>100000</v>
      </c>
      <c r="D394" s="3">
        <v>100000</v>
      </c>
      <c r="E394" s="7">
        <v>0</v>
      </c>
      <c r="F394" s="5">
        <v>45889</v>
      </c>
      <c r="G394" s="4">
        <v>20250819</v>
      </c>
      <c r="H394" s="6" t="s">
        <v>24</v>
      </c>
      <c r="I394" s="8" t="s">
        <v>9</v>
      </c>
      <c r="J394" s="6" t="s">
        <v>185</v>
      </c>
    </row>
    <row r="395" spans="1:10">
      <c r="A395" s="9">
        <v>68</v>
      </c>
      <c r="B395" s="10">
        <v>5135</v>
      </c>
      <c r="C395" s="3">
        <v>805000</v>
      </c>
      <c r="D395" s="3">
        <v>805000</v>
      </c>
      <c r="E395" s="7">
        <f t="shared" ref="E395:E396" si="37">+C395-D395</f>
        <v>0</v>
      </c>
      <c r="F395" s="5">
        <v>45883</v>
      </c>
      <c r="G395" s="4">
        <v>20250813</v>
      </c>
      <c r="H395" s="6" t="str">
        <f>VLOOKUP(B395,CAJEROS!B:D,3,0)</f>
        <v>Multifuncional</v>
      </c>
      <c r="I395" s="8" t="s">
        <v>9</v>
      </c>
      <c r="J395" s="6" t="str">
        <f>VLOOKUP(B395,CAJEROS!B:E,4,0)</f>
        <v>MF_IBAGUE</v>
      </c>
    </row>
    <row r="396" spans="1:10">
      <c r="A396" s="9">
        <v>812</v>
      </c>
      <c r="B396" s="10">
        <v>5144</v>
      </c>
      <c r="C396" s="3">
        <v>1574000</v>
      </c>
      <c r="D396" s="3">
        <v>1574000</v>
      </c>
      <c r="E396" s="7">
        <f t="shared" si="37"/>
        <v>0</v>
      </c>
      <c r="F396" s="5">
        <v>45888</v>
      </c>
      <c r="G396" s="4">
        <v>20250818</v>
      </c>
      <c r="H396" s="6" t="str">
        <f>VLOOKUP(B396,CAJEROS!B:D,3,0)</f>
        <v>Multifuncional</v>
      </c>
      <c r="I396" s="8" t="s">
        <v>9</v>
      </c>
      <c r="J396" s="6" t="str">
        <f>VLOOKUP(B396,CAJEROS!B:E,4,0)</f>
        <v>MF_CHPICHPE</v>
      </c>
    </row>
    <row r="397" spans="1:10">
      <c r="A397" s="9">
        <v>388</v>
      </c>
      <c r="B397" s="9">
        <v>5169</v>
      </c>
      <c r="C397" s="3">
        <v>1312000</v>
      </c>
      <c r="D397" s="3">
        <v>1312000</v>
      </c>
      <c r="E397" s="7">
        <v>0</v>
      </c>
      <c r="F397" s="5">
        <v>45881</v>
      </c>
      <c r="G397" s="4">
        <v>20250811</v>
      </c>
      <c r="H397" s="6" t="s">
        <v>24</v>
      </c>
      <c r="I397" s="8" t="s">
        <v>9</v>
      </c>
      <c r="J397" s="6" t="s">
        <v>186</v>
      </c>
    </row>
    <row r="398" spans="1:10">
      <c r="A398" s="9">
        <v>388</v>
      </c>
      <c r="B398" s="10">
        <v>5169</v>
      </c>
      <c r="C398" s="3">
        <v>1629400</v>
      </c>
      <c r="D398" s="3">
        <v>1629400</v>
      </c>
      <c r="E398" s="7">
        <v>0</v>
      </c>
      <c r="F398" s="5">
        <v>45884</v>
      </c>
      <c r="G398" s="4">
        <v>20250814</v>
      </c>
      <c r="H398" s="6" t="s">
        <v>24</v>
      </c>
      <c r="I398" s="8" t="s">
        <v>9</v>
      </c>
      <c r="J398" s="6" t="s">
        <v>186</v>
      </c>
    </row>
    <row r="399" spans="1:10">
      <c r="A399" s="9">
        <v>816</v>
      </c>
      <c r="B399" s="9">
        <v>5205</v>
      </c>
      <c r="C399" s="3">
        <v>1662000</v>
      </c>
      <c r="D399" s="3">
        <v>1662000</v>
      </c>
      <c r="E399" s="7">
        <f t="shared" ref="E399" si="38">+C399-D399</f>
        <v>0</v>
      </c>
      <c r="F399" s="5">
        <v>45880</v>
      </c>
      <c r="G399" s="4">
        <v>20250810</v>
      </c>
      <c r="H399" s="6" t="str">
        <f>VLOOKUP(B399,CAJEROS!B:D,3,0)</f>
        <v>Multifuncional</v>
      </c>
      <c r="I399" s="8" t="s">
        <v>9</v>
      </c>
      <c r="J399" s="6" t="str">
        <f>VLOOKUP(B399,CAJEROS!B:E,4,0)</f>
        <v>MF_SUCLLE10</v>
      </c>
    </row>
    <row r="400" spans="1:10">
      <c r="A400" s="9">
        <v>221</v>
      </c>
      <c r="B400" s="9">
        <v>5221</v>
      </c>
      <c r="C400" s="3">
        <v>300000</v>
      </c>
      <c r="D400" s="3">
        <v>300000</v>
      </c>
      <c r="E400" s="7">
        <v>0</v>
      </c>
      <c r="F400" s="5">
        <v>45877</v>
      </c>
      <c r="G400" s="4">
        <v>20250807</v>
      </c>
      <c r="H400" s="6" t="s">
        <v>24</v>
      </c>
      <c r="I400" s="8" t="s">
        <v>9</v>
      </c>
      <c r="J400" s="6" t="s">
        <v>187</v>
      </c>
    </row>
    <row r="401" spans="1:10">
      <c r="A401" s="9">
        <v>221</v>
      </c>
      <c r="B401" s="9">
        <v>5221</v>
      </c>
      <c r="C401" s="3">
        <v>170000</v>
      </c>
      <c r="D401" s="3">
        <v>170000</v>
      </c>
      <c r="E401" s="7">
        <v>0</v>
      </c>
      <c r="F401" s="5">
        <v>45881</v>
      </c>
      <c r="G401" s="4">
        <v>20250811</v>
      </c>
      <c r="H401" s="6" t="s">
        <v>24</v>
      </c>
      <c r="I401" s="8" t="s">
        <v>9</v>
      </c>
      <c r="J401" s="6" t="s">
        <v>187</v>
      </c>
    </row>
    <row r="402" spans="1:10">
      <c r="A402" s="9">
        <v>221</v>
      </c>
      <c r="B402" s="10">
        <v>5221</v>
      </c>
      <c r="C402" s="3">
        <v>830000</v>
      </c>
      <c r="D402" s="3">
        <v>830000</v>
      </c>
      <c r="E402" s="7">
        <v>0</v>
      </c>
      <c r="F402" s="5">
        <v>45884</v>
      </c>
      <c r="G402" s="4">
        <v>20250814</v>
      </c>
      <c r="H402" s="6" t="s">
        <v>24</v>
      </c>
      <c r="I402" s="8" t="s">
        <v>9</v>
      </c>
      <c r="J402" s="6" t="s">
        <v>187</v>
      </c>
    </row>
    <row r="403" spans="1:10">
      <c r="A403" s="9">
        <v>221</v>
      </c>
      <c r="B403" s="10">
        <v>5221</v>
      </c>
      <c r="C403" s="3">
        <v>2140000</v>
      </c>
      <c r="D403" s="3">
        <v>2140000</v>
      </c>
      <c r="E403" s="7">
        <v>0</v>
      </c>
      <c r="F403" s="5">
        <v>45889</v>
      </c>
      <c r="G403" s="4">
        <v>20250819</v>
      </c>
      <c r="H403" s="6" t="s">
        <v>24</v>
      </c>
      <c r="I403" s="8" t="s">
        <v>9</v>
      </c>
      <c r="J403" s="6" t="s">
        <v>187</v>
      </c>
    </row>
    <row r="404" spans="1:10">
      <c r="A404" s="9">
        <v>454</v>
      </c>
      <c r="B404" s="9">
        <v>5231</v>
      </c>
      <c r="C404" s="3">
        <v>1050000</v>
      </c>
      <c r="D404" s="3">
        <v>1050000</v>
      </c>
      <c r="E404" s="7">
        <f t="shared" ref="E404" si="39">+C404-D404</f>
        <v>0</v>
      </c>
      <c r="F404" s="5">
        <v>45880</v>
      </c>
      <c r="G404" s="4">
        <v>20250810</v>
      </c>
      <c r="H404" s="6" t="str">
        <f>VLOOKUP(B404,CAJEROS!B:D,3,0)</f>
        <v>Multifuncional</v>
      </c>
      <c r="I404" s="8" t="s">
        <v>9</v>
      </c>
      <c r="J404" s="6" t="str">
        <f>VLOOKUP(B404,CAJEROS!B:E,4,0)</f>
        <v>MF_5TAVENID</v>
      </c>
    </row>
    <row r="405" spans="1:10">
      <c r="A405" s="9">
        <v>625</v>
      </c>
      <c r="B405" s="10">
        <v>6096</v>
      </c>
      <c r="C405" s="3">
        <v>680000</v>
      </c>
      <c r="D405" s="3">
        <v>680000</v>
      </c>
      <c r="E405" s="7">
        <v>0</v>
      </c>
      <c r="F405" s="5">
        <v>45884</v>
      </c>
      <c r="G405" s="4">
        <v>20250814</v>
      </c>
      <c r="H405" s="6" t="s">
        <v>24</v>
      </c>
      <c r="I405" s="8" t="s">
        <v>9</v>
      </c>
      <c r="J405" s="6" t="s">
        <v>188</v>
      </c>
    </row>
    <row r="406" spans="1:10">
      <c r="A406" s="9">
        <v>625</v>
      </c>
      <c r="B406" s="10">
        <v>6096</v>
      </c>
      <c r="C406" s="3">
        <v>400000</v>
      </c>
      <c r="D406" s="3">
        <v>400000</v>
      </c>
      <c r="E406" s="7">
        <v>0</v>
      </c>
      <c r="F406" s="5">
        <v>45889</v>
      </c>
      <c r="G406" s="4">
        <v>20250819</v>
      </c>
      <c r="H406" s="6" t="s">
        <v>24</v>
      </c>
      <c r="I406" s="8" t="s">
        <v>9</v>
      </c>
      <c r="J406" s="6" t="s">
        <v>188</v>
      </c>
    </row>
    <row r="407" spans="1:10">
      <c r="A407" s="9">
        <v>690</v>
      </c>
      <c r="B407" s="9">
        <v>6180</v>
      </c>
      <c r="C407" s="3">
        <v>450000</v>
      </c>
      <c r="D407" s="3">
        <f>150000+300000</f>
        <v>450000</v>
      </c>
      <c r="E407" s="7">
        <f t="shared" ref="E407" si="40">+C407-D407</f>
        <v>0</v>
      </c>
      <c r="F407" s="5">
        <v>45882</v>
      </c>
      <c r="G407" s="4">
        <v>20250812</v>
      </c>
      <c r="H407" s="6" t="str">
        <f>VLOOKUP(B407,CAJEROS!B:D,3,0)</f>
        <v>Multifuncional</v>
      </c>
      <c r="I407" s="8" t="s">
        <v>9</v>
      </c>
      <c r="J407" s="6" t="str">
        <f>VLOOKUP(B407,CAJEROS!B:E,4,0)</f>
        <v>MF_HTQENDAM</v>
      </c>
    </row>
    <row r="408" spans="1:10">
      <c r="A408" s="9">
        <v>178</v>
      </c>
      <c r="B408" s="9">
        <v>6218</v>
      </c>
      <c r="C408" s="3">
        <v>40000</v>
      </c>
      <c r="D408" s="3">
        <v>40000</v>
      </c>
      <c r="E408" s="7">
        <v>0</v>
      </c>
      <c r="F408" s="5">
        <v>45881</v>
      </c>
      <c r="G408" s="4">
        <v>20250811</v>
      </c>
      <c r="H408" s="6" t="s">
        <v>24</v>
      </c>
      <c r="I408" s="8" t="s">
        <v>9</v>
      </c>
      <c r="J408" s="6" t="s">
        <v>189</v>
      </c>
    </row>
    <row r="409" spans="1:10">
      <c r="A409" s="9">
        <v>178</v>
      </c>
      <c r="B409" s="9">
        <v>6218</v>
      </c>
      <c r="C409" s="3">
        <v>360000</v>
      </c>
      <c r="D409" s="3">
        <v>360000</v>
      </c>
      <c r="E409" s="7">
        <v>0</v>
      </c>
      <c r="F409" s="5">
        <v>45882</v>
      </c>
      <c r="G409" s="4">
        <v>20250812</v>
      </c>
      <c r="H409" s="6" t="s">
        <v>24</v>
      </c>
      <c r="I409" s="8" t="s">
        <v>9</v>
      </c>
      <c r="J409" s="6" t="s">
        <v>189</v>
      </c>
    </row>
    <row r="410" spans="1:10">
      <c r="A410" s="9">
        <v>718</v>
      </c>
      <c r="B410" s="9">
        <v>6248</v>
      </c>
      <c r="C410" s="3">
        <v>2460000</v>
      </c>
      <c r="D410" s="3">
        <f>380000+2080000</f>
        <v>2460000</v>
      </c>
      <c r="E410" s="7">
        <f t="shared" ref="E410:E412" si="41">+C410-D410</f>
        <v>0</v>
      </c>
      <c r="F410" s="5">
        <v>45877</v>
      </c>
      <c r="G410" s="4">
        <v>20250807</v>
      </c>
      <c r="H410" s="6" t="str">
        <f>VLOOKUP(B410,CAJEROS!B:D,3,0)</f>
        <v>Multifuncional</v>
      </c>
      <c r="I410" s="8" t="s">
        <v>9</v>
      </c>
      <c r="J410" s="6" t="str">
        <f>VLOOKUP(B410,CAJEROS!B:E,4,0)</f>
        <v>MF_LAESTACI</v>
      </c>
    </row>
    <row r="411" spans="1:10">
      <c r="A411" s="9">
        <v>677</v>
      </c>
      <c r="B411" s="10">
        <v>7124</v>
      </c>
      <c r="C411" s="3">
        <v>20000</v>
      </c>
      <c r="D411" s="3">
        <v>20000</v>
      </c>
      <c r="E411" s="7">
        <f t="shared" si="41"/>
        <v>0</v>
      </c>
      <c r="F411" s="5">
        <v>45889</v>
      </c>
      <c r="G411" s="4">
        <v>20250819</v>
      </c>
      <c r="H411" s="6" t="str">
        <f>VLOOKUP(B411,CAJEROS!B:D,3,0)</f>
        <v>Multifuncional</v>
      </c>
      <c r="I411" s="8" t="s">
        <v>10</v>
      </c>
      <c r="J411" s="6" t="str">
        <f>VLOOKUP(B411,CAJEROS!B:E,4,0)</f>
        <v>MF_PLMERMON</v>
      </c>
    </row>
    <row r="412" spans="1:10">
      <c r="A412" s="9">
        <v>453</v>
      </c>
      <c r="B412" s="9">
        <v>8018</v>
      </c>
      <c r="C412" s="3">
        <v>1607400</v>
      </c>
      <c r="D412" s="3">
        <v>1607400</v>
      </c>
      <c r="E412" s="7">
        <f t="shared" si="41"/>
        <v>0</v>
      </c>
      <c r="F412" s="5">
        <v>45880</v>
      </c>
      <c r="G412" s="4">
        <v>20250810</v>
      </c>
      <c r="H412" s="6" t="str">
        <f>VLOOKUP(B412,CAJEROS!B:D,3,0)</f>
        <v>Multifuncional</v>
      </c>
      <c r="I412" s="8" t="s">
        <v>9</v>
      </c>
      <c r="J412" s="6" t="str">
        <f>VLOOKUP(B412,CAJEROS!B:E,4,0)</f>
        <v>MFSUCPITAL1</v>
      </c>
    </row>
    <row r="413" spans="1:10">
      <c r="A413" s="9">
        <v>453</v>
      </c>
      <c r="B413" s="9">
        <v>8019</v>
      </c>
      <c r="C413" s="3">
        <v>1573700</v>
      </c>
      <c r="D413" s="3">
        <v>1573700</v>
      </c>
      <c r="E413" s="7">
        <v>0</v>
      </c>
      <c r="F413" s="5">
        <v>45874</v>
      </c>
      <c r="G413" s="4">
        <v>20250804</v>
      </c>
      <c r="H413" s="6" t="s">
        <v>24</v>
      </c>
      <c r="I413" s="8" t="s">
        <v>9</v>
      </c>
      <c r="J413" s="6" t="s">
        <v>190</v>
      </c>
    </row>
    <row r="414" spans="1:10">
      <c r="A414" s="9">
        <v>453</v>
      </c>
      <c r="B414" s="9">
        <v>8019</v>
      </c>
      <c r="C414" s="3">
        <v>789000</v>
      </c>
      <c r="D414" s="3">
        <v>789000</v>
      </c>
      <c r="E414" s="7">
        <v>0</v>
      </c>
      <c r="F414" s="5">
        <v>45877</v>
      </c>
      <c r="G414" s="4">
        <v>20250807</v>
      </c>
      <c r="H414" s="6" t="s">
        <v>24</v>
      </c>
      <c r="I414" s="8" t="s">
        <v>9</v>
      </c>
      <c r="J414" s="6" t="s">
        <v>190</v>
      </c>
    </row>
    <row r="415" spans="1:10">
      <c r="A415" s="9">
        <v>609</v>
      </c>
      <c r="B415" s="10">
        <v>7875</v>
      </c>
      <c r="C415" s="3">
        <v>1480000</v>
      </c>
      <c r="D415" s="3">
        <v>1480000</v>
      </c>
      <c r="E415" s="7">
        <f t="shared" ref="E415:E416" si="42">+C415-D415</f>
        <v>0</v>
      </c>
      <c r="F415" s="5">
        <v>45889</v>
      </c>
      <c r="G415" s="4">
        <v>20250819</v>
      </c>
      <c r="H415" s="6" t="str">
        <f>VLOOKUP(B415,CAJEROS!B:D,3,0)</f>
        <v>Multifuncional</v>
      </c>
      <c r="I415" s="8" t="s">
        <v>9</v>
      </c>
      <c r="J415" s="6" t="str">
        <f>VLOOKUP(B415,CAJEROS!B:E,4,0)</f>
        <v>MFSUCABAST1</v>
      </c>
    </row>
    <row r="416" spans="1:10">
      <c r="A416" s="9">
        <v>609</v>
      </c>
      <c r="B416" s="10">
        <v>7888</v>
      </c>
      <c r="C416" s="3">
        <v>380000</v>
      </c>
      <c r="D416" s="3">
        <v>380000</v>
      </c>
      <c r="E416" s="7">
        <f t="shared" si="42"/>
        <v>0</v>
      </c>
      <c r="F416" s="5">
        <v>45889</v>
      </c>
      <c r="G416" s="4">
        <v>20250819</v>
      </c>
      <c r="H416" s="6" t="str">
        <f>VLOOKUP(B416,CAJEROS!B:D,3,0)</f>
        <v>Multifuncional</v>
      </c>
      <c r="I416" s="8" t="s">
        <v>9</v>
      </c>
      <c r="J416" s="6" t="str">
        <f>VLOOKUP(B416,CAJEROS!B:E,4,0)</f>
        <v>MFSUCABAST2</v>
      </c>
    </row>
    <row r="417" spans="1:10">
      <c r="A417" s="9">
        <v>187</v>
      </c>
      <c r="B417" s="9">
        <v>5485</v>
      </c>
      <c r="C417" s="3">
        <v>1790000</v>
      </c>
      <c r="D417" s="3">
        <v>1790000</v>
      </c>
      <c r="E417" s="7">
        <v>0</v>
      </c>
      <c r="F417" s="5">
        <v>45873</v>
      </c>
      <c r="G417" s="4">
        <v>20250803</v>
      </c>
      <c r="H417" s="6" t="s">
        <v>30</v>
      </c>
      <c r="I417" s="8" t="s">
        <v>9</v>
      </c>
      <c r="J417" s="6" t="s">
        <v>191</v>
      </c>
    </row>
    <row r="418" spans="1:10">
      <c r="A418" s="9">
        <v>503</v>
      </c>
      <c r="B418" s="9">
        <v>5031</v>
      </c>
      <c r="C418" s="3">
        <v>50000</v>
      </c>
      <c r="D418" s="3">
        <v>50000</v>
      </c>
      <c r="E418" s="7">
        <v>0</v>
      </c>
      <c r="F418" s="5">
        <v>45874</v>
      </c>
      <c r="G418" s="4">
        <v>20250804</v>
      </c>
      <c r="H418" s="6" t="s">
        <v>30</v>
      </c>
      <c r="I418" s="8"/>
      <c r="J418" s="6" t="s">
        <v>192</v>
      </c>
    </row>
    <row r="419" spans="1:10">
      <c r="A419" s="9">
        <v>876</v>
      </c>
      <c r="B419" s="9">
        <v>9681</v>
      </c>
      <c r="C419" s="3">
        <v>100000</v>
      </c>
      <c r="D419" s="3">
        <v>100000</v>
      </c>
      <c r="E419" s="7">
        <v>0</v>
      </c>
      <c r="F419" s="5">
        <v>45874</v>
      </c>
      <c r="G419" s="4">
        <v>20250804</v>
      </c>
      <c r="H419" s="6" t="s">
        <v>30</v>
      </c>
      <c r="I419" s="8" t="s">
        <v>9</v>
      </c>
      <c r="J419" s="6" t="s">
        <v>193</v>
      </c>
    </row>
    <row r="420" spans="1:10">
      <c r="A420" s="9">
        <v>422</v>
      </c>
      <c r="B420" s="9">
        <v>4221</v>
      </c>
      <c r="C420" s="3">
        <v>20000</v>
      </c>
      <c r="D420" s="3">
        <v>20000</v>
      </c>
      <c r="E420" s="7">
        <v>0</v>
      </c>
      <c r="F420" s="5">
        <v>45874</v>
      </c>
      <c r="G420" s="4">
        <v>20250804</v>
      </c>
      <c r="H420" s="6" t="s">
        <v>30</v>
      </c>
      <c r="I420" s="8" t="s">
        <v>10</v>
      </c>
      <c r="J420" s="6" t="s">
        <v>194</v>
      </c>
    </row>
    <row r="421" spans="1:10">
      <c r="A421" s="9">
        <v>187</v>
      </c>
      <c r="B421" s="9">
        <v>5485</v>
      </c>
      <c r="C421" s="3">
        <v>3850000</v>
      </c>
      <c r="D421" s="3">
        <v>3850000</v>
      </c>
      <c r="E421" s="7">
        <v>0</v>
      </c>
      <c r="F421" s="5">
        <v>45880</v>
      </c>
      <c r="G421" s="4">
        <v>20250810</v>
      </c>
      <c r="H421" s="6" t="s">
        <v>30</v>
      </c>
      <c r="I421" s="8" t="s">
        <v>9</v>
      </c>
      <c r="J421" s="6" t="s">
        <v>191</v>
      </c>
    </row>
    <row r="422" spans="1:10">
      <c r="A422" s="9">
        <v>31</v>
      </c>
      <c r="B422" s="10">
        <v>8732</v>
      </c>
      <c r="C422" s="3">
        <v>1460000</v>
      </c>
      <c r="D422" s="3">
        <v>1460000</v>
      </c>
      <c r="E422" s="7">
        <v>0</v>
      </c>
      <c r="F422" s="5">
        <v>45883</v>
      </c>
      <c r="G422" s="4">
        <v>20250813</v>
      </c>
      <c r="H422" s="6" t="s">
        <v>30</v>
      </c>
      <c r="I422" s="8" t="s">
        <v>9</v>
      </c>
      <c r="J422" s="6" t="s">
        <v>195</v>
      </c>
    </row>
    <row r="423" spans="1:10">
      <c r="A423" s="9">
        <v>31</v>
      </c>
      <c r="B423" s="10">
        <v>8733</v>
      </c>
      <c r="C423" s="3">
        <v>660000</v>
      </c>
      <c r="D423" s="3">
        <v>660000</v>
      </c>
      <c r="E423" s="7">
        <v>0</v>
      </c>
      <c r="F423" s="5">
        <v>45883</v>
      </c>
      <c r="G423" s="4">
        <v>20250813</v>
      </c>
      <c r="H423" s="6" t="s">
        <v>30</v>
      </c>
      <c r="I423" s="8" t="s">
        <v>9</v>
      </c>
      <c r="J423" s="6" t="s">
        <v>196</v>
      </c>
    </row>
    <row r="424" spans="1:10">
      <c r="A424" s="9">
        <v>31</v>
      </c>
      <c r="B424" s="10">
        <v>8733</v>
      </c>
      <c r="C424" s="3">
        <v>110000</v>
      </c>
      <c r="D424" s="3">
        <v>110000</v>
      </c>
      <c r="E424" s="7">
        <v>0</v>
      </c>
      <c r="F424" s="5">
        <v>45884</v>
      </c>
      <c r="G424" s="4">
        <v>20250814</v>
      </c>
      <c r="H424" s="6" t="s">
        <v>30</v>
      </c>
      <c r="I424" s="8" t="s">
        <v>9</v>
      </c>
      <c r="J424" s="6" t="s">
        <v>196</v>
      </c>
    </row>
    <row r="425" spans="1:10">
      <c r="A425" s="9">
        <v>96</v>
      </c>
      <c r="B425" s="10">
        <v>1035</v>
      </c>
      <c r="C425" s="3">
        <v>4840000</v>
      </c>
      <c r="D425" s="3">
        <v>4840000</v>
      </c>
      <c r="E425" s="7">
        <v>0</v>
      </c>
      <c r="F425" s="5">
        <v>45884</v>
      </c>
      <c r="G425" s="4">
        <v>20250814</v>
      </c>
      <c r="H425" s="6" t="s">
        <v>30</v>
      </c>
      <c r="I425" s="8" t="s">
        <v>9</v>
      </c>
      <c r="J425" s="6" t="s">
        <v>60</v>
      </c>
    </row>
    <row r="426" spans="1:10">
      <c r="A426" s="9">
        <v>96</v>
      </c>
      <c r="B426" s="10">
        <v>4257</v>
      </c>
      <c r="C426" s="3">
        <v>250000</v>
      </c>
      <c r="D426" s="3">
        <v>250000</v>
      </c>
      <c r="E426" s="7">
        <v>0</v>
      </c>
      <c r="F426" s="5">
        <v>45884</v>
      </c>
      <c r="G426" s="4">
        <v>20250814</v>
      </c>
      <c r="H426" s="6" t="s">
        <v>30</v>
      </c>
      <c r="I426" s="8" t="s">
        <v>9</v>
      </c>
      <c r="J426" s="6" t="s">
        <v>197</v>
      </c>
    </row>
    <row r="427" spans="1:10">
      <c r="A427" s="9">
        <v>322</v>
      </c>
      <c r="B427" s="10">
        <v>2441</v>
      </c>
      <c r="C427" s="3">
        <v>430000</v>
      </c>
      <c r="D427" s="3">
        <v>430000</v>
      </c>
      <c r="E427" s="7">
        <v>0</v>
      </c>
      <c r="F427" s="5">
        <v>45884</v>
      </c>
      <c r="G427" s="4">
        <v>20250814</v>
      </c>
      <c r="H427" s="6" t="s">
        <v>30</v>
      </c>
      <c r="I427" s="8" t="s">
        <v>9</v>
      </c>
      <c r="J427" s="6" t="s">
        <v>198</v>
      </c>
    </row>
    <row r="428" spans="1:10">
      <c r="A428" s="9">
        <v>31</v>
      </c>
      <c r="B428" s="10">
        <v>8733</v>
      </c>
      <c r="C428" s="3">
        <v>60000</v>
      </c>
      <c r="D428" s="3">
        <v>60000</v>
      </c>
      <c r="E428" s="7">
        <v>0</v>
      </c>
      <c r="F428" s="5">
        <v>45888</v>
      </c>
      <c r="G428" s="4">
        <v>20250818</v>
      </c>
      <c r="H428" s="6" t="s">
        <v>30</v>
      </c>
      <c r="I428" s="8" t="s">
        <v>9</v>
      </c>
      <c r="J428" s="6" t="s">
        <v>196</v>
      </c>
    </row>
    <row r="429" spans="1:10">
      <c r="A429" s="9">
        <v>187</v>
      </c>
      <c r="B429" s="10">
        <v>5485</v>
      </c>
      <c r="C429" s="3">
        <v>3260000</v>
      </c>
      <c r="D429" s="3">
        <v>3260000</v>
      </c>
      <c r="E429" s="7">
        <v>0</v>
      </c>
      <c r="F429" s="5">
        <v>45888</v>
      </c>
      <c r="G429" s="4">
        <v>20250818</v>
      </c>
      <c r="H429" s="6" t="s">
        <v>30</v>
      </c>
      <c r="I429" s="8" t="s">
        <v>9</v>
      </c>
      <c r="J429" s="6" t="s">
        <v>191</v>
      </c>
    </row>
    <row r="430" spans="1:10">
      <c r="A430" s="9">
        <v>422</v>
      </c>
      <c r="B430" s="10">
        <v>4221</v>
      </c>
      <c r="C430" s="3">
        <v>50000</v>
      </c>
      <c r="D430" s="3">
        <v>50000</v>
      </c>
      <c r="E430" s="7">
        <v>0</v>
      </c>
      <c r="F430" s="5">
        <v>45888</v>
      </c>
      <c r="G430" s="4">
        <v>20250818</v>
      </c>
      <c r="H430" s="6" t="s">
        <v>30</v>
      </c>
      <c r="I430" s="8" t="s">
        <v>9</v>
      </c>
      <c r="J430" s="6" t="s">
        <v>194</v>
      </c>
    </row>
    <row r="431" spans="1:10">
      <c r="A431" s="9">
        <v>864</v>
      </c>
      <c r="B431" s="10">
        <v>5377</v>
      </c>
      <c r="C431" s="3">
        <v>560000</v>
      </c>
      <c r="D431" s="3">
        <v>560000</v>
      </c>
      <c r="E431" s="7">
        <v>0</v>
      </c>
      <c r="F431" s="5">
        <v>45888</v>
      </c>
      <c r="G431" s="4">
        <v>20250818</v>
      </c>
      <c r="H431" s="6" t="s">
        <v>30</v>
      </c>
      <c r="I431" s="8" t="s">
        <v>9</v>
      </c>
      <c r="J431" s="6" t="s">
        <v>167</v>
      </c>
    </row>
    <row r="432" spans="1:10">
      <c r="A432" s="9">
        <v>96</v>
      </c>
      <c r="B432" s="10">
        <v>4257</v>
      </c>
      <c r="C432" s="3">
        <v>270000</v>
      </c>
      <c r="D432" s="3">
        <v>270000</v>
      </c>
      <c r="E432" s="7">
        <v>0</v>
      </c>
      <c r="F432" s="5">
        <v>45889</v>
      </c>
      <c r="G432" s="4">
        <v>20250819</v>
      </c>
      <c r="H432" s="6" t="s">
        <v>30</v>
      </c>
      <c r="I432" s="8" t="s">
        <v>9</v>
      </c>
      <c r="J432" s="6" t="s">
        <v>197</v>
      </c>
    </row>
    <row r="433" spans="1:10">
      <c r="A433" s="9">
        <v>159</v>
      </c>
      <c r="B433" s="10">
        <v>1143</v>
      </c>
      <c r="C433" s="3">
        <v>500000</v>
      </c>
      <c r="D433" s="3">
        <v>500000</v>
      </c>
      <c r="E433" s="7">
        <v>0</v>
      </c>
      <c r="F433" s="5">
        <v>45889</v>
      </c>
      <c r="G433" s="4">
        <v>20250819</v>
      </c>
      <c r="H433" s="6" t="s">
        <v>30</v>
      </c>
      <c r="I433" s="8" t="s">
        <v>9</v>
      </c>
      <c r="J433" s="6" t="s">
        <v>199</v>
      </c>
    </row>
    <row r="434" spans="1:10">
      <c r="A434" s="9">
        <v>503</v>
      </c>
      <c r="B434" s="10">
        <v>5032</v>
      </c>
      <c r="C434" s="3">
        <v>180000</v>
      </c>
      <c r="D434" s="3">
        <v>180000</v>
      </c>
      <c r="E434" s="7">
        <v>0</v>
      </c>
      <c r="F434" s="5">
        <v>45889</v>
      </c>
      <c r="G434" s="4">
        <v>20250819</v>
      </c>
      <c r="H434" s="6" t="s">
        <v>30</v>
      </c>
      <c r="I434" s="8" t="s">
        <v>9</v>
      </c>
      <c r="J434" s="6" t="s">
        <v>154</v>
      </c>
    </row>
    <row r="435" spans="1:10">
      <c r="A435" s="9">
        <v>849</v>
      </c>
      <c r="B435" s="10">
        <v>9722</v>
      </c>
      <c r="C435" s="3">
        <v>200000</v>
      </c>
      <c r="D435" s="3">
        <v>200000</v>
      </c>
      <c r="E435" s="7">
        <v>0</v>
      </c>
      <c r="F435" s="5">
        <v>45889</v>
      </c>
      <c r="G435" s="4">
        <v>20250819</v>
      </c>
      <c r="H435" s="6" t="s">
        <v>30</v>
      </c>
      <c r="I435" s="8" t="s">
        <v>9</v>
      </c>
      <c r="J435" s="6" t="s">
        <v>200</v>
      </c>
    </row>
    <row r="436" spans="1:10">
      <c r="A436" s="9">
        <v>652</v>
      </c>
      <c r="B436" s="10">
        <v>5070</v>
      </c>
      <c r="C436" s="3">
        <v>960000</v>
      </c>
      <c r="D436" s="3">
        <v>960000</v>
      </c>
      <c r="E436" s="7">
        <v>0</v>
      </c>
      <c r="F436" s="5">
        <v>45889</v>
      </c>
      <c r="G436" s="4">
        <v>20250819</v>
      </c>
      <c r="H436" s="6" t="s">
        <v>24</v>
      </c>
      <c r="I436" s="8" t="s">
        <v>9</v>
      </c>
      <c r="J436" s="6" t="s">
        <v>201</v>
      </c>
    </row>
    <row r="437" spans="1:10">
      <c r="A437" s="9">
        <v>652</v>
      </c>
      <c r="B437" s="10">
        <v>5070</v>
      </c>
      <c r="C437" s="3">
        <v>2720000</v>
      </c>
      <c r="D437" s="3">
        <v>2720000</v>
      </c>
      <c r="E437" s="7">
        <v>0</v>
      </c>
      <c r="F437" s="5">
        <v>45890</v>
      </c>
      <c r="G437" s="4">
        <v>20250820</v>
      </c>
      <c r="H437" s="6" t="s">
        <v>24</v>
      </c>
      <c r="I437" s="8" t="s">
        <v>9</v>
      </c>
      <c r="J437" s="6" t="s">
        <v>201</v>
      </c>
    </row>
    <row r="438" spans="1:10">
      <c r="A438" s="9">
        <v>19</v>
      </c>
      <c r="B438" s="10">
        <v>5078</v>
      </c>
      <c r="C438" s="3">
        <v>2676000</v>
      </c>
      <c r="D438" s="3">
        <v>2676000</v>
      </c>
      <c r="E438" s="7">
        <f t="shared" ref="E438:E443" si="43">+C438-D438</f>
        <v>0</v>
      </c>
      <c r="F438" s="5">
        <v>45890</v>
      </c>
      <c r="G438" s="4">
        <v>20250820</v>
      </c>
      <c r="H438" s="6" t="str">
        <f>VLOOKUP(B438,CAJEROS!B:D,3,0)</f>
        <v>Multifuncional</v>
      </c>
      <c r="I438" s="8" t="s">
        <v>9</v>
      </c>
      <c r="J438" s="6" t="str">
        <f>VLOOKUP(B438,CAJEROS!B:E,4,0)</f>
        <v>MF_SUCENVIG</v>
      </c>
    </row>
    <row r="439" spans="1:10">
      <c r="A439" s="9">
        <v>523</v>
      </c>
      <c r="B439" s="10">
        <v>5082</v>
      </c>
      <c r="C439" s="3">
        <v>700000</v>
      </c>
      <c r="D439" s="3">
        <v>700000</v>
      </c>
      <c r="E439" s="7">
        <f t="shared" si="43"/>
        <v>0</v>
      </c>
      <c r="F439" s="5">
        <v>45889</v>
      </c>
      <c r="G439" s="4">
        <v>20250819</v>
      </c>
      <c r="H439" s="6" t="str">
        <f>VLOOKUP(B439,CAJEROS!B:D,3,0)</f>
        <v>Multifuncional</v>
      </c>
      <c r="I439" s="8" t="s">
        <v>9</v>
      </c>
      <c r="J439" s="6" t="str">
        <f>VLOOKUP(B439,CAJEROS!B:E,4,0)</f>
        <v>MF_OVALLEDU</v>
      </c>
    </row>
    <row r="440" spans="1:10">
      <c r="A440" s="9">
        <v>937</v>
      </c>
      <c r="B440" s="10">
        <v>5115</v>
      </c>
      <c r="C440" s="3">
        <v>850000</v>
      </c>
      <c r="D440" s="3">
        <v>850000</v>
      </c>
      <c r="E440" s="7">
        <f t="shared" si="43"/>
        <v>0</v>
      </c>
      <c r="F440" s="5">
        <v>45890</v>
      </c>
      <c r="G440" s="4">
        <v>20250820</v>
      </c>
      <c r="H440" s="6" t="str">
        <f>VLOOKUP(B440,CAJEROS!B:D,3,0)</f>
        <v>Multifuncional</v>
      </c>
      <c r="I440" s="8" t="s">
        <v>9</v>
      </c>
      <c r="J440" s="6" t="str">
        <f>VLOOKUP(B440,CAJEROS!B:E,4,0)</f>
        <v>MFSUCMODEL1</v>
      </c>
    </row>
    <row r="441" spans="1:10">
      <c r="A441" s="9">
        <v>806</v>
      </c>
      <c r="B441" s="10">
        <v>5156</v>
      </c>
      <c r="C441" s="3">
        <v>1045000</v>
      </c>
      <c r="D441" s="3">
        <v>1045000</v>
      </c>
      <c r="E441" s="7">
        <f t="shared" si="43"/>
        <v>0</v>
      </c>
      <c r="F441" s="5">
        <v>45890</v>
      </c>
      <c r="G441" s="4">
        <v>20250820</v>
      </c>
      <c r="H441" s="6" t="str">
        <f>VLOOKUP(B441,CAJEROS!B:D,3,0)</f>
        <v>Multifuncional</v>
      </c>
      <c r="I441" s="8" t="s">
        <v>9</v>
      </c>
      <c r="J441" s="6" t="str">
        <f>VLOOKUP(B441,CAJEROS!B:E,4,0)</f>
        <v>MF_ALZACIA</v>
      </c>
    </row>
    <row r="442" spans="1:10">
      <c r="A442" s="9">
        <v>606</v>
      </c>
      <c r="B442" s="10">
        <v>5201</v>
      </c>
      <c r="C442" s="3">
        <v>2405000</v>
      </c>
      <c r="D442" s="3">
        <v>2405000</v>
      </c>
      <c r="E442" s="7">
        <f t="shared" si="43"/>
        <v>0</v>
      </c>
      <c r="F442" s="5">
        <v>45890</v>
      </c>
      <c r="G442" s="4">
        <v>20250820</v>
      </c>
      <c r="H442" s="6" t="str">
        <f>VLOOKUP(B442,CAJEROS!B:D,3,0)</f>
        <v>Multifuncional</v>
      </c>
      <c r="I442" s="8" t="s">
        <v>9</v>
      </c>
      <c r="J442" s="6" t="str">
        <f>VLOOKUP(B442,CAJEROS!B:E,4,0)</f>
        <v>MF_UNITUNJA</v>
      </c>
    </row>
    <row r="443" spans="1:10">
      <c r="A443" s="9">
        <v>236</v>
      </c>
      <c r="B443" s="10">
        <v>6242</v>
      </c>
      <c r="C443" s="3">
        <v>1360000</v>
      </c>
      <c r="D443" s="3">
        <v>1360000</v>
      </c>
      <c r="E443" s="7">
        <f t="shared" si="43"/>
        <v>0</v>
      </c>
      <c r="F443" s="5">
        <v>45889</v>
      </c>
      <c r="G443" s="4">
        <v>20250819</v>
      </c>
      <c r="H443" s="6" t="str">
        <f>VLOOKUP(B443,CAJEROS!B:D,3,0)</f>
        <v>Multifuncional</v>
      </c>
      <c r="I443" s="8" t="s">
        <v>9</v>
      </c>
      <c r="J443" s="6" t="str">
        <f>VLOOKUP(B443,CAJEROS!B:E,4,0)</f>
        <v>MF_EXITCOLO</v>
      </c>
    </row>
    <row r="444" spans="1:10">
      <c r="A444" s="9">
        <v>79</v>
      </c>
      <c r="B444" s="10">
        <v>6245</v>
      </c>
      <c r="C444" s="3">
        <v>360000</v>
      </c>
      <c r="D444" s="3">
        <v>360000</v>
      </c>
      <c r="E444" s="7">
        <v>0</v>
      </c>
      <c r="F444" s="5">
        <v>45889</v>
      </c>
      <c r="G444" s="4">
        <v>20250819</v>
      </c>
      <c r="H444" s="6" t="s">
        <v>24</v>
      </c>
      <c r="I444" s="8" t="s">
        <v>9</v>
      </c>
      <c r="J444" s="6" t="s">
        <v>202</v>
      </c>
    </row>
    <row r="445" spans="1:10">
      <c r="A445" s="9">
        <v>79</v>
      </c>
      <c r="B445" s="10">
        <v>6245</v>
      </c>
      <c r="C445" s="3">
        <v>1040000</v>
      </c>
      <c r="D445" s="3">
        <v>1040000</v>
      </c>
      <c r="E445" s="7">
        <v>0</v>
      </c>
      <c r="F445" s="5">
        <v>45890</v>
      </c>
      <c r="G445" s="4">
        <v>20250820</v>
      </c>
      <c r="H445" s="6" t="s">
        <v>24</v>
      </c>
      <c r="I445" s="8" t="s">
        <v>9</v>
      </c>
      <c r="J445" s="6" t="s">
        <v>202</v>
      </c>
    </row>
    <row r="446" spans="1:10">
      <c r="A446" s="9">
        <v>352</v>
      </c>
      <c r="B446" s="10">
        <v>6618</v>
      </c>
      <c r="C446" s="3">
        <v>2188000</v>
      </c>
      <c r="D446" s="3">
        <v>2188000</v>
      </c>
      <c r="E446" s="7">
        <f t="shared" ref="E446" si="44">+C446-D446</f>
        <v>0</v>
      </c>
      <c r="F446" s="5">
        <v>45890</v>
      </c>
      <c r="G446" s="4">
        <v>20250820</v>
      </c>
      <c r="H446" s="6" t="str">
        <f>VLOOKUP(B446,CAJEROS!B:D,3,0)</f>
        <v>Multifuncional</v>
      </c>
      <c r="I446" s="8" t="s">
        <v>9</v>
      </c>
      <c r="J446" s="6" t="str">
        <f>VLOOKUP(B446,CAJEROS!B:E,4,0)</f>
        <v>MF_CHIQUINQ</v>
      </c>
    </row>
    <row r="447" spans="1:10">
      <c r="A447" s="9">
        <v>438</v>
      </c>
      <c r="B447" s="9">
        <v>1565</v>
      </c>
      <c r="C447" s="3">
        <v>3000000</v>
      </c>
      <c r="D447" s="3">
        <v>3000000</v>
      </c>
      <c r="E447" s="7">
        <v>0</v>
      </c>
      <c r="F447" s="5">
        <v>45877</v>
      </c>
      <c r="G447" s="4">
        <v>20250807</v>
      </c>
      <c r="H447" s="6" t="s">
        <v>24</v>
      </c>
      <c r="I447" s="8" t="s">
        <v>9</v>
      </c>
      <c r="J447" s="6" t="s">
        <v>42</v>
      </c>
    </row>
    <row r="448" spans="1:10">
      <c r="A448" s="9">
        <v>438</v>
      </c>
      <c r="B448" s="10">
        <v>1565</v>
      </c>
      <c r="C448" s="3">
        <v>1910000</v>
      </c>
      <c r="D448" s="3">
        <v>1910000</v>
      </c>
      <c r="E448" s="7">
        <v>0</v>
      </c>
      <c r="F448" s="5">
        <v>45883</v>
      </c>
      <c r="G448" s="4">
        <v>20250813</v>
      </c>
      <c r="H448" s="6" t="s">
        <v>24</v>
      </c>
      <c r="I448" s="8" t="s">
        <v>9</v>
      </c>
      <c r="J448" s="6" t="s">
        <v>42</v>
      </c>
    </row>
    <row r="449" spans="1:10">
      <c r="A449" s="9">
        <v>438</v>
      </c>
      <c r="B449" s="10">
        <v>1565</v>
      </c>
      <c r="C449" s="3">
        <v>1570000</v>
      </c>
      <c r="D449" s="3">
        <v>1570000</v>
      </c>
      <c r="E449" s="7">
        <v>0</v>
      </c>
      <c r="F449" s="5">
        <v>45889</v>
      </c>
      <c r="G449" s="4">
        <v>20250819</v>
      </c>
      <c r="H449" s="6" t="s">
        <v>24</v>
      </c>
      <c r="I449" s="8" t="s">
        <v>9</v>
      </c>
      <c r="J449" s="6" t="s">
        <v>42</v>
      </c>
    </row>
    <row r="450" spans="1:10">
      <c r="A450" s="9">
        <v>511</v>
      </c>
      <c r="B450" s="10">
        <v>5122</v>
      </c>
      <c r="C450" s="3">
        <v>883800</v>
      </c>
      <c r="D450" s="3">
        <v>883800</v>
      </c>
      <c r="E450" s="7">
        <f t="shared" ref="E450" si="45">+C450-D450</f>
        <v>0</v>
      </c>
      <c r="F450" s="5">
        <v>45890</v>
      </c>
      <c r="G450" s="4">
        <v>20250820</v>
      </c>
      <c r="H450" s="6" t="str">
        <f>VLOOKUP(B450,CAJEROS!B:D,3,0)</f>
        <v>Multifuncional</v>
      </c>
      <c r="I450" s="8" t="s">
        <v>9</v>
      </c>
      <c r="J450" s="6" t="str">
        <f>VLOOKUP(B450,CAJEROS!B:E,4,0)</f>
        <v>MF_PTOCLAVE</v>
      </c>
    </row>
    <row r="451" spans="1:10">
      <c r="A451" s="9">
        <v>658</v>
      </c>
      <c r="B451" s="9">
        <v>6228</v>
      </c>
      <c r="C451" s="3">
        <v>290000</v>
      </c>
      <c r="D451" s="3">
        <v>290000</v>
      </c>
      <c r="E451" s="7">
        <v>0</v>
      </c>
      <c r="F451" s="5">
        <v>45870</v>
      </c>
      <c r="G451" s="4">
        <v>20250731</v>
      </c>
      <c r="H451" s="6" t="s">
        <v>30</v>
      </c>
      <c r="I451" s="8" t="s">
        <v>9</v>
      </c>
      <c r="J451" s="6" t="s">
        <v>203</v>
      </c>
    </row>
    <row r="452" spans="1:10">
      <c r="A452" s="9">
        <v>832</v>
      </c>
      <c r="B452" s="9">
        <v>4767</v>
      </c>
      <c r="C452" s="3">
        <v>200000</v>
      </c>
      <c r="D452" s="3">
        <v>200000</v>
      </c>
      <c r="E452" s="7">
        <v>0</v>
      </c>
      <c r="F452" s="5">
        <v>45870</v>
      </c>
      <c r="G452" s="4">
        <v>20250731</v>
      </c>
      <c r="H452" s="6" t="s">
        <v>30</v>
      </c>
      <c r="I452" s="8" t="s">
        <v>9</v>
      </c>
      <c r="J452" s="6" t="s">
        <v>204</v>
      </c>
    </row>
    <row r="453" spans="1:10">
      <c r="A453" s="9">
        <v>85</v>
      </c>
      <c r="B453" s="9">
        <v>8973</v>
      </c>
      <c r="C453" s="3">
        <v>100000</v>
      </c>
      <c r="D453" s="3">
        <v>100000</v>
      </c>
      <c r="E453" s="7">
        <v>0</v>
      </c>
      <c r="F453" s="5">
        <v>45873</v>
      </c>
      <c r="G453" s="4">
        <v>20250803</v>
      </c>
      <c r="H453" s="6" t="s">
        <v>30</v>
      </c>
      <c r="I453" s="8" t="s">
        <v>9</v>
      </c>
      <c r="J453" s="6" t="s">
        <v>205</v>
      </c>
    </row>
    <row r="454" spans="1:10">
      <c r="A454" s="9">
        <v>658</v>
      </c>
      <c r="B454" s="9">
        <v>6228</v>
      </c>
      <c r="C454" s="3">
        <v>100000</v>
      </c>
      <c r="D454" s="3">
        <v>100000</v>
      </c>
      <c r="E454" s="7">
        <v>0</v>
      </c>
      <c r="F454" s="5">
        <v>45874</v>
      </c>
      <c r="G454" s="4">
        <v>20250804</v>
      </c>
      <c r="H454" s="6" t="s">
        <v>30</v>
      </c>
      <c r="I454" s="8" t="s">
        <v>9</v>
      </c>
      <c r="J454" s="6" t="s">
        <v>203</v>
      </c>
    </row>
    <row r="455" spans="1:10">
      <c r="A455" s="9">
        <v>658</v>
      </c>
      <c r="B455" s="9">
        <v>6228</v>
      </c>
      <c r="C455" s="3">
        <v>260000</v>
      </c>
      <c r="D455" s="3">
        <v>260000</v>
      </c>
      <c r="E455" s="7">
        <v>0</v>
      </c>
      <c r="F455" s="5">
        <v>45877</v>
      </c>
      <c r="G455" s="4">
        <v>20250807</v>
      </c>
      <c r="H455" s="6" t="s">
        <v>30</v>
      </c>
      <c r="I455" s="8" t="s">
        <v>9</v>
      </c>
      <c r="J455" s="6" t="s">
        <v>203</v>
      </c>
    </row>
    <row r="456" spans="1:10">
      <c r="A456" s="9">
        <v>832</v>
      </c>
      <c r="B456" s="9">
        <v>4767</v>
      </c>
      <c r="C456" s="3">
        <v>500000</v>
      </c>
      <c r="D456" s="3">
        <v>500000</v>
      </c>
      <c r="E456" s="7">
        <v>0</v>
      </c>
      <c r="F456" s="5">
        <v>45877</v>
      </c>
      <c r="G456" s="4">
        <v>20250807</v>
      </c>
      <c r="H456" s="6" t="s">
        <v>30</v>
      </c>
      <c r="I456" s="8" t="s">
        <v>9</v>
      </c>
      <c r="J456" s="6" t="s">
        <v>204</v>
      </c>
    </row>
    <row r="457" spans="1:10">
      <c r="A457" s="9">
        <v>832</v>
      </c>
      <c r="B457" s="9">
        <v>4767</v>
      </c>
      <c r="C457" s="3">
        <v>300000</v>
      </c>
      <c r="D457" s="3">
        <v>300000</v>
      </c>
      <c r="E457" s="7">
        <v>0</v>
      </c>
      <c r="F457" s="5">
        <v>45880</v>
      </c>
      <c r="G457" s="4">
        <v>20250810</v>
      </c>
      <c r="H457" s="6" t="s">
        <v>30</v>
      </c>
      <c r="I457" s="8" t="s">
        <v>9</v>
      </c>
      <c r="J457" s="6" t="s">
        <v>204</v>
      </c>
    </row>
    <row r="458" spans="1:10">
      <c r="A458" s="9">
        <v>141</v>
      </c>
      <c r="B458" s="9">
        <v>1415</v>
      </c>
      <c r="C458" s="3">
        <v>50000</v>
      </c>
      <c r="D458" s="3">
        <v>50000</v>
      </c>
      <c r="E458" s="7">
        <v>0</v>
      </c>
      <c r="F458" s="5">
        <v>45881</v>
      </c>
      <c r="G458" s="4">
        <v>20250811</v>
      </c>
      <c r="H458" s="6" t="s">
        <v>30</v>
      </c>
      <c r="I458" s="8" t="s">
        <v>9</v>
      </c>
      <c r="J458" s="6" t="s">
        <v>206</v>
      </c>
    </row>
    <row r="459" spans="1:10">
      <c r="A459" s="9">
        <v>832</v>
      </c>
      <c r="B459" s="9">
        <v>4767</v>
      </c>
      <c r="C459" s="3">
        <v>3970000</v>
      </c>
      <c r="D459" s="3">
        <v>3970000</v>
      </c>
      <c r="E459" s="7">
        <v>0</v>
      </c>
      <c r="F459" s="5">
        <v>45881</v>
      </c>
      <c r="G459" s="4">
        <v>20250811</v>
      </c>
      <c r="H459" s="6" t="s">
        <v>30</v>
      </c>
      <c r="I459" s="8" t="s">
        <v>9</v>
      </c>
      <c r="J459" s="6" t="s">
        <v>204</v>
      </c>
    </row>
    <row r="460" spans="1:10">
      <c r="A460" s="9">
        <v>832</v>
      </c>
      <c r="B460" s="9">
        <v>4768</v>
      </c>
      <c r="C460" s="3">
        <v>3760000</v>
      </c>
      <c r="D460" s="3">
        <v>3760000</v>
      </c>
      <c r="E460" s="7">
        <v>0</v>
      </c>
      <c r="F460" s="5">
        <v>45881</v>
      </c>
      <c r="G460" s="4">
        <v>20250811</v>
      </c>
      <c r="H460" s="6" t="s">
        <v>30</v>
      </c>
      <c r="I460" s="8" t="s">
        <v>9</v>
      </c>
      <c r="J460" s="6" t="s">
        <v>207</v>
      </c>
    </row>
    <row r="461" spans="1:10">
      <c r="A461" s="9">
        <v>832</v>
      </c>
      <c r="B461" s="9">
        <v>4767</v>
      </c>
      <c r="C461" s="3">
        <v>500000</v>
      </c>
      <c r="D461" s="3">
        <v>500000</v>
      </c>
      <c r="E461" s="7">
        <v>0</v>
      </c>
      <c r="F461" s="5">
        <v>45882</v>
      </c>
      <c r="G461" s="4">
        <v>20250812</v>
      </c>
      <c r="H461" s="6" t="s">
        <v>30</v>
      </c>
      <c r="I461" s="8" t="s">
        <v>9</v>
      </c>
      <c r="J461" s="6" t="s">
        <v>204</v>
      </c>
    </row>
    <row r="462" spans="1:10">
      <c r="A462" s="9">
        <v>743</v>
      </c>
      <c r="B462" s="10">
        <v>5695</v>
      </c>
      <c r="C462" s="3">
        <v>100000</v>
      </c>
      <c r="D462" s="3">
        <v>100000</v>
      </c>
      <c r="E462" s="7">
        <v>0</v>
      </c>
      <c r="F462" s="5">
        <v>45883</v>
      </c>
      <c r="G462" s="4">
        <v>20250813</v>
      </c>
      <c r="H462" s="6" t="s">
        <v>30</v>
      </c>
      <c r="I462" s="8" t="s">
        <v>9</v>
      </c>
      <c r="J462" s="6" t="s">
        <v>208</v>
      </c>
    </row>
    <row r="463" spans="1:10">
      <c r="A463" s="9">
        <v>832</v>
      </c>
      <c r="B463" s="10">
        <v>4767</v>
      </c>
      <c r="C463" s="3">
        <v>150000</v>
      </c>
      <c r="D463" s="3">
        <v>150000</v>
      </c>
      <c r="E463" s="7">
        <v>0</v>
      </c>
      <c r="F463" s="5">
        <v>45883</v>
      </c>
      <c r="G463" s="4">
        <v>20250813</v>
      </c>
      <c r="H463" s="6" t="s">
        <v>30</v>
      </c>
      <c r="I463" s="8" t="s">
        <v>9</v>
      </c>
      <c r="J463" s="6" t="s">
        <v>204</v>
      </c>
    </row>
    <row r="464" spans="1:10">
      <c r="A464" s="9">
        <v>832</v>
      </c>
      <c r="B464" s="10">
        <v>4767</v>
      </c>
      <c r="C464" s="3">
        <v>2650000</v>
      </c>
      <c r="D464" s="3">
        <v>2650000</v>
      </c>
      <c r="E464" s="7">
        <v>0</v>
      </c>
      <c r="F464" s="5">
        <v>45884</v>
      </c>
      <c r="G464" s="4">
        <v>20250814</v>
      </c>
      <c r="H464" s="6" t="s">
        <v>30</v>
      </c>
      <c r="I464" s="8" t="s">
        <v>9</v>
      </c>
      <c r="J464" s="6" t="s">
        <v>204</v>
      </c>
    </row>
    <row r="465" spans="1:10">
      <c r="A465" s="9">
        <v>638</v>
      </c>
      <c r="B465" s="10">
        <v>4486</v>
      </c>
      <c r="C465" s="3">
        <v>220000</v>
      </c>
      <c r="D465" s="3">
        <v>220000</v>
      </c>
      <c r="E465" s="7">
        <v>0</v>
      </c>
      <c r="F465" s="5">
        <v>45888</v>
      </c>
      <c r="G465" s="4">
        <v>20250818</v>
      </c>
      <c r="H465" s="6" t="s">
        <v>30</v>
      </c>
      <c r="I465" s="8" t="s">
        <v>9</v>
      </c>
      <c r="J465" s="6" t="s">
        <v>116</v>
      </c>
    </row>
    <row r="466" spans="1:10">
      <c r="A466" s="9">
        <v>832</v>
      </c>
      <c r="B466" s="10">
        <v>4767</v>
      </c>
      <c r="C466" s="3">
        <v>620000</v>
      </c>
      <c r="D466" s="3">
        <v>620000</v>
      </c>
      <c r="E466" s="7">
        <v>0</v>
      </c>
      <c r="F466" s="5">
        <v>45888</v>
      </c>
      <c r="G466" s="4">
        <v>20250818</v>
      </c>
      <c r="H466" s="6" t="s">
        <v>30</v>
      </c>
      <c r="I466" s="8" t="s">
        <v>9</v>
      </c>
      <c r="J466" s="6" t="s">
        <v>204</v>
      </c>
    </row>
    <row r="467" spans="1:10">
      <c r="A467" s="9">
        <v>392</v>
      </c>
      <c r="B467" s="10">
        <v>4890</v>
      </c>
      <c r="C467" s="3">
        <v>370000</v>
      </c>
      <c r="D467" s="3">
        <v>370000</v>
      </c>
      <c r="E467" s="7">
        <v>0</v>
      </c>
      <c r="F467" s="5">
        <v>45888</v>
      </c>
      <c r="G467" s="4">
        <v>20250816</v>
      </c>
      <c r="H467" s="6" t="s">
        <v>30</v>
      </c>
      <c r="I467" s="8" t="s">
        <v>9</v>
      </c>
      <c r="J467" s="6" t="s">
        <v>134</v>
      </c>
    </row>
    <row r="468" spans="1:10">
      <c r="A468" s="9">
        <v>318</v>
      </c>
      <c r="B468" s="10">
        <v>5349</v>
      </c>
      <c r="C468" s="3">
        <v>10000</v>
      </c>
      <c r="D468" s="3">
        <v>10000</v>
      </c>
      <c r="E468" s="7">
        <v>0</v>
      </c>
      <c r="F468" s="5">
        <v>45889</v>
      </c>
      <c r="G468" s="4">
        <v>20250819</v>
      </c>
      <c r="H468" s="6" t="s">
        <v>30</v>
      </c>
      <c r="I468" s="8" t="s">
        <v>10</v>
      </c>
      <c r="J468" s="6" t="s">
        <v>209</v>
      </c>
    </row>
    <row r="469" spans="1:10">
      <c r="A469" s="9">
        <v>832</v>
      </c>
      <c r="B469" s="10">
        <v>4767</v>
      </c>
      <c r="C469" s="3">
        <v>200000</v>
      </c>
      <c r="D469" s="3">
        <v>200000</v>
      </c>
      <c r="E469" s="7">
        <v>0</v>
      </c>
      <c r="F469" s="5">
        <v>45890</v>
      </c>
      <c r="G469" s="4">
        <v>20250820</v>
      </c>
      <c r="H469" s="6" t="s">
        <v>30</v>
      </c>
      <c r="I469" s="8" t="s">
        <v>9</v>
      </c>
      <c r="J469" s="6" t="s">
        <v>204</v>
      </c>
    </row>
    <row r="470" spans="1:10">
      <c r="A470" s="9">
        <v>927</v>
      </c>
      <c r="B470" s="10">
        <v>5751</v>
      </c>
      <c r="C470" s="3">
        <v>100000</v>
      </c>
      <c r="D470" s="3">
        <v>100000</v>
      </c>
      <c r="E470" s="7">
        <v>0</v>
      </c>
      <c r="F470" s="5">
        <v>45890</v>
      </c>
      <c r="G470" s="4">
        <v>20250820</v>
      </c>
      <c r="H470" s="6" t="s">
        <v>30</v>
      </c>
      <c r="I470" s="8" t="s">
        <v>9</v>
      </c>
      <c r="J470" s="6" t="s">
        <v>210</v>
      </c>
    </row>
    <row r="471" spans="1:10">
      <c r="A471" s="9">
        <v>261</v>
      </c>
      <c r="B471" s="10">
        <v>5048</v>
      </c>
      <c r="C471" s="3">
        <v>1417000</v>
      </c>
      <c r="D471" s="3">
        <v>1417000</v>
      </c>
      <c r="E471" s="7">
        <f t="shared" ref="E471:E485" si="46">+C471-D471</f>
        <v>0</v>
      </c>
      <c r="F471" s="5">
        <v>45891</v>
      </c>
      <c r="G471" s="4">
        <v>20250821</v>
      </c>
      <c r="H471" s="6" t="str">
        <f>VLOOKUP(B471,CAJEROS!B:D,3,0)</f>
        <v>Multifuncional</v>
      </c>
      <c r="I471" s="8" t="s">
        <v>9</v>
      </c>
      <c r="J471" s="6" t="str">
        <f>VLOOKUP(B471,CAJEROS!B:E,4,0)</f>
        <v>MF_CAMPANA</v>
      </c>
    </row>
    <row r="472" spans="1:10">
      <c r="A472" s="9">
        <v>852</v>
      </c>
      <c r="B472" s="10">
        <v>5050</v>
      </c>
      <c r="C472" s="3">
        <v>50000</v>
      </c>
      <c r="D472" s="3">
        <v>50000</v>
      </c>
      <c r="E472" s="7">
        <f t="shared" si="46"/>
        <v>0</v>
      </c>
      <c r="F472" s="5">
        <v>45891</v>
      </c>
      <c r="G472" s="4">
        <v>20250821</v>
      </c>
      <c r="H472" s="6" t="str">
        <f>VLOOKUP(B472,CAJEROS!B:D,3,0)</f>
        <v>Multifuncional</v>
      </c>
      <c r="I472" s="8" t="s">
        <v>9</v>
      </c>
      <c r="J472" s="6" t="str">
        <f>VLOOKUP(B472,CAJEROS!B:E,4,0)</f>
        <v>MF_VICPLAZA</v>
      </c>
    </row>
    <row r="473" spans="1:10">
      <c r="A473" s="9">
        <v>781</v>
      </c>
      <c r="B473" s="10">
        <v>5057</v>
      </c>
      <c r="C473" s="3">
        <v>230000</v>
      </c>
      <c r="D473" s="3">
        <v>230000</v>
      </c>
      <c r="E473" s="7">
        <f t="shared" si="46"/>
        <v>0</v>
      </c>
      <c r="F473" s="5">
        <v>45891</v>
      </c>
      <c r="G473" s="4">
        <v>20250821</v>
      </c>
      <c r="H473" s="6" t="str">
        <f>VLOOKUP(B473,CAJEROS!B:D,3,0)</f>
        <v>Multifuncional</v>
      </c>
      <c r="I473" s="8" t="s">
        <v>9</v>
      </c>
      <c r="J473" s="6" t="str">
        <f>VLOOKUP(B473,CAJEROS!B:E,4,0)</f>
        <v>MF_PRPLAZA</v>
      </c>
    </row>
    <row r="474" spans="1:10">
      <c r="A474" s="9">
        <v>656</v>
      </c>
      <c r="B474" s="10">
        <v>5103</v>
      </c>
      <c r="C474" s="3">
        <v>517000</v>
      </c>
      <c r="D474" s="3">
        <v>517000</v>
      </c>
      <c r="E474" s="7">
        <f t="shared" si="46"/>
        <v>0</v>
      </c>
      <c r="F474" s="5">
        <v>45884</v>
      </c>
      <c r="G474" s="4">
        <v>20250814</v>
      </c>
      <c r="H474" s="6" t="str">
        <f>VLOOKUP(B474,CAJEROS!B:D,3,0)</f>
        <v>Multifuncional</v>
      </c>
      <c r="I474" s="8"/>
      <c r="J474" s="6" t="str">
        <f>VLOOKUP(B474,CAJEROS!B:E,4,0)</f>
        <v>MF_MAYPLAZA</v>
      </c>
    </row>
    <row r="475" spans="1:10">
      <c r="A475" s="9">
        <v>829</v>
      </c>
      <c r="B475" s="10">
        <v>5137</v>
      </c>
      <c r="C475" s="3">
        <v>1430000</v>
      </c>
      <c r="D475" s="3">
        <v>1430000</v>
      </c>
      <c r="E475" s="7">
        <f t="shared" si="46"/>
        <v>0</v>
      </c>
      <c r="F475" s="5">
        <v>45891</v>
      </c>
      <c r="G475" s="4">
        <v>20250821</v>
      </c>
      <c r="H475" s="6" t="str">
        <f>VLOOKUP(B475,CAJEROS!B:D,3,0)</f>
        <v>Multifuncional</v>
      </c>
      <c r="I475" s="8" t="s">
        <v>9</v>
      </c>
      <c r="J475" s="6" t="str">
        <f>VLOOKUP(B475,CAJEROS!B:E,4,0)</f>
        <v>MF_UNICALI1</v>
      </c>
    </row>
    <row r="476" spans="1:10">
      <c r="A476" s="9">
        <v>760</v>
      </c>
      <c r="B476" s="9">
        <v>6092</v>
      </c>
      <c r="C476" s="3">
        <v>20000000</v>
      </c>
      <c r="D476" s="3">
        <v>20000000</v>
      </c>
      <c r="E476" s="7">
        <f t="shared" si="46"/>
        <v>0</v>
      </c>
      <c r="F476" s="5">
        <v>45882</v>
      </c>
      <c r="G476" s="4">
        <v>20250812</v>
      </c>
      <c r="H476" s="6" t="str">
        <f>VLOOKUP(B476,CAJEROS!B:D,3,0)</f>
        <v>Multifuncional</v>
      </c>
      <c r="I476" s="8"/>
      <c r="J476" s="6" t="str">
        <f>VLOOKUP(B476,CAJEROS!B:E,4,0)</f>
        <v>MF_CR26PALM</v>
      </c>
    </row>
    <row r="477" spans="1:10">
      <c r="A477" s="9">
        <v>625</v>
      </c>
      <c r="B477" s="10">
        <v>6096</v>
      </c>
      <c r="C477" s="3">
        <v>810000</v>
      </c>
      <c r="D477" s="3">
        <v>810000</v>
      </c>
      <c r="E477" s="7">
        <f t="shared" si="46"/>
        <v>0</v>
      </c>
      <c r="F477" s="5">
        <v>45891</v>
      </c>
      <c r="G477" s="4">
        <v>20250821</v>
      </c>
      <c r="H477" s="6" t="str">
        <f>VLOOKUP(B477,CAJEROS!B:D,3,0)</f>
        <v>Multifuncional</v>
      </c>
      <c r="I477" s="8" t="s">
        <v>9</v>
      </c>
      <c r="J477" s="6" t="str">
        <f>VLOOKUP(B477,CAJEROS!B:E,4,0)</f>
        <v>MF_BTRISTE</v>
      </c>
    </row>
    <row r="478" spans="1:10">
      <c r="A478" s="9">
        <v>30</v>
      </c>
      <c r="B478" s="10">
        <v>6172</v>
      </c>
      <c r="C478" s="3">
        <v>100000</v>
      </c>
      <c r="D478" s="3">
        <v>100000</v>
      </c>
      <c r="E478" s="7">
        <f t="shared" si="46"/>
        <v>0</v>
      </c>
      <c r="F478" s="5">
        <v>45891</v>
      </c>
      <c r="G478" s="4">
        <v>20250821</v>
      </c>
      <c r="H478" s="6" t="str">
        <f>VLOOKUP(B478,CAJEROS!B:D,3,0)</f>
        <v>Multifuncional</v>
      </c>
      <c r="I478" s="8" t="s">
        <v>9</v>
      </c>
      <c r="J478" s="6" t="str">
        <f>VLOOKUP(B478,CAJEROS!B:E,4,0)</f>
        <v>MF_CROCTAV1</v>
      </c>
    </row>
    <row r="479" spans="1:10">
      <c r="A479" s="9">
        <v>337</v>
      </c>
      <c r="B479" s="10">
        <v>6253</v>
      </c>
      <c r="C479" s="3">
        <v>650000</v>
      </c>
      <c r="D479" s="3">
        <v>650000</v>
      </c>
      <c r="E479" s="7">
        <f t="shared" si="46"/>
        <v>0</v>
      </c>
      <c r="F479" s="5">
        <v>45891</v>
      </c>
      <c r="G479" s="4">
        <v>20250821</v>
      </c>
      <c r="H479" s="6" t="str">
        <f>VLOOKUP(B479,CAJEROS!B:D,3,0)</f>
        <v>Multifuncional</v>
      </c>
      <c r="I479" s="8" t="s">
        <v>9</v>
      </c>
      <c r="J479" s="6" t="str">
        <f>VLOOKUP(B479,CAJEROS!B:E,4,0)</f>
        <v>MF_CHIA</v>
      </c>
    </row>
    <row r="480" spans="1:10">
      <c r="A480" s="9">
        <v>677</v>
      </c>
      <c r="B480" s="10">
        <v>7124</v>
      </c>
      <c r="C480" s="3">
        <v>941000</v>
      </c>
      <c r="D480" s="3">
        <v>941000</v>
      </c>
      <c r="E480" s="7">
        <f t="shared" si="46"/>
        <v>0</v>
      </c>
      <c r="F480" s="5">
        <v>45891</v>
      </c>
      <c r="G480" s="4">
        <v>20250821</v>
      </c>
      <c r="H480" s="6" t="str">
        <f>VLOOKUP(B480,CAJEROS!B:D,3,0)</f>
        <v>Multifuncional</v>
      </c>
      <c r="I480" s="8" t="s">
        <v>9</v>
      </c>
      <c r="J480" s="6" t="str">
        <f>VLOOKUP(B480,CAJEROS!B:E,4,0)</f>
        <v>MF_PLMERMON</v>
      </c>
    </row>
    <row r="481" spans="1:10">
      <c r="A481" s="9">
        <v>41</v>
      </c>
      <c r="B481" s="10">
        <v>7341</v>
      </c>
      <c r="C481" s="3">
        <v>2411000</v>
      </c>
      <c r="D481" s="3">
        <v>2411000</v>
      </c>
      <c r="E481" s="7">
        <f t="shared" si="46"/>
        <v>0</v>
      </c>
      <c r="F481" s="5">
        <v>45891</v>
      </c>
      <c r="G481" s="4">
        <v>20250821</v>
      </c>
      <c r="H481" s="6" t="str">
        <f>VLOOKUP(B481,CAJEROS!B:D,3,0)</f>
        <v>Multifuncional</v>
      </c>
      <c r="I481" s="8" t="s">
        <v>9</v>
      </c>
      <c r="J481" s="6" t="str">
        <f>VLOOKUP(B481,CAJEROS!B:E,4,0)</f>
        <v>MF_PLZESPAN</v>
      </c>
    </row>
    <row r="482" spans="1:10">
      <c r="A482" s="9">
        <v>554</v>
      </c>
      <c r="B482" s="10">
        <v>8295</v>
      </c>
      <c r="C482" s="3">
        <v>2250000</v>
      </c>
      <c r="D482" s="3">
        <v>2250000</v>
      </c>
      <c r="E482" s="7">
        <f t="shared" si="46"/>
        <v>0</v>
      </c>
      <c r="F482" s="5">
        <v>45891</v>
      </c>
      <c r="G482" s="4">
        <v>20250821</v>
      </c>
      <c r="H482" s="6" t="str">
        <f>VLOOKUP(B482,CAJEROS!B:D,3,0)</f>
        <v>Multifuncional</v>
      </c>
      <c r="I482" s="8" t="s">
        <v>9</v>
      </c>
      <c r="J482" s="6" t="str">
        <f>VLOOKUP(B482,CAJEROS!B:E,4,0)</f>
        <v>MF_SBUVIII2</v>
      </c>
    </row>
    <row r="483" spans="1:10">
      <c r="A483" s="9">
        <v>236</v>
      </c>
      <c r="B483" s="10">
        <v>8497</v>
      </c>
      <c r="C483" s="3">
        <v>1800000</v>
      </c>
      <c r="D483" s="3">
        <v>1800000</v>
      </c>
      <c r="E483" s="7">
        <f t="shared" si="46"/>
        <v>0</v>
      </c>
      <c r="F483" s="5">
        <v>45891</v>
      </c>
      <c r="G483" s="4">
        <v>20250821</v>
      </c>
      <c r="H483" s="6" t="str">
        <f>VLOOKUP(B483,CAJEROS!B:D,3,0)</f>
        <v>Multifuncional</v>
      </c>
      <c r="I483" s="8" t="s">
        <v>9</v>
      </c>
      <c r="J483" s="6" t="str">
        <f>VLOOKUP(B483,CAJEROS!B:E,4,0)</f>
        <v>MF_EXITCOL2</v>
      </c>
    </row>
    <row r="484" spans="1:10">
      <c r="A484" s="9">
        <v>721</v>
      </c>
      <c r="B484" s="10">
        <v>8896</v>
      </c>
      <c r="C484" s="3">
        <v>1990000</v>
      </c>
      <c r="D484" s="3">
        <f>670000+1320000</f>
        <v>1990000</v>
      </c>
      <c r="E484" s="7">
        <f t="shared" si="46"/>
        <v>0</v>
      </c>
      <c r="F484" s="5">
        <v>45890</v>
      </c>
      <c r="G484" s="4">
        <v>20250820</v>
      </c>
      <c r="H484" s="6" t="str">
        <f>VLOOKUP(B484,CAJEROS!B:D,3,0)</f>
        <v>Multifuncional</v>
      </c>
      <c r="I484" s="8" t="s">
        <v>9</v>
      </c>
      <c r="J484" s="6" t="str">
        <f>VLOOKUP(B484,CAJEROS!B:E,4,0)</f>
        <v>MFSUCLAGO1</v>
      </c>
    </row>
    <row r="485" spans="1:10">
      <c r="A485" s="9">
        <v>551</v>
      </c>
      <c r="B485" s="10">
        <v>9644</v>
      </c>
      <c r="C485" s="3">
        <v>760000</v>
      </c>
      <c r="D485" s="3">
        <v>760000</v>
      </c>
      <c r="E485" s="7">
        <f t="shared" si="46"/>
        <v>0</v>
      </c>
      <c r="F485" s="5">
        <v>45891</v>
      </c>
      <c r="G485" s="4">
        <v>20250821</v>
      </c>
      <c r="H485" s="6" t="str">
        <f>VLOOKUP(B485,CAJEROS!B:D,3,0)</f>
        <v>Multifuncional</v>
      </c>
      <c r="I485" s="8" t="s">
        <v>9</v>
      </c>
      <c r="J485" s="6" t="str">
        <f>VLOOKUP(B485,CAJEROS!B:E,4,0)</f>
        <v>MFSUCUNIME2</v>
      </c>
    </row>
    <row r="486" spans="1:10">
      <c r="A486" s="9">
        <v>395</v>
      </c>
      <c r="B486" s="10">
        <v>1528</v>
      </c>
      <c r="C486" s="3">
        <v>1620000</v>
      </c>
      <c r="D486" s="3">
        <v>1620000</v>
      </c>
      <c r="E486" s="7">
        <v>0</v>
      </c>
      <c r="F486" s="5">
        <v>45889</v>
      </c>
      <c r="G486" s="4">
        <v>20250819</v>
      </c>
      <c r="H486" s="6" t="s">
        <v>24</v>
      </c>
      <c r="I486" s="8" t="s">
        <v>9</v>
      </c>
      <c r="J486" s="6" t="s">
        <v>211</v>
      </c>
    </row>
    <row r="487" spans="1:10">
      <c r="A487" s="9">
        <v>395</v>
      </c>
      <c r="B487" s="10">
        <v>1528</v>
      </c>
      <c r="C487" s="3">
        <v>430000</v>
      </c>
      <c r="D487" s="3">
        <v>430000</v>
      </c>
      <c r="E487" s="7">
        <v>0</v>
      </c>
      <c r="F487" s="5">
        <v>45890</v>
      </c>
      <c r="G487" s="4">
        <v>20250820</v>
      </c>
      <c r="H487" s="6" t="s">
        <v>24</v>
      </c>
      <c r="I487" s="8" t="s">
        <v>9</v>
      </c>
      <c r="J487" s="6" t="s">
        <v>211</v>
      </c>
    </row>
    <row r="488" spans="1:10">
      <c r="A488" s="9">
        <v>392</v>
      </c>
      <c r="B488" s="10">
        <v>5064</v>
      </c>
      <c r="C488" s="3">
        <v>220000</v>
      </c>
      <c r="D488" s="3">
        <v>220000</v>
      </c>
      <c r="E488" s="7">
        <v>0</v>
      </c>
      <c r="F488" s="5">
        <v>45888</v>
      </c>
      <c r="G488" s="4">
        <v>20250818</v>
      </c>
      <c r="H488" s="6" t="s">
        <v>24</v>
      </c>
      <c r="I488" s="8" t="s">
        <v>9</v>
      </c>
      <c r="J488" s="6" t="s">
        <v>212</v>
      </c>
    </row>
    <row r="489" spans="1:10">
      <c r="A489" s="9">
        <v>392</v>
      </c>
      <c r="B489" s="10">
        <v>5064</v>
      </c>
      <c r="C489" s="3">
        <v>570000</v>
      </c>
      <c r="D489" s="3">
        <v>570000</v>
      </c>
      <c r="E489" s="7">
        <v>0</v>
      </c>
      <c r="F489" s="5">
        <v>45891</v>
      </c>
      <c r="G489" s="4">
        <v>20250821</v>
      </c>
      <c r="H489" s="6" t="s">
        <v>24</v>
      </c>
      <c r="I489" s="8" t="s">
        <v>9</v>
      </c>
      <c r="J489" s="6" t="s">
        <v>212</v>
      </c>
    </row>
    <row r="490" spans="1:10">
      <c r="A490" s="9">
        <v>258</v>
      </c>
      <c r="B490" s="10">
        <v>5155</v>
      </c>
      <c r="C490" s="3">
        <v>1610000</v>
      </c>
      <c r="D490" s="3">
        <v>1610000</v>
      </c>
      <c r="E490" s="7">
        <f t="shared" ref="E490:E494" si="47">+C490-D490</f>
        <v>0</v>
      </c>
      <c r="F490" s="5">
        <v>45888</v>
      </c>
      <c r="G490" s="4">
        <v>20250818</v>
      </c>
      <c r="H490" s="6" t="str">
        <f>VLOOKUP(B490,CAJEROS!B:D,3,0)</f>
        <v>Multifuncional</v>
      </c>
      <c r="I490" s="8" t="s">
        <v>9</v>
      </c>
      <c r="J490" s="6" t="str">
        <f>VLOOKUP(B490,CAJEROS!B:E,4,0)</f>
        <v>MF_TUNJA</v>
      </c>
    </row>
    <row r="491" spans="1:10">
      <c r="A491" s="9">
        <v>193</v>
      </c>
      <c r="B491" s="10">
        <v>8537</v>
      </c>
      <c r="C491" s="3">
        <v>1220000</v>
      </c>
      <c r="D491" s="3">
        <v>1220000</v>
      </c>
      <c r="E491" s="7">
        <f t="shared" si="47"/>
        <v>0</v>
      </c>
      <c r="F491" s="5">
        <v>45890</v>
      </c>
      <c r="G491" s="4">
        <v>20250820</v>
      </c>
      <c r="H491" s="6" t="str">
        <f>VLOOKUP(B491,CAJEROS!B:D,3,0)</f>
        <v>Multifuncional</v>
      </c>
      <c r="I491" s="8" t="s">
        <v>9</v>
      </c>
      <c r="J491" s="6" t="str">
        <f>VLOOKUP(B491,CAJEROS!B:E,4,0)</f>
        <v>MF_HSUCFIC1</v>
      </c>
    </row>
    <row r="492" spans="1:10">
      <c r="A492" s="9">
        <v>229</v>
      </c>
      <c r="B492" s="10">
        <v>9605</v>
      </c>
      <c r="C492" s="3">
        <v>960000</v>
      </c>
      <c r="D492" s="3">
        <v>960000</v>
      </c>
      <c r="E492" s="7">
        <f t="shared" si="47"/>
        <v>0</v>
      </c>
      <c r="F492" s="5">
        <v>45891</v>
      </c>
      <c r="G492" s="4">
        <v>20250821</v>
      </c>
      <c r="H492" s="6" t="str">
        <f>VLOOKUP(B492,CAJEROS!B:D,3,0)</f>
        <v>Multifuncional</v>
      </c>
      <c r="I492" s="8" t="s">
        <v>9</v>
      </c>
      <c r="J492" s="6" t="str">
        <f>VLOOKUP(B492,CAJEROS!B:E,4,0)</f>
        <v>MFSUCPASER2</v>
      </c>
    </row>
    <row r="493" spans="1:10">
      <c r="A493" s="9">
        <v>267</v>
      </c>
      <c r="B493" s="10">
        <v>6186</v>
      </c>
      <c r="C493" s="3">
        <v>1330000</v>
      </c>
      <c r="D493" s="3">
        <v>1330000</v>
      </c>
      <c r="E493" s="7">
        <f t="shared" si="47"/>
        <v>0</v>
      </c>
      <c r="F493" s="5">
        <v>45891</v>
      </c>
      <c r="G493" s="4">
        <v>20250821</v>
      </c>
      <c r="H493" s="6" t="str">
        <f>VLOOKUP(B493,CAJEROS!B:D,3,0)</f>
        <v>Multifuncional</v>
      </c>
      <c r="I493" s="8" t="s">
        <v>9</v>
      </c>
      <c r="J493" s="6" t="str">
        <f>VLOOKUP(B493,CAJEROS!B:E,4,0)</f>
        <v>MF_VISITACI</v>
      </c>
    </row>
    <row r="494" spans="1:10">
      <c r="A494" s="9">
        <v>888</v>
      </c>
      <c r="B494" s="10">
        <v>6818</v>
      </c>
      <c r="C494" s="3">
        <v>170000</v>
      </c>
      <c r="D494" s="3">
        <v>170000</v>
      </c>
      <c r="E494" s="7">
        <f t="shared" si="47"/>
        <v>0</v>
      </c>
      <c r="F494" s="5">
        <v>45891</v>
      </c>
      <c r="G494" s="4">
        <v>20250821</v>
      </c>
      <c r="H494" s="6" t="str">
        <f>VLOOKUP(B494,CAJEROS!B:D,3,0)</f>
        <v>Multifuncional</v>
      </c>
      <c r="I494" s="8" t="s">
        <v>9</v>
      </c>
      <c r="J494" s="6" t="str">
        <f>VLOOKUP(B494,CAJEROS!B:E,4,0)</f>
        <v>MF_IPIALES</v>
      </c>
    </row>
    <row r="495" spans="1:10">
      <c r="A495" s="9">
        <v>972</v>
      </c>
      <c r="B495" s="9">
        <v>3913</v>
      </c>
      <c r="C495" s="3">
        <v>1000000</v>
      </c>
      <c r="D495" s="3">
        <v>1000000</v>
      </c>
      <c r="E495" s="7">
        <v>0</v>
      </c>
      <c r="F495" s="5">
        <v>45882</v>
      </c>
      <c r="G495" s="4">
        <v>20250812</v>
      </c>
      <c r="H495" s="6" t="s">
        <v>30</v>
      </c>
      <c r="I495" s="8"/>
      <c r="J495" s="6" t="s">
        <v>213</v>
      </c>
    </row>
    <row r="496" spans="1:10">
      <c r="A496" s="9">
        <v>951</v>
      </c>
      <c r="B496" s="10">
        <v>7849</v>
      </c>
      <c r="C496" s="3">
        <v>100000</v>
      </c>
      <c r="D496" s="3">
        <v>100000</v>
      </c>
      <c r="E496" s="7">
        <v>0</v>
      </c>
      <c r="F496" s="5">
        <v>45888</v>
      </c>
      <c r="G496" s="4">
        <v>20250818</v>
      </c>
      <c r="H496" s="6" t="s">
        <v>30</v>
      </c>
      <c r="I496" s="8" t="s">
        <v>9</v>
      </c>
      <c r="J496" s="6" t="s">
        <v>214</v>
      </c>
    </row>
    <row r="497" spans="1:10">
      <c r="A497" s="9">
        <v>159</v>
      </c>
      <c r="B497" s="10">
        <v>6893</v>
      </c>
      <c r="C497" s="3">
        <v>3620000</v>
      </c>
      <c r="D497" s="3">
        <v>3620000</v>
      </c>
      <c r="E497" s="7">
        <v>0</v>
      </c>
      <c r="F497" s="5">
        <v>45889</v>
      </c>
      <c r="G497" s="4">
        <v>20250819</v>
      </c>
      <c r="H497" s="6" t="s">
        <v>30</v>
      </c>
      <c r="I497" s="8" t="s">
        <v>9</v>
      </c>
      <c r="J497" s="6" t="s">
        <v>215</v>
      </c>
    </row>
    <row r="498" spans="1:10">
      <c r="A498" s="9">
        <v>38</v>
      </c>
      <c r="B498" s="10">
        <v>6553</v>
      </c>
      <c r="C498" s="3">
        <v>100000</v>
      </c>
      <c r="D498" s="3">
        <v>100000</v>
      </c>
      <c r="E498" s="7">
        <v>0</v>
      </c>
      <c r="F498" s="5">
        <v>45890</v>
      </c>
      <c r="G498" s="4">
        <v>20250820</v>
      </c>
      <c r="H498" s="6" t="s">
        <v>30</v>
      </c>
      <c r="I498" s="8" t="s">
        <v>9</v>
      </c>
      <c r="J498" s="6" t="s">
        <v>216</v>
      </c>
    </row>
    <row r="499" spans="1:10">
      <c r="A499" s="9">
        <v>820</v>
      </c>
      <c r="B499" s="10">
        <v>6988</v>
      </c>
      <c r="C499" s="3">
        <v>100000</v>
      </c>
      <c r="D499" s="3">
        <v>100000</v>
      </c>
      <c r="E499" s="7">
        <v>0</v>
      </c>
      <c r="F499" s="5">
        <v>45890</v>
      </c>
      <c r="G499" s="4">
        <v>20250820</v>
      </c>
      <c r="H499" s="6" t="s">
        <v>30</v>
      </c>
      <c r="I499" s="8" t="s">
        <v>9</v>
      </c>
      <c r="J499" s="6" t="s">
        <v>217</v>
      </c>
    </row>
    <row r="500" spans="1:10">
      <c r="A500" s="9">
        <v>1</v>
      </c>
      <c r="B500" s="9">
        <v>5000</v>
      </c>
      <c r="C500" s="3">
        <v>100000</v>
      </c>
      <c r="D500" s="3">
        <v>100000</v>
      </c>
      <c r="E500" s="7">
        <f t="shared" ref="E500:E501" si="48">+C500-D500</f>
        <v>0</v>
      </c>
      <c r="F500" s="5">
        <v>45882</v>
      </c>
      <c r="G500" s="4">
        <v>20250812</v>
      </c>
      <c r="H500" s="6" t="str">
        <f>VLOOKUP(B500,CAJEROS!B:D,3,0)</f>
        <v>Multifuncional</v>
      </c>
      <c r="I500" s="8" t="s">
        <v>9</v>
      </c>
      <c r="J500" s="6" t="str">
        <f>VLOOKUP(B500,CAJEROS!B:E,4,0)</f>
        <v>MF_CARABOBO</v>
      </c>
    </row>
    <row r="501" spans="1:10">
      <c r="A501" s="9">
        <v>154</v>
      </c>
      <c r="B501" s="10">
        <v>5041</v>
      </c>
      <c r="C501" s="3">
        <v>2270000</v>
      </c>
      <c r="D501" s="3">
        <v>2270000</v>
      </c>
      <c r="E501" s="7">
        <f t="shared" si="48"/>
        <v>0</v>
      </c>
      <c r="F501" s="5">
        <v>45894</v>
      </c>
      <c r="G501" s="4">
        <v>20250824</v>
      </c>
      <c r="H501" s="6" t="str">
        <f>VLOOKUP(B501,CAJEROS!B:D,3,0)</f>
        <v>Multifuncional</v>
      </c>
      <c r="I501" s="8" t="s">
        <v>9</v>
      </c>
      <c r="J501" s="6" t="str">
        <f>VLOOKUP(B501,CAJEROS!B:E,4,0)</f>
        <v>MF_CMAYOR</v>
      </c>
    </row>
    <row r="502" spans="1:10">
      <c r="A502" s="9">
        <v>70</v>
      </c>
      <c r="B502" s="10">
        <v>5164</v>
      </c>
      <c r="C502" s="3">
        <v>490000</v>
      </c>
      <c r="D502" s="3">
        <v>490000</v>
      </c>
      <c r="E502" s="7">
        <v>0</v>
      </c>
      <c r="F502" s="5">
        <v>45889</v>
      </c>
      <c r="G502" s="4">
        <v>20250819</v>
      </c>
      <c r="H502" s="6" t="s">
        <v>24</v>
      </c>
      <c r="I502" s="8" t="s">
        <v>9</v>
      </c>
      <c r="J502" s="6" t="s">
        <v>218</v>
      </c>
    </row>
    <row r="503" spans="1:10">
      <c r="A503" s="9">
        <v>70</v>
      </c>
      <c r="B503" s="10">
        <v>5164</v>
      </c>
      <c r="C503" s="3">
        <v>410000</v>
      </c>
      <c r="D503" s="3">
        <v>410000</v>
      </c>
      <c r="E503" s="7">
        <v>0</v>
      </c>
      <c r="F503" s="5">
        <v>45890</v>
      </c>
      <c r="G503" s="4">
        <v>20250820</v>
      </c>
      <c r="H503" s="6" t="s">
        <v>24</v>
      </c>
      <c r="I503" s="8" t="s">
        <v>9</v>
      </c>
      <c r="J503" s="6" t="s">
        <v>218</v>
      </c>
    </row>
    <row r="504" spans="1:10">
      <c r="A504" s="9">
        <v>302</v>
      </c>
      <c r="B504" s="10">
        <v>5170</v>
      </c>
      <c r="C504" s="3">
        <v>650000</v>
      </c>
      <c r="D504" s="3">
        <v>650000</v>
      </c>
      <c r="E504" s="7">
        <f t="shared" ref="E504:E511" si="49">+C504-D504</f>
        <v>0</v>
      </c>
      <c r="F504" s="5">
        <v>45894</v>
      </c>
      <c r="G504" s="4">
        <v>20250824</v>
      </c>
      <c r="H504" s="6" t="str">
        <f>VLOOKUP(B504,CAJEROS!B:D,3,0)</f>
        <v>Multifuncional</v>
      </c>
      <c r="I504" s="8" t="s">
        <v>9</v>
      </c>
      <c r="J504" s="6" t="str">
        <f>VLOOKUP(B504,CAJEROS!B:E,4,0)</f>
        <v>MF_QUEBRASE</v>
      </c>
    </row>
    <row r="505" spans="1:10">
      <c r="A505" s="9">
        <v>420</v>
      </c>
      <c r="B505" s="10">
        <v>5173</v>
      </c>
      <c r="C505" s="3">
        <v>1835000</v>
      </c>
      <c r="D505" s="3">
        <v>1835000</v>
      </c>
      <c r="E505" s="7">
        <f t="shared" si="49"/>
        <v>0</v>
      </c>
      <c r="F505" s="5">
        <v>45884</v>
      </c>
      <c r="G505" s="4">
        <v>20250814</v>
      </c>
      <c r="H505" s="6" t="str">
        <f>VLOOKUP(B505,CAJEROS!B:D,3,0)</f>
        <v>Multifuncional</v>
      </c>
      <c r="I505" s="8"/>
      <c r="J505" s="6" t="str">
        <f>VLOOKUP(B505,CAJEROS!B:E,4,0)</f>
        <v>MF_TEATAVEN</v>
      </c>
    </row>
    <row r="506" spans="1:10">
      <c r="A506" s="9">
        <v>79</v>
      </c>
      <c r="B506" s="10">
        <v>6245</v>
      </c>
      <c r="C506" s="3">
        <v>430000</v>
      </c>
      <c r="D506" s="3">
        <v>430000</v>
      </c>
      <c r="E506" s="7">
        <f t="shared" si="49"/>
        <v>0</v>
      </c>
      <c r="F506" s="5">
        <v>45894</v>
      </c>
      <c r="G506" s="4">
        <v>20250824</v>
      </c>
      <c r="H506" s="6" t="str">
        <f>VLOOKUP(B506,CAJEROS!B:D,3,0)</f>
        <v>Multifuncional</v>
      </c>
      <c r="I506" s="8" t="s">
        <v>9</v>
      </c>
      <c r="J506" s="6" t="str">
        <f>VLOOKUP(B506,CAJEROS!B:E,4,0)</f>
        <v>MF_LAQUINTA</v>
      </c>
    </row>
    <row r="507" spans="1:10">
      <c r="A507" s="9">
        <v>352</v>
      </c>
      <c r="B507" s="10">
        <v>6618</v>
      </c>
      <c r="C507" s="3">
        <v>1188000</v>
      </c>
      <c r="D507" s="3">
        <v>1188000</v>
      </c>
      <c r="E507" s="7">
        <f t="shared" si="49"/>
        <v>0</v>
      </c>
      <c r="F507" s="5">
        <v>45894</v>
      </c>
      <c r="G507" s="4">
        <v>20250824</v>
      </c>
      <c r="H507" s="6" t="str">
        <f>VLOOKUP(B507,CAJEROS!B:D,3,0)</f>
        <v>Multifuncional</v>
      </c>
      <c r="I507" s="8" t="s">
        <v>9</v>
      </c>
      <c r="J507" s="6" t="str">
        <f>VLOOKUP(B507,CAJEROS!B:E,4,0)</f>
        <v>MF_CHIQUINQ</v>
      </c>
    </row>
    <row r="508" spans="1:10">
      <c r="A508" s="9">
        <v>332</v>
      </c>
      <c r="B508" s="10">
        <v>7569</v>
      </c>
      <c r="C508" s="3">
        <v>1000000</v>
      </c>
      <c r="D508" s="3">
        <v>1000000</v>
      </c>
      <c r="E508" s="7">
        <f t="shared" si="49"/>
        <v>0</v>
      </c>
      <c r="F508" s="5">
        <v>45894</v>
      </c>
      <c r="G508" s="4">
        <v>20250824</v>
      </c>
      <c r="H508" s="6" t="str">
        <f>VLOOKUP(B508,CAJEROS!B:D,3,0)</f>
        <v>Multifuncional</v>
      </c>
      <c r="I508" s="8" t="s">
        <v>9</v>
      </c>
      <c r="J508" s="6" t="str">
        <f>VLOOKUP(B508,CAJEROS!B:E,4,0)</f>
        <v>MF_ZIPAQUI2</v>
      </c>
    </row>
    <row r="509" spans="1:10">
      <c r="A509" s="9">
        <v>915</v>
      </c>
      <c r="B509" s="10">
        <v>8314</v>
      </c>
      <c r="C509" s="3">
        <v>2220000</v>
      </c>
      <c r="D509" s="3">
        <v>2220000</v>
      </c>
      <c r="E509" s="7">
        <f t="shared" si="49"/>
        <v>0</v>
      </c>
      <c r="F509" s="5">
        <v>45894</v>
      </c>
      <c r="G509" s="4">
        <v>20250824</v>
      </c>
      <c r="H509" s="6" t="str">
        <f>VLOOKUP(B509,CAJEROS!B:D,3,0)</f>
        <v>Multifuncional</v>
      </c>
      <c r="I509" s="8" t="s">
        <v>9</v>
      </c>
      <c r="J509" s="6" t="str">
        <f>VLOOKUP(B509,CAJEROS!B:E,4,0)</f>
        <v>MF_BANLABB2</v>
      </c>
    </row>
    <row r="510" spans="1:10">
      <c r="A510" s="9">
        <v>15</v>
      </c>
      <c r="B510" s="10">
        <v>8576</v>
      </c>
      <c r="C510" s="3">
        <v>2240000</v>
      </c>
      <c r="D510" s="3">
        <v>2240000</v>
      </c>
      <c r="E510" s="7">
        <f t="shared" si="49"/>
        <v>0</v>
      </c>
      <c r="F510" s="5">
        <v>45894</v>
      </c>
      <c r="G510" s="4">
        <v>20250824</v>
      </c>
      <c r="H510" s="6" t="str">
        <f>VLOOKUP(B510,CAJEROS!B:D,3,0)</f>
        <v>Multifuncional</v>
      </c>
      <c r="I510" s="8" t="s">
        <v>9</v>
      </c>
      <c r="J510" s="6" t="str">
        <f>VLOOKUP(B510,CAJEROS!B:E,4,0)</f>
        <v>MF_HITAGUI1</v>
      </c>
    </row>
    <row r="511" spans="1:10">
      <c r="A511" s="9">
        <v>957</v>
      </c>
      <c r="B511" s="10">
        <v>9512</v>
      </c>
      <c r="C511" s="3">
        <v>1890000</v>
      </c>
      <c r="D511" s="3">
        <v>1890000</v>
      </c>
      <c r="E511" s="7">
        <f t="shared" si="49"/>
        <v>0</v>
      </c>
      <c r="F511" s="5">
        <v>45894</v>
      </c>
      <c r="G511" s="4">
        <v>20250824</v>
      </c>
      <c r="H511" s="6" t="str">
        <f>VLOOKUP(B511,CAJEROS!B:D,3,0)</f>
        <v>Multifuncional</v>
      </c>
      <c r="I511" s="8" t="s">
        <v>9</v>
      </c>
      <c r="J511" s="6" t="str">
        <f>VLOOKUP(B511,CAJEROS!B:E,4,0)</f>
        <v>MFSUCPARAL1</v>
      </c>
    </row>
    <row r="512" spans="1:10">
      <c r="A512" s="9">
        <v>37</v>
      </c>
      <c r="B512" s="10">
        <v>6406</v>
      </c>
      <c r="C512" s="3">
        <v>390000</v>
      </c>
      <c r="D512" s="3">
        <v>390000</v>
      </c>
      <c r="E512" s="7">
        <v>0</v>
      </c>
      <c r="F512" s="5">
        <v>45883</v>
      </c>
      <c r="G512" s="4">
        <v>20250813</v>
      </c>
      <c r="H512" s="6" t="s">
        <v>24</v>
      </c>
      <c r="I512" s="8"/>
      <c r="J512" s="6" t="s">
        <v>219</v>
      </c>
    </row>
    <row r="513" spans="1:10">
      <c r="A513" s="9">
        <v>37</v>
      </c>
      <c r="B513" s="10">
        <v>6406</v>
      </c>
      <c r="C513" s="3">
        <v>550000</v>
      </c>
      <c r="D513" s="3">
        <v>550000</v>
      </c>
      <c r="E513" s="7">
        <v>0</v>
      </c>
      <c r="F513" s="5">
        <v>45884</v>
      </c>
      <c r="G513" s="4">
        <v>20250814</v>
      </c>
      <c r="H513" s="6" t="s">
        <v>24</v>
      </c>
      <c r="I513" s="8" t="s">
        <v>9</v>
      </c>
      <c r="J513" s="6" t="s">
        <v>219</v>
      </c>
    </row>
    <row r="514" spans="1:10">
      <c r="A514" s="9">
        <v>60</v>
      </c>
      <c r="B514" s="9">
        <v>8719</v>
      </c>
      <c r="C514" s="3">
        <v>140000</v>
      </c>
      <c r="D514" s="3">
        <v>140000</v>
      </c>
      <c r="E514" s="7">
        <v>0</v>
      </c>
      <c r="F514" s="5">
        <v>45881</v>
      </c>
      <c r="G514" s="4">
        <v>20250811</v>
      </c>
      <c r="H514" s="6" t="s">
        <v>30</v>
      </c>
      <c r="I514" s="8" t="s">
        <v>9</v>
      </c>
      <c r="J514" s="6" t="s">
        <v>31</v>
      </c>
    </row>
    <row r="515" spans="1:10">
      <c r="A515" s="9">
        <v>591</v>
      </c>
      <c r="B515" s="10">
        <v>7833</v>
      </c>
      <c r="C515" s="3">
        <v>20140000</v>
      </c>
      <c r="D515" s="3">
        <v>20140000</v>
      </c>
      <c r="E515" s="7">
        <v>0</v>
      </c>
      <c r="F515" s="5">
        <v>45883</v>
      </c>
      <c r="G515" s="4">
        <v>20250813</v>
      </c>
      <c r="H515" s="6" t="s">
        <v>30</v>
      </c>
      <c r="I515" s="8" t="s">
        <v>9</v>
      </c>
      <c r="J515" s="6" t="s">
        <v>140</v>
      </c>
    </row>
    <row r="516" spans="1:10">
      <c r="A516" s="9">
        <v>492</v>
      </c>
      <c r="B516" s="10">
        <v>6238</v>
      </c>
      <c r="C516" s="3">
        <v>20000</v>
      </c>
      <c r="D516" s="3">
        <v>20000</v>
      </c>
      <c r="E516" s="7">
        <v>0</v>
      </c>
      <c r="F516" s="5">
        <v>45888</v>
      </c>
      <c r="G516" s="4">
        <v>20250815</v>
      </c>
      <c r="H516" s="6" t="s">
        <v>30</v>
      </c>
      <c r="I516" s="8"/>
      <c r="J516" s="6" t="s">
        <v>73</v>
      </c>
    </row>
    <row r="517" spans="1:10">
      <c r="A517" s="9">
        <v>631</v>
      </c>
      <c r="B517" s="10">
        <v>2795</v>
      </c>
      <c r="C517" s="3">
        <v>870000</v>
      </c>
      <c r="D517" s="3">
        <v>870000</v>
      </c>
      <c r="E517" s="7">
        <v>0</v>
      </c>
      <c r="F517" s="5">
        <v>45888</v>
      </c>
      <c r="G517" s="4">
        <v>20250818</v>
      </c>
      <c r="H517" s="6" t="s">
        <v>30</v>
      </c>
      <c r="I517" s="8" t="s">
        <v>9</v>
      </c>
      <c r="J517" s="6" t="s">
        <v>98</v>
      </c>
    </row>
    <row r="518" spans="1:10">
      <c r="A518" s="9">
        <v>966</v>
      </c>
      <c r="B518" s="10">
        <v>4116</v>
      </c>
      <c r="C518" s="3">
        <v>6400000</v>
      </c>
      <c r="D518" s="3">
        <v>6400000</v>
      </c>
      <c r="E518" s="7">
        <v>0</v>
      </c>
      <c r="F518" s="5">
        <v>45894</v>
      </c>
      <c r="G518" s="4">
        <v>20250824</v>
      </c>
      <c r="H518" s="6" t="s">
        <v>30</v>
      </c>
      <c r="I518" s="8" t="s">
        <v>9</v>
      </c>
      <c r="J518" s="6" t="s">
        <v>220</v>
      </c>
    </row>
    <row r="519" spans="1:10">
      <c r="A519" s="9">
        <v>629</v>
      </c>
      <c r="B519" s="10">
        <v>4569</v>
      </c>
      <c r="C519" s="3">
        <v>2600000</v>
      </c>
      <c r="D519" s="3">
        <v>2600000</v>
      </c>
      <c r="E519" s="7">
        <v>0</v>
      </c>
      <c r="F519" s="5">
        <v>45894</v>
      </c>
      <c r="G519" s="4">
        <v>20250822</v>
      </c>
      <c r="H519" s="6" t="s">
        <v>30</v>
      </c>
      <c r="I519" s="8"/>
      <c r="J519" s="6" t="s">
        <v>221</v>
      </c>
    </row>
    <row r="520" spans="1:10">
      <c r="A520" s="9">
        <v>674</v>
      </c>
      <c r="B520" s="10">
        <v>5200</v>
      </c>
      <c r="C520" s="3">
        <v>410000</v>
      </c>
      <c r="D520" s="3">
        <v>410000</v>
      </c>
      <c r="E520" s="7">
        <v>0</v>
      </c>
      <c r="F520" s="5">
        <v>45894</v>
      </c>
      <c r="G520" s="4">
        <v>20250824</v>
      </c>
      <c r="H520" s="6" t="s">
        <v>24</v>
      </c>
      <c r="I520" s="8" t="s">
        <v>9</v>
      </c>
      <c r="J520" s="6" t="s">
        <v>93</v>
      </c>
    </row>
    <row r="521" spans="1:10">
      <c r="A521" s="9">
        <v>882</v>
      </c>
      <c r="B521" s="9">
        <v>3510</v>
      </c>
      <c r="C521" s="3">
        <v>100000</v>
      </c>
      <c r="D521" s="3">
        <v>100000</v>
      </c>
      <c r="E521" s="7">
        <v>0</v>
      </c>
      <c r="F521" s="5">
        <v>45870</v>
      </c>
      <c r="G521" s="4">
        <v>20250731</v>
      </c>
      <c r="H521" s="6" t="s">
        <v>30</v>
      </c>
      <c r="I521" s="8" t="s">
        <v>9</v>
      </c>
      <c r="J521" s="6" t="s">
        <v>222</v>
      </c>
    </row>
    <row r="522" spans="1:10">
      <c r="A522" s="9">
        <v>882</v>
      </c>
      <c r="B522" s="9">
        <v>3510</v>
      </c>
      <c r="C522" s="3">
        <v>90000</v>
      </c>
      <c r="D522" s="3">
        <v>90000</v>
      </c>
      <c r="E522" s="7">
        <v>0</v>
      </c>
      <c r="F522" s="5">
        <v>45873</v>
      </c>
      <c r="G522" s="4">
        <v>20250803</v>
      </c>
      <c r="H522" s="6" t="s">
        <v>30</v>
      </c>
      <c r="I522" s="8" t="s">
        <v>9</v>
      </c>
      <c r="J522" s="6" t="s">
        <v>222</v>
      </c>
    </row>
    <row r="523" spans="1:10">
      <c r="A523" s="9">
        <v>583</v>
      </c>
      <c r="B523" s="9">
        <v>5691</v>
      </c>
      <c r="C523" s="3">
        <v>420000</v>
      </c>
      <c r="D523" s="3">
        <v>420000</v>
      </c>
      <c r="E523" s="7">
        <v>0</v>
      </c>
      <c r="F523" s="5">
        <v>45874</v>
      </c>
      <c r="G523" s="4">
        <v>20250804</v>
      </c>
      <c r="H523" s="6" t="s">
        <v>30</v>
      </c>
      <c r="I523" s="8" t="s">
        <v>9</v>
      </c>
      <c r="J523" s="6" t="s">
        <v>223</v>
      </c>
    </row>
    <row r="524" spans="1:10">
      <c r="A524" s="9">
        <v>993</v>
      </c>
      <c r="B524" s="10">
        <v>3470</v>
      </c>
      <c r="C524" s="3">
        <v>740000</v>
      </c>
      <c r="D524" s="3">
        <v>740000</v>
      </c>
      <c r="E524" s="7">
        <v>0</v>
      </c>
      <c r="F524" s="5">
        <v>45890</v>
      </c>
      <c r="G524" s="4">
        <v>20250820</v>
      </c>
      <c r="H524" s="6" t="s">
        <v>30</v>
      </c>
      <c r="I524" s="8" t="s">
        <v>9</v>
      </c>
      <c r="J524" s="6" t="s">
        <v>181</v>
      </c>
    </row>
    <row r="525" spans="1:10">
      <c r="A525" s="9">
        <v>864</v>
      </c>
      <c r="B525" s="10">
        <v>5377</v>
      </c>
      <c r="C525" s="3">
        <v>470000</v>
      </c>
      <c r="D525" s="3">
        <v>470000</v>
      </c>
      <c r="E525" s="7">
        <v>0</v>
      </c>
      <c r="F525" s="5">
        <v>45891</v>
      </c>
      <c r="G525" s="4">
        <v>20250821</v>
      </c>
      <c r="H525" s="6" t="s">
        <v>30</v>
      </c>
      <c r="I525" s="8" t="s">
        <v>9</v>
      </c>
      <c r="J525" s="6" t="s">
        <v>167</v>
      </c>
    </row>
    <row r="526" spans="1:10">
      <c r="A526" s="9">
        <v>864</v>
      </c>
      <c r="B526" s="10">
        <v>5377</v>
      </c>
      <c r="C526" s="3">
        <v>200000</v>
      </c>
      <c r="D526" s="3">
        <v>200000</v>
      </c>
      <c r="E526" s="7">
        <v>0</v>
      </c>
      <c r="F526" s="5">
        <v>45894</v>
      </c>
      <c r="G526" s="4">
        <v>20250824</v>
      </c>
      <c r="H526" s="6" t="s">
        <v>30</v>
      </c>
      <c r="I526" s="8" t="s">
        <v>9</v>
      </c>
      <c r="J526" s="6" t="s">
        <v>167</v>
      </c>
    </row>
    <row r="527" spans="1:10">
      <c r="A527" s="9">
        <v>799</v>
      </c>
      <c r="B527" s="10">
        <v>8184</v>
      </c>
      <c r="C527" s="3">
        <v>100000</v>
      </c>
      <c r="D527" s="3">
        <v>100000</v>
      </c>
      <c r="E527" s="7">
        <v>0</v>
      </c>
      <c r="F527" s="5">
        <v>45895</v>
      </c>
      <c r="G527" s="4">
        <v>20250825</v>
      </c>
      <c r="H527" s="6" t="s">
        <v>30</v>
      </c>
      <c r="I527" s="8" t="s">
        <v>9</v>
      </c>
      <c r="J527" s="6" t="s">
        <v>69</v>
      </c>
    </row>
    <row r="528" spans="1:10">
      <c r="A528" s="9">
        <v>61</v>
      </c>
      <c r="B528" s="10">
        <v>788</v>
      </c>
      <c r="C528" s="3">
        <v>1870000</v>
      </c>
      <c r="D528" s="3">
        <v>1870000</v>
      </c>
      <c r="E528" s="7">
        <f t="shared" ref="E528:E548" si="50">+C528-D528</f>
        <v>0</v>
      </c>
      <c r="F528" s="5">
        <v>45895</v>
      </c>
      <c r="G528" s="4">
        <v>20250825</v>
      </c>
      <c r="H528" s="6" t="str">
        <f>VLOOKUP(B528,CAJEROS!B:D,3,0)</f>
        <v>Multifuncional</v>
      </c>
      <c r="I528" s="8" t="s">
        <v>9</v>
      </c>
      <c r="J528" s="6" t="str">
        <f>VLOOKUP(B528,CAJEROS!B:E,4,0)</f>
        <v>MFSUCLAEST1</v>
      </c>
    </row>
    <row r="529" spans="1:10">
      <c r="A529" s="9">
        <v>395</v>
      </c>
      <c r="B529" s="10">
        <v>1529</v>
      </c>
      <c r="C529" s="3">
        <v>2990000</v>
      </c>
      <c r="D529" s="3">
        <v>2990000</v>
      </c>
      <c r="E529" s="7">
        <f t="shared" si="50"/>
        <v>0</v>
      </c>
      <c r="F529" s="5">
        <v>45895</v>
      </c>
      <c r="G529" s="4">
        <v>20250825</v>
      </c>
      <c r="H529" s="6" t="str">
        <f>VLOOKUP(B529,CAJEROS!B:D,3,0)</f>
        <v>Multifuncional</v>
      </c>
      <c r="I529" s="8" t="s">
        <v>9</v>
      </c>
      <c r="J529" s="6" t="str">
        <f>VLOOKUP(B529,CAJEROS!B:E,4,0)</f>
        <v>SUCMFVIVCI2</v>
      </c>
    </row>
    <row r="530" spans="1:10">
      <c r="A530" s="9">
        <v>944</v>
      </c>
      <c r="B530" s="10">
        <v>2228</v>
      </c>
      <c r="C530" s="3">
        <v>110000</v>
      </c>
      <c r="D530" s="3">
        <v>110000</v>
      </c>
      <c r="E530" s="7">
        <f t="shared" si="50"/>
        <v>0</v>
      </c>
      <c r="F530" s="5">
        <v>45895</v>
      </c>
      <c r="G530" s="4">
        <v>20250825</v>
      </c>
      <c r="H530" s="6" t="str">
        <f>VLOOKUP(B530,CAJEROS!B:D,3,0)</f>
        <v>Multifuncional</v>
      </c>
      <c r="I530" s="8" t="s">
        <v>9</v>
      </c>
      <c r="J530" s="6" t="str">
        <f>VLOOKUP(B530,CAJEROS!B:E,4,0)</f>
        <v>MF_SANTABO3</v>
      </c>
    </row>
    <row r="531" spans="1:10">
      <c r="A531" s="9">
        <v>277</v>
      </c>
      <c r="B531" s="10">
        <v>5021</v>
      </c>
      <c r="C531" s="3">
        <v>2540000</v>
      </c>
      <c r="D531" s="3">
        <f>990000+1550000</f>
        <v>2540000</v>
      </c>
      <c r="E531" s="7">
        <f t="shared" si="50"/>
        <v>0</v>
      </c>
      <c r="F531" s="5">
        <v>45891</v>
      </c>
      <c r="G531" s="4">
        <v>20250821</v>
      </c>
      <c r="H531" s="6" t="str">
        <f>VLOOKUP(B531,CAJEROS!B:D,3,0)</f>
        <v>Multifuncional</v>
      </c>
      <c r="I531" s="8" t="s">
        <v>9</v>
      </c>
      <c r="J531" s="6" t="str">
        <f>VLOOKUP(B531,CAJEROS!B:E,4,0)</f>
        <v>MF_CCMAYOR1</v>
      </c>
    </row>
    <row r="532" spans="1:10">
      <c r="A532" s="9">
        <v>825</v>
      </c>
      <c r="B532" s="10">
        <v>5023</v>
      </c>
      <c r="C532" s="3">
        <v>2910000</v>
      </c>
      <c r="D532" s="3">
        <v>2910000</v>
      </c>
      <c r="E532" s="7">
        <f t="shared" si="50"/>
        <v>0</v>
      </c>
      <c r="F532" s="5">
        <v>45895</v>
      </c>
      <c r="G532" s="4">
        <v>20250825</v>
      </c>
      <c r="H532" s="6" t="str">
        <f>VLOOKUP(B532,CAJEROS!B:D,3,0)</f>
        <v>Multifuncional</v>
      </c>
      <c r="I532" s="8" t="s">
        <v>9</v>
      </c>
      <c r="J532" s="6" t="str">
        <f>VLOOKUP(B532,CAJEROS!B:E,4,0)</f>
        <v>MF_ASTROCEN</v>
      </c>
    </row>
    <row r="533" spans="1:10">
      <c r="A533" s="9">
        <v>852</v>
      </c>
      <c r="B533" s="10">
        <v>5050</v>
      </c>
      <c r="C533" s="3">
        <v>340000</v>
      </c>
      <c r="D533" s="3">
        <v>340000</v>
      </c>
      <c r="E533" s="7">
        <f t="shared" si="50"/>
        <v>0</v>
      </c>
      <c r="F533" s="5">
        <v>45895</v>
      </c>
      <c r="G533" s="4">
        <v>20250825</v>
      </c>
      <c r="H533" s="6" t="str">
        <f>VLOOKUP(B533,CAJEROS!B:D,3,0)</f>
        <v>Multifuncional</v>
      </c>
      <c r="I533" s="8" t="s">
        <v>9</v>
      </c>
      <c r="J533" s="6" t="str">
        <f>VLOOKUP(B533,CAJEROS!B:E,4,0)</f>
        <v>MF_VICPLAZA</v>
      </c>
    </row>
    <row r="534" spans="1:10">
      <c r="A534" s="9">
        <v>634</v>
      </c>
      <c r="B534" s="10">
        <v>5087</v>
      </c>
      <c r="C534" s="3">
        <v>1200000</v>
      </c>
      <c r="D534" s="3">
        <v>1200000</v>
      </c>
      <c r="E534" s="7">
        <f t="shared" si="50"/>
        <v>0</v>
      </c>
      <c r="F534" s="5">
        <v>45895</v>
      </c>
      <c r="G534" s="4">
        <v>20250825</v>
      </c>
      <c r="H534" s="6" t="str">
        <f>VLOOKUP(B534,CAJEROS!B:D,3,0)</f>
        <v>Multifuncional</v>
      </c>
      <c r="I534" s="8" t="s">
        <v>9</v>
      </c>
      <c r="J534" s="6" t="str">
        <f>VLOOKUP(B534,CAJEROS!B:E,4,0)</f>
        <v>MF_AVENI127</v>
      </c>
    </row>
    <row r="535" spans="1:10">
      <c r="A535" s="9">
        <v>743</v>
      </c>
      <c r="B535" s="10">
        <v>5106</v>
      </c>
      <c r="C535" s="3">
        <v>2870000</v>
      </c>
      <c r="D535" s="3">
        <v>2870000</v>
      </c>
      <c r="E535" s="7">
        <f t="shared" si="50"/>
        <v>0</v>
      </c>
      <c r="F535" s="5">
        <v>45895</v>
      </c>
      <c r="G535" s="4">
        <v>20250825</v>
      </c>
      <c r="H535" s="6" t="str">
        <f>VLOOKUP(B535,CAJEROS!B:D,3,0)</f>
        <v>Multifuncional</v>
      </c>
      <c r="I535" s="8" t="s">
        <v>9</v>
      </c>
      <c r="J535" s="6" t="str">
        <f>VLOOKUP(B535,CAJEROS!B:E,4,0)</f>
        <v>MF_NORTHPOI</v>
      </c>
    </row>
    <row r="536" spans="1:10">
      <c r="A536" s="9">
        <v>91</v>
      </c>
      <c r="B536" s="10">
        <v>5148</v>
      </c>
      <c r="C536" s="3">
        <v>190000</v>
      </c>
      <c r="D536" s="3">
        <v>190000</v>
      </c>
      <c r="E536" s="7">
        <f t="shared" si="50"/>
        <v>0</v>
      </c>
      <c r="F536" s="5">
        <v>45895</v>
      </c>
      <c r="G536" s="4">
        <v>20250825</v>
      </c>
      <c r="H536" s="6" t="str">
        <f>VLOOKUP(B536,CAJEROS!B:D,3,0)</f>
        <v>Multifuncional</v>
      </c>
      <c r="I536" s="8" t="s">
        <v>9</v>
      </c>
      <c r="J536" s="6" t="str">
        <f>VLOOKUP(B536,CAJEROS!B:E,4,0)</f>
        <v>MF_MONTERIA</v>
      </c>
    </row>
    <row r="537" spans="1:10">
      <c r="A537" s="9">
        <v>30</v>
      </c>
      <c r="B537" s="10">
        <v>6172</v>
      </c>
      <c r="C537" s="3">
        <v>50000</v>
      </c>
      <c r="D537" s="3">
        <v>50000</v>
      </c>
      <c r="E537" s="7">
        <f t="shared" si="50"/>
        <v>0</v>
      </c>
      <c r="F537" s="5">
        <v>45895</v>
      </c>
      <c r="G537" s="4">
        <v>20250825</v>
      </c>
      <c r="H537" s="6" t="str">
        <f>VLOOKUP(B537,CAJEROS!B:D,3,0)</f>
        <v>Multifuncional</v>
      </c>
      <c r="I537" s="8" t="s">
        <v>9</v>
      </c>
      <c r="J537" s="6" t="str">
        <f>VLOOKUP(B537,CAJEROS!B:E,4,0)</f>
        <v>MF_CROCTAV1</v>
      </c>
    </row>
    <row r="538" spans="1:10">
      <c r="A538" s="9">
        <v>690</v>
      </c>
      <c r="B538" s="10">
        <v>6180</v>
      </c>
      <c r="C538" s="3">
        <v>210000</v>
      </c>
      <c r="D538" s="3">
        <v>210000</v>
      </c>
      <c r="E538" s="7">
        <f t="shared" si="50"/>
        <v>0</v>
      </c>
      <c r="F538" s="5">
        <v>45894</v>
      </c>
      <c r="G538" s="4">
        <v>20250824</v>
      </c>
      <c r="H538" s="6" t="str">
        <f>VLOOKUP(B538,CAJEROS!B:D,3,0)</f>
        <v>Multifuncional</v>
      </c>
      <c r="I538" s="8" t="s">
        <v>9</v>
      </c>
      <c r="J538" s="6" t="str">
        <f>VLOOKUP(B538,CAJEROS!B:E,4,0)</f>
        <v>MF_HTQENDAM</v>
      </c>
    </row>
    <row r="539" spans="1:10">
      <c r="A539" s="9">
        <v>54</v>
      </c>
      <c r="B539" s="10">
        <v>6204</v>
      </c>
      <c r="C539" s="3">
        <v>167200</v>
      </c>
      <c r="D539" s="3">
        <v>167200</v>
      </c>
      <c r="E539" s="7">
        <f t="shared" si="50"/>
        <v>0</v>
      </c>
      <c r="F539" s="5">
        <v>45895</v>
      </c>
      <c r="G539" s="4">
        <v>20250825</v>
      </c>
      <c r="H539" s="6" t="str">
        <f>VLOOKUP(B539,CAJEROS!B:D,3,0)</f>
        <v>Multifuncional</v>
      </c>
      <c r="I539" s="8" t="s">
        <v>9</v>
      </c>
      <c r="J539" s="6" t="str">
        <f>VLOOKUP(B539,CAJEROS!B:E,4,0)</f>
        <v>MF_CALLE122</v>
      </c>
    </row>
    <row r="540" spans="1:10">
      <c r="A540" s="9">
        <v>894</v>
      </c>
      <c r="B540" s="10">
        <v>6466</v>
      </c>
      <c r="C540" s="3">
        <v>350000</v>
      </c>
      <c r="D540" s="3">
        <v>350000</v>
      </c>
      <c r="E540" s="7">
        <f t="shared" si="50"/>
        <v>0</v>
      </c>
      <c r="F540" s="5">
        <v>45895</v>
      </c>
      <c r="G540" s="4">
        <v>20250825</v>
      </c>
      <c r="H540" s="6" t="str">
        <f>VLOOKUP(B540,CAJEROS!B:D,3,0)</f>
        <v>Multifuncional</v>
      </c>
      <c r="I540" s="8" t="s">
        <v>9</v>
      </c>
      <c r="J540" s="6" t="str">
        <f>VLOOKUP(B540,CAJEROS!B:E,4,0)</f>
        <v>MF_TUMACO</v>
      </c>
    </row>
    <row r="541" spans="1:10">
      <c r="A541" s="9">
        <v>317</v>
      </c>
      <c r="B541" s="10">
        <v>6613</v>
      </c>
      <c r="C541" s="3">
        <v>453000</v>
      </c>
      <c r="D541" s="3">
        <v>453000</v>
      </c>
      <c r="E541" s="7">
        <f t="shared" si="50"/>
        <v>0</v>
      </c>
      <c r="F541" s="5">
        <v>45895</v>
      </c>
      <c r="G541" s="4">
        <v>20250825</v>
      </c>
      <c r="H541" s="6" t="str">
        <f>VLOOKUP(B541,CAJEROS!B:D,3,0)</f>
        <v>Multifuncional</v>
      </c>
      <c r="I541" s="8" t="s">
        <v>9</v>
      </c>
      <c r="J541" s="6" t="str">
        <f>VLOOKUP(B541,CAJEROS!B:E,4,0)</f>
        <v>MF_ARAUCA</v>
      </c>
    </row>
    <row r="542" spans="1:10">
      <c r="A542" s="9">
        <v>609</v>
      </c>
      <c r="B542" s="10">
        <v>7888</v>
      </c>
      <c r="C542" s="3">
        <v>950000</v>
      </c>
      <c r="D542" s="3">
        <v>950000</v>
      </c>
      <c r="E542" s="7">
        <f t="shared" si="50"/>
        <v>0</v>
      </c>
      <c r="F542" s="5">
        <v>45895</v>
      </c>
      <c r="G542" s="4">
        <v>20250825</v>
      </c>
      <c r="H542" s="6" t="str">
        <f>VLOOKUP(B542,CAJEROS!B:D,3,0)</f>
        <v>Multifuncional</v>
      </c>
      <c r="I542" s="8" t="s">
        <v>9</v>
      </c>
      <c r="J542" s="6" t="str">
        <f>VLOOKUP(B542,CAJEROS!B:E,4,0)</f>
        <v>MFSUCABAST2</v>
      </c>
    </row>
    <row r="543" spans="1:10">
      <c r="A543" s="9">
        <v>554</v>
      </c>
      <c r="B543" s="10">
        <v>8294</v>
      </c>
      <c r="C543" s="3">
        <v>1040000</v>
      </c>
      <c r="D543" s="3">
        <v>1040000</v>
      </c>
      <c r="E543" s="7">
        <f t="shared" si="50"/>
        <v>0</v>
      </c>
      <c r="F543" s="5">
        <v>45895</v>
      </c>
      <c r="G543" s="4">
        <v>20250825</v>
      </c>
      <c r="H543" s="6" t="str">
        <f>VLOOKUP(B543,CAJEROS!B:D,3,0)</f>
        <v>Multifuncional</v>
      </c>
      <c r="I543" s="8" t="s">
        <v>9</v>
      </c>
      <c r="J543" s="6" t="str">
        <f>VLOOKUP(B543,CAJEROS!B:E,4,0)</f>
        <v>MF_SBUVIII1</v>
      </c>
    </row>
    <row r="544" spans="1:10">
      <c r="A544" s="9">
        <v>20</v>
      </c>
      <c r="B544" s="10">
        <v>8927</v>
      </c>
      <c r="C544" s="3">
        <v>890000</v>
      </c>
      <c r="D544" s="3">
        <v>890000</v>
      </c>
      <c r="E544" s="7">
        <f t="shared" si="50"/>
        <v>0</v>
      </c>
      <c r="F544" s="5">
        <v>45895</v>
      </c>
      <c r="G544" s="4">
        <v>20250825</v>
      </c>
      <c r="H544" s="6" t="str">
        <f>VLOOKUP(B544,CAJEROS!B:D,3,0)</f>
        <v>Multifuncional</v>
      </c>
      <c r="I544" s="8" t="s">
        <v>9</v>
      </c>
      <c r="J544" s="6" t="str">
        <f>VLOOKUP(B544,CAJEROS!B:E,4,0)</f>
        <v>MFSUCBUCMG2</v>
      </c>
    </row>
    <row r="545" spans="1:11">
      <c r="A545" s="9">
        <v>348</v>
      </c>
      <c r="B545" s="10">
        <v>9009</v>
      </c>
      <c r="C545" s="3">
        <v>1248000</v>
      </c>
      <c r="D545" s="3">
        <v>1248000</v>
      </c>
      <c r="E545" s="7">
        <f t="shared" si="50"/>
        <v>0</v>
      </c>
      <c r="F545" s="5">
        <v>45895</v>
      </c>
      <c r="G545" s="4">
        <v>20250825</v>
      </c>
      <c r="H545" s="6" t="str">
        <f>VLOOKUP(B545,CAJEROS!B:D,3,0)</f>
        <v>Multifuncional</v>
      </c>
      <c r="I545" s="8" t="s">
        <v>9</v>
      </c>
      <c r="J545" s="6" t="str">
        <f>VLOOKUP(B545,CAJEROS!B:E,4,0)</f>
        <v>MF_SANDRES2</v>
      </c>
    </row>
    <row r="546" spans="1:11">
      <c r="A546" s="9">
        <v>467</v>
      </c>
      <c r="B546" s="10">
        <v>9052</v>
      </c>
      <c r="C546" s="3">
        <v>1180000</v>
      </c>
      <c r="D546" s="3">
        <v>1180000</v>
      </c>
      <c r="E546" s="7">
        <f t="shared" si="50"/>
        <v>0</v>
      </c>
      <c r="F546" s="5">
        <v>45895</v>
      </c>
      <c r="G546" s="4">
        <v>20250825</v>
      </c>
      <c r="H546" s="6" t="str">
        <f>VLOOKUP(B546,CAJEROS!B:D,3,0)</f>
        <v>Multifuncional</v>
      </c>
      <c r="I546" s="8" t="s">
        <v>9</v>
      </c>
      <c r="J546" s="6" t="str">
        <f>VLOOKUP(B546,CAJEROS!B:E,4,0)</f>
        <v>MFHDVERPLZ2</v>
      </c>
    </row>
    <row r="547" spans="1:11">
      <c r="A547" s="9">
        <v>959</v>
      </c>
      <c r="B547" s="10">
        <v>9265</v>
      </c>
      <c r="C547" s="3">
        <v>170000</v>
      </c>
      <c r="D547" s="3">
        <v>170000</v>
      </c>
      <c r="E547" s="7">
        <f t="shared" si="50"/>
        <v>0</v>
      </c>
      <c r="F547" s="5">
        <v>45895</v>
      </c>
      <c r="G547" s="4">
        <v>20250825</v>
      </c>
      <c r="H547" s="6" t="str">
        <f>VLOOKUP(B547,CAJEROS!B:D,3,0)</f>
        <v>Multifuncional</v>
      </c>
      <c r="I547" s="8" t="s">
        <v>9</v>
      </c>
      <c r="J547" s="6" t="str">
        <f>VLOOKUP(B547,CAJEROS!B:E,4,0)</f>
        <v>MFSUCTURBO1</v>
      </c>
    </row>
    <row r="548" spans="1:11">
      <c r="A548" s="9">
        <v>957</v>
      </c>
      <c r="B548" s="10">
        <v>9513</v>
      </c>
      <c r="C548" s="3">
        <v>740000</v>
      </c>
      <c r="D548" s="3">
        <v>740000</v>
      </c>
      <c r="E548" s="7">
        <f t="shared" si="50"/>
        <v>0</v>
      </c>
      <c r="F548" s="5">
        <v>45895</v>
      </c>
      <c r="G548" s="4">
        <v>20250825</v>
      </c>
      <c r="H548" s="6" t="str">
        <f>VLOOKUP(B548,CAJEROS!B:D,3,0)</f>
        <v>Multifuncional</v>
      </c>
      <c r="I548" s="8" t="s">
        <v>9</v>
      </c>
      <c r="J548" s="6" t="str">
        <f>VLOOKUP(B548,CAJEROS!B:E,4,0)</f>
        <v>MFSUCPARAL2</v>
      </c>
    </row>
    <row r="549" spans="1:11">
      <c r="A549" s="9">
        <v>882</v>
      </c>
      <c r="B549" s="10">
        <v>5020</v>
      </c>
      <c r="C549" s="3">
        <v>1690000</v>
      </c>
      <c r="D549" s="3">
        <v>1690000</v>
      </c>
      <c r="E549" s="7">
        <v>0</v>
      </c>
      <c r="F549" s="5">
        <v>45883</v>
      </c>
      <c r="G549" s="4">
        <v>20250813</v>
      </c>
      <c r="H549" s="6" t="s">
        <v>24</v>
      </c>
      <c r="I549" s="8" t="s">
        <v>9</v>
      </c>
      <c r="J549" s="6" t="s">
        <v>224</v>
      </c>
    </row>
    <row r="550" spans="1:11">
      <c r="A550" s="9">
        <v>882</v>
      </c>
      <c r="B550" s="10">
        <v>5020</v>
      </c>
      <c r="C550" s="3">
        <v>530000</v>
      </c>
      <c r="D550" s="3">
        <v>530000</v>
      </c>
      <c r="E550" s="7">
        <v>0</v>
      </c>
      <c r="F550" s="5">
        <v>45889</v>
      </c>
      <c r="G550" s="4">
        <v>20250819</v>
      </c>
      <c r="H550" s="6" t="s">
        <v>24</v>
      </c>
      <c r="I550" s="8" t="s">
        <v>9</v>
      </c>
      <c r="J550" s="6" t="s">
        <v>224</v>
      </c>
    </row>
    <row r="551" spans="1:11">
      <c r="A551" s="9">
        <v>882</v>
      </c>
      <c r="B551" s="10">
        <v>5020</v>
      </c>
      <c r="C551" s="3">
        <v>1745000</v>
      </c>
      <c r="D551" s="3">
        <v>1745000</v>
      </c>
      <c r="E551" s="7">
        <v>0</v>
      </c>
      <c r="F551" s="5">
        <v>45890</v>
      </c>
      <c r="G551" s="4">
        <v>20250820</v>
      </c>
      <c r="H551" s="6" t="s">
        <v>24</v>
      </c>
      <c r="I551" s="8" t="s">
        <v>9</v>
      </c>
      <c r="J551" s="6" t="s">
        <v>224</v>
      </c>
    </row>
    <row r="552" spans="1:11">
      <c r="A552" s="9">
        <v>262</v>
      </c>
      <c r="B552" s="10">
        <v>5153</v>
      </c>
      <c r="C552" s="3">
        <v>1850000</v>
      </c>
      <c r="D552" s="3">
        <f>1190000+660000</f>
        <v>1850000</v>
      </c>
      <c r="E552" s="7">
        <f t="shared" ref="E552:E555" si="51">+C552-D552</f>
        <v>0</v>
      </c>
      <c r="F552" s="5">
        <v>45891</v>
      </c>
      <c r="G552" s="4">
        <v>20250821</v>
      </c>
      <c r="H552" s="6" t="str">
        <f>VLOOKUP(B552,CAJEROS!B:D,3,0)</f>
        <v>Multifuncional</v>
      </c>
      <c r="I552" s="8" t="s">
        <v>9</v>
      </c>
      <c r="J552" s="6" t="str">
        <f>VLOOKUP(B552,CAJEROS!B:E,4,0)</f>
        <v>MF_DUITAMA</v>
      </c>
    </row>
    <row r="553" spans="1:11">
      <c r="A553" s="9">
        <v>70</v>
      </c>
      <c r="B553" s="10">
        <v>5164</v>
      </c>
      <c r="C553" s="3">
        <v>1960000</v>
      </c>
      <c r="D553" s="3">
        <v>1960000</v>
      </c>
      <c r="E553" s="7">
        <f t="shared" si="51"/>
        <v>0</v>
      </c>
      <c r="F553" s="5">
        <v>45888</v>
      </c>
      <c r="G553" s="4">
        <v>20250818</v>
      </c>
      <c r="H553" s="6" t="str">
        <f>VLOOKUP(B553,CAJEROS!B:D,3,0)</f>
        <v>Multifuncional</v>
      </c>
      <c r="I553" s="8" t="s">
        <v>9</v>
      </c>
      <c r="J553" s="6" t="str">
        <f>VLOOKUP(B553,CAJEROS!B:E,4,0)</f>
        <v>MF_MANIZALE</v>
      </c>
    </row>
    <row r="554" spans="1:11">
      <c r="A554" s="9">
        <v>198</v>
      </c>
      <c r="B554" s="10">
        <v>5179</v>
      </c>
      <c r="C554" s="3">
        <v>76000</v>
      </c>
      <c r="D554" s="3">
        <v>76000</v>
      </c>
      <c r="E554" s="7">
        <f t="shared" si="51"/>
        <v>0</v>
      </c>
      <c r="F554" s="5">
        <v>45894</v>
      </c>
      <c r="G554" s="4">
        <v>20250824</v>
      </c>
      <c r="H554" s="6" t="str">
        <f>VLOOKUP(B554,CAJEROS!B:D,3,0)</f>
        <v>Multifuncional</v>
      </c>
      <c r="I554" s="8" t="s">
        <v>9</v>
      </c>
      <c r="J554" s="6" t="str">
        <f>VLOOKUP(B554,CAJEROS!B:E,4,0)</f>
        <v>MF_CENTSUBA</v>
      </c>
    </row>
    <row r="555" spans="1:11">
      <c r="A555" s="9">
        <v>229</v>
      </c>
      <c r="B555" s="10">
        <v>9605</v>
      </c>
      <c r="C555" s="3">
        <v>1130000</v>
      </c>
      <c r="D555" s="3">
        <v>1130000</v>
      </c>
      <c r="E555" s="7">
        <f t="shared" si="51"/>
        <v>0</v>
      </c>
      <c r="F555" s="5">
        <v>45895</v>
      </c>
      <c r="G555" s="4">
        <v>20250825</v>
      </c>
      <c r="H555" s="6" t="str">
        <f>VLOOKUP(B555,CAJEROS!B:D,3,0)</f>
        <v>Multifuncional</v>
      </c>
      <c r="I555" s="8" t="s">
        <v>9</v>
      </c>
      <c r="J555" s="6" t="str">
        <f>VLOOKUP(B555,CAJEROS!B:E,4,0)</f>
        <v>MFSUCPASER2</v>
      </c>
    </row>
    <row r="556" spans="1:11">
      <c r="A556" s="9">
        <v>19</v>
      </c>
      <c r="B556" s="9">
        <v>1449</v>
      </c>
      <c r="C556" s="3">
        <v>400000</v>
      </c>
      <c r="D556" s="3"/>
      <c r="E556" s="7">
        <v>400000</v>
      </c>
      <c r="F556" s="5">
        <v>45870</v>
      </c>
      <c r="G556" s="4">
        <v>20250731</v>
      </c>
      <c r="H556" s="6" t="s">
        <v>30</v>
      </c>
      <c r="I556" s="8" t="s">
        <v>9</v>
      </c>
      <c r="J556" s="6" t="s">
        <v>225</v>
      </c>
      <c r="K556" t="s">
        <v>226</v>
      </c>
    </row>
    <row r="557" spans="1:11">
      <c r="A557" s="9">
        <v>42</v>
      </c>
      <c r="B557" s="9">
        <v>7886</v>
      </c>
      <c r="C557" s="3">
        <v>200000</v>
      </c>
      <c r="D557" s="3"/>
      <c r="E557" s="7">
        <v>200000</v>
      </c>
      <c r="F557" s="5">
        <v>45870</v>
      </c>
      <c r="G557" s="4">
        <v>20250731</v>
      </c>
      <c r="H557" s="6" t="s">
        <v>30</v>
      </c>
      <c r="I557" s="8" t="s">
        <v>9</v>
      </c>
      <c r="J557" s="6" t="s">
        <v>227</v>
      </c>
      <c r="K557" t="s">
        <v>226</v>
      </c>
    </row>
    <row r="558" spans="1:11">
      <c r="A558" s="9">
        <v>81</v>
      </c>
      <c r="B558" s="9">
        <v>4568</v>
      </c>
      <c r="C558" s="3">
        <v>200000</v>
      </c>
      <c r="D558" s="3"/>
      <c r="E558" s="7">
        <v>200000</v>
      </c>
      <c r="F558" s="5">
        <v>45870</v>
      </c>
      <c r="G558" s="4">
        <v>20250731</v>
      </c>
      <c r="H558" s="6" t="s">
        <v>30</v>
      </c>
      <c r="I558" s="8" t="s">
        <v>9</v>
      </c>
      <c r="J558" s="6" t="s">
        <v>228</v>
      </c>
      <c r="K558" t="s">
        <v>226</v>
      </c>
    </row>
    <row r="559" spans="1:11">
      <c r="A559" s="9">
        <v>347</v>
      </c>
      <c r="B559" s="9">
        <v>4782</v>
      </c>
      <c r="C559" s="3">
        <v>4200000</v>
      </c>
      <c r="D559" s="3"/>
      <c r="E559" s="7">
        <v>4200000</v>
      </c>
      <c r="F559" s="5">
        <v>45870</v>
      </c>
      <c r="G559" s="4">
        <v>20250731</v>
      </c>
      <c r="H559" s="6" t="s">
        <v>30</v>
      </c>
      <c r="I559" s="8" t="s">
        <v>9</v>
      </c>
      <c r="J559" s="6" t="s">
        <v>229</v>
      </c>
      <c r="K559" t="s">
        <v>226</v>
      </c>
    </row>
    <row r="560" spans="1:11">
      <c r="A560" s="9">
        <v>348</v>
      </c>
      <c r="B560" s="9">
        <v>9007</v>
      </c>
      <c r="C560" s="3">
        <v>700000</v>
      </c>
      <c r="D560" s="3"/>
      <c r="E560" s="7">
        <v>700000</v>
      </c>
      <c r="F560" s="5">
        <v>45870</v>
      </c>
      <c r="G560" s="4">
        <v>20250731</v>
      </c>
      <c r="H560" s="6" t="s">
        <v>30</v>
      </c>
      <c r="I560" s="8" t="s">
        <v>9</v>
      </c>
      <c r="J560" s="6" t="s">
        <v>230</v>
      </c>
      <c r="K560" t="s">
        <v>226</v>
      </c>
    </row>
    <row r="561" spans="1:11">
      <c r="A561" s="9">
        <v>389</v>
      </c>
      <c r="B561" s="9">
        <v>4689</v>
      </c>
      <c r="C561" s="3">
        <v>100000</v>
      </c>
      <c r="D561" s="3"/>
      <c r="E561" s="7">
        <v>100000</v>
      </c>
      <c r="F561" s="5">
        <v>45870</v>
      </c>
      <c r="G561" s="4">
        <v>20250731</v>
      </c>
      <c r="H561" s="6" t="s">
        <v>30</v>
      </c>
      <c r="I561" s="8" t="s">
        <v>9</v>
      </c>
      <c r="J561" s="6" t="s">
        <v>231</v>
      </c>
      <c r="K561" t="s">
        <v>226</v>
      </c>
    </row>
    <row r="562" spans="1:11">
      <c r="A562" s="9">
        <v>392</v>
      </c>
      <c r="B562" s="9">
        <v>5265</v>
      </c>
      <c r="C562" s="3">
        <v>50000</v>
      </c>
      <c r="D562" s="3"/>
      <c r="E562" s="7">
        <v>50000</v>
      </c>
      <c r="F562" s="5">
        <v>45870</v>
      </c>
      <c r="G562" s="4">
        <v>20250731</v>
      </c>
      <c r="H562" s="6" t="s">
        <v>30</v>
      </c>
      <c r="I562" s="8" t="s">
        <v>9</v>
      </c>
      <c r="J562" s="6" t="s">
        <v>232</v>
      </c>
      <c r="K562" t="s">
        <v>226</v>
      </c>
    </row>
    <row r="563" spans="1:11">
      <c r="A563" s="9">
        <v>507</v>
      </c>
      <c r="B563" s="9">
        <v>1727</v>
      </c>
      <c r="C563" s="3">
        <v>50000</v>
      </c>
      <c r="D563" s="3"/>
      <c r="E563" s="7">
        <v>50000</v>
      </c>
      <c r="F563" s="5">
        <v>45870</v>
      </c>
      <c r="G563" s="4">
        <v>20250731</v>
      </c>
      <c r="H563" s="6" t="s">
        <v>30</v>
      </c>
      <c r="I563" s="8" t="s">
        <v>9</v>
      </c>
      <c r="J563" s="6" t="s">
        <v>233</v>
      </c>
      <c r="K563" t="s">
        <v>226</v>
      </c>
    </row>
    <row r="564" spans="1:11">
      <c r="A564" s="9">
        <v>512</v>
      </c>
      <c r="B564" s="9">
        <v>4718</v>
      </c>
      <c r="C564" s="3">
        <v>2800000</v>
      </c>
      <c r="D564" s="3">
        <v>2770000</v>
      </c>
      <c r="E564" s="7">
        <v>30000</v>
      </c>
      <c r="F564" s="5">
        <v>45870</v>
      </c>
      <c r="G564" s="4">
        <v>20250731</v>
      </c>
      <c r="H564" s="6" t="s">
        <v>30</v>
      </c>
      <c r="I564" s="8" t="s">
        <v>9</v>
      </c>
      <c r="J564" s="6" t="s">
        <v>234</v>
      </c>
      <c r="K564" t="s">
        <v>226</v>
      </c>
    </row>
    <row r="565" spans="1:11">
      <c r="A565" s="9">
        <v>595</v>
      </c>
      <c r="B565" s="9">
        <v>5928</v>
      </c>
      <c r="C565" s="3">
        <v>70000</v>
      </c>
      <c r="D565" s="3"/>
      <c r="E565" s="7">
        <v>70000</v>
      </c>
      <c r="F565" s="5">
        <v>45870</v>
      </c>
      <c r="G565" s="4">
        <v>20250731</v>
      </c>
      <c r="H565" s="6" t="s">
        <v>30</v>
      </c>
      <c r="I565" s="8" t="s">
        <v>9</v>
      </c>
      <c r="J565" s="6" t="s">
        <v>235</v>
      </c>
      <c r="K565" t="s">
        <v>226</v>
      </c>
    </row>
    <row r="566" spans="1:11">
      <c r="A566" s="9">
        <v>629</v>
      </c>
      <c r="B566" s="9">
        <v>4569</v>
      </c>
      <c r="C566" s="3">
        <v>600000</v>
      </c>
      <c r="D566" s="3"/>
      <c r="E566" s="7">
        <v>600000</v>
      </c>
      <c r="F566" s="5">
        <v>45870</v>
      </c>
      <c r="G566" s="4">
        <v>20250731</v>
      </c>
      <c r="H566" s="6" t="s">
        <v>30</v>
      </c>
      <c r="I566" s="8" t="s">
        <v>9</v>
      </c>
      <c r="J566" s="6" t="s">
        <v>221</v>
      </c>
      <c r="K566" t="s">
        <v>226</v>
      </c>
    </row>
    <row r="567" spans="1:11">
      <c r="A567" s="9">
        <v>828</v>
      </c>
      <c r="B567" s="9">
        <v>2234</v>
      </c>
      <c r="C567" s="3">
        <v>200000</v>
      </c>
      <c r="D567" s="3"/>
      <c r="E567" s="7">
        <v>200000</v>
      </c>
      <c r="F567" s="5">
        <v>45870</v>
      </c>
      <c r="G567" s="4">
        <v>20250731</v>
      </c>
      <c r="H567" s="6" t="s">
        <v>30</v>
      </c>
      <c r="I567" s="8" t="s">
        <v>9</v>
      </c>
      <c r="J567" s="6" t="s">
        <v>236</v>
      </c>
      <c r="K567" t="s">
        <v>226</v>
      </c>
    </row>
    <row r="568" spans="1:11">
      <c r="A568" s="9">
        <v>828</v>
      </c>
      <c r="B568" s="9">
        <v>2235</v>
      </c>
      <c r="C568" s="3">
        <v>300000</v>
      </c>
      <c r="D568" s="3"/>
      <c r="E568" s="7">
        <v>300000</v>
      </c>
      <c r="F568" s="5">
        <v>45870</v>
      </c>
      <c r="G568" s="4">
        <v>20250731</v>
      </c>
      <c r="H568" s="6" t="s">
        <v>30</v>
      </c>
      <c r="I568" s="8" t="s">
        <v>9</v>
      </c>
      <c r="J568" s="6" t="s">
        <v>237</v>
      </c>
      <c r="K568" t="s">
        <v>226</v>
      </c>
    </row>
    <row r="569" spans="1:11">
      <c r="A569" s="9">
        <v>838</v>
      </c>
      <c r="B569" s="9">
        <v>4009</v>
      </c>
      <c r="C569" s="3">
        <v>30000</v>
      </c>
      <c r="D569" s="3"/>
      <c r="E569" s="7">
        <v>30000</v>
      </c>
      <c r="F569" s="5">
        <v>45870</v>
      </c>
      <c r="G569" s="4">
        <v>20250731</v>
      </c>
      <c r="H569" s="6" t="s">
        <v>30</v>
      </c>
      <c r="I569" s="8" t="s">
        <v>9</v>
      </c>
      <c r="J569" s="6" t="s">
        <v>238</v>
      </c>
      <c r="K569" t="s">
        <v>226</v>
      </c>
    </row>
    <row r="570" spans="1:11">
      <c r="A570" s="9">
        <v>849</v>
      </c>
      <c r="B570" s="9">
        <v>9720</v>
      </c>
      <c r="C570" s="3">
        <v>650000</v>
      </c>
      <c r="D570" s="3">
        <v>280000</v>
      </c>
      <c r="E570" s="7">
        <v>370000</v>
      </c>
      <c r="F570" s="5">
        <v>45870</v>
      </c>
      <c r="G570" s="4">
        <v>20250731</v>
      </c>
      <c r="H570" s="6" t="s">
        <v>30</v>
      </c>
      <c r="I570" s="8" t="s">
        <v>9</v>
      </c>
      <c r="J570" s="6" t="s">
        <v>146</v>
      </c>
      <c r="K570" t="s">
        <v>226</v>
      </c>
    </row>
    <row r="571" spans="1:11">
      <c r="A571" s="9">
        <v>849</v>
      </c>
      <c r="B571" s="9">
        <v>9722</v>
      </c>
      <c r="C571" s="3">
        <v>100000</v>
      </c>
      <c r="D571" s="3"/>
      <c r="E571" s="7">
        <v>100000</v>
      </c>
      <c r="F571" s="5">
        <v>45870</v>
      </c>
      <c r="G571" s="4">
        <v>20250731</v>
      </c>
      <c r="H571" s="6" t="s">
        <v>30</v>
      </c>
      <c r="I571" s="8" t="s">
        <v>9</v>
      </c>
      <c r="J571" s="6" t="s">
        <v>200</v>
      </c>
      <c r="K571" t="s">
        <v>226</v>
      </c>
    </row>
    <row r="572" spans="1:11">
      <c r="A572" s="9">
        <v>909</v>
      </c>
      <c r="B572" s="9">
        <v>6641</v>
      </c>
      <c r="C572" s="3">
        <v>120000</v>
      </c>
      <c r="D572" s="3"/>
      <c r="E572" s="7">
        <v>120000</v>
      </c>
      <c r="F572" s="5">
        <v>45870</v>
      </c>
      <c r="G572" s="4">
        <v>20250731</v>
      </c>
      <c r="H572" s="6" t="s">
        <v>30</v>
      </c>
      <c r="I572" s="8" t="s">
        <v>9</v>
      </c>
      <c r="J572" s="6" t="s">
        <v>239</v>
      </c>
      <c r="K572" t="s">
        <v>226</v>
      </c>
    </row>
    <row r="573" spans="1:11">
      <c r="A573" s="9">
        <v>966</v>
      </c>
      <c r="B573" s="9">
        <v>9941</v>
      </c>
      <c r="C573" s="3">
        <v>1500000</v>
      </c>
      <c r="D573" s="3">
        <v>900000</v>
      </c>
      <c r="E573" s="7">
        <v>600000</v>
      </c>
      <c r="F573" s="5">
        <v>45870</v>
      </c>
      <c r="G573" s="4">
        <v>20250731</v>
      </c>
      <c r="H573" s="6" t="s">
        <v>30</v>
      </c>
      <c r="I573" s="8" t="s">
        <v>9</v>
      </c>
      <c r="J573" s="6" t="s">
        <v>240</v>
      </c>
      <c r="K573" t="s">
        <v>226</v>
      </c>
    </row>
    <row r="574" spans="1:11">
      <c r="A574" s="9">
        <v>966</v>
      </c>
      <c r="B574" s="9">
        <v>9943</v>
      </c>
      <c r="C574" s="3">
        <v>200000</v>
      </c>
      <c r="D574" s="3">
        <v>100000</v>
      </c>
      <c r="E574" s="7">
        <v>100000</v>
      </c>
      <c r="F574" s="5">
        <v>45870</v>
      </c>
      <c r="G574" s="4">
        <v>20250731</v>
      </c>
      <c r="H574" s="6" t="s">
        <v>30</v>
      </c>
      <c r="I574" s="8" t="s">
        <v>9</v>
      </c>
      <c r="J574" s="6" t="s">
        <v>40</v>
      </c>
      <c r="K574" t="s">
        <v>226</v>
      </c>
    </row>
    <row r="575" spans="1:11">
      <c r="A575" s="9">
        <v>993</v>
      </c>
      <c r="B575" s="9">
        <v>3470</v>
      </c>
      <c r="C575" s="3">
        <v>500000</v>
      </c>
      <c r="D575" s="3">
        <v>260000</v>
      </c>
      <c r="E575" s="7">
        <v>240000</v>
      </c>
      <c r="F575" s="5">
        <v>45870</v>
      </c>
      <c r="G575" s="4">
        <v>20250731</v>
      </c>
      <c r="H575" s="6" t="s">
        <v>30</v>
      </c>
      <c r="I575" s="8" t="s">
        <v>9</v>
      </c>
      <c r="J575" s="6" t="s">
        <v>181</v>
      </c>
      <c r="K575" t="s">
        <v>226</v>
      </c>
    </row>
    <row r="576" spans="1:11">
      <c r="A576" s="9">
        <v>481</v>
      </c>
      <c r="B576" s="9">
        <v>1010</v>
      </c>
      <c r="C576" s="3">
        <v>40000</v>
      </c>
      <c r="D576" s="3"/>
      <c r="E576" s="7">
        <v>40000</v>
      </c>
      <c r="F576" s="5">
        <v>45870</v>
      </c>
      <c r="G576" s="4">
        <v>20250731</v>
      </c>
      <c r="H576" s="6" t="s">
        <v>24</v>
      </c>
      <c r="I576" s="8" t="s">
        <v>9</v>
      </c>
      <c r="J576" s="6" t="s">
        <v>241</v>
      </c>
      <c r="K576" t="s">
        <v>226</v>
      </c>
    </row>
    <row r="577" spans="1:11">
      <c r="A577" s="9">
        <v>141</v>
      </c>
      <c r="B577" s="9">
        <v>1541</v>
      </c>
      <c r="C577" s="3">
        <v>100000</v>
      </c>
      <c r="D577" s="3"/>
      <c r="E577" s="7">
        <v>100000</v>
      </c>
      <c r="F577" s="5">
        <v>45870</v>
      </c>
      <c r="G577" s="4">
        <v>20250731</v>
      </c>
      <c r="H577" s="6" t="s">
        <v>24</v>
      </c>
      <c r="I577" s="8" t="s">
        <v>9</v>
      </c>
      <c r="J577" s="6" t="s">
        <v>242</v>
      </c>
      <c r="K577" t="s">
        <v>226</v>
      </c>
    </row>
    <row r="578" spans="1:11">
      <c r="A578" s="9">
        <v>1</v>
      </c>
      <c r="B578" s="9">
        <v>5000</v>
      </c>
      <c r="C578" s="3">
        <v>50000</v>
      </c>
      <c r="D578" s="3">
        <v>48800</v>
      </c>
      <c r="E578" s="7">
        <v>1200</v>
      </c>
      <c r="F578" s="5">
        <v>45870</v>
      </c>
      <c r="G578" s="4">
        <v>20250731</v>
      </c>
      <c r="H578" s="6" t="s">
        <v>24</v>
      </c>
      <c r="I578" s="8" t="s">
        <v>9</v>
      </c>
      <c r="J578" s="6" t="s">
        <v>243</v>
      </c>
      <c r="K578" t="s">
        <v>226</v>
      </c>
    </row>
    <row r="579" spans="1:11">
      <c r="A579" s="9">
        <v>852</v>
      </c>
      <c r="B579" s="9">
        <v>5050</v>
      </c>
      <c r="C579" s="3">
        <v>570000</v>
      </c>
      <c r="D579" s="3">
        <v>190000</v>
      </c>
      <c r="E579" s="7">
        <v>380000</v>
      </c>
      <c r="F579" s="5">
        <v>45870</v>
      </c>
      <c r="G579" s="4">
        <v>20250731</v>
      </c>
      <c r="H579" s="6" t="s">
        <v>24</v>
      </c>
      <c r="I579" s="8" t="s">
        <v>9</v>
      </c>
      <c r="J579" s="6" t="s">
        <v>244</v>
      </c>
      <c r="K579" t="s">
        <v>226</v>
      </c>
    </row>
    <row r="580" spans="1:11">
      <c r="A580" s="9">
        <v>291</v>
      </c>
      <c r="B580" s="9">
        <v>5114</v>
      </c>
      <c r="C580" s="3">
        <v>1920000</v>
      </c>
      <c r="D580" s="3">
        <v>1878300</v>
      </c>
      <c r="E580" s="7">
        <v>41700</v>
      </c>
      <c r="F580" s="5">
        <v>45870</v>
      </c>
      <c r="G580" s="4">
        <v>20250731</v>
      </c>
      <c r="H580" s="6" t="s">
        <v>24</v>
      </c>
      <c r="I580" s="8" t="s">
        <v>9</v>
      </c>
      <c r="J580" s="6" t="s">
        <v>245</v>
      </c>
      <c r="K580" t="s">
        <v>226</v>
      </c>
    </row>
    <row r="581" spans="1:11">
      <c r="A581" s="9">
        <v>541</v>
      </c>
      <c r="B581" s="9">
        <v>5185</v>
      </c>
      <c r="C581" s="3">
        <v>2225000</v>
      </c>
      <c r="D581" s="3"/>
      <c r="E581" s="7">
        <v>2225000</v>
      </c>
      <c r="F581" s="5">
        <v>45870</v>
      </c>
      <c r="G581" s="4">
        <v>20250731</v>
      </c>
      <c r="H581" s="6" t="s">
        <v>24</v>
      </c>
      <c r="I581" s="8" t="s">
        <v>9</v>
      </c>
      <c r="J581" s="6" t="s">
        <v>246</v>
      </c>
      <c r="K581" t="s">
        <v>226</v>
      </c>
    </row>
    <row r="582" spans="1:11">
      <c r="A582" s="9">
        <v>606</v>
      </c>
      <c r="B582" s="9">
        <v>5201</v>
      </c>
      <c r="C582" s="3">
        <v>2960000</v>
      </c>
      <c r="D582" s="3">
        <v>2543050</v>
      </c>
      <c r="E582" s="7">
        <v>416950</v>
      </c>
      <c r="F582" s="5">
        <v>45870</v>
      </c>
      <c r="G582" s="4">
        <v>20250731</v>
      </c>
      <c r="H582" s="6" t="s">
        <v>24</v>
      </c>
      <c r="I582" s="8" t="s">
        <v>9</v>
      </c>
      <c r="J582" s="6" t="s">
        <v>247</v>
      </c>
      <c r="K582" t="s">
        <v>226</v>
      </c>
    </row>
    <row r="583" spans="1:11">
      <c r="A583" s="9">
        <v>168</v>
      </c>
      <c r="B583" s="9">
        <v>5224</v>
      </c>
      <c r="C583" s="3">
        <v>1670100</v>
      </c>
      <c r="D583" s="3">
        <v>1670000</v>
      </c>
      <c r="E583" s="7">
        <v>100</v>
      </c>
      <c r="F583" s="5">
        <v>45870</v>
      </c>
      <c r="G583" s="4">
        <v>20250731</v>
      </c>
      <c r="H583" s="6" t="s">
        <v>24</v>
      </c>
      <c r="I583" s="8" t="s">
        <v>9</v>
      </c>
      <c r="J583" s="6" t="s">
        <v>248</v>
      </c>
      <c r="K583" t="s">
        <v>226</v>
      </c>
    </row>
    <row r="584" spans="1:11">
      <c r="A584" s="9">
        <v>571</v>
      </c>
      <c r="B584" s="9">
        <v>6150</v>
      </c>
      <c r="C584" s="3">
        <v>480000</v>
      </c>
      <c r="D584" s="3"/>
      <c r="E584" s="7">
        <v>480000</v>
      </c>
      <c r="F584" s="5">
        <v>45870</v>
      </c>
      <c r="G584" s="4">
        <v>20250731</v>
      </c>
      <c r="H584" s="6" t="s">
        <v>24</v>
      </c>
      <c r="I584" s="8" t="s">
        <v>9</v>
      </c>
      <c r="J584" s="6" t="s">
        <v>249</v>
      </c>
      <c r="K584" t="s">
        <v>226</v>
      </c>
    </row>
    <row r="585" spans="1:11">
      <c r="A585" s="9">
        <v>178</v>
      </c>
      <c r="B585" s="9">
        <v>6218</v>
      </c>
      <c r="C585" s="3">
        <v>400000</v>
      </c>
      <c r="D585" s="3"/>
      <c r="E585" s="7">
        <v>400000</v>
      </c>
      <c r="F585" s="5">
        <v>45870</v>
      </c>
      <c r="G585" s="4">
        <v>20250731</v>
      </c>
      <c r="H585" s="6" t="s">
        <v>24</v>
      </c>
      <c r="I585" s="8" t="s">
        <v>9</v>
      </c>
      <c r="J585" s="6" t="s">
        <v>189</v>
      </c>
      <c r="K585" t="s">
        <v>226</v>
      </c>
    </row>
    <row r="586" spans="1:11">
      <c r="A586" s="9">
        <v>477</v>
      </c>
      <c r="B586" s="9">
        <v>6251</v>
      </c>
      <c r="C586" s="3">
        <v>1492600</v>
      </c>
      <c r="D586" s="3">
        <v>1475000</v>
      </c>
      <c r="E586" s="7">
        <v>17600</v>
      </c>
      <c r="F586" s="5">
        <v>45870</v>
      </c>
      <c r="G586" s="4">
        <v>20250731</v>
      </c>
      <c r="H586" s="6" t="s">
        <v>24</v>
      </c>
      <c r="I586" s="8" t="s">
        <v>9</v>
      </c>
      <c r="J586" s="6" t="s">
        <v>250</v>
      </c>
      <c r="K586" t="s">
        <v>226</v>
      </c>
    </row>
    <row r="587" spans="1:11">
      <c r="A587" s="9">
        <v>812</v>
      </c>
      <c r="B587" s="9">
        <v>7613</v>
      </c>
      <c r="C587" s="3">
        <v>2460000</v>
      </c>
      <c r="D587" s="3"/>
      <c r="E587" s="7">
        <v>2460000</v>
      </c>
      <c r="F587" s="5">
        <v>45870</v>
      </c>
      <c r="G587" s="4">
        <v>20250731</v>
      </c>
      <c r="H587" s="6" t="s">
        <v>24</v>
      </c>
      <c r="I587" s="8" t="s">
        <v>9</v>
      </c>
      <c r="J587" s="6" t="s">
        <v>251</v>
      </c>
      <c r="K587" t="s">
        <v>226</v>
      </c>
    </row>
    <row r="588" spans="1:11">
      <c r="A588" s="9">
        <v>609</v>
      </c>
      <c r="B588" s="9">
        <v>7888</v>
      </c>
      <c r="C588" s="3">
        <v>1420000</v>
      </c>
      <c r="D588" s="3">
        <v>1385200</v>
      </c>
      <c r="E588" s="7">
        <v>34800</v>
      </c>
      <c r="F588" s="5">
        <v>45870</v>
      </c>
      <c r="G588" s="4">
        <v>20250731</v>
      </c>
      <c r="H588" s="6" t="s">
        <v>24</v>
      </c>
      <c r="I588" s="8" t="s">
        <v>9</v>
      </c>
      <c r="J588" s="6" t="s">
        <v>252</v>
      </c>
      <c r="K588" t="s">
        <v>226</v>
      </c>
    </row>
    <row r="589" spans="1:11">
      <c r="A589" s="9">
        <v>457</v>
      </c>
      <c r="B589" s="9">
        <v>9004</v>
      </c>
      <c r="C589" s="3">
        <v>100000</v>
      </c>
      <c r="D589" s="3">
        <v>50000</v>
      </c>
      <c r="E589" s="7">
        <v>50000</v>
      </c>
      <c r="F589" s="5">
        <v>45870</v>
      </c>
      <c r="G589" s="4">
        <v>20250731</v>
      </c>
      <c r="H589" s="6" t="s">
        <v>24</v>
      </c>
      <c r="I589" s="8" t="s">
        <v>9</v>
      </c>
      <c r="J589" s="6" t="s">
        <v>253</v>
      </c>
      <c r="K589" t="s">
        <v>226</v>
      </c>
    </row>
    <row r="590" spans="1:11">
      <c r="A590" s="9">
        <v>20</v>
      </c>
      <c r="B590" s="9">
        <v>9204</v>
      </c>
      <c r="C590" s="3">
        <v>1210000</v>
      </c>
      <c r="D590" s="3"/>
      <c r="E590" s="7">
        <v>1210000</v>
      </c>
      <c r="F590" s="5">
        <v>45870</v>
      </c>
      <c r="G590" s="4">
        <v>20250731</v>
      </c>
      <c r="H590" s="6" t="s">
        <v>24</v>
      </c>
      <c r="I590" s="8" t="s">
        <v>9</v>
      </c>
      <c r="J590" s="6" t="s">
        <v>254</v>
      </c>
      <c r="K590" t="s">
        <v>226</v>
      </c>
    </row>
    <row r="591" spans="1:11">
      <c r="A591" s="9">
        <v>551</v>
      </c>
      <c r="B591" s="9">
        <v>9644</v>
      </c>
      <c r="C591" s="3">
        <v>2620000</v>
      </c>
      <c r="D591" s="3"/>
      <c r="E591" s="7">
        <v>2620000</v>
      </c>
      <c r="F591" s="5">
        <v>45870</v>
      </c>
      <c r="G591" s="4">
        <v>20250731</v>
      </c>
      <c r="H591" s="6" t="s">
        <v>24</v>
      </c>
      <c r="I591" s="8" t="s">
        <v>9</v>
      </c>
      <c r="J591" s="6" t="s">
        <v>255</v>
      </c>
      <c r="K591" t="s">
        <v>226</v>
      </c>
    </row>
    <row r="592" spans="1:11">
      <c r="A592" s="9">
        <v>849</v>
      </c>
      <c r="B592" s="9">
        <v>9725</v>
      </c>
      <c r="C592" s="3">
        <v>740000</v>
      </c>
      <c r="D592" s="3"/>
      <c r="E592" s="7">
        <v>740000</v>
      </c>
      <c r="F592" s="5">
        <v>45870</v>
      </c>
      <c r="G592" s="4">
        <v>20250731</v>
      </c>
      <c r="H592" s="6" t="s">
        <v>24</v>
      </c>
      <c r="I592" s="8" t="s">
        <v>9</v>
      </c>
      <c r="J592" s="6" t="s">
        <v>256</v>
      </c>
      <c r="K592" t="s">
        <v>226</v>
      </c>
    </row>
    <row r="593" spans="1:11">
      <c r="A593" s="9">
        <v>536</v>
      </c>
      <c r="B593" s="9">
        <v>6927</v>
      </c>
      <c r="C593" s="3">
        <v>10000000</v>
      </c>
      <c r="D593" s="3"/>
      <c r="E593" s="7">
        <v>10000000</v>
      </c>
      <c r="F593" s="5">
        <v>45873</v>
      </c>
      <c r="G593" s="4">
        <v>20250728</v>
      </c>
      <c r="H593" s="6" t="s">
        <v>24</v>
      </c>
      <c r="I593" s="8" t="s">
        <v>257</v>
      </c>
      <c r="J593" s="6" t="s">
        <v>258</v>
      </c>
      <c r="K593" t="s">
        <v>226</v>
      </c>
    </row>
    <row r="594" spans="1:11">
      <c r="A594" s="9">
        <v>73</v>
      </c>
      <c r="B594" s="10">
        <v>5108</v>
      </c>
      <c r="C594" s="3">
        <v>100000</v>
      </c>
      <c r="D594" s="3">
        <v>100000</v>
      </c>
      <c r="E594" s="7">
        <f t="shared" ref="E594:E606" si="52">+C594-D594</f>
        <v>0</v>
      </c>
      <c r="F594" s="5">
        <v>45896</v>
      </c>
      <c r="G594" s="4">
        <v>20250826</v>
      </c>
      <c r="H594" s="6" t="str">
        <f>VLOOKUP(B594,CAJEROS!B:D,3,0)</f>
        <v>Multifuncional</v>
      </c>
      <c r="I594" s="8" t="s">
        <v>9</v>
      </c>
      <c r="J594" s="6" t="str">
        <f>VLOOKUP(B594,CAJEROS!B:E,4,0)</f>
        <v>MF_PEREIRA</v>
      </c>
    </row>
    <row r="595" spans="1:11">
      <c r="A595" s="9">
        <v>279</v>
      </c>
      <c r="B595" s="10">
        <v>5147</v>
      </c>
      <c r="C595" s="3">
        <v>2559000</v>
      </c>
      <c r="D595" s="3">
        <v>2559000</v>
      </c>
      <c r="E595" s="7">
        <f t="shared" si="52"/>
        <v>0</v>
      </c>
      <c r="F595" s="5">
        <v>45896</v>
      </c>
      <c r="G595" s="4">
        <v>20250826</v>
      </c>
      <c r="H595" s="6" t="str">
        <f>VLOOKUP(B595,CAJEROS!B:D,3,0)</f>
        <v>Multifuncional</v>
      </c>
      <c r="I595" s="8" t="s">
        <v>9</v>
      </c>
      <c r="J595" s="6" t="str">
        <f>VLOOKUP(B595,CAJEROS!B:E,4,0)</f>
        <v>MF_ITAGPARQ</v>
      </c>
    </row>
    <row r="596" spans="1:11">
      <c r="A596" s="9">
        <v>302</v>
      </c>
      <c r="B596" s="10">
        <v>5170</v>
      </c>
      <c r="C596" s="3">
        <v>1310000</v>
      </c>
      <c r="D596" s="3">
        <v>1310000</v>
      </c>
      <c r="E596" s="7">
        <f t="shared" si="52"/>
        <v>0</v>
      </c>
      <c r="F596" s="5">
        <v>45896</v>
      </c>
      <c r="G596" s="4">
        <v>20250826</v>
      </c>
      <c r="H596" s="6" t="str">
        <f>VLOOKUP(B596,CAJEROS!B:D,3,0)</f>
        <v>Multifuncional</v>
      </c>
      <c r="I596" s="8" t="s">
        <v>9</v>
      </c>
      <c r="J596" s="6" t="str">
        <f>VLOOKUP(B596,CAJEROS!B:E,4,0)</f>
        <v>MF_QUEBRASE</v>
      </c>
    </row>
    <row r="597" spans="1:11">
      <c r="A597" s="9">
        <v>253</v>
      </c>
      <c r="B597" s="10">
        <v>5176</v>
      </c>
      <c r="C597" s="3">
        <v>240000</v>
      </c>
      <c r="D597" s="3">
        <v>240000</v>
      </c>
      <c r="E597" s="7">
        <f t="shared" si="52"/>
        <v>0</v>
      </c>
      <c r="F597" s="5">
        <v>45896</v>
      </c>
      <c r="G597" s="4">
        <v>20250826</v>
      </c>
      <c r="H597" s="6" t="str">
        <f>VLOOKUP(B597,CAJEROS!B:D,3,0)</f>
        <v>Multifuncional</v>
      </c>
      <c r="I597" s="8" t="s">
        <v>9</v>
      </c>
      <c r="J597" s="6" t="str">
        <f>VLOOKUP(B597,CAJEROS!B:E,4,0)</f>
        <v>MF_SPTANORT</v>
      </c>
    </row>
    <row r="598" spans="1:11">
      <c r="A598" s="9">
        <v>793</v>
      </c>
      <c r="B598" s="10">
        <v>5216</v>
      </c>
      <c r="C598" s="3">
        <v>1391000</v>
      </c>
      <c r="D598" s="3">
        <v>1391000</v>
      </c>
      <c r="E598" s="7">
        <f t="shared" si="52"/>
        <v>0</v>
      </c>
      <c r="F598" s="5">
        <v>45895</v>
      </c>
      <c r="G598" s="4">
        <v>20250825</v>
      </c>
      <c r="H598" s="6" t="str">
        <f>VLOOKUP(B598,CAJEROS!B:D,3,0)</f>
        <v>Multifuncional</v>
      </c>
      <c r="I598" s="8" t="s">
        <v>9</v>
      </c>
      <c r="J598" s="6" t="str">
        <f>VLOOKUP(B598,CAJEROS!B:E,4,0)</f>
        <v>MF_PROFENAL</v>
      </c>
    </row>
    <row r="599" spans="1:11">
      <c r="A599" s="9">
        <v>337</v>
      </c>
      <c r="B599" s="10">
        <v>6253</v>
      </c>
      <c r="C599" s="3">
        <v>740000</v>
      </c>
      <c r="D599" s="3">
        <v>740000</v>
      </c>
      <c r="E599" s="7">
        <f t="shared" si="52"/>
        <v>0</v>
      </c>
      <c r="F599" s="5">
        <v>45896</v>
      </c>
      <c r="G599" s="4">
        <v>20250826</v>
      </c>
      <c r="H599" s="6" t="str">
        <f>VLOOKUP(B599,CAJEROS!B:D,3,0)</f>
        <v>Multifuncional</v>
      </c>
      <c r="I599" s="8" t="s">
        <v>9</v>
      </c>
      <c r="J599" s="6" t="str">
        <f>VLOOKUP(B599,CAJEROS!B:E,4,0)</f>
        <v>MF_CHIA</v>
      </c>
    </row>
    <row r="600" spans="1:11">
      <c r="A600" s="9">
        <v>379</v>
      </c>
      <c r="B600" s="10">
        <v>6465</v>
      </c>
      <c r="C600" s="3">
        <v>1430000</v>
      </c>
      <c r="D600" s="3">
        <v>1430000</v>
      </c>
      <c r="E600" s="7">
        <f t="shared" si="52"/>
        <v>0</v>
      </c>
      <c r="F600" s="5">
        <v>45896</v>
      </c>
      <c r="G600" s="4">
        <v>20250826</v>
      </c>
      <c r="H600" s="6" t="str">
        <f>VLOOKUP(B600,CAJEROS!B:D,3,0)</f>
        <v>Multifuncional</v>
      </c>
      <c r="I600" s="8" t="s">
        <v>9</v>
      </c>
      <c r="J600" s="6" t="str">
        <f>VLOOKUP(B600,CAJEROS!B:E,4,0)</f>
        <v>MF_SUCTESO1</v>
      </c>
    </row>
    <row r="601" spans="1:11">
      <c r="A601" s="9">
        <v>741</v>
      </c>
      <c r="B601" s="10">
        <v>6843</v>
      </c>
      <c r="C601" s="3">
        <v>830000</v>
      </c>
      <c r="D601" s="3">
        <v>830000</v>
      </c>
      <c r="E601" s="7">
        <f t="shared" si="52"/>
        <v>0</v>
      </c>
      <c r="F601" s="5">
        <v>45896</v>
      </c>
      <c r="G601" s="4">
        <v>20250826</v>
      </c>
      <c r="H601" s="6" t="str">
        <f>VLOOKUP(B601,CAJEROS!B:D,3,0)</f>
        <v>Multifuncional</v>
      </c>
      <c r="I601" s="8" t="s">
        <v>9</v>
      </c>
      <c r="J601" s="6" t="str">
        <f>VLOOKUP(B601,CAJEROS!B:E,4,0)</f>
        <v>MFSUC_IDEO1</v>
      </c>
    </row>
    <row r="602" spans="1:11">
      <c r="A602" s="9">
        <v>549</v>
      </c>
      <c r="B602" s="10">
        <v>7123</v>
      </c>
      <c r="C602" s="3">
        <v>1316000</v>
      </c>
      <c r="D602" s="3">
        <v>1316000</v>
      </c>
      <c r="E602" s="7">
        <f t="shared" si="52"/>
        <v>0</v>
      </c>
      <c r="F602" s="5">
        <v>45896</v>
      </c>
      <c r="G602" s="4">
        <v>20250826</v>
      </c>
      <c r="H602" s="6" t="str">
        <f>VLOOKUP(B602,CAJEROS!B:D,3,0)</f>
        <v>Multifuncional</v>
      </c>
      <c r="I602" s="8" t="s">
        <v>9</v>
      </c>
      <c r="J602" s="6" t="str">
        <f>VLOOKUP(B602,CAJEROS!B:E,4,0)</f>
        <v>MF_PLARIO2</v>
      </c>
    </row>
    <row r="603" spans="1:11">
      <c r="A603" s="9">
        <v>166</v>
      </c>
      <c r="B603" s="10">
        <v>7940</v>
      </c>
      <c r="C603" s="3">
        <v>2345000</v>
      </c>
      <c r="D603" s="3">
        <f>1455000+890000</f>
        <v>2345000</v>
      </c>
      <c r="E603" s="7">
        <f t="shared" si="52"/>
        <v>0</v>
      </c>
      <c r="F603" s="5">
        <v>45895</v>
      </c>
      <c r="G603" s="4">
        <v>20250825</v>
      </c>
      <c r="H603" s="6" t="str">
        <f>VLOOKUP(B603,CAJEROS!B:D,3,0)</f>
        <v>Multifuncional</v>
      </c>
      <c r="I603" s="8" t="s">
        <v>9</v>
      </c>
      <c r="J603" s="6" t="str">
        <f>VLOOKUP(B603,CAJEROS!B:E,4,0)</f>
        <v>MF_ALDELS22</v>
      </c>
    </row>
    <row r="604" spans="1:11">
      <c r="A604" s="9">
        <v>915</v>
      </c>
      <c r="B604" s="10">
        <v>8313</v>
      </c>
      <c r="C604" s="3">
        <v>200000</v>
      </c>
      <c r="D604" s="3">
        <v>200000</v>
      </c>
      <c r="E604" s="7">
        <f t="shared" si="52"/>
        <v>0</v>
      </c>
      <c r="F604" s="5">
        <v>45890</v>
      </c>
      <c r="G604" s="4">
        <v>20250820</v>
      </c>
      <c r="H604" s="6" t="str">
        <f>VLOOKUP(B604,CAJEROS!B:D,3,0)</f>
        <v>Multifuncional</v>
      </c>
      <c r="I604" s="8" t="s">
        <v>9</v>
      </c>
      <c r="J604" s="6" t="str">
        <f>VLOOKUP(B604,CAJEROS!B:E,4,0)</f>
        <v>MF_BANLABB1</v>
      </c>
    </row>
    <row r="605" spans="1:11">
      <c r="A605" s="9">
        <v>15</v>
      </c>
      <c r="B605" s="10">
        <v>8577</v>
      </c>
      <c r="C605" s="3">
        <v>510000</v>
      </c>
      <c r="D605" s="3">
        <v>510000</v>
      </c>
      <c r="E605" s="7">
        <f t="shared" si="52"/>
        <v>0</v>
      </c>
      <c r="F605" s="5">
        <v>45895</v>
      </c>
      <c r="G605" s="4">
        <v>20250825</v>
      </c>
      <c r="H605" s="6" t="str">
        <f>VLOOKUP(B605,CAJEROS!B:D,3,0)</f>
        <v>Multifuncional</v>
      </c>
      <c r="I605" s="8" t="s">
        <v>9</v>
      </c>
      <c r="J605" s="6" t="str">
        <f>VLOOKUP(B605,CAJEROS!B:E,4,0)</f>
        <v>MF_HITAGUI2</v>
      </c>
    </row>
    <row r="606" spans="1:11">
      <c r="A606" s="9">
        <v>541</v>
      </c>
      <c r="B606" s="10">
        <v>8660</v>
      </c>
      <c r="C606" s="3">
        <v>740000</v>
      </c>
      <c r="D606" s="3">
        <v>740000</v>
      </c>
      <c r="E606" s="7">
        <f t="shared" si="52"/>
        <v>0</v>
      </c>
      <c r="F606" s="5">
        <v>45896</v>
      </c>
      <c r="G606" s="4">
        <v>20250826</v>
      </c>
      <c r="H606" s="6" t="str">
        <f>VLOOKUP(B606,CAJEROS!B:D,3,0)</f>
        <v>Multifuncional</v>
      </c>
      <c r="I606" s="8" t="s">
        <v>9</v>
      </c>
      <c r="J606" s="6" t="str">
        <f>VLOOKUP(B606,CAJEROS!B:E,4,0)</f>
        <v>MF_SUCCALP2</v>
      </c>
    </row>
    <row r="607" spans="1:11">
      <c r="A607" s="9">
        <v>419</v>
      </c>
      <c r="B607" s="10">
        <v>7980</v>
      </c>
      <c r="C607" s="3">
        <v>1282000</v>
      </c>
      <c r="D607" s="3">
        <v>1282000</v>
      </c>
      <c r="E607" s="7">
        <v>0</v>
      </c>
      <c r="F607" s="5">
        <v>45891</v>
      </c>
      <c r="G607" s="4">
        <v>20250821</v>
      </c>
      <c r="H607" s="6" t="s">
        <v>24</v>
      </c>
      <c r="I607" s="8" t="s">
        <v>9</v>
      </c>
      <c r="J607" s="6" t="s">
        <v>113</v>
      </c>
    </row>
    <row r="608" spans="1:11">
      <c r="A608" s="9">
        <v>419</v>
      </c>
      <c r="B608" s="10">
        <v>7980</v>
      </c>
      <c r="C608" s="3">
        <v>1940000</v>
      </c>
      <c r="D608" s="3">
        <v>1940000</v>
      </c>
      <c r="E608" s="7">
        <v>0</v>
      </c>
      <c r="F608" s="5">
        <v>45894</v>
      </c>
      <c r="G608" s="4">
        <v>20250824</v>
      </c>
      <c r="H608" s="6" t="s">
        <v>24</v>
      </c>
      <c r="I608" s="8" t="s">
        <v>9</v>
      </c>
      <c r="J608" s="6" t="s">
        <v>113</v>
      </c>
    </row>
    <row r="609" spans="1:10">
      <c r="A609" s="9">
        <v>419</v>
      </c>
      <c r="B609" s="10">
        <v>7980</v>
      </c>
      <c r="C609" s="3">
        <v>370000</v>
      </c>
      <c r="D609" s="3">
        <v>370000</v>
      </c>
      <c r="E609" s="7">
        <v>0</v>
      </c>
      <c r="F609" s="5">
        <v>45896</v>
      </c>
      <c r="G609" s="4">
        <v>20250826</v>
      </c>
      <c r="H609" s="6" t="s">
        <v>24</v>
      </c>
      <c r="I609" s="8" t="s">
        <v>9</v>
      </c>
      <c r="J609" s="6" t="s">
        <v>113</v>
      </c>
    </row>
    <row r="610" spans="1:10">
      <c r="A610" s="9">
        <v>366</v>
      </c>
      <c r="B610" s="10">
        <v>5132</v>
      </c>
      <c r="C610" s="3">
        <v>2420000</v>
      </c>
      <c r="D610" s="3">
        <v>2420000</v>
      </c>
      <c r="E610" s="7">
        <v>0</v>
      </c>
      <c r="F610" s="5">
        <v>45894</v>
      </c>
      <c r="G610" s="4">
        <v>20250824</v>
      </c>
      <c r="H610" s="6" t="s">
        <v>24</v>
      </c>
      <c r="I610" s="8" t="s">
        <v>9</v>
      </c>
      <c r="J610" s="6" t="s">
        <v>259</v>
      </c>
    </row>
    <row r="611" spans="1:10">
      <c r="A611" s="9">
        <v>366</v>
      </c>
      <c r="B611" s="10">
        <v>5132</v>
      </c>
      <c r="C611" s="3">
        <v>170000</v>
      </c>
      <c r="D611" s="3">
        <v>170000</v>
      </c>
      <c r="E611" s="7">
        <v>0</v>
      </c>
      <c r="F611" s="5">
        <v>45895</v>
      </c>
      <c r="G611" s="4">
        <v>20250825</v>
      </c>
      <c r="H611" s="6" t="s">
        <v>24</v>
      </c>
      <c r="I611" s="8" t="s">
        <v>9</v>
      </c>
      <c r="J611" s="6" t="s">
        <v>259</v>
      </c>
    </row>
    <row r="612" spans="1:10">
      <c r="A612" s="9">
        <v>300</v>
      </c>
      <c r="B612" s="10">
        <v>5139</v>
      </c>
      <c r="C612" s="3">
        <v>590000</v>
      </c>
      <c r="D612" s="3">
        <v>590000</v>
      </c>
      <c r="E612" s="7">
        <f t="shared" ref="E612" si="53">+C612-D612</f>
        <v>0</v>
      </c>
      <c r="F612" s="5">
        <v>45891</v>
      </c>
      <c r="G612" s="4">
        <v>20250821</v>
      </c>
      <c r="H612" s="6" t="str">
        <f>VLOOKUP(B612,CAJEROS!B:D,3,0)</f>
        <v>Multifuncional</v>
      </c>
      <c r="I612" s="8" t="s">
        <v>9</v>
      </c>
      <c r="J612" s="6" t="str">
        <f>VLOOKUP(B612,CAJEROS!B:E,4,0)</f>
        <v>MF_AUTOP98</v>
      </c>
    </row>
    <row r="613" spans="1:10">
      <c r="A613" s="9">
        <v>690</v>
      </c>
      <c r="B613" s="10">
        <v>6180</v>
      </c>
      <c r="C613" s="3">
        <v>1710000</v>
      </c>
      <c r="D613" s="3">
        <v>1710000</v>
      </c>
      <c r="E613" s="7">
        <v>0</v>
      </c>
      <c r="F613" s="5">
        <v>45884</v>
      </c>
      <c r="G613" s="4">
        <v>20250814</v>
      </c>
      <c r="H613" s="6" t="s">
        <v>24</v>
      </c>
      <c r="I613" s="8" t="s">
        <v>9</v>
      </c>
      <c r="J613" s="6" t="s">
        <v>77</v>
      </c>
    </row>
    <row r="614" spans="1:10">
      <c r="A614" s="9">
        <v>690</v>
      </c>
      <c r="B614" s="10">
        <v>6180</v>
      </c>
      <c r="C614" s="3">
        <v>320000</v>
      </c>
      <c r="D614" s="3">
        <v>320000</v>
      </c>
      <c r="E614" s="7">
        <v>0</v>
      </c>
      <c r="F614" s="5">
        <v>45891</v>
      </c>
      <c r="G614" s="4">
        <v>20250821</v>
      </c>
      <c r="H614" s="6" t="s">
        <v>24</v>
      </c>
      <c r="I614" s="8" t="s">
        <v>9</v>
      </c>
      <c r="J614" s="6" t="s">
        <v>77</v>
      </c>
    </row>
    <row r="615" spans="1:10">
      <c r="A615" s="9">
        <v>609</v>
      </c>
      <c r="B615" s="10">
        <v>7888</v>
      </c>
      <c r="C615" s="3">
        <v>200000</v>
      </c>
      <c r="D615" s="3">
        <f>20000+180000</f>
        <v>200000</v>
      </c>
      <c r="E615" s="7">
        <f t="shared" ref="E615" si="54">+C615-D615</f>
        <v>0</v>
      </c>
      <c r="F615" s="5">
        <v>45894</v>
      </c>
      <c r="G615" s="4">
        <v>20250824</v>
      </c>
      <c r="H615" s="6" t="str">
        <f>VLOOKUP(B615,CAJEROS!B:D,3,0)</f>
        <v>Multifuncional</v>
      </c>
      <c r="I615" s="8" t="s">
        <v>9</v>
      </c>
      <c r="J615" s="6" t="str">
        <f>VLOOKUP(B615,CAJEROS!B:E,4,0)</f>
        <v>MFSUCABAST2</v>
      </c>
    </row>
    <row r="616" spans="1:10">
      <c r="A616" s="9">
        <v>372</v>
      </c>
      <c r="B616" s="9">
        <v>7917</v>
      </c>
      <c r="C616" s="3">
        <v>90000</v>
      </c>
      <c r="D616" s="3">
        <v>90000</v>
      </c>
      <c r="E616" s="7">
        <v>0</v>
      </c>
      <c r="F616" s="5">
        <v>45881</v>
      </c>
      <c r="G616" s="4">
        <v>20250811</v>
      </c>
      <c r="H616" s="6" t="s">
        <v>30</v>
      </c>
      <c r="I616" s="8" t="s">
        <v>9</v>
      </c>
      <c r="J616" s="6" t="s">
        <v>46</v>
      </c>
    </row>
    <row r="617" spans="1:10">
      <c r="A617" s="9">
        <v>229</v>
      </c>
      <c r="B617" s="10">
        <v>8957</v>
      </c>
      <c r="C617" s="3">
        <v>300000</v>
      </c>
      <c r="D617" s="3">
        <v>300000</v>
      </c>
      <c r="E617" s="7">
        <v>0</v>
      </c>
      <c r="F617" s="5">
        <v>45888</v>
      </c>
      <c r="G617" s="4">
        <v>20250818</v>
      </c>
      <c r="H617" s="6" t="s">
        <v>30</v>
      </c>
      <c r="I617" s="8" t="s">
        <v>9</v>
      </c>
      <c r="J617" s="6" t="s">
        <v>71</v>
      </c>
    </row>
    <row r="618" spans="1:10">
      <c r="A618" s="9">
        <v>335</v>
      </c>
      <c r="B618" s="10">
        <v>5741</v>
      </c>
      <c r="C618" s="3">
        <v>900000</v>
      </c>
      <c r="D618" s="3">
        <v>900000</v>
      </c>
      <c r="E618" s="7">
        <v>0</v>
      </c>
      <c r="F618" s="5">
        <v>45888</v>
      </c>
      <c r="G618" s="4">
        <v>20250818</v>
      </c>
      <c r="H618" s="6" t="s">
        <v>30</v>
      </c>
      <c r="I618" s="8" t="s">
        <v>9</v>
      </c>
      <c r="J618" s="6" t="s">
        <v>32</v>
      </c>
    </row>
    <row r="619" spans="1:10">
      <c r="A619" s="9">
        <v>229</v>
      </c>
      <c r="B619" s="10">
        <v>8956</v>
      </c>
      <c r="C619" s="3">
        <v>600000</v>
      </c>
      <c r="D619" s="3">
        <v>600000</v>
      </c>
      <c r="E619" s="7">
        <v>0</v>
      </c>
      <c r="F619" s="5">
        <v>45889</v>
      </c>
      <c r="G619" s="4">
        <v>20250819</v>
      </c>
      <c r="H619" s="6" t="s">
        <v>30</v>
      </c>
      <c r="I619" s="8" t="s">
        <v>9</v>
      </c>
      <c r="J619" s="6" t="s">
        <v>260</v>
      </c>
    </row>
    <row r="620" spans="1:10">
      <c r="A620" s="9">
        <v>240</v>
      </c>
      <c r="B620" s="10">
        <v>6372</v>
      </c>
      <c r="C620" s="3">
        <v>150000</v>
      </c>
      <c r="D620" s="3">
        <v>150000</v>
      </c>
      <c r="E620" s="7">
        <v>0</v>
      </c>
      <c r="F620" s="5">
        <v>45889</v>
      </c>
      <c r="G620" s="4">
        <v>20250819</v>
      </c>
      <c r="H620" s="6" t="s">
        <v>30</v>
      </c>
      <c r="I620" s="8" t="s">
        <v>9</v>
      </c>
      <c r="J620" s="6" t="s">
        <v>261</v>
      </c>
    </row>
    <row r="621" spans="1:10">
      <c r="A621" s="9">
        <v>864</v>
      </c>
      <c r="B621" s="10">
        <v>5795</v>
      </c>
      <c r="C621" s="3">
        <v>170000</v>
      </c>
      <c r="D621" s="3">
        <v>170000</v>
      </c>
      <c r="E621" s="7">
        <v>0</v>
      </c>
      <c r="F621" s="5">
        <v>45890</v>
      </c>
      <c r="G621" s="4">
        <v>20250820</v>
      </c>
      <c r="H621" s="6" t="s">
        <v>30</v>
      </c>
      <c r="I621" s="8" t="s">
        <v>9</v>
      </c>
      <c r="J621" s="6" t="s">
        <v>80</v>
      </c>
    </row>
    <row r="622" spans="1:10">
      <c r="A622" s="9">
        <v>372</v>
      </c>
      <c r="B622" s="10">
        <v>7917</v>
      </c>
      <c r="C622" s="3">
        <v>80000</v>
      </c>
      <c r="D622" s="3">
        <v>80000</v>
      </c>
      <c r="E622" s="7">
        <v>0</v>
      </c>
      <c r="F622" s="5">
        <v>45891</v>
      </c>
      <c r="G622" s="4">
        <v>20250821</v>
      </c>
      <c r="H622" s="6" t="s">
        <v>30</v>
      </c>
      <c r="I622" s="8" t="s">
        <v>9</v>
      </c>
      <c r="J622" s="6" t="s">
        <v>46</v>
      </c>
    </row>
    <row r="623" spans="1:10">
      <c r="A623" s="9">
        <v>153</v>
      </c>
      <c r="B623" s="10">
        <v>9882</v>
      </c>
      <c r="C623" s="3">
        <v>700000</v>
      </c>
      <c r="D623" s="3">
        <v>700000</v>
      </c>
      <c r="E623" s="7">
        <v>0</v>
      </c>
      <c r="F623" s="5">
        <v>45894</v>
      </c>
      <c r="G623" s="4">
        <v>20250824</v>
      </c>
      <c r="H623" s="6" t="s">
        <v>30</v>
      </c>
      <c r="I623" s="8" t="s">
        <v>9</v>
      </c>
      <c r="J623" s="6" t="s">
        <v>156</v>
      </c>
    </row>
    <row r="624" spans="1:10">
      <c r="A624" s="9">
        <v>229</v>
      </c>
      <c r="B624" s="10">
        <v>8957</v>
      </c>
      <c r="C624" s="3">
        <v>3280000</v>
      </c>
      <c r="D624" s="3">
        <v>3280000</v>
      </c>
      <c r="E624" s="7">
        <v>0</v>
      </c>
      <c r="F624" s="5">
        <v>45894</v>
      </c>
      <c r="G624" s="4">
        <v>20250824</v>
      </c>
      <c r="H624" s="6" t="s">
        <v>30</v>
      </c>
      <c r="I624" s="8" t="s">
        <v>9</v>
      </c>
      <c r="J624" s="6" t="s">
        <v>71</v>
      </c>
    </row>
    <row r="625" spans="1:10">
      <c r="A625" s="9">
        <v>153</v>
      </c>
      <c r="B625" s="10">
        <v>9879</v>
      </c>
      <c r="C625" s="3">
        <v>300000</v>
      </c>
      <c r="D625" s="3">
        <v>300000</v>
      </c>
      <c r="E625" s="7">
        <v>0</v>
      </c>
      <c r="F625" s="5">
        <v>45895</v>
      </c>
      <c r="G625" s="4">
        <v>20250825</v>
      </c>
      <c r="H625" s="6" t="s">
        <v>30</v>
      </c>
      <c r="I625" s="8" t="s">
        <v>9</v>
      </c>
      <c r="J625" s="6" t="s">
        <v>262</v>
      </c>
    </row>
    <row r="626" spans="1:10">
      <c r="A626" s="9">
        <v>153</v>
      </c>
      <c r="B626" s="10">
        <v>9881</v>
      </c>
      <c r="C626" s="3">
        <v>400000</v>
      </c>
      <c r="D626" s="3">
        <v>400000</v>
      </c>
      <c r="E626" s="7">
        <v>0</v>
      </c>
      <c r="F626" s="5">
        <v>45895</v>
      </c>
      <c r="G626" s="4">
        <v>20250825</v>
      </c>
      <c r="H626" s="6" t="s">
        <v>30</v>
      </c>
      <c r="I626" s="8" t="s">
        <v>9</v>
      </c>
      <c r="J626" s="6" t="s">
        <v>155</v>
      </c>
    </row>
    <row r="627" spans="1:10">
      <c r="A627" s="9">
        <v>153</v>
      </c>
      <c r="B627" s="10">
        <v>9882</v>
      </c>
      <c r="C627" s="3">
        <v>450000</v>
      </c>
      <c r="D627" s="3">
        <v>450000</v>
      </c>
      <c r="E627" s="7">
        <v>0</v>
      </c>
      <c r="F627" s="5">
        <v>45895</v>
      </c>
      <c r="G627" s="4">
        <v>20250825</v>
      </c>
      <c r="H627" s="6" t="s">
        <v>30</v>
      </c>
      <c r="I627" s="8" t="s">
        <v>9</v>
      </c>
      <c r="J627" s="6" t="s">
        <v>156</v>
      </c>
    </row>
    <row r="628" spans="1:10">
      <c r="A628" s="9">
        <v>372</v>
      </c>
      <c r="B628" s="10">
        <v>7917</v>
      </c>
      <c r="C628" s="3">
        <v>120000</v>
      </c>
      <c r="D628" s="3">
        <v>120000</v>
      </c>
      <c r="E628" s="7">
        <v>0</v>
      </c>
      <c r="F628" s="5">
        <v>45895</v>
      </c>
      <c r="G628" s="4">
        <v>20250825</v>
      </c>
      <c r="H628" s="6" t="s">
        <v>30</v>
      </c>
      <c r="I628" s="8" t="s">
        <v>9</v>
      </c>
      <c r="J628" s="6" t="s">
        <v>46</v>
      </c>
    </row>
    <row r="629" spans="1:10">
      <c r="A629" s="9">
        <v>229</v>
      </c>
      <c r="B629" s="10">
        <v>8956</v>
      </c>
      <c r="C629" s="3">
        <v>400000</v>
      </c>
      <c r="D629" s="3">
        <v>400000</v>
      </c>
      <c r="E629" s="7">
        <v>0</v>
      </c>
      <c r="F629" s="5">
        <v>45896</v>
      </c>
      <c r="G629" s="4">
        <v>20250826</v>
      </c>
      <c r="H629" s="6" t="s">
        <v>30</v>
      </c>
      <c r="I629" s="8" t="s">
        <v>9</v>
      </c>
      <c r="J629" s="6" t="s">
        <v>260</v>
      </c>
    </row>
    <row r="630" spans="1:10">
      <c r="A630" s="9">
        <v>481</v>
      </c>
      <c r="B630" s="10">
        <v>1011</v>
      </c>
      <c r="C630" s="3">
        <v>1504000</v>
      </c>
      <c r="D630" s="3">
        <f>840000+664000</f>
        <v>1504000</v>
      </c>
      <c r="E630" s="7">
        <f t="shared" ref="E630:E636" si="55">+C630-D630</f>
        <v>0</v>
      </c>
      <c r="F630" s="5">
        <v>45896</v>
      </c>
      <c r="G630" s="4">
        <v>20250826</v>
      </c>
      <c r="H630" s="6" t="str">
        <f>VLOOKUP(B630,CAJEROS!B:D,3,0)</f>
        <v>Multifuncional</v>
      </c>
      <c r="I630" s="8" t="s">
        <v>9</v>
      </c>
      <c r="J630" s="6" t="str">
        <f>VLOOKUP(B630,CAJEROS!B:E,4,0)</f>
        <v>MF_SOLEDAD2</v>
      </c>
    </row>
    <row r="631" spans="1:10">
      <c r="A631" s="9">
        <v>1</v>
      </c>
      <c r="B631" s="10">
        <v>5000</v>
      </c>
      <c r="C631" s="3">
        <v>55000</v>
      </c>
      <c r="D631" s="3">
        <v>55000</v>
      </c>
      <c r="E631" s="7">
        <f t="shared" si="55"/>
        <v>0</v>
      </c>
      <c r="F631" s="5">
        <v>45897</v>
      </c>
      <c r="G631" s="4">
        <v>20250827</v>
      </c>
      <c r="H631" s="6" t="str">
        <f>VLOOKUP(B631,CAJEROS!B:D,3,0)</f>
        <v>Multifuncional</v>
      </c>
      <c r="I631" s="8" t="s">
        <v>9</v>
      </c>
      <c r="J631" s="6" t="str">
        <f>VLOOKUP(B631,CAJEROS!B:E,4,0)</f>
        <v>MF_CARABOBO</v>
      </c>
    </row>
    <row r="632" spans="1:10">
      <c r="A632" s="9">
        <v>907</v>
      </c>
      <c r="B632" s="10">
        <v>5019</v>
      </c>
      <c r="C632" s="3">
        <v>916700</v>
      </c>
      <c r="D632" s="3">
        <v>916700</v>
      </c>
      <c r="E632" s="7">
        <f t="shared" si="55"/>
        <v>0</v>
      </c>
      <c r="F632" s="5">
        <v>45897</v>
      </c>
      <c r="G632" s="4">
        <v>20250827</v>
      </c>
      <c r="H632" s="6" t="str">
        <f>VLOOKUP(B632,CAJEROS!B:D,3,0)</f>
        <v>Multifuncional</v>
      </c>
      <c r="I632" s="8" t="s">
        <v>9</v>
      </c>
      <c r="J632" s="6" t="str">
        <f>VLOOKUP(B632,CAJEROS!B:E,4,0)</f>
        <v>MF_FRONTERA</v>
      </c>
    </row>
    <row r="633" spans="1:10">
      <c r="A633" s="9">
        <v>907</v>
      </c>
      <c r="B633" s="10">
        <v>5019</v>
      </c>
      <c r="C633" s="3">
        <v>1045000</v>
      </c>
      <c r="D633" s="3">
        <v>1045000</v>
      </c>
      <c r="E633" s="7">
        <f t="shared" si="55"/>
        <v>0</v>
      </c>
      <c r="F633" s="5">
        <v>45895</v>
      </c>
      <c r="G633" s="4">
        <v>20250825</v>
      </c>
      <c r="H633" s="6" t="str">
        <f>VLOOKUP(B633,CAJEROS!B:D,3,0)</f>
        <v>Multifuncional</v>
      </c>
      <c r="I633" s="8" t="s">
        <v>9</v>
      </c>
      <c r="J633" s="6" t="str">
        <f>VLOOKUP(B633,CAJEROS!B:E,4,0)</f>
        <v>MF_FRONTERA</v>
      </c>
    </row>
    <row r="634" spans="1:10">
      <c r="A634" s="9">
        <v>623</v>
      </c>
      <c r="B634" s="10">
        <v>5047</v>
      </c>
      <c r="C634" s="3">
        <v>970000</v>
      </c>
      <c r="D634" s="3">
        <v>970000</v>
      </c>
      <c r="E634" s="7">
        <f t="shared" si="55"/>
        <v>0</v>
      </c>
      <c r="F634" s="5">
        <v>45897</v>
      </c>
      <c r="G634" s="4">
        <v>20250827</v>
      </c>
      <c r="H634" s="6" t="str">
        <f>VLOOKUP(B634,CAJEROS!B:D,3,0)</f>
        <v>Multifuncional</v>
      </c>
      <c r="I634" s="8" t="s">
        <v>9</v>
      </c>
      <c r="J634" s="6" t="str">
        <f>VLOOKUP(B634,CAJEROS!B:E,4,0)</f>
        <v>MF_FMANIZAL</v>
      </c>
    </row>
    <row r="635" spans="1:10">
      <c r="A635" s="9">
        <v>261</v>
      </c>
      <c r="B635" s="10">
        <v>5048</v>
      </c>
      <c r="C635" s="3">
        <v>184300</v>
      </c>
      <c r="D635" s="3">
        <v>184300</v>
      </c>
      <c r="E635" s="7">
        <f t="shared" si="55"/>
        <v>0</v>
      </c>
      <c r="F635" s="5">
        <v>45897</v>
      </c>
      <c r="G635" s="4">
        <v>20250827</v>
      </c>
      <c r="H635" s="6" t="str">
        <f>VLOOKUP(B635,CAJEROS!B:D,3,0)</f>
        <v>Multifuncional</v>
      </c>
      <c r="I635" s="8" t="s">
        <v>9</v>
      </c>
      <c r="J635" s="6" t="str">
        <f>VLOOKUP(B635,CAJEROS!B:E,4,0)</f>
        <v>MF_CAMPANA</v>
      </c>
    </row>
    <row r="636" spans="1:10">
      <c r="A636" s="9">
        <v>523</v>
      </c>
      <c r="B636" s="10">
        <v>5082</v>
      </c>
      <c r="C636" s="3">
        <v>920000</v>
      </c>
      <c r="D636" s="3">
        <v>920000</v>
      </c>
      <c r="E636" s="7">
        <f t="shared" si="55"/>
        <v>0</v>
      </c>
      <c r="F636" s="5">
        <v>45897</v>
      </c>
      <c r="G636" s="4">
        <v>20250827</v>
      </c>
      <c r="H636" s="6" t="str">
        <f>VLOOKUP(B636,CAJEROS!B:D,3,0)</f>
        <v>Multifuncional</v>
      </c>
      <c r="I636" s="8" t="s">
        <v>9</v>
      </c>
      <c r="J636" s="6" t="str">
        <f>VLOOKUP(B636,CAJEROS!B:E,4,0)</f>
        <v>MF_OVALLEDU</v>
      </c>
    </row>
    <row r="637" spans="1:10">
      <c r="A637" s="9">
        <v>937</v>
      </c>
      <c r="B637" s="10">
        <v>5115</v>
      </c>
      <c r="C637" s="3">
        <v>500000</v>
      </c>
      <c r="D637" s="3">
        <v>500000</v>
      </c>
      <c r="E637" s="7">
        <v>0</v>
      </c>
      <c r="F637" s="5">
        <v>45896</v>
      </c>
      <c r="G637" s="4">
        <v>20250826</v>
      </c>
      <c r="H637" s="6" t="s">
        <v>24</v>
      </c>
      <c r="I637" s="8" t="s">
        <v>9</v>
      </c>
      <c r="J637" s="6" t="s">
        <v>164</v>
      </c>
    </row>
    <row r="638" spans="1:10">
      <c r="A638" s="9">
        <v>937</v>
      </c>
      <c r="B638" s="10">
        <v>5115</v>
      </c>
      <c r="C638" s="3">
        <v>420000</v>
      </c>
      <c r="D638" s="3">
        <v>420000</v>
      </c>
      <c r="E638" s="7">
        <v>0</v>
      </c>
      <c r="F638" s="5">
        <v>45897</v>
      </c>
      <c r="G638" s="4">
        <v>20250827</v>
      </c>
      <c r="H638" s="6" t="s">
        <v>24</v>
      </c>
      <c r="I638" s="8" t="s">
        <v>9</v>
      </c>
      <c r="J638" s="6" t="s">
        <v>164</v>
      </c>
    </row>
    <row r="639" spans="1:10">
      <c r="A639" s="9">
        <v>806</v>
      </c>
      <c r="B639" s="10">
        <v>5156</v>
      </c>
      <c r="C639" s="3">
        <v>614800</v>
      </c>
      <c r="D639" s="3">
        <v>614800</v>
      </c>
      <c r="E639" s="7">
        <f t="shared" ref="E639:E650" si="56">+C639-D639</f>
        <v>0</v>
      </c>
      <c r="F639" s="5">
        <v>45897</v>
      </c>
      <c r="G639" s="4">
        <v>20250827</v>
      </c>
      <c r="H639" s="6" t="str">
        <f>VLOOKUP(B639,CAJEROS!B:D,3,0)</f>
        <v>Multifuncional</v>
      </c>
      <c r="I639" s="8" t="s">
        <v>9</v>
      </c>
      <c r="J639" s="6" t="str">
        <f>VLOOKUP(B639,CAJEROS!B:E,4,0)</f>
        <v>MF_ALZACIA</v>
      </c>
    </row>
    <row r="640" spans="1:10">
      <c r="A640" s="9">
        <v>250</v>
      </c>
      <c r="B640" s="10">
        <v>5197</v>
      </c>
      <c r="C640" s="3">
        <v>685000</v>
      </c>
      <c r="D640" s="3">
        <v>685000</v>
      </c>
      <c r="E640" s="7">
        <f t="shared" si="56"/>
        <v>0</v>
      </c>
      <c r="F640" s="5">
        <v>45897</v>
      </c>
      <c r="G640" s="4">
        <v>20250827</v>
      </c>
      <c r="H640" s="6" t="str">
        <f>VLOOKUP(B640,CAJEROS!B:D,3,0)</f>
        <v>Multifuncional</v>
      </c>
      <c r="I640" s="8" t="s">
        <v>9</v>
      </c>
      <c r="J640" s="6" t="str">
        <f>VLOOKUP(B640,CAJEROS!B:E,4,0)</f>
        <v>MF_MODELIA</v>
      </c>
    </row>
    <row r="641" spans="1:10">
      <c r="A641" s="9">
        <v>678</v>
      </c>
      <c r="B641" s="10">
        <v>5227</v>
      </c>
      <c r="C641" s="3">
        <v>2435000</v>
      </c>
      <c r="D641" s="3">
        <v>2435000</v>
      </c>
      <c r="E641" s="7">
        <f t="shared" si="56"/>
        <v>0</v>
      </c>
      <c r="F641" s="5">
        <v>45890</v>
      </c>
      <c r="G641" s="4">
        <v>20250820</v>
      </c>
      <c r="H641" s="6" t="str">
        <f>VLOOKUP(B641,CAJEROS!B:D,3,0)</f>
        <v>Multifuncional</v>
      </c>
      <c r="I641" s="8" t="s">
        <v>9</v>
      </c>
      <c r="J641" s="6" t="str">
        <f>VLOOKUP(B641,CAJEROS!B:E,4,0)</f>
        <v>MF_PASCASTE</v>
      </c>
    </row>
    <row r="642" spans="1:10">
      <c r="A642" s="9">
        <v>524</v>
      </c>
      <c r="B642" s="10">
        <v>6336</v>
      </c>
      <c r="C642" s="3">
        <v>42250</v>
      </c>
      <c r="D642" s="3">
        <v>42250</v>
      </c>
      <c r="E642" s="7">
        <f t="shared" si="56"/>
        <v>0</v>
      </c>
      <c r="F642" s="5">
        <v>45897</v>
      </c>
      <c r="G642" s="4">
        <v>20250827</v>
      </c>
      <c r="H642" s="6" t="str">
        <f>VLOOKUP(B642,CAJEROS!B:D,3,0)</f>
        <v>Multifuncional</v>
      </c>
      <c r="I642" s="8" t="s">
        <v>9</v>
      </c>
      <c r="J642" s="6" t="str">
        <f>VLOOKUP(B642,CAJEROS!B:E,4,0)</f>
        <v>MF_VALLEDUP</v>
      </c>
    </row>
    <row r="643" spans="1:10">
      <c r="A643" s="9">
        <v>796</v>
      </c>
      <c r="B643" s="10">
        <v>6911</v>
      </c>
      <c r="C643" s="3">
        <v>40000</v>
      </c>
      <c r="D643" s="3">
        <v>40000</v>
      </c>
      <c r="E643" s="7">
        <f t="shared" si="56"/>
        <v>0</v>
      </c>
      <c r="F643" s="5">
        <v>45897</v>
      </c>
      <c r="G643" s="4">
        <v>20250827</v>
      </c>
      <c r="H643" s="6" t="str">
        <f>VLOOKUP(B643,CAJEROS!B:D,3,0)</f>
        <v>Multifuncional</v>
      </c>
      <c r="I643" s="8" t="s">
        <v>9</v>
      </c>
      <c r="J643" s="6" t="str">
        <f>VLOOKUP(B643,CAJEROS!B:E,4,0)</f>
        <v>MF_GIRON</v>
      </c>
    </row>
    <row r="644" spans="1:10">
      <c r="A644" s="9">
        <v>193</v>
      </c>
      <c r="B644" s="10">
        <v>8537</v>
      </c>
      <c r="C644" s="3">
        <v>200000</v>
      </c>
      <c r="D644" s="3">
        <v>200000</v>
      </c>
      <c r="E644" s="7">
        <f t="shared" si="56"/>
        <v>0</v>
      </c>
      <c r="F644" s="5">
        <v>45897</v>
      </c>
      <c r="G644" s="4">
        <v>20250827</v>
      </c>
      <c r="H644" s="6" t="str">
        <f>VLOOKUP(B644,CAJEROS!B:D,3,0)</f>
        <v>Multifuncional</v>
      </c>
      <c r="I644" s="8" t="s">
        <v>9</v>
      </c>
      <c r="J644" s="6" t="str">
        <f>VLOOKUP(B644,CAJEROS!B:E,4,0)</f>
        <v>MF_HSUCFIC1</v>
      </c>
    </row>
    <row r="645" spans="1:10">
      <c r="A645" s="9">
        <v>4</v>
      </c>
      <c r="B645" s="10">
        <v>8630</v>
      </c>
      <c r="C645" s="3">
        <v>53000</v>
      </c>
      <c r="D645" s="3">
        <v>53000</v>
      </c>
      <c r="E645" s="7">
        <f t="shared" si="56"/>
        <v>0</v>
      </c>
      <c r="F645" s="5">
        <v>45897</v>
      </c>
      <c r="G645" s="4">
        <v>20250827</v>
      </c>
      <c r="H645" s="6" t="str">
        <f>VLOOKUP(B645,CAJEROS!B:D,3,0)</f>
        <v>Multifuncional</v>
      </c>
      <c r="I645" s="8" t="s">
        <v>9</v>
      </c>
      <c r="J645" s="6" t="str">
        <f>VLOOKUP(B645,CAJEROS!B:E,4,0)</f>
        <v>MF_SUCLAUR1</v>
      </c>
    </row>
    <row r="646" spans="1:10">
      <c r="A646" s="9">
        <v>348</v>
      </c>
      <c r="B646" s="10">
        <v>9009</v>
      </c>
      <c r="C646" s="3">
        <v>1872000</v>
      </c>
      <c r="D646" s="3">
        <v>1872000</v>
      </c>
      <c r="E646" s="7">
        <f t="shared" si="56"/>
        <v>0</v>
      </c>
      <c r="F646" s="5">
        <v>45897</v>
      </c>
      <c r="G646" s="4">
        <v>20250827</v>
      </c>
      <c r="H646" s="6" t="str">
        <f>VLOOKUP(B646,CAJEROS!B:D,3,0)</f>
        <v>Multifuncional</v>
      </c>
      <c r="I646" s="8" t="s">
        <v>9</v>
      </c>
      <c r="J646" s="6" t="str">
        <f>VLOOKUP(B646,CAJEROS!B:E,4,0)</f>
        <v>MF_SANDRES2</v>
      </c>
    </row>
    <row r="647" spans="1:10">
      <c r="A647" s="9">
        <v>467</v>
      </c>
      <c r="B647" s="10">
        <v>9051</v>
      </c>
      <c r="C647" s="3">
        <v>1781550</v>
      </c>
      <c r="D647" s="3">
        <f>1470000+311550</f>
        <v>1781550</v>
      </c>
      <c r="E647" s="7">
        <f t="shared" si="56"/>
        <v>0</v>
      </c>
      <c r="F647" s="5">
        <v>45896</v>
      </c>
      <c r="G647" s="4">
        <v>20250826</v>
      </c>
      <c r="H647" s="6" t="str">
        <f>VLOOKUP(B647,CAJEROS!B:D,3,0)</f>
        <v>Multifuncional</v>
      </c>
      <c r="I647" s="8" t="s">
        <v>9</v>
      </c>
      <c r="J647" s="6" t="str">
        <f>VLOOKUP(B647,CAJEROS!B:E,4,0)</f>
        <v>MFHDVERPLZ1</v>
      </c>
    </row>
    <row r="648" spans="1:10">
      <c r="A648" s="9">
        <v>467</v>
      </c>
      <c r="B648" s="10">
        <v>9052</v>
      </c>
      <c r="C648" s="3">
        <v>160000</v>
      </c>
      <c r="D648" s="3">
        <v>160000</v>
      </c>
      <c r="E648" s="7">
        <f t="shared" si="56"/>
        <v>0</v>
      </c>
      <c r="F648" s="5">
        <v>45897</v>
      </c>
      <c r="G648" s="4">
        <v>20250827</v>
      </c>
      <c r="H648" s="6" t="str">
        <f>VLOOKUP(B648,CAJEROS!B:D,3,0)</f>
        <v>Multifuncional</v>
      </c>
      <c r="I648" s="8" t="s">
        <v>9</v>
      </c>
      <c r="J648" s="6" t="str">
        <f>VLOOKUP(B648,CAJEROS!B:E,4,0)</f>
        <v>MFHDVERPLZ2</v>
      </c>
    </row>
    <row r="649" spans="1:10">
      <c r="A649" s="9">
        <v>229</v>
      </c>
      <c r="B649" s="10">
        <v>9604</v>
      </c>
      <c r="C649" s="3">
        <v>90000</v>
      </c>
      <c r="D649" s="3">
        <v>90000</v>
      </c>
      <c r="E649" s="7">
        <f t="shared" si="56"/>
        <v>0</v>
      </c>
      <c r="F649" s="5">
        <v>45897</v>
      </c>
      <c r="G649" s="4">
        <v>20250827</v>
      </c>
      <c r="H649" s="6" t="str">
        <f>VLOOKUP(B649,CAJEROS!B:D,3,0)</f>
        <v>Multifuncional</v>
      </c>
      <c r="I649" s="8" t="s">
        <v>9</v>
      </c>
      <c r="J649" s="6" t="str">
        <f>VLOOKUP(B649,CAJEROS!B:E,4,0)</f>
        <v>MFSUCPASER1</v>
      </c>
    </row>
    <row r="650" spans="1:10">
      <c r="A650" s="9">
        <v>876</v>
      </c>
      <c r="B650" s="10">
        <v>9682</v>
      </c>
      <c r="C650" s="3">
        <v>2420000</v>
      </c>
      <c r="D650" s="3">
        <f>1800000+620000</f>
        <v>2420000</v>
      </c>
      <c r="E650" s="7">
        <f t="shared" si="56"/>
        <v>0</v>
      </c>
      <c r="F650" s="5">
        <v>45896</v>
      </c>
      <c r="G650" s="4">
        <v>20250826</v>
      </c>
      <c r="H650" s="6" t="str">
        <f>VLOOKUP(B650,CAJEROS!B:D,3,0)</f>
        <v>Multifuncional</v>
      </c>
      <c r="I650" s="8" t="s">
        <v>9</v>
      </c>
      <c r="J650" s="6" t="str">
        <f>VLOOKUP(B650,CAJEROS!B:E,4,0)</f>
        <v>MF_VILCAM1</v>
      </c>
    </row>
    <row r="651" spans="1:10">
      <c r="A651" s="9">
        <v>115</v>
      </c>
      <c r="B651" s="10">
        <v>5080</v>
      </c>
      <c r="C651" s="3">
        <v>1780000</v>
      </c>
      <c r="D651" s="3">
        <v>1780000</v>
      </c>
      <c r="E651" s="7">
        <v>0</v>
      </c>
      <c r="F651" s="5">
        <v>45891</v>
      </c>
      <c r="G651" s="4">
        <v>20250821</v>
      </c>
      <c r="H651" s="6" t="s">
        <v>24</v>
      </c>
      <c r="I651" s="8" t="s">
        <v>9</v>
      </c>
      <c r="J651" s="6" t="s">
        <v>263</v>
      </c>
    </row>
    <row r="652" spans="1:10">
      <c r="A652" s="9">
        <v>115</v>
      </c>
      <c r="B652" s="10">
        <v>5080</v>
      </c>
      <c r="C652" s="3">
        <v>910000</v>
      </c>
      <c r="D652" s="3">
        <v>910000</v>
      </c>
      <c r="E652" s="7">
        <v>0</v>
      </c>
      <c r="F652" s="5">
        <v>45896</v>
      </c>
      <c r="G652" s="4">
        <v>20250826</v>
      </c>
      <c r="H652" s="6" t="s">
        <v>24</v>
      </c>
      <c r="I652" s="8" t="s">
        <v>9</v>
      </c>
      <c r="J652" s="6" t="s">
        <v>263</v>
      </c>
    </row>
    <row r="653" spans="1:10">
      <c r="A653" s="9">
        <v>816</v>
      </c>
      <c r="B653" s="10">
        <v>5205</v>
      </c>
      <c r="C653" s="3">
        <v>2045400</v>
      </c>
      <c r="D653" s="3">
        <v>2045400</v>
      </c>
      <c r="E653" s="7">
        <v>0</v>
      </c>
      <c r="F653" s="5">
        <v>45894</v>
      </c>
      <c r="G653" s="4">
        <v>20250824</v>
      </c>
      <c r="H653" s="6" t="s">
        <v>24</v>
      </c>
      <c r="I653" s="8" t="s">
        <v>9</v>
      </c>
      <c r="J653" s="6" t="s">
        <v>264</v>
      </c>
    </row>
    <row r="654" spans="1:10">
      <c r="A654" s="9">
        <v>816</v>
      </c>
      <c r="B654" s="10">
        <v>5205</v>
      </c>
      <c r="C654" s="3">
        <v>705000</v>
      </c>
      <c r="D654" s="3">
        <v>705000</v>
      </c>
      <c r="E654" s="7">
        <v>0</v>
      </c>
      <c r="F654" s="5">
        <v>45895</v>
      </c>
      <c r="G654" s="4">
        <v>20250825</v>
      </c>
      <c r="H654" s="6" t="s">
        <v>24</v>
      </c>
      <c r="I654" s="8" t="s">
        <v>9</v>
      </c>
      <c r="J654" s="6" t="s">
        <v>264</v>
      </c>
    </row>
    <row r="655" spans="1:10">
      <c r="A655" s="9">
        <v>769</v>
      </c>
      <c r="B655" s="10">
        <v>5051</v>
      </c>
      <c r="C655" s="3">
        <v>1400700</v>
      </c>
      <c r="D655" s="3">
        <v>1400700</v>
      </c>
      <c r="E655" s="7">
        <f t="shared" ref="E655:E656" si="57">+C655-D655</f>
        <v>0</v>
      </c>
      <c r="F655" s="5">
        <v>45898</v>
      </c>
      <c r="G655" s="4">
        <v>20250828</v>
      </c>
      <c r="H655" s="6" t="str">
        <f>VLOOKUP(B655,CAJEROS!B:D,3,0)</f>
        <v>Multifuncional</v>
      </c>
      <c r="I655" s="8" t="s">
        <v>9</v>
      </c>
      <c r="J655" s="6" t="str">
        <f>VLOOKUP(B655,CAJEROS!B:E,4,0)</f>
        <v>MF_SUCPPRA2</v>
      </c>
    </row>
    <row r="656" spans="1:10">
      <c r="A656" s="9">
        <v>634</v>
      </c>
      <c r="B656" s="10">
        <v>5087</v>
      </c>
      <c r="C656" s="3">
        <v>2900000</v>
      </c>
      <c r="D656" s="3">
        <f>90000+2810000</f>
        <v>2900000</v>
      </c>
      <c r="E656" s="7">
        <f t="shared" si="57"/>
        <v>0</v>
      </c>
      <c r="F656" s="5">
        <v>45891</v>
      </c>
      <c r="G656" s="4">
        <v>20250821</v>
      </c>
      <c r="H656" s="6" t="str">
        <f>VLOOKUP(B656,CAJEROS!B:D,3,0)</f>
        <v>Multifuncional</v>
      </c>
      <c r="I656" s="8" t="s">
        <v>9</v>
      </c>
      <c r="J656" s="6" t="str">
        <f>VLOOKUP(B656,CAJEROS!B:E,4,0)</f>
        <v>MF_AVENI127</v>
      </c>
    </row>
    <row r="657" spans="1:10">
      <c r="A657" s="9">
        <v>291</v>
      </c>
      <c r="B657" s="9">
        <v>5114</v>
      </c>
      <c r="C657" s="3">
        <v>920000</v>
      </c>
      <c r="D657" s="3">
        <v>920000</v>
      </c>
      <c r="E657" s="7">
        <v>0</v>
      </c>
      <c r="F657" s="5">
        <v>45881</v>
      </c>
      <c r="G657" s="4">
        <v>20250811</v>
      </c>
      <c r="H657" s="6" t="s">
        <v>24</v>
      </c>
      <c r="I657" s="8" t="s">
        <v>9</v>
      </c>
      <c r="J657" s="6" t="s">
        <v>245</v>
      </c>
    </row>
    <row r="658" spans="1:10">
      <c r="A658" s="9">
        <v>291</v>
      </c>
      <c r="B658" s="10">
        <v>5114</v>
      </c>
      <c r="C658" s="3">
        <v>2050000</v>
      </c>
      <c r="D658" s="3">
        <v>2050000</v>
      </c>
      <c r="E658" s="7">
        <v>0</v>
      </c>
      <c r="F658" s="5">
        <v>45884</v>
      </c>
      <c r="G658" s="4">
        <v>20250814</v>
      </c>
      <c r="H658" s="6" t="s">
        <v>24</v>
      </c>
      <c r="I658" s="8" t="s">
        <v>9</v>
      </c>
      <c r="J658" s="6" t="s">
        <v>245</v>
      </c>
    </row>
    <row r="659" spans="1:10">
      <c r="A659" s="9">
        <v>291</v>
      </c>
      <c r="B659" s="10">
        <v>5114</v>
      </c>
      <c r="C659" s="3">
        <v>2215000</v>
      </c>
      <c r="D659" s="3">
        <v>2215000</v>
      </c>
      <c r="E659" s="7">
        <v>0</v>
      </c>
      <c r="F659" s="5">
        <v>45890</v>
      </c>
      <c r="G659" s="4">
        <v>20250820</v>
      </c>
      <c r="H659" s="6" t="s">
        <v>24</v>
      </c>
      <c r="I659" s="8" t="s">
        <v>9</v>
      </c>
      <c r="J659" s="6" t="s">
        <v>245</v>
      </c>
    </row>
    <row r="660" spans="1:10">
      <c r="A660" s="9">
        <v>291</v>
      </c>
      <c r="B660" s="10">
        <v>5114</v>
      </c>
      <c r="C660" s="3">
        <v>2170000</v>
      </c>
      <c r="D660" s="3">
        <v>2170000</v>
      </c>
      <c r="E660" s="7">
        <v>0</v>
      </c>
      <c r="F660" s="5">
        <v>45896</v>
      </c>
      <c r="G660" s="4">
        <v>20250826</v>
      </c>
      <c r="H660" s="6" t="s">
        <v>24</v>
      </c>
      <c r="I660" s="8" t="s">
        <v>9</v>
      </c>
      <c r="J660" s="6" t="s">
        <v>245</v>
      </c>
    </row>
    <row r="661" spans="1:10">
      <c r="A661" s="9">
        <v>291</v>
      </c>
      <c r="B661" s="10">
        <v>5114</v>
      </c>
      <c r="C661" s="3">
        <v>1180000</v>
      </c>
      <c r="D661" s="3">
        <v>1180000</v>
      </c>
      <c r="E661" s="7">
        <v>0</v>
      </c>
      <c r="F661" s="5">
        <v>45898</v>
      </c>
      <c r="G661" s="4">
        <v>20250828</v>
      </c>
      <c r="H661" s="6" t="s">
        <v>24</v>
      </c>
      <c r="I661" s="8" t="s">
        <v>9</v>
      </c>
      <c r="J661" s="6" t="s">
        <v>245</v>
      </c>
    </row>
    <row r="662" spans="1:10">
      <c r="A662" s="9">
        <v>941</v>
      </c>
      <c r="B662" s="10">
        <v>5220</v>
      </c>
      <c r="C662" s="3">
        <v>2780700</v>
      </c>
      <c r="D662" s="3">
        <v>2780700</v>
      </c>
      <c r="E662" s="7">
        <v>0</v>
      </c>
      <c r="F662" s="5">
        <v>45896</v>
      </c>
      <c r="G662" s="4">
        <v>20250826</v>
      </c>
      <c r="H662" s="6" t="s">
        <v>24</v>
      </c>
      <c r="I662" s="8" t="s">
        <v>9</v>
      </c>
      <c r="J662" s="6" t="s">
        <v>265</v>
      </c>
    </row>
    <row r="663" spans="1:10">
      <c r="A663" s="9">
        <v>941</v>
      </c>
      <c r="B663" s="10">
        <v>5220</v>
      </c>
      <c r="C663" s="3">
        <v>2224000</v>
      </c>
      <c r="D663" s="3">
        <v>2224000</v>
      </c>
      <c r="E663" s="7">
        <v>0</v>
      </c>
      <c r="F663" s="5">
        <v>45898</v>
      </c>
      <c r="G663" s="4">
        <v>20250828</v>
      </c>
      <c r="H663" s="6" t="s">
        <v>24</v>
      </c>
      <c r="I663" s="8" t="s">
        <v>9</v>
      </c>
      <c r="J663" s="6" t="s">
        <v>265</v>
      </c>
    </row>
    <row r="664" spans="1:10">
      <c r="A664" s="9">
        <v>888</v>
      </c>
      <c r="B664" s="10">
        <v>6818</v>
      </c>
      <c r="C664" s="3">
        <v>150000</v>
      </c>
      <c r="D664" s="3">
        <v>150000</v>
      </c>
      <c r="E664" s="7">
        <f t="shared" ref="E664" si="58">+C664-D664</f>
        <v>0</v>
      </c>
      <c r="F664" s="5">
        <v>45898</v>
      </c>
      <c r="G664" s="4">
        <v>20250828</v>
      </c>
      <c r="H664" s="6" t="str">
        <f>VLOOKUP(B664,CAJEROS!B:D,3,0)</f>
        <v>Multifuncional</v>
      </c>
      <c r="I664" s="8" t="s">
        <v>9</v>
      </c>
      <c r="J664" s="6" t="str">
        <f>VLOOKUP(B664,CAJEROS!B:E,4,0)</f>
        <v>MF_IPIALES</v>
      </c>
    </row>
    <row r="665" spans="1:10">
      <c r="A665" s="9">
        <v>972</v>
      </c>
      <c r="B665" s="10">
        <v>3913</v>
      </c>
      <c r="C665" s="3">
        <v>810000</v>
      </c>
      <c r="D665" s="3">
        <v>810000</v>
      </c>
      <c r="E665" s="7">
        <v>0</v>
      </c>
      <c r="F665" s="5">
        <v>45883</v>
      </c>
      <c r="G665" s="4">
        <v>20250813</v>
      </c>
      <c r="H665" s="6" t="s">
        <v>30</v>
      </c>
      <c r="I665" s="8"/>
      <c r="J665" s="6" t="s">
        <v>213</v>
      </c>
    </row>
    <row r="666" spans="1:10">
      <c r="A666" s="9">
        <v>775</v>
      </c>
      <c r="B666" s="10">
        <v>6986</v>
      </c>
      <c r="C666" s="3">
        <v>100000</v>
      </c>
      <c r="D666" s="3">
        <v>100000</v>
      </c>
      <c r="E666" s="7">
        <v>0</v>
      </c>
      <c r="F666" s="5">
        <v>45884</v>
      </c>
      <c r="G666" s="4">
        <v>20250814</v>
      </c>
      <c r="H666" s="6" t="s">
        <v>30</v>
      </c>
      <c r="I666" s="8" t="s">
        <v>9</v>
      </c>
      <c r="J666" s="6" t="s">
        <v>106</v>
      </c>
    </row>
    <row r="667" spans="1:10">
      <c r="A667" s="9">
        <v>705</v>
      </c>
      <c r="B667" s="10">
        <v>4152</v>
      </c>
      <c r="C667" s="3">
        <v>130000</v>
      </c>
      <c r="D667" s="3">
        <v>130000</v>
      </c>
      <c r="E667" s="7">
        <v>0</v>
      </c>
      <c r="F667" s="5">
        <v>45888</v>
      </c>
      <c r="G667" s="4">
        <v>20250818</v>
      </c>
      <c r="H667" s="6" t="s">
        <v>30</v>
      </c>
      <c r="I667" s="8" t="s">
        <v>9</v>
      </c>
      <c r="J667" s="6" t="s">
        <v>266</v>
      </c>
    </row>
    <row r="668" spans="1:10">
      <c r="A668" s="9">
        <v>838</v>
      </c>
      <c r="B668" s="10">
        <v>4009</v>
      </c>
      <c r="C668" s="3">
        <v>150000</v>
      </c>
      <c r="D668" s="3">
        <v>150000</v>
      </c>
      <c r="E668" s="7">
        <v>0</v>
      </c>
      <c r="F668" s="5">
        <v>45888</v>
      </c>
      <c r="G668" s="4">
        <v>20250818</v>
      </c>
      <c r="H668" s="6" t="s">
        <v>30</v>
      </c>
      <c r="I668" s="8" t="s">
        <v>9</v>
      </c>
      <c r="J668" s="6" t="s">
        <v>238</v>
      </c>
    </row>
    <row r="669" spans="1:10">
      <c r="A669" s="9">
        <v>186</v>
      </c>
      <c r="B669" s="10">
        <v>6509</v>
      </c>
      <c r="C669" s="3">
        <v>300000</v>
      </c>
      <c r="D669" s="3">
        <v>300000</v>
      </c>
      <c r="E669" s="7">
        <v>0</v>
      </c>
      <c r="F669" s="5">
        <v>45890</v>
      </c>
      <c r="G669" s="4">
        <v>20250820</v>
      </c>
      <c r="H669" s="6" t="s">
        <v>30</v>
      </c>
      <c r="I669" s="8" t="s">
        <v>9</v>
      </c>
      <c r="J669" s="6" t="s">
        <v>267</v>
      </c>
    </row>
    <row r="670" spans="1:10">
      <c r="A670" s="9">
        <v>765</v>
      </c>
      <c r="B670" s="10">
        <v>4998</v>
      </c>
      <c r="C670" s="3">
        <v>100000</v>
      </c>
      <c r="D670" s="3">
        <v>100000</v>
      </c>
      <c r="E670" s="7">
        <v>0</v>
      </c>
      <c r="F670" s="5">
        <v>45890</v>
      </c>
      <c r="G670" s="4">
        <v>20250820</v>
      </c>
      <c r="H670" s="6" t="s">
        <v>30</v>
      </c>
      <c r="I670" s="8" t="s">
        <v>9</v>
      </c>
      <c r="J670" s="6" t="s">
        <v>268</v>
      </c>
    </row>
    <row r="671" spans="1:10">
      <c r="A671" s="9">
        <v>861</v>
      </c>
      <c r="B671" s="10">
        <v>5958</v>
      </c>
      <c r="C671" s="3">
        <v>100000</v>
      </c>
      <c r="D671" s="3">
        <v>100000</v>
      </c>
      <c r="E671" s="7">
        <v>0</v>
      </c>
      <c r="F671" s="5">
        <v>45890</v>
      </c>
      <c r="G671" s="4">
        <v>20250820</v>
      </c>
      <c r="H671" s="6" t="s">
        <v>30</v>
      </c>
      <c r="I671" s="8" t="s">
        <v>9</v>
      </c>
      <c r="J671" s="6" t="s">
        <v>136</v>
      </c>
    </row>
    <row r="672" spans="1:10">
      <c r="A672" s="9">
        <v>186</v>
      </c>
      <c r="B672" s="10">
        <v>6508</v>
      </c>
      <c r="C672" s="3">
        <v>70000</v>
      </c>
      <c r="D672" s="3">
        <v>70000</v>
      </c>
      <c r="E672" s="7">
        <v>0</v>
      </c>
      <c r="F672" s="5">
        <v>45894</v>
      </c>
      <c r="G672" s="4">
        <v>20250824</v>
      </c>
      <c r="H672" s="6" t="s">
        <v>30</v>
      </c>
      <c r="I672" s="8" t="s">
        <v>9</v>
      </c>
      <c r="J672" s="6" t="s">
        <v>269</v>
      </c>
    </row>
    <row r="673" spans="1:10">
      <c r="A673" s="9">
        <v>861</v>
      </c>
      <c r="B673" s="10">
        <v>5957</v>
      </c>
      <c r="C673" s="3">
        <v>500000</v>
      </c>
      <c r="D673" s="3">
        <v>500000</v>
      </c>
      <c r="E673" s="7">
        <v>0</v>
      </c>
      <c r="F673" s="5">
        <v>45894</v>
      </c>
      <c r="G673" s="4">
        <v>20250824</v>
      </c>
      <c r="H673" s="6" t="s">
        <v>30</v>
      </c>
      <c r="I673" s="8" t="s">
        <v>9</v>
      </c>
      <c r="J673" s="6" t="s">
        <v>135</v>
      </c>
    </row>
    <row r="674" spans="1:10">
      <c r="A674" s="9">
        <v>392</v>
      </c>
      <c r="B674" s="10">
        <v>4794</v>
      </c>
      <c r="C674" s="3">
        <v>1300000</v>
      </c>
      <c r="D674" s="3">
        <v>1300000</v>
      </c>
      <c r="E674" s="7">
        <v>0</v>
      </c>
      <c r="F674" s="5">
        <v>45896</v>
      </c>
      <c r="G674" s="4">
        <v>20250826</v>
      </c>
      <c r="H674" s="6" t="s">
        <v>30</v>
      </c>
      <c r="I674" s="8" t="s">
        <v>9</v>
      </c>
      <c r="J674" s="6" t="s">
        <v>270</v>
      </c>
    </row>
    <row r="675" spans="1:10">
      <c r="A675" s="9">
        <v>555</v>
      </c>
      <c r="B675" s="10">
        <v>7265</v>
      </c>
      <c r="C675" s="3">
        <v>5850000</v>
      </c>
      <c r="D675" s="3">
        <v>5850000</v>
      </c>
      <c r="E675" s="7">
        <v>0</v>
      </c>
      <c r="F675" s="5">
        <v>45897</v>
      </c>
      <c r="G675" s="4">
        <v>20250827</v>
      </c>
      <c r="H675" s="6" t="s">
        <v>30</v>
      </c>
      <c r="I675" s="8" t="s">
        <v>9</v>
      </c>
      <c r="J675" s="6" t="s">
        <v>271</v>
      </c>
    </row>
    <row r="676" spans="1:10">
      <c r="A676" s="9">
        <v>765</v>
      </c>
      <c r="B676" s="10">
        <v>4998</v>
      </c>
      <c r="C676" s="3">
        <v>270000</v>
      </c>
      <c r="D676" s="3">
        <v>270000</v>
      </c>
      <c r="E676" s="7">
        <v>0</v>
      </c>
      <c r="F676" s="5">
        <v>45897</v>
      </c>
      <c r="G676" s="4">
        <v>20250827</v>
      </c>
      <c r="H676" s="6" t="s">
        <v>30</v>
      </c>
      <c r="I676" s="8" t="s">
        <v>9</v>
      </c>
      <c r="J676" s="6" t="s">
        <v>268</v>
      </c>
    </row>
    <row r="677" spans="1:10">
      <c r="A677" s="9">
        <v>861</v>
      </c>
      <c r="B677" s="10">
        <v>5957</v>
      </c>
      <c r="C677" s="3">
        <v>520000</v>
      </c>
      <c r="D677" s="3">
        <v>520000</v>
      </c>
      <c r="E677" s="7">
        <v>0</v>
      </c>
      <c r="F677" s="5">
        <v>45897</v>
      </c>
      <c r="G677" s="4">
        <v>20250827</v>
      </c>
      <c r="H677" s="6" t="s">
        <v>30</v>
      </c>
      <c r="I677" s="8" t="s">
        <v>9</v>
      </c>
      <c r="J677" s="6" t="s">
        <v>135</v>
      </c>
    </row>
    <row r="678" spans="1:10">
      <c r="A678" s="9">
        <v>861</v>
      </c>
      <c r="B678" s="10">
        <v>5958</v>
      </c>
      <c r="C678" s="3">
        <v>250000</v>
      </c>
      <c r="D678" s="3">
        <v>250000</v>
      </c>
      <c r="E678" s="7">
        <v>0</v>
      </c>
      <c r="F678" s="5">
        <v>45897</v>
      </c>
      <c r="G678" s="4">
        <v>20250827</v>
      </c>
      <c r="H678" s="6" t="s">
        <v>30</v>
      </c>
      <c r="I678" s="8" t="s">
        <v>9</v>
      </c>
      <c r="J678" s="6" t="s">
        <v>136</v>
      </c>
    </row>
    <row r="679" spans="1:10">
      <c r="A679" s="9">
        <v>765</v>
      </c>
      <c r="B679" s="10">
        <v>4998</v>
      </c>
      <c r="C679" s="3">
        <v>30000</v>
      </c>
      <c r="D679" s="3">
        <v>30000</v>
      </c>
      <c r="E679" s="7">
        <v>0</v>
      </c>
      <c r="F679" s="5">
        <v>45898</v>
      </c>
      <c r="G679" s="4">
        <v>20250828</v>
      </c>
      <c r="H679" s="6" t="s">
        <v>30</v>
      </c>
      <c r="I679" s="8" t="s">
        <v>9</v>
      </c>
      <c r="J679" s="6" t="s">
        <v>268</v>
      </c>
    </row>
    <row r="680" spans="1:10">
      <c r="A680" s="9">
        <v>277</v>
      </c>
      <c r="B680" s="10">
        <v>5021</v>
      </c>
      <c r="C680" s="3">
        <v>2030000</v>
      </c>
      <c r="D680" s="3">
        <v>2030000</v>
      </c>
      <c r="E680" s="7">
        <v>0</v>
      </c>
      <c r="F680" s="5">
        <v>45897</v>
      </c>
      <c r="G680" s="4">
        <v>20250827</v>
      </c>
      <c r="H680" s="6" t="s">
        <v>24</v>
      </c>
      <c r="I680" s="8" t="s">
        <v>9</v>
      </c>
      <c r="J680" s="6" t="s">
        <v>272</v>
      </c>
    </row>
    <row r="681" spans="1:10">
      <c r="A681" s="9">
        <v>277</v>
      </c>
      <c r="B681" s="10">
        <v>5021</v>
      </c>
      <c r="C681" s="3">
        <v>1300000</v>
      </c>
      <c r="D681" s="3">
        <v>1300000</v>
      </c>
      <c r="E681" s="7">
        <v>0</v>
      </c>
      <c r="F681" s="5">
        <v>45898</v>
      </c>
      <c r="G681" s="4">
        <v>20250828</v>
      </c>
      <c r="H681" s="6" t="s">
        <v>24</v>
      </c>
      <c r="I681" s="8" t="s">
        <v>9</v>
      </c>
      <c r="J681" s="6" t="s">
        <v>272</v>
      </c>
    </row>
    <row r="682" spans="1:10">
      <c r="A682" s="9">
        <v>221</v>
      </c>
      <c r="B682" s="10">
        <v>5221</v>
      </c>
      <c r="C682" s="3">
        <v>1700000</v>
      </c>
      <c r="D682" s="3">
        <v>1700000</v>
      </c>
      <c r="E682" s="7">
        <v>0</v>
      </c>
      <c r="F682" s="5">
        <v>45894</v>
      </c>
      <c r="G682" s="4">
        <v>20250824</v>
      </c>
      <c r="H682" s="6" t="s">
        <v>24</v>
      </c>
      <c r="I682" s="8" t="s">
        <v>9</v>
      </c>
      <c r="J682" s="6" t="s">
        <v>187</v>
      </c>
    </row>
    <row r="683" spans="1:10">
      <c r="A683" s="9">
        <v>221</v>
      </c>
      <c r="B683" s="10">
        <v>5221</v>
      </c>
      <c r="C683" s="3">
        <v>70000</v>
      </c>
      <c r="D683" s="3">
        <v>70000</v>
      </c>
      <c r="E683" s="7">
        <v>0</v>
      </c>
      <c r="F683" s="5">
        <v>45894</v>
      </c>
      <c r="G683" s="4">
        <v>20250824</v>
      </c>
      <c r="H683" s="6" t="s">
        <v>24</v>
      </c>
      <c r="I683" s="8" t="s">
        <v>9</v>
      </c>
      <c r="J683" s="6" t="s">
        <v>187</v>
      </c>
    </row>
    <row r="684" spans="1:10">
      <c r="A684" s="9">
        <v>221</v>
      </c>
      <c r="B684" s="10">
        <v>5221</v>
      </c>
      <c r="C684" s="3">
        <v>2000000</v>
      </c>
      <c r="D684" s="3">
        <v>2000000</v>
      </c>
      <c r="E684" s="7">
        <v>0</v>
      </c>
      <c r="F684" s="5">
        <v>45894</v>
      </c>
      <c r="G684" s="4">
        <v>20250824</v>
      </c>
      <c r="H684" s="6" t="s">
        <v>24</v>
      </c>
      <c r="I684" s="8" t="s">
        <v>9</v>
      </c>
      <c r="J684" s="6" t="s">
        <v>187</v>
      </c>
    </row>
    <row r="685" spans="1:10">
      <c r="A685" s="9">
        <v>571</v>
      </c>
      <c r="B685" s="10">
        <v>6150</v>
      </c>
      <c r="C685" s="3">
        <v>382000</v>
      </c>
      <c r="D685" s="3">
        <v>382000</v>
      </c>
      <c r="E685" s="7">
        <v>0</v>
      </c>
      <c r="F685" s="5">
        <v>45894</v>
      </c>
      <c r="G685" s="4">
        <v>20250824</v>
      </c>
      <c r="H685" s="6" t="s">
        <v>24</v>
      </c>
      <c r="I685" s="8" t="s">
        <v>9</v>
      </c>
      <c r="J685" s="6" t="s">
        <v>187</v>
      </c>
    </row>
    <row r="686" spans="1:10">
      <c r="A686" s="9">
        <v>571</v>
      </c>
      <c r="B686" s="10">
        <v>6150</v>
      </c>
      <c r="C686" s="3">
        <v>2020000</v>
      </c>
      <c r="D686" s="3">
        <v>2020000</v>
      </c>
      <c r="E686" s="7">
        <v>0</v>
      </c>
      <c r="F686" s="5">
        <v>45894</v>
      </c>
      <c r="G686" s="4">
        <v>20250824</v>
      </c>
      <c r="H686" s="6" t="s">
        <v>24</v>
      </c>
      <c r="I686" s="8" t="s">
        <v>9</v>
      </c>
      <c r="J686" s="6" t="s">
        <v>187</v>
      </c>
    </row>
    <row r="687" spans="1:10">
      <c r="A687" s="9">
        <v>348</v>
      </c>
      <c r="B687" s="10">
        <v>6724</v>
      </c>
      <c r="C687" s="3">
        <v>525000</v>
      </c>
      <c r="D687" s="3">
        <v>525000</v>
      </c>
      <c r="E687" s="7">
        <v>0</v>
      </c>
      <c r="F687" s="5">
        <v>45894</v>
      </c>
      <c r="G687" s="4">
        <v>20250824</v>
      </c>
      <c r="H687" s="6" t="s">
        <v>24</v>
      </c>
      <c r="I687" s="8" t="s">
        <v>9</v>
      </c>
      <c r="J687" s="6" t="s">
        <v>187</v>
      </c>
    </row>
    <row r="688" spans="1:10">
      <c r="A688" s="9">
        <v>20</v>
      </c>
      <c r="B688" s="10">
        <v>6839</v>
      </c>
      <c r="C688" s="3">
        <v>2400000</v>
      </c>
      <c r="D688" s="3">
        <f>1450000+950000</f>
        <v>2400000</v>
      </c>
      <c r="E688" s="7">
        <v>0</v>
      </c>
      <c r="F688" s="5">
        <v>45894</v>
      </c>
      <c r="G688" s="4">
        <v>20250824</v>
      </c>
      <c r="H688" s="6" t="s">
        <v>24</v>
      </c>
      <c r="I688" s="8" t="s">
        <v>9</v>
      </c>
      <c r="J688" s="6" t="s">
        <v>187</v>
      </c>
    </row>
    <row r="689" spans="1:10">
      <c r="A689" s="9">
        <v>554</v>
      </c>
      <c r="B689" s="10">
        <v>8295</v>
      </c>
      <c r="C689" s="3">
        <v>186000</v>
      </c>
      <c r="D689" s="3">
        <v>186000</v>
      </c>
      <c r="E689" s="7">
        <v>0</v>
      </c>
      <c r="F689" s="5">
        <v>45894</v>
      </c>
      <c r="G689" s="4">
        <v>20250824</v>
      </c>
      <c r="H689" s="6" t="s">
        <v>24</v>
      </c>
      <c r="I689" s="8" t="s">
        <v>9</v>
      </c>
      <c r="J689" s="6" t="s">
        <v>187</v>
      </c>
    </row>
    <row r="690" spans="1:10">
      <c r="A690" s="9">
        <v>554</v>
      </c>
      <c r="B690" s="10">
        <v>8295</v>
      </c>
      <c r="C690" s="3">
        <v>1350000</v>
      </c>
      <c r="D690" s="3">
        <v>1350000</v>
      </c>
      <c r="E690" s="7">
        <v>0</v>
      </c>
      <c r="F690" s="5">
        <v>45894</v>
      </c>
      <c r="G690" s="4">
        <v>20250824</v>
      </c>
      <c r="H690" s="6" t="s">
        <v>24</v>
      </c>
      <c r="I690" s="8" t="s">
        <v>9</v>
      </c>
      <c r="J690" s="6" t="s">
        <v>187</v>
      </c>
    </row>
    <row r="691" spans="1:10">
      <c r="A691" s="9">
        <v>554</v>
      </c>
      <c r="B691" s="10">
        <v>8295</v>
      </c>
      <c r="C691" s="3">
        <v>350000</v>
      </c>
      <c r="D691" s="3">
        <v>350000</v>
      </c>
      <c r="E691" s="7">
        <v>0</v>
      </c>
      <c r="F691" s="5">
        <v>45894</v>
      </c>
      <c r="G691" s="4">
        <v>20250824</v>
      </c>
      <c r="H691" s="6" t="s">
        <v>24</v>
      </c>
      <c r="I691" s="8" t="s">
        <v>9</v>
      </c>
      <c r="J691" s="6" t="s">
        <v>187</v>
      </c>
    </row>
    <row r="692" spans="1:10">
      <c r="A692" s="9">
        <v>915</v>
      </c>
      <c r="B692" s="10">
        <v>8314</v>
      </c>
      <c r="C692" s="3">
        <v>1100000</v>
      </c>
      <c r="D692" s="3">
        <v>1100000</v>
      </c>
      <c r="E692" s="7">
        <v>0</v>
      </c>
      <c r="F692" s="5">
        <v>45894</v>
      </c>
      <c r="G692" s="4">
        <v>20250824</v>
      </c>
      <c r="H692" s="6" t="s">
        <v>24</v>
      </c>
      <c r="I692" s="8" t="s">
        <v>9</v>
      </c>
      <c r="J692" s="6" t="s">
        <v>187</v>
      </c>
    </row>
    <row r="693" spans="1:10">
      <c r="A693" s="9">
        <v>60</v>
      </c>
      <c r="B693" s="10">
        <v>8729</v>
      </c>
      <c r="C693" s="3">
        <v>100000</v>
      </c>
      <c r="D693" s="3">
        <v>100000</v>
      </c>
      <c r="E693" s="7">
        <v>0</v>
      </c>
      <c r="F693" s="5">
        <v>45894</v>
      </c>
      <c r="G693" s="4">
        <v>20250824</v>
      </c>
      <c r="H693" s="6" t="s">
        <v>24</v>
      </c>
      <c r="I693" s="8" t="s">
        <v>9</v>
      </c>
      <c r="J693" s="6" t="s">
        <v>187</v>
      </c>
    </row>
    <row r="694" spans="1:10">
      <c r="A694" s="9">
        <v>20</v>
      </c>
      <c r="B694" s="10">
        <v>8927</v>
      </c>
      <c r="C694" s="3">
        <v>1600000</v>
      </c>
      <c r="D694" s="3">
        <v>1600000</v>
      </c>
      <c r="E694" s="7">
        <v>0</v>
      </c>
      <c r="F694" s="5">
        <v>45894</v>
      </c>
      <c r="G694" s="4">
        <v>20250824</v>
      </c>
      <c r="H694" s="6" t="s">
        <v>24</v>
      </c>
      <c r="I694" s="8" t="s">
        <v>9</v>
      </c>
      <c r="J694" s="6" t="s">
        <v>187</v>
      </c>
    </row>
    <row r="695" spans="1:10">
      <c r="A695" s="9">
        <v>20</v>
      </c>
      <c r="B695" s="10">
        <v>8927</v>
      </c>
      <c r="C695" s="3">
        <v>1350000</v>
      </c>
      <c r="D695" s="3">
        <v>1350000</v>
      </c>
      <c r="E695" s="7">
        <v>0</v>
      </c>
      <c r="F695" s="5">
        <v>45894</v>
      </c>
      <c r="G695" s="4">
        <v>20250824</v>
      </c>
      <c r="H695" s="6" t="s">
        <v>24</v>
      </c>
      <c r="I695" s="8" t="s">
        <v>9</v>
      </c>
      <c r="J695" s="6" t="s">
        <v>187</v>
      </c>
    </row>
    <row r="696" spans="1:10">
      <c r="A696" s="9">
        <v>57</v>
      </c>
      <c r="B696" s="10">
        <v>9963</v>
      </c>
      <c r="C696" s="3">
        <v>2401000</v>
      </c>
      <c r="D696" s="3">
        <v>2401000</v>
      </c>
      <c r="E696" s="7">
        <v>0</v>
      </c>
      <c r="F696" s="5">
        <v>45894</v>
      </c>
      <c r="G696" s="4">
        <v>20250824</v>
      </c>
      <c r="H696" s="6" t="s">
        <v>24</v>
      </c>
      <c r="I696" s="8" t="s">
        <v>9</v>
      </c>
      <c r="J696" s="6" t="s">
        <v>187</v>
      </c>
    </row>
    <row r="697" spans="1:10">
      <c r="A697" s="9">
        <v>61</v>
      </c>
      <c r="B697" s="10">
        <v>788</v>
      </c>
      <c r="C697" s="3">
        <v>2330000</v>
      </c>
      <c r="D697" s="3">
        <v>2330000</v>
      </c>
      <c r="E697" s="7">
        <v>0</v>
      </c>
      <c r="F697" s="5">
        <v>45894</v>
      </c>
      <c r="G697" s="4">
        <v>20250824</v>
      </c>
      <c r="H697" s="6" t="s">
        <v>24</v>
      </c>
      <c r="I697" s="8" t="s">
        <v>9</v>
      </c>
      <c r="J697" s="6" t="s">
        <v>187</v>
      </c>
    </row>
    <row r="698" spans="1:10">
      <c r="A698" s="9">
        <v>795</v>
      </c>
      <c r="B698" s="10">
        <v>1029</v>
      </c>
      <c r="C698" s="3">
        <v>765000</v>
      </c>
      <c r="D698" s="3">
        <v>765000</v>
      </c>
      <c r="E698" s="7">
        <v>0</v>
      </c>
      <c r="F698" s="5">
        <v>45894</v>
      </c>
      <c r="G698" s="4">
        <v>20250824</v>
      </c>
      <c r="H698" s="6" t="s">
        <v>24</v>
      </c>
      <c r="I698" s="8" t="s">
        <v>9</v>
      </c>
      <c r="J698" s="6" t="s">
        <v>187</v>
      </c>
    </row>
    <row r="699" spans="1:10">
      <c r="A699" s="9">
        <v>795</v>
      </c>
      <c r="B699" s="10">
        <v>1029</v>
      </c>
      <c r="C699" s="3">
        <v>2160000</v>
      </c>
      <c r="D699" s="3">
        <v>2160000</v>
      </c>
      <c r="E699" s="7">
        <v>0</v>
      </c>
      <c r="F699" s="5">
        <v>45894</v>
      </c>
      <c r="G699" s="4">
        <v>20250824</v>
      </c>
      <c r="H699" s="6" t="s">
        <v>24</v>
      </c>
      <c r="I699" s="8" t="s">
        <v>9</v>
      </c>
      <c r="J699" s="6" t="s">
        <v>187</v>
      </c>
    </row>
    <row r="700" spans="1:10">
      <c r="A700" s="9">
        <v>395</v>
      </c>
      <c r="B700" s="10">
        <v>1528</v>
      </c>
      <c r="C700" s="3">
        <v>90000</v>
      </c>
      <c r="D700" s="3">
        <v>90000</v>
      </c>
      <c r="E700" s="7">
        <v>0</v>
      </c>
      <c r="F700" s="5">
        <v>45894</v>
      </c>
      <c r="G700" s="4">
        <v>20250824</v>
      </c>
      <c r="H700" s="6" t="s">
        <v>24</v>
      </c>
      <c r="I700" s="8" t="s">
        <v>9</v>
      </c>
      <c r="J700" s="6" t="s">
        <v>187</v>
      </c>
    </row>
    <row r="701" spans="1:10">
      <c r="A701" s="9">
        <v>59</v>
      </c>
      <c r="B701" s="9">
        <v>5002</v>
      </c>
      <c r="C701" s="3">
        <v>1600000</v>
      </c>
      <c r="D701" s="3">
        <v>1600000</v>
      </c>
      <c r="E701" s="7">
        <v>0</v>
      </c>
      <c r="F701" s="5">
        <v>45894</v>
      </c>
      <c r="G701" s="4">
        <v>20250824</v>
      </c>
      <c r="H701" s="6" t="s">
        <v>24</v>
      </c>
      <c r="I701" s="8" t="s">
        <v>9</v>
      </c>
      <c r="J701" s="6" t="s">
        <v>187</v>
      </c>
    </row>
    <row r="702" spans="1:10">
      <c r="A702" s="9">
        <v>59</v>
      </c>
      <c r="B702" s="10">
        <v>5002</v>
      </c>
      <c r="C702" s="3">
        <v>1990000</v>
      </c>
      <c r="D702" s="3">
        <v>1990000</v>
      </c>
      <c r="E702" s="7">
        <v>0</v>
      </c>
      <c r="F702" s="5">
        <v>45894</v>
      </c>
      <c r="G702" s="4">
        <v>20250824</v>
      </c>
      <c r="H702" s="6" t="s">
        <v>24</v>
      </c>
      <c r="I702" s="8" t="s">
        <v>9</v>
      </c>
      <c r="J702" s="6" t="s">
        <v>187</v>
      </c>
    </row>
    <row r="703" spans="1:10">
      <c r="A703" s="9">
        <v>59</v>
      </c>
      <c r="B703" s="10">
        <v>5002</v>
      </c>
      <c r="C703" s="3">
        <v>460000</v>
      </c>
      <c r="D703" s="3">
        <v>460000</v>
      </c>
      <c r="E703" s="7">
        <v>0</v>
      </c>
      <c r="F703" s="5">
        <v>45894</v>
      </c>
      <c r="G703" s="4">
        <v>20250824</v>
      </c>
      <c r="H703" s="6" t="s">
        <v>24</v>
      </c>
      <c r="I703" s="8" t="s">
        <v>9</v>
      </c>
      <c r="J703" s="6" t="s">
        <v>187</v>
      </c>
    </row>
    <row r="704" spans="1:10">
      <c r="A704" s="9">
        <v>59</v>
      </c>
      <c r="B704" s="10">
        <v>5002</v>
      </c>
      <c r="C704" s="3">
        <v>949100</v>
      </c>
      <c r="D704" s="3">
        <v>949100</v>
      </c>
      <c r="E704" s="7">
        <v>0</v>
      </c>
      <c r="F704" s="5">
        <v>45894</v>
      </c>
      <c r="G704" s="4">
        <v>20250824</v>
      </c>
      <c r="H704" s="6" t="s">
        <v>24</v>
      </c>
      <c r="I704" s="8" t="s">
        <v>9</v>
      </c>
      <c r="J704" s="6" t="s">
        <v>187</v>
      </c>
    </row>
    <row r="705" spans="1:10">
      <c r="A705" s="9">
        <v>59</v>
      </c>
      <c r="B705" s="10">
        <v>5002</v>
      </c>
      <c r="C705" s="3">
        <v>2131200</v>
      </c>
      <c r="D705" s="3">
        <v>2131200</v>
      </c>
      <c r="E705" s="7">
        <v>0</v>
      </c>
      <c r="F705" s="5">
        <v>45894</v>
      </c>
      <c r="G705" s="4">
        <v>20250824</v>
      </c>
      <c r="H705" s="6" t="s">
        <v>24</v>
      </c>
      <c r="I705" s="8" t="s">
        <v>9</v>
      </c>
      <c r="J705" s="6" t="s">
        <v>187</v>
      </c>
    </row>
    <row r="706" spans="1:10">
      <c r="A706" s="9">
        <v>486</v>
      </c>
      <c r="B706" s="10">
        <v>5081</v>
      </c>
      <c r="C706" s="3">
        <v>100000</v>
      </c>
      <c r="D706" s="3">
        <v>100000</v>
      </c>
      <c r="E706" s="7">
        <v>0</v>
      </c>
      <c r="F706" s="5">
        <v>45894</v>
      </c>
      <c r="G706" s="4">
        <v>20250824</v>
      </c>
      <c r="H706" s="6" t="s">
        <v>24</v>
      </c>
      <c r="I706" s="8" t="s">
        <v>9</v>
      </c>
      <c r="J706" s="6" t="s">
        <v>187</v>
      </c>
    </row>
    <row r="707" spans="1:10">
      <c r="A707" s="9">
        <v>70</v>
      </c>
      <c r="B707" s="10">
        <v>5164</v>
      </c>
      <c r="C707" s="3">
        <v>300000</v>
      </c>
      <c r="D707" s="3">
        <v>300000</v>
      </c>
      <c r="E707" s="7">
        <v>0</v>
      </c>
      <c r="F707" s="5">
        <v>45894</v>
      </c>
      <c r="G707" s="4">
        <v>20250824</v>
      </c>
      <c r="H707" s="6" t="s">
        <v>24</v>
      </c>
      <c r="I707" s="8" t="s">
        <v>9</v>
      </c>
      <c r="J707" s="6" t="s">
        <v>187</v>
      </c>
    </row>
    <row r="708" spans="1:10">
      <c r="A708" s="9">
        <v>70</v>
      </c>
      <c r="B708" s="10">
        <v>5164</v>
      </c>
      <c r="C708" s="3">
        <v>2340000</v>
      </c>
      <c r="D708" s="3">
        <v>2340000</v>
      </c>
      <c r="E708" s="7">
        <v>0</v>
      </c>
      <c r="F708" s="5">
        <v>45894</v>
      </c>
      <c r="G708" s="4">
        <v>20250824</v>
      </c>
      <c r="H708" s="6" t="s">
        <v>24</v>
      </c>
      <c r="I708" s="8" t="s">
        <v>9</v>
      </c>
      <c r="J708" s="6" t="s">
        <v>187</v>
      </c>
    </row>
    <row r="709" spans="1:10">
      <c r="A709" s="9">
        <v>725</v>
      </c>
      <c r="B709" s="10">
        <v>5166</v>
      </c>
      <c r="C709" s="3">
        <v>1306700</v>
      </c>
      <c r="D709" s="3">
        <v>1306700</v>
      </c>
      <c r="E709" s="7">
        <v>0</v>
      </c>
      <c r="F709" s="5">
        <v>45894</v>
      </c>
      <c r="G709" s="4">
        <v>20250824</v>
      </c>
      <c r="H709" s="6" t="s">
        <v>24</v>
      </c>
      <c r="I709" s="8" t="s">
        <v>9</v>
      </c>
      <c r="J709" s="6" t="s">
        <v>187</v>
      </c>
    </row>
    <row r="710" spans="1:10">
      <c r="A710" s="9">
        <v>725</v>
      </c>
      <c r="B710" s="10">
        <v>5166</v>
      </c>
      <c r="C710" s="3">
        <v>360000</v>
      </c>
      <c r="D710" s="3">
        <v>360000</v>
      </c>
      <c r="E710" s="7">
        <v>0</v>
      </c>
      <c r="F710" s="5">
        <v>45894</v>
      </c>
      <c r="G710" s="4">
        <v>20250824</v>
      </c>
      <c r="H710" s="6" t="s">
        <v>24</v>
      </c>
      <c r="I710" s="8" t="s">
        <v>9</v>
      </c>
      <c r="J710" s="6" t="s">
        <v>187</v>
      </c>
    </row>
    <row r="711" spans="1:10">
      <c r="A711" s="9">
        <v>725</v>
      </c>
      <c r="B711" s="10">
        <v>5166</v>
      </c>
      <c r="C711" s="3">
        <v>2620000</v>
      </c>
      <c r="D711" s="3">
        <v>2620000</v>
      </c>
      <c r="E711" s="7">
        <v>0</v>
      </c>
      <c r="F711" s="5">
        <v>45894</v>
      </c>
      <c r="G711" s="4">
        <v>20250824</v>
      </c>
      <c r="H711" s="6" t="s">
        <v>24</v>
      </c>
      <c r="I711" s="8" t="s">
        <v>9</v>
      </c>
      <c r="J711" s="6" t="s">
        <v>187</v>
      </c>
    </row>
    <row r="712" spans="1:10">
      <c r="A712" s="9">
        <v>363</v>
      </c>
      <c r="B712" s="10">
        <v>5168</v>
      </c>
      <c r="C712" s="3">
        <v>2615000</v>
      </c>
      <c r="D712" s="3">
        <v>2615000</v>
      </c>
      <c r="E712" s="7">
        <v>0</v>
      </c>
      <c r="F712" s="5">
        <v>45894</v>
      </c>
      <c r="G712" s="4">
        <v>20250824</v>
      </c>
      <c r="H712" s="6" t="s">
        <v>24</v>
      </c>
      <c r="I712" s="8" t="s">
        <v>9</v>
      </c>
      <c r="J712" s="6" t="s">
        <v>187</v>
      </c>
    </row>
    <row r="713" spans="1:10">
      <c r="A713" s="9">
        <v>302</v>
      </c>
      <c r="B713" s="10">
        <v>5170</v>
      </c>
      <c r="C713" s="3">
        <v>20000</v>
      </c>
      <c r="D713" s="3">
        <v>20000</v>
      </c>
      <c r="E713" s="7">
        <v>0</v>
      </c>
      <c r="F713" s="5">
        <v>45894</v>
      </c>
      <c r="G713" s="4">
        <v>20250824</v>
      </c>
      <c r="H713" s="6" t="s">
        <v>24</v>
      </c>
      <c r="I713" s="8" t="s">
        <v>9</v>
      </c>
      <c r="J713" s="6" t="s">
        <v>187</v>
      </c>
    </row>
    <row r="714" spans="1:10">
      <c r="A714" s="9">
        <v>54</v>
      </c>
      <c r="B714" s="10">
        <v>6204</v>
      </c>
      <c r="C714" s="3">
        <v>85000</v>
      </c>
      <c r="D714" s="3">
        <f>50000+35000</f>
        <v>85000</v>
      </c>
      <c r="E714" s="7">
        <v>0</v>
      </c>
      <c r="F714" s="5">
        <v>45894</v>
      </c>
      <c r="G714" s="4">
        <v>20250824</v>
      </c>
      <c r="H714" s="6" t="s">
        <v>24</v>
      </c>
      <c r="I714" s="8" t="s">
        <v>9</v>
      </c>
      <c r="J714" s="6" t="s">
        <v>187</v>
      </c>
    </row>
    <row r="715" spans="1:10">
      <c r="A715" s="9">
        <v>371</v>
      </c>
      <c r="B715" s="10">
        <v>6718</v>
      </c>
      <c r="C715" s="3">
        <v>50000</v>
      </c>
      <c r="D715" s="3">
        <v>50000</v>
      </c>
      <c r="E715" s="7">
        <v>0</v>
      </c>
      <c r="F715" s="5">
        <v>45894</v>
      </c>
      <c r="G715" s="4">
        <v>20250824</v>
      </c>
      <c r="H715" s="6" t="s">
        <v>24</v>
      </c>
      <c r="I715" s="8" t="s">
        <v>9</v>
      </c>
      <c r="J715" s="6" t="s">
        <v>187</v>
      </c>
    </row>
    <row r="716" spans="1:10">
      <c r="A716" s="9">
        <v>419</v>
      </c>
      <c r="B716" s="10">
        <v>7980</v>
      </c>
      <c r="C716" s="3">
        <v>2740000</v>
      </c>
      <c r="D716" s="3">
        <v>2740000</v>
      </c>
      <c r="E716" s="7">
        <v>0</v>
      </c>
      <c r="F716" s="5">
        <v>45894</v>
      </c>
      <c r="G716" s="4">
        <v>20250824</v>
      </c>
      <c r="H716" s="6" t="s">
        <v>24</v>
      </c>
      <c r="I716" s="8" t="s">
        <v>9</v>
      </c>
      <c r="J716" s="6" t="s">
        <v>187</v>
      </c>
    </row>
    <row r="717" spans="1:10">
      <c r="A717" s="9">
        <v>60</v>
      </c>
      <c r="B717" s="9">
        <v>8724</v>
      </c>
      <c r="C717" s="3">
        <v>200000</v>
      </c>
      <c r="D717" s="3">
        <v>200000</v>
      </c>
      <c r="E717" s="7">
        <v>0</v>
      </c>
      <c r="F717" s="5">
        <v>45894</v>
      </c>
      <c r="G717" s="4">
        <v>20250824</v>
      </c>
      <c r="H717" s="6" t="s">
        <v>24</v>
      </c>
      <c r="I717" s="8" t="s">
        <v>9</v>
      </c>
      <c r="J717" s="6" t="s">
        <v>187</v>
      </c>
    </row>
    <row r="718" spans="1:10">
      <c r="A718" s="9">
        <v>795</v>
      </c>
      <c r="B718" s="10">
        <v>1022</v>
      </c>
      <c r="C718" s="3">
        <v>100000</v>
      </c>
      <c r="D718" s="3">
        <v>100000</v>
      </c>
      <c r="E718" s="7">
        <v>0</v>
      </c>
      <c r="F718" s="5">
        <v>45894</v>
      </c>
      <c r="G718" s="4">
        <v>20250824</v>
      </c>
      <c r="H718" s="6" t="s">
        <v>24</v>
      </c>
      <c r="I718" s="8" t="s">
        <v>9</v>
      </c>
      <c r="J718" s="6" t="s">
        <v>187</v>
      </c>
    </row>
    <row r="719" spans="1:10">
      <c r="A719" s="9">
        <v>473</v>
      </c>
      <c r="B719" s="10">
        <v>3442</v>
      </c>
      <c r="C719" s="3">
        <v>200000</v>
      </c>
      <c r="D719" s="3">
        <v>200000</v>
      </c>
      <c r="E719" s="7">
        <v>0</v>
      </c>
      <c r="F719" s="5">
        <v>45894</v>
      </c>
      <c r="G719" s="4">
        <v>20250824</v>
      </c>
      <c r="H719" s="6" t="s">
        <v>24</v>
      </c>
      <c r="I719" s="8" t="s">
        <v>9</v>
      </c>
      <c r="J719" s="6" t="s">
        <v>187</v>
      </c>
    </row>
    <row r="720" spans="1:10">
      <c r="A720" s="9">
        <v>520</v>
      </c>
      <c r="B720" s="10">
        <v>8281</v>
      </c>
      <c r="C720" s="3">
        <v>130000</v>
      </c>
      <c r="D720" s="3">
        <v>130000</v>
      </c>
      <c r="E720" s="7">
        <v>0</v>
      </c>
      <c r="F720" s="5">
        <v>45894</v>
      </c>
      <c r="G720" s="4">
        <v>20250824</v>
      </c>
      <c r="H720" s="6" t="s">
        <v>24</v>
      </c>
      <c r="I720" s="8" t="s">
        <v>9</v>
      </c>
      <c r="J720" s="6" t="s">
        <v>187</v>
      </c>
    </row>
    <row r="721" spans="1:10">
      <c r="A721" s="9">
        <v>30</v>
      </c>
      <c r="B721" s="10">
        <v>4958</v>
      </c>
      <c r="C721" s="3">
        <v>50000</v>
      </c>
      <c r="D721" s="3">
        <v>50000</v>
      </c>
      <c r="E721" s="7">
        <v>0</v>
      </c>
      <c r="F721" s="5">
        <v>45894</v>
      </c>
      <c r="G721" s="4">
        <v>20250824</v>
      </c>
      <c r="H721" s="6" t="s">
        <v>24</v>
      </c>
      <c r="I721" s="8" t="s">
        <v>9</v>
      </c>
      <c r="J721" s="6" t="s">
        <v>187</v>
      </c>
    </row>
    <row r="722" spans="1:10">
      <c r="A722" s="9">
        <v>536</v>
      </c>
      <c r="B722" s="10">
        <v>6915</v>
      </c>
      <c r="C722" s="3">
        <v>600000</v>
      </c>
      <c r="D722" s="3">
        <v>600000</v>
      </c>
      <c r="E722" s="7">
        <v>0</v>
      </c>
      <c r="F722" s="5">
        <v>45894</v>
      </c>
      <c r="G722" s="4">
        <v>20250824</v>
      </c>
      <c r="H722" s="6" t="s">
        <v>24</v>
      </c>
      <c r="I722" s="8" t="s">
        <v>9</v>
      </c>
      <c r="J722" s="6" t="s">
        <v>187</v>
      </c>
    </row>
    <row r="723" spans="1:10">
      <c r="A723" s="9">
        <v>724</v>
      </c>
      <c r="B723" s="10">
        <v>6894</v>
      </c>
      <c r="C723" s="3">
        <v>40000</v>
      </c>
      <c r="D723" s="3">
        <v>40000</v>
      </c>
      <c r="E723" s="7">
        <v>0</v>
      </c>
      <c r="F723" s="5">
        <v>45894</v>
      </c>
      <c r="G723" s="4">
        <v>20250824</v>
      </c>
      <c r="H723" s="6" t="s">
        <v>24</v>
      </c>
      <c r="I723" s="8" t="s">
        <v>9</v>
      </c>
      <c r="J723" s="6" t="s">
        <v>187</v>
      </c>
    </row>
    <row r="724" spans="1:10">
      <c r="A724" s="9">
        <v>831</v>
      </c>
      <c r="B724" s="10">
        <v>4654</v>
      </c>
      <c r="C724" s="3">
        <v>20000</v>
      </c>
      <c r="D724" s="3"/>
      <c r="E724" s="7">
        <v>0</v>
      </c>
      <c r="F724" s="5">
        <v>45894</v>
      </c>
      <c r="G724" s="4">
        <v>20250824</v>
      </c>
      <c r="H724" s="6" t="s">
        <v>24</v>
      </c>
      <c r="I724" s="8" t="s">
        <v>10</v>
      </c>
      <c r="J724" s="6" t="s">
        <v>187</v>
      </c>
    </row>
    <row r="725" spans="1:10">
      <c r="A725" s="9">
        <v>764</v>
      </c>
      <c r="B725" s="10">
        <v>4990</v>
      </c>
      <c r="C725" s="3">
        <v>20000</v>
      </c>
      <c r="D725" s="3"/>
      <c r="E725" s="7">
        <v>0</v>
      </c>
      <c r="F725" s="5">
        <v>45894</v>
      </c>
      <c r="G725" s="4">
        <v>20250824</v>
      </c>
      <c r="H725" s="6" t="s">
        <v>24</v>
      </c>
      <c r="I725" s="8" t="s">
        <v>10</v>
      </c>
      <c r="J725" s="6" t="s">
        <v>187</v>
      </c>
    </row>
    <row r="726" spans="1:10">
      <c r="A726" s="9">
        <v>285</v>
      </c>
      <c r="B726" s="10">
        <v>6053</v>
      </c>
      <c r="C726" s="3">
        <v>20000</v>
      </c>
      <c r="D726" s="3"/>
      <c r="E726" s="7">
        <v>0</v>
      </c>
      <c r="F726" s="5">
        <v>45894</v>
      </c>
      <c r="G726" s="4">
        <v>20250824</v>
      </c>
      <c r="H726" s="6" t="s">
        <v>24</v>
      </c>
      <c r="I726" s="8" t="s">
        <v>10</v>
      </c>
      <c r="J726" s="6" t="s">
        <v>187</v>
      </c>
    </row>
    <row r="727" spans="1:10">
      <c r="A727" s="9">
        <v>885</v>
      </c>
      <c r="B727" s="10">
        <v>8851</v>
      </c>
      <c r="C727" s="3">
        <v>20000</v>
      </c>
      <c r="D727" s="3"/>
      <c r="E727" s="7">
        <v>0</v>
      </c>
      <c r="F727" s="5">
        <v>45894</v>
      </c>
      <c r="G727" s="4">
        <v>20250824</v>
      </c>
      <c r="H727" s="6" t="s">
        <v>24</v>
      </c>
      <c r="I727" s="8" t="s">
        <v>10</v>
      </c>
      <c r="J727" s="6" t="s">
        <v>187</v>
      </c>
    </row>
    <row r="728" spans="1:10">
      <c r="A728" s="9">
        <v>664</v>
      </c>
      <c r="B728" s="10">
        <v>8858</v>
      </c>
      <c r="C728" s="3">
        <v>10000</v>
      </c>
      <c r="D728" s="3">
        <v>600000</v>
      </c>
      <c r="E728" s="7">
        <v>0</v>
      </c>
      <c r="F728" s="5">
        <v>45894</v>
      </c>
      <c r="G728" s="4">
        <v>20250824</v>
      </c>
      <c r="H728" s="6" t="s">
        <v>24</v>
      </c>
      <c r="I728" s="8" t="s">
        <v>10</v>
      </c>
      <c r="J728" s="6" t="s">
        <v>187</v>
      </c>
    </row>
    <row r="729" spans="1:10">
      <c r="A729" s="9">
        <v>32</v>
      </c>
      <c r="B729" s="10">
        <v>5027</v>
      </c>
      <c r="C729" s="3">
        <v>20000</v>
      </c>
      <c r="D729" s="3">
        <v>2000000</v>
      </c>
      <c r="E729" s="7">
        <v>0</v>
      </c>
      <c r="F729" s="5">
        <v>45894</v>
      </c>
      <c r="G729" s="4">
        <v>20250824</v>
      </c>
      <c r="H729" s="6" t="s">
        <v>24</v>
      </c>
      <c r="I729" s="8" t="s">
        <v>10</v>
      </c>
      <c r="J729" s="6" t="s">
        <v>187</v>
      </c>
    </row>
    <row r="730" spans="1:10">
      <c r="A730" s="9">
        <v>88</v>
      </c>
      <c r="B730" s="10">
        <v>5111</v>
      </c>
      <c r="C730" s="3">
        <v>2200</v>
      </c>
      <c r="D730" s="3">
        <v>4000000</v>
      </c>
      <c r="E730" s="7">
        <v>0</v>
      </c>
      <c r="F730" s="5">
        <v>45894</v>
      </c>
      <c r="G730" s="4">
        <v>20250824</v>
      </c>
      <c r="H730" s="6" t="s">
        <v>24</v>
      </c>
      <c r="I730" s="8" t="s">
        <v>10</v>
      </c>
      <c r="J730" s="6" t="s">
        <v>187</v>
      </c>
    </row>
    <row r="731" spans="1:10">
      <c r="A731" s="9">
        <v>426</v>
      </c>
      <c r="B731" s="10">
        <v>7819</v>
      </c>
      <c r="C731" s="3">
        <v>500000</v>
      </c>
      <c r="D731" s="3"/>
      <c r="E731" s="7">
        <v>0</v>
      </c>
      <c r="F731" s="5">
        <v>45894</v>
      </c>
      <c r="G731" s="4">
        <v>20251105</v>
      </c>
      <c r="H731" s="6" t="s">
        <v>24</v>
      </c>
      <c r="I731" s="8" t="s">
        <v>11</v>
      </c>
      <c r="J731" s="6" t="s">
        <v>187</v>
      </c>
    </row>
    <row r="732" spans="1:10">
      <c r="A732" s="9">
        <v>536</v>
      </c>
      <c r="B732" s="10">
        <v>4795</v>
      </c>
      <c r="C732" s="3">
        <v>100000</v>
      </c>
      <c r="D732" s="3"/>
      <c r="E732" s="7">
        <v>0</v>
      </c>
      <c r="F732" s="5">
        <v>45894</v>
      </c>
      <c r="G732" s="4">
        <v>20251105</v>
      </c>
      <c r="H732" s="6" t="s">
        <v>24</v>
      </c>
      <c r="I732" s="8" t="s">
        <v>11</v>
      </c>
      <c r="J732" s="6" t="s">
        <v>187</v>
      </c>
    </row>
    <row r="733" spans="1:10">
      <c r="A733" s="9">
        <v>567</v>
      </c>
      <c r="B733" s="10">
        <v>4521</v>
      </c>
      <c r="C733" s="3">
        <v>600000</v>
      </c>
      <c r="D733" s="3"/>
      <c r="E733" s="7">
        <v>0</v>
      </c>
      <c r="F733" s="5">
        <v>45894</v>
      </c>
      <c r="G733" s="4">
        <v>20251105</v>
      </c>
      <c r="H733" s="6" t="s">
        <v>24</v>
      </c>
      <c r="I733" s="8" t="s">
        <v>11</v>
      </c>
      <c r="J733" s="6" t="s">
        <v>187</v>
      </c>
    </row>
    <row r="734" spans="1:10">
      <c r="A734" s="9">
        <v>19</v>
      </c>
      <c r="B734" s="10">
        <v>5078</v>
      </c>
      <c r="C734" s="3">
        <v>80000</v>
      </c>
      <c r="D734" s="3">
        <v>80000</v>
      </c>
      <c r="E734" s="7">
        <v>0</v>
      </c>
      <c r="F734" s="5">
        <v>45895</v>
      </c>
      <c r="G734" s="4">
        <v>20250825</v>
      </c>
      <c r="H734" s="6" t="s">
        <v>30</v>
      </c>
      <c r="I734" s="8" t="s">
        <v>9</v>
      </c>
      <c r="J734" s="6" t="s">
        <v>145</v>
      </c>
    </row>
    <row r="735" spans="1:10">
      <c r="A735" s="9">
        <v>536</v>
      </c>
      <c r="B735" s="10">
        <v>4796</v>
      </c>
      <c r="C735" s="3">
        <v>100000</v>
      </c>
      <c r="D735" s="3">
        <v>100000</v>
      </c>
      <c r="E735" s="7">
        <v>0</v>
      </c>
      <c r="F735" s="5">
        <v>45896</v>
      </c>
      <c r="G735" s="4">
        <v>20250826</v>
      </c>
      <c r="H735" s="6" t="s">
        <v>30</v>
      </c>
      <c r="I735" s="8" t="s">
        <v>9</v>
      </c>
      <c r="J735" s="6" t="s">
        <v>273</v>
      </c>
    </row>
    <row r="736" spans="1:10">
      <c r="A736" s="9">
        <v>30</v>
      </c>
      <c r="B736" s="10">
        <v>4958</v>
      </c>
      <c r="C736" s="3">
        <v>600000</v>
      </c>
      <c r="D736" s="3">
        <v>600000</v>
      </c>
      <c r="E736" s="7">
        <v>0</v>
      </c>
      <c r="F736" s="5">
        <v>45897</v>
      </c>
      <c r="G736" s="4">
        <v>20250827</v>
      </c>
      <c r="H736" s="6" t="s">
        <v>30</v>
      </c>
      <c r="I736" s="8" t="s">
        <v>9</v>
      </c>
      <c r="J736" s="6" t="s">
        <v>144</v>
      </c>
    </row>
    <row r="737" spans="1:10">
      <c r="A737" s="9">
        <v>762</v>
      </c>
      <c r="B737" s="10">
        <v>5181</v>
      </c>
      <c r="C737" s="3">
        <v>310000</v>
      </c>
      <c r="D737" s="3">
        <v>310000</v>
      </c>
      <c r="E737" s="7">
        <f t="shared" ref="E737" si="59">+C737-D737</f>
        <v>0</v>
      </c>
      <c r="F737" s="5">
        <v>45902</v>
      </c>
      <c r="G737" s="4">
        <v>20250901</v>
      </c>
      <c r="H737" s="6" t="str">
        <f>VLOOKUP(B737,CAJEROS!B:D,3,0)</f>
        <v>Multifuncional</v>
      </c>
      <c r="I737" s="8" t="s">
        <v>9</v>
      </c>
      <c r="J737" s="6" t="str">
        <f>VLOOKUP(B737,CAJEROS!B:E,4,0)</f>
        <v>MF_HERRADU1</v>
      </c>
    </row>
    <row r="738" spans="1:10">
      <c r="A738" s="9">
        <v>915</v>
      </c>
      <c r="B738" s="10">
        <v>8314</v>
      </c>
      <c r="C738" s="3">
        <v>2500000</v>
      </c>
      <c r="D738" s="3">
        <v>2500000</v>
      </c>
      <c r="E738" s="7">
        <v>0</v>
      </c>
      <c r="F738" s="5">
        <v>45890</v>
      </c>
      <c r="G738" s="4">
        <v>20250820</v>
      </c>
      <c r="H738" s="6" t="s">
        <v>24</v>
      </c>
      <c r="I738" s="8" t="s">
        <v>9</v>
      </c>
      <c r="J738" s="6" t="s">
        <v>56</v>
      </c>
    </row>
    <row r="739" spans="1:10">
      <c r="A739" s="9">
        <v>866</v>
      </c>
      <c r="B739" s="10">
        <v>8662</v>
      </c>
      <c r="C739" s="3">
        <v>2130000</v>
      </c>
      <c r="D739" s="3">
        <v>2130000</v>
      </c>
      <c r="E739" s="7">
        <v>0</v>
      </c>
      <c r="F739" s="5">
        <v>45891</v>
      </c>
      <c r="G739" s="4">
        <v>20250821</v>
      </c>
      <c r="H739" s="6" t="s">
        <v>24</v>
      </c>
      <c r="I739" s="8" t="s">
        <v>9</v>
      </c>
      <c r="J739" s="6" t="s">
        <v>131</v>
      </c>
    </row>
    <row r="740" spans="1:10">
      <c r="A740" s="9">
        <v>512</v>
      </c>
      <c r="B740" s="10">
        <v>4718</v>
      </c>
      <c r="C740" s="3">
        <v>80000</v>
      </c>
      <c r="D740" s="3">
        <v>80000</v>
      </c>
      <c r="E740" s="7">
        <v>0</v>
      </c>
      <c r="F740" s="5">
        <v>45894</v>
      </c>
      <c r="G740" s="4">
        <v>20250824</v>
      </c>
      <c r="H740" s="6" t="s">
        <v>30</v>
      </c>
      <c r="I740" s="8" t="s">
        <v>9</v>
      </c>
      <c r="J740" s="6" t="s">
        <v>234</v>
      </c>
    </row>
    <row r="741" spans="1:10">
      <c r="A741" s="9">
        <v>705</v>
      </c>
      <c r="B741" s="10">
        <v>4151</v>
      </c>
      <c r="C741" s="3">
        <v>990000</v>
      </c>
      <c r="D741" s="3">
        <v>990000</v>
      </c>
      <c r="E741" s="7">
        <v>0</v>
      </c>
      <c r="F741" s="5">
        <v>45894</v>
      </c>
      <c r="G741" s="4">
        <v>20250824</v>
      </c>
      <c r="H741" s="6" t="s">
        <v>30</v>
      </c>
      <c r="I741" s="8" t="s">
        <v>9</v>
      </c>
      <c r="J741" s="6" t="s">
        <v>79</v>
      </c>
    </row>
    <row r="742" spans="1:10">
      <c r="A742" s="9">
        <v>705</v>
      </c>
      <c r="B742" s="10">
        <v>4151</v>
      </c>
      <c r="C742" s="3">
        <v>300000</v>
      </c>
      <c r="D742" s="3">
        <v>300000</v>
      </c>
      <c r="E742" s="7">
        <v>0</v>
      </c>
      <c r="F742" s="5">
        <v>45895</v>
      </c>
      <c r="G742" s="4">
        <v>20250825</v>
      </c>
      <c r="H742" s="6" t="s">
        <v>30</v>
      </c>
      <c r="I742" s="8" t="s">
        <v>9</v>
      </c>
      <c r="J742" s="6" t="s">
        <v>79</v>
      </c>
    </row>
    <row r="743" spans="1:10">
      <c r="A743" s="9">
        <v>705</v>
      </c>
      <c r="B743" s="10">
        <v>4151</v>
      </c>
      <c r="C743" s="3">
        <v>550000</v>
      </c>
      <c r="D743" s="3">
        <v>550000</v>
      </c>
      <c r="E743" s="7">
        <v>0</v>
      </c>
      <c r="F743" s="5">
        <v>45897</v>
      </c>
      <c r="G743" s="4">
        <v>20250827</v>
      </c>
      <c r="H743" s="6" t="s">
        <v>30</v>
      </c>
      <c r="I743" s="8" t="s">
        <v>9</v>
      </c>
      <c r="J743" s="6" t="s">
        <v>79</v>
      </c>
    </row>
    <row r="744" spans="1:10">
      <c r="A744" s="9">
        <v>7</v>
      </c>
      <c r="B744" s="10">
        <v>7812</v>
      </c>
      <c r="C744" s="3">
        <v>224000</v>
      </c>
      <c r="D744" s="3">
        <v>224000</v>
      </c>
      <c r="E744" s="7">
        <v>0</v>
      </c>
      <c r="F744" s="5">
        <v>45897</v>
      </c>
      <c r="G744" s="4">
        <v>20250827</v>
      </c>
      <c r="H744" s="6" t="s">
        <v>24</v>
      </c>
      <c r="I744" s="8" t="s">
        <v>9</v>
      </c>
      <c r="J744" s="6" t="s">
        <v>274</v>
      </c>
    </row>
    <row r="745" spans="1:10">
      <c r="A745" s="9">
        <v>512</v>
      </c>
      <c r="B745" s="10">
        <v>4718</v>
      </c>
      <c r="C745" s="3">
        <v>700000</v>
      </c>
      <c r="D745" s="3">
        <v>700000</v>
      </c>
      <c r="E745" s="7">
        <v>0</v>
      </c>
      <c r="F745" s="5">
        <v>45898</v>
      </c>
      <c r="G745" s="4">
        <v>20250828</v>
      </c>
      <c r="H745" s="6" t="s">
        <v>30</v>
      </c>
      <c r="I745" s="8" t="s">
        <v>9</v>
      </c>
      <c r="J745" s="6" t="s">
        <v>234</v>
      </c>
    </row>
    <row r="746" spans="1:10">
      <c r="A746" s="9">
        <v>705</v>
      </c>
      <c r="B746" s="10">
        <v>4151</v>
      </c>
      <c r="C746" s="3">
        <v>500000</v>
      </c>
      <c r="D746" s="3">
        <v>500000</v>
      </c>
      <c r="E746" s="7">
        <v>0</v>
      </c>
      <c r="F746" s="5">
        <v>45898</v>
      </c>
      <c r="G746" s="4">
        <v>20250828</v>
      </c>
      <c r="H746" s="6" t="s">
        <v>30</v>
      </c>
      <c r="I746" s="8" t="s">
        <v>9</v>
      </c>
      <c r="J746" s="6" t="s">
        <v>79</v>
      </c>
    </row>
    <row r="747" spans="1:10">
      <c r="A747" s="9">
        <v>866</v>
      </c>
      <c r="B747" s="10">
        <v>6260</v>
      </c>
      <c r="C747" s="3">
        <v>40000</v>
      </c>
      <c r="D747" s="3">
        <v>40000</v>
      </c>
      <c r="E747" s="7">
        <v>0</v>
      </c>
      <c r="F747" s="5">
        <v>45898</v>
      </c>
      <c r="G747" s="4">
        <v>20250828</v>
      </c>
      <c r="H747" s="6" t="s">
        <v>30</v>
      </c>
      <c r="I747" s="8" t="s">
        <v>9</v>
      </c>
      <c r="J747" s="6" t="s">
        <v>35</v>
      </c>
    </row>
    <row r="748" spans="1:10">
      <c r="A748" s="9">
        <v>453</v>
      </c>
      <c r="B748" s="10">
        <v>8012</v>
      </c>
      <c r="C748" s="3">
        <v>100000</v>
      </c>
      <c r="D748" s="3">
        <v>100000</v>
      </c>
      <c r="E748" s="7">
        <v>0</v>
      </c>
      <c r="F748" s="5">
        <v>45900</v>
      </c>
      <c r="G748" s="4">
        <v>20250829</v>
      </c>
      <c r="H748" s="6" t="s">
        <v>30</v>
      </c>
      <c r="I748" s="8"/>
      <c r="J748" s="6" t="s">
        <v>275</v>
      </c>
    </row>
    <row r="749" spans="1:10">
      <c r="A749" s="9">
        <v>795</v>
      </c>
      <c r="B749" s="10">
        <v>1027</v>
      </c>
      <c r="C749" s="3">
        <v>1274950</v>
      </c>
      <c r="D749" s="3">
        <v>1274950</v>
      </c>
      <c r="E749" s="7">
        <v>0</v>
      </c>
      <c r="F749" s="5">
        <v>45902</v>
      </c>
      <c r="G749" s="4">
        <v>20250901</v>
      </c>
      <c r="H749" s="6" t="s">
        <v>24</v>
      </c>
      <c r="I749" s="8" t="s">
        <v>9</v>
      </c>
      <c r="J749" s="6" t="s">
        <v>276</v>
      </c>
    </row>
    <row r="750" spans="1:10">
      <c r="A750" s="9">
        <v>523</v>
      </c>
      <c r="B750" s="10">
        <v>5082</v>
      </c>
      <c r="C750" s="3">
        <v>1510000</v>
      </c>
      <c r="D750" s="3">
        <v>1510000</v>
      </c>
      <c r="E750" s="7">
        <v>0</v>
      </c>
      <c r="F750" s="5">
        <v>45902</v>
      </c>
      <c r="G750" s="4">
        <v>20250901</v>
      </c>
      <c r="H750" s="6" t="s">
        <v>24</v>
      </c>
      <c r="I750" s="8" t="s">
        <v>9</v>
      </c>
      <c r="J750" s="6" t="s">
        <v>49</v>
      </c>
    </row>
    <row r="751" spans="1:10">
      <c r="A751" s="9">
        <v>667</v>
      </c>
      <c r="B751" s="10">
        <v>5167</v>
      </c>
      <c r="C751" s="3">
        <v>2120000</v>
      </c>
      <c r="D751" s="3">
        <v>2120000</v>
      </c>
      <c r="E751" s="7">
        <v>0</v>
      </c>
      <c r="F751" s="5">
        <v>45902</v>
      </c>
      <c r="G751" s="4">
        <v>20250901</v>
      </c>
      <c r="H751" s="6" t="s">
        <v>24</v>
      </c>
      <c r="I751" s="8" t="s">
        <v>9</v>
      </c>
      <c r="J751" s="6" t="s">
        <v>277</v>
      </c>
    </row>
    <row r="752" spans="1:10">
      <c r="A752" s="9">
        <v>520</v>
      </c>
      <c r="B752" s="10">
        <v>4471</v>
      </c>
      <c r="C752" s="3">
        <v>1050000</v>
      </c>
      <c r="D752" s="3">
        <v>1050000</v>
      </c>
      <c r="E752" s="7">
        <v>0</v>
      </c>
      <c r="F752" s="5">
        <v>45902</v>
      </c>
      <c r="G752" s="4">
        <v>20250901</v>
      </c>
      <c r="H752" s="6" t="s">
        <v>30</v>
      </c>
      <c r="I752" s="8"/>
      <c r="J752" s="6" t="s">
        <v>96</v>
      </c>
    </row>
    <row r="753" spans="1:10">
      <c r="A753" s="9">
        <v>520</v>
      </c>
      <c r="B753" s="10">
        <v>4470</v>
      </c>
      <c r="C753" s="3">
        <v>100000</v>
      </c>
      <c r="D753" s="3">
        <v>100000</v>
      </c>
      <c r="E753" s="7">
        <v>0</v>
      </c>
      <c r="F753" s="5">
        <v>45902</v>
      </c>
      <c r="G753" s="4">
        <v>20250901</v>
      </c>
      <c r="H753" s="6" t="s">
        <v>30</v>
      </c>
      <c r="I753" s="8" t="s">
        <v>9</v>
      </c>
      <c r="J753" s="6" t="s">
        <v>115</v>
      </c>
    </row>
    <row r="754" spans="1:10">
      <c r="A754" s="9">
        <v>705</v>
      </c>
      <c r="B754" s="10">
        <v>4151</v>
      </c>
      <c r="C754" s="3">
        <v>450000</v>
      </c>
      <c r="D754" s="3">
        <v>450000</v>
      </c>
      <c r="E754" s="7">
        <v>0</v>
      </c>
      <c r="F754" s="5">
        <v>45902</v>
      </c>
      <c r="G754" s="4">
        <v>20250901</v>
      </c>
      <c r="H754" s="6" t="s">
        <v>30</v>
      </c>
      <c r="I754" s="8" t="s">
        <v>9</v>
      </c>
      <c r="J754" s="6" t="s">
        <v>79</v>
      </c>
    </row>
    <row r="755" spans="1:10">
      <c r="A755" s="9">
        <v>820</v>
      </c>
      <c r="B755" s="10">
        <v>6988</v>
      </c>
      <c r="C755" s="3">
        <v>100000</v>
      </c>
      <c r="D755" s="3">
        <v>100000</v>
      </c>
      <c r="E755" s="7">
        <v>0</v>
      </c>
      <c r="F755" s="5">
        <v>45902</v>
      </c>
      <c r="G755" s="4">
        <v>20250901</v>
      </c>
      <c r="H755" s="6" t="s">
        <v>30</v>
      </c>
      <c r="I755" s="8" t="s">
        <v>9</v>
      </c>
      <c r="J755" s="6" t="s">
        <v>217</v>
      </c>
    </row>
    <row r="756" spans="1:10">
      <c r="A756" s="9">
        <v>866</v>
      </c>
      <c r="B756" s="10">
        <v>6260</v>
      </c>
      <c r="C756" s="3">
        <v>40000</v>
      </c>
      <c r="D756" s="3">
        <v>40000</v>
      </c>
      <c r="E756" s="7">
        <v>0</v>
      </c>
      <c r="F756" s="5">
        <v>45902</v>
      </c>
      <c r="G756" s="4">
        <v>20250901</v>
      </c>
      <c r="H756" s="6" t="s">
        <v>30</v>
      </c>
      <c r="I756" s="8" t="s">
        <v>9</v>
      </c>
      <c r="J756" s="6" t="s">
        <v>35</v>
      </c>
    </row>
    <row r="757" spans="1:10">
      <c r="A757" s="9">
        <v>866</v>
      </c>
      <c r="B757" s="10">
        <v>8661</v>
      </c>
      <c r="C757" s="3">
        <v>100000</v>
      </c>
      <c r="D757" s="3">
        <v>100000</v>
      </c>
      <c r="E757" s="7">
        <v>0</v>
      </c>
      <c r="F757" s="5">
        <v>45902</v>
      </c>
      <c r="G757" s="4">
        <v>20250901</v>
      </c>
      <c r="H757" s="6" t="s">
        <v>30</v>
      </c>
      <c r="I757" s="8" t="s">
        <v>9</v>
      </c>
      <c r="J757" s="6" t="s">
        <v>278</v>
      </c>
    </row>
    <row r="758" spans="1:10">
      <c r="A758" s="9">
        <v>201</v>
      </c>
      <c r="B758" s="9">
        <v>6916</v>
      </c>
      <c r="C758" s="3">
        <v>1250000</v>
      </c>
      <c r="D758" s="3">
        <v>1250000</v>
      </c>
      <c r="E758" s="7">
        <v>0</v>
      </c>
      <c r="F758" s="5">
        <v>45877</v>
      </c>
      <c r="G758" s="4">
        <v>20250807</v>
      </c>
      <c r="H758" s="6" t="s">
        <v>30</v>
      </c>
      <c r="I758" s="8" t="s">
        <v>9</v>
      </c>
      <c r="J758" s="6" t="s">
        <v>279</v>
      </c>
    </row>
    <row r="759" spans="1:10">
      <c r="A759" s="9">
        <v>652</v>
      </c>
      <c r="B759" s="9">
        <v>5070</v>
      </c>
      <c r="C759" s="3">
        <v>1500</v>
      </c>
      <c r="D759" s="3">
        <v>1500</v>
      </c>
      <c r="E759" s="7">
        <v>0</v>
      </c>
      <c r="F759" s="5">
        <v>45877</v>
      </c>
      <c r="G759" s="4">
        <v>20250806</v>
      </c>
      <c r="H759" s="6" t="s">
        <v>24</v>
      </c>
      <c r="I759" s="8"/>
      <c r="J759" s="6" t="s">
        <v>201</v>
      </c>
    </row>
    <row r="760" spans="1:10">
      <c r="A760" s="9">
        <v>201</v>
      </c>
      <c r="B760" s="9">
        <v>6916</v>
      </c>
      <c r="C760" s="3">
        <v>1400000</v>
      </c>
      <c r="D760" s="3">
        <v>1400000</v>
      </c>
      <c r="E760" s="7">
        <v>0</v>
      </c>
      <c r="F760" s="5">
        <v>45880</v>
      </c>
      <c r="G760" s="4">
        <v>20250810</v>
      </c>
      <c r="H760" s="6" t="s">
        <v>30</v>
      </c>
      <c r="I760" s="8" t="s">
        <v>9</v>
      </c>
      <c r="J760" s="6" t="s">
        <v>279</v>
      </c>
    </row>
    <row r="761" spans="1:10">
      <c r="A761" s="9">
        <v>652</v>
      </c>
      <c r="B761" s="9">
        <v>5070</v>
      </c>
      <c r="C761" s="3">
        <v>180000</v>
      </c>
      <c r="D761" s="3">
        <v>180000</v>
      </c>
      <c r="E761" s="7">
        <v>0</v>
      </c>
      <c r="F761" s="5">
        <v>45880</v>
      </c>
      <c r="G761" s="4">
        <v>20250810</v>
      </c>
      <c r="H761" s="6" t="s">
        <v>24</v>
      </c>
      <c r="I761" s="8" t="s">
        <v>9</v>
      </c>
      <c r="J761" s="6" t="s">
        <v>201</v>
      </c>
    </row>
    <row r="762" spans="1:10">
      <c r="A762" s="9">
        <v>264</v>
      </c>
      <c r="B762" s="9">
        <v>9906</v>
      </c>
      <c r="C762" s="3">
        <v>1240000</v>
      </c>
      <c r="D762" s="3">
        <v>1240000</v>
      </c>
      <c r="E762" s="7">
        <v>0</v>
      </c>
      <c r="F762" s="5">
        <v>45880</v>
      </c>
      <c r="G762" s="4">
        <v>20250810</v>
      </c>
      <c r="H762" s="6" t="s">
        <v>24</v>
      </c>
      <c r="I762" s="8" t="s">
        <v>9</v>
      </c>
      <c r="J762" s="6" t="s">
        <v>57</v>
      </c>
    </row>
    <row r="763" spans="1:10">
      <c r="A763" s="9">
        <v>32</v>
      </c>
      <c r="B763" s="9">
        <v>5027</v>
      </c>
      <c r="C763" s="3">
        <v>8850</v>
      </c>
      <c r="D763" s="3">
        <v>8850</v>
      </c>
      <c r="E763" s="7">
        <v>0</v>
      </c>
      <c r="F763" s="5">
        <v>45881</v>
      </c>
      <c r="G763" s="4">
        <v>20250811</v>
      </c>
      <c r="H763" s="6" t="s">
        <v>24</v>
      </c>
      <c r="I763" s="8"/>
      <c r="J763" s="6" t="s">
        <v>280</v>
      </c>
    </row>
    <row r="764" spans="1:10">
      <c r="A764" s="9">
        <v>652</v>
      </c>
      <c r="B764" s="9">
        <v>5070</v>
      </c>
      <c r="C764" s="3">
        <v>2120000</v>
      </c>
      <c r="D764" s="3">
        <v>2120000</v>
      </c>
      <c r="E764" s="7">
        <v>0</v>
      </c>
      <c r="F764" s="5">
        <v>45881</v>
      </c>
      <c r="G764" s="4">
        <v>20250811</v>
      </c>
      <c r="H764" s="6" t="s">
        <v>24</v>
      </c>
      <c r="I764" s="8" t="s">
        <v>9</v>
      </c>
      <c r="J764" s="6" t="s">
        <v>201</v>
      </c>
    </row>
    <row r="765" spans="1:10">
      <c r="A765" s="9">
        <v>264</v>
      </c>
      <c r="B765" s="9">
        <v>9906</v>
      </c>
      <c r="C765" s="3">
        <v>460000</v>
      </c>
      <c r="D765" s="3">
        <v>460000</v>
      </c>
      <c r="E765" s="7">
        <v>0</v>
      </c>
      <c r="F765" s="5">
        <v>45882</v>
      </c>
      <c r="G765" s="4">
        <v>20250812</v>
      </c>
      <c r="H765" s="6" t="s">
        <v>24</v>
      </c>
      <c r="I765" s="8" t="s">
        <v>9</v>
      </c>
      <c r="J765" s="6" t="s">
        <v>57</v>
      </c>
    </row>
    <row r="766" spans="1:10">
      <c r="A766" s="9">
        <v>201</v>
      </c>
      <c r="B766" s="9">
        <v>6916</v>
      </c>
      <c r="C766" s="3">
        <v>2350000</v>
      </c>
      <c r="D766" s="3">
        <v>2350000</v>
      </c>
      <c r="E766" s="7">
        <v>0</v>
      </c>
      <c r="F766" s="5">
        <v>45882</v>
      </c>
      <c r="G766" s="4">
        <v>20250812</v>
      </c>
      <c r="H766" s="6" t="s">
        <v>30</v>
      </c>
      <c r="I766" s="8" t="s">
        <v>9</v>
      </c>
      <c r="J766" s="6" t="s">
        <v>279</v>
      </c>
    </row>
    <row r="767" spans="1:10">
      <c r="A767" s="9">
        <v>6</v>
      </c>
      <c r="B767" s="10">
        <v>5001</v>
      </c>
      <c r="C767" s="3">
        <v>1550000</v>
      </c>
      <c r="D767" s="3">
        <v>1550000</v>
      </c>
      <c r="E767" s="7">
        <v>0</v>
      </c>
      <c r="F767" s="5">
        <v>45883</v>
      </c>
      <c r="G767" s="4">
        <v>20250813</v>
      </c>
      <c r="H767" s="6" t="s">
        <v>24</v>
      </c>
      <c r="I767" s="8" t="s">
        <v>9</v>
      </c>
      <c r="J767" s="6" t="s">
        <v>281</v>
      </c>
    </row>
    <row r="768" spans="1:10">
      <c r="A768" s="9">
        <v>32</v>
      </c>
      <c r="B768" s="10">
        <v>5027</v>
      </c>
      <c r="C768" s="3">
        <v>7150</v>
      </c>
      <c r="D768" s="3">
        <v>7150</v>
      </c>
      <c r="E768" s="7">
        <v>0</v>
      </c>
      <c r="F768" s="5">
        <v>45883</v>
      </c>
      <c r="G768" s="4">
        <v>20250813</v>
      </c>
      <c r="H768" s="6" t="s">
        <v>24</v>
      </c>
      <c r="I768" s="8" t="s">
        <v>10</v>
      </c>
      <c r="J768" s="6" t="s">
        <v>280</v>
      </c>
    </row>
    <row r="769" spans="1:10">
      <c r="A769" s="9">
        <v>32</v>
      </c>
      <c r="B769" s="10">
        <v>5027</v>
      </c>
      <c r="C769" s="3">
        <v>1100</v>
      </c>
      <c r="D769" s="3">
        <v>1100</v>
      </c>
      <c r="E769" s="7">
        <v>0</v>
      </c>
      <c r="F769" s="5">
        <v>45884</v>
      </c>
      <c r="G769" s="4">
        <v>20250814</v>
      </c>
      <c r="H769" s="6" t="s">
        <v>24</v>
      </c>
      <c r="I769" s="8"/>
      <c r="J769" s="6" t="s">
        <v>280</v>
      </c>
    </row>
    <row r="770" spans="1:10">
      <c r="A770" s="9">
        <v>264</v>
      </c>
      <c r="B770" s="10">
        <v>9906</v>
      </c>
      <c r="C770" s="3">
        <v>430000</v>
      </c>
      <c r="D770" s="3">
        <v>430000</v>
      </c>
      <c r="E770" s="7">
        <v>0</v>
      </c>
      <c r="F770" s="5">
        <v>45884</v>
      </c>
      <c r="G770" s="4">
        <v>20250814</v>
      </c>
      <c r="H770" s="6" t="s">
        <v>24</v>
      </c>
      <c r="I770" s="8" t="s">
        <v>9</v>
      </c>
      <c r="J770" s="6" t="s">
        <v>57</v>
      </c>
    </row>
    <row r="771" spans="1:10">
      <c r="A771" s="9">
        <v>15</v>
      </c>
      <c r="B771" s="10">
        <v>8572</v>
      </c>
      <c r="C771" s="3">
        <v>250000</v>
      </c>
      <c r="D771" s="3">
        <v>250000</v>
      </c>
      <c r="E771" s="7">
        <v>0</v>
      </c>
      <c r="F771" s="5">
        <v>45888</v>
      </c>
      <c r="G771" s="4">
        <v>20250818</v>
      </c>
      <c r="H771" s="6" t="s">
        <v>30</v>
      </c>
      <c r="I771" s="8" t="s">
        <v>9</v>
      </c>
      <c r="J771" s="6" t="s">
        <v>282</v>
      </c>
    </row>
    <row r="772" spans="1:10">
      <c r="A772" s="9">
        <v>201</v>
      </c>
      <c r="B772" s="10">
        <v>6916</v>
      </c>
      <c r="C772" s="3">
        <v>8100000</v>
      </c>
      <c r="D772" s="3">
        <v>8100000</v>
      </c>
      <c r="E772" s="7">
        <v>0</v>
      </c>
      <c r="F772" s="5">
        <v>45888</v>
      </c>
      <c r="G772" s="4">
        <v>20250818</v>
      </c>
      <c r="H772" s="6" t="s">
        <v>30</v>
      </c>
      <c r="I772" s="8" t="s">
        <v>9</v>
      </c>
      <c r="J772" s="6" t="s">
        <v>279</v>
      </c>
    </row>
    <row r="773" spans="1:10">
      <c r="A773" s="9">
        <v>567</v>
      </c>
      <c r="B773" s="10">
        <v>4521</v>
      </c>
      <c r="C773" s="3">
        <v>4850000</v>
      </c>
      <c r="D773" s="3">
        <v>4850000</v>
      </c>
      <c r="E773" s="7">
        <v>0</v>
      </c>
      <c r="F773" s="5">
        <v>45888</v>
      </c>
      <c r="G773" s="4">
        <v>20250818</v>
      </c>
      <c r="H773" s="6" t="s">
        <v>30</v>
      </c>
      <c r="I773" s="8" t="s">
        <v>9</v>
      </c>
      <c r="J773" s="6" t="s">
        <v>120</v>
      </c>
    </row>
    <row r="774" spans="1:10">
      <c r="A774" s="9">
        <v>909</v>
      </c>
      <c r="B774" s="10">
        <v>6641</v>
      </c>
      <c r="C774" s="3">
        <v>90000</v>
      </c>
      <c r="D774" s="3">
        <v>90000</v>
      </c>
      <c r="E774" s="7">
        <v>0</v>
      </c>
      <c r="F774" s="5">
        <v>45888</v>
      </c>
      <c r="G774" s="4">
        <v>20250818</v>
      </c>
      <c r="H774" s="6" t="s">
        <v>30</v>
      </c>
      <c r="I774" s="8" t="s">
        <v>9</v>
      </c>
      <c r="J774" s="6" t="s">
        <v>239</v>
      </c>
    </row>
    <row r="775" spans="1:10">
      <c r="A775" s="9">
        <v>944</v>
      </c>
      <c r="B775" s="10">
        <v>8355</v>
      </c>
      <c r="C775" s="3">
        <v>200000</v>
      </c>
      <c r="D775" s="3">
        <v>200000</v>
      </c>
      <c r="E775" s="7">
        <v>0</v>
      </c>
      <c r="F775" s="5">
        <v>45888</v>
      </c>
      <c r="G775" s="4">
        <v>20250818</v>
      </c>
      <c r="H775" s="6" t="s">
        <v>30</v>
      </c>
      <c r="I775" s="8" t="s">
        <v>9</v>
      </c>
      <c r="J775" s="6" t="s">
        <v>283</v>
      </c>
    </row>
    <row r="776" spans="1:10">
      <c r="A776" s="9">
        <v>944</v>
      </c>
      <c r="B776" s="10">
        <v>8357</v>
      </c>
      <c r="C776" s="3">
        <v>200000</v>
      </c>
      <c r="D776" s="3">
        <v>200000</v>
      </c>
      <c r="E776" s="7">
        <v>0</v>
      </c>
      <c r="F776" s="5">
        <v>45888</v>
      </c>
      <c r="G776" s="4">
        <v>20250818</v>
      </c>
      <c r="H776" s="6" t="s">
        <v>30</v>
      </c>
      <c r="I776" s="8" t="s">
        <v>9</v>
      </c>
      <c r="J776" s="6" t="s">
        <v>47</v>
      </c>
    </row>
    <row r="777" spans="1:10">
      <c r="A777" s="9">
        <v>201</v>
      </c>
      <c r="B777" s="10">
        <v>6916</v>
      </c>
      <c r="C777" s="3">
        <v>3400000</v>
      </c>
      <c r="D777" s="3">
        <v>3400000</v>
      </c>
      <c r="E777" s="7">
        <v>0</v>
      </c>
      <c r="F777" s="5">
        <v>45889</v>
      </c>
      <c r="G777" s="4">
        <v>20250819</v>
      </c>
      <c r="H777" s="6" t="s">
        <v>30</v>
      </c>
      <c r="I777" s="8" t="s">
        <v>9</v>
      </c>
      <c r="J777" s="6" t="s">
        <v>279</v>
      </c>
    </row>
    <row r="778" spans="1:10">
      <c r="A778" s="9">
        <v>201</v>
      </c>
      <c r="B778" s="10">
        <v>6916</v>
      </c>
      <c r="C778" s="3">
        <v>2150000</v>
      </c>
      <c r="D778" s="3">
        <v>2150000</v>
      </c>
      <c r="E778" s="7">
        <v>0</v>
      </c>
      <c r="F778" s="5">
        <v>45890</v>
      </c>
      <c r="G778" s="4">
        <v>20250820</v>
      </c>
      <c r="H778" s="6" t="s">
        <v>30</v>
      </c>
      <c r="I778" s="8" t="s">
        <v>9</v>
      </c>
      <c r="J778" s="6" t="s">
        <v>279</v>
      </c>
    </row>
    <row r="779" spans="1:10">
      <c r="A779" s="9">
        <v>481</v>
      </c>
      <c r="B779" s="10">
        <v>1008</v>
      </c>
      <c r="C779" s="3">
        <v>400000</v>
      </c>
      <c r="D779" s="3">
        <v>400000</v>
      </c>
      <c r="E779" s="7">
        <v>0</v>
      </c>
      <c r="F779" s="5">
        <v>45890</v>
      </c>
      <c r="G779" s="4">
        <v>20250820</v>
      </c>
      <c r="H779" s="6" t="s">
        <v>30</v>
      </c>
      <c r="I779" s="8" t="s">
        <v>9</v>
      </c>
      <c r="J779" s="6" t="s">
        <v>284</v>
      </c>
    </row>
    <row r="780" spans="1:10">
      <c r="A780" s="9">
        <v>567</v>
      </c>
      <c r="B780" s="10">
        <v>4521</v>
      </c>
      <c r="C780" s="3">
        <v>9070000</v>
      </c>
      <c r="D780" s="3">
        <v>9070000</v>
      </c>
      <c r="E780" s="7">
        <v>0</v>
      </c>
      <c r="F780" s="5">
        <v>45890</v>
      </c>
      <c r="G780" s="4">
        <v>20250820</v>
      </c>
      <c r="H780" s="6" t="s">
        <v>30</v>
      </c>
      <c r="I780" s="8" t="s">
        <v>9</v>
      </c>
      <c r="J780" s="6" t="s">
        <v>120</v>
      </c>
    </row>
    <row r="781" spans="1:10">
      <c r="A781" s="9">
        <v>706</v>
      </c>
      <c r="B781" s="10">
        <v>4147</v>
      </c>
      <c r="C781" s="3">
        <v>3530000</v>
      </c>
      <c r="D781" s="3">
        <v>3530000</v>
      </c>
      <c r="E781" s="7">
        <v>0</v>
      </c>
      <c r="F781" s="5">
        <v>45890</v>
      </c>
      <c r="G781" s="4">
        <v>20250820</v>
      </c>
      <c r="H781" s="6" t="s">
        <v>30</v>
      </c>
      <c r="I781" s="8" t="s">
        <v>9</v>
      </c>
      <c r="J781" s="6" t="s">
        <v>44</v>
      </c>
    </row>
    <row r="782" spans="1:10">
      <c r="A782" s="9">
        <v>556</v>
      </c>
      <c r="B782" s="10">
        <v>8333</v>
      </c>
      <c r="C782" s="3">
        <v>40000</v>
      </c>
      <c r="D782" s="3">
        <v>40000</v>
      </c>
      <c r="E782" s="7">
        <v>0</v>
      </c>
      <c r="F782" s="5">
        <v>45891</v>
      </c>
      <c r="G782" s="4">
        <v>20250821</v>
      </c>
      <c r="H782" s="6" t="s">
        <v>24</v>
      </c>
      <c r="I782" s="8" t="s">
        <v>9</v>
      </c>
      <c r="J782" s="6" t="s">
        <v>90</v>
      </c>
    </row>
    <row r="783" spans="1:10">
      <c r="A783" s="9">
        <v>567</v>
      </c>
      <c r="B783" s="10">
        <v>4521</v>
      </c>
      <c r="C783" s="3">
        <v>3340000</v>
      </c>
      <c r="D783" s="3">
        <v>3340000</v>
      </c>
      <c r="E783" s="7">
        <v>0</v>
      </c>
      <c r="F783" s="5">
        <v>45891</v>
      </c>
      <c r="G783" s="4">
        <v>20250821</v>
      </c>
      <c r="H783" s="6" t="s">
        <v>30</v>
      </c>
      <c r="I783" s="8" t="s">
        <v>9</v>
      </c>
      <c r="J783" s="6" t="s">
        <v>120</v>
      </c>
    </row>
    <row r="784" spans="1:10">
      <c r="A784" s="9">
        <v>909</v>
      </c>
      <c r="B784" s="10">
        <v>6641</v>
      </c>
      <c r="C784" s="3">
        <v>20000</v>
      </c>
      <c r="D784" s="3">
        <v>20000</v>
      </c>
      <c r="E784" s="7">
        <v>0</v>
      </c>
      <c r="F784" s="5">
        <v>45891</v>
      </c>
      <c r="G784" s="4">
        <v>20250821</v>
      </c>
      <c r="H784" s="6" t="s">
        <v>30</v>
      </c>
      <c r="I784" s="8" t="s">
        <v>10</v>
      </c>
      <c r="J784" s="6" t="s">
        <v>239</v>
      </c>
    </row>
    <row r="785" spans="1:10">
      <c r="A785" s="9">
        <v>907</v>
      </c>
      <c r="B785" s="10">
        <v>4830</v>
      </c>
      <c r="C785" s="3">
        <v>2010000</v>
      </c>
      <c r="D785" s="3">
        <v>2010000</v>
      </c>
      <c r="E785" s="7">
        <v>0</v>
      </c>
      <c r="F785" s="5">
        <v>45894</v>
      </c>
      <c r="G785" s="4">
        <v>20250824</v>
      </c>
      <c r="H785" s="6" t="s">
        <v>24</v>
      </c>
      <c r="I785" s="8" t="s">
        <v>9</v>
      </c>
      <c r="J785" s="6" t="s">
        <v>110</v>
      </c>
    </row>
    <row r="786" spans="1:10">
      <c r="A786" s="9">
        <v>236</v>
      </c>
      <c r="B786" s="10">
        <v>8497</v>
      </c>
      <c r="C786" s="3">
        <v>40000</v>
      </c>
      <c r="D786" s="3">
        <v>40000</v>
      </c>
      <c r="E786" s="7">
        <v>0</v>
      </c>
      <c r="F786" s="5">
        <v>45895</v>
      </c>
      <c r="G786" s="4">
        <v>20250825</v>
      </c>
      <c r="H786" s="6" t="s">
        <v>24</v>
      </c>
      <c r="I786" s="8" t="s">
        <v>9</v>
      </c>
      <c r="J786" s="6" t="s">
        <v>285</v>
      </c>
    </row>
    <row r="787" spans="1:10">
      <c r="A787" s="9">
        <v>567</v>
      </c>
      <c r="B787" s="10">
        <v>4521</v>
      </c>
      <c r="C787" s="3">
        <v>5590000</v>
      </c>
      <c r="D787" s="3">
        <v>5590000</v>
      </c>
      <c r="E787" s="7">
        <v>0</v>
      </c>
      <c r="F787" s="5">
        <v>45896</v>
      </c>
      <c r="G787" s="4">
        <v>20250826</v>
      </c>
      <c r="H787" s="6" t="s">
        <v>30</v>
      </c>
      <c r="I787" s="8" t="s">
        <v>9</v>
      </c>
      <c r="J787" s="6" t="s">
        <v>120</v>
      </c>
    </row>
    <row r="788" spans="1:10">
      <c r="A788" s="9">
        <v>706</v>
      </c>
      <c r="B788" s="10">
        <v>4147</v>
      </c>
      <c r="C788" s="3">
        <v>12660000</v>
      </c>
      <c r="D788" s="3">
        <v>12660000</v>
      </c>
      <c r="E788" s="7">
        <v>0</v>
      </c>
      <c r="F788" s="5">
        <v>45896</v>
      </c>
      <c r="G788" s="4">
        <v>20250826</v>
      </c>
      <c r="H788" s="6" t="s">
        <v>30</v>
      </c>
      <c r="I788" s="8" t="s">
        <v>9</v>
      </c>
      <c r="J788" s="6" t="s">
        <v>44</v>
      </c>
    </row>
    <row r="789" spans="1:10">
      <c r="A789" s="9">
        <v>840</v>
      </c>
      <c r="B789" s="10">
        <v>4248</v>
      </c>
      <c r="C789" s="3">
        <v>200000</v>
      </c>
      <c r="D789" s="3">
        <v>200000</v>
      </c>
      <c r="E789" s="7">
        <v>0</v>
      </c>
      <c r="F789" s="5">
        <v>45896</v>
      </c>
      <c r="G789" s="4">
        <v>20250826</v>
      </c>
      <c r="H789" s="6" t="s">
        <v>30</v>
      </c>
      <c r="I789" s="8" t="s">
        <v>9</v>
      </c>
      <c r="J789" s="6" t="s">
        <v>286</v>
      </c>
    </row>
    <row r="790" spans="1:10">
      <c r="A790" s="9">
        <v>32</v>
      </c>
      <c r="B790" s="10">
        <v>5027</v>
      </c>
      <c r="C790" s="3">
        <v>70000</v>
      </c>
      <c r="D790" s="3">
        <v>70000</v>
      </c>
      <c r="E790" s="7">
        <v>0</v>
      </c>
      <c r="F790" s="5">
        <v>45896</v>
      </c>
      <c r="G790" s="4">
        <v>20250826</v>
      </c>
      <c r="H790" s="6" t="s">
        <v>24</v>
      </c>
      <c r="I790" s="8" t="s">
        <v>9</v>
      </c>
      <c r="J790" s="6" t="s">
        <v>280</v>
      </c>
    </row>
    <row r="791" spans="1:10">
      <c r="A791" s="9">
        <v>556</v>
      </c>
      <c r="B791" s="10">
        <v>8333</v>
      </c>
      <c r="C791" s="3">
        <v>2870000</v>
      </c>
      <c r="D791" s="3">
        <v>2870000</v>
      </c>
      <c r="E791" s="7">
        <v>0</v>
      </c>
      <c r="F791" s="5">
        <v>45897</v>
      </c>
      <c r="G791" s="4">
        <v>20250827</v>
      </c>
      <c r="H791" s="6" t="s">
        <v>24</v>
      </c>
      <c r="I791" s="8" t="s">
        <v>9</v>
      </c>
      <c r="J791" s="6" t="s">
        <v>90</v>
      </c>
    </row>
    <row r="792" spans="1:10">
      <c r="A792" s="9">
        <v>909</v>
      </c>
      <c r="B792" s="10">
        <v>6641</v>
      </c>
      <c r="C792" s="3">
        <v>250000</v>
      </c>
      <c r="D792" s="3">
        <v>250000</v>
      </c>
      <c r="E792" s="7">
        <v>0</v>
      </c>
      <c r="F792" s="5">
        <v>45898</v>
      </c>
      <c r="G792" s="4">
        <v>20250828</v>
      </c>
      <c r="H792" s="6" t="s">
        <v>30</v>
      </c>
      <c r="I792" s="8" t="s">
        <v>9</v>
      </c>
      <c r="J792" s="6" t="s">
        <v>239</v>
      </c>
    </row>
    <row r="793" spans="1:10">
      <c r="A793" s="9">
        <v>6</v>
      </c>
      <c r="B793" s="10">
        <v>5001</v>
      </c>
      <c r="C793" s="3">
        <v>620000</v>
      </c>
      <c r="D793" s="3">
        <v>620000</v>
      </c>
      <c r="E793" s="7">
        <v>0</v>
      </c>
      <c r="F793" s="5">
        <v>45898</v>
      </c>
      <c r="G793" s="4">
        <v>20250828</v>
      </c>
      <c r="H793" s="6" t="s">
        <v>24</v>
      </c>
      <c r="I793" s="8" t="s">
        <v>9</v>
      </c>
      <c r="J793" s="6" t="s">
        <v>281</v>
      </c>
    </row>
    <row r="794" spans="1:10">
      <c r="A794" s="9">
        <v>371</v>
      </c>
      <c r="B794" s="10">
        <v>6718</v>
      </c>
      <c r="C794" s="3">
        <v>840000</v>
      </c>
      <c r="D794" s="3">
        <v>840000</v>
      </c>
      <c r="E794" s="7">
        <v>0</v>
      </c>
      <c r="F794" s="5">
        <v>45898</v>
      </c>
      <c r="G794" s="4">
        <v>20250828</v>
      </c>
      <c r="H794" s="6" t="s">
        <v>24</v>
      </c>
      <c r="I794" s="8" t="s">
        <v>9</v>
      </c>
      <c r="J794" s="6" t="s">
        <v>287</v>
      </c>
    </row>
    <row r="795" spans="1:10">
      <c r="A795" s="9">
        <v>481</v>
      </c>
      <c r="B795" s="10">
        <v>1008</v>
      </c>
      <c r="C795" s="3">
        <v>130000</v>
      </c>
      <c r="D795" s="3">
        <v>130000</v>
      </c>
      <c r="E795" s="7">
        <v>0</v>
      </c>
      <c r="F795" s="5">
        <v>45900</v>
      </c>
      <c r="G795" s="4">
        <v>20250829</v>
      </c>
      <c r="H795" s="6" t="s">
        <v>30</v>
      </c>
      <c r="I795" s="8"/>
      <c r="J795" s="6" t="s">
        <v>284</v>
      </c>
    </row>
    <row r="796" spans="1:10">
      <c r="A796" s="9">
        <v>6</v>
      </c>
      <c r="B796" s="10">
        <v>5001</v>
      </c>
      <c r="C796" s="3">
        <v>2170000</v>
      </c>
      <c r="D796" s="3">
        <v>2170000</v>
      </c>
      <c r="E796" s="7">
        <v>0</v>
      </c>
      <c r="F796" s="5">
        <v>45902</v>
      </c>
      <c r="G796" s="4">
        <v>20250901</v>
      </c>
      <c r="H796" s="6" t="s">
        <v>24</v>
      </c>
      <c r="I796" s="8" t="s">
        <v>9</v>
      </c>
      <c r="J796" s="6" t="s">
        <v>281</v>
      </c>
    </row>
    <row r="797" spans="1:10">
      <c r="A797" s="9">
        <v>556</v>
      </c>
      <c r="B797" s="10">
        <v>8333</v>
      </c>
      <c r="C797" s="3">
        <v>1750000</v>
      </c>
      <c r="D797" s="3">
        <v>1750000</v>
      </c>
      <c r="E797" s="7">
        <v>0</v>
      </c>
      <c r="F797" s="5">
        <v>45902</v>
      </c>
      <c r="G797" s="4">
        <v>20250901</v>
      </c>
      <c r="H797" s="6" t="s">
        <v>24</v>
      </c>
      <c r="I797" s="8" t="s">
        <v>9</v>
      </c>
      <c r="J797" s="6" t="s">
        <v>90</v>
      </c>
    </row>
    <row r="798" spans="1:10">
      <c r="A798" s="9">
        <v>264</v>
      </c>
      <c r="B798" s="10">
        <v>9906</v>
      </c>
      <c r="C798" s="3">
        <v>2340000</v>
      </c>
      <c r="D798" s="3">
        <v>2340000</v>
      </c>
      <c r="E798" s="7">
        <v>0</v>
      </c>
      <c r="F798" s="5">
        <v>45902</v>
      </c>
      <c r="G798" s="4">
        <v>20250901</v>
      </c>
      <c r="H798" s="6" t="s">
        <v>24</v>
      </c>
      <c r="I798" s="8" t="s">
        <v>9</v>
      </c>
      <c r="J798" s="6" t="s">
        <v>57</v>
      </c>
    </row>
    <row r="799" spans="1:10">
      <c r="A799" s="9">
        <v>225</v>
      </c>
      <c r="B799" s="10">
        <v>8865</v>
      </c>
      <c r="C799" s="3">
        <v>40000</v>
      </c>
      <c r="D799" s="3">
        <v>40000</v>
      </c>
      <c r="E799" s="7">
        <v>0</v>
      </c>
      <c r="F799" s="5">
        <v>45902</v>
      </c>
      <c r="G799" s="4">
        <v>20250901</v>
      </c>
      <c r="H799" s="6" t="s">
        <v>30</v>
      </c>
      <c r="I799" s="8" t="s">
        <v>9</v>
      </c>
      <c r="J799" s="6" t="s">
        <v>288</v>
      </c>
    </row>
    <row r="800" spans="1:10">
      <c r="A800" s="9">
        <v>229</v>
      </c>
      <c r="B800" s="10">
        <v>8955</v>
      </c>
      <c r="C800" s="3">
        <v>200000</v>
      </c>
      <c r="D800" s="3">
        <v>200000</v>
      </c>
      <c r="E800" s="7">
        <v>0</v>
      </c>
      <c r="F800" s="5">
        <v>45902</v>
      </c>
      <c r="G800" s="4">
        <v>20250901</v>
      </c>
      <c r="H800" s="6" t="s">
        <v>30</v>
      </c>
      <c r="I800" s="8" t="s">
        <v>9</v>
      </c>
      <c r="J800" s="6" t="s">
        <v>289</v>
      </c>
    </row>
    <row r="801" spans="1:10">
      <c r="A801" s="9">
        <v>229</v>
      </c>
      <c r="B801" s="10">
        <v>8956</v>
      </c>
      <c r="C801" s="3">
        <v>340000</v>
      </c>
      <c r="D801" s="3">
        <v>340000</v>
      </c>
      <c r="E801" s="7">
        <v>0</v>
      </c>
      <c r="F801" s="5">
        <v>45902</v>
      </c>
      <c r="G801" s="4">
        <v>20250901</v>
      </c>
      <c r="H801" s="6" t="s">
        <v>30</v>
      </c>
      <c r="I801" s="8" t="s">
        <v>9</v>
      </c>
      <c r="J801" s="6" t="s">
        <v>260</v>
      </c>
    </row>
    <row r="802" spans="1:10">
      <c r="A802" s="9">
        <v>229</v>
      </c>
      <c r="B802" s="10">
        <v>8957</v>
      </c>
      <c r="C802" s="3">
        <v>1060000</v>
      </c>
      <c r="D802" s="3">
        <v>1060000</v>
      </c>
      <c r="E802" s="7">
        <v>0</v>
      </c>
      <c r="F802" s="5">
        <v>45902</v>
      </c>
      <c r="G802" s="4">
        <v>20250901</v>
      </c>
      <c r="H802" s="6" t="s">
        <v>30</v>
      </c>
      <c r="I802" s="8" t="s">
        <v>9</v>
      </c>
      <c r="J802" s="6" t="s">
        <v>71</v>
      </c>
    </row>
    <row r="803" spans="1:10">
      <c r="A803" s="9">
        <v>732</v>
      </c>
      <c r="B803" s="10">
        <v>6966</v>
      </c>
      <c r="C803" s="3">
        <v>340000</v>
      </c>
      <c r="D803" s="3">
        <v>340000</v>
      </c>
      <c r="E803" s="7">
        <v>0</v>
      </c>
      <c r="F803" s="5">
        <v>45902</v>
      </c>
      <c r="G803" s="4">
        <v>20250901</v>
      </c>
      <c r="H803" s="6" t="s">
        <v>30</v>
      </c>
      <c r="I803" s="8" t="s">
        <v>9</v>
      </c>
      <c r="J803" s="6" t="s">
        <v>290</v>
      </c>
    </row>
    <row r="804" spans="1:10">
      <c r="A804" s="9">
        <v>927</v>
      </c>
      <c r="B804" s="10">
        <v>5751</v>
      </c>
      <c r="C804" s="3">
        <v>100000</v>
      </c>
      <c r="D804" s="3">
        <v>100000</v>
      </c>
      <c r="E804" s="7">
        <v>0</v>
      </c>
      <c r="F804" s="5">
        <v>45902</v>
      </c>
      <c r="G804" s="4">
        <v>20250901</v>
      </c>
      <c r="H804" s="6" t="s">
        <v>30</v>
      </c>
      <c r="I804" s="8" t="s">
        <v>9</v>
      </c>
      <c r="J804" s="6" t="s">
        <v>210</v>
      </c>
    </row>
    <row r="805" spans="1:10">
      <c r="A805" s="9">
        <v>944</v>
      </c>
      <c r="B805" s="10">
        <v>8357</v>
      </c>
      <c r="C805" s="3">
        <v>20000</v>
      </c>
      <c r="D805" s="3">
        <v>20000</v>
      </c>
      <c r="E805" s="7">
        <v>0</v>
      </c>
      <c r="F805" s="5">
        <v>45902</v>
      </c>
      <c r="G805" s="4">
        <v>20250901</v>
      </c>
      <c r="H805" s="6" t="s">
        <v>30</v>
      </c>
      <c r="I805" s="8" t="s">
        <v>10</v>
      </c>
      <c r="J805" s="6" t="s">
        <v>47</v>
      </c>
    </row>
    <row r="806" spans="1:10">
      <c r="A806" s="9">
        <v>229</v>
      </c>
      <c r="B806" s="10">
        <v>8957</v>
      </c>
      <c r="C806" s="3">
        <v>200000</v>
      </c>
      <c r="D806" s="3">
        <v>200000</v>
      </c>
      <c r="E806" s="7">
        <v>0</v>
      </c>
      <c r="F806" s="5">
        <v>45903</v>
      </c>
      <c r="G806" s="4">
        <v>20250902</v>
      </c>
      <c r="H806" s="6" t="s">
        <v>30</v>
      </c>
      <c r="I806" s="8" t="s">
        <v>9</v>
      </c>
      <c r="J806" s="6" t="s">
        <v>71</v>
      </c>
    </row>
    <row r="807" spans="1:10">
      <c r="A807" s="9">
        <v>237</v>
      </c>
      <c r="B807" s="10">
        <v>6467</v>
      </c>
      <c r="C807" s="3">
        <v>120000</v>
      </c>
      <c r="D807" s="3">
        <v>120000</v>
      </c>
      <c r="E807" s="7">
        <v>0</v>
      </c>
      <c r="F807" s="5">
        <v>45903</v>
      </c>
      <c r="G807" s="4">
        <v>20250902</v>
      </c>
      <c r="H807" s="6" t="s">
        <v>24</v>
      </c>
      <c r="I807" s="8" t="s">
        <v>9</v>
      </c>
      <c r="J807" s="6" t="s">
        <v>151</v>
      </c>
    </row>
    <row r="808" spans="1:10">
      <c r="A808" s="9">
        <v>732</v>
      </c>
      <c r="B808" s="10">
        <v>6966</v>
      </c>
      <c r="C808" s="3">
        <v>20000</v>
      </c>
      <c r="D808" s="3">
        <v>20000</v>
      </c>
      <c r="E808" s="7">
        <v>0</v>
      </c>
      <c r="F808" s="5">
        <v>45903</v>
      </c>
      <c r="G808" s="4">
        <v>20250902</v>
      </c>
      <c r="H808" s="6" t="s">
        <v>30</v>
      </c>
      <c r="I808" s="8" t="s">
        <v>10</v>
      </c>
      <c r="J808" s="6" t="s">
        <v>290</v>
      </c>
    </row>
    <row r="809" spans="1:10">
      <c r="A809" s="9">
        <v>392</v>
      </c>
      <c r="B809" s="9">
        <v>5064</v>
      </c>
      <c r="C809" s="3">
        <v>2180350</v>
      </c>
      <c r="D809" s="3">
        <v>2180350</v>
      </c>
      <c r="E809" s="7">
        <v>0</v>
      </c>
      <c r="F809" s="5">
        <v>45880</v>
      </c>
      <c r="G809" s="4">
        <v>20250810</v>
      </c>
      <c r="H809" s="6" t="s">
        <v>24</v>
      </c>
      <c r="I809" s="8" t="s">
        <v>9</v>
      </c>
      <c r="J809" s="6" t="s">
        <v>212</v>
      </c>
    </row>
    <row r="810" spans="1:10">
      <c r="A810" s="9">
        <v>541</v>
      </c>
      <c r="B810" s="9">
        <v>8660</v>
      </c>
      <c r="C810" s="3">
        <v>1414000</v>
      </c>
      <c r="D810" s="3">
        <v>1414000</v>
      </c>
      <c r="E810" s="7">
        <v>0</v>
      </c>
      <c r="F810" s="5">
        <v>45881</v>
      </c>
      <c r="G810" s="4">
        <v>20250811</v>
      </c>
      <c r="H810" s="6" t="s">
        <v>24</v>
      </c>
      <c r="I810" s="8" t="s">
        <v>9</v>
      </c>
      <c r="J810" s="6" t="s">
        <v>291</v>
      </c>
    </row>
    <row r="811" spans="1:10">
      <c r="A811" s="9">
        <v>541</v>
      </c>
      <c r="B811" s="9">
        <v>8660</v>
      </c>
      <c r="C811" s="3">
        <v>615000</v>
      </c>
      <c r="D811" s="3">
        <v>615000</v>
      </c>
      <c r="E811" s="7">
        <v>0</v>
      </c>
      <c r="F811" s="5">
        <v>45882</v>
      </c>
      <c r="G811" s="4">
        <v>20250812</v>
      </c>
      <c r="H811" s="6" t="s">
        <v>24</v>
      </c>
      <c r="I811" s="8" t="s">
        <v>9</v>
      </c>
      <c r="J811" s="6" t="s">
        <v>291</v>
      </c>
    </row>
    <row r="812" spans="1:10">
      <c r="A812" s="9">
        <v>4</v>
      </c>
      <c r="B812" s="10">
        <v>8630</v>
      </c>
      <c r="C812" s="3">
        <v>2240700</v>
      </c>
      <c r="D812" s="3">
        <v>2240700</v>
      </c>
      <c r="E812" s="7">
        <v>0</v>
      </c>
      <c r="F812" s="5">
        <v>45883</v>
      </c>
      <c r="G812" s="4">
        <v>20250813</v>
      </c>
      <c r="H812" s="6" t="s">
        <v>24</v>
      </c>
      <c r="I812" s="8" t="s">
        <v>9</v>
      </c>
      <c r="J812" s="6" t="s">
        <v>292</v>
      </c>
    </row>
    <row r="813" spans="1:10">
      <c r="A813" s="9">
        <v>541</v>
      </c>
      <c r="B813" s="10">
        <v>8660</v>
      </c>
      <c r="C813" s="3">
        <v>1596000</v>
      </c>
      <c r="D813" s="3">
        <v>1596000</v>
      </c>
      <c r="E813" s="7">
        <v>0</v>
      </c>
      <c r="F813" s="5">
        <v>45883</v>
      </c>
      <c r="G813" s="4">
        <v>20250813</v>
      </c>
      <c r="H813" s="6" t="s">
        <v>24</v>
      </c>
      <c r="I813" s="8" t="s">
        <v>9</v>
      </c>
      <c r="J813" s="6" t="s">
        <v>291</v>
      </c>
    </row>
    <row r="814" spans="1:10">
      <c r="A814" s="9">
        <v>211</v>
      </c>
      <c r="B814" s="10">
        <v>5308</v>
      </c>
      <c r="C814" s="3">
        <v>600000</v>
      </c>
      <c r="D814" s="3">
        <v>600000</v>
      </c>
      <c r="E814" s="7">
        <v>0</v>
      </c>
      <c r="F814" s="5">
        <v>45883</v>
      </c>
      <c r="G814" s="4">
        <v>20250813</v>
      </c>
      <c r="H814" s="6" t="s">
        <v>30</v>
      </c>
      <c r="I814" s="8" t="s">
        <v>9</v>
      </c>
      <c r="J814" s="6" t="s">
        <v>182</v>
      </c>
    </row>
    <row r="815" spans="1:10">
      <c r="A815" s="9">
        <v>15</v>
      </c>
      <c r="B815" s="10">
        <v>8576</v>
      </c>
      <c r="C815" s="3">
        <v>690000</v>
      </c>
      <c r="D815" s="3">
        <v>690000</v>
      </c>
      <c r="E815" s="7">
        <v>0</v>
      </c>
      <c r="F815" s="5">
        <v>45884</v>
      </c>
      <c r="G815" s="4">
        <v>20250814</v>
      </c>
      <c r="H815" s="6" t="s">
        <v>24</v>
      </c>
      <c r="I815" s="8" t="s">
        <v>9</v>
      </c>
      <c r="J815" s="6" t="s">
        <v>114</v>
      </c>
    </row>
    <row r="816" spans="1:10">
      <c r="A816" s="9">
        <v>4</v>
      </c>
      <c r="B816" s="10">
        <v>8630</v>
      </c>
      <c r="C816" s="3">
        <v>1860000</v>
      </c>
      <c r="D816" s="3">
        <v>1860000</v>
      </c>
      <c r="E816" s="7">
        <v>0</v>
      </c>
      <c r="F816" s="5">
        <v>45884</v>
      </c>
      <c r="G816" s="4">
        <v>20250814</v>
      </c>
      <c r="H816" s="6" t="s">
        <v>24</v>
      </c>
      <c r="I816" s="8" t="s">
        <v>9</v>
      </c>
      <c r="J816" s="6" t="s">
        <v>292</v>
      </c>
    </row>
    <row r="817" spans="1:10">
      <c r="A817" s="9">
        <v>211</v>
      </c>
      <c r="B817" s="10">
        <v>5308</v>
      </c>
      <c r="C817" s="3">
        <v>1810000</v>
      </c>
      <c r="D817" s="3">
        <v>1810000</v>
      </c>
      <c r="E817" s="7">
        <v>0</v>
      </c>
      <c r="F817" s="5">
        <v>45888</v>
      </c>
      <c r="G817" s="4">
        <v>20250818</v>
      </c>
      <c r="H817" s="6" t="s">
        <v>30</v>
      </c>
      <c r="I817" s="8" t="s">
        <v>9</v>
      </c>
      <c r="J817" s="6" t="s">
        <v>182</v>
      </c>
    </row>
    <row r="818" spans="1:10">
      <c r="A818" s="9">
        <v>4</v>
      </c>
      <c r="B818" s="10">
        <v>8630</v>
      </c>
      <c r="C818" s="3">
        <v>514000</v>
      </c>
      <c r="D818" s="3">
        <v>514000</v>
      </c>
      <c r="E818" s="7">
        <v>0</v>
      </c>
      <c r="F818" s="5">
        <v>45888</v>
      </c>
      <c r="G818" s="4">
        <v>20250818</v>
      </c>
      <c r="H818" s="6" t="s">
        <v>24</v>
      </c>
      <c r="I818" s="8" t="s">
        <v>9</v>
      </c>
      <c r="J818" s="6" t="s">
        <v>292</v>
      </c>
    </row>
    <row r="819" spans="1:10">
      <c r="A819" s="9">
        <v>20</v>
      </c>
      <c r="B819" s="10">
        <v>9204</v>
      </c>
      <c r="C819" s="3">
        <v>2925000</v>
      </c>
      <c r="D819" s="3">
        <v>2925000</v>
      </c>
      <c r="E819" s="7">
        <v>0</v>
      </c>
      <c r="F819" s="5">
        <v>45888</v>
      </c>
      <c r="G819" s="4">
        <v>20250818</v>
      </c>
      <c r="H819" s="6" t="s">
        <v>24</v>
      </c>
      <c r="I819" s="8" t="s">
        <v>9</v>
      </c>
      <c r="J819" s="6" t="s">
        <v>254</v>
      </c>
    </row>
    <row r="820" spans="1:10">
      <c r="A820" s="9">
        <v>944</v>
      </c>
      <c r="B820" s="10">
        <v>8356</v>
      </c>
      <c r="C820" s="3">
        <v>170000</v>
      </c>
      <c r="D820" s="3">
        <v>170000</v>
      </c>
      <c r="E820" s="7">
        <v>0</v>
      </c>
      <c r="F820" s="5">
        <v>45889</v>
      </c>
      <c r="G820" s="4">
        <v>20250819</v>
      </c>
      <c r="H820" s="6" t="s">
        <v>30</v>
      </c>
      <c r="I820" s="8" t="s">
        <v>9</v>
      </c>
      <c r="J820" s="6" t="s">
        <v>293</v>
      </c>
    </row>
    <row r="821" spans="1:10">
      <c r="A821" s="9">
        <v>101</v>
      </c>
      <c r="B821" s="10">
        <v>5128</v>
      </c>
      <c r="C821" s="3">
        <v>340000</v>
      </c>
      <c r="D821" s="3">
        <v>340000</v>
      </c>
      <c r="E821" s="7">
        <v>0</v>
      </c>
      <c r="F821" s="5">
        <v>45889</v>
      </c>
      <c r="G821" s="4">
        <v>20250819</v>
      </c>
      <c r="H821" s="6" t="s">
        <v>24</v>
      </c>
      <c r="I821" s="8" t="s">
        <v>9</v>
      </c>
      <c r="J821" s="6" t="s">
        <v>294</v>
      </c>
    </row>
    <row r="822" spans="1:10">
      <c r="A822" s="9">
        <v>756</v>
      </c>
      <c r="B822" s="10">
        <v>5183</v>
      </c>
      <c r="C822" s="3">
        <v>2813000</v>
      </c>
      <c r="D822" s="3">
        <v>2813000</v>
      </c>
      <c r="E822" s="7">
        <v>0</v>
      </c>
      <c r="F822" s="5">
        <v>45889</v>
      </c>
      <c r="G822" s="4">
        <v>20250819</v>
      </c>
      <c r="H822" s="6" t="s">
        <v>24</v>
      </c>
      <c r="I822" s="8" t="s">
        <v>9</v>
      </c>
      <c r="J822" s="6" t="s">
        <v>295</v>
      </c>
    </row>
    <row r="823" spans="1:10">
      <c r="A823" s="9">
        <v>844</v>
      </c>
      <c r="B823" s="10">
        <v>6169</v>
      </c>
      <c r="C823" s="3">
        <v>480200</v>
      </c>
      <c r="D823" s="3">
        <v>480200</v>
      </c>
      <c r="E823" s="7">
        <v>0</v>
      </c>
      <c r="F823" s="5">
        <v>45889</v>
      </c>
      <c r="G823" s="4">
        <v>20250819</v>
      </c>
      <c r="H823" s="6" t="s">
        <v>24</v>
      </c>
      <c r="I823" s="8" t="s">
        <v>9</v>
      </c>
      <c r="J823" s="6" t="s">
        <v>296</v>
      </c>
    </row>
    <row r="824" spans="1:10">
      <c r="A824" s="9">
        <v>20</v>
      </c>
      <c r="B824" s="10">
        <v>9204</v>
      </c>
      <c r="C824" s="3">
        <v>1825000</v>
      </c>
      <c r="D824" s="3">
        <v>1825000</v>
      </c>
      <c r="E824" s="7">
        <v>0</v>
      </c>
      <c r="F824" s="5">
        <v>45889</v>
      </c>
      <c r="G824" s="4">
        <v>20250819</v>
      </c>
      <c r="H824" s="6" t="s">
        <v>24</v>
      </c>
      <c r="I824" s="8" t="s">
        <v>9</v>
      </c>
      <c r="J824" s="6" t="s">
        <v>254</v>
      </c>
    </row>
    <row r="825" spans="1:10">
      <c r="A825" s="9">
        <v>957</v>
      </c>
      <c r="B825" s="10">
        <v>9512</v>
      </c>
      <c r="C825" s="3">
        <v>1560000</v>
      </c>
      <c r="D825" s="3">
        <v>1560000</v>
      </c>
      <c r="E825" s="7">
        <v>0</v>
      </c>
      <c r="F825" s="5">
        <v>45889</v>
      </c>
      <c r="G825" s="4">
        <v>20250819</v>
      </c>
      <c r="H825" s="6" t="s">
        <v>24</v>
      </c>
      <c r="I825" s="8" t="s">
        <v>9</v>
      </c>
      <c r="J825" s="6" t="s">
        <v>297</v>
      </c>
    </row>
    <row r="826" spans="1:10">
      <c r="A826" s="9">
        <v>211</v>
      </c>
      <c r="B826" s="10">
        <v>5308</v>
      </c>
      <c r="C826" s="3">
        <v>320000</v>
      </c>
      <c r="D826" s="3">
        <v>320000</v>
      </c>
      <c r="E826" s="7">
        <v>0</v>
      </c>
      <c r="F826" s="5">
        <v>45890</v>
      </c>
      <c r="G826" s="4">
        <v>20250820</v>
      </c>
      <c r="H826" s="6" t="s">
        <v>30</v>
      </c>
      <c r="I826" s="8" t="s">
        <v>9</v>
      </c>
      <c r="J826" s="6" t="s">
        <v>182</v>
      </c>
    </row>
    <row r="827" spans="1:10">
      <c r="A827" s="9">
        <v>88</v>
      </c>
      <c r="B827" s="10">
        <v>5111</v>
      </c>
      <c r="C827" s="3">
        <v>10000</v>
      </c>
      <c r="D827" s="3">
        <v>10000</v>
      </c>
      <c r="E827" s="7">
        <v>0</v>
      </c>
      <c r="F827" s="5">
        <v>45890</v>
      </c>
      <c r="G827" s="4">
        <v>20250820</v>
      </c>
      <c r="H827" s="6" t="s">
        <v>24</v>
      </c>
      <c r="I827" s="8" t="s">
        <v>10</v>
      </c>
      <c r="J827" s="6" t="s">
        <v>298</v>
      </c>
    </row>
    <row r="828" spans="1:10">
      <c r="A828" s="9">
        <v>554</v>
      </c>
      <c r="B828" s="10">
        <v>8294</v>
      </c>
      <c r="C828" s="3">
        <v>2980000</v>
      </c>
      <c r="D828" s="3">
        <v>2980000</v>
      </c>
      <c r="E828" s="7">
        <v>0</v>
      </c>
      <c r="F828" s="5">
        <v>45891</v>
      </c>
      <c r="G828" s="4">
        <v>20250821</v>
      </c>
      <c r="H828" s="6" t="s">
        <v>24</v>
      </c>
      <c r="I828" s="8" t="s">
        <v>9</v>
      </c>
      <c r="J828" s="6" t="s">
        <v>78</v>
      </c>
    </row>
    <row r="829" spans="1:10">
      <c r="A829" s="9">
        <v>31</v>
      </c>
      <c r="B829" s="10">
        <v>8737</v>
      </c>
      <c r="C829" s="3">
        <v>100000</v>
      </c>
      <c r="D829" s="3">
        <v>100000</v>
      </c>
      <c r="E829" s="7">
        <v>0</v>
      </c>
      <c r="F829" s="5">
        <v>45891</v>
      </c>
      <c r="G829" s="4">
        <v>20250821</v>
      </c>
      <c r="H829" s="6" t="s">
        <v>24</v>
      </c>
      <c r="I829" s="8" t="s">
        <v>9</v>
      </c>
      <c r="J829" s="6" t="s">
        <v>299</v>
      </c>
    </row>
    <row r="830" spans="1:10">
      <c r="A830" s="9">
        <v>957</v>
      </c>
      <c r="B830" s="10">
        <v>9512</v>
      </c>
      <c r="C830" s="3">
        <v>1450000</v>
      </c>
      <c r="D830" s="3">
        <v>1450000</v>
      </c>
      <c r="E830" s="7">
        <v>0</v>
      </c>
      <c r="F830" s="5">
        <v>45891</v>
      </c>
      <c r="G830" s="4">
        <v>20250821</v>
      </c>
      <c r="H830" s="6" t="s">
        <v>24</v>
      </c>
      <c r="I830" s="8" t="s">
        <v>9</v>
      </c>
      <c r="J830" s="6" t="s">
        <v>297</v>
      </c>
    </row>
    <row r="831" spans="1:10">
      <c r="A831" s="9">
        <v>211</v>
      </c>
      <c r="B831" s="10">
        <v>5309</v>
      </c>
      <c r="C831" s="3">
        <v>2400000</v>
      </c>
      <c r="D831" s="3">
        <v>2400000</v>
      </c>
      <c r="E831" s="7">
        <v>0</v>
      </c>
      <c r="F831" s="5">
        <v>45894</v>
      </c>
      <c r="G831" s="4">
        <v>20250824</v>
      </c>
      <c r="H831" s="6" t="s">
        <v>30</v>
      </c>
      <c r="I831" s="8" t="s">
        <v>9</v>
      </c>
      <c r="J831" s="6" t="s">
        <v>99</v>
      </c>
    </row>
    <row r="832" spans="1:10">
      <c r="A832" s="9">
        <v>844</v>
      </c>
      <c r="B832" s="10">
        <v>6169</v>
      </c>
      <c r="C832" s="3">
        <v>22700</v>
      </c>
      <c r="D832" s="3">
        <v>22700</v>
      </c>
      <c r="E832" s="7">
        <v>0</v>
      </c>
      <c r="F832" s="5">
        <v>45894</v>
      </c>
      <c r="G832" s="4">
        <v>20250824</v>
      </c>
      <c r="H832" s="6" t="s">
        <v>24</v>
      </c>
      <c r="I832" s="8" t="s">
        <v>9</v>
      </c>
      <c r="J832" s="6" t="s">
        <v>296</v>
      </c>
    </row>
    <row r="833" spans="1:10">
      <c r="A833" s="9">
        <v>166</v>
      </c>
      <c r="B833" s="10">
        <v>7940</v>
      </c>
      <c r="C833" s="3">
        <v>100000</v>
      </c>
      <c r="D833" s="3">
        <v>100000</v>
      </c>
      <c r="E833" s="7">
        <v>0</v>
      </c>
      <c r="F833" s="5">
        <v>45894</v>
      </c>
      <c r="G833" s="4">
        <v>20250824</v>
      </c>
      <c r="H833" s="6" t="s">
        <v>24</v>
      </c>
      <c r="I833" s="8" t="s">
        <v>9</v>
      </c>
      <c r="J833" s="6" t="s">
        <v>55</v>
      </c>
    </row>
    <row r="834" spans="1:10">
      <c r="A834" s="9">
        <v>31</v>
      </c>
      <c r="B834" s="10">
        <v>8737</v>
      </c>
      <c r="C834" s="3">
        <v>140000</v>
      </c>
      <c r="D834" s="3">
        <v>140000</v>
      </c>
      <c r="E834" s="7">
        <v>0</v>
      </c>
      <c r="F834" s="5">
        <v>45895</v>
      </c>
      <c r="G834" s="4">
        <v>20250825</v>
      </c>
      <c r="H834" s="6" t="s">
        <v>24</v>
      </c>
      <c r="I834" s="8" t="s">
        <v>9</v>
      </c>
      <c r="J834" s="6" t="s">
        <v>299</v>
      </c>
    </row>
    <row r="835" spans="1:10">
      <c r="A835" s="9">
        <v>907</v>
      </c>
      <c r="B835" s="10">
        <v>4830</v>
      </c>
      <c r="C835" s="3">
        <v>622400</v>
      </c>
      <c r="D835" s="3">
        <v>622400</v>
      </c>
      <c r="E835" s="7">
        <v>0</v>
      </c>
      <c r="F835" s="5">
        <v>45896</v>
      </c>
      <c r="G835" s="4">
        <v>20250826</v>
      </c>
      <c r="H835" s="6" t="s">
        <v>24</v>
      </c>
      <c r="I835" s="8" t="s">
        <v>9</v>
      </c>
      <c r="J835" s="6" t="s">
        <v>110</v>
      </c>
    </row>
    <row r="836" spans="1:10">
      <c r="A836" s="9">
        <v>392</v>
      </c>
      <c r="B836" s="10">
        <v>5064</v>
      </c>
      <c r="C836" s="3">
        <v>2150000</v>
      </c>
      <c r="D836" s="3">
        <v>2150000</v>
      </c>
      <c r="E836" s="7">
        <v>0</v>
      </c>
      <c r="F836" s="5">
        <v>45896</v>
      </c>
      <c r="G836" s="4">
        <v>20250826</v>
      </c>
      <c r="H836" s="6" t="s">
        <v>24</v>
      </c>
      <c r="I836" s="8" t="s">
        <v>9</v>
      </c>
      <c r="J836" s="6" t="s">
        <v>212</v>
      </c>
    </row>
    <row r="837" spans="1:10">
      <c r="A837" s="9">
        <v>844</v>
      </c>
      <c r="B837" s="10">
        <v>6169</v>
      </c>
      <c r="C837" s="3">
        <v>150000</v>
      </c>
      <c r="D837" s="3">
        <v>150000</v>
      </c>
      <c r="E837" s="7">
        <v>0</v>
      </c>
      <c r="F837" s="5">
        <v>45896</v>
      </c>
      <c r="G837" s="4">
        <v>20250826</v>
      </c>
      <c r="H837" s="6" t="s">
        <v>24</v>
      </c>
      <c r="I837" s="8" t="s">
        <v>9</v>
      </c>
      <c r="J837" s="6" t="s">
        <v>296</v>
      </c>
    </row>
    <row r="838" spans="1:10">
      <c r="A838" s="9">
        <v>31</v>
      </c>
      <c r="B838" s="10">
        <v>8737</v>
      </c>
      <c r="C838" s="3">
        <v>160000</v>
      </c>
      <c r="D838" s="3">
        <v>160000</v>
      </c>
      <c r="E838" s="7">
        <v>0</v>
      </c>
      <c r="F838" s="5">
        <v>45896</v>
      </c>
      <c r="G838" s="4">
        <v>20250826</v>
      </c>
      <c r="H838" s="6" t="s">
        <v>24</v>
      </c>
      <c r="I838" s="8" t="s">
        <v>9</v>
      </c>
      <c r="J838" s="6" t="s">
        <v>299</v>
      </c>
    </row>
    <row r="839" spans="1:10">
      <c r="A839" s="9">
        <v>20</v>
      </c>
      <c r="B839" s="10">
        <v>9204</v>
      </c>
      <c r="C839" s="3">
        <v>1670000</v>
      </c>
      <c r="D839" s="3">
        <v>1670000</v>
      </c>
      <c r="E839" s="7">
        <v>0</v>
      </c>
      <c r="F839" s="5">
        <v>45896</v>
      </c>
      <c r="G839" s="4">
        <v>20250826</v>
      </c>
      <c r="H839" s="6" t="s">
        <v>24</v>
      </c>
      <c r="I839" s="8" t="s">
        <v>9</v>
      </c>
      <c r="J839" s="6" t="s">
        <v>254</v>
      </c>
    </row>
    <row r="840" spans="1:10">
      <c r="A840" s="9">
        <v>907</v>
      </c>
      <c r="B840" s="10">
        <v>4830</v>
      </c>
      <c r="C840" s="3">
        <v>2127600</v>
      </c>
      <c r="D840" s="3">
        <v>2127600</v>
      </c>
      <c r="E840" s="7">
        <v>0</v>
      </c>
      <c r="F840" s="5">
        <v>45897</v>
      </c>
      <c r="G840" s="4">
        <v>20250827</v>
      </c>
      <c r="H840" s="6" t="s">
        <v>24</v>
      </c>
      <c r="I840" s="8" t="s">
        <v>9</v>
      </c>
      <c r="J840" s="6" t="s">
        <v>110</v>
      </c>
    </row>
    <row r="841" spans="1:10">
      <c r="A841" s="9">
        <v>392</v>
      </c>
      <c r="B841" s="10">
        <v>5064</v>
      </c>
      <c r="C841" s="3">
        <v>1600000</v>
      </c>
      <c r="D841" s="3">
        <v>1600000</v>
      </c>
      <c r="E841" s="7">
        <v>0</v>
      </c>
      <c r="F841" s="5">
        <v>45897</v>
      </c>
      <c r="G841" s="4">
        <v>20250827</v>
      </c>
      <c r="H841" s="6" t="s">
        <v>24</v>
      </c>
      <c r="I841" s="8" t="s">
        <v>9</v>
      </c>
      <c r="J841" s="6" t="s">
        <v>212</v>
      </c>
    </row>
    <row r="842" spans="1:10">
      <c r="A842" s="9">
        <v>267</v>
      </c>
      <c r="B842" s="10">
        <v>6186</v>
      </c>
      <c r="C842" s="3">
        <v>1800000</v>
      </c>
      <c r="D842" s="3">
        <v>1800000</v>
      </c>
      <c r="E842" s="7">
        <v>0</v>
      </c>
      <c r="F842" s="5">
        <v>45897</v>
      </c>
      <c r="G842" s="4">
        <v>20250827</v>
      </c>
      <c r="H842" s="6" t="s">
        <v>24</v>
      </c>
      <c r="I842" s="8" t="s">
        <v>9</v>
      </c>
      <c r="J842" s="6" t="s">
        <v>300</v>
      </c>
    </row>
    <row r="843" spans="1:10">
      <c r="A843" s="9">
        <v>20</v>
      </c>
      <c r="B843" s="10">
        <v>9204</v>
      </c>
      <c r="C843" s="3">
        <v>170000</v>
      </c>
      <c r="D843" s="3">
        <v>170000</v>
      </c>
      <c r="E843" s="7">
        <v>0</v>
      </c>
      <c r="F843" s="5">
        <v>45897</v>
      </c>
      <c r="G843" s="4">
        <v>20250827</v>
      </c>
      <c r="H843" s="6" t="s">
        <v>24</v>
      </c>
      <c r="I843" s="8" t="s">
        <v>9</v>
      </c>
      <c r="J843" s="6" t="s">
        <v>254</v>
      </c>
    </row>
    <row r="844" spans="1:10">
      <c r="A844" s="9">
        <v>211</v>
      </c>
      <c r="B844" s="10">
        <v>5308</v>
      </c>
      <c r="C844" s="3">
        <v>200000</v>
      </c>
      <c r="D844" s="3">
        <v>200000</v>
      </c>
      <c r="E844" s="7">
        <v>0</v>
      </c>
      <c r="F844" s="5">
        <v>45898</v>
      </c>
      <c r="G844" s="4">
        <v>20250828</v>
      </c>
      <c r="H844" s="6" t="s">
        <v>30</v>
      </c>
      <c r="I844" s="8" t="s">
        <v>9</v>
      </c>
      <c r="J844" s="6" t="s">
        <v>182</v>
      </c>
    </row>
    <row r="845" spans="1:10">
      <c r="A845" s="9">
        <v>211</v>
      </c>
      <c r="B845" s="10">
        <v>5309</v>
      </c>
      <c r="C845" s="3">
        <v>460000</v>
      </c>
      <c r="D845" s="3">
        <v>460000</v>
      </c>
      <c r="E845" s="7">
        <v>0</v>
      </c>
      <c r="F845" s="5">
        <v>45898</v>
      </c>
      <c r="G845" s="4">
        <v>20250828</v>
      </c>
      <c r="H845" s="6" t="s">
        <v>30</v>
      </c>
      <c r="I845" s="8" t="s">
        <v>9</v>
      </c>
      <c r="J845" s="6" t="s">
        <v>99</v>
      </c>
    </row>
    <row r="846" spans="1:10">
      <c r="A846" s="9">
        <v>907</v>
      </c>
      <c r="B846" s="10">
        <v>4830</v>
      </c>
      <c r="C846" s="3">
        <v>2770000</v>
      </c>
      <c r="D846" s="3">
        <v>2770000</v>
      </c>
      <c r="E846" s="7">
        <v>0</v>
      </c>
      <c r="F846" s="5">
        <v>45898</v>
      </c>
      <c r="G846" s="4">
        <v>20250828</v>
      </c>
      <c r="H846" s="6" t="s">
        <v>24</v>
      </c>
      <c r="I846" s="8" t="s">
        <v>9</v>
      </c>
      <c r="J846" s="6" t="s">
        <v>110</v>
      </c>
    </row>
    <row r="847" spans="1:10">
      <c r="A847" s="9">
        <v>267</v>
      </c>
      <c r="B847" s="10">
        <v>6186</v>
      </c>
      <c r="C847" s="3">
        <v>2760000</v>
      </c>
      <c r="D847" s="3">
        <v>2760000</v>
      </c>
      <c r="E847" s="7">
        <v>0</v>
      </c>
      <c r="F847" s="5">
        <v>45898</v>
      </c>
      <c r="G847" s="4">
        <v>20250828</v>
      </c>
      <c r="H847" s="6" t="s">
        <v>24</v>
      </c>
      <c r="I847" s="8" t="s">
        <v>9</v>
      </c>
      <c r="J847" s="6" t="s">
        <v>300</v>
      </c>
    </row>
    <row r="848" spans="1:10">
      <c r="A848" s="9">
        <v>166</v>
      </c>
      <c r="B848" s="10">
        <v>7940</v>
      </c>
      <c r="C848" s="3">
        <v>1680000</v>
      </c>
      <c r="D848" s="3">
        <v>1680000</v>
      </c>
      <c r="E848" s="7">
        <v>0</v>
      </c>
      <c r="F848" s="5">
        <v>45898</v>
      </c>
      <c r="G848" s="4">
        <v>20250828</v>
      </c>
      <c r="H848" s="6" t="s">
        <v>24</v>
      </c>
      <c r="I848" s="8" t="s">
        <v>9</v>
      </c>
      <c r="J848" s="6" t="s">
        <v>55</v>
      </c>
    </row>
    <row r="849" spans="1:10">
      <c r="A849" s="9">
        <v>166</v>
      </c>
      <c r="B849" s="10">
        <v>7940</v>
      </c>
      <c r="C849" s="3">
        <v>1880000</v>
      </c>
      <c r="D849" s="3">
        <v>1880000</v>
      </c>
      <c r="E849" s="7">
        <v>0</v>
      </c>
      <c r="F849" s="5">
        <v>45902</v>
      </c>
      <c r="G849" s="4">
        <v>20250901</v>
      </c>
      <c r="H849" s="6" t="s">
        <v>24</v>
      </c>
      <c r="I849" s="8" t="s">
        <v>9</v>
      </c>
      <c r="J849" s="6" t="s">
        <v>55</v>
      </c>
    </row>
    <row r="850" spans="1:10">
      <c r="A850" s="9">
        <v>31</v>
      </c>
      <c r="B850" s="10">
        <v>8732</v>
      </c>
      <c r="C850" s="3">
        <v>500000</v>
      </c>
      <c r="D850" s="3">
        <v>500000</v>
      </c>
      <c r="E850" s="7">
        <v>0</v>
      </c>
      <c r="F850" s="5">
        <v>45902</v>
      </c>
      <c r="G850" s="4">
        <v>20250901</v>
      </c>
      <c r="H850" s="6" t="s">
        <v>30</v>
      </c>
      <c r="I850" s="8" t="s">
        <v>9</v>
      </c>
      <c r="J850" s="6" t="s">
        <v>195</v>
      </c>
    </row>
    <row r="851" spans="1:10">
      <c r="A851" s="9">
        <v>31</v>
      </c>
      <c r="B851" s="10">
        <v>8733</v>
      </c>
      <c r="C851" s="3">
        <v>400000</v>
      </c>
      <c r="D851" s="3">
        <v>400000</v>
      </c>
      <c r="E851" s="7">
        <v>0</v>
      </c>
      <c r="F851" s="5">
        <v>45902</v>
      </c>
      <c r="G851" s="4">
        <v>20250901</v>
      </c>
      <c r="H851" s="6" t="s">
        <v>30</v>
      </c>
      <c r="I851" s="8" t="s">
        <v>9</v>
      </c>
      <c r="J851" s="6" t="s">
        <v>196</v>
      </c>
    </row>
    <row r="852" spans="1:10">
      <c r="A852" s="9">
        <v>186</v>
      </c>
      <c r="B852" s="10">
        <v>6508</v>
      </c>
      <c r="C852" s="3">
        <v>400000</v>
      </c>
      <c r="D852" s="3">
        <v>400000</v>
      </c>
      <c r="E852" s="7">
        <v>0</v>
      </c>
      <c r="F852" s="5">
        <v>45902</v>
      </c>
      <c r="G852" s="4">
        <v>20250901</v>
      </c>
      <c r="H852" s="6" t="s">
        <v>30</v>
      </c>
      <c r="I852" s="8" t="s">
        <v>9</v>
      </c>
      <c r="J852" s="6" t="s">
        <v>269</v>
      </c>
    </row>
    <row r="853" spans="1:10">
      <c r="A853" s="9">
        <v>186</v>
      </c>
      <c r="B853" s="10">
        <v>6513</v>
      </c>
      <c r="C853" s="3">
        <v>100000</v>
      </c>
      <c r="D853" s="3">
        <v>100000</v>
      </c>
      <c r="E853" s="7">
        <v>0</v>
      </c>
      <c r="F853" s="5">
        <v>45902</v>
      </c>
      <c r="G853" s="4">
        <v>20250901</v>
      </c>
      <c r="H853" s="6" t="s">
        <v>30</v>
      </c>
      <c r="I853" s="8" t="s">
        <v>9</v>
      </c>
      <c r="J853" s="6" t="s">
        <v>301</v>
      </c>
    </row>
    <row r="854" spans="1:10">
      <c r="A854" s="9">
        <v>211</v>
      </c>
      <c r="B854" s="10">
        <v>5309</v>
      </c>
      <c r="C854" s="3">
        <v>70000</v>
      </c>
      <c r="D854" s="3">
        <v>70000</v>
      </c>
      <c r="E854" s="7">
        <v>0</v>
      </c>
      <c r="F854" s="5">
        <v>45902</v>
      </c>
      <c r="G854" s="4">
        <v>20250901</v>
      </c>
      <c r="H854" s="6" t="s">
        <v>30</v>
      </c>
      <c r="I854" s="8" t="s">
        <v>9</v>
      </c>
      <c r="J854" s="6" t="s">
        <v>99</v>
      </c>
    </row>
    <row r="855" spans="1:10">
      <c r="A855" s="9">
        <v>705</v>
      </c>
      <c r="B855" s="10">
        <v>4152</v>
      </c>
      <c r="C855" s="3">
        <v>420000</v>
      </c>
      <c r="D855" s="3">
        <v>420000</v>
      </c>
      <c r="E855" s="7">
        <v>0</v>
      </c>
      <c r="F855" s="5">
        <v>45902</v>
      </c>
      <c r="G855" s="4">
        <v>20250901</v>
      </c>
      <c r="H855" s="6" t="s">
        <v>30</v>
      </c>
      <c r="I855" s="8" t="s">
        <v>9</v>
      </c>
      <c r="J855" s="6" t="s">
        <v>266</v>
      </c>
    </row>
    <row r="856" spans="1:10">
      <c r="A856" s="9">
        <v>765</v>
      </c>
      <c r="B856" s="10">
        <v>4998</v>
      </c>
      <c r="C856" s="3">
        <v>350000</v>
      </c>
      <c r="D856" s="3">
        <v>350000</v>
      </c>
      <c r="E856" s="7">
        <v>0</v>
      </c>
      <c r="F856" s="5">
        <v>45902</v>
      </c>
      <c r="G856" s="4">
        <v>20250901</v>
      </c>
      <c r="H856" s="6" t="s">
        <v>30</v>
      </c>
      <c r="I856" s="8" t="s">
        <v>9</v>
      </c>
      <c r="J856" s="6" t="s">
        <v>268</v>
      </c>
    </row>
    <row r="857" spans="1:10">
      <c r="A857" s="9">
        <v>832</v>
      </c>
      <c r="B857" s="10">
        <v>4768</v>
      </c>
      <c r="C857" s="3">
        <v>4230000</v>
      </c>
      <c r="D857" s="3">
        <v>4230000</v>
      </c>
      <c r="E857" s="7">
        <v>0</v>
      </c>
      <c r="F857" s="5">
        <v>45902</v>
      </c>
      <c r="G857" s="4">
        <v>20250901</v>
      </c>
      <c r="H857" s="6" t="s">
        <v>30</v>
      </c>
      <c r="I857" s="8" t="s">
        <v>9</v>
      </c>
      <c r="J857" s="6" t="s">
        <v>207</v>
      </c>
    </row>
    <row r="858" spans="1:10">
      <c r="A858" s="9">
        <v>187</v>
      </c>
      <c r="B858" s="10">
        <v>5485</v>
      </c>
      <c r="C858" s="3">
        <v>4150000</v>
      </c>
      <c r="D858" s="3">
        <v>4150000</v>
      </c>
      <c r="E858" s="7">
        <v>0</v>
      </c>
      <c r="F858" s="5">
        <v>45903</v>
      </c>
      <c r="G858" s="4">
        <v>20250902</v>
      </c>
      <c r="H858" s="6" t="s">
        <v>30</v>
      </c>
      <c r="I858" s="8" t="s">
        <v>9</v>
      </c>
      <c r="J858" s="6" t="s">
        <v>191</v>
      </c>
    </row>
    <row r="859" spans="1:10">
      <c r="A859" s="9">
        <v>705</v>
      </c>
      <c r="B859" s="10">
        <v>4152</v>
      </c>
      <c r="C859" s="3">
        <v>160000</v>
      </c>
      <c r="D859" s="3">
        <v>160000</v>
      </c>
      <c r="E859" s="7">
        <v>0</v>
      </c>
      <c r="F859" s="5">
        <v>45903</v>
      </c>
      <c r="G859" s="4">
        <v>20250902</v>
      </c>
      <c r="H859" s="6" t="s">
        <v>30</v>
      </c>
      <c r="I859" s="8" t="s">
        <v>9</v>
      </c>
      <c r="J859" s="6" t="s">
        <v>266</v>
      </c>
    </row>
    <row r="860" spans="1:10">
      <c r="A860" s="9">
        <v>832</v>
      </c>
      <c r="B860" s="10">
        <v>4768</v>
      </c>
      <c r="C860" s="3">
        <v>600000</v>
      </c>
      <c r="D860" s="3">
        <v>600000</v>
      </c>
      <c r="E860" s="7">
        <v>0</v>
      </c>
      <c r="F860" s="5">
        <v>45903</v>
      </c>
      <c r="G860" s="4">
        <v>20250902</v>
      </c>
      <c r="H860" s="6" t="s">
        <v>30</v>
      </c>
      <c r="I860" s="8" t="s">
        <v>9</v>
      </c>
      <c r="J860" s="6" t="s">
        <v>207</v>
      </c>
    </row>
    <row r="861" spans="1:10">
      <c r="A861" s="9">
        <v>432</v>
      </c>
      <c r="B861" s="10">
        <v>5195</v>
      </c>
      <c r="C861" s="3">
        <v>4000000</v>
      </c>
      <c r="D861" s="3">
        <v>4000000</v>
      </c>
      <c r="E861" s="7">
        <v>0</v>
      </c>
      <c r="F861" s="5">
        <v>45903</v>
      </c>
      <c r="G861" s="4">
        <v>20250902</v>
      </c>
      <c r="H861" s="6" t="s">
        <v>24</v>
      </c>
      <c r="I861" s="8" t="s">
        <v>9</v>
      </c>
      <c r="J861" s="6" t="s">
        <v>126</v>
      </c>
    </row>
    <row r="862" spans="1:10">
      <c r="A862" s="9">
        <v>193</v>
      </c>
      <c r="B862" s="10">
        <v>8537</v>
      </c>
      <c r="C862" s="3">
        <v>1120000</v>
      </c>
      <c r="D862" s="3">
        <v>1120000</v>
      </c>
      <c r="E862" s="7">
        <v>0</v>
      </c>
      <c r="F862" s="5">
        <v>45903</v>
      </c>
      <c r="G862" s="4">
        <v>20250902</v>
      </c>
      <c r="H862" s="6" t="s">
        <v>24</v>
      </c>
      <c r="I862" s="8" t="s">
        <v>9</v>
      </c>
      <c r="J862" s="6" t="s">
        <v>302</v>
      </c>
    </row>
    <row r="863" spans="1:10">
      <c r="A863" s="9">
        <v>60</v>
      </c>
      <c r="B863" s="10">
        <v>8729</v>
      </c>
      <c r="C863" s="3">
        <v>40000</v>
      </c>
      <c r="D863" s="3">
        <v>40000</v>
      </c>
      <c r="E863" s="7">
        <v>0</v>
      </c>
      <c r="F863" s="5">
        <v>45903</v>
      </c>
      <c r="G863" s="4">
        <v>20250902</v>
      </c>
      <c r="H863" s="6" t="s">
        <v>24</v>
      </c>
      <c r="I863" s="8" t="s">
        <v>9</v>
      </c>
      <c r="J863" s="6" t="s">
        <v>303</v>
      </c>
    </row>
    <row r="864" spans="1:10">
      <c r="A864" s="9">
        <v>31</v>
      </c>
      <c r="B864" s="10">
        <v>8732</v>
      </c>
      <c r="C864" s="3">
        <v>1200000</v>
      </c>
      <c r="D864" s="3">
        <v>1200000</v>
      </c>
      <c r="E864" s="7">
        <v>0</v>
      </c>
      <c r="F864" s="5">
        <v>45904</v>
      </c>
      <c r="G864" s="4">
        <v>20250903</v>
      </c>
      <c r="H864" s="6" t="s">
        <v>30</v>
      </c>
      <c r="I864" s="8" t="s">
        <v>9</v>
      </c>
      <c r="J864" s="6" t="s">
        <v>195</v>
      </c>
    </row>
    <row r="865" spans="1:10">
      <c r="A865" s="9">
        <v>31</v>
      </c>
      <c r="B865" s="10">
        <v>8733</v>
      </c>
      <c r="C865" s="3">
        <v>200000</v>
      </c>
      <c r="D865" s="3">
        <v>200000</v>
      </c>
      <c r="E865" s="7">
        <v>0</v>
      </c>
      <c r="F865" s="5">
        <v>45904</v>
      </c>
      <c r="G865" s="4">
        <v>20250903</v>
      </c>
      <c r="H865" s="6" t="s">
        <v>30</v>
      </c>
      <c r="I865" s="8" t="s">
        <v>9</v>
      </c>
      <c r="J865" s="6" t="s">
        <v>196</v>
      </c>
    </row>
    <row r="866" spans="1:10">
      <c r="A866" s="9">
        <v>211</v>
      </c>
      <c r="B866" s="10">
        <v>5308</v>
      </c>
      <c r="C866" s="3">
        <v>100000</v>
      </c>
      <c r="D866" s="3">
        <v>100000</v>
      </c>
      <c r="E866" s="7">
        <v>0</v>
      </c>
      <c r="F866" s="5">
        <v>45904</v>
      </c>
      <c r="G866" s="4">
        <v>20250903</v>
      </c>
      <c r="H866" s="6" t="s">
        <v>30</v>
      </c>
      <c r="I866" s="8" t="s">
        <v>9</v>
      </c>
      <c r="J866" s="6" t="s">
        <v>182</v>
      </c>
    </row>
    <row r="867" spans="1:10">
      <c r="A867" s="9">
        <v>705</v>
      </c>
      <c r="B867" s="10">
        <v>4152</v>
      </c>
      <c r="C867" s="3">
        <v>260000</v>
      </c>
      <c r="D867" s="3">
        <v>260000</v>
      </c>
      <c r="E867" s="7">
        <v>0</v>
      </c>
      <c r="F867" s="5">
        <v>45904</v>
      </c>
      <c r="G867" s="4">
        <v>20250903</v>
      </c>
      <c r="H867" s="6" t="s">
        <v>30</v>
      </c>
      <c r="I867" s="8" t="s">
        <v>9</v>
      </c>
      <c r="J867" s="6" t="s">
        <v>266</v>
      </c>
    </row>
    <row r="868" spans="1:10">
      <c r="A868" s="9">
        <v>765</v>
      </c>
      <c r="B868" s="10">
        <v>4998</v>
      </c>
      <c r="C868" s="3">
        <v>50000</v>
      </c>
      <c r="D868" s="3">
        <v>50000</v>
      </c>
      <c r="E868" s="7">
        <v>0</v>
      </c>
      <c r="F868" s="5">
        <v>45904</v>
      </c>
      <c r="G868" s="4">
        <v>20250903</v>
      </c>
      <c r="H868" s="6" t="s">
        <v>30</v>
      </c>
      <c r="I868" s="8" t="s">
        <v>9</v>
      </c>
      <c r="J868" s="6" t="s">
        <v>268</v>
      </c>
    </row>
    <row r="869" spans="1:10">
      <c r="A869" s="9">
        <v>762</v>
      </c>
      <c r="B869" s="10">
        <v>5181</v>
      </c>
      <c r="C869" s="3">
        <v>2480000</v>
      </c>
      <c r="D869" s="3">
        <v>2480000</v>
      </c>
      <c r="E869" s="7">
        <v>0</v>
      </c>
      <c r="F869" s="5">
        <v>45904</v>
      </c>
      <c r="G869" s="4">
        <v>20250903</v>
      </c>
      <c r="H869" s="6" t="s">
        <v>24</v>
      </c>
      <c r="I869" s="8" t="s">
        <v>9</v>
      </c>
      <c r="J869" s="6" t="s">
        <v>304</v>
      </c>
    </row>
    <row r="870" spans="1:10">
      <c r="A870" s="9">
        <v>795</v>
      </c>
      <c r="B870" s="10">
        <v>1028</v>
      </c>
      <c r="C870" s="3">
        <v>1321000</v>
      </c>
      <c r="D870" s="3">
        <v>1321000</v>
      </c>
      <c r="E870" s="7">
        <v>0</v>
      </c>
      <c r="F870" s="5">
        <v>45904</v>
      </c>
      <c r="G870" s="4">
        <v>20250903</v>
      </c>
      <c r="H870" s="6" t="s">
        <v>24</v>
      </c>
      <c r="I870" s="8" t="s">
        <v>9</v>
      </c>
      <c r="J870" s="6" t="s">
        <v>305</v>
      </c>
    </row>
    <row r="871" spans="1:10">
      <c r="A871" s="9">
        <v>453</v>
      </c>
      <c r="B871" s="9">
        <v>8017</v>
      </c>
      <c r="C871" s="3">
        <v>20000</v>
      </c>
      <c r="D871" s="3">
        <v>20000</v>
      </c>
      <c r="E871" s="7">
        <v>0</v>
      </c>
      <c r="F871" s="5">
        <v>45874</v>
      </c>
      <c r="G871" s="4">
        <v>20250804</v>
      </c>
      <c r="H871" s="6" t="s">
        <v>30</v>
      </c>
      <c r="I871" s="8"/>
      <c r="J871" s="6" t="s">
        <v>306</v>
      </c>
    </row>
    <row r="872" spans="1:10">
      <c r="A872" s="9">
        <v>253</v>
      </c>
      <c r="B872" s="9">
        <v>5891</v>
      </c>
      <c r="C872" s="3">
        <v>10000</v>
      </c>
      <c r="D872" s="3">
        <v>10000</v>
      </c>
      <c r="E872" s="7">
        <v>0</v>
      </c>
      <c r="F872" s="5">
        <v>45877</v>
      </c>
      <c r="G872" s="4">
        <v>20250806</v>
      </c>
      <c r="H872" s="6" t="s">
        <v>30</v>
      </c>
      <c r="I872" s="8"/>
      <c r="J872" s="6" t="s">
        <v>307</v>
      </c>
    </row>
    <row r="873" spans="1:10">
      <c r="A873" s="9">
        <v>4</v>
      </c>
      <c r="B873" s="9">
        <v>8626</v>
      </c>
      <c r="C873" s="3">
        <v>50000</v>
      </c>
      <c r="D873" s="3">
        <v>50000</v>
      </c>
      <c r="E873" s="7">
        <v>0</v>
      </c>
      <c r="F873" s="5">
        <v>45881</v>
      </c>
      <c r="G873" s="4">
        <v>20250811</v>
      </c>
      <c r="H873" s="6" t="s">
        <v>30</v>
      </c>
      <c r="I873" s="8" t="s">
        <v>9</v>
      </c>
      <c r="J873" s="6" t="s">
        <v>308</v>
      </c>
    </row>
    <row r="874" spans="1:10">
      <c r="A874" s="9">
        <v>944</v>
      </c>
      <c r="B874" s="9">
        <v>8356</v>
      </c>
      <c r="C874" s="3">
        <v>50000</v>
      </c>
      <c r="D874" s="3">
        <v>50000</v>
      </c>
      <c r="E874" s="7">
        <v>0</v>
      </c>
      <c r="F874" s="5">
        <v>45881</v>
      </c>
      <c r="G874" s="4">
        <v>20250811</v>
      </c>
      <c r="H874" s="6" t="s">
        <v>30</v>
      </c>
      <c r="I874" s="8" t="s">
        <v>9</v>
      </c>
      <c r="J874" s="6" t="s">
        <v>293</v>
      </c>
    </row>
    <row r="875" spans="1:10">
      <c r="A875" s="9">
        <v>916</v>
      </c>
      <c r="B875" s="9">
        <v>5052</v>
      </c>
      <c r="C875" s="3">
        <v>830000</v>
      </c>
      <c r="D875" s="3">
        <v>830000</v>
      </c>
      <c r="E875" s="7">
        <v>0</v>
      </c>
      <c r="F875" s="5">
        <v>45882</v>
      </c>
      <c r="G875" s="4">
        <v>20250812</v>
      </c>
      <c r="H875" s="6" t="s">
        <v>24</v>
      </c>
      <c r="I875" s="8" t="s">
        <v>9</v>
      </c>
      <c r="J875" s="6" t="s">
        <v>309</v>
      </c>
    </row>
    <row r="876" spans="1:10">
      <c r="A876" s="9">
        <v>723</v>
      </c>
      <c r="B876" s="10">
        <v>5046</v>
      </c>
      <c r="C876" s="3">
        <v>1000</v>
      </c>
      <c r="D876" s="3">
        <v>1000</v>
      </c>
      <c r="E876" s="7">
        <v>0</v>
      </c>
      <c r="F876" s="5">
        <v>45888</v>
      </c>
      <c r="G876" s="4">
        <v>20250815</v>
      </c>
      <c r="H876" s="6" t="s">
        <v>24</v>
      </c>
      <c r="I876" s="8"/>
      <c r="J876" s="6" t="s">
        <v>310</v>
      </c>
    </row>
    <row r="877" spans="1:10">
      <c r="A877" s="9">
        <v>916</v>
      </c>
      <c r="B877" s="10">
        <v>5052</v>
      </c>
      <c r="C877" s="3">
        <v>2230000</v>
      </c>
      <c r="D877" s="3">
        <v>2230000</v>
      </c>
      <c r="E877" s="7">
        <v>0</v>
      </c>
      <c r="F877" s="5">
        <v>45890</v>
      </c>
      <c r="G877" s="4">
        <v>20250820</v>
      </c>
      <c r="H877" s="6" t="s">
        <v>24</v>
      </c>
      <c r="I877" s="8" t="s">
        <v>9</v>
      </c>
      <c r="J877" s="6" t="s">
        <v>309</v>
      </c>
    </row>
    <row r="878" spans="1:10">
      <c r="A878" s="9">
        <v>221</v>
      </c>
      <c r="B878" s="10">
        <v>5221</v>
      </c>
      <c r="C878" s="3">
        <v>1000000</v>
      </c>
      <c r="D878" s="3">
        <v>1000000</v>
      </c>
      <c r="E878" s="7">
        <v>0</v>
      </c>
      <c r="F878" s="5">
        <v>45891</v>
      </c>
      <c r="G878" s="4">
        <v>20250821</v>
      </c>
      <c r="H878" s="6" t="s">
        <v>24</v>
      </c>
      <c r="I878" s="8" t="s">
        <v>9</v>
      </c>
      <c r="J878" s="6" t="s">
        <v>187</v>
      </c>
    </row>
    <row r="879" spans="1:10">
      <c r="A879" s="9">
        <v>7</v>
      </c>
      <c r="B879" s="10">
        <v>5617</v>
      </c>
      <c r="C879" s="3">
        <v>5000000</v>
      </c>
      <c r="D879" s="3">
        <v>5000000</v>
      </c>
      <c r="E879" s="7">
        <v>0</v>
      </c>
      <c r="F879" s="5">
        <v>45894</v>
      </c>
      <c r="G879" s="4">
        <v>20250824</v>
      </c>
      <c r="H879" s="6" t="s">
        <v>30</v>
      </c>
      <c r="I879" s="8" t="s">
        <v>9</v>
      </c>
      <c r="J879" s="6" t="s">
        <v>141</v>
      </c>
    </row>
    <row r="880" spans="1:10">
      <c r="A880" s="9">
        <v>225</v>
      </c>
      <c r="B880" s="10">
        <v>8869</v>
      </c>
      <c r="C880" s="3">
        <v>350000</v>
      </c>
      <c r="D880" s="3">
        <v>350000</v>
      </c>
      <c r="E880" s="7">
        <v>0</v>
      </c>
      <c r="F880" s="5">
        <v>45895</v>
      </c>
      <c r="G880" s="4">
        <v>20250825</v>
      </c>
      <c r="H880" s="6" t="s">
        <v>24</v>
      </c>
      <c r="I880" s="8"/>
      <c r="J880" s="6" t="s">
        <v>311</v>
      </c>
    </row>
    <row r="881" spans="1:10">
      <c r="A881" s="9">
        <v>916</v>
      </c>
      <c r="B881" s="10">
        <v>5052</v>
      </c>
      <c r="C881" s="3">
        <v>1110000</v>
      </c>
      <c r="D881" s="3">
        <v>1110000</v>
      </c>
      <c r="E881" s="7">
        <v>0</v>
      </c>
      <c r="F881" s="5">
        <v>45895</v>
      </c>
      <c r="G881" s="4">
        <v>20250825</v>
      </c>
      <c r="H881" s="6" t="s">
        <v>24</v>
      </c>
      <c r="I881" s="8" t="s">
        <v>9</v>
      </c>
      <c r="J881" s="6" t="s">
        <v>309</v>
      </c>
    </row>
    <row r="882" spans="1:10">
      <c r="A882" s="9">
        <v>253</v>
      </c>
      <c r="B882" s="10">
        <v>5176</v>
      </c>
      <c r="C882" s="3">
        <v>145000</v>
      </c>
      <c r="D882" s="3">
        <v>145000</v>
      </c>
      <c r="E882" s="7">
        <v>0</v>
      </c>
      <c r="F882" s="5">
        <v>45895</v>
      </c>
      <c r="G882" s="4">
        <v>20250825</v>
      </c>
      <c r="H882" s="6" t="s">
        <v>24</v>
      </c>
      <c r="I882" s="8" t="s">
        <v>9</v>
      </c>
      <c r="J882" s="6" t="s">
        <v>53</v>
      </c>
    </row>
    <row r="883" spans="1:10">
      <c r="A883" s="9">
        <v>706</v>
      </c>
      <c r="B883" s="10">
        <v>4146</v>
      </c>
      <c r="C883" s="3">
        <v>2570000</v>
      </c>
      <c r="D883" s="3">
        <v>2570000</v>
      </c>
      <c r="E883" s="7">
        <v>0</v>
      </c>
      <c r="F883" s="5">
        <v>45895</v>
      </c>
      <c r="G883" s="4">
        <v>20250825</v>
      </c>
      <c r="H883" s="6" t="s">
        <v>30</v>
      </c>
      <c r="I883" s="8" t="s">
        <v>9</v>
      </c>
      <c r="J883" s="6" t="s">
        <v>63</v>
      </c>
    </row>
    <row r="884" spans="1:10">
      <c r="A884" s="9">
        <v>297</v>
      </c>
      <c r="B884" s="10">
        <v>5398</v>
      </c>
      <c r="C884" s="3">
        <v>100000</v>
      </c>
      <c r="D884" s="3">
        <v>100000</v>
      </c>
      <c r="E884" s="7">
        <v>0</v>
      </c>
      <c r="F884" s="5">
        <v>45896</v>
      </c>
      <c r="G884" s="4">
        <v>20250826</v>
      </c>
      <c r="H884" s="6" t="s">
        <v>30</v>
      </c>
      <c r="I884" s="8" t="s">
        <v>9</v>
      </c>
      <c r="J884" s="6" t="s">
        <v>312</v>
      </c>
    </row>
    <row r="885" spans="1:10">
      <c r="A885" s="9">
        <v>916</v>
      </c>
      <c r="B885" s="10">
        <v>5052</v>
      </c>
      <c r="C885" s="3">
        <v>220000</v>
      </c>
      <c r="D885" s="3">
        <v>220000</v>
      </c>
      <c r="E885" s="7">
        <v>0</v>
      </c>
      <c r="F885" s="5">
        <v>45897</v>
      </c>
      <c r="G885" s="4">
        <v>20250827</v>
      </c>
      <c r="H885" s="6" t="s">
        <v>24</v>
      </c>
      <c r="I885" s="8" t="s">
        <v>9</v>
      </c>
      <c r="J885" s="6" t="s">
        <v>309</v>
      </c>
    </row>
    <row r="886" spans="1:10">
      <c r="A886" s="9">
        <v>15</v>
      </c>
      <c r="B886" s="10">
        <v>8578</v>
      </c>
      <c r="C886" s="3">
        <v>1870000</v>
      </c>
      <c r="D886" s="3">
        <v>1870000</v>
      </c>
      <c r="E886" s="7">
        <v>0</v>
      </c>
      <c r="F886" s="5">
        <v>45897</v>
      </c>
      <c r="G886" s="4">
        <v>20250827</v>
      </c>
      <c r="H886" s="6" t="s">
        <v>24</v>
      </c>
      <c r="I886" s="8" t="s">
        <v>9</v>
      </c>
      <c r="J886" s="6" t="s">
        <v>129</v>
      </c>
    </row>
    <row r="887" spans="1:10">
      <c r="A887" s="9">
        <v>916</v>
      </c>
      <c r="B887" s="10">
        <v>5052</v>
      </c>
      <c r="C887" s="3">
        <v>1095000</v>
      </c>
      <c r="D887" s="3">
        <v>1095000</v>
      </c>
      <c r="E887" s="7">
        <v>0</v>
      </c>
      <c r="F887" s="5">
        <v>45898</v>
      </c>
      <c r="G887" s="4">
        <v>20250828</v>
      </c>
      <c r="H887" s="6" t="s">
        <v>24</v>
      </c>
      <c r="I887" s="8" t="s">
        <v>9</v>
      </c>
      <c r="J887" s="6" t="s">
        <v>309</v>
      </c>
    </row>
    <row r="888" spans="1:10">
      <c r="A888" s="9">
        <v>68</v>
      </c>
      <c r="B888" s="10">
        <v>5135</v>
      </c>
      <c r="C888" s="3">
        <v>1206000</v>
      </c>
      <c r="D888" s="3">
        <v>1206000</v>
      </c>
      <c r="E888" s="7">
        <v>0</v>
      </c>
      <c r="F888" s="5">
        <v>45898</v>
      </c>
      <c r="G888" s="4">
        <v>20250828</v>
      </c>
      <c r="H888" s="6" t="s">
        <v>24</v>
      </c>
      <c r="I888" s="8" t="s">
        <v>9</v>
      </c>
      <c r="J888" s="6" t="s">
        <v>313</v>
      </c>
    </row>
    <row r="889" spans="1:10">
      <c r="A889" s="9">
        <v>253</v>
      </c>
      <c r="B889" s="10">
        <v>5176</v>
      </c>
      <c r="C889" s="3">
        <v>650000</v>
      </c>
      <c r="D889" s="3">
        <v>650000</v>
      </c>
      <c r="E889" s="7">
        <v>0</v>
      </c>
      <c r="F889" s="5">
        <v>45898</v>
      </c>
      <c r="G889" s="4">
        <v>20250828</v>
      </c>
      <c r="H889" s="6" t="s">
        <v>24</v>
      </c>
      <c r="I889" s="8" t="s">
        <v>9</v>
      </c>
      <c r="J889" s="6" t="s">
        <v>53</v>
      </c>
    </row>
    <row r="890" spans="1:10">
      <c r="A890" s="9">
        <v>388</v>
      </c>
      <c r="B890" s="10">
        <v>5169</v>
      </c>
      <c r="C890" s="3">
        <v>1760000</v>
      </c>
      <c r="D890" s="3">
        <v>1760000</v>
      </c>
      <c r="E890" s="7">
        <v>0</v>
      </c>
      <c r="F890" s="5">
        <v>45902</v>
      </c>
      <c r="G890" s="4">
        <v>20250901</v>
      </c>
      <c r="H890" s="6" t="s">
        <v>24</v>
      </c>
      <c r="I890" s="8" t="s">
        <v>9</v>
      </c>
      <c r="J890" s="6" t="s">
        <v>186</v>
      </c>
    </row>
    <row r="891" spans="1:10">
      <c r="A891" s="9">
        <v>253</v>
      </c>
      <c r="B891" s="10">
        <v>5176</v>
      </c>
      <c r="C891" s="3">
        <v>2190000</v>
      </c>
      <c r="D891" s="3">
        <v>2190000</v>
      </c>
      <c r="E891" s="7">
        <v>0</v>
      </c>
      <c r="F891" s="5">
        <v>45902</v>
      </c>
      <c r="G891" s="4">
        <v>20250901</v>
      </c>
      <c r="H891" s="6" t="s">
        <v>24</v>
      </c>
      <c r="I891" s="8" t="s">
        <v>9</v>
      </c>
      <c r="J891" s="6" t="s">
        <v>53</v>
      </c>
    </row>
    <row r="892" spans="1:10">
      <c r="A892" s="9">
        <v>297</v>
      </c>
      <c r="B892" s="10">
        <v>5398</v>
      </c>
      <c r="C892" s="3">
        <v>2100000</v>
      </c>
      <c r="D892" s="3">
        <v>2100000</v>
      </c>
      <c r="E892" s="7">
        <v>0</v>
      </c>
      <c r="F892" s="5">
        <v>45902</v>
      </c>
      <c r="G892" s="4">
        <v>20250901</v>
      </c>
      <c r="H892" s="6" t="s">
        <v>30</v>
      </c>
      <c r="I892" s="8" t="s">
        <v>9</v>
      </c>
      <c r="J892" s="6" t="s">
        <v>312</v>
      </c>
    </row>
    <row r="893" spans="1:10">
      <c r="A893" s="9">
        <v>706</v>
      </c>
      <c r="B893" s="10">
        <v>4146</v>
      </c>
      <c r="C893" s="3">
        <v>5060000</v>
      </c>
      <c r="D893" s="3">
        <v>5060000</v>
      </c>
      <c r="E893" s="7">
        <v>0</v>
      </c>
      <c r="F893" s="5">
        <v>45902</v>
      </c>
      <c r="G893" s="4">
        <v>20250901</v>
      </c>
      <c r="H893" s="6" t="s">
        <v>30</v>
      </c>
      <c r="I893" s="8" t="s">
        <v>9</v>
      </c>
      <c r="J893" s="6" t="s">
        <v>63</v>
      </c>
    </row>
    <row r="894" spans="1:10">
      <c r="A894" s="9">
        <v>944</v>
      </c>
      <c r="B894" s="10">
        <v>8356</v>
      </c>
      <c r="C894" s="3">
        <v>20000</v>
      </c>
      <c r="D894" s="3">
        <v>20000</v>
      </c>
      <c r="E894" s="7">
        <v>0</v>
      </c>
      <c r="F894" s="5">
        <v>45902</v>
      </c>
      <c r="G894" s="4">
        <v>20250901</v>
      </c>
      <c r="H894" s="6" t="s">
        <v>30</v>
      </c>
      <c r="I894" s="8" t="s">
        <v>10</v>
      </c>
      <c r="J894" s="6" t="s">
        <v>293</v>
      </c>
    </row>
    <row r="895" spans="1:10">
      <c r="A895" s="9">
        <v>725</v>
      </c>
      <c r="B895" s="10">
        <v>5166</v>
      </c>
      <c r="C895" s="3">
        <v>2650000</v>
      </c>
      <c r="D895" s="3">
        <v>2650000</v>
      </c>
      <c r="E895" s="7">
        <v>0</v>
      </c>
      <c r="F895" s="5">
        <v>45903</v>
      </c>
      <c r="G895" s="4">
        <v>20250902</v>
      </c>
      <c r="H895" s="6" t="s">
        <v>24</v>
      </c>
      <c r="I895" s="8" t="s">
        <v>9</v>
      </c>
      <c r="J895" s="6" t="s">
        <v>91</v>
      </c>
    </row>
    <row r="896" spans="1:10">
      <c r="A896" s="9">
        <v>54</v>
      </c>
      <c r="B896" s="10">
        <v>6204</v>
      </c>
      <c r="C896" s="3">
        <v>2500000</v>
      </c>
      <c r="D896" s="3">
        <v>2500000</v>
      </c>
      <c r="E896" s="7">
        <v>0</v>
      </c>
      <c r="F896" s="5">
        <v>45903</v>
      </c>
      <c r="G896" s="4">
        <v>20250902</v>
      </c>
      <c r="H896" s="6" t="s">
        <v>24</v>
      </c>
      <c r="I896" s="8" t="s">
        <v>9</v>
      </c>
      <c r="J896" s="6" t="s">
        <v>152</v>
      </c>
    </row>
    <row r="897" spans="1:10">
      <c r="A897" s="9">
        <v>509</v>
      </c>
      <c r="B897" s="10">
        <v>8835</v>
      </c>
      <c r="C897" s="3">
        <v>3690000</v>
      </c>
      <c r="D897" s="3">
        <v>3690000</v>
      </c>
      <c r="E897" s="7">
        <v>0</v>
      </c>
      <c r="F897" s="5">
        <v>45903</v>
      </c>
      <c r="G897" s="4">
        <v>20250902</v>
      </c>
      <c r="H897" s="6" t="s">
        <v>24</v>
      </c>
      <c r="I897" s="8" t="s">
        <v>9</v>
      </c>
      <c r="J897" s="6" t="s">
        <v>165</v>
      </c>
    </row>
    <row r="898" spans="1:10">
      <c r="A898" s="9">
        <v>467</v>
      </c>
      <c r="B898" s="10">
        <v>9051</v>
      </c>
      <c r="C898" s="3">
        <v>2970000</v>
      </c>
      <c r="D898" s="3">
        <v>2970000</v>
      </c>
      <c r="E898" s="7">
        <v>0</v>
      </c>
      <c r="F898" s="5">
        <v>45903</v>
      </c>
      <c r="G898" s="4">
        <v>20250902</v>
      </c>
      <c r="H898" s="6" t="s">
        <v>24</v>
      </c>
      <c r="I898" s="8" t="s">
        <v>9</v>
      </c>
      <c r="J898" s="6" t="s">
        <v>314</v>
      </c>
    </row>
    <row r="899" spans="1:10">
      <c r="A899" s="9">
        <v>329</v>
      </c>
      <c r="B899" s="10">
        <v>3291</v>
      </c>
      <c r="C899" s="3">
        <v>20000</v>
      </c>
      <c r="D899" s="3">
        <v>20000</v>
      </c>
      <c r="E899" s="7">
        <v>0</v>
      </c>
      <c r="F899" s="5">
        <v>45903</v>
      </c>
      <c r="G899" s="4">
        <v>20250902</v>
      </c>
      <c r="H899" s="6" t="s">
        <v>30</v>
      </c>
      <c r="I899" s="8" t="s">
        <v>10</v>
      </c>
      <c r="J899" s="6" t="s">
        <v>315</v>
      </c>
    </row>
    <row r="900" spans="1:10">
      <c r="A900" s="9">
        <v>168</v>
      </c>
      <c r="B900" s="10">
        <v>5224</v>
      </c>
      <c r="C900" s="3">
        <v>2481000</v>
      </c>
      <c r="D900" s="3">
        <v>2481000</v>
      </c>
      <c r="E900" s="7">
        <v>0</v>
      </c>
      <c r="F900" s="5">
        <v>45904</v>
      </c>
      <c r="G900" s="4">
        <v>20250903</v>
      </c>
      <c r="H900" s="6" t="s">
        <v>24</v>
      </c>
      <c r="I900" s="8" t="s">
        <v>9</v>
      </c>
      <c r="J900" s="6" t="s">
        <v>248</v>
      </c>
    </row>
    <row r="901" spans="1:10">
      <c r="A901" s="9">
        <v>198</v>
      </c>
      <c r="B901" s="10">
        <v>5179</v>
      </c>
      <c r="C901" s="3">
        <v>2260000</v>
      </c>
      <c r="D901" s="3">
        <v>2260000</v>
      </c>
      <c r="E901" s="7">
        <v>0</v>
      </c>
      <c r="F901" s="5">
        <v>45904</v>
      </c>
      <c r="G901" s="4">
        <v>20250903</v>
      </c>
      <c r="H901" s="6" t="s">
        <v>24</v>
      </c>
      <c r="I901" s="8" t="s">
        <v>9</v>
      </c>
      <c r="J901" s="6" t="s">
        <v>316</v>
      </c>
    </row>
    <row r="902" spans="1:10">
      <c r="A902" s="9">
        <v>511</v>
      </c>
      <c r="B902" s="10">
        <v>5122</v>
      </c>
      <c r="C902" s="3">
        <v>885000</v>
      </c>
      <c r="D902" s="3">
        <v>885000</v>
      </c>
      <c r="E902" s="7">
        <v>0</v>
      </c>
      <c r="F902" s="5">
        <v>45904</v>
      </c>
      <c r="G902" s="4">
        <v>20250903</v>
      </c>
      <c r="H902" s="6" t="s">
        <v>24</v>
      </c>
      <c r="I902" s="8" t="s">
        <v>9</v>
      </c>
      <c r="J902" s="6" t="s">
        <v>125</v>
      </c>
    </row>
    <row r="903" spans="1:10">
      <c r="A903" s="9">
        <v>656</v>
      </c>
      <c r="B903" s="10">
        <v>5664</v>
      </c>
      <c r="C903" s="3">
        <v>9430000</v>
      </c>
      <c r="D903" s="3">
        <v>9430000</v>
      </c>
      <c r="E903" s="7">
        <v>0</v>
      </c>
      <c r="F903" s="5">
        <v>45905</v>
      </c>
      <c r="G903" s="4">
        <v>20250904</v>
      </c>
      <c r="H903" s="6" t="s">
        <v>30</v>
      </c>
      <c r="I903" s="8"/>
      <c r="J903" s="6" t="s">
        <v>317</v>
      </c>
    </row>
    <row r="904" spans="1:10">
      <c r="A904" s="9">
        <v>297</v>
      </c>
      <c r="B904" s="10">
        <v>5398</v>
      </c>
      <c r="C904" s="3">
        <v>100000</v>
      </c>
      <c r="D904" s="3">
        <v>100000</v>
      </c>
      <c r="E904" s="7">
        <v>0</v>
      </c>
      <c r="F904" s="5">
        <v>45905</v>
      </c>
      <c r="G904" s="4">
        <v>20250904</v>
      </c>
      <c r="H904" s="6" t="s">
        <v>30</v>
      </c>
      <c r="I904" s="8" t="s">
        <v>9</v>
      </c>
      <c r="J904" s="6" t="s">
        <v>312</v>
      </c>
    </row>
    <row r="905" spans="1:10">
      <c r="A905" s="9">
        <v>395</v>
      </c>
      <c r="B905" s="10">
        <v>1529</v>
      </c>
      <c r="C905" s="3">
        <v>1870000</v>
      </c>
      <c r="D905" s="3">
        <v>1870000</v>
      </c>
      <c r="E905" s="7">
        <v>0</v>
      </c>
      <c r="F905" s="5">
        <v>45905</v>
      </c>
      <c r="G905" s="4">
        <v>20250904</v>
      </c>
      <c r="H905" s="6" t="s">
        <v>24</v>
      </c>
      <c r="I905" s="8" t="s">
        <v>9</v>
      </c>
      <c r="J905" s="6" t="s">
        <v>318</v>
      </c>
    </row>
    <row r="906" spans="1:10">
      <c r="A906" s="9">
        <v>723</v>
      </c>
      <c r="B906" s="10">
        <v>5046</v>
      </c>
      <c r="C906" s="3">
        <v>879000</v>
      </c>
      <c r="D906" s="3">
        <v>879000</v>
      </c>
      <c r="E906" s="7">
        <v>0</v>
      </c>
      <c r="F906" s="5">
        <v>45905</v>
      </c>
      <c r="G906" s="4">
        <v>20250904</v>
      </c>
      <c r="H906" s="6" t="s">
        <v>24</v>
      </c>
      <c r="I906" s="8" t="s">
        <v>9</v>
      </c>
      <c r="J906" s="6" t="s">
        <v>310</v>
      </c>
    </row>
    <row r="907" spans="1:10">
      <c r="A907" s="9">
        <v>915</v>
      </c>
      <c r="B907" s="10">
        <v>8313</v>
      </c>
      <c r="C907" s="3">
        <v>459650</v>
      </c>
      <c r="D907" s="3">
        <v>459650</v>
      </c>
      <c r="E907" s="7">
        <v>0</v>
      </c>
      <c r="F907" s="5">
        <v>45905</v>
      </c>
      <c r="G907" s="4">
        <v>20250904</v>
      </c>
      <c r="H907" s="6" t="s">
        <v>24</v>
      </c>
      <c r="I907" s="8" t="s">
        <v>9</v>
      </c>
      <c r="J907" s="6" t="s">
        <v>27</v>
      </c>
    </row>
    <row r="908" spans="1:10">
      <c r="A908" s="9">
        <v>743</v>
      </c>
      <c r="B908" s="9">
        <v>5106</v>
      </c>
      <c r="C908" s="3">
        <v>1680000</v>
      </c>
      <c r="D908" s="3">
        <v>1680000</v>
      </c>
      <c r="E908" s="7">
        <v>0</v>
      </c>
      <c r="F908" s="5">
        <v>45877</v>
      </c>
      <c r="G908" s="4">
        <v>20250807</v>
      </c>
      <c r="H908" s="6" t="s">
        <v>24</v>
      </c>
      <c r="I908" s="8" t="s">
        <v>9</v>
      </c>
      <c r="J908" s="6" t="s">
        <v>319</v>
      </c>
    </row>
    <row r="909" spans="1:10">
      <c r="A909" s="9">
        <v>743</v>
      </c>
      <c r="B909" s="10">
        <v>5106</v>
      </c>
      <c r="C909" s="3">
        <v>1515000</v>
      </c>
      <c r="D909" s="3">
        <v>1515000</v>
      </c>
      <c r="E909" s="7">
        <v>0</v>
      </c>
      <c r="F909" s="5">
        <v>45890</v>
      </c>
      <c r="G909" s="4">
        <v>20250820</v>
      </c>
      <c r="H909" s="6" t="s">
        <v>24</v>
      </c>
      <c r="I909" s="8"/>
      <c r="J909" s="6" t="s">
        <v>319</v>
      </c>
    </row>
    <row r="910" spans="1:10">
      <c r="A910" s="9">
        <v>743</v>
      </c>
      <c r="B910" s="10">
        <v>5106</v>
      </c>
      <c r="C910" s="3">
        <v>1870000</v>
      </c>
      <c r="D910" s="3">
        <v>1870000</v>
      </c>
      <c r="E910" s="7">
        <v>0</v>
      </c>
      <c r="F910" s="5">
        <v>45891</v>
      </c>
      <c r="G910" s="4">
        <v>20250821</v>
      </c>
      <c r="H910" s="6" t="s">
        <v>24</v>
      </c>
      <c r="I910" s="8" t="s">
        <v>9</v>
      </c>
      <c r="J910" s="6" t="s">
        <v>319</v>
      </c>
    </row>
    <row r="911" spans="1:10">
      <c r="A911" s="9">
        <v>420</v>
      </c>
      <c r="B911" s="10">
        <v>5173</v>
      </c>
      <c r="C911" s="3">
        <v>10000</v>
      </c>
      <c r="D911" s="3">
        <v>10000</v>
      </c>
      <c r="E911" s="7">
        <v>0</v>
      </c>
      <c r="F911" s="5">
        <v>45896</v>
      </c>
      <c r="G911" s="4">
        <v>20250826</v>
      </c>
      <c r="H911" s="6" t="s">
        <v>24</v>
      </c>
      <c r="I911" s="8" t="s">
        <v>10</v>
      </c>
      <c r="J911" s="6" t="s">
        <v>320</v>
      </c>
    </row>
    <row r="912" spans="1:10">
      <c r="A912" s="9">
        <v>743</v>
      </c>
      <c r="B912" s="10">
        <v>5106</v>
      </c>
      <c r="C912" s="3">
        <v>1100000</v>
      </c>
      <c r="D912" s="3">
        <v>1100000</v>
      </c>
      <c r="E912" s="7">
        <v>0</v>
      </c>
      <c r="F912" s="5">
        <v>45897</v>
      </c>
      <c r="G912" s="4">
        <v>20250827</v>
      </c>
      <c r="H912" s="6" t="s">
        <v>24</v>
      </c>
      <c r="I912" s="8" t="s">
        <v>9</v>
      </c>
      <c r="J912" s="6" t="s">
        <v>319</v>
      </c>
    </row>
    <row r="913" spans="1:10">
      <c r="A913" s="9">
        <v>743</v>
      </c>
      <c r="B913" s="10">
        <v>5106</v>
      </c>
      <c r="C913" s="3">
        <v>2840000</v>
      </c>
      <c r="D913" s="3">
        <v>2840000</v>
      </c>
      <c r="E913" s="7">
        <v>0</v>
      </c>
      <c r="F913" s="5">
        <v>45898</v>
      </c>
      <c r="G913" s="4">
        <v>20250828</v>
      </c>
      <c r="H913" s="6" t="s">
        <v>24</v>
      </c>
      <c r="I913" s="8" t="s">
        <v>9</v>
      </c>
      <c r="J913" s="6" t="s">
        <v>319</v>
      </c>
    </row>
    <row r="914" spans="1:10">
      <c r="A914" s="9">
        <v>888</v>
      </c>
      <c r="B914" s="10">
        <v>6818</v>
      </c>
      <c r="C914" s="3">
        <v>295000</v>
      </c>
      <c r="D914" s="3">
        <v>295000</v>
      </c>
      <c r="E914" s="7">
        <v>0</v>
      </c>
      <c r="F914" s="5">
        <v>45908</v>
      </c>
      <c r="G914" s="4">
        <v>20250907</v>
      </c>
      <c r="H914" s="6" t="s">
        <v>24</v>
      </c>
      <c r="I914" s="8" t="s">
        <v>9</v>
      </c>
      <c r="J914" s="6" t="s">
        <v>321</v>
      </c>
    </row>
    <row r="915" spans="1:10">
      <c r="A915" s="9">
        <v>795</v>
      </c>
      <c r="B915" s="10">
        <v>1027</v>
      </c>
      <c r="C915" s="3">
        <v>130000</v>
      </c>
      <c r="D915" s="3">
        <v>130000</v>
      </c>
      <c r="E915" s="7">
        <v>0</v>
      </c>
      <c r="F915" s="5">
        <v>45908</v>
      </c>
      <c r="G915" s="4">
        <v>20250907</v>
      </c>
      <c r="H915" s="6" t="s">
        <v>24</v>
      </c>
      <c r="I915" s="8" t="s">
        <v>9</v>
      </c>
      <c r="J915" s="6" t="s">
        <v>276</v>
      </c>
    </row>
    <row r="916" spans="1:10">
      <c r="A916" s="9">
        <v>292</v>
      </c>
      <c r="B916" s="10">
        <v>5116</v>
      </c>
      <c r="C916" s="3">
        <v>1851900</v>
      </c>
      <c r="D916" s="3">
        <v>1851900</v>
      </c>
      <c r="E916" s="7">
        <f>+C916-D916</f>
        <v>0</v>
      </c>
      <c r="F916" s="5">
        <v>45908</v>
      </c>
      <c r="G916" s="4">
        <v>20250907</v>
      </c>
      <c r="H916" s="6" t="str">
        <f>VLOOKUP(B916,CAJEROS!B:D,3,0)</f>
        <v>Multifuncional</v>
      </c>
      <c r="I916" s="8" t="s">
        <v>9</v>
      </c>
      <c r="J916" s="6" t="str">
        <f>VLOOKUP(B916,CAJEROS!B:E,4,0)</f>
        <v>MF_CONFECCI</v>
      </c>
    </row>
    <row r="917" spans="1:10">
      <c r="A917" s="9">
        <v>60</v>
      </c>
      <c r="B917" s="10">
        <v>8721</v>
      </c>
      <c r="C917" s="3">
        <v>200000</v>
      </c>
      <c r="D917" s="3">
        <v>200000</v>
      </c>
      <c r="E917" s="7">
        <v>0</v>
      </c>
      <c r="F917" s="5">
        <v>45888</v>
      </c>
      <c r="G917" s="4">
        <v>20250818</v>
      </c>
      <c r="H917" s="6" t="s">
        <v>30</v>
      </c>
      <c r="I917" s="8" t="s">
        <v>9</v>
      </c>
      <c r="J917" s="6" t="s">
        <v>59</v>
      </c>
    </row>
    <row r="918" spans="1:10">
      <c r="A918" s="9">
        <v>60</v>
      </c>
      <c r="B918" s="10">
        <v>8723</v>
      </c>
      <c r="C918" s="3">
        <v>350000</v>
      </c>
      <c r="D918" s="3">
        <v>350000</v>
      </c>
      <c r="E918" s="7">
        <v>0</v>
      </c>
      <c r="F918" s="5">
        <v>45889</v>
      </c>
      <c r="G918" s="4">
        <v>20250819</v>
      </c>
      <c r="H918" s="6" t="s">
        <v>30</v>
      </c>
      <c r="I918" s="8" t="s">
        <v>9</v>
      </c>
      <c r="J918" s="6" t="s">
        <v>322</v>
      </c>
    </row>
    <row r="919" spans="1:10">
      <c r="A919" s="9">
        <v>60</v>
      </c>
      <c r="B919" s="10">
        <v>8725</v>
      </c>
      <c r="C919" s="3">
        <v>50000</v>
      </c>
      <c r="D919" s="3">
        <v>50000</v>
      </c>
      <c r="E919" s="7">
        <v>0</v>
      </c>
      <c r="F919" s="5">
        <v>45890</v>
      </c>
      <c r="G919" s="4">
        <v>20250820</v>
      </c>
      <c r="H919" s="6" t="s">
        <v>30</v>
      </c>
      <c r="I919" s="8" t="s">
        <v>9</v>
      </c>
      <c r="J919" s="6" t="s">
        <v>323</v>
      </c>
    </row>
    <row r="920" spans="1:10">
      <c r="A920" s="9">
        <v>60</v>
      </c>
      <c r="B920" s="10">
        <v>8720</v>
      </c>
      <c r="C920" s="3">
        <v>100000</v>
      </c>
      <c r="D920" s="3">
        <v>100000</v>
      </c>
      <c r="E920" s="7">
        <v>0</v>
      </c>
      <c r="F920" s="5">
        <v>45895</v>
      </c>
      <c r="G920" s="4">
        <v>20250825</v>
      </c>
      <c r="H920" s="6" t="s">
        <v>30</v>
      </c>
      <c r="I920" s="8" t="s">
        <v>9</v>
      </c>
      <c r="J920" s="6" t="s">
        <v>324</v>
      </c>
    </row>
    <row r="921" spans="1:10">
      <c r="A921" s="9">
        <v>60</v>
      </c>
      <c r="B921" s="10">
        <v>8725</v>
      </c>
      <c r="C921" s="3">
        <v>200000</v>
      </c>
      <c r="D921" s="3">
        <v>200000</v>
      </c>
      <c r="E921" s="7">
        <v>0</v>
      </c>
      <c r="F921" s="5">
        <v>45895</v>
      </c>
      <c r="G921" s="4">
        <v>20250825</v>
      </c>
      <c r="H921" s="6" t="s">
        <v>30</v>
      </c>
      <c r="I921" s="8" t="s">
        <v>9</v>
      </c>
      <c r="J921" s="6" t="s">
        <v>323</v>
      </c>
    </row>
    <row r="922" spans="1:10">
      <c r="A922" s="9">
        <v>60</v>
      </c>
      <c r="B922" s="10">
        <v>8721</v>
      </c>
      <c r="C922" s="3">
        <v>200000</v>
      </c>
      <c r="D922" s="3">
        <v>200000</v>
      </c>
      <c r="E922" s="7">
        <v>0</v>
      </c>
      <c r="F922" s="5">
        <v>45896</v>
      </c>
      <c r="G922" s="4">
        <v>20250826</v>
      </c>
      <c r="H922" s="6" t="s">
        <v>30</v>
      </c>
      <c r="I922" s="8" t="s">
        <v>9</v>
      </c>
      <c r="J922" s="6" t="s">
        <v>59</v>
      </c>
    </row>
    <row r="923" spans="1:10">
      <c r="A923" s="9">
        <v>60</v>
      </c>
      <c r="B923" s="10">
        <v>8721</v>
      </c>
      <c r="C923" s="3">
        <v>100000</v>
      </c>
      <c r="D923" s="3">
        <v>100000</v>
      </c>
      <c r="E923" s="7">
        <v>0</v>
      </c>
      <c r="F923" s="5">
        <v>45897</v>
      </c>
      <c r="G923" s="4">
        <v>20250827</v>
      </c>
      <c r="H923" s="6" t="s">
        <v>30</v>
      </c>
      <c r="I923" s="8" t="s">
        <v>9</v>
      </c>
      <c r="J923" s="6" t="s">
        <v>59</v>
      </c>
    </row>
    <row r="924" spans="1:10">
      <c r="A924" s="9">
        <v>60</v>
      </c>
      <c r="B924" s="10">
        <v>8725</v>
      </c>
      <c r="C924" s="3">
        <v>200000</v>
      </c>
      <c r="D924" s="3">
        <v>200000</v>
      </c>
      <c r="E924" s="7">
        <v>0</v>
      </c>
      <c r="F924" s="5">
        <v>45898</v>
      </c>
      <c r="G924" s="4">
        <v>20250828</v>
      </c>
      <c r="H924" s="6" t="s">
        <v>30</v>
      </c>
      <c r="I924" s="8" t="s">
        <v>9</v>
      </c>
      <c r="J924" s="6" t="s">
        <v>323</v>
      </c>
    </row>
    <row r="925" spans="1:10">
      <c r="A925" s="9">
        <v>795</v>
      </c>
      <c r="B925" s="10">
        <v>1028</v>
      </c>
      <c r="C925" s="3">
        <v>340000</v>
      </c>
      <c r="D925" s="3">
        <v>340000</v>
      </c>
      <c r="E925" s="7">
        <v>0</v>
      </c>
      <c r="F925" s="5">
        <v>45898</v>
      </c>
      <c r="G925" s="4">
        <v>20250828</v>
      </c>
      <c r="H925" s="6" t="s">
        <v>24</v>
      </c>
      <c r="I925" s="8" t="s">
        <v>9</v>
      </c>
      <c r="J925" s="6" t="s">
        <v>305</v>
      </c>
    </row>
    <row r="926" spans="1:10">
      <c r="A926" s="9">
        <v>60</v>
      </c>
      <c r="B926" s="10">
        <v>8719</v>
      </c>
      <c r="C926" s="3">
        <v>100000</v>
      </c>
      <c r="D926" s="3">
        <v>100000</v>
      </c>
      <c r="E926" s="7">
        <v>0</v>
      </c>
      <c r="F926" s="5">
        <v>45902</v>
      </c>
      <c r="G926" s="4">
        <v>20250901</v>
      </c>
      <c r="H926" s="6" t="s">
        <v>30</v>
      </c>
      <c r="I926" s="8" t="s">
        <v>9</v>
      </c>
      <c r="J926" s="6" t="s">
        <v>31</v>
      </c>
    </row>
    <row r="927" spans="1:10">
      <c r="A927" s="9">
        <v>60</v>
      </c>
      <c r="B927" s="10">
        <v>8721</v>
      </c>
      <c r="C927" s="3">
        <v>200000</v>
      </c>
      <c r="D927" s="3">
        <v>200000</v>
      </c>
      <c r="E927" s="7">
        <v>0</v>
      </c>
      <c r="F927" s="5">
        <v>45902</v>
      </c>
      <c r="G927" s="4">
        <v>20250901</v>
      </c>
      <c r="H927" s="6" t="s">
        <v>30</v>
      </c>
      <c r="I927" s="8" t="s">
        <v>9</v>
      </c>
      <c r="J927" s="6" t="s">
        <v>59</v>
      </c>
    </row>
    <row r="928" spans="1:10">
      <c r="A928" s="9">
        <v>96</v>
      </c>
      <c r="B928" s="10">
        <v>1035</v>
      </c>
      <c r="C928" s="3">
        <v>110000</v>
      </c>
      <c r="D928" s="3">
        <v>110000</v>
      </c>
      <c r="E928" s="7">
        <v>0</v>
      </c>
      <c r="F928" s="5">
        <v>45902</v>
      </c>
      <c r="G928" s="4">
        <v>20250901</v>
      </c>
      <c r="H928" s="6" t="s">
        <v>30</v>
      </c>
      <c r="I928" s="8" t="s">
        <v>9</v>
      </c>
      <c r="J928" s="6" t="s">
        <v>60</v>
      </c>
    </row>
    <row r="929" spans="1:10">
      <c r="A929" s="9">
        <v>96</v>
      </c>
      <c r="B929" s="10">
        <v>4257</v>
      </c>
      <c r="C929" s="3">
        <v>710000</v>
      </c>
      <c r="D929" s="3">
        <v>710000</v>
      </c>
      <c r="E929" s="7">
        <v>0</v>
      </c>
      <c r="F929" s="5">
        <v>45902</v>
      </c>
      <c r="G929" s="4">
        <v>20250901</v>
      </c>
      <c r="H929" s="6" t="s">
        <v>30</v>
      </c>
      <c r="I929" s="8" t="s">
        <v>9</v>
      </c>
      <c r="J929" s="6" t="s">
        <v>197</v>
      </c>
    </row>
    <row r="930" spans="1:10">
      <c r="A930" s="9">
        <v>415</v>
      </c>
      <c r="B930" s="10">
        <v>8616</v>
      </c>
      <c r="C930" s="3">
        <v>1000000</v>
      </c>
      <c r="D930" s="3">
        <v>1000000</v>
      </c>
      <c r="E930" s="7">
        <v>0</v>
      </c>
      <c r="F930" s="5">
        <v>45902</v>
      </c>
      <c r="G930" s="4">
        <v>20250901</v>
      </c>
      <c r="H930" s="6" t="s">
        <v>30</v>
      </c>
      <c r="I930" s="8" t="s">
        <v>9</v>
      </c>
      <c r="J930" s="6" t="s">
        <v>325</v>
      </c>
    </row>
    <row r="931" spans="1:10">
      <c r="A931" s="9">
        <v>96</v>
      </c>
      <c r="B931" s="10">
        <v>1035</v>
      </c>
      <c r="C931" s="3">
        <v>300000</v>
      </c>
      <c r="D931" s="3">
        <v>300000</v>
      </c>
      <c r="E931" s="7">
        <v>0</v>
      </c>
      <c r="F931" s="5">
        <v>45903</v>
      </c>
      <c r="G931" s="4">
        <v>20250902</v>
      </c>
      <c r="H931" s="6" t="s">
        <v>30</v>
      </c>
      <c r="I931" s="8" t="s">
        <v>9</v>
      </c>
      <c r="J931" s="6" t="s">
        <v>60</v>
      </c>
    </row>
    <row r="932" spans="1:10">
      <c r="A932" s="9">
        <v>385</v>
      </c>
      <c r="B932" s="10">
        <v>1826</v>
      </c>
      <c r="C932" s="3">
        <v>100000</v>
      </c>
      <c r="D932" s="3">
        <v>100000</v>
      </c>
      <c r="E932" s="7">
        <v>0</v>
      </c>
      <c r="F932" s="5">
        <v>45903</v>
      </c>
      <c r="G932" s="4">
        <v>20250902</v>
      </c>
      <c r="H932" s="6" t="s">
        <v>30</v>
      </c>
      <c r="I932" s="8" t="s">
        <v>9</v>
      </c>
      <c r="J932" s="6" t="s">
        <v>145</v>
      </c>
    </row>
    <row r="933" spans="1:10">
      <c r="A933" s="9">
        <v>217</v>
      </c>
      <c r="B933" s="10">
        <v>5208</v>
      </c>
      <c r="C933" s="3">
        <v>40000</v>
      </c>
      <c r="D933" s="3">
        <v>40000</v>
      </c>
      <c r="E933" s="7">
        <v>0</v>
      </c>
      <c r="F933" s="5">
        <v>45903</v>
      </c>
      <c r="G933" s="4">
        <v>20250902</v>
      </c>
      <c r="H933" s="6" t="s">
        <v>24</v>
      </c>
      <c r="I933" s="8" t="s">
        <v>9</v>
      </c>
      <c r="J933" s="6" t="s">
        <v>326</v>
      </c>
    </row>
    <row r="934" spans="1:10">
      <c r="A934" s="9">
        <v>96</v>
      </c>
      <c r="B934" s="10">
        <v>1036</v>
      </c>
      <c r="C934" s="3">
        <v>40000</v>
      </c>
      <c r="D934" s="3">
        <v>40000</v>
      </c>
      <c r="E934" s="7">
        <v>0</v>
      </c>
      <c r="F934" s="5">
        <v>45904</v>
      </c>
      <c r="G934" s="4">
        <v>20250903</v>
      </c>
      <c r="H934" s="6" t="s">
        <v>30</v>
      </c>
      <c r="I934" s="8" t="s">
        <v>9</v>
      </c>
      <c r="J934" s="6" t="s">
        <v>161</v>
      </c>
    </row>
    <row r="935" spans="1:10">
      <c r="A935" s="9">
        <v>385</v>
      </c>
      <c r="B935" s="10">
        <v>1826</v>
      </c>
      <c r="C935" s="3">
        <v>200000</v>
      </c>
      <c r="D935" s="3">
        <v>200000</v>
      </c>
      <c r="E935" s="7">
        <v>0</v>
      </c>
      <c r="F935" s="5">
        <v>45904</v>
      </c>
      <c r="G935" s="4">
        <v>20250903</v>
      </c>
      <c r="H935" s="6" t="s">
        <v>30</v>
      </c>
      <c r="I935" s="8" t="s">
        <v>9</v>
      </c>
      <c r="J935" s="6" t="s">
        <v>145</v>
      </c>
    </row>
    <row r="936" spans="1:10">
      <c r="A936" s="9">
        <v>451</v>
      </c>
      <c r="B936" s="10">
        <v>9434</v>
      </c>
      <c r="C936" s="3">
        <v>2225000</v>
      </c>
      <c r="D936" s="3">
        <v>2225000</v>
      </c>
      <c r="E936" s="7">
        <v>0</v>
      </c>
      <c r="F936" s="5">
        <v>45904</v>
      </c>
      <c r="G936" s="4">
        <v>20250903</v>
      </c>
      <c r="H936" s="6" t="s">
        <v>24</v>
      </c>
      <c r="I936" s="8" t="s">
        <v>9</v>
      </c>
      <c r="J936" s="6" t="s">
        <v>327</v>
      </c>
    </row>
    <row r="937" spans="1:10">
      <c r="A937" s="9">
        <v>159</v>
      </c>
      <c r="B937" s="10">
        <v>4775</v>
      </c>
      <c r="C937" s="3">
        <v>10000</v>
      </c>
      <c r="D937" s="3">
        <v>10000</v>
      </c>
      <c r="E937" s="7">
        <v>0</v>
      </c>
      <c r="F937" s="5">
        <v>45904</v>
      </c>
      <c r="G937" s="4">
        <v>20250903</v>
      </c>
      <c r="H937" s="6" t="s">
        <v>30</v>
      </c>
      <c r="I937" s="8" t="s">
        <v>10</v>
      </c>
      <c r="J937" s="6" t="s">
        <v>328</v>
      </c>
    </row>
    <row r="938" spans="1:10">
      <c r="A938" s="9">
        <v>60</v>
      </c>
      <c r="B938" s="10">
        <v>8721</v>
      </c>
      <c r="C938" s="3">
        <v>300000</v>
      </c>
      <c r="D938" s="3">
        <v>300000</v>
      </c>
      <c r="E938" s="7">
        <v>0</v>
      </c>
      <c r="F938" s="5">
        <v>45905</v>
      </c>
      <c r="G938" s="4">
        <v>20250904</v>
      </c>
      <c r="H938" s="6" t="s">
        <v>30</v>
      </c>
      <c r="I938" s="8" t="s">
        <v>9</v>
      </c>
      <c r="J938" s="6" t="s">
        <v>59</v>
      </c>
    </row>
    <row r="939" spans="1:10">
      <c r="A939" s="9">
        <v>415</v>
      </c>
      <c r="B939" s="10">
        <v>8616</v>
      </c>
      <c r="C939" s="3">
        <v>100000</v>
      </c>
      <c r="D939" s="3">
        <v>100000</v>
      </c>
      <c r="E939" s="7">
        <v>0</v>
      </c>
      <c r="F939" s="5">
        <v>45905</v>
      </c>
      <c r="G939" s="4">
        <v>20250904</v>
      </c>
      <c r="H939" s="6" t="s">
        <v>30</v>
      </c>
      <c r="I939" s="8" t="s">
        <v>9</v>
      </c>
      <c r="J939" s="6" t="s">
        <v>325</v>
      </c>
    </row>
    <row r="940" spans="1:10">
      <c r="A940" s="9">
        <v>96</v>
      </c>
      <c r="B940" s="10">
        <v>1036</v>
      </c>
      <c r="C940" s="3">
        <v>260000</v>
      </c>
      <c r="D940" s="3">
        <v>260000</v>
      </c>
      <c r="E940" s="7">
        <v>0</v>
      </c>
      <c r="F940" s="5">
        <v>45908</v>
      </c>
      <c r="G940" s="4">
        <v>20250906</v>
      </c>
      <c r="H940" s="6" t="s">
        <v>30</v>
      </c>
      <c r="I940" s="8" t="s">
        <v>9</v>
      </c>
      <c r="J940" s="6" t="s">
        <v>161</v>
      </c>
    </row>
    <row r="941" spans="1:10">
      <c r="A941" s="9">
        <v>882</v>
      </c>
      <c r="B941" s="9">
        <v>5020</v>
      </c>
      <c r="C941" s="3">
        <v>400000</v>
      </c>
      <c r="D941" s="3">
        <v>400000</v>
      </c>
      <c r="E941" s="7">
        <v>0</v>
      </c>
      <c r="F941" s="5">
        <v>45877</v>
      </c>
      <c r="G941" s="4">
        <v>20250807</v>
      </c>
      <c r="H941" s="6" t="s">
        <v>24</v>
      </c>
      <c r="I941" s="8" t="s">
        <v>9</v>
      </c>
      <c r="J941" s="6" t="s">
        <v>224</v>
      </c>
    </row>
    <row r="942" spans="1:10">
      <c r="A942" s="9">
        <v>623</v>
      </c>
      <c r="B942" s="9">
        <v>5047</v>
      </c>
      <c r="C942" s="3">
        <v>695000</v>
      </c>
      <c r="D942" s="3">
        <v>695000</v>
      </c>
      <c r="E942" s="7">
        <v>0</v>
      </c>
      <c r="F942" s="5">
        <v>45881</v>
      </c>
      <c r="G942" s="4">
        <v>20250811</v>
      </c>
      <c r="H942" s="6" t="s">
        <v>24</v>
      </c>
      <c r="I942" s="8" t="s">
        <v>9</v>
      </c>
      <c r="J942" s="6" t="s">
        <v>26</v>
      </c>
    </row>
    <row r="943" spans="1:10">
      <c r="A943" s="9">
        <v>101</v>
      </c>
      <c r="B943" s="9">
        <v>5128</v>
      </c>
      <c r="C943" s="3">
        <v>770000</v>
      </c>
      <c r="D943" s="3">
        <v>770000</v>
      </c>
      <c r="E943" s="7">
        <v>0</v>
      </c>
      <c r="F943" s="5">
        <v>45882</v>
      </c>
      <c r="G943" s="4">
        <v>20250812</v>
      </c>
      <c r="H943" s="6" t="s">
        <v>24</v>
      </c>
      <c r="I943" s="8" t="s">
        <v>9</v>
      </c>
      <c r="J943" s="6" t="s">
        <v>294</v>
      </c>
    </row>
    <row r="944" spans="1:10">
      <c r="A944" s="9">
        <v>101</v>
      </c>
      <c r="B944" s="10">
        <v>5128</v>
      </c>
      <c r="C944" s="3">
        <v>1940000</v>
      </c>
      <c r="D944" s="3">
        <v>1940000</v>
      </c>
      <c r="E944" s="7">
        <v>0</v>
      </c>
      <c r="F944" s="5">
        <v>45884</v>
      </c>
      <c r="G944" s="4">
        <v>20250814</v>
      </c>
      <c r="H944" s="6" t="s">
        <v>24</v>
      </c>
      <c r="I944" s="8" t="s">
        <v>9</v>
      </c>
      <c r="J944" s="6" t="s">
        <v>294</v>
      </c>
    </row>
    <row r="945" spans="1:10">
      <c r="A945" s="9">
        <v>20</v>
      </c>
      <c r="B945" s="10">
        <v>6839</v>
      </c>
      <c r="C945" s="3">
        <v>960000</v>
      </c>
      <c r="D945" s="3">
        <v>960000</v>
      </c>
      <c r="E945" s="7">
        <v>0</v>
      </c>
      <c r="F945" s="5">
        <v>45890</v>
      </c>
      <c r="G945" s="4">
        <v>20250820</v>
      </c>
      <c r="H945" s="6" t="s">
        <v>24</v>
      </c>
      <c r="I945" s="8" t="s">
        <v>9</v>
      </c>
      <c r="J945" s="6" t="s">
        <v>112</v>
      </c>
    </row>
    <row r="946" spans="1:10">
      <c r="A946" s="9">
        <v>20</v>
      </c>
      <c r="B946" s="10">
        <v>6839</v>
      </c>
      <c r="C946" s="3">
        <v>730000</v>
      </c>
      <c r="D946" s="3">
        <v>730000</v>
      </c>
      <c r="E946" s="7">
        <v>0</v>
      </c>
      <c r="F946" s="5">
        <v>45894</v>
      </c>
      <c r="G946" s="4">
        <v>20250824</v>
      </c>
      <c r="H946" s="6" t="s">
        <v>24</v>
      </c>
      <c r="I946" s="8" t="s">
        <v>9</v>
      </c>
      <c r="J946" s="6" t="s">
        <v>112</v>
      </c>
    </row>
    <row r="947" spans="1:10">
      <c r="A947" s="9">
        <v>4</v>
      </c>
      <c r="B947" s="10">
        <v>8631</v>
      </c>
      <c r="C947" s="3">
        <v>510000</v>
      </c>
      <c r="D947" s="3">
        <v>510000</v>
      </c>
      <c r="E947" s="7">
        <v>0</v>
      </c>
      <c r="F947" s="5">
        <v>45894</v>
      </c>
      <c r="G947" s="4">
        <v>20250824</v>
      </c>
      <c r="H947" s="6" t="s">
        <v>24</v>
      </c>
      <c r="I947" s="8" t="s">
        <v>9</v>
      </c>
      <c r="J947" s="6" t="s">
        <v>329</v>
      </c>
    </row>
    <row r="948" spans="1:10">
      <c r="A948" s="9">
        <v>692</v>
      </c>
      <c r="B948" s="10">
        <v>1515</v>
      </c>
      <c r="C948" s="3">
        <v>1520000</v>
      </c>
      <c r="D948" s="3">
        <v>1520000</v>
      </c>
      <c r="E948" s="7">
        <v>0</v>
      </c>
      <c r="F948" s="5">
        <v>45895</v>
      </c>
      <c r="G948" s="4">
        <v>20250825</v>
      </c>
      <c r="H948" s="6" t="s">
        <v>24</v>
      </c>
      <c r="I948" s="8" t="s">
        <v>9</v>
      </c>
      <c r="J948" s="6" t="s">
        <v>108</v>
      </c>
    </row>
    <row r="949" spans="1:10">
      <c r="A949" s="9">
        <v>882</v>
      </c>
      <c r="B949" s="10">
        <v>5020</v>
      </c>
      <c r="C949" s="3">
        <v>1630000</v>
      </c>
      <c r="D949" s="3">
        <v>1630000</v>
      </c>
      <c r="E949" s="7">
        <v>0</v>
      </c>
      <c r="F949" s="5">
        <v>45897</v>
      </c>
      <c r="G949" s="4">
        <v>20250827</v>
      </c>
      <c r="H949" s="6" t="s">
        <v>24</v>
      </c>
      <c r="I949" s="8" t="s">
        <v>9</v>
      </c>
      <c r="J949" s="6" t="s">
        <v>224</v>
      </c>
    </row>
    <row r="950" spans="1:10">
      <c r="A950" s="9">
        <v>511</v>
      </c>
      <c r="B950" s="10">
        <v>5122</v>
      </c>
      <c r="C950" s="3">
        <v>100000</v>
      </c>
      <c r="D950" s="3">
        <v>100000</v>
      </c>
      <c r="E950" s="7">
        <v>0</v>
      </c>
      <c r="F950" s="5">
        <v>45897</v>
      </c>
      <c r="G950" s="4">
        <v>20250827</v>
      </c>
      <c r="H950" s="6" t="s">
        <v>24</v>
      </c>
      <c r="I950" s="8" t="s">
        <v>9</v>
      </c>
      <c r="J950" s="6" t="s">
        <v>125</v>
      </c>
    </row>
    <row r="951" spans="1:10">
      <c r="A951" s="9">
        <v>692</v>
      </c>
      <c r="B951" s="10">
        <v>1515</v>
      </c>
      <c r="C951" s="3">
        <v>760000</v>
      </c>
      <c r="D951" s="3">
        <v>760000</v>
      </c>
      <c r="E951" s="7">
        <v>0</v>
      </c>
      <c r="F951" s="5">
        <v>45898</v>
      </c>
      <c r="G951" s="4">
        <v>20250828</v>
      </c>
      <c r="H951" s="6" t="s">
        <v>24</v>
      </c>
      <c r="I951" s="8" t="s">
        <v>9</v>
      </c>
      <c r="J951" s="6" t="s">
        <v>108</v>
      </c>
    </row>
    <row r="952" spans="1:10">
      <c r="A952" s="9">
        <v>882</v>
      </c>
      <c r="B952" s="10">
        <v>5020</v>
      </c>
      <c r="C952" s="3">
        <v>1300000</v>
      </c>
      <c r="D952" s="3">
        <v>1300000</v>
      </c>
      <c r="E952" s="7">
        <v>0</v>
      </c>
      <c r="F952" s="5">
        <v>45898</v>
      </c>
      <c r="G952" s="4">
        <v>20250828</v>
      </c>
      <c r="H952" s="6" t="s">
        <v>24</v>
      </c>
      <c r="I952" s="8" t="s">
        <v>9</v>
      </c>
      <c r="J952" s="6" t="s">
        <v>224</v>
      </c>
    </row>
    <row r="953" spans="1:10">
      <c r="A953" s="9">
        <v>692</v>
      </c>
      <c r="B953" s="10">
        <v>1515</v>
      </c>
      <c r="C953" s="3">
        <v>760000</v>
      </c>
      <c r="D953" s="3">
        <v>760000</v>
      </c>
      <c r="E953" s="7">
        <v>0</v>
      </c>
      <c r="F953" s="5">
        <v>45902</v>
      </c>
      <c r="G953" s="4">
        <v>20250901</v>
      </c>
      <c r="H953" s="6" t="s">
        <v>24</v>
      </c>
      <c r="I953" s="8" t="s">
        <v>9</v>
      </c>
      <c r="J953" s="6" t="s">
        <v>108</v>
      </c>
    </row>
    <row r="954" spans="1:10">
      <c r="A954" s="9">
        <v>167</v>
      </c>
      <c r="B954" s="10">
        <v>5030</v>
      </c>
      <c r="C954" s="3">
        <v>1600000</v>
      </c>
      <c r="D954" s="3">
        <v>1600000</v>
      </c>
      <c r="E954" s="7">
        <v>0</v>
      </c>
      <c r="F954" s="5">
        <v>45902</v>
      </c>
      <c r="G954" s="4">
        <v>20250901</v>
      </c>
      <c r="H954" s="6" t="s">
        <v>24</v>
      </c>
      <c r="I954" s="8" t="s">
        <v>9</v>
      </c>
      <c r="J954" s="6" t="s">
        <v>330</v>
      </c>
    </row>
    <row r="955" spans="1:10">
      <c r="A955" s="9">
        <v>258</v>
      </c>
      <c r="B955" s="10">
        <v>5155</v>
      </c>
      <c r="C955" s="3">
        <v>1098900</v>
      </c>
      <c r="D955" s="3">
        <v>1098900</v>
      </c>
      <c r="E955" s="7">
        <v>0</v>
      </c>
      <c r="F955" s="5">
        <v>45902</v>
      </c>
      <c r="G955" s="4">
        <v>20250901</v>
      </c>
      <c r="H955" s="6" t="s">
        <v>24</v>
      </c>
      <c r="I955" s="8" t="s">
        <v>9</v>
      </c>
      <c r="J955" s="6" t="s">
        <v>331</v>
      </c>
    </row>
    <row r="956" spans="1:10">
      <c r="A956" s="9">
        <v>876</v>
      </c>
      <c r="B956" s="10">
        <v>9682</v>
      </c>
      <c r="C956" s="3">
        <v>915000</v>
      </c>
      <c r="D956" s="3">
        <v>915000</v>
      </c>
      <c r="E956" s="7">
        <v>0</v>
      </c>
      <c r="F956" s="5">
        <v>45902</v>
      </c>
      <c r="G956" s="4">
        <v>20250901</v>
      </c>
      <c r="H956" s="6" t="s">
        <v>24</v>
      </c>
      <c r="I956" s="8" t="s">
        <v>9</v>
      </c>
      <c r="J956" s="6" t="s">
        <v>332</v>
      </c>
    </row>
    <row r="957" spans="1:10">
      <c r="A957" s="9">
        <v>882</v>
      </c>
      <c r="B957" s="10">
        <v>5020</v>
      </c>
      <c r="C957" s="3">
        <v>250000</v>
      </c>
      <c r="D957" s="3">
        <v>250000</v>
      </c>
      <c r="E957" s="7">
        <v>0</v>
      </c>
      <c r="F957" s="5">
        <v>45903</v>
      </c>
      <c r="G957" s="4">
        <v>20250902</v>
      </c>
      <c r="H957" s="6" t="s">
        <v>24</v>
      </c>
      <c r="I957" s="8" t="s">
        <v>9</v>
      </c>
      <c r="J957" s="6" t="s">
        <v>224</v>
      </c>
    </row>
    <row r="958" spans="1:10">
      <c r="A958" s="9">
        <v>511</v>
      </c>
      <c r="B958" s="10">
        <v>5122</v>
      </c>
      <c r="C958" s="3">
        <v>590000</v>
      </c>
      <c r="D958" s="3">
        <v>590000</v>
      </c>
      <c r="E958" s="7">
        <v>0</v>
      </c>
      <c r="F958" s="5">
        <v>45903</v>
      </c>
      <c r="G958" s="4">
        <v>20250902</v>
      </c>
      <c r="H958" s="6" t="s">
        <v>24</v>
      </c>
      <c r="I958" s="8" t="s">
        <v>9</v>
      </c>
      <c r="J958" s="6" t="s">
        <v>125</v>
      </c>
    </row>
    <row r="959" spans="1:10">
      <c r="A959" s="9">
        <v>258</v>
      </c>
      <c r="B959" s="10">
        <v>5155</v>
      </c>
      <c r="C959" s="3">
        <v>310000</v>
      </c>
      <c r="D959" s="3">
        <v>310000</v>
      </c>
      <c r="E959" s="7">
        <v>0</v>
      </c>
      <c r="F959" s="5">
        <v>45903</v>
      </c>
      <c r="G959" s="4">
        <v>20250902</v>
      </c>
      <c r="H959" s="6" t="s">
        <v>24</v>
      </c>
      <c r="I959" s="8" t="s">
        <v>9</v>
      </c>
      <c r="J959" s="6" t="s">
        <v>331</v>
      </c>
    </row>
    <row r="960" spans="1:10">
      <c r="A960" s="9">
        <v>20</v>
      </c>
      <c r="B960" s="10">
        <v>6839</v>
      </c>
      <c r="C960" s="3">
        <v>2370000</v>
      </c>
      <c r="D960" s="3">
        <v>2370000</v>
      </c>
      <c r="E960" s="7">
        <v>0</v>
      </c>
      <c r="F960" s="5">
        <v>45903</v>
      </c>
      <c r="G960" s="4">
        <v>20250902</v>
      </c>
      <c r="H960" s="6" t="s">
        <v>24</v>
      </c>
      <c r="I960" s="8" t="s">
        <v>9</v>
      </c>
      <c r="J960" s="6" t="s">
        <v>112</v>
      </c>
    </row>
    <row r="961" spans="1:10">
      <c r="A961" s="9">
        <v>258</v>
      </c>
      <c r="B961" s="10">
        <v>5155</v>
      </c>
      <c r="C961" s="3">
        <v>3510000</v>
      </c>
      <c r="D961" s="3">
        <v>3510000</v>
      </c>
      <c r="E961" s="7">
        <v>0</v>
      </c>
      <c r="F961" s="5">
        <v>45904</v>
      </c>
      <c r="G961" s="4">
        <v>20250903</v>
      </c>
      <c r="H961" s="6" t="s">
        <v>24</v>
      </c>
      <c r="I961" s="8" t="s">
        <v>9</v>
      </c>
      <c r="J961" s="6" t="s">
        <v>331</v>
      </c>
    </row>
    <row r="962" spans="1:10">
      <c r="A962" s="9">
        <v>4</v>
      </c>
      <c r="B962" s="10">
        <v>8631</v>
      </c>
      <c r="C962" s="3">
        <v>1842000</v>
      </c>
      <c r="D962" s="3">
        <v>1842000</v>
      </c>
      <c r="E962" s="7">
        <v>0</v>
      </c>
      <c r="F962" s="5">
        <v>45904</v>
      </c>
      <c r="G962" s="4">
        <v>20250903</v>
      </c>
      <c r="H962" s="6" t="s">
        <v>24</v>
      </c>
      <c r="I962" s="8" t="s">
        <v>9</v>
      </c>
      <c r="J962" s="6" t="s">
        <v>329</v>
      </c>
    </row>
    <row r="963" spans="1:10">
      <c r="A963" s="9">
        <v>115</v>
      </c>
      <c r="B963" s="10">
        <v>5080</v>
      </c>
      <c r="C963" s="3">
        <v>1470000</v>
      </c>
      <c r="D963" s="3">
        <v>1470000</v>
      </c>
      <c r="E963" s="7">
        <v>0</v>
      </c>
      <c r="F963" s="5">
        <v>45904</v>
      </c>
      <c r="G963" s="4">
        <v>20250903</v>
      </c>
      <c r="H963" s="6" t="s">
        <v>24</v>
      </c>
      <c r="I963" s="8" t="s">
        <v>9</v>
      </c>
      <c r="J963" s="6" t="s">
        <v>263</v>
      </c>
    </row>
    <row r="964" spans="1:10">
      <c r="A964" s="9">
        <v>20</v>
      </c>
      <c r="B964" s="10">
        <v>6839</v>
      </c>
      <c r="C964" s="3">
        <v>766000</v>
      </c>
      <c r="D964" s="3">
        <v>766000</v>
      </c>
      <c r="E964" s="7">
        <v>0</v>
      </c>
      <c r="F964" s="5">
        <v>45904</v>
      </c>
      <c r="G964" s="4">
        <v>20250903</v>
      </c>
      <c r="H964" s="6" t="s">
        <v>24</v>
      </c>
      <c r="I964" s="8" t="s">
        <v>9</v>
      </c>
      <c r="J964" s="6" t="s">
        <v>112</v>
      </c>
    </row>
    <row r="965" spans="1:10">
      <c r="A965" s="9">
        <v>625</v>
      </c>
      <c r="B965" s="10">
        <v>6096</v>
      </c>
      <c r="C965" s="3">
        <v>650000</v>
      </c>
      <c r="D965" s="3">
        <v>650000</v>
      </c>
      <c r="E965" s="7">
        <v>0</v>
      </c>
      <c r="F965" s="5">
        <v>45904</v>
      </c>
      <c r="G965" s="4">
        <v>20250903</v>
      </c>
      <c r="H965" s="6" t="s">
        <v>24</v>
      </c>
      <c r="I965" s="8" t="s">
        <v>9</v>
      </c>
      <c r="J965" s="6" t="s">
        <v>188</v>
      </c>
    </row>
    <row r="966" spans="1:10">
      <c r="A966" s="9">
        <v>692</v>
      </c>
      <c r="B966" s="10">
        <v>1515</v>
      </c>
      <c r="C966" s="3">
        <v>190000</v>
      </c>
      <c r="D966" s="3">
        <v>190000</v>
      </c>
      <c r="E966" s="7">
        <v>0</v>
      </c>
      <c r="F966" s="5">
        <v>45904</v>
      </c>
      <c r="G966" s="4">
        <v>20250903</v>
      </c>
      <c r="H966" s="6" t="s">
        <v>24</v>
      </c>
      <c r="I966" s="8" t="s">
        <v>9</v>
      </c>
      <c r="J966" s="6" t="s">
        <v>108</v>
      </c>
    </row>
    <row r="967" spans="1:10">
      <c r="A967" s="9">
        <v>843</v>
      </c>
      <c r="B967" s="10">
        <v>6716</v>
      </c>
      <c r="C967" s="3">
        <v>6871000</v>
      </c>
      <c r="D967" s="3">
        <v>6871000</v>
      </c>
      <c r="E967" s="7">
        <v>0</v>
      </c>
      <c r="F967" s="5">
        <v>45905</v>
      </c>
      <c r="G967" s="4">
        <v>20250904</v>
      </c>
      <c r="H967" s="6" t="s">
        <v>24</v>
      </c>
      <c r="I967" s="8"/>
      <c r="J967" s="6" t="s">
        <v>333</v>
      </c>
    </row>
    <row r="968" spans="1:10">
      <c r="A968" s="9">
        <v>363</v>
      </c>
      <c r="B968" s="10">
        <v>5168</v>
      </c>
      <c r="C968" s="3">
        <v>2753000</v>
      </c>
      <c r="D968" s="3">
        <v>2753000</v>
      </c>
      <c r="E968" s="7">
        <v>0</v>
      </c>
      <c r="F968" s="5">
        <v>45905</v>
      </c>
      <c r="G968" s="4">
        <v>20250904</v>
      </c>
      <c r="H968" s="6" t="s">
        <v>24</v>
      </c>
      <c r="I968" s="8" t="s">
        <v>9</v>
      </c>
      <c r="J968" s="6" t="s">
        <v>92</v>
      </c>
    </row>
    <row r="969" spans="1:10">
      <c r="A969" s="9">
        <v>499</v>
      </c>
      <c r="B969" s="10">
        <v>9811</v>
      </c>
      <c r="C969" s="3">
        <v>1070000</v>
      </c>
      <c r="D969" s="3">
        <v>1070000</v>
      </c>
      <c r="E969" s="7">
        <v>0</v>
      </c>
      <c r="F969" s="5">
        <v>45905</v>
      </c>
      <c r="G969" s="4">
        <v>20250904</v>
      </c>
      <c r="H969" s="6" t="s">
        <v>24</v>
      </c>
      <c r="I969" s="8" t="s">
        <v>9</v>
      </c>
      <c r="J969" s="6" t="s">
        <v>334</v>
      </c>
    </row>
    <row r="970" spans="1:10">
      <c r="A970" s="9">
        <v>499</v>
      </c>
      <c r="B970" s="10">
        <v>9811</v>
      </c>
      <c r="C970" s="3">
        <v>3415000</v>
      </c>
      <c r="D970" s="3">
        <v>3415000</v>
      </c>
      <c r="E970" s="7">
        <v>0</v>
      </c>
      <c r="F970" s="5">
        <v>45908</v>
      </c>
      <c r="G970" s="4">
        <v>20250907</v>
      </c>
      <c r="H970" s="6" t="s">
        <v>24</v>
      </c>
      <c r="I970" s="8" t="s">
        <v>9</v>
      </c>
      <c r="J970" s="6" t="s">
        <v>334</v>
      </c>
    </row>
    <row r="971" spans="1:10">
      <c r="A971" s="9">
        <v>882</v>
      </c>
      <c r="B971" s="10">
        <v>5020</v>
      </c>
      <c r="C971" s="3">
        <v>1020000</v>
      </c>
      <c r="D971" s="3">
        <v>1020000</v>
      </c>
      <c r="E971" s="7">
        <v>0</v>
      </c>
      <c r="F971" s="5">
        <v>45908</v>
      </c>
      <c r="G971" s="4">
        <v>20250907</v>
      </c>
      <c r="H971" s="6" t="s">
        <v>24</v>
      </c>
      <c r="I971" s="8" t="s">
        <v>9</v>
      </c>
      <c r="J971" s="6" t="s">
        <v>224</v>
      </c>
    </row>
    <row r="972" spans="1:10">
      <c r="A972" s="9">
        <v>690</v>
      </c>
      <c r="B972" s="10">
        <v>6180</v>
      </c>
      <c r="C972" s="3">
        <v>98000</v>
      </c>
      <c r="D972" s="3">
        <v>98000</v>
      </c>
      <c r="E972" s="7">
        <v>0</v>
      </c>
      <c r="F972" s="5">
        <v>45908</v>
      </c>
      <c r="G972" s="4">
        <v>20250907</v>
      </c>
      <c r="H972" s="6" t="s">
        <v>24</v>
      </c>
      <c r="I972" s="8" t="s">
        <v>9</v>
      </c>
      <c r="J972" s="6" t="s">
        <v>77</v>
      </c>
    </row>
    <row r="973" spans="1:10">
      <c r="A973" s="9">
        <v>812</v>
      </c>
      <c r="B973" s="10">
        <v>7614</v>
      </c>
      <c r="C973" s="3">
        <v>598150</v>
      </c>
      <c r="D973" s="3">
        <v>598150</v>
      </c>
      <c r="E973" s="7">
        <v>0</v>
      </c>
      <c r="F973" s="5">
        <v>45909</v>
      </c>
      <c r="G973" s="4">
        <v>20250908</v>
      </c>
      <c r="H973" s="6" t="s">
        <v>24</v>
      </c>
      <c r="I973" s="8"/>
      <c r="J973" s="6" t="s">
        <v>335</v>
      </c>
    </row>
    <row r="974" spans="1:10">
      <c r="A974" s="9">
        <v>916</v>
      </c>
      <c r="B974" s="10">
        <v>5052</v>
      </c>
      <c r="C974" s="3">
        <v>2040000</v>
      </c>
      <c r="D974" s="3">
        <v>2040000</v>
      </c>
      <c r="E974" s="7">
        <v>0</v>
      </c>
      <c r="F974" s="5">
        <v>45909</v>
      </c>
      <c r="G974" s="4">
        <v>20250908</v>
      </c>
      <c r="H974" s="6" t="s">
        <v>24</v>
      </c>
      <c r="I974" s="8" t="s">
        <v>9</v>
      </c>
      <c r="J974" s="6" t="s">
        <v>309</v>
      </c>
    </row>
    <row r="975" spans="1:10">
      <c r="A975" s="9">
        <v>725</v>
      </c>
      <c r="B975" s="10">
        <v>8090</v>
      </c>
      <c r="C975" s="3">
        <v>50000</v>
      </c>
      <c r="D975" s="3">
        <v>50000</v>
      </c>
      <c r="E975" s="7">
        <v>0</v>
      </c>
      <c r="F975" s="5">
        <v>45909</v>
      </c>
      <c r="G975" s="4">
        <v>20250908</v>
      </c>
      <c r="H975" s="6" t="s">
        <v>24</v>
      </c>
      <c r="I975" s="8" t="s">
        <v>9</v>
      </c>
      <c r="J975" s="6" t="s">
        <v>336</v>
      </c>
    </row>
    <row r="976" spans="1:10">
      <c r="A976" s="9">
        <v>690</v>
      </c>
      <c r="B976" s="10">
        <v>6180</v>
      </c>
      <c r="C976" s="3">
        <v>2000</v>
      </c>
      <c r="D976" s="3">
        <v>2000</v>
      </c>
      <c r="E976" s="7">
        <v>0</v>
      </c>
      <c r="F976" s="5">
        <v>45909</v>
      </c>
      <c r="G976" s="4">
        <v>20250908</v>
      </c>
      <c r="H976" s="6" t="s">
        <v>24</v>
      </c>
      <c r="I976" s="8" t="s">
        <v>10</v>
      </c>
      <c r="J976" s="6" t="s">
        <v>77</v>
      </c>
    </row>
    <row r="977" spans="1:10">
      <c r="A977" s="9">
        <v>631</v>
      </c>
      <c r="B977" s="9">
        <v>2616</v>
      </c>
      <c r="C977" s="3">
        <v>260000</v>
      </c>
      <c r="D977" s="3">
        <v>260000</v>
      </c>
      <c r="E977" s="7">
        <v>0</v>
      </c>
      <c r="F977" s="5">
        <v>45873</v>
      </c>
      <c r="G977" s="4">
        <v>20250803</v>
      </c>
      <c r="H977" s="6" t="s">
        <v>30</v>
      </c>
      <c r="I977" s="8" t="s">
        <v>9</v>
      </c>
      <c r="J977" s="6" t="s">
        <v>337</v>
      </c>
    </row>
    <row r="978" spans="1:10">
      <c r="A978" s="9">
        <v>631</v>
      </c>
      <c r="B978" s="9">
        <v>2616</v>
      </c>
      <c r="C978" s="3">
        <v>1420000</v>
      </c>
      <c r="D978" s="3">
        <v>1420000</v>
      </c>
      <c r="E978" s="7">
        <v>0</v>
      </c>
      <c r="F978" s="5">
        <v>45881</v>
      </c>
      <c r="G978" s="4">
        <v>20250811</v>
      </c>
      <c r="H978" s="6" t="s">
        <v>30</v>
      </c>
      <c r="I978" s="8" t="s">
        <v>9</v>
      </c>
      <c r="J978" s="6" t="s">
        <v>337</v>
      </c>
    </row>
    <row r="979" spans="1:10">
      <c r="A979" s="9">
        <v>335</v>
      </c>
      <c r="B979" s="10">
        <v>5741</v>
      </c>
      <c r="C979" s="3">
        <v>90000</v>
      </c>
      <c r="D979" s="3">
        <v>90000</v>
      </c>
      <c r="E979" s="7">
        <v>0</v>
      </c>
      <c r="F979" s="5">
        <v>45883</v>
      </c>
      <c r="G979" s="4">
        <v>20250813</v>
      </c>
      <c r="H979" s="6" t="s">
        <v>30</v>
      </c>
      <c r="I979" s="8"/>
      <c r="J979" s="6" t="s">
        <v>32</v>
      </c>
    </row>
    <row r="980" spans="1:10">
      <c r="A980" s="9">
        <v>389</v>
      </c>
      <c r="B980" s="10">
        <v>4690</v>
      </c>
      <c r="C980" s="3">
        <v>330000</v>
      </c>
      <c r="D980" s="3">
        <v>330000</v>
      </c>
      <c r="E980" s="7">
        <v>0</v>
      </c>
      <c r="F980" s="5">
        <v>45888</v>
      </c>
      <c r="G980" s="4">
        <v>20250818</v>
      </c>
      <c r="H980" s="6" t="s">
        <v>30</v>
      </c>
      <c r="I980" s="8" t="s">
        <v>9</v>
      </c>
      <c r="J980" s="6" t="s">
        <v>100</v>
      </c>
    </row>
    <row r="981" spans="1:10">
      <c r="A981" s="9">
        <v>631</v>
      </c>
      <c r="B981" s="10">
        <v>2617</v>
      </c>
      <c r="C981" s="3">
        <v>1300000</v>
      </c>
      <c r="D981" s="3">
        <v>1300000</v>
      </c>
      <c r="E981" s="7">
        <v>0</v>
      </c>
      <c r="F981" s="5">
        <v>45888</v>
      </c>
      <c r="G981" s="4">
        <v>20250818</v>
      </c>
      <c r="H981" s="6" t="s">
        <v>30</v>
      </c>
      <c r="I981" s="8" t="s">
        <v>9</v>
      </c>
      <c r="J981" s="6" t="s">
        <v>103</v>
      </c>
    </row>
    <row r="982" spans="1:10">
      <c r="A982" s="9">
        <v>799</v>
      </c>
      <c r="B982" s="10">
        <v>8187</v>
      </c>
      <c r="C982" s="3">
        <v>700000</v>
      </c>
      <c r="D982" s="3">
        <v>700000</v>
      </c>
      <c r="E982" s="7">
        <v>0</v>
      </c>
      <c r="F982" s="5">
        <v>45888</v>
      </c>
      <c r="G982" s="4">
        <v>20250818</v>
      </c>
      <c r="H982" s="6" t="s">
        <v>30</v>
      </c>
      <c r="I982" s="8" t="s">
        <v>9</v>
      </c>
      <c r="J982" s="6" t="s">
        <v>338</v>
      </c>
    </row>
    <row r="983" spans="1:10">
      <c r="A983" s="9">
        <v>916</v>
      </c>
      <c r="B983" s="10">
        <v>5743</v>
      </c>
      <c r="C983" s="3">
        <v>240000</v>
      </c>
      <c r="D983" s="3">
        <v>240000</v>
      </c>
      <c r="E983" s="7">
        <v>0</v>
      </c>
      <c r="F983" s="5">
        <v>45888</v>
      </c>
      <c r="G983" s="4">
        <v>20250818</v>
      </c>
      <c r="H983" s="6" t="s">
        <v>30</v>
      </c>
      <c r="I983" s="8" t="s">
        <v>9</v>
      </c>
      <c r="J983" s="6" t="s">
        <v>132</v>
      </c>
    </row>
    <row r="984" spans="1:10">
      <c r="A984" s="9">
        <v>631</v>
      </c>
      <c r="B984" s="10">
        <v>2616</v>
      </c>
      <c r="C984" s="3">
        <v>70000</v>
      </c>
      <c r="D984" s="3">
        <v>70000</v>
      </c>
      <c r="E984" s="7">
        <v>0</v>
      </c>
      <c r="F984" s="5">
        <v>45888</v>
      </c>
      <c r="G984" s="4">
        <v>20250817</v>
      </c>
      <c r="H984" s="6" t="s">
        <v>30</v>
      </c>
      <c r="I984" s="8" t="s">
        <v>9</v>
      </c>
      <c r="J984" s="6" t="s">
        <v>337</v>
      </c>
    </row>
    <row r="985" spans="1:10">
      <c r="A985" s="9">
        <v>389</v>
      </c>
      <c r="B985" s="10">
        <v>4689</v>
      </c>
      <c r="C985" s="3">
        <v>10000</v>
      </c>
      <c r="D985" s="3">
        <v>10000</v>
      </c>
      <c r="E985" s="7">
        <v>0</v>
      </c>
      <c r="F985" s="5">
        <v>45889</v>
      </c>
      <c r="G985" s="4">
        <v>20250819</v>
      </c>
      <c r="H985" s="6" t="s">
        <v>30</v>
      </c>
      <c r="I985" s="8" t="s">
        <v>10</v>
      </c>
      <c r="J985" s="6" t="s">
        <v>231</v>
      </c>
    </row>
    <row r="986" spans="1:10">
      <c r="A986" s="9">
        <v>631</v>
      </c>
      <c r="B986" s="10">
        <v>2794</v>
      </c>
      <c r="C986" s="3">
        <v>20000</v>
      </c>
      <c r="D986" s="3">
        <v>20000</v>
      </c>
      <c r="E986" s="7">
        <v>0</v>
      </c>
      <c r="F986" s="5">
        <v>45889</v>
      </c>
      <c r="G986" s="4">
        <v>20250819</v>
      </c>
      <c r="H986" s="6" t="s">
        <v>30</v>
      </c>
      <c r="I986" s="8" t="s">
        <v>10</v>
      </c>
      <c r="J986" s="6" t="s">
        <v>97</v>
      </c>
    </row>
    <row r="987" spans="1:10">
      <c r="A987" s="9">
        <v>876</v>
      </c>
      <c r="B987" s="10">
        <v>9680</v>
      </c>
      <c r="C987" s="3">
        <v>200000</v>
      </c>
      <c r="D987" s="3">
        <v>200000</v>
      </c>
      <c r="E987" s="7">
        <v>0</v>
      </c>
      <c r="F987" s="5">
        <v>45890</v>
      </c>
      <c r="G987" s="4">
        <v>20250820</v>
      </c>
      <c r="H987" s="6" t="s">
        <v>30</v>
      </c>
      <c r="I987" s="8" t="s">
        <v>9</v>
      </c>
      <c r="J987" s="6" t="s">
        <v>339</v>
      </c>
    </row>
    <row r="988" spans="1:10">
      <c r="A988" s="9">
        <v>389</v>
      </c>
      <c r="B988" s="10">
        <v>4689</v>
      </c>
      <c r="C988" s="3">
        <v>200000</v>
      </c>
      <c r="D988" s="3">
        <v>200000</v>
      </c>
      <c r="E988" s="7">
        <v>0</v>
      </c>
      <c r="F988" s="5">
        <v>45894</v>
      </c>
      <c r="G988" s="4">
        <v>20250824</v>
      </c>
      <c r="H988" s="6" t="s">
        <v>30</v>
      </c>
      <c r="I988" s="8" t="s">
        <v>9</v>
      </c>
      <c r="J988" s="6" t="s">
        <v>231</v>
      </c>
    </row>
    <row r="989" spans="1:10">
      <c r="A989" s="9">
        <v>392</v>
      </c>
      <c r="B989" s="10">
        <v>4890</v>
      </c>
      <c r="C989" s="3">
        <v>100000</v>
      </c>
      <c r="D989" s="3">
        <v>100000</v>
      </c>
      <c r="E989" s="7">
        <v>0</v>
      </c>
      <c r="F989" s="5">
        <v>45894</v>
      </c>
      <c r="G989" s="4">
        <v>20250824</v>
      </c>
      <c r="H989" s="6" t="s">
        <v>30</v>
      </c>
      <c r="I989" s="8" t="s">
        <v>9</v>
      </c>
      <c r="J989" s="6" t="s">
        <v>134</v>
      </c>
    </row>
    <row r="990" spans="1:10">
      <c r="A990" s="9">
        <v>631</v>
      </c>
      <c r="B990" s="10">
        <v>2616</v>
      </c>
      <c r="C990" s="3">
        <v>690000</v>
      </c>
      <c r="D990" s="3">
        <v>690000</v>
      </c>
      <c r="E990" s="7">
        <v>0</v>
      </c>
      <c r="F990" s="5">
        <v>45895</v>
      </c>
      <c r="G990" s="4">
        <v>20250825</v>
      </c>
      <c r="H990" s="6" t="s">
        <v>30</v>
      </c>
      <c r="I990" s="8" t="s">
        <v>9</v>
      </c>
      <c r="J990" s="6" t="s">
        <v>337</v>
      </c>
    </row>
    <row r="991" spans="1:10">
      <c r="A991" s="9">
        <v>186</v>
      </c>
      <c r="B991" s="10">
        <v>6508</v>
      </c>
      <c r="C991" s="3">
        <v>20000</v>
      </c>
      <c r="D991" s="3">
        <v>20000</v>
      </c>
      <c r="E991" s="7">
        <v>0</v>
      </c>
      <c r="F991" s="5">
        <v>45895</v>
      </c>
      <c r="G991" s="4">
        <v>20250825</v>
      </c>
      <c r="H991" s="6" t="s">
        <v>30</v>
      </c>
      <c r="I991" s="8" t="s">
        <v>10</v>
      </c>
      <c r="J991" s="6" t="s">
        <v>269</v>
      </c>
    </row>
    <row r="992" spans="1:10">
      <c r="A992" s="9">
        <v>306</v>
      </c>
      <c r="B992" s="10">
        <v>5652</v>
      </c>
      <c r="C992" s="3">
        <v>200000</v>
      </c>
      <c r="D992" s="3">
        <v>200000</v>
      </c>
      <c r="E992" s="7">
        <v>0</v>
      </c>
      <c r="F992" s="5">
        <v>45896</v>
      </c>
      <c r="G992" s="4">
        <v>20250826</v>
      </c>
      <c r="H992" s="6" t="s">
        <v>30</v>
      </c>
      <c r="I992" s="8" t="s">
        <v>9</v>
      </c>
      <c r="J992" s="6" t="s">
        <v>340</v>
      </c>
    </row>
    <row r="993" spans="1:10">
      <c r="A993" s="9">
        <v>426</v>
      </c>
      <c r="B993" s="10">
        <v>7819</v>
      </c>
      <c r="C993" s="3">
        <v>200000</v>
      </c>
      <c r="D993" s="3">
        <v>200000</v>
      </c>
      <c r="E993" s="7">
        <v>0</v>
      </c>
      <c r="F993" s="5">
        <v>45897</v>
      </c>
      <c r="G993" s="4">
        <v>20250827</v>
      </c>
      <c r="H993" s="6" t="s">
        <v>30</v>
      </c>
      <c r="I993" s="8" t="s">
        <v>9</v>
      </c>
      <c r="J993" s="6" t="s">
        <v>341</v>
      </c>
    </row>
    <row r="994" spans="1:10">
      <c r="A994" s="9">
        <v>631</v>
      </c>
      <c r="B994" s="10">
        <v>2616</v>
      </c>
      <c r="C994" s="3">
        <v>570000</v>
      </c>
      <c r="D994" s="3">
        <v>570000</v>
      </c>
      <c r="E994" s="7">
        <v>0</v>
      </c>
      <c r="F994" s="5">
        <v>45898</v>
      </c>
      <c r="G994" s="4">
        <v>20250828</v>
      </c>
      <c r="H994" s="6" t="s">
        <v>30</v>
      </c>
      <c r="I994" s="8" t="s">
        <v>9</v>
      </c>
      <c r="J994" s="6" t="s">
        <v>337</v>
      </c>
    </row>
    <row r="995" spans="1:10">
      <c r="A995" s="9">
        <v>631</v>
      </c>
      <c r="B995" s="10">
        <v>2794</v>
      </c>
      <c r="C995" s="3">
        <v>780000</v>
      </c>
      <c r="D995" s="3">
        <v>780000</v>
      </c>
      <c r="E995" s="7">
        <v>0</v>
      </c>
      <c r="F995" s="5">
        <v>45898</v>
      </c>
      <c r="G995" s="4">
        <v>20250828</v>
      </c>
      <c r="H995" s="6" t="s">
        <v>30</v>
      </c>
      <c r="I995" s="8" t="s">
        <v>9</v>
      </c>
      <c r="J995" s="6" t="s">
        <v>97</v>
      </c>
    </row>
    <row r="996" spans="1:10">
      <c r="A996" s="9">
        <v>426</v>
      </c>
      <c r="B996" s="10">
        <v>7819</v>
      </c>
      <c r="C996" s="3">
        <v>920000</v>
      </c>
      <c r="D996" s="3">
        <v>920000</v>
      </c>
      <c r="E996" s="7">
        <v>0</v>
      </c>
      <c r="F996" s="5">
        <v>45902</v>
      </c>
      <c r="G996" s="4">
        <v>20250901</v>
      </c>
      <c r="H996" s="6" t="s">
        <v>30</v>
      </c>
      <c r="I996" s="8" t="s">
        <v>9</v>
      </c>
      <c r="J996" s="6" t="s">
        <v>341</v>
      </c>
    </row>
    <row r="997" spans="1:10">
      <c r="A997" s="9">
        <v>567</v>
      </c>
      <c r="B997" s="10">
        <v>2423</v>
      </c>
      <c r="C997" s="3">
        <v>4190000</v>
      </c>
      <c r="D997" s="3">
        <v>4190000</v>
      </c>
      <c r="E997" s="7">
        <v>0</v>
      </c>
      <c r="F997" s="5">
        <v>45902</v>
      </c>
      <c r="G997" s="4">
        <v>20250901</v>
      </c>
      <c r="H997" s="6" t="s">
        <v>30</v>
      </c>
      <c r="I997" s="8" t="s">
        <v>9</v>
      </c>
      <c r="J997" s="6" t="s">
        <v>342</v>
      </c>
    </row>
    <row r="998" spans="1:10">
      <c r="A998" s="9">
        <v>595</v>
      </c>
      <c r="B998" s="10">
        <v>5928</v>
      </c>
      <c r="C998" s="3">
        <v>30000</v>
      </c>
      <c r="D998" s="3">
        <v>30000</v>
      </c>
      <c r="E998" s="7">
        <v>0</v>
      </c>
      <c r="F998" s="5">
        <v>45902</v>
      </c>
      <c r="G998" s="4">
        <v>20250901</v>
      </c>
      <c r="H998" s="6" t="s">
        <v>30</v>
      </c>
      <c r="I998" s="8" t="s">
        <v>9</v>
      </c>
      <c r="J998" s="6" t="s">
        <v>235</v>
      </c>
    </row>
    <row r="999" spans="1:10">
      <c r="A999" s="9">
        <v>631</v>
      </c>
      <c r="B999" s="10">
        <v>2616</v>
      </c>
      <c r="C999" s="3">
        <v>680000</v>
      </c>
      <c r="D999" s="3">
        <v>680000</v>
      </c>
      <c r="E999" s="7">
        <v>0</v>
      </c>
      <c r="F999" s="5">
        <v>45902</v>
      </c>
      <c r="G999" s="4">
        <v>20250901</v>
      </c>
      <c r="H999" s="6" t="s">
        <v>30</v>
      </c>
      <c r="I999" s="8" t="s">
        <v>9</v>
      </c>
      <c r="J999" s="6" t="s">
        <v>337</v>
      </c>
    </row>
    <row r="1000" spans="1:10">
      <c r="A1000" s="9">
        <v>631</v>
      </c>
      <c r="B1000" s="10">
        <v>2617</v>
      </c>
      <c r="C1000" s="3">
        <v>1350000</v>
      </c>
      <c r="D1000" s="3">
        <v>1350000</v>
      </c>
      <c r="E1000" s="7">
        <v>0</v>
      </c>
      <c r="F1000" s="5">
        <v>45902</v>
      </c>
      <c r="G1000" s="4">
        <v>20250901</v>
      </c>
      <c r="H1000" s="6" t="s">
        <v>30</v>
      </c>
      <c r="I1000" s="8" t="s">
        <v>9</v>
      </c>
      <c r="J1000" s="6" t="s">
        <v>103</v>
      </c>
    </row>
    <row r="1001" spans="1:10">
      <c r="A1001" s="9">
        <v>631</v>
      </c>
      <c r="B1001" s="10">
        <v>2795</v>
      </c>
      <c r="C1001" s="3">
        <v>3030000</v>
      </c>
      <c r="D1001" s="3">
        <v>3030000</v>
      </c>
      <c r="E1001" s="7">
        <v>0</v>
      </c>
      <c r="F1001" s="5">
        <v>45902</v>
      </c>
      <c r="G1001" s="4">
        <v>20250901</v>
      </c>
      <c r="H1001" s="6" t="s">
        <v>30</v>
      </c>
      <c r="I1001" s="8" t="s">
        <v>9</v>
      </c>
      <c r="J1001" s="6" t="s">
        <v>98</v>
      </c>
    </row>
    <row r="1002" spans="1:10">
      <c r="A1002" s="9">
        <v>864</v>
      </c>
      <c r="B1002" s="10">
        <v>5795</v>
      </c>
      <c r="C1002" s="3">
        <v>680000</v>
      </c>
      <c r="D1002" s="3">
        <v>680000</v>
      </c>
      <c r="E1002" s="7">
        <v>0</v>
      </c>
      <c r="F1002" s="5">
        <v>45902</v>
      </c>
      <c r="G1002" s="4">
        <v>20250901</v>
      </c>
      <c r="H1002" s="6" t="s">
        <v>30</v>
      </c>
      <c r="I1002" s="8" t="s">
        <v>9</v>
      </c>
      <c r="J1002" s="6" t="s">
        <v>80</v>
      </c>
    </row>
    <row r="1003" spans="1:10">
      <c r="A1003" s="9">
        <v>389</v>
      </c>
      <c r="B1003" s="10">
        <v>4689</v>
      </c>
      <c r="C1003" s="3">
        <v>10000</v>
      </c>
      <c r="D1003" s="3">
        <v>10000</v>
      </c>
      <c r="E1003" s="7">
        <v>0</v>
      </c>
      <c r="F1003" s="5">
        <v>45902</v>
      </c>
      <c r="G1003" s="4">
        <v>20250901</v>
      </c>
      <c r="H1003" s="6" t="s">
        <v>30</v>
      </c>
      <c r="I1003" s="8" t="s">
        <v>10</v>
      </c>
      <c r="J1003" s="6" t="s">
        <v>231</v>
      </c>
    </row>
    <row r="1004" spans="1:10">
      <c r="A1004" s="9">
        <v>631</v>
      </c>
      <c r="B1004" s="10">
        <v>2794</v>
      </c>
      <c r="C1004" s="3">
        <v>20000</v>
      </c>
      <c r="D1004" s="3">
        <v>20000</v>
      </c>
      <c r="E1004" s="7">
        <v>0</v>
      </c>
      <c r="F1004" s="5">
        <v>45902</v>
      </c>
      <c r="G1004" s="4">
        <v>20250901</v>
      </c>
      <c r="H1004" s="6" t="s">
        <v>30</v>
      </c>
      <c r="I1004" s="8" t="s">
        <v>10</v>
      </c>
      <c r="J1004" s="6" t="s">
        <v>97</v>
      </c>
    </row>
    <row r="1005" spans="1:10">
      <c r="A1005" s="9">
        <v>829</v>
      </c>
      <c r="B1005" s="10">
        <v>1156</v>
      </c>
      <c r="C1005" s="3">
        <v>20000</v>
      </c>
      <c r="D1005" s="3">
        <v>20000</v>
      </c>
      <c r="E1005" s="7">
        <v>0</v>
      </c>
      <c r="F1005" s="5">
        <v>45902</v>
      </c>
      <c r="G1005" s="4">
        <v>20250901</v>
      </c>
      <c r="H1005" s="6" t="s">
        <v>30</v>
      </c>
      <c r="I1005" s="8" t="s">
        <v>10</v>
      </c>
      <c r="J1005" s="6" t="s">
        <v>343</v>
      </c>
    </row>
    <row r="1006" spans="1:10">
      <c r="A1006" s="9">
        <v>567</v>
      </c>
      <c r="B1006" s="10">
        <v>2423</v>
      </c>
      <c r="C1006" s="3">
        <v>200000</v>
      </c>
      <c r="D1006" s="3">
        <v>200000</v>
      </c>
      <c r="E1006" s="7">
        <v>0</v>
      </c>
      <c r="F1006" s="5">
        <v>45903</v>
      </c>
      <c r="G1006" s="4">
        <v>20250902</v>
      </c>
      <c r="H1006" s="6" t="s">
        <v>30</v>
      </c>
      <c r="I1006" s="8" t="s">
        <v>9</v>
      </c>
      <c r="J1006" s="6" t="s">
        <v>342</v>
      </c>
    </row>
    <row r="1007" spans="1:10">
      <c r="A1007" s="9">
        <v>631</v>
      </c>
      <c r="B1007" s="10">
        <v>2617</v>
      </c>
      <c r="C1007" s="3">
        <v>260000</v>
      </c>
      <c r="D1007" s="3">
        <v>260000</v>
      </c>
      <c r="E1007" s="7">
        <v>0</v>
      </c>
      <c r="F1007" s="5">
        <v>45903</v>
      </c>
      <c r="G1007" s="4">
        <v>20250902</v>
      </c>
      <c r="H1007" s="6" t="s">
        <v>30</v>
      </c>
      <c r="I1007" s="8" t="s">
        <v>9</v>
      </c>
      <c r="J1007" s="6" t="s">
        <v>103</v>
      </c>
    </row>
    <row r="1008" spans="1:10">
      <c r="A1008" s="9">
        <v>631</v>
      </c>
      <c r="B1008" s="10">
        <v>2795</v>
      </c>
      <c r="C1008" s="3">
        <v>80000</v>
      </c>
      <c r="D1008" s="3">
        <v>80000</v>
      </c>
      <c r="E1008" s="7">
        <v>0</v>
      </c>
      <c r="F1008" s="5">
        <v>45903</v>
      </c>
      <c r="G1008" s="4">
        <v>20250902</v>
      </c>
      <c r="H1008" s="6" t="s">
        <v>30</v>
      </c>
      <c r="I1008" s="8" t="s">
        <v>9</v>
      </c>
      <c r="J1008" s="6" t="s">
        <v>98</v>
      </c>
    </row>
    <row r="1009" spans="1:10">
      <c r="A1009" s="9">
        <v>916</v>
      </c>
      <c r="B1009" s="10">
        <v>5743</v>
      </c>
      <c r="C1009" s="3">
        <v>1100000</v>
      </c>
      <c r="D1009" s="3">
        <v>1100000</v>
      </c>
      <c r="E1009" s="7">
        <v>0</v>
      </c>
      <c r="F1009" s="5">
        <v>45903</v>
      </c>
      <c r="G1009" s="4">
        <v>20250902</v>
      </c>
      <c r="H1009" s="6" t="s">
        <v>30</v>
      </c>
      <c r="I1009" s="8" t="s">
        <v>9</v>
      </c>
      <c r="J1009" s="6" t="s">
        <v>132</v>
      </c>
    </row>
    <row r="1010" spans="1:10">
      <c r="A1010" s="9">
        <v>799</v>
      </c>
      <c r="B1010" s="10">
        <v>8187</v>
      </c>
      <c r="C1010" s="3">
        <v>250000</v>
      </c>
      <c r="D1010" s="3">
        <v>250000</v>
      </c>
      <c r="E1010" s="7">
        <v>0</v>
      </c>
      <c r="F1010" s="5">
        <v>45904</v>
      </c>
      <c r="G1010" s="4">
        <v>20250903</v>
      </c>
      <c r="H1010" s="6" t="s">
        <v>30</v>
      </c>
      <c r="I1010" s="8" t="s">
        <v>9</v>
      </c>
      <c r="J1010" s="6" t="s">
        <v>338</v>
      </c>
    </row>
    <row r="1011" spans="1:10">
      <c r="A1011" s="9">
        <v>864</v>
      </c>
      <c r="B1011" s="10">
        <v>5795</v>
      </c>
      <c r="C1011" s="3">
        <v>200000</v>
      </c>
      <c r="D1011" s="3">
        <v>200000</v>
      </c>
      <c r="E1011" s="7">
        <v>0</v>
      </c>
      <c r="F1011" s="5">
        <v>45904</v>
      </c>
      <c r="G1011" s="4">
        <v>20250903</v>
      </c>
      <c r="H1011" s="6" t="s">
        <v>30</v>
      </c>
      <c r="I1011" s="8" t="s">
        <v>9</v>
      </c>
      <c r="J1011" s="6" t="s">
        <v>80</v>
      </c>
    </row>
    <row r="1012" spans="1:10">
      <c r="A1012" s="9">
        <v>264</v>
      </c>
      <c r="B1012" s="10">
        <v>9905</v>
      </c>
      <c r="C1012" s="3">
        <v>90000</v>
      </c>
      <c r="D1012" s="3">
        <v>90000</v>
      </c>
      <c r="E1012" s="7">
        <v>0</v>
      </c>
      <c r="F1012" s="5">
        <v>45905</v>
      </c>
      <c r="G1012" s="4">
        <v>20250904</v>
      </c>
      <c r="H1012" s="6" t="s">
        <v>30</v>
      </c>
      <c r="I1012" s="8" t="s">
        <v>9</v>
      </c>
      <c r="J1012" s="6" t="s">
        <v>344</v>
      </c>
    </row>
    <row r="1013" spans="1:10">
      <c r="A1013" s="9">
        <v>371</v>
      </c>
      <c r="B1013" s="10">
        <v>3741</v>
      </c>
      <c r="C1013" s="3">
        <v>200000</v>
      </c>
      <c r="D1013" s="3">
        <v>200000</v>
      </c>
      <c r="E1013" s="7">
        <v>0</v>
      </c>
      <c r="F1013" s="5">
        <v>45905</v>
      </c>
      <c r="G1013" s="4">
        <v>20250904</v>
      </c>
      <c r="H1013" s="6" t="s">
        <v>30</v>
      </c>
      <c r="I1013" s="8" t="s">
        <v>9</v>
      </c>
      <c r="J1013" s="6" t="s">
        <v>345</v>
      </c>
    </row>
    <row r="1014" spans="1:10">
      <c r="A1014" s="9">
        <v>864</v>
      </c>
      <c r="B1014" s="10">
        <v>5795</v>
      </c>
      <c r="C1014" s="3">
        <v>50000</v>
      </c>
      <c r="D1014" s="3">
        <v>50000</v>
      </c>
      <c r="E1014" s="7">
        <v>0</v>
      </c>
      <c r="F1014" s="5">
        <v>45905</v>
      </c>
      <c r="G1014" s="4">
        <v>20250904</v>
      </c>
      <c r="H1014" s="6" t="s">
        <v>30</v>
      </c>
      <c r="I1014" s="8" t="s">
        <v>9</v>
      </c>
      <c r="J1014" s="6" t="s">
        <v>80</v>
      </c>
    </row>
    <row r="1015" spans="1:10">
      <c r="A1015" s="9">
        <v>631</v>
      </c>
      <c r="B1015" s="10">
        <v>2794</v>
      </c>
      <c r="C1015" s="3">
        <v>20000</v>
      </c>
      <c r="D1015" s="3">
        <v>20000</v>
      </c>
      <c r="E1015" s="7">
        <v>0</v>
      </c>
      <c r="F1015" s="5">
        <v>45905</v>
      </c>
      <c r="G1015" s="4">
        <v>20250904</v>
      </c>
      <c r="H1015" s="6" t="s">
        <v>30</v>
      </c>
      <c r="I1015" s="8" t="s">
        <v>10</v>
      </c>
      <c r="J1015" s="6" t="s">
        <v>97</v>
      </c>
    </row>
    <row r="1016" spans="1:10">
      <c r="A1016" s="9">
        <v>60</v>
      </c>
      <c r="B1016" s="10">
        <v>8725</v>
      </c>
      <c r="C1016" s="3">
        <v>200000</v>
      </c>
      <c r="D1016" s="3">
        <v>200000</v>
      </c>
      <c r="E1016" s="7">
        <v>0</v>
      </c>
      <c r="F1016" s="5">
        <v>45908</v>
      </c>
      <c r="G1016" s="4">
        <v>20250907</v>
      </c>
      <c r="H1016" s="6" t="s">
        <v>30</v>
      </c>
      <c r="I1016" s="8" t="s">
        <v>9</v>
      </c>
      <c r="J1016" s="6" t="s">
        <v>323</v>
      </c>
    </row>
    <row r="1017" spans="1:10">
      <c r="A1017" s="9">
        <v>153</v>
      </c>
      <c r="B1017" s="10">
        <v>9880</v>
      </c>
      <c r="C1017" s="3">
        <v>2000000</v>
      </c>
      <c r="D1017" s="3">
        <v>2000000</v>
      </c>
      <c r="E1017" s="7">
        <v>0</v>
      </c>
      <c r="F1017" s="5">
        <v>45908</v>
      </c>
      <c r="G1017" s="4">
        <v>20250907</v>
      </c>
      <c r="H1017" s="6" t="s">
        <v>30</v>
      </c>
      <c r="I1017" s="8" t="s">
        <v>9</v>
      </c>
      <c r="J1017" s="6" t="s">
        <v>61</v>
      </c>
    </row>
    <row r="1018" spans="1:10">
      <c r="A1018" s="9">
        <v>631</v>
      </c>
      <c r="B1018" s="10">
        <v>2617</v>
      </c>
      <c r="C1018" s="3">
        <v>100000</v>
      </c>
      <c r="D1018" s="3">
        <v>100000</v>
      </c>
      <c r="E1018" s="7">
        <v>0</v>
      </c>
      <c r="F1018" s="5">
        <v>45908</v>
      </c>
      <c r="G1018" s="4">
        <v>20250907</v>
      </c>
      <c r="H1018" s="6" t="s">
        <v>30</v>
      </c>
      <c r="I1018" s="8" t="s">
        <v>9</v>
      </c>
      <c r="J1018" s="6" t="s">
        <v>103</v>
      </c>
    </row>
    <row r="1019" spans="1:10">
      <c r="A1019" s="9">
        <v>631</v>
      </c>
      <c r="B1019" s="10">
        <v>2794</v>
      </c>
      <c r="C1019" s="3">
        <v>280000</v>
      </c>
      <c r="D1019" s="3">
        <v>280000</v>
      </c>
      <c r="E1019" s="7">
        <v>0</v>
      </c>
      <c r="F1019" s="5">
        <v>45908</v>
      </c>
      <c r="G1019" s="4">
        <v>20250907</v>
      </c>
      <c r="H1019" s="6" t="s">
        <v>30</v>
      </c>
      <c r="I1019" s="8" t="s">
        <v>9</v>
      </c>
      <c r="J1019" s="6" t="s">
        <v>97</v>
      </c>
    </row>
    <row r="1020" spans="1:10">
      <c r="A1020" s="9">
        <v>799</v>
      </c>
      <c r="B1020" s="10">
        <v>8185</v>
      </c>
      <c r="C1020" s="3">
        <v>600000</v>
      </c>
      <c r="D1020" s="3">
        <v>600000</v>
      </c>
      <c r="E1020" s="7">
        <v>0</v>
      </c>
      <c r="F1020" s="5">
        <v>45908</v>
      </c>
      <c r="G1020" s="4">
        <v>20250907</v>
      </c>
      <c r="H1020" s="6" t="s">
        <v>30</v>
      </c>
      <c r="I1020" s="8" t="s">
        <v>9</v>
      </c>
      <c r="J1020" s="6" t="s">
        <v>101</v>
      </c>
    </row>
    <row r="1021" spans="1:10">
      <c r="A1021" s="9">
        <v>927</v>
      </c>
      <c r="B1021" s="10">
        <v>5750</v>
      </c>
      <c r="C1021" s="3">
        <v>150000</v>
      </c>
      <c r="D1021" s="3">
        <v>150000</v>
      </c>
      <c r="E1021" s="7">
        <v>0</v>
      </c>
      <c r="F1021" s="5">
        <v>45908</v>
      </c>
      <c r="G1021" s="4">
        <v>20250907</v>
      </c>
      <c r="H1021" s="6" t="s">
        <v>30</v>
      </c>
      <c r="I1021" s="8" t="s">
        <v>9</v>
      </c>
      <c r="J1021" s="6" t="s">
        <v>39</v>
      </c>
    </row>
    <row r="1022" spans="1:10">
      <c r="A1022" s="9">
        <v>54</v>
      </c>
      <c r="B1022" s="9">
        <v>6204</v>
      </c>
      <c r="C1022" s="3">
        <v>270000</v>
      </c>
      <c r="D1022" s="3">
        <v>270000</v>
      </c>
      <c r="E1022" s="7">
        <v>0</v>
      </c>
      <c r="F1022" s="5">
        <v>45881</v>
      </c>
      <c r="G1022" s="4">
        <v>20250811</v>
      </c>
      <c r="H1022" s="6" t="s">
        <v>24</v>
      </c>
      <c r="I1022" s="8" t="s">
        <v>9</v>
      </c>
      <c r="J1022" s="6" t="s">
        <v>152</v>
      </c>
    </row>
    <row r="1023" spans="1:10">
      <c r="A1023" s="9">
        <v>484</v>
      </c>
      <c r="B1023" s="10">
        <v>7226</v>
      </c>
      <c r="C1023" s="3">
        <v>900000</v>
      </c>
      <c r="D1023" s="3">
        <v>900000</v>
      </c>
      <c r="E1023" s="7">
        <v>0</v>
      </c>
      <c r="F1023" s="5">
        <v>45890</v>
      </c>
      <c r="G1023" s="4">
        <v>20250820</v>
      </c>
      <c r="H1023" s="6" t="s">
        <v>30</v>
      </c>
      <c r="I1023" s="8" t="s">
        <v>9</v>
      </c>
      <c r="J1023" s="6" t="s">
        <v>346</v>
      </c>
    </row>
    <row r="1024" spans="1:10">
      <c r="A1024" s="9">
        <v>168</v>
      </c>
      <c r="B1024" s="10">
        <v>5224</v>
      </c>
      <c r="C1024" s="3">
        <v>2440000</v>
      </c>
      <c r="D1024" s="3">
        <v>2440000</v>
      </c>
      <c r="E1024" s="7">
        <v>0</v>
      </c>
      <c r="F1024" s="5">
        <v>45890</v>
      </c>
      <c r="G1024" s="4">
        <v>20250820</v>
      </c>
      <c r="H1024" s="6" t="s">
        <v>24</v>
      </c>
      <c r="I1024" s="8" t="s">
        <v>9</v>
      </c>
      <c r="J1024" s="6" t="s">
        <v>248</v>
      </c>
    </row>
    <row r="1025" spans="1:10">
      <c r="A1025" s="9">
        <v>457</v>
      </c>
      <c r="B1025" s="10">
        <v>9001</v>
      </c>
      <c r="C1025" s="3">
        <v>300000</v>
      </c>
      <c r="D1025" s="3">
        <v>300000</v>
      </c>
      <c r="E1025" s="7">
        <v>0</v>
      </c>
      <c r="F1025" s="5">
        <v>45895</v>
      </c>
      <c r="G1025" s="4">
        <v>20250825</v>
      </c>
      <c r="H1025" s="6" t="s">
        <v>30</v>
      </c>
      <c r="I1025" s="8" t="s">
        <v>9</v>
      </c>
      <c r="J1025" s="6" t="s">
        <v>166</v>
      </c>
    </row>
    <row r="1026" spans="1:10">
      <c r="A1026" s="9">
        <v>168</v>
      </c>
      <c r="B1026" s="10">
        <v>5224</v>
      </c>
      <c r="C1026" s="3">
        <v>1950000</v>
      </c>
      <c r="D1026" s="3">
        <v>1950000</v>
      </c>
      <c r="E1026" s="7">
        <v>0</v>
      </c>
      <c r="F1026" s="5">
        <v>45897</v>
      </c>
      <c r="G1026" s="4">
        <v>20250827</v>
      </c>
      <c r="H1026" s="6" t="s">
        <v>24</v>
      </c>
      <c r="I1026" s="8" t="s">
        <v>9</v>
      </c>
      <c r="J1026" s="6" t="s">
        <v>248</v>
      </c>
    </row>
    <row r="1027" spans="1:10">
      <c r="A1027" s="9">
        <v>54</v>
      </c>
      <c r="B1027" s="10">
        <v>6204</v>
      </c>
      <c r="C1027" s="3">
        <v>2147200</v>
      </c>
      <c r="D1027" s="3">
        <v>2147200</v>
      </c>
      <c r="E1027" s="7">
        <v>0</v>
      </c>
      <c r="F1027" s="5">
        <v>45897</v>
      </c>
      <c r="G1027" s="4">
        <v>20250827</v>
      </c>
      <c r="H1027" s="6" t="s">
        <v>24</v>
      </c>
      <c r="I1027" s="8" t="s">
        <v>9</v>
      </c>
      <c r="J1027" s="6" t="s">
        <v>152</v>
      </c>
    </row>
    <row r="1028" spans="1:10">
      <c r="A1028" s="9">
        <v>78</v>
      </c>
      <c r="B1028" s="10">
        <v>6246</v>
      </c>
      <c r="C1028" s="3">
        <v>2420000</v>
      </c>
      <c r="D1028" s="3">
        <v>2420000</v>
      </c>
      <c r="E1028" s="7">
        <v>0</v>
      </c>
      <c r="F1028" s="5">
        <v>45897</v>
      </c>
      <c r="G1028" s="4">
        <v>20250827</v>
      </c>
      <c r="H1028" s="6" t="s">
        <v>24</v>
      </c>
      <c r="I1028" s="8" t="s">
        <v>9</v>
      </c>
      <c r="J1028" s="6" t="s">
        <v>128</v>
      </c>
    </row>
    <row r="1029" spans="1:10">
      <c r="A1029" s="9">
        <v>681</v>
      </c>
      <c r="B1029" s="10">
        <v>8420</v>
      </c>
      <c r="C1029" s="3">
        <v>1600000</v>
      </c>
      <c r="D1029" s="3">
        <v>1600000</v>
      </c>
      <c r="E1029" s="7">
        <v>0</v>
      </c>
      <c r="F1029" s="5">
        <v>45898</v>
      </c>
      <c r="G1029" s="4">
        <v>20250828</v>
      </c>
      <c r="H1029" s="6" t="s">
        <v>30</v>
      </c>
      <c r="I1029" s="8" t="s">
        <v>9</v>
      </c>
      <c r="J1029" s="6" t="s">
        <v>117</v>
      </c>
    </row>
    <row r="1030" spans="1:10">
      <c r="A1030" s="9">
        <v>864</v>
      </c>
      <c r="B1030" s="10">
        <v>5377</v>
      </c>
      <c r="C1030" s="3">
        <v>600000</v>
      </c>
      <c r="D1030" s="3">
        <v>600000</v>
      </c>
      <c r="E1030" s="7">
        <v>0</v>
      </c>
      <c r="F1030" s="5">
        <v>45898</v>
      </c>
      <c r="G1030" s="4">
        <v>20250828</v>
      </c>
      <c r="H1030" s="6" t="s">
        <v>30</v>
      </c>
      <c r="I1030" s="8" t="s">
        <v>9</v>
      </c>
      <c r="J1030" s="6" t="s">
        <v>167</v>
      </c>
    </row>
    <row r="1031" spans="1:10">
      <c r="A1031" s="9">
        <v>78</v>
      </c>
      <c r="B1031" s="10">
        <v>6246</v>
      </c>
      <c r="C1031" s="3">
        <v>120000</v>
      </c>
      <c r="D1031" s="3">
        <v>120000</v>
      </c>
      <c r="E1031" s="7">
        <v>0</v>
      </c>
      <c r="F1031" s="5">
        <v>45898</v>
      </c>
      <c r="G1031" s="4">
        <v>20250828</v>
      </c>
      <c r="H1031" s="6" t="s">
        <v>24</v>
      </c>
      <c r="I1031" s="8" t="s">
        <v>9</v>
      </c>
      <c r="J1031" s="6" t="s">
        <v>128</v>
      </c>
    </row>
    <row r="1032" spans="1:10">
      <c r="A1032" s="9">
        <v>551</v>
      </c>
      <c r="B1032" s="10">
        <v>9644</v>
      </c>
      <c r="C1032" s="3">
        <v>2490000</v>
      </c>
      <c r="D1032" s="3">
        <v>2490000</v>
      </c>
      <c r="E1032" s="7">
        <v>0</v>
      </c>
      <c r="F1032" s="5">
        <v>45898</v>
      </c>
      <c r="G1032" s="4">
        <v>20250828</v>
      </c>
      <c r="H1032" s="6" t="s">
        <v>24</v>
      </c>
      <c r="I1032" s="8" t="s">
        <v>9</v>
      </c>
      <c r="J1032" s="6" t="s">
        <v>255</v>
      </c>
    </row>
    <row r="1033" spans="1:10">
      <c r="A1033" s="9">
        <v>457</v>
      </c>
      <c r="B1033" s="10">
        <v>9001</v>
      </c>
      <c r="C1033" s="3">
        <v>20000</v>
      </c>
      <c r="D1033" s="3">
        <v>20000</v>
      </c>
      <c r="E1033" s="7">
        <v>0</v>
      </c>
      <c r="F1033" s="5">
        <v>45898</v>
      </c>
      <c r="G1033" s="4">
        <v>20250828</v>
      </c>
      <c r="H1033" s="6" t="s">
        <v>30</v>
      </c>
      <c r="I1033" s="8" t="s">
        <v>10</v>
      </c>
      <c r="J1033" s="6" t="s">
        <v>166</v>
      </c>
    </row>
    <row r="1034" spans="1:10">
      <c r="A1034" s="9">
        <v>551</v>
      </c>
      <c r="B1034" s="10">
        <v>9644</v>
      </c>
      <c r="C1034" s="3">
        <v>2990000</v>
      </c>
      <c r="D1034" s="3">
        <v>2990000</v>
      </c>
      <c r="E1034" s="7">
        <v>0</v>
      </c>
      <c r="F1034" s="5">
        <v>45902</v>
      </c>
      <c r="G1034" s="4">
        <v>20250901</v>
      </c>
      <c r="H1034" s="6" t="s">
        <v>24</v>
      </c>
      <c r="I1034" s="8" t="s">
        <v>9</v>
      </c>
      <c r="J1034" s="6" t="s">
        <v>255</v>
      </c>
    </row>
    <row r="1035" spans="1:10">
      <c r="A1035" s="9">
        <v>457</v>
      </c>
      <c r="B1035" s="10">
        <v>9001</v>
      </c>
      <c r="C1035" s="3">
        <v>350000</v>
      </c>
      <c r="D1035" s="3">
        <v>350000</v>
      </c>
      <c r="E1035" s="7">
        <v>0</v>
      </c>
      <c r="F1035" s="5">
        <v>45902</v>
      </c>
      <c r="G1035" s="4">
        <v>20250901</v>
      </c>
      <c r="H1035" s="6" t="s">
        <v>30</v>
      </c>
      <c r="I1035" s="8" t="s">
        <v>9</v>
      </c>
      <c r="J1035" s="6" t="s">
        <v>166</v>
      </c>
    </row>
    <row r="1036" spans="1:10">
      <c r="A1036" s="9">
        <v>484</v>
      </c>
      <c r="B1036" s="10">
        <v>7226</v>
      </c>
      <c r="C1036" s="3">
        <v>40000</v>
      </c>
      <c r="D1036" s="3">
        <v>40000</v>
      </c>
      <c r="E1036" s="7">
        <v>0</v>
      </c>
      <c r="F1036" s="5">
        <v>45902</v>
      </c>
      <c r="G1036" s="4">
        <v>20250901</v>
      </c>
      <c r="H1036" s="6" t="s">
        <v>30</v>
      </c>
      <c r="I1036" s="8" t="s">
        <v>9</v>
      </c>
      <c r="J1036" s="6" t="s">
        <v>346</v>
      </c>
    </row>
    <row r="1037" spans="1:10">
      <c r="A1037" s="9">
        <v>704</v>
      </c>
      <c r="B1037" s="10">
        <v>2673</v>
      </c>
      <c r="C1037" s="3">
        <v>340000</v>
      </c>
      <c r="D1037" s="3">
        <v>340000</v>
      </c>
      <c r="E1037" s="7">
        <v>0</v>
      </c>
      <c r="F1037" s="5">
        <v>45902</v>
      </c>
      <c r="G1037" s="4">
        <v>20250901</v>
      </c>
      <c r="H1037" s="6" t="s">
        <v>30</v>
      </c>
      <c r="I1037" s="8" t="s">
        <v>9</v>
      </c>
      <c r="J1037" s="6" t="s">
        <v>347</v>
      </c>
    </row>
    <row r="1038" spans="1:10">
      <c r="A1038" s="9">
        <v>861</v>
      </c>
      <c r="B1038" s="10">
        <v>5957</v>
      </c>
      <c r="C1038" s="3">
        <v>700000</v>
      </c>
      <c r="D1038" s="3">
        <v>700000</v>
      </c>
      <c r="E1038" s="7">
        <v>0</v>
      </c>
      <c r="F1038" s="5">
        <v>45902</v>
      </c>
      <c r="G1038" s="4">
        <v>20250901</v>
      </c>
      <c r="H1038" s="6" t="s">
        <v>30</v>
      </c>
      <c r="I1038" s="8" t="s">
        <v>9</v>
      </c>
      <c r="J1038" s="6" t="s">
        <v>135</v>
      </c>
    </row>
    <row r="1039" spans="1:10">
      <c r="A1039" s="9">
        <v>861</v>
      </c>
      <c r="B1039" s="10">
        <v>5958</v>
      </c>
      <c r="C1039" s="3">
        <v>560000</v>
      </c>
      <c r="D1039" s="3">
        <v>560000</v>
      </c>
      <c r="E1039" s="7">
        <v>0</v>
      </c>
      <c r="F1039" s="5">
        <v>45902</v>
      </c>
      <c r="G1039" s="4">
        <v>20250901</v>
      </c>
      <c r="H1039" s="6" t="s">
        <v>30</v>
      </c>
      <c r="I1039" s="8" t="s">
        <v>9</v>
      </c>
      <c r="J1039" s="6" t="s">
        <v>136</v>
      </c>
    </row>
    <row r="1040" spans="1:10">
      <c r="A1040" s="9">
        <v>864</v>
      </c>
      <c r="B1040" s="10">
        <v>5377</v>
      </c>
      <c r="C1040" s="3">
        <v>670000</v>
      </c>
      <c r="D1040" s="3">
        <v>670000</v>
      </c>
      <c r="E1040" s="7">
        <v>0</v>
      </c>
      <c r="F1040" s="5">
        <v>45902</v>
      </c>
      <c r="G1040" s="4">
        <v>20250901</v>
      </c>
      <c r="H1040" s="6" t="s">
        <v>30</v>
      </c>
      <c r="I1040" s="8" t="s">
        <v>9</v>
      </c>
      <c r="J1040" s="6" t="s">
        <v>167</v>
      </c>
    </row>
    <row r="1041" spans="1:10">
      <c r="A1041" s="9">
        <v>522</v>
      </c>
      <c r="B1041" s="10">
        <v>4590</v>
      </c>
      <c r="C1041" s="3">
        <v>10000</v>
      </c>
      <c r="D1041" s="3">
        <v>10000</v>
      </c>
      <c r="E1041" s="7">
        <v>0</v>
      </c>
      <c r="F1041" s="5">
        <v>45902</v>
      </c>
      <c r="G1041" s="4">
        <v>20250901</v>
      </c>
      <c r="H1041" s="6" t="s">
        <v>30</v>
      </c>
      <c r="I1041" s="8" t="s">
        <v>10</v>
      </c>
      <c r="J1041" s="6" t="s">
        <v>348</v>
      </c>
    </row>
    <row r="1042" spans="1:10">
      <c r="A1042" s="9">
        <v>61</v>
      </c>
      <c r="B1042" s="10">
        <v>781</v>
      </c>
      <c r="C1042" s="3">
        <v>50000</v>
      </c>
      <c r="D1042" s="3">
        <v>50000</v>
      </c>
      <c r="E1042" s="7">
        <v>0</v>
      </c>
      <c r="F1042" s="5">
        <v>45903</v>
      </c>
      <c r="G1042" s="4">
        <v>20250902</v>
      </c>
      <c r="H1042" s="6" t="s">
        <v>30</v>
      </c>
      <c r="I1042" s="8" t="s">
        <v>9</v>
      </c>
      <c r="J1042" s="6" t="s">
        <v>349</v>
      </c>
    </row>
    <row r="1043" spans="1:10">
      <c r="A1043" s="9">
        <v>522</v>
      </c>
      <c r="B1043" s="10">
        <v>4592</v>
      </c>
      <c r="C1043" s="3">
        <v>700000</v>
      </c>
      <c r="D1043" s="3">
        <v>700000</v>
      </c>
      <c r="E1043" s="7">
        <v>0</v>
      </c>
      <c r="F1043" s="5">
        <v>45903</v>
      </c>
      <c r="G1043" s="4">
        <v>20250902</v>
      </c>
      <c r="H1043" s="6" t="s">
        <v>30</v>
      </c>
      <c r="I1043" s="8" t="s">
        <v>9</v>
      </c>
      <c r="J1043" s="6" t="s">
        <v>350</v>
      </c>
    </row>
    <row r="1044" spans="1:10">
      <c r="A1044" s="9">
        <v>721</v>
      </c>
      <c r="B1044" s="10">
        <v>8894</v>
      </c>
      <c r="C1044" s="3">
        <v>40000</v>
      </c>
      <c r="D1044" s="3">
        <v>40000</v>
      </c>
      <c r="E1044" s="7">
        <v>0</v>
      </c>
      <c r="F1044" s="5">
        <v>45903</v>
      </c>
      <c r="G1044" s="4">
        <v>20250902</v>
      </c>
      <c r="H1044" s="6" t="s">
        <v>30</v>
      </c>
      <c r="I1044" s="8" t="s">
        <v>9</v>
      </c>
      <c r="J1044" s="6" t="s">
        <v>169</v>
      </c>
    </row>
    <row r="1045" spans="1:10">
      <c r="A1045" s="9">
        <v>291</v>
      </c>
      <c r="B1045" s="10">
        <v>5114</v>
      </c>
      <c r="C1045" s="3">
        <v>3460000</v>
      </c>
      <c r="D1045" s="3">
        <v>3460000</v>
      </c>
      <c r="E1045" s="7">
        <v>0</v>
      </c>
      <c r="F1045" s="5">
        <v>45903</v>
      </c>
      <c r="G1045" s="4">
        <v>20250902</v>
      </c>
      <c r="H1045" s="6" t="s">
        <v>24</v>
      </c>
      <c r="I1045" s="8" t="s">
        <v>9</v>
      </c>
      <c r="J1045" s="6" t="s">
        <v>245</v>
      </c>
    </row>
    <row r="1046" spans="1:10">
      <c r="A1046" s="9">
        <v>937</v>
      </c>
      <c r="B1046" s="10">
        <v>5115</v>
      </c>
      <c r="C1046" s="3">
        <v>1110000</v>
      </c>
      <c r="D1046" s="3">
        <v>1110000</v>
      </c>
      <c r="E1046" s="7">
        <v>0</v>
      </c>
      <c r="F1046" s="5">
        <v>45903</v>
      </c>
      <c r="G1046" s="4">
        <v>20250902</v>
      </c>
      <c r="H1046" s="6" t="s">
        <v>24</v>
      </c>
      <c r="I1046" s="8" t="s">
        <v>9</v>
      </c>
      <c r="J1046" s="6" t="s">
        <v>164</v>
      </c>
    </row>
    <row r="1047" spans="1:10">
      <c r="A1047" s="9">
        <v>522</v>
      </c>
      <c r="B1047" s="10">
        <v>4592</v>
      </c>
      <c r="C1047" s="3">
        <v>1500000</v>
      </c>
      <c r="D1047" s="3">
        <v>1500000</v>
      </c>
      <c r="E1047" s="7">
        <v>0</v>
      </c>
      <c r="F1047" s="5">
        <v>45904</v>
      </c>
      <c r="G1047" s="4">
        <v>20250903</v>
      </c>
      <c r="H1047" s="6" t="s">
        <v>30</v>
      </c>
      <c r="I1047" s="8" t="s">
        <v>9</v>
      </c>
      <c r="J1047" s="6" t="s">
        <v>350</v>
      </c>
    </row>
    <row r="1048" spans="1:10">
      <c r="A1048" s="9">
        <v>861</v>
      </c>
      <c r="B1048" s="10">
        <v>5957</v>
      </c>
      <c r="C1048" s="3">
        <v>50000</v>
      </c>
      <c r="D1048" s="3">
        <v>50000</v>
      </c>
      <c r="E1048" s="7">
        <v>0</v>
      </c>
      <c r="F1048" s="5">
        <v>45904</v>
      </c>
      <c r="G1048" s="4">
        <v>20250903</v>
      </c>
      <c r="H1048" s="6" t="s">
        <v>30</v>
      </c>
      <c r="I1048" s="8" t="s">
        <v>9</v>
      </c>
      <c r="J1048" s="6" t="s">
        <v>135</v>
      </c>
    </row>
    <row r="1049" spans="1:10">
      <c r="A1049" s="9">
        <v>861</v>
      </c>
      <c r="B1049" s="10">
        <v>5958</v>
      </c>
      <c r="C1049" s="3">
        <v>60000</v>
      </c>
      <c r="D1049" s="3">
        <v>60000</v>
      </c>
      <c r="E1049" s="7">
        <v>0</v>
      </c>
      <c r="F1049" s="5">
        <v>45904</v>
      </c>
      <c r="G1049" s="4">
        <v>20250903</v>
      </c>
      <c r="H1049" s="6" t="s">
        <v>30</v>
      </c>
      <c r="I1049" s="8" t="s">
        <v>9</v>
      </c>
      <c r="J1049" s="6" t="s">
        <v>136</v>
      </c>
    </row>
    <row r="1050" spans="1:10">
      <c r="A1050" s="9">
        <v>864</v>
      </c>
      <c r="B1050" s="10">
        <v>5377</v>
      </c>
      <c r="C1050" s="3">
        <v>300000</v>
      </c>
      <c r="D1050" s="3">
        <v>300000</v>
      </c>
      <c r="E1050" s="7">
        <v>0</v>
      </c>
      <c r="F1050" s="5">
        <v>45904</v>
      </c>
      <c r="G1050" s="4">
        <v>20250903</v>
      </c>
      <c r="H1050" s="6" t="s">
        <v>30</v>
      </c>
      <c r="I1050" s="8" t="s">
        <v>9</v>
      </c>
      <c r="J1050" s="6" t="s">
        <v>167</v>
      </c>
    </row>
    <row r="1051" spans="1:10">
      <c r="A1051" s="9">
        <v>438</v>
      </c>
      <c r="B1051" s="10">
        <v>1565</v>
      </c>
      <c r="C1051" s="3">
        <v>2550000</v>
      </c>
      <c r="D1051" s="3">
        <v>2550000</v>
      </c>
      <c r="E1051" s="7">
        <v>0</v>
      </c>
      <c r="F1051" s="5">
        <v>45904</v>
      </c>
      <c r="G1051" s="4">
        <v>20250903</v>
      </c>
      <c r="H1051" s="6" t="s">
        <v>24</v>
      </c>
      <c r="I1051" s="8" t="s">
        <v>9</v>
      </c>
      <c r="J1051" s="6" t="s">
        <v>42</v>
      </c>
    </row>
    <row r="1052" spans="1:10">
      <c r="A1052" s="9">
        <v>291</v>
      </c>
      <c r="B1052" s="10">
        <v>5114</v>
      </c>
      <c r="C1052" s="3">
        <v>970000</v>
      </c>
      <c r="D1052" s="3">
        <v>970000</v>
      </c>
      <c r="E1052" s="7">
        <v>0</v>
      </c>
      <c r="F1052" s="5">
        <v>45904</v>
      </c>
      <c r="G1052" s="4">
        <v>20250903</v>
      </c>
      <c r="H1052" s="6" t="s">
        <v>24</v>
      </c>
      <c r="I1052" s="8" t="s">
        <v>9</v>
      </c>
      <c r="J1052" s="6" t="s">
        <v>245</v>
      </c>
    </row>
    <row r="1053" spans="1:10">
      <c r="A1053" s="9">
        <v>78</v>
      </c>
      <c r="B1053" s="10">
        <v>6246</v>
      </c>
      <c r="C1053" s="3">
        <v>790000</v>
      </c>
      <c r="D1053" s="3">
        <v>790000</v>
      </c>
      <c r="E1053" s="7">
        <v>0</v>
      </c>
      <c r="F1053" s="5">
        <v>45904</v>
      </c>
      <c r="G1053" s="4">
        <v>20250903</v>
      </c>
      <c r="H1053" s="6" t="s">
        <v>24</v>
      </c>
      <c r="I1053" s="8" t="s">
        <v>9</v>
      </c>
      <c r="J1053" s="6" t="s">
        <v>128</v>
      </c>
    </row>
    <row r="1054" spans="1:10">
      <c r="A1054" s="9">
        <v>54</v>
      </c>
      <c r="B1054" s="10">
        <v>6204</v>
      </c>
      <c r="C1054" s="3">
        <v>460000</v>
      </c>
      <c r="D1054" s="3">
        <v>460000</v>
      </c>
      <c r="E1054" s="7">
        <v>0</v>
      </c>
      <c r="F1054" s="5">
        <v>45904</v>
      </c>
      <c r="G1054" s="4">
        <v>20250903</v>
      </c>
      <c r="H1054" s="6" t="s">
        <v>24</v>
      </c>
      <c r="I1054" s="8" t="s">
        <v>9</v>
      </c>
      <c r="J1054" s="6" t="s">
        <v>152</v>
      </c>
    </row>
    <row r="1055" spans="1:10">
      <c r="A1055" s="9">
        <v>522</v>
      </c>
      <c r="B1055" s="10">
        <v>4590</v>
      </c>
      <c r="C1055" s="3">
        <v>430000</v>
      </c>
      <c r="D1055" s="3">
        <v>430000</v>
      </c>
      <c r="E1055" s="7">
        <v>0</v>
      </c>
      <c r="F1055" s="5">
        <v>45905</v>
      </c>
      <c r="G1055" s="4">
        <v>20250904</v>
      </c>
      <c r="H1055" s="6" t="s">
        <v>30</v>
      </c>
      <c r="I1055" s="8" t="s">
        <v>9</v>
      </c>
      <c r="J1055" s="6" t="s">
        <v>348</v>
      </c>
    </row>
    <row r="1056" spans="1:10">
      <c r="A1056" s="9">
        <v>864</v>
      </c>
      <c r="B1056" s="10">
        <v>5377</v>
      </c>
      <c r="C1056" s="3">
        <v>200000</v>
      </c>
      <c r="D1056" s="3">
        <v>200000</v>
      </c>
      <c r="E1056" s="7">
        <v>0</v>
      </c>
      <c r="F1056" s="5">
        <v>45905</v>
      </c>
      <c r="G1056" s="4">
        <v>20250904</v>
      </c>
      <c r="H1056" s="6" t="s">
        <v>30</v>
      </c>
      <c r="I1056" s="8" t="s">
        <v>9</v>
      </c>
      <c r="J1056" s="6" t="s">
        <v>167</v>
      </c>
    </row>
    <row r="1057" spans="1:10">
      <c r="A1057" s="9">
        <v>78</v>
      </c>
      <c r="B1057" s="10">
        <v>6246</v>
      </c>
      <c r="C1057" s="3">
        <v>1170000</v>
      </c>
      <c r="D1057" s="3">
        <v>1170000</v>
      </c>
      <c r="E1057" s="7">
        <v>0</v>
      </c>
      <c r="F1057" s="5">
        <v>45905</v>
      </c>
      <c r="G1057" s="4">
        <v>20250904</v>
      </c>
      <c r="H1057" s="6" t="s">
        <v>24</v>
      </c>
      <c r="I1057" s="8" t="s">
        <v>9</v>
      </c>
      <c r="J1057" s="6" t="s">
        <v>128</v>
      </c>
    </row>
    <row r="1058" spans="1:10">
      <c r="A1058" s="9">
        <v>522</v>
      </c>
      <c r="B1058" s="10">
        <v>4590</v>
      </c>
      <c r="C1058" s="3">
        <v>900000</v>
      </c>
      <c r="D1058" s="3">
        <v>900000</v>
      </c>
      <c r="E1058" s="7">
        <v>0</v>
      </c>
      <c r="F1058" s="5">
        <v>45908</v>
      </c>
      <c r="G1058" s="4">
        <v>20250907</v>
      </c>
      <c r="H1058" s="6" t="s">
        <v>30</v>
      </c>
      <c r="I1058" s="8" t="s">
        <v>9</v>
      </c>
      <c r="J1058" s="6" t="s">
        <v>348</v>
      </c>
    </row>
    <row r="1059" spans="1:10">
      <c r="A1059" s="9">
        <v>861</v>
      </c>
      <c r="B1059" s="10">
        <v>5958</v>
      </c>
      <c r="C1059" s="3">
        <v>250000</v>
      </c>
      <c r="D1059" s="3">
        <v>250000</v>
      </c>
      <c r="E1059" s="7">
        <v>0</v>
      </c>
      <c r="F1059" s="5">
        <v>45908</v>
      </c>
      <c r="G1059" s="4">
        <v>20250906</v>
      </c>
      <c r="H1059" s="6" t="s">
        <v>30</v>
      </c>
      <c r="I1059" s="8" t="s">
        <v>9</v>
      </c>
      <c r="J1059" s="6" t="s">
        <v>136</v>
      </c>
    </row>
    <row r="1060" spans="1:10">
      <c r="A1060" s="9">
        <v>332</v>
      </c>
      <c r="B1060" s="10">
        <v>7569</v>
      </c>
      <c r="C1060" s="3">
        <v>2780000</v>
      </c>
      <c r="D1060" s="3">
        <v>2780000</v>
      </c>
      <c r="E1060" s="7">
        <v>0</v>
      </c>
      <c r="F1060" s="5">
        <v>45908</v>
      </c>
      <c r="G1060" s="4">
        <v>20250907</v>
      </c>
      <c r="H1060" s="6" t="s">
        <v>24</v>
      </c>
      <c r="I1060" s="8" t="s">
        <v>9</v>
      </c>
      <c r="J1060" s="6" t="s">
        <v>351</v>
      </c>
    </row>
    <row r="1061" spans="1:10">
      <c r="A1061" s="9">
        <v>652</v>
      </c>
      <c r="B1061" s="10">
        <v>5070</v>
      </c>
      <c r="C1061" s="3">
        <v>1760000</v>
      </c>
      <c r="D1061" s="3">
        <v>1760000</v>
      </c>
      <c r="E1061" s="7">
        <v>0</v>
      </c>
      <c r="F1061" s="5">
        <v>45908</v>
      </c>
      <c r="G1061" s="4">
        <v>20250907</v>
      </c>
      <c r="H1061" s="6" t="s">
        <v>24</v>
      </c>
      <c r="I1061" s="8" t="s">
        <v>9</v>
      </c>
      <c r="J1061" s="6" t="s">
        <v>201</v>
      </c>
    </row>
    <row r="1062" spans="1:10">
      <c r="A1062" s="9">
        <v>78</v>
      </c>
      <c r="B1062" s="10">
        <v>6246</v>
      </c>
      <c r="C1062" s="3">
        <v>1280000</v>
      </c>
      <c r="D1062" s="3">
        <v>1280000</v>
      </c>
      <c r="E1062" s="7">
        <v>0</v>
      </c>
      <c r="F1062" s="5">
        <v>45908</v>
      </c>
      <c r="G1062" s="4">
        <v>20250907</v>
      </c>
      <c r="H1062" s="6" t="s">
        <v>24</v>
      </c>
      <c r="I1062" s="8" t="s">
        <v>9</v>
      </c>
      <c r="J1062" s="6" t="s">
        <v>128</v>
      </c>
    </row>
    <row r="1063" spans="1:10">
      <c r="A1063" s="9">
        <v>453</v>
      </c>
      <c r="B1063" s="10">
        <v>8019</v>
      </c>
      <c r="C1063" s="3">
        <v>2839000</v>
      </c>
      <c r="D1063" s="3">
        <v>2839000</v>
      </c>
      <c r="E1063" s="7">
        <v>0</v>
      </c>
      <c r="F1063" s="5">
        <v>45909</v>
      </c>
      <c r="G1063" s="4">
        <v>20250908</v>
      </c>
      <c r="H1063" s="6" t="s">
        <v>24</v>
      </c>
      <c r="I1063" s="8" t="s">
        <v>9</v>
      </c>
      <c r="J1063" s="6" t="s">
        <v>190</v>
      </c>
    </row>
    <row r="1064" spans="1:10">
      <c r="A1064" s="9">
        <v>337</v>
      </c>
      <c r="B1064" s="10">
        <v>6253</v>
      </c>
      <c r="C1064" s="3">
        <v>1650000</v>
      </c>
      <c r="D1064" s="3">
        <v>1650000</v>
      </c>
      <c r="E1064" s="7">
        <v>0</v>
      </c>
      <c r="F1064" s="5">
        <v>45909</v>
      </c>
      <c r="G1064" s="4">
        <v>20250908</v>
      </c>
      <c r="H1064" s="6" t="s">
        <v>24</v>
      </c>
      <c r="I1064" s="8" t="s">
        <v>9</v>
      </c>
      <c r="J1064" s="6" t="s">
        <v>352</v>
      </c>
    </row>
    <row r="1065" spans="1:10">
      <c r="A1065" s="9">
        <v>300</v>
      </c>
      <c r="B1065" s="10">
        <v>5139</v>
      </c>
      <c r="C1065" s="3">
        <v>810000</v>
      </c>
      <c r="D1065" s="3">
        <v>810000</v>
      </c>
      <c r="E1065" s="7">
        <v>0</v>
      </c>
      <c r="F1065" s="5">
        <v>45909</v>
      </c>
      <c r="G1065" s="4">
        <v>20250908</v>
      </c>
      <c r="H1065" s="6" t="s">
        <v>24</v>
      </c>
      <c r="I1065" s="8" t="s">
        <v>9</v>
      </c>
      <c r="J1065" s="6" t="s">
        <v>51</v>
      </c>
    </row>
    <row r="1066" spans="1:10">
      <c r="A1066" s="9">
        <v>769</v>
      </c>
      <c r="B1066" s="10">
        <v>5051</v>
      </c>
      <c r="C1066" s="3">
        <v>109000</v>
      </c>
      <c r="D1066" s="3">
        <v>109000</v>
      </c>
      <c r="E1066" s="7">
        <v>0</v>
      </c>
      <c r="F1066" s="5">
        <v>45909</v>
      </c>
      <c r="G1066" s="4">
        <v>20250908</v>
      </c>
      <c r="H1066" s="6" t="s">
        <v>24</v>
      </c>
      <c r="I1066" s="8" t="s">
        <v>9</v>
      </c>
      <c r="J1066" s="6" t="s">
        <v>353</v>
      </c>
    </row>
    <row r="1067" spans="1:10">
      <c r="A1067" s="9">
        <v>96</v>
      </c>
      <c r="B1067" s="10">
        <v>4257</v>
      </c>
      <c r="C1067" s="3">
        <v>200000</v>
      </c>
      <c r="D1067" s="3">
        <v>200000</v>
      </c>
      <c r="E1067" s="7">
        <v>0</v>
      </c>
      <c r="F1067" s="5">
        <v>45910</v>
      </c>
      <c r="G1067" s="4">
        <v>20250909</v>
      </c>
      <c r="H1067" s="6" t="s">
        <v>30</v>
      </c>
      <c r="I1067" s="8" t="s">
        <v>9</v>
      </c>
      <c r="J1067" s="6" t="s">
        <v>197</v>
      </c>
    </row>
    <row r="1068" spans="1:10">
      <c r="A1068" s="9">
        <v>861</v>
      </c>
      <c r="B1068" s="10">
        <v>5958</v>
      </c>
      <c r="C1068" s="3">
        <v>200000</v>
      </c>
      <c r="D1068" s="3">
        <v>200000</v>
      </c>
      <c r="E1068" s="7">
        <v>0</v>
      </c>
      <c r="F1068" s="5">
        <v>45910</v>
      </c>
      <c r="G1068" s="4">
        <v>20250909</v>
      </c>
      <c r="H1068" s="6" t="s">
        <v>30</v>
      </c>
      <c r="I1068" s="8" t="s">
        <v>9</v>
      </c>
      <c r="J1068" s="6" t="s">
        <v>136</v>
      </c>
    </row>
    <row r="1069" spans="1:10">
      <c r="A1069" s="9">
        <v>674</v>
      </c>
      <c r="B1069" s="10">
        <v>5200</v>
      </c>
      <c r="C1069" s="3">
        <v>3880000</v>
      </c>
      <c r="D1069" s="3">
        <v>3880000</v>
      </c>
      <c r="E1069" s="7">
        <v>0</v>
      </c>
      <c r="F1069" s="5">
        <v>45910</v>
      </c>
      <c r="G1069" s="4">
        <v>20250909</v>
      </c>
      <c r="H1069" s="6" t="s">
        <v>24</v>
      </c>
      <c r="I1069" s="8" t="s">
        <v>9</v>
      </c>
      <c r="J1069" s="6" t="s">
        <v>93</v>
      </c>
    </row>
    <row r="1070" spans="1:10">
      <c r="A1070" s="9">
        <v>379</v>
      </c>
      <c r="B1070" s="10">
        <v>6465</v>
      </c>
      <c r="C1070" s="3">
        <v>2372500</v>
      </c>
      <c r="D1070" s="3">
        <v>2372500</v>
      </c>
      <c r="E1070" s="7">
        <v>0</v>
      </c>
      <c r="F1070" s="5">
        <v>45910</v>
      </c>
      <c r="G1070" s="4">
        <v>20250909</v>
      </c>
      <c r="H1070" s="6" t="s">
        <v>24</v>
      </c>
      <c r="I1070" s="8" t="s">
        <v>9</v>
      </c>
      <c r="J1070" s="6" t="s">
        <v>354</v>
      </c>
    </row>
    <row r="1071" spans="1:10">
      <c r="A1071" s="9">
        <v>261</v>
      </c>
      <c r="B1071" s="10">
        <v>5048</v>
      </c>
      <c r="C1071" s="3">
        <v>1400000</v>
      </c>
      <c r="D1071" s="3">
        <v>1400000</v>
      </c>
      <c r="E1071" s="7">
        <v>0</v>
      </c>
      <c r="F1071" s="5">
        <v>45910</v>
      </c>
      <c r="G1071" s="4">
        <v>20250909</v>
      </c>
      <c r="H1071" s="6" t="s">
        <v>24</v>
      </c>
      <c r="I1071" s="8" t="s">
        <v>9</v>
      </c>
      <c r="J1071" s="6" t="s">
        <v>355</v>
      </c>
    </row>
    <row r="1072" spans="1:10">
      <c r="A1072" s="9">
        <v>32</v>
      </c>
      <c r="B1072" s="10">
        <v>5027</v>
      </c>
      <c r="C1072" s="3">
        <v>1250000</v>
      </c>
      <c r="D1072" s="3">
        <v>1250000</v>
      </c>
      <c r="E1072" s="7">
        <v>0</v>
      </c>
      <c r="F1072" s="5">
        <v>45910</v>
      </c>
      <c r="G1072" s="4">
        <v>20250909</v>
      </c>
      <c r="H1072" s="6" t="s">
        <v>24</v>
      </c>
      <c r="I1072" s="8" t="s">
        <v>9</v>
      </c>
      <c r="J1072" s="6" t="s">
        <v>280</v>
      </c>
    </row>
    <row r="1073" spans="1:10">
      <c r="A1073" s="9">
        <v>54</v>
      </c>
      <c r="B1073" s="10">
        <v>6204</v>
      </c>
      <c r="C1073" s="3">
        <v>480000</v>
      </c>
      <c r="D1073" s="3">
        <v>480000</v>
      </c>
      <c r="E1073" s="7">
        <v>0</v>
      </c>
      <c r="F1073" s="5">
        <v>45910</v>
      </c>
      <c r="G1073" s="4">
        <v>20250909</v>
      </c>
      <c r="H1073" s="6" t="s">
        <v>24</v>
      </c>
      <c r="I1073" s="8" t="s">
        <v>9</v>
      </c>
      <c r="J1073" s="6" t="s">
        <v>152</v>
      </c>
    </row>
    <row r="1074" spans="1:10">
      <c r="A1074" s="9">
        <v>96</v>
      </c>
      <c r="B1074" s="9">
        <v>1036</v>
      </c>
      <c r="C1074" s="3">
        <v>630000</v>
      </c>
      <c r="D1074" s="3">
        <v>630000</v>
      </c>
      <c r="E1074" s="7">
        <v>0</v>
      </c>
      <c r="F1074" s="5">
        <v>45873</v>
      </c>
      <c r="G1074" s="4">
        <v>20250803</v>
      </c>
      <c r="H1074" s="6" t="s">
        <v>30</v>
      </c>
      <c r="I1074" s="8" t="s">
        <v>9</v>
      </c>
      <c r="J1074" s="6" t="s">
        <v>161</v>
      </c>
    </row>
    <row r="1075" spans="1:10">
      <c r="A1075" s="9">
        <v>289</v>
      </c>
      <c r="B1075" s="9">
        <v>8225</v>
      </c>
      <c r="C1075" s="3">
        <v>470000</v>
      </c>
      <c r="D1075" s="3">
        <v>470000</v>
      </c>
      <c r="E1075" s="7">
        <v>0</v>
      </c>
      <c r="F1075" s="5">
        <v>45880</v>
      </c>
      <c r="G1075" s="4">
        <v>20250809</v>
      </c>
      <c r="H1075" s="6" t="s">
        <v>30</v>
      </c>
      <c r="I1075" s="8" t="s">
        <v>9</v>
      </c>
      <c r="J1075" s="6" t="s">
        <v>356</v>
      </c>
    </row>
    <row r="1076" spans="1:10">
      <c r="A1076" s="9">
        <v>229</v>
      </c>
      <c r="B1076" s="9">
        <v>8955</v>
      </c>
      <c r="C1076" s="3">
        <v>10000</v>
      </c>
      <c r="D1076" s="3">
        <v>10000</v>
      </c>
      <c r="E1076" s="7">
        <v>0</v>
      </c>
      <c r="F1076" s="5">
        <v>45881</v>
      </c>
      <c r="G1076" s="4">
        <v>20250811</v>
      </c>
      <c r="H1076" s="6" t="s">
        <v>30</v>
      </c>
      <c r="I1076" s="8" t="s">
        <v>10</v>
      </c>
      <c r="J1076" s="6" t="s">
        <v>289</v>
      </c>
    </row>
    <row r="1077" spans="1:10">
      <c r="A1077" s="9">
        <v>289</v>
      </c>
      <c r="B1077" s="10">
        <v>8225</v>
      </c>
      <c r="C1077" s="3">
        <v>210000</v>
      </c>
      <c r="D1077" s="3">
        <v>210000</v>
      </c>
      <c r="E1077" s="7">
        <v>0</v>
      </c>
      <c r="F1077" s="5">
        <v>45883</v>
      </c>
      <c r="G1077" s="4">
        <v>20250813</v>
      </c>
      <c r="H1077" s="6" t="s">
        <v>30</v>
      </c>
      <c r="I1077" s="8"/>
      <c r="J1077" s="6" t="s">
        <v>356</v>
      </c>
    </row>
    <row r="1078" spans="1:10">
      <c r="A1078" s="9">
        <v>446</v>
      </c>
      <c r="B1078" s="10">
        <v>3425</v>
      </c>
      <c r="C1078" s="3">
        <v>100000</v>
      </c>
      <c r="D1078" s="3">
        <v>100000</v>
      </c>
      <c r="E1078" s="7">
        <v>0</v>
      </c>
      <c r="F1078" s="5">
        <v>45883</v>
      </c>
      <c r="G1078" s="4">
        <v>20250813</v>
      </c>
      <c r="H1078" s="6" t="s">
        <v>30</v>
      </c>
      <c r="I1078" s="8" t="s">
        <v>9</v>
      </c>
      <c r="J1078" s="6" t="s">
        <v>357</v>
      </c>
    </row>
    <row r="1079" spans="1:10">
      <c r="A1079" s="9">
        <v>322</v>
      </c>
      <c r="B1079" s="10">
        <v>2444</v>
      </c>
      <c r="C1079" s="3">
        <v>910000</v>
      </c>
      <c r="D1079" s="3">
        <v>910000</v>
      </c>
      <c r="E1079" s="7">
        <v>0</v>
      </c>
      <c r="F1079" s="5">
        <v>45884</v>
      </c>
      <c r="G1079" s="4">
        <v>20250814</v>
      </c>
      <c r="H1079" s="6" t="s">
        <v>24</v>
      </c>
      <c r="I1079" s="8" t="s">
        <v>9</v>
      </c>
      <c r="J1079" s="6" t="s">
        <v>109</v>
      </c>
    </row>
    <row r="1080" spans="1:10">
      <c r="A1080" s="9">
        <v>289</v>
      </c>
      <c r="B1080" s="10">
        <v>8225</v>
      </c>
      <c r="C1080" s="3">
        <v>130000</v>
      </c>
      <c r="D1080" s="3">
        <v>130000</v>
      </c>
      <c r="E1080" s="7">
        <v>0</v>
      </c>
      <c r="F1080" s="5">
        <v>45888</v>
      </c>
      <c r="G1080" s="4">
        <v>20250818</v>
      </c>
      <c r="H1080" s="6" t="s">
        <v>30</v>
      </c>
      <c r="I1080" s="8" t="s">
        <v>9</v>
      </c>
      <c r="J1080" s="6" t="s">
        <v>356</v>
      </c>
    </row>
    <row r="1081" spans="1:10">
      <c r="A1081" s="9">
        <v>322</v>
      </c>
      <c r="B1081" s="10">
        <v>2444</v>
      </c>
      <c r="C1081" s="3">
        <v>680000</v>
      </c>
      <c r="D1081" s="3">
        <v>680000</v>
      </c>
      <c r="E1081" s="7">
        <v>0</v>
      </c>
      <c r="F1081" s="5">
        <v>45888</v>
      </c>
      <c r="G1081" s="4">
        <v>20250818</v>
      </c>
      <c r="H1081" s="6" t="s">
        <v>24</v>
      </c>
      <c r="I1081" s="8" t="s">
        <v>9</v>
      </c>
      <c r="J1081" s="6" t="s">
        <v>109</v>
      </c>
    </row>
    <row r="1082" spans="1:10">
      <c r="A1082" s="9">
        <v>848</v>
      </c>
      <c r="B1082" s="10">
        <v>4739</v>
      </c>
      <c r="C1082" s="3">
        <v>5110000</v>
      </c>
      <c r="D1082" s="3">
        <v>5110000</v>
      </c>
      <c r="E1082" s="7">
        <v>0</v>
      </c>
      <c r="F1082" s="5">
        <v>45889</v>
      </c>
      <c r="G1082" s="4">
        <v>20250819</v>
      </c>
      <c r="H1082" s="6" t="s">
        <v>30</v>
      </c>
      <c r="I1082" s="8"/>
      <c r="J1082" s="6" t="s">
        <v>72</v>
      </c>
    </row>
    <row r="1083" spans="1:10">
      <c r="A1083" s="9">
        <v>322</v>
      </c>
      <c r="B1083" s="10">
        <v>2444</v>
      </c>
      <c r="C1083" s="3">
        <v>2250000</v>
      </c>
      <c r="D1083" s="3">
        <v>2250000</v>
      </c>
      <c r="E1083" s="7">
        <v>0</v>
      </c>
      <c r="F1083" s="5">
        <v>45889</v>
      </c>
      <c r="G1083" s="4">
        <v>20250819</v>
      </c>
      <c r="H1083" s="6" t="s">
        <v>24</v>
      </c>
      <c r="I1083" s="8" t="s">
        <v>9</v>
      </c>
      <c r="J1083" s="6" t="s">
        <v>109</v>
      </c>
    </row>
    <row r="1084" spans="1:10">
      <c r="A1084" s="9">
        <v>289</v>
      </c>
      <c r="B1084" s="10">
        <v>8225</v>
      </c>
      <c r="C1084" s="3">
        <v>230000</v>
      </c>
      <c r="D1084" s="3">
        <v>230000</v>
      </c>
      <c r="E1084" s="7">
        <v>0</v>
      </c>
      <c r="F1084" s="5">
        <v>45890</v>
      </c>
      <c r="G1084" s="4">
        <v>20250820</v>
      </c>
      <c r="H1084" s="6" t="s">
        <v>30</v>
      </c>
      <c r="I1084" s="8" t="s">
        <v>9</v>
      </c>
      <c r="J1084" s="6" t="s">
        <v>356</v>
      </c>
    </row>
    <row r="1085" spans="1:10">
      <c r="A1085" s="9">
        <v>509</v>
      </c>
      <c r="B1085" s="10">
        <v>8835</v>
      </c>
      <c r="C1085" s="3">
        <v>1950000</v>
      </c>
      <c r="D1085" s="3">
        <v>1950000</v>
      </c>
      <c r="E1085" s="7">
        <v>0</v>
      </c>
      <c r="F1085" s="5">
        <v>45891</v>
      </c>
      <c r="G1085" s="4">
        <v>20250821</v>
      </c>
      <c r="H1085" s="6" t="s">
        <v>24</v>
      </c>
      <c r="I1085" s="8" t="s">
        <v>9</v>
      </c>
      <c r="J1085" s="6" t="s">
        <v>165</v>
      </c>
    </row>
    <row r="1086" spans="1:10">
      <c r="A1086" s="9">
        <v>957</v>
      </c>
      <c r="B1086" s="10">
        <v>9513</v>
      </c>
      <c r="C1086" s="3">
        <v>3010000</v>
      </c>
      <c r="D1086" s="3">
        <v>3010000</v>
      </c>
      <c r="E1086" s="7">
        <v>0</v>
      </c>
      <c r="F1086" s="5">
        <v>45891</v>
      </c>
      <c r="G1086" s="4">
        <v>20250821</v>
      </c>
      <c r="H1086" s="6" t="s">
        <v>24</v>
      </c>
      <c r="I1086" s="8" t="s">
        <v>9</v>
      </c>
      <c r="J1086" s="6" t="s">
        <v>358</v>
      </c>
    </row>
    <row r="1087" spans="1:10">
      <c r="A1087" s="9">
        <v>289</v>
      </c>
      <c r="B1087" s="10">
        <v>8225</v>
      </c>
      <c r="C1087" s="3">
        <v>210000</v>
      </c>
      <c r="D1087" s="3">
        <v>210000</v>
      </c>
      <c r="E1087" s="7">
        <v>0</v>
      </c>
      <c r="F1087" s="5">
        <v>45891</v>
      </c>
      <c r="G1087" s="4">
        <v>20250821</v>
      </c>
      <c r="H1087" s="6" t="s">
        <v>30</v>
      </c>
      <c r="I1087" s="8" t="s">
        <v>9</v>
      </c>
      <c r="J1087" s="6" t="s">
        <v>356</v>
      </c>
    </row>
    <row r="1088" spans="1:10">
      <c r="A1088" s="9">
        <v>446</v>
      </c>
      <c r="B1088" s="10">
        <v>4461</v>
      </c>
      <c r="C1088" s="3">
        <v>940000</v>
      </c>
      <c r="D1088" s="3">
        <v>940000</v>
      </c>
      <c r="E1088" s="7">
        <v>0</v>
      </c>
      <c r="F1088" s="5">
        <v>45894</v>
      </c>
      <c r="G1088" s="4">
        <v>20250824</v>
      </c>
      <c r="H1088" s="6" t="s">
        <v>30</v>
      </c>
      <c r="I1088" s="8" t="s">
        <v>9</v>
      </c>
      <c r="J1088" s="6" t="s">
        <v>359</v>
      </c>
    </row>
    <row r="1089" spans="1:10">
      <c r="A1089" s="9">
        <v>322</v>
      </c>
      <c r="B1089" s="10">
        <v>2444</v>
      </c>
      <c r="C1089" s="3">
        <v>472000</v>
      </c>
      <c r="D1089" s="3">
        <v>472000</v>
      </c>
      <c r="E1089" s="7">
        <v>0</v>
      </c>
      <c r="F1089" s="5">
        <v>45894</v>
      </c>
      <c r="G1089" s="4">
        <v>20250824</v>
      </c>
      <c r="H1089" s="6" t="s">
        <v>24</v>
      </c>
      <c r="I1089" s="8" t="s">
        <v>9</v>
      </c>
      <c r="J1089" s="6" t="s">
        <v>109</v>
      </c>
    </row>
    <row r="1090" spans="1:10">
      <c r="A1090" s="9">
        <v>810</v>
      </c>
      <c r="B1090" s="10">
        <v>8204</v>
      </c>
      <c r="C1090" s="3">
        <v>99700</v>
      </c>
      <c r="D1090" s="3">
        <v>99700</v>
      </c>
      <c r="E1090" s="7">
        <v>0</v>
      </c>
      <c r="F1090" s="5">
        <v>45894</v>
      </c>
      <c r="G1090" s="4">
        <v>20250824</v>
      </c>
      <c r="H1090" s="6" t="s">
        <v>24</v>
      </c>
      <c r="I1090" s="8" t="s">
        <v>9</v>
      </c>
      <c r="J1090" s="6" t="s">
        <v>360</v>
      </c>
    </row>
    <row r="1091" spans="1:10">
      <c r="A1091" s="9">
        <v>322</v>
      </c>
      <c r="B1091" s="10">
        <v>2444</v>
      </c>
      <c r="C1091" s="3">
        <v>300000</v>
      </c>
      <c r="D1091" s="3">
        <v>300000</v>
      </c>
      <c r="E1091" s="7">
        <v>0</v>
      </c>
      <c r="F1091" s="5">
        <v>45896</v>
      </c>
      <c r="G1091" s="4">
        <v>20250826</v>
      </c>
      <c r="H1091" s="6" t="s">
        <v>24</v>
      </c>
      <c r="I1091" s="8" t="s">
        <v>9</v>
      </c>
      <c r="J1091" s="6" t="s">
        <v>109</v>
      </c>
    </row>
    <row r="1092" spans="1:10">
      <c r="A1092" s="9">
        <v>780</v>
      </c>
      <c r="B1092" s="10">
        <v>4714</v>
      </c>
      <c r="C1092" s="3">
        <v>60000</v>
      </c>
      <c r="D1092" s="3">
        <v>60000</v>
      </c>
      <c r="E1092" s="7">
        <v>0</v>
      </c>
      <c r="F1092" s="5">
        <v>45897</v>
      </c>
      <c r="G1092" s="4">
        <v>20250827</v>
      </c>
      <c r="H1092" s="6" t="s">
        <v>30</v>
      </c>
      <c r="I1092" s="8" t="s">
        <v>9</v>
      </c>
      <c r="J1092" s="6" t="s">
        <v>107</v>
      </c>
    </row>
    <row r="1093" spans="1:10">
      <c r="A1093" s="9">
        <v>322</v>
      </c>
      <c r="B1093" s="10">
        <v>2444</v>
      </c>
      <c r="C1093" s="3">
        <v>261350</v>
      </c>
      <c r="D1093" s="3">
        <v>261350</v>
      </c>
      <c r="E1093" s="7">
        <v>0</v>
      </c>
      <c r="F1093" s="5">
        <v>45897</v>
      </c>
      <c r="G1093" s="4">
        <v>20250827</v>
      </c>
      <c r="H1093" s="6" t="s">
        <v>24</v>
      </c>
      <c r="I1093" s="8" t="s">
        <v>9</v>
      </c>
      <c r="J1093" s="6" t="s">
        <v>109</v>
      </c>
    </row>
    <row r="1094" spans="1:10">
      <c r="A1094" s="9">
        <v>509</v>
      </c>
      <c r="B1094" s="10">
        <v>8835</v>
      </c>
      <c r="C1094" s="3">
        <v>440000</v>
      </c>
      <c r="D1094" s="3">
        <v>440000</v>
      </c>
      <c r="E1094" s="7">
        <v>0</v>
      </c>
      <c r="F1094" s="5">
        <v>45897</v>
      </c>
      <c r="G1094" s="4">
        <v>20250827</v>
      </c>
      <c r="H1094" s="6" t="s">
        <v>24</v>
      </c>
      <c r="I1094" s="8" t="s">
        <v>9</v>
      </c>
      <c r="J1094" s="6" t="s">
        <v>165</v>
      </c>
    </row>
    <row r="1095" spans="1:10">
      <c r="A1095" s="9">
        <v>322</v>
      </c>
      <c r="B1095" s="10">
        <v>2444</v>
      </c>
      <c r="C1095" s="3">
        <v>420000</v>
      </c>
      <c r="D1095" s="3">
        <v>420000</v>
      </c>
      <c r="E1095" s="7">
        <v>0</v>
      </c>
      <c r="F1095" s="5">
        <v>45898</v>
      </c>
      <c r="G1095" s="4">
        <v>20250828</v>
      </c>
      <c r="H1095" s="6" t="s">
        <v>24</v>
      </c>
      <c r="I1095" s="8" t="s">
        <v>9</v>
      </c>
      <c r="J1095" s="6" t="s">
        <v>109</v>
      </c>
    </row>
    <row r="1096" spans="1:10">
      <c r="A1096" s="9">
        <v>509</v>
      </c>
      <c r="B1096" s="10">
        <v>8835</v>
      </c>
      <c r="C1096" s="3">
        <v>1030000</v>
      </c>
      <c r="D1096" s="3">
        <v>1030000</v>
      </c>
      <c r="E1096" s="7">
        <v>0</v>
      </c>
      <c r="F1096" s="5">
        <v>45898</v>
      </c>
      <c r="G1096" s="4">
        <v>20250828</v>
      </c>
      <c r="H1096" s="6" t="s">
        <v>24</v>
      </c>
      <c r="I1096" s="8" t="s">
        <v>9</v>
      </c>
      <c r="J1096" s="6" t="s">
        <v>165</v>
      </c>
    </row>
    <row r="1097" spans="1:10">
      <c r="A1097" s="9">
        <v>825</v>
      </c>
      <c r="B1097" s="10">
        <v>5023</v>
      </c>
      <c r="C1097" s="3">
        <v>2920000</v>
      </c>
      <c r="D1097" s="3">
        <v>2920000</v>
      </c>
      <c r="E1097" s="7">
        <v>0</v>
      </c>
      <c r="F1097" s="5">
        <v>45902</v>
      </c>
      <c r="G1097" s="4">
        <v>20250901</v>
      </c>
      <c r="H1097" s="6" t="s">
        <v>24</v>
      </c>
      <c r="I1097" s="8" t="s">
        <v>9</v>
      </c>
      <c r="J1097" s="6" t="s">
        <v>162</v>
      </c>
    </row>
    <row r="1098" spans="1:10">
      <c r="A1098" s="9">
        <v>509</v>
      </c>
      <c r="B1098" s="10">
        <v>8835</v>
      </c>
      <c r="C1098" s="3">
        <v>540000</v>
      </c>
      <c r="D1098" s="3">
        <v>540000</v>
      </c>
      <c r="E1098" s="7">
        <v>0</v>
      </c>
      <c r="F1098" s="5">
        <v>45902</v>
      </c>
      <c r="G1098" s="4">
        <v>20250901</v>
      </c>
      <c r="H1098" s="6" t="s">
        <v>24</v>
      </c>
      <c r="I1098" s="8" t="s">
        <v>9</v>
      </c>
      <c r="J1098" s="6" t="s">
        <v>165</v>
      </c>
    </row>
    <row r="1099" spans="1:10">
      <c r="A1099" s="9">
        <v>289</v>
      </c>
      <c r="B1099" s="10">
        <v>4593</v>
      </c>
      <c r="C1099" s="3">
        <v>1270000</v>
      </c>
      <c r="D1099" s="3">
        <v>1270000</v>
      </c>
      <c r="E1099" s="7">
        <v>0</v>
      </c>
      <c r="F1099" s="5">
        <v>45902</v>
      </c>
      <c r="G1099" s="4">
        <v>20250901</v>
      </c>
      <c r="H1099" s="6" t="s">
        <v>30</v>
      </c>
      <c r="I1099" s="8" t="s">
        <v>9</v>
      </c>
      <c r="J1099" s="6" t="s">
        <v>121</v>
      </c>
    </row>
    <row r="1100" spans="1:10">
      <c r="A1100" s="9">
        <v>289</v>
      </c>
      <c r="B1100" s="10">
        <v>8225</v>
      </c>
      <c r="C1100" s="3">
        <v>980000</v>
      </c>
      <c r="D1100" s="3">
        <v>980000</v>
      </c>
      <c r="E1100" s="7">
        <v>0</v>
      </c>
      <c r="F1100" s="5">
        <v>45902</v>
      </c>
      <c r="G1100" s="4">
        <v>20250901</v>
      </c>
      <c r="H1100" s="6" t="s">
        <v>30</v>
      </c>
      <c r="I1100" s="8" t="s">
        <v>9</v>
      </c>
      <c r="J1100" s="6" t="s">
        <v>356</v>
      </c>
    </row>
    <row r="1101" spans="1:10">
      <c r="A1101" s="9">
        <v>322</v>
      </c>
      <c r="B1101" s="10">
        <v>2443</v>
      </c>
      <c r="C1101" s="3">
        <v>720000</v>
      </c>
      <c r="D1101" s="3">
        <v>720000</v>
      </c>
      <c r="E1101" s="7">
        <v>0</v>
      </c>
      <c r="F1101" s="5">
        <v>45902</v>
      </c>
      <c r="G1101" s="4">
        <v>20250901</v>
      </c>
      <c r="H1101" s="6" t="s">
        <v>30</v>
      </c>
      <c r="I1101" s="8" t="s">
        <v>9</v>
      </c>
      <c r="J1101" s="6" t="s">
        <v>361</v>
      </c>
    </row>
    <row r="1102" spans="1:10">
      <c r="A1102" s="9">
        <v>360</v>
      </c>
      <c r="B1102" s="10">
        <v>2855</v>
      </c>
      <c r="C1102" s="3">
        <v>290000</v>
      </c>
      <c r="D1102" s="3">
        <v>290000</v>
      </c>
      <c r="E1102" s="7">
        <v>0</v>
      </c>
      <c r="F1102" s="5">
        <v>45902</v>
      </c>
      <c r="G1102" s="4">
        <v>20250901</v>
      </c>
      <c r="H1102" s="6" t="s">
        <v>30</v>
      </c>
      <c r="I1102" s="8" t="s">
        <v>9</v>
      </c>
      <c r="J1102" s="6" t="s">
        <v>362</v>
      </c>
    </row>
    <row r="1103" spans="1:10">
      <c r="A1103" s="9">
        <v>848</v>
      </c>
      <c r="B1103" s="10">
        <v>4739</v>
      </c>
      <c r="C1103" s="3">
        <v>50000</v>
      </c>
      <c r="D1103" s="3">
        <v>50000</v>
      </c>
      <c r="E1103" s="7">
        <v>0</v>
      </c>
      <c r="F1103" s="5">
        <v>45902</v>
      </c>
      <c r="G1103" s="4">
        <v>20250901</v>
      </c>
      <c r="H1103" s="6" t="s">
        <v>30</v>
      </c>
      <c r="I1103" s="8" t="s">
        <v>9</v>
      </c>
      <c r="J1103" s="6" t="s">
        <v>72</v>
      </c>
    </row>
    <row r="1104" spans="1:10">
      <c r="A1104" s="9">
        <v>289</v>
      </c>
      <c r="B1104" s="10">
        <v>4593</v>
      </c>
      <c r="C1104" s="3">
        <v>2200000</v>
      </c>
      <c r="D1104" s="3">
        <v>2200000</v>
      </c>
      <c r="E1104" s="7">
        <v>0</v>
      </c>
      <c r="F1104" s="5">
        <v>45903</v>
      </c>
      <c r="G1104" s="4">
        <v>20250902</v>
      </c>
      <c r="H1104" s="6" t="s">
        <v>30</v>
      </c>
      <c r="I1104" s="8" t="s">
        <v>9</v>
      </c>
      <c r="J1104" s="6" t="s">
        <v>121</v>
      </c>
    </row>
    <row r="1105" spans="1:10">
      <c r="A1105" s="9">
        <v>457</v>
      </c>
      <c r="B1105" s="10">
        <v>9004</v>
      </c>
      <c r="C1105" s="3">
        <v>4774000</v>
      </c>
      <c r="D1105" s="3">
        <v>4774000</v>
      </c>
      <c r="E1105" s="7">
        <v>0</v>
      </c>
      <c r="F1105" s="5">
        <v>45903</v>
      </c>
      <c r="G1105" s="4">
        <v>20250902</v>
      </c>
      <c r="H1105" s="6" t="s">
        <v>24</v>
      </c>
      <c r="I1105" s="8" t="s">
        <v>9</v>
      </c>
      <c r="J1105" s="6" t="s">
        <v>253</v>
      </c>
    </row>
    <row r="1106" spans="1:10">
      <c r="A1106" s="9">
        <v>42</v>
      </c>
      <c r="B1106" s="10">
        <v>7886</v>
      </c>
      <c r="C1106" s="3">
        <v>780000</v>
      </c>
      <c r="D1106" s="3">
        <v>780000</v>
      </c>
      <c r="E1106" s="7">
        <v>0</v>
      </c>
      <c r="F1106" s="5">
        <v>45904</v>
      </c>
      <c r="G1106" s="4">
        <v>20250903</v>
      </c>
      <c r="H1106" s="6" t="s">
        <v>30</v>
      </c>
      <c r="I1106" s="8" t="s">
        <v>9</v>
      </c>
      <c r="J1106" s="6" t="s">
        <v>227</v>
      </c>
    </row>
    <row r="1107" spans="1:10">
      <c r="A1107" s="9">
        <v>845</v>
      </c>
      <c r="B1107" s="10">
        <v>4007</v>
      </c>
      <c r="C1107" s="3">
        <v>40000</v>
      </c>
      <c r="D1107" s="3">
        <v>40000</v>
      </c>
      <c r="E1107" s="7">
        <v>0</v>
      </c>
      <c r="F1107" s="5">
        <v>45904</v>
      </c>
      <c r="G1107" s="4">
        <v>20250903</v>
      </c>
      <c r="H1107" s="6" t="s">
        <v>30</v>
      </c>
      <c r="I1107" s="8" t="s">
        <v>9</v>
      </c>
      <c r="J1107" s="6" t="s">
        <v>363</v>
      </c>
    </row>
    <row r="1108" spans="1:10">
      <c r="A1108" s="9">
        <v>957</v>
      </c>
      <c r="B1108" s="10">
        <v>9513</v>
      </c>
      <c r="C1108" s="3">
        <v>2620000</v>
      </c>
      <c r="D1108" s="3">
        <v>2620000</v>
      </c>
      <c r="E1108" s="7">
        <v>0</v>
      </c>
      <c r="F1108" s="5">
        <v>45904</v>
      </c>
      <c r="G1108" s="4">
        <v>20250903</v>
      </c>
      <c r="H1108" s="6" t="s">
        <v>24</v>
      </c>
      <c r="I1108" s="8" t="s">
        <v>9</v>
      </c>
      <c r="J1108" s="6" t="s">
        <v>358</v>
      </c>
    </row>
    <row r="1109" spans="1:10">
      <c r="A1109" s="9">
        <v>825</v>
      </c>
      <c r="B1109" s="10">
        <v>5023</v>
      </c>
      <c r="C1109" s="3">
        <v>610000</v>
      </c>
      <c r="D1109" s="3">
        <v>610000</v>
      </c>
      <c r="E1109" s="7">
        <v>0</v>
      </c>
      <c r="F1109" s="5">
        <v>45904</v>
      </c>
      <c r="G1109" s="4">
        <v>20250903</v>
      </c>
      <c r="H1109" s="6" t="s">
        <v>24</v>
      </c>
      <c r="I1109" s="8" t="s">
        <v>9</v>
      </c>
      <c r="J1109" s="6" t="s">
        <v>162</v>
      </c>
    </row>
    <row r="1110" spans="1:10">
      <c r="A1110" s="9">
        <v>957</v>
      </c>
      <c r="B1110" s="10">
        <v>9513</v>
      </c>
      <c r="C1110" s="3">
        <v>1560000</v>
      </c>
      <c r="D1110" s="3">
        <v>1560000</v>
      </c>
      <c r="E1110" s="7">
        <v>0</v>
      </c>
      <c r="F1110" s="5">
        <v>45905</v>
      </c>
      <c r="G1110" s="4">
        <v>20250904</v>
      </c>
      <c r="H1110" s="6" t="s">
        <v>24</v>
      </c>
      <c r="I1110" s="8" t="s">
        <v>9</v>
      </c>
      <c r="J1110" s="6" t="s">
        <v>358</v>
      </c>
    </row>
    <row r="1111" spans="1:10">
      <c r="A1111" s="9">
        <v>154</v>
      </c>
      <c r="B1111" s="10">
        <v>5041</v>
      </c>
      <c r="C1111" s="3">
        <v>130000</v>
      </c>
      <c r="D1111" s="3">
        <v>130000</v>
      </c>
      <c r="E1111" s="7">
        <v>0</v>
      </c>
      <c r="F1111" s="5">
        <v>45905</v>
      </c>
      <c r="G1111" s="4">
        <v>20250904</v>
      </c>
      <c r="H1111" s="6" t="s">
        <v>24</v>
      </c>
      <c r="I1111" s="8" t="s">
        <v>9</v>
      </c>
      <c r="J1111" s="6" t="s">
        <v>364</v>
      </c>
    </row>
    <row r="1112" spans="1:10">
      <c r="A1112" s="9">
        <v>481</v>
      </c>
      <c r="B1112" s="10">
        <v>1009</v>
      </c>
      <c r="C1112" s="3">
        <v>420000</v>
      </c>
      <c r="D1112" s="3">
        <v>420000</v>
      </c>
      <c r="E1112" s="7">
        <v>0</v>
      </c>
      <c r="F1112" s="5">
        <v>45908</v>
      </c>
      <c r="G1112" s="4">
        <v>20250905</v>
      </c>
      <c r="H1112" s="6" t="s">
        <v>30</v>
      </c>
      <c r="I1112" s="8"/>
      <c r="J1112" s="6" t="s">
        <v>365</v>
      </c>
    </row>
    <row r="1113" spans="1:10">
      <c r="A1113" s="9">
        <v>287</v>
      </c>
      <c r="B1113" s="10">
        <v>906</v>
      </c>
      <c r="C1113" s="3">
        <v>100000</v>
      </c>
      <c r="D1113" s="3">
        <v>100000</v>
      </c>
      <c r="E1113" s="7">
        <v>0</v>
      </c>
      <c r="F1113" s="5">
        <v>45908</v>
      </c>
      <c r="G1113" s="4">
        <v>20250907</v>
      </c>
      <c r="H1113" s="6" t="s">
        <v>30</v>
      </c>
      <c r="I1113" s="8" t="s">
        <v>9</v>
      </c>
      <c r="J1113" s="6" t="s">
        <v>366</v>
      </c>
    </row>
    <row r="1114" spans="1:10">
      <c r="A1114" s="9">
        <v>492</v>
      </c>
      <c r="B1114" s="10">
        <v>6238</v>
      </c>
      <c r="C1114" s="3">
        <v>6250000</v>
      </c>
      <c r="D1114" s="3">
        <v>6250000</v>
      </c>
      <c r="E1114" s="7">
        <v>0</v>
      </c>
      <c r="F1114" s="5">
        <v>45908</v>
      </c>
      <c r="G1114" s="4">
        <v>20250907</v>
      </c>
      <c r="H1114" s="6" t="s">
        <v>30</v>
      </c>
      <c r="I1114" s="8" t="s">
        <v>9</v>
      </c>
      <c r="J1114" s="6" t="s">
        <v>73</v>
      </c>
    </row>
    <row r="1115" spans="1:10">
      <c r="A1115" s="9">
        <v>457</v>
      </c>
      <c r="B1115" s="10">
        <v>9004</v>
      </c>
      <c r="C1115" s="3">
        <v>3405000</v>
      </c>
      <c r="D1115" s="3">
        <v>3405000</v>
      </c>
      <c r="E1115" s="7">
        <v>0</v>
      </c>
      <c r="F1115" s="5">
        <v>45908</v>
      </c>
      <c r="G1115" s="4">
        <v>20250907</v>
      </c>
      <c r="H1115" s="6" t="s">
        <v>24</v>
      </c>
      <c r="I1115" s="8" t="s">
        <v>9</v>
      </c>
      <c r="J1115" s="6" t="s">
        <v>253</v>
      </c>
    </row>
    <row r="1116" spans="1:10">
      <c r="A1116" s="9">
        <v>19</v>
      </c>
      <c r="B1116" s="10">
        <v>5078</v>
      </c>
      <c r="C1116" s="3">
        <v>1942000</v>
      </c>
      <c r="D1116" s="3">
        <v>1942000</v>
      </c>
      <c r="E1116" s="7">
        <v>0</v>
      </c>
      <c r="F1116" s="5">
        <v>45908</v>
      </c>
      <c r="G1116" s="4">
        <v>20250907</v>
      </c>
      <c r="H1116" s="6" t="s">
        <v>24</v>
      </c>
      <c r="I1116" s="8" t="s">
        <v>9</v>
      </c>
      <c r="J1116" s="6" t="s">
        <v>367</v>
      </c>
    </row>
    <row r="1117" spans="1:10">
      <c r="A1117" s="9">
        <v>229</v>
      </c>
      <c r="B1117" s="10">
        <v>9605</v>
      </c>
      <c r="C1117" s="3">
        <v>2350</v>
      </c>
      <c r="D1117" s="3">
        <v>2350</v>
      </c>
      <c r="E1117" s="7">
        <v>0</v>
      </c>
      <c r="F1117" s="5">
        <v>45909</v>
      </c>
      <c r="G1117" s="4">
        <v>20250908</v>
      </c>
      <c r="H1117" s="6" t="s">
        <v>24</v>
      </c>
      <c r="I1117" s="8"/>
      <c r="J1117" s="6" t="s">
        <v>153</v>
      </c>
    </row>
    <row r="1118" spans="1:10">
      <c r="A1118" s="9">
        <v>267</v>
      </c>
      <c r="B1118" s="10">
        <v>6186</v>
      </c>
      <c r="C1118" s="3">
        <v>2385000</v>
      </c>
      <c r="D1118" s="3">
        <v>2385000</v>
      </c>
      <c r="E1118" s="7">
        <v>0</v>
      </c>
      <c r="F1118" s="5">
        <v>45909</v>
      </c>
      <c r="G1118" s="4">
        <v>20250908</v>
      </c>
      <c r="H1118" s="6" t="s">
        <v>24</v>
      </c>
      <c r="I1118" s="8" t="s">
        <v>9</v>
      </c>
      <c r="J1118" s="6" t="s">
        <v>300</v>
      </c>
    </row>
    <row r="1119" spans="1:10">
      <c r="A1119" s="9">
        <v>77</v>
      </c>
      <c r="B1119" s="10">
        <v>5204</v>
      </c>
      <c r="C1119" s="3">
        <v>1340000</v>
      </c>
      <c r="D1119" s="3">
        <v>1340000</v>
      </c>
      <c r="E1119" s="7">
        <v>0</v>
      </c>
      <c r="F1119" s="5">
        <v>45909</v>
      </c>
      <c r="G1119" s="4">
        <v>20250908</v>
      </c>
      <c r="H1119" s="6" t="s">
        <v>24</v>
      </c>
      <c r="I1119" s="8" t="s">
        <v>9</v>
      </c>
      <c r="J1119" s="6" t="s">
        <v>368</v>
      </c>
    </row>
    <row r="1120" spans="1:10">
      <c r="A1120" s="9">
        <v>154</v>
      </c>
      <c r="B1120" s="10">
        <v>5041</v>
      </c>
      <c r="C1120" s="3">
        <v>710000</v>
      </c>
      <c r="D1120" s="3">
        <v>710000</v>
      </c>
      <c r="E1120" s="7">
        <v>0</v>
      </c>
      <c r="F1120" s="5">
        <v>45909</v>
      </c>
      <c r="G1120" s="4">
        <v>20250908</v>
      </c>
      <c r="H1120" s="6" t="s">
        <v>24</v>
      </c>
      <c r="I1120" s="8" t="s">
        <v>9</v>
      </c>
      <c r="J1120" s="6" t="s">
        <v>364</v>
      </c>
    </row>
    <row r="1121" spans="1:10">
      <c r="A1121" s="9">
        <v>229</v>
      </c>
      <c r="B1121" s="10">
        <v>8956</v>
      </c>
      <c r="C1121" s="3">
        <v>1100000</v>
      </c>
      <c r="D1121" s="3">
        <v>1100000</v>
      </c>
      <c r="E1121" s="7">
        <v>0</v>
      </c>
      <c r="F1121" s="5">
        <v>45910</v>
      </c>
      <c r="G1121" s="4">
        <v>20250909</v>
      </c>
      <c r="H1121" s="6" t="s">
        <v>30</v>
      </c>
      <c r="I1121" s="8" t="s">
        <v>9</v>
      </c>
      <c r="J1121" s="6" t="s">
        <v>260</v>
      </c>
    </row>
    <row r="1122" spans="1:10">
      <c r="A1122" s="9">
        <v>297</v>
      </c>
      <c r="B1122" s="10">
        <v>5398</v>
      </c>
      <c r="C1122" s="3">
        <v>650000</v>
      </c>
      <c r="D1122" s="3">
        <v>650000</v>
      </c>
      <c r="E1122" s="7">
        <v>0</v>
      </c>
      <c r="F1122" s="5">
        <v>45910</v>
      </c>
      <c r="G1122" s="4">
        <v>20250909</v>
      </c>
      <c r="H1122" s="6" t="s">
        <v>30</v>
      </c>
      <c r="I1122" s="8" t="s">
        <v>9</v>
      </c>
      <c r="J1122" s="6" t="s">
        <v>312</v>
      </c>
    </row>
    <row r="1123" spans="1:10">
      <c r="A1123" s="9">
        <v>492</v>
      </c>
      <c r="B1123" s="10">
        <v>6238</v>
      </c>
      <c r="C1123" s="3">
        <v>50000</v>
      </c>
      <c r="D1123" s="3">
        <v>50000</v>
      </c>
      <c r="E1123" s="7">
        <v>0</v>
      </c>
      <c r="F1123" s="5">
        <v>45910</v>
      </c>
      <c r="G1123" s="4">
        <v>20250909</v>
      </c>
      <c r="H1123" s="6" t="s">
        <v>30</v>
      </c>
      <c r="I1123" s="8" t="s">
        <v>9</v>
      </c>
      <c r="J1123" s="6" t="s">
        <v>73</v>
      </c>
    </row>
    <row r="1124" spans="1:10">
      <c r="A1124" s="9">
        <v>724</v>
      </c>
      <c r="B1124" s="10">
        <v>6894</v>
      </c>
      <c r="C1124" s="3">
        <v>200000</v>
      </c>
      <c r="D1124" s="3">
        <v>200000</v>
      </c>
      <c r="E1124" s="7">
        <v>0</v>
      </c>
      <c r="F1124" s="5">
        <v>45910</v>
      </c>
      <c r="G1124" s="4">
        <v>20250909</v>
      </c>
      <c r="H1124" s="6" t="s">
        <v>30</v>
      </c>
      <c r="I1124" s="8" t="s">
        <v>9</v>
      </c>
      <c r="J1124" s="6" t="s">
        <v>369</v>
      </c>
    </row>
    <row r="1125" spans="1:10">
      <c r="A1125" s="9">
        <v>166</v>
      </c>
      <c r="B1125" s="10">
        <v>7940</v>
      </c>
      <c r="C1125" s="3">
        <v>2940000</v>
      </c>
      <c r="D1125" s="3">
        <v>2940000</v>
      </c>
      <c r="E1125" s="7">
        <v>0</v>
      </c>
      <c r="F1125" s="5">
        <v>45910</v>
      </c>
      <c r="G1125" s="4">
        <v>20250909</v>
      </c>
      <c r="H1125" s="6" t="s">
        <v>24</v>
      </c>
      <c r="I1125" s="8" t="s">
        <v>9</v>
      </c>
      <c r="J1125" s="6" t="s">
        <v>55</v>
      </c>
    </row>
    <row r="1126" spans="1:10">
      <c r="A1126" s="9">
        <v>154</v>
      </c>
      <c r="B1126" s="10">
        <v>5041</v>
      </c>
      <c r="C1126" s="3">
        <v>1900000</v>
      </c>
      <c r="D1126" s="3">
        <v>1900000</v>
      </c>
      <c r="E1126" s="7">
        <v>0</v>
      </c>
      <c r="F1126" s="5">
        <v>45910</v>
      </c>
      <c r="G1126" s="4">
        <v>20250909</v>
      </c>
      <c r="H1126" s="6" t="s">
        <v>24</v>
      </c>
      <c r="I1126" s="8" t="s">
        <v>9</v>
      </c>
      <c r="J1126" s="6" t="s">
        <v>364</v>
      </c>
    </row>
    <row r="1127" spans="1:10">
      <c r="A1127" s="9">
        <v>781</v>
      </c>
      <c r="B1127" s="10">
        <v>5057</v>
      </c>
      <c r="C1127" s="3">
        <v>1395000</v>
      </c>
      <c r="D1127" s="3">
        <v>1395000</v>
      </c>
      <c r="E1127" s="7">
        <v>0</v>
      </c>
      <c r="F1127" s="5">
        <v>45910</v>
      </c>
      <c r="G1127" s="4">
        <v>20250909</v>
      </c>
      <c r="H1127" s="6" t="s">
        <v>24</v>
      </c>
      <c r="I1127" s="8" t="s">
        <v>9</v>
      </c>
      <c r="J1127" s="6" t="s">
        <v>370</v>
      </c>
    </row>
    <row r="1128" spans="1:10">
      <c r="A1128" s="9">
        <v>77</v>
      </c>
      <c r="B1128" s="10">
        <v>5204</v>
      </c>
      <c r="C1128" s="3">
        <v>250000</v>
      </c>
      <c r="D1128" s="3">
        <v>250000</v>
      </c>
      <c r="E1128" s="7">
        <v>0</v>
      </c>
      <c r="F1128" s="5">
        <v>45910</v>
      </c>
      <c r="G1128" s="4">
        <v>20250909</v>
      </c>
      <c r="H1128" s="6" t="s">
        <v>24</v>
      </c>
      <c r="I1128" s="8" t="s">
        <v>9</v>
      </c>
      <c r="J1128" s="6" t="s">
        <v>368</v>
      </c>
    </row>
    <row r="1129" spans="1:10">
      <c r="A1129" s="9">
        <v>4</v>
      </c>
      <c r="B1129" s="10">
        <v>8628</v>
      </c>
      <c r="C1129" s="3">
        <v>120000</v>
      </c>
      <c r="D1129" s="3">
        <v>120000</v>
      </c>
      <c r="E1129" s="7">
        <v>0</v>
      </c>
      <c r="F1129" s="5">
        <v>45911</v>
      </c>
      <c r="G1129" s="4">
        <v>20250910</v>
      </c>
      <c r="H1129" s="6" t="s">
        <v>30</v>
      </c>
      <c r="I1129" s="8"/>
      <c r="J1129" s="6" t="s">
        <v>371</v>
      </c>
    </row>
    <row r="1130" spans="1:10">
      <c r="A1130" s="9">
        <v>426</v>
      </c>
      <c r="B1130" s="10">
        <v>7819</v>
      </c>
      <c r="C1130" s="3">
        <v>100000</v>
      </c>
      <c r="D1130" s="3">
        <v>100000</v>
      </c>
      <c r="E1130" s="7">
        <v>0</v>
      </c>
      <c r="F1130" s="5">
        <v>45911</v>
      </c>
      <c r="G1130" s="4">
        <v>20250910</v>
      </c>
      <c r="H1130" s="6" t="s">
        <v>30</v>
      </c>
      <c r="I1130" s="8" t="s">
        <v>9</v>
      </c>
      <c r="J1130" s="6" t="s">
        <v>341</v>
      </c>
    </row>
    <row r="1131" spans="1:10">
      <c r="A1131" s="9">
        <v>229</v>
      </c>
      <c r="B1131" s="10">
        <v>9605</v>
      </c>
      <c r="C1131" s="3">
        <v>40100</v>
      </c>
      <c r="D1131" s="3">
        <v>40100</v>
      </c>
      <c r="E1131" s="7">
        <v>0</v>
      </c>
      <c r="F1131" s="5">
        <v>45911</v>
      </c>
      <c r="G1131" s="4">
        <v>20250910</v>
      </c>
      <c r="H1131" s="6" t="s">
        <v>24</v>
      </c>
      <c r="I1131" s="8"/>
      <c r="J1131" s="6" t="s">
        <v>153</v>
      </c>
    </row>
    <row r="1132" spans="1:10">
      <c r="A1132" s="9">
        <v>866</v>
      </c>
      <c r="B1132" s="10">
        <v>8662</v>
      </c>
      <c r="C1132" s="3">
        <v>2470000</v>
      </c>
      <c r="D1132" s="3">
        <v>2470000</v>
      </c>
      <c r="E1132" s="7">
        <v>0</v>
      </c>
      <c r="F1132" s="5">
        <v>45911</v>
      </c>
      <c r="G1132" s="4">
        <v>20250910</v>
      </c>
      <c r="H1132" s="6" t="s">
        <v>24</v>
      </c>
      <c r="I1132" s="8" t="s">
        <v>9</v>
      </c>
      <c r="J1132" s="6" t="s">
        <v>131</v>
      </c>
    </row>
    <row r="1133" spans="1:10">
      <c r="A1133" s="9">
        <v>509</v>
      </c>
      <c r="B1133" s="10">
        <v>8835</v>
      </c>
      <c r="C1133" s="3">
        <v>1725000</v>
      </c>
      <c r="D1133" s="3">
        <v>1725000</v>
      </c>
      <c r="E1133" s="7">
        <v>0</v>
      </c>
      <c r="F1133" s="5">
        <v>45911</v>
      </c>
      <c r="G1133" s="4">
        <v>20250910</v>
      </c>
      <c r="H1133" s="6" t="s">
        <v>24</v>
      </c>
      <c r="I1133" s="8" t="s">
        <v>9</v>
      </c>
      <c r="J1133" s="6" t="s">
        <v>165</v>
      </c>
    </row>
    <row r="1134" spans="1:10">
      <c r="A1134" s="9">
        <v>793</v>
      </c>
      <c r="B1134" s="10">
        <v>5216</v>
      </c>
      <c r="C1134" s="3">
        <v>1390000</v>
      </c>
      <c r="D1134" s="3">
        <v>1390000</v>
      </c>
      <c r="E1134" s="7">
        <v>0</v>
      </c>
      <c r="F1134" s="5">
        <v>45911</v>
      </c>
      <c r="G1134" s="4">
        <v>20250910</v>
      </c>
      <c r="H1134" s="6" t="s">
        <v>24</v>
      </c>
      <c r="I1134" s="8" t="s">
        <v>9</v>
      </c>
      <c r="J1134" s="6" t="s">
        <v>127</v>
      </c>
    </row>
    <row r="1135" spans="1:10">
      <c r="A1135" s="9">
        <v>781</v>
      </c>
      <c r="B1135" s="10">
        <v>5057</v>
      </c>
      <c r="C1135" s="3">
        <v>730000</v>
      </c>
      <c r="D1135" s="3">
        <v>730000</v>
      </c>
      <c r="E1135" s="7">
        <v>0</v>
      </c>
      <c r="F1135" s="5">
        <v>45911</v>
      </c>
      <c r="G1135" s="4">
        <v>20250910</v>
      </c>
      <c r="H1135" s="6" t="s">
        <v>24</v>
      </c>
      <c r="I1135" s="8" t="s">
        <v>9</v>
      </c>
      <c r="J1135" s="6" t="s">
        <v>370</v>
      </c>
    </row>
    <row r="1136" spans="1:10">
      <c r="A1136" s="9">
        <v>292</v>
      </c>
      <c r="B1136" s="10">
        <v>5116</v>
      </c>
      <c r="C1136" s="3">
        <v>555000</v>
      </c>
      <c r="D1136" s="3">
        <v>555000</v>
      </c>
      <c r="E1136" s="7">
        <v>0</v>
      </c>
      <c r="F1136" s="5">
        <v>45911</v>
      </c>
      <c r="G1136" s="4">
        <v>20250910</v>
      </c>
      <c r="H1136" s="6" t="s">
        <v>24</v>
      </c>
      <c r="I1136" s="8" t="s">
        <v>9</v>
      </c>
      <c r="J1136" s="6" t="s">
        <v>372</v>
      </c>
    </row>
    <row r="1137" spans="1:10">
      <c r="A1137" s="9">
        <v>267</v>
      </c>
      <c r="B1137" s="10">
        <v>6186</v>
      </c>
      <c r="C1137" s="3">
        <v>545000</v>
      </c>
      <c r="D1137" s="3">
        <v>545000</v>
      </c>
      <c r="E1137" s="7">
        <v>0</v>
      </c>
      <c r="F1137" s="5">
        <v>45911</v>
      </c>
      <c r="G1137" s="4">
        <v>20250910</v>
      </c>
      <c r="H1137" s="6" t="s">
        <v>24</v>
      </c>
      <c r="I1137" s="8" t="s">
        <v>9</v>
      </c>
      <c r="J1137" s="6" t="s">
        <v>300</v>
      </c>
    </row>
    <row r="1138" spans="1:10">
      <c r="A1138" s="9">
        <v>115</v>
      </c>
      <c r="B1138" s="10">
        <v>5080</v>
      </c>
      <c r="C1138" s="3">
        <v>20000</v>
      </c>
      <c r="D1138" s="3">
        <v>20000</v>
      </c>
      <c r="E1138" s="7">
        <v>0</v>
      </c>
      <c r="F1138" s="5">
        <v>45911</v>
      </c>
      <c r="G1138" s="4">
        <v>20250910</v>
      </c>
      <c r="H1138" s="6" t="s">
        <v>24</v>
      </c>
      <c r="I1138" s="8" t="s">
        <v>10</v>
      </c>
      <c r="J1138" s="6" t="s">
        <v>263</v>
      </c>
    </row>
    <row r="1139" spans="1:10">
      <c r="A1139" s="9">
        <v>571</v>
      </c>
      <c r="B1139" s="9">
        <v>6150</v>
      </c>
      <c r="C1139" s="3">
        <v>640000</v>
      </c>
      <c r="D1139" s="3">
        <v>640000</v>
      </c>
      <c r="E1139" s="7">
        <v>0</v>
      </c>
      <c r="F1139" s="5">
        <v>45881</v>
      </c>
      <c r="G1139" s="4">
        <v>20250811</v>
      </c>
      <c r="H1139" s="6" t="s">
        <v>24</v>
      </c>
      <c r="I1139" s="8" t="s">
        <v>9</v>
      </c>
      <c r="J1139" s="6" t="s">
        <v>249</v>
      </c>
    </row>
    <row r="1140" spans="1:10">
      <c r="A1140" s="9">
        <v>8</v>
      </c>
      <c r="B1140" s="10">
        <v>7272</v>
      </c>
      <c r="C1140" s="3">
        <v>143000</v>
      </c>
      <c r="D1140" s="3">
        <v>143000</v>
      </c>
      <c r="E1140" s="7">
        <v>0</v>
      </c>
      <c r="F1140" s="5">
        <v>45891</v>
      </c>
      <c r="G1140" s="4">
        <v>20250821</v>
      </c>
      <c r="H1140" s="6" t="s">
        <v>24</v>
      </c>
      <c r="I1140" s="8"/>
      <c r="J1140" s="6" t="s">
        <v>373</v>
      </c>
    </row>
    <row r="1141" spans="1:10">
      <c r="A1141" s="9">
        <v>571</v>
      </c>
      <c r="B1141" s="10">
        <v>6150</v>
      </c>
      <c r="C1141" s="3">
        <v>890000</v>
      </c>
      <c r="D1141" s="3">
        <v>890000</v>
      </c>
      <c r="E1141" s="7">
        <v>0</v>
      </c>
      <c r="F1141" s="5">
        <v>45891</v>
      </c>
      <c r="G1141" s="4">
        <v>20250821</v>
      </c>
      <c r="H1141" s="6" t="s">
        <v>24</v>
      </c>
      <c r="I1141" s="8" t="s">
        <v>9</v>
      </c>
      <c r="J1141" s="6" t="s">
        <v>249</v>
      </c>
    </row>
    <row r="1142" spans="1:10">
      <c r="A1142" s="9">
        <v>15</v>
      </c>
      <c r="B1142" s="10">
        <v>8576</v>
      </c>
      <c r="C1142" s="3">
        <v>1880000</v>
      </c>
      <c r="D1142" s="3">
        <v>1880000</v>
      </c>
      <c r="E1142" s="7">
        <v>0</v>
      </c>
      <c r="F1142" s="5">
        <v>45891</v>
      </c>
      <c r="G1142" s="4">
        <v>20250821</v>
      </c>
      <c r="H1142" s="6" t="s">
        <v>24</v>
      </c>
      <c r="I1142" s="8" t="s">
        <v>9</v>
      </c>
      <c r="J1142" s="6" t="s">
        <v>114</v>
      </c>
    </row>
    <row r="1143" spans="1:10">
      <c r="A1143" s="9">
        <v>15</v>
      </c>
      <c r="B1143" s="10">
        <v>8577</v>
      </c>
      <c r="C1143" s="3">
        <v>450000</v>
      </c>
      <c r="D1143" s="3">
        <v>450000</v>
      </c>
      <c r="E1143" s="7">
        <v>0</v>
      </c>
      <c r="F1143" s="5">
        <v>45894</v>
      </c>
      <c r="G1143" s="4">
        <v>20250824</v>
      </c>
      <c r="H1143" s="6" t="s">
        <v>24</v>
      </c>
      <c r="I1143" s="8" t="s">
        <v>9</v>
      </c>
      <c r="J1143" s="6" t="s">
        <v>374</v>
      </c>
    </row>
    <row r="1144" spans="1:10">
      <c r="A1144" s="9">
        <v>348</v>
      </c>
      <c r="B1144" s="10">
        <v>5649</v>
      </c>
      <c r="C1144" s="3">
        <v>20000</v>
      </c>
      <c r="D1144" s="3">
        <v>20000</v>
      </c>
      <c r="E1144" s="7">
        <v>0</v>
      </c>
      <c r="F1144" s="5">
        <v>45897</v>
      </c>
      <c r="G1144" s="4">
        <v>20250827</v>
      </c>
      <c r="H1144" s="6" t="s">
        <v>30</v>
      </c>
      <c r="I1144" s="8" t="s">
        <v>10</v>
      </c>
      <c r="J1144" s="6" t="s">
        <v>375</v>
      </c>
    </row>
    <row r="1145" spans="1:10">
      <c r="A1145" s="9">
        <v>262</v>
      </c>
      <c r="B1145" s="10">
        <v>5153</v>
      </c>
      <c r="C1145" s="3">
        <v>1240000</v>
      </c>
      <c r="D1145" s="3">
        <v>1240000</v>
      </c>
      <c r="E1145" s="7">
        <v>0</v>
      </c>
      <c r="F1145" s="5">
        <v>45898</v>
      </c>
      <c r="G1145" s="4">
        <v>20250828</v>
      </c>
      <c r="H1145" s="6" t="s">
        <v>24</v>
      </c>
      <c r="I1145" s="8" t="s">
        <v>9</v>
      </c>
      <c r="J1145" s="6" t="s">
        <v>52</v>
      </c>
    </row>
    <row r="1146" spans="1:10">
      <c r="A1146" s="9">
        <v>15</v>
      </c>
      <c r="B1146" s="10">
        <v>8577</v>
      </c>
      <c r="C1146" s="3">
        <v>240000</v>
      </c>
      <c r="D1146" s="3">
        <v>240000</v>
      </c>
      <c r="E1146" s="7">
        <v>0</v>
      </c>
      <c r="F1146" s="5">
        <v>45902</v>
      </c>
      <c r="G1146" s="4">
        <v>20250901</v>
      </c>
      <c r="H1146" s="6" t="s">
        <v>24</v>
      </c>
      <c r="I1146" s="8" t="s">
        <v>9</v>
      </c>
      <c r="J1146" s="6" t="s">
        <v>374</v>
      </c>
    </row>
    <row r="1147" spans="1:10">
      <c r="A1147" s="9">
        <v>658</v>
      </c>
      <c r="B1147" s="10">
        <v>6228</v>
      </c>
      <c r="C1147" s="3">
        <v>200000</v>
      </c>
      <c r="D1147" s="3">
        <v>200000</v>
      </c>
      <c r="E1147" s="7">
        <v>0</v>
      </c>
      <c r="F1147" s="5">
        <v>45902</v>
      </c>
      <c r="G1147" s="4">
        <v>20250901</v>
      </c>
      <c r="H1147" s="6" t="s">
        <v>30</v>
      </c>
      <c r="I1147" s="8" t="s">
        <v>9</v>
      </c>
      <c r="J1147" s="6" t="s">
        <v>203</v>
      </c>
    </row>
    <row r="1148" spans="1:10">
      <c r="A1148" s="9">
        <v>658</v>
      </c>
      <c r="B1148" s="10">
        <v>6228</v>
      </c>
      <c r="C1148" s="3">
        <v>280000</v>
      </c>
      <c r="D1148" s="3">
        <v>280000</v>
      </c>
      <c r="E1148" s="7">
        <v>0</v>
      </c>
      <c r="F1148" s="5">
        <v>45903</v>
      </c>
      <c r="G1148" s="4">
        <v>20250902</v>
      </c>
      <c r="H1148" s="6" t="s">
        <v>30</v>
      </c>
      <c r="I1148" s="8" t="s">
        <v>9</v>
      </c>
      <c r="J1148" s="6" t="s">
        <v>203</v>
      </c>
    </row>
    <row r="1149" spans="1:10">
      <c r="A1149" s="9">
        <v>571</v>
      </c>
      <c r="B1149" s="10">
        <v>6150</v>
      </c>
      <c r="C1149" s="3">
        <v>2230000</v>
      </c>
      <c r="D1149" s="3">
        <v>2230000</v>
      </c>
      <c r="E1149" s="7">
        <v>0</v>
      </c>
      <c r="F1149" s="5">
        <v>45903</v>
      </c>
      <c r="G1149" s="4">
        <v>20250902</v>
      </c>
      <c r="H1149" s="6" t="s">
        <v>24</v>
      </c>
      <c r="I1149" s="8" t="s">
        <v>9</v>
      </c>
      <c r="J1149" s="6" t="s">
        <v>249</v>
      </c>
    </row>
    <row r="1150" spans="1:10">
      <c r="A1150" s="9">
        <v>225</v>
      </c>
      <c r="B1150" s="10">
        <v>8868</v>
      </c>
      <c r="C1150" s="3">
        <v>3070000</v>
      </c>
      <c r="D1150" s="3">
        <v>3070000</v>
      </c>
      <c r="E1150" s="7">
        <v>0</v>
      </c>
      <c r="F1150" s="5">
        <v>45903</v>
      </c>
      <c r="G1150" s="4">
        <v>20250902</v>
      </c>
      <c r="H1150" s="6" t="s">
        <v>24</v>
      </c>
      <c r="I1150" s="8" t="s">
        <v>9</v>
      </c>
      <c r="J1150" s="6" t="s">
        <v>376</v>
      </c>
    </row>
    <row r="1151" spans="1:10">
      <c r="A1151" s="9">
        <v>658</v>
      </c>
      <c r="B1151" s="10">
        <v>6228</v>
      </c>
      <c r="C1151" s="3">
        <v>340000</v>
      </c>
      <c r="D1151" s="3">
        <v>340000</v>
      </c>
      <c r="E1151" s="7">
        <v>0</v>
      </c>
      <c r="F1151" s="5">
        <v>45904</v>
      </c>
      <c r="G1151" s="4">
        <v>20250903</v>
      </c>
      <c r="H1151" s="6" t="s">
        <v>30</v>
      </c>
      <c r="I1151" s="8" t="s">
        <v>9</v>
      </c>
      <c r="J1151" s="6" t="s">
        <v>203</v>
      </c>
    </row>
    <row r="1152" spans="1:10">
      <c r="A1152" s="9">
        <v>15</v>
      </c>
      <c r="B1152" s="10">
        <v>8577</v>
      </c>
      <c r="C1152" s="3">
        <v>1960000</v>
      </c>
      <c r="D1152" s="3">
        <v>1960000</v>
      </c>
      <c r="E1152" s="7">
        <v>0</v>
      </c>
      <c r="F1152" s="5">
        <v>45904</v>
      </c>
      <c r="G1152" s="4">
        <v>20250903</v>
      </c>
      <c r="H1152" s="6" t="s">
        <v>24</v>
      </c>
      <c r="I1152" s="8" t="s">
        <v>9</v>
      </c>
      <c r="J1152" s="6" t="s">
        <v>374</v>
      </c>
    </row>
    <row r="1153" spans="1:10">
      <c r="A1153" s="9">
        <v>262</v>
      </c>
      <c r="B1153" s="10">
        <v>5153</v>
      </c>
      <c r="C1153" s="3">
        <v>1735000</v>
      </c>
      <c r="D1153" s="3">
        <v>1735000</v>
      </c>
      <c r="E1153" s="7">
        <v>0</v>
      </c>
      <c r="F1153" s="5">
        <v>45904</v>
      </c>
      <c r="G1153" s="4">
        <v>20250903</v>
      </c>
      <c r="H1153" s="6" t="s">
        <v>24</v>
      </c>
      <c r="I1153" s="8" t="s">
        <v>9</v>
      </c>
      <c r="J1153" s="6" t="s">
        <v>52</v>
      </c>
    </row>
    <row r="1154" spans="1:10">
      <c r="A1154" s="9">
        <v>634</v>
      </c>
      <c r="B1154" s="10">
        <v>5087</v>
      </c>
      <c r="C1154" s="3">
        <v>100000</v>
      </c>
      <c r="D1154" s="3">
        <v>100000</v>
      </c>
      <c r="E1154" s="7">
        <v>0</v>
      </c>
      <c r="F1154" s="5">
        <v>45904</v>
      </c>
      <c r="G1154" s="4">
        <v>20250903</v>
      </c>
      <c r="H1154" s="6" t="s">
        <v>24</v>
      </c>
      <c r="I1154" s="8" t="s">
        <v>9</v>
      </c>
      <c r="J1154" s="6" t="s">
        <v>183</v>
      </c>
    </row>
    <row r="1155" spans="1:10">
      <c r="A1155" s="9">
        <v>15</v>
      </c>
      <c r="B1155" s="10">
        <v>8577</v>
      </c>
      <c r="C1155" s="3">
        <v>3040000</v>
      </c>
      <c r="D1155" s="3">
        <v>3040000</v>
      </c>
      <c r="E1155" s="7">
        <v>0</v>
      </c>
      <c r="F1155" s="5">
        <v>45905</v>
      </c>
      <c r="G1155" s="4">
        <v>20250904</v>
      </c>
      <c r="H1155" s="6" t="s">
        <v>24</v>
      </c>
      <c r="I1155" s="8" t="s">
        <v>9</v>
      </c>
      <c r="J1155" s="6" t="s">
        <v>374</v>
      </c>
    </row>
    <row r="1156" spans="1:10">
      <c r="A1156" s="9">
        <v>57</v>
      </c>
      <c r="B1156" s="10">
        <v>9949</v>
      </c>
      <c r="C1156" s="3">
        <v>200000</v>
      </c>
      <c r="D1156" s="3">
        <v>200000</v>
      </c>
      <c r="E1156" s="7">
        <v>0</v>
      </c>
      <c r="F1156" s="5">
        <v>45908</v>
      </c>
      <c r="G1156" s="4">
        <v>20250907</v>
      </c>
      <c r="H1156" s="6" t="s">
        <v>30</v>
      </c>
      <c r="I1156" s="8" t="s">
        <v>9</v>
      </c>
      <c r="J1156" s="6" t="s">
        <v>377</v>
      </c>
    </row>
    <row r="1157" spans="1:10">
      <c r="A1157" s="9">
        <v>348</v>
      </c>
      <c r="B1157" s="10">
        <v>5649</v>
      </c>
      <c r="C1157" s="3">
        <v>1670000</v>
      </c>
      <c r="D1157" s="3">
        <v>1670000</v>
      </c>
      <c r="E1157" s="7">
        <v>0</v>
      </c>
      <c r="F1157" s="5">
        <v>45908</v>
      </c>
      <c r="G1157" s="4">
        <v>20250907</v>
      </c>
      <c r="H1157" s="6" t="s">
        <v>30</v>
      </c>
      <c r="I1157" s="8" t="s">
        <v>9</v>
      </c>
      <c r="J1157" s="6" t="s">
        <v>375</v>
      </c>
    </row>
    <row r="1158" spans="1:10">
      <c r="A1158" s="9">
        <v>454</v>
      </c>
      <c r="B1158" s="10">
        <v>1885</v>
      </c>
      <c r="C1158" s="3">
        <v>50000</v>
      </c>
      <c r="D1158" s="3">
        <v>50000</v>
      </c>
      <c r="E1158" s="7">
        <v>0</v>
      </c>
      <c r="F1158" s="5">
        <v>45908</v>
      </c>
      <c r="G1158" s="4">
        <v>20250907</v>
      </c>
      <c r="H1158" s="6" t="s">
        <v>30</v>
      </c>
      <c r="I1158" s="8" t="s">
        <v>9</v>
      </c>
      <c r="J1158" s="6" t="s">
        <v>378</v>
      </c>
    </row>
    <row r="1159" spans="1:10">
      <c r="A1159" s="9">
        <v>634</v>
      </c>
      <c r="B1159" s="10">
        <v>5087</v>
      </c>
      <c r="C1159" s="3">
        <v>3780000</v>
      </c>
      <c r="D1159" s="3">
        <v>3780000</v>
      </c>
      <c r="E1159" s="7">
        <v>0</v>
      </c>
      <c r="F1159" s="5">
        <v>45908</v>
      </c>
      <c r="G1159" s="4">
        <v>20250907</v>
      </c>
      <c r="H1159" s="6" t="s">
        <v>24</v>
      </c>
      <c r="I1159" s="8" t="s">
        <v>9</v>
      </c>
      <c r="J1159" s="6" t="s">
        <v>183</v>
      </c>
    </row>
    <row r="1160" spans="1:10">
      <c r="A1160" s="9">
        <v>728</v>
      </c>
      <c r="B1160" s="10">
        <v>8587</v>
      </c>
      <c r="C1160" s="3">
        <v>3600000</v>
      </c>
      <c r="D1160" s="3">
        <v>3600000</v>
      </c>
      <c r="E1160" s="7">
        <v>0</v>
      </c>
      <c r="F1160" s="5">
        <v>45908</v>
      </c>
      <c r="G1160" s="4">
        <v>20250907</v>
      </c>
      <c r="H1160" s="6" t="s">
        <v>24</v>
      </c>
      <c r="I1160" s="8" t="s">
        <v>9</v>
      </c>
      <c r="J1160" s="6" t="s">
        <v>130</v>
      </c>
    </row>
    <row r="1161" spans="1:10">
      <c r="A1161" s="9">
        <v>20</v>
      </c>
      <c r="B1161" s="10">
        <v>9204</v>
      </c>
      <c r="C1161" s="3">
        <v>2510000</v>
      </c>
      <c r="D1161" s="3">
        <v>2510000</v>
      </c>
      <c r="E1161" s="7">
        <v>0</v>
      </c>
      <c r="F1161" s="5">
        <v>45908</v>
      </c>
      <c r="G1161" s="4">
        <v>20250907</v>
      </c>
      <c r="H1161" s="6" t="s">
        <v>24</v>
      </c>
      <c r="I1161" s="8" t="s">
        <v>9</v>
      </c>
      <c r="J1161" s="6" t="s">
        <v>254</v>
      </c>
    </row>
    <row r="1162" spans="1:10">
      <c r="A1162" s="9">
        <v>455</v>
      </c>
      <c r="B1162" s="10">
        <v>5206</v>
      </c>
      <c r="C1162" s="3">
        <v>421000</v>
      </c>
      <c r="D1162" s="3">
        <v>421000</v>
      </c>
      <c r="E1162" s="7">
        <v>0</v>
      </c>
      <c r="F1162" s="5">
        <v>45908</v>
      </c>
      <c r="G1162" s="4">
        <v>20250907</v>
      </c>
      <c r="H1162" s="6" t="s">
        <v>24</v>
      </c>
      <c r="I1162" s="8" t="s">
        <v>9</v>
      </c>
      <c r="J1162" s="6" t="s">
        <v>94</v>
      </c>
    </row>
    <row r="1163" spans="1:10">
      <c r="A1163" s="9">
        <v>8</v>
      </c>
      <c r="B1163" s="10">
        <v>7272</v>
      </c>
      <c r="C1163" s="3">
        <v>48000</v>
      </c>
      <c r="D1163" s="3">
        <v>48000</v>
      </c>
      <c r="E1163" s="7">
        <v>0</v>
      </c>
      <c r="F1163" s="5">
        <v>45909</v>
      </c>
      <c r="G1163" s="4">
        <v>20250908</v>
      </c>
      <c r="H1163" s="6" t="s">
        <v>24</v>
      </c>
      <c r="I1163" s="8"/>
      <c r="J1163" s="6" t="s">
        <v>373</v>
      </c>
    </row>
    <row r="1164" spans="1:10">
      <c r="A1164" s="9">
        <v>225</v>
      </c>
      <c r="B1164" s="10">
        <v>8868</v>
      </c>
      <c r="C1164" s="3">
        <v>3310000</v>
      </c>
      <c r="D1164" s="3">
        <v>3310000</v>
      </c>
      <c r="E1164" s="7">
        <v>0</v>
      </c>
      <c r="F1164" s="5">
        <v>45909</v>
      </c>
      <c r="G1164" s="4">
        <v>20250908</v>
      </c>
      <c r="H1164" s="6" t="s">
        <v>24</v>
      </c>
      <c r="I1164" s="8" t="s">
        <v>9</v>
      </c>
      <c r="J1164" s="6" t="s">
        <v>376</v>
      </c>
    </row>
    <row r="1165" spans="1:10">
      <c r="A1165" s="9">
        <v>57</v>
      </c>
      <c r="B1165" s="10">
        <v>9963</v>
      </c>
      <c r="C1165" s="3">
        <v>2890000</v>
      </c>
      <c r="D1165" s="3">
        <v>2890000</v>
      </c>
      <c r="E1165" s="7">
        <v>0</v>
      </c>
      <c r="F1165" s="5">
        <v>45909</v>
      </c>
      <c r="G1165" s="4">
        <v>20250908</v>
      </c>
      <c r="H1165" s="6" t="s">
        <v>24</v>
      </c>
      <c r="I1165" s="8" t="s">
        <v>9</v>
      </c>
      <c r="J1165" s="6" t="s">
        <v>58</v>
      </c>
    </row>
    <row r="1166" spans="1:10">
      <c r="A1166" s="9">
        <v>728</v>
      </c>
      <c r="B1166" s="10">
        <v>8587</v>
      </c>
      <c r="C1166" s="3">
        <v>1690000</v>
      </c>
      <c r="D1166" s="3">
        <v>1690000</v>
      </c>
      <c r="E1166" s="7">
        <v>0</v>
      </c>
      <c r="F1166" s="5">
        <v>45909</v>
      </c>
      <c r="G1166" s="4">
        <v>20250908</v>
      </c>
      <c r="H1166" s="6" t="s">
        <v>24</v>
      </c>
      <c r="I1166" s="8" t="s">
        <v>9</v>
      </c>
      <c r="J1166" s="6" t="s">
        <v>130</v>
      </c>
    </row>
    <row r="1167" spans="1:10">
      <c r="A1167" s="9">
        <v>455</v>
      </c>
      <c r="B1167" s="10">
        <v>5206</v>
      </c>
      <c r="C1167" s="3">
        <v>875000</v>
      </c>
      <c r="D1167" s="3">
        <v>875000</v>
      </c>
      <c r="E1167" s="7">
        <v>0</v>
      </c>
      <c r="F1167" s="5">
        <v>45909</v>
      </c>
      <c r="G1167" s="4">
        <v>20250908</v>
      </c>
      <c r="H1167" s="6" t="s">
        <v>24</v>
      </c>
      <c r="I1167" s="8" t="s">
        <v>9</v>
      </c>
      <c r="J1167" s="6" t="s">
        <v>94</v>
      </c>
    </row>
    <row r="1168" spans="1:10">
      <c r="A1168" s="9">
        <v>571</v>
      </c>
      <c r="B1168" s="10">
        <v>6150</v>
      </c>
      <c r="C1168" s="3">
        <v>101500</v>
      </c>
      <c r="D1168" s="3">
        <v>101500</v>
      </c>
      <c r="E1168" s="7">
        <v>0</v>
      </c>
      <c r="F1168" s="5">
        <v>45910</v>
      </c>
      <c r="G1168" s="4">
        <v>20250909</v>
      </c>
      <c r="H1168" s="6" t="s">
        <v>24</v>
      </c>
      <c r="I1168" s="8" t="s">
        <v>9</v>
      </c>
      <c r="J1168" s="6" t="s">
        <v>249</v>
      </c>
    </row>
    <row r="1169" spans="1:10">
      <c r="A1169" s="9">
        <v>348</v>
      </c>
      <c r="B1169" s="10">
        <v>5649</v>
      </c>
      <c r="C1169" s="3">
        <v>200000</v>
      </c>
      <c r="D1169" s="3">
        <v>200000</v>
      </c>
      <c r="E1169" s="7">
        <v>0</v>
      </c>
      <c r="F1169" s="5">
        <v>45911</v>
      </c>
      <c r="G1169" s="4">
        <v>20250910</v>
      </c>
      <c r="H1169" s="6" t="s">
        <v>30</v>
      </c>
      <c r="I1169" s="8" t="s">
        <v>9</v>
      </c>
      <c r="J1169" s="6" t="s">
        <v>375</v>
      </c>
    </row>
    <row r="1170" spans="1:10">
      <c r="A1170" s="9">
        <v>634</v>
      </c>
      <c r="B1170" s="10">
        <v>5087</v>
      </c>
      <c r="C1170" s="3">
        <v>1495000</v>
      </c>
      <c r="D1170" s="3">
        <v>1495000</v>
      </c>
      <c r="E1170" s="7">
        <v>0</v>
      </c>
      <c r="F1170" s="5">
        <v>45911</v>
      </c>
      <c r="G1170" s="4">
        <v>20250910</v>
      </c>
      <c r="H1170" s="6" t="s">
        <v>24</v>
      </c>
      <c r="I1170" s="8" t="s">
        <v>9</v>
      </c>
      <c r="J1170" s="6" t="s">
        <v>183</v>
      </c>
    </row>
    <row r="1171" spans="1:10">
      <c r="A1171" s="9">
        <v>690</v>
      </c>
      <c r="B1171" s="10">
        <v>6180</v>
      </c>
      <c r="C1171" s="3">
        <v>790000</v>
      </c>
      <c r="D1171" s="3">
        <v>790000</v>
      </c>
      <c r="E1171" s="7">
        <v>0</v>
      </c>
      <c r="F1171" s="5">
        <v>45911</v>
      </c>
      <c r="G1171" s="4">
        <v>20250910</v>
      </c>
      <c r="H1171" s="6" t="s">
        <v>24</v>
      </c>
      <c r="I1171" s="8" t="s">
        <v>9</v>
      </c>
      <c r="J1171" s="6" t="s">
        <v>77</v>
      </c>
    </row>
    <row r="1172" spans="1:10">
      <c r="A1172" s="9">
        <v>728</v>
      </c>
      <c r="B1172" s="10">
        <v>8587</v>
      </c>
      <c r="C1172" s="3">
        <v>480000</v>
      </c>
      <c r="D1172" s="3">
        <v>480000</v>
      </c>
      <c r="E1172" s="7">
        <v>0</v>
      </c>
      <c r="F1172" s="5">
        <v>45911</v>
      </c>
      <c r="G1172" s="4">
        <v>20250910</v>
      </c>
      <c r="H1172" s="6" t="s">
        <v>24</v>
      </c>
      <c r="I1172" s="8" t="s">
        <v>9</v>
      </c>
      <c r="J1172" s="6" t="s">
        <v>130</v>
      </c>
    </row>
    <row r="1173" spans="1:10">
      <c r="A1173" s="9">
        <v>20</v>
      </c>
      <c r="B1173" s="10">
        <v>9204</v>
      </c>
      <c r="C1173" s="3">
        <v>1780000</v>
      </c>
      <c r="D1173" s="3">
        <v>1780000</v>
      </c>
      <c r="E1173" s="7">
        <v>0</v>
      </c>
      <c r="F1173" s="5">
        <v>45912</v>
      </c>
      <c r="G1173" s="4">
        <v>20250911</v>
      </c>
      <c r="H1173" s="6" t="s">
        <v>24</v>
      </c>
      <c r="I1173" s="8" t="s">
        <v>9</v>
      </c>
      <c r="J1173" s="6" t="s">
        <v>254</v>
      </c>
    </row>
    <row r="1174" spans="1:10">
      <c r="A1174" s="9">
        <v>728</v>
      </c>
      <c r="B1174" s="10">
        <v>8587</v>
      </c>
      <c r="C1174" s="3">
        <v>897650</v>
      </c>
      <c r="D1174" s="3">
        <v>897650</v>
      </c>
      <c r="E1174" s="7">
        <v>0</v>
      </c>
      <c r="F1174" s="5">
        <v>45912</v>
      </c>
      <c r="G1174" s="4">
        <v>20250911</v>
      </c>
      <c r="H1174" s="6" t="s">
        <v>24</v>
      </c>
      <c r="I1174" s="8" t="s">
        <v>9</v>
      </c>
      <c r="J1174" s="6" t="s">
        <v>130</v>
      </c>
    </row>
    <row r="1175" spans="1:10">
      <c r="A1175" s="9">
        <v>57</v>
      </c>
      <c r="B1175" s="10">
        <v>9963</v>
      </c>
      <c r="C1175" s="3">
        <v>290000</v>
      </c>
      <c r="D1175" s="3">
        <v>290000</v>
      </c>
      <c r="E1175" s="7">
        <v>0</v>
      </c>
      <c r="F1175" s="5">
        <v>45912</v>
      </c>
      <c r="G1175" s="4">
        <v>20250911</v>
      </c>
      <c r="H1175" s="6" t="s">
        <v>24</v>
      </c>
      <c r="I1175" s="8" t="s">
        <v>9</v>
      </c>
      <c r="J1175" s="6" t="s">
        <v>58</v>
      </c>
    </row>
    <row r="1176" spans="1:10">
      <c r="A1176" s="9">
        <v>658</v>
      </c>
      <c r="B1176" s="10">
        <v>6228</v>
      </c>
      <c r="C1176" s="3">
        <v>550000</v>
      </c>
      <c r="D1176" s="3">
        <v>550000</v>
      </c>
      <c r="E1176" s="7">
        <v>0</v>
      </c>
      <c r="F1176" s="5">
        <v>45912</v>
      </c>
      <c r="G1176" s="4">
        <v>20250911</v>
      </c>
      <c r="H1176" s="6" t="s">
        <v>30</v>
      </c>
      <c r="I1176" s="8" t="s">
        <v>9</v>
      </c>
      <c r="J1176" s="6" t="s">
        <v>203</v>
      </c>
    </row>
    <row r="1177" spans="1:10">
      <c r="A1177" s="9">
        <v>852</v>
      </c>
      <c r="B1177" s="10">
        <v>5050</v>
      </c>
      <c r="C1177" s="3">
        <v>5000</v>
      </c>
      <c r="D1177" s="3">
        <v>5000</v>
      </c>
      <c r="E1177" s="7">
        <v>0</v>
      </c>
      <c r="F1177" s="5">
        <v>45897</v>
      </c>
      <c r="G1177" s="4">
        <v>20250827</v>
      </c>
      <c r="H1177" s="6" t="s">
        <v>24</v>
      </c>
      <c r="I1177" s="8" t="s">
        <v>10</v>
      </c>
      <c r="J1177" s="6" t="s">
        <v>244</v>
      </c>
    </row>
    <row r="1178" spans="1:10">
      <c r="A1178" s="9">
        <v>852</v>
      </c>
      <c r="B1178" s="10">
        <v>5050</v>
      </c>
      <c r="C1178" s="3">
        <v>41200</v>
      </c>
      <c r="D1178" s="3">
        <v>41200</v>
      </c>
      <c r="E1178" s="7">
        <v>0</v>
      </c>
      <c r="F1178" s="5">
        <v>45911</v>
      </c>
      <c r="G1178" s="4">
        <v>20250910</v>
      </c>
      <c r="H1178" s="6" t="s">
        <v>24</v>
      </c>
      <c r="I1178" s="8" t="s">
        <v>9</v>
      </c>
      <c r="J1178" s="6" t="s">
        <v>244</v>
      </c>
    </row>
    <row r="1179" spans="1:10">
      <c r="A1179" s="9">
        <v>343</v>
      </c>
      <c r="B1179" s="9">
        <v>7955</v>
      </c>
      <c r="C1179" s="3">
        <v>60000</v>
      </c>
      <c r="D1179" s="3">
        <v>60000</v>
      </c>
      <c r="E1179" s="7">
        <v>0</v>
      </c>
      <c r="F1179" s="5">
        <v>45873</v>
      </c>
      <c r="G1179" s="4">
        <v>20250803</v>
      </c>
      <c r="H1179" s="6" t="s">
        <v>30</v>
      </c>
      <c r="I1179" s="8" t="s">
        <v>9</v>
      </c>
      <c r="J1179" s="6" t="s">
        <v>95</v>
      </c>
    </row>
    <row r="1180" spans="1:10">
      <c r="A1180" s="9">
        <v>943</v>
      </c>
      <c r="B1180" s="9">
        <v>7348</v>
      </c>
      <c r="C1180" s="3">
        <v>70000</v>
      </c>
      <c r="D1180" s="3">
        <v>70000</v>
      </c>
      <c r="E1180" s="7">
        <v>0</v>
      </c>
      <c r="F1180" s="5">
        <v>45873</v>
      </c>
      <c r="G1180" s="4">
        <v>20250803</v>
      </c>
      <c r="H1180" s="6" t="s">
        <v>30</v>
      </c>
      <c r="I1180" s="8" t="s">
        <v>9</v>
      </c>
      <c r="J1180" s="6" t="s">
        <v>379</v>
      </c>
    </row>
    <row r="1181" spans="1:10">
      <c r="A1181" s="9">
        <v>652</v>
      </c>
      <c r="B1181" s="9">
        <v>5070</v>
      </c>
      <c r="C1181" s="3">
        <v>10500</v>
      </c>
      <c r="D1181" s="3">
        <v>10500</v>
      </c>
      <c r="E1181" s="7">
        <v>0</v>
      </c>
      <c r="F1181" s="5">
        <v>45873</v>
      </c>
      <c r="G1181" s="4">
        <v>20250801</v>
      </c>
      <c r="H1181" s="6" t="s">
        <v>24</v>
      </c>
      <c r="I1181" s="8"/>
      <c r="J1181" s="6" t="s">
        <v>201</v>
      </c>
    </row>
    <row r="1182" spans="1:10">
      <c r="A1182" s="9">
        <v>927</v>
      </c>
      <c r="B1182" s="9">
        <v>5751</v>
      </c>
      <c r="C1182" s="3">
        <v>100000</v>
      </c>
      <c r="D1182" s="3">
        <v>100000</v>
      </c>
      <c r="E1182" s="7">
        <v>0</v>
      </c>
      <c r="F1182" s="5">
        <v>45874</v>
      </c>
      <c r="G1182" s="4">
        <v>20250804</v>
      </c>
      <c r="H1182" s="6" t="s">
        <v>30</v>
      </c>
      <c r="I1182" s="8" t="s">
        <v>9</v>
      </c>
      <c r="J1182" s="6" t="s">
        <v>210</v>
      </c>
    </row>
    <row r="1183" spans="1:10">
      <c r="A1183" s="9">
        <v>652</v>
      </c>
      <c r="B1183" s="9">
        <v>5070</v>
      </c>
      <c r="C1183" s="3">
        <v>590000</v>
      </c>
      <c r="D1183" s="3">
        <v>590000</v>
      </c>
      <c r="E1183" s="7">
        <v>0</v>
      </c>
      <c r="F1183" s="5">
        <v>45874</v>
      </c>
      <c r="G1183" s="4">
        <v>20250804</v>
      </c>
      <c r="H1183" s="6" t="s">
        <v>24</v>
      </c>
      <c r="I1183" s="8" t="s">
        <v>9</v>
      </c>
      <c r="J1183" s="6" t="s">
        <v>201</v>
      </c>
    </row>
    <row r="1184" spans="1:10">
      <c r="A1184" s="9">
        <v>318</v>
      </c>
      <c r="B1184" s="9">
        <v>5348</v>
      </c>
      <c r="C1184" s="3">
        <v>30000</v>
      </c>
      <c r="D1184" s="3">
        <v>30000</v>
      </c>
      <c r="E1184" s="7">
        <v>0</v>
      </c>
      <c r="F1184" s="5">
        <v>45881</v>
      </c>
      <c r="G1184" s="4">
        <v>20250811</v>
      </c>
      <c r="H1184" s="6" t="s">
        <v>30</v>
      </c>
      <c r="I1184" s="8" t="s">
        <v>9</v>
      </c>
      <c r="J1184" s="6" t="s">
        <v>380</v>
      </c>
    </row>
    <row r="1185" spans="1:10">
      <c r="A1185" s="9">
        <v>399</v>
      </c>
      <c r="B1185" s="9">
        <v>8625</v>
      </c>
      <c r="C1185" s="3">
        <v>20000</v>
      </c>
      <c r="D1185" s="3">
        <v>20000</v>
      </c>
      <c r="E1185" s="7">
        <v>0</v>
      </c>
      <c r="F1185" s="5">
        <v>45882</v>
      </c>
      <c r="G1185" s="4">
        <v>20250812</v>
      </c>
      <c r="H1185" s="6" t="s">
        <v>30</v>
      </c>
      <c r="I1185" s="8"/>
      <c r="J1185" s="6" t="s">
        <v>381</v>
      </c>
    </row>
    <row r="1186" spans="1:10">
      <c r="A1186" s="9">
        <v>927</v>
      </c>
      <c r="B1186" s="10">
        <v>5751</v>
      </c>
      <c r="C1186" s="3">
        <v>400000</v>
      </c>
      <c r="D1186" s="3">
        <v>400000</v>
      </c>
      <c r="E1186" s="7">
        <v>0</v>
      </c>
      <c r="F1186" s="5">
        <v>45889</v>
      </c>
      <c r="G1186" s="4">
        <v>20250819</v>
      </c>
      <c r="H1186" s="6" t="s">
        <v>30</v>
      </c>
      <c r="I1186" s="8" t="s">
        <v>9</v>
      </c>
      <c r="J1186" s="6" t="s">
        <v>210</v>
      </c>
    </row>
    <row r="1187" spans="1:10">
      <c r="A1187" s="9">
        <v>85</v>
      </c>
      <c r="B1187" s="10">
        <v>8974</v>
      </c>
      <c r="C1187" s="3">
        <v>645450</v>
      </c>
      <c r="D1187" s="3">
        <v>645450</v>
      </c>
      <c r="E1187" s="7">
        <v>0</v>
      </c>
      <c r="F1187" s="5">
        <v>45891</v>
      </c>
      <c r="G1187" s="4">
        <v>20250821</v>
      </c>
      <c r="H1187" s="6" t="s">
        <v>24</v>
      </c>
      <c r="I1187" s="8"/>
      <c r="J1187" s="6" t="s">
        <v>382</v>
      </c>
    </row>
    <row r="1188" spans="1:10">
      <c r="A1188" s="9">
        <v>741</v>
      </c>
      <c r="B1188" s="10">
        <v>6842</v>
      </c>
      <c r="C1188" s="3">
        <v>600000</v>
      </c>
      <c r="D1188" s="3">
        <v>600000</v>
      </c>
      <c r="E1188" s="7">
        <v>0</v>
      </c>
      <c r="F1188" s="5">
        <v>45902</v>
      </c>
      <c r="G1188" s="4">
        <v>20250901</v>
      </c>
      <c r="H1188" s="6" t="s">
        <v>30</v>
      </c>
      <c r="I1188" s="8" t="s">
        <v>9</v>
      </c>
      <c r="J1188" s="6" t="s">
        <v>147</v>
      </c>
    </row>
    <row r="1189" spans="1:10">
      <c r="A1189" s="9">
        <v>688</v>
      </c>
      <c r="B1189" s="10">
        <v>4843</v>
      </c>
      <c r="C1189" s="3">
        <v>300000</v>
      </c>
      <c r="D1189" s="3">
        <v>300000</v>
      </c>
      <c r="E1189" s="7">
        <v>0</v>
      </c>
      <c r="F1189" s="5">
        <v>45903</v>
      </c>
      <c r="G1189" s="4">
        <v>20250902</v>
      </c>
      <c r="H1189" s="6" t="s">
        <v>30</v>
      </c>
      <c r="I1189" s="8" t="s">
        <v>9</v>
      </c>
      <c r="J1189" s="6" t="s">
        <v>157</v>
      </c>
    </row>
    <row r="1190" spans="1:10">
      <c r="A1190" s="9">
        <v>741</v>
      </c>
      <c r="B1190" s="10">
        <v>6841</v>
      </c>
      <c r="C1190" s="3">
        <v>290000</v>
      </c>
      <c r="D1190" s="3">
        <v>290000</v>
      </c>
      <c r="E1190" s="7">
        <v>0</v>
      </c>
      <c r="F1190" s="5">
        <v>45903</v>
      </c>
      <c r="G1190" s="4">
        <v>20250902</v>
      </c>
      <c r="H1190" s="6" t="s">
        <v>30</v>
      </c>
      <c r="I1190" s="8" t="s">
        <v>9</v>
      </c>
      <c r="J1190" s="6" t="s">
        <v>137</v>
      </c>
    </row>
    <row r="1191" spans="1:10">
      <c r="A1191" s="9">
        <v>741</v>
      </c>
      <c r="B1191" s="10">
        <v>6842</v>
      </c>
      <c r="C1191" s="3">
        <v>100000</v>
      </c>
      <c r="D1191" s="3">
        <v>100000</v>
      </c>
      <c r="E1191" s="7">
        <v>0</v>
      </c>
      <c r="F1191" s="5">
        <v>45903</v>
      </c>
      <c r="G1191" s="4">
        <v>20250902</v>
      </c>
      <c r="H1191" s="6" t="s">
        <v>30</v>
      </c>
      <c r="I1191" s="8" t="s">
        <v>9</v>
      </c>
      <c r="J1191" s="6" t="s">
        <v>147</v>
      </c>
    </row>
    <row r="1192" spans="1:10">
      <c r="A1192" s="9">
        <v>849</v>
      </c>
      <c r="B1192" s="10">
        <v>9721</v>
      </c>
      <c r="C1192" s="3">
        <v>400000</v>
      </c>
      <c r="D1192" s="3">
        <v>400000</v>
      </c>
      <c r="E1192" s="7">
        <v>0</v>
      </c>
      <c r="F1192" s="5">
        <v>45904</v>
      </c>
      <c r="G1192" s="4">
        <v>20250903</v>
      </c>
      <c r="H1192" s="6" t="s">
        <v>30</v>
      </c>
      <c r="I1192" s="8" t="s">
        <v>9</v>
      </c>
      <c r="J1192" s="6" t="s">
        <v>150</v>
      </c>
    </row>
    <row r="1193" spans="1:10">
      <c r="A1193" s="9">
        <v>688</v>
      </c>
      <c r="B1193" s="10">
        <v>4843</v>
      </c>
      <c r="C1193" s="3">
        <v>750000</v>
      </c>
      <c r="D1193" s="3">
        <v>750000</v>
      </c>
      <c r="E1193" s="7">
        <v>0</v>
      </c>
      <c r="F1193" s="5">
        <v>45905</v>
      </c>
      <c r="G1193" s="4">
        <v>20250904</v>
      </c>
      <c r="H1193" s="6" t="s">
        <v>30</v>
      </c>
      <c r="I1193" s="8" t="s">
        <v>9</v>
      </c>
      <c r="J1193" s="6" t="s">
        <v>157</v>
      </c>
    </row>
    <row r="1194" spans="1:10">
      <c r="A1194" s="9">
        <v>451</v>
      </c>
      <c r="B1194" s="10">
        <v>9434</v>
      </c>
      <c r="C1194" s="3">
        <v>3010000</v>
      </c>
      <c r="D1194" s="3">
        <v>3010000</v>
      </c>
      <c r="E1194" s="7">
        <v>0</v>
      </c>
      <c r="F1194" s="5">
        <v>45905</v>
      </c>
      <c r="G1194" s="4">
        <v>20250904</v>
      </c>
      <c r="H1194" s="6" t="s">
        <v>24</v>
      </c>
      <c r="I1194" s="8" t="s">
        <v>9</v>
      </c>
      <c r="J1194" s="6" t="s">
        <v>327</v>
      </c>
    </row>
    <row r="1195" spans="1:10">
      <c r="A1195" s="9">
        <v>688</v>
      </c>
      <c r="B1195" s="10">
        <v>4843</v>
      </c>
      <c r="C1195" s="3">
        <v>200000</v>
      </c>
      <c r="D1195" s="3">
        <v>200000</v>
      </c>
      <c r="E1195" s="7">
        <v>0</v>
      </c>
      <c r="F1195" s="5">
        <v>45908</v>
      </c>
      <c r="G1195" s="4">
        <v>20250907</v>
      </c>
      <c r="H1195" s="6" t="s">
        <v>30</v>
      </c>
      <c r="I1195" s="8" t="s">
        <v>9</v>
      </c>
      <c r="J1195" s="6" t="s">
        <v>157</v>
      </c>
    </row>
    <row r="1196" spans="1:10">
      <c r="A1196" s="9">
        <v>795</v>
      </c>
      <c r="B1196" s="10">
        <v>1028</v>
      </c>
      <c r="C1196" s="3">
        <v>3310000</v>
      </c>
      <c r="D1196" s="3">
        <v>3310000</v>
      </c>
      <c r="E1196" s="7">
        <v>0</v>
      </c>
      <c r="F1196" s="5">
        <v>45908</v>
      </c>
      <c r="G1196" s="4">
        <v>20250907</v>
      </c>
      <c r="H1196" s="6" t="s">
        <v>24</v>
      </c>
      <c r="I1196" s="8" t="s">
        <v>9</v>
      </c>
      <c r="J1196" s="6" t="s">
        <v>305</v>
      </c>
    </row>
    <row r="1197" spans="1:10">
      <c r="A1197" s="9">
        <v>264</v>
      </c>
      <c r="B1197" s="10">
        <v>9906</v>
      </c>
      <c r="C1197" s="3">
        <v>3940000</v>
      </c>
      <c r="D1197" s="3">
        <v>3940000</v>
      </c>
      <c r="E1197" s="7">
        <v>0</v>
      </c>
      <c r="F1197" s="5">
        <v>45909</v>
      </c>
      <c r="G1197" s="4">
        <v>20250908</v>
      </c>
      <c r="H1197" s="6" t="s">
        <v>24</v>
      </c>
      <c r="I1197" s="8" t="s">
        <v>9</v>
      </c>
      <c r="J1197" s="6" t="s">
        <v>57</v>
      </c>
    </row>
    <row r="1198" spans="1:10">
      <c r="A1198" s="9">
        <v>795</v>
      </c>
      <c r="B1198" s="10">
        <v>1029</v>
      </c>
      <c r="C1198" s="3">
        <v>3310000</v>
      </c>
      <c r="D1198" s="3">
        <v>3310000</v>
      </c>
      <c r="E1198" s="7">
        <v>0</v>
      </c>
      <c r="F1198" s="5">
        <v>45909</v>
      </c>
      <c r="G1198" s="4">
        <v>20250908</v>
      </c>
      <c r="H1198" s="6" t="s">
        <v>24</v>
      </c>
      <c r="I1198" s="8" t="s">
        <v>9</v>
      </c>
      <c r="J1198" s="6" t="s">
        <v>383</v>
      </c>
    </row>
    <row r="1199" spans="1:10">
      <c r="A1199" s="9">
        <v>93</v>
      </c>
      <c r="B1199" s="10">
        <v>7126</v>
      </c>
      <c r="C1199" s="3">
        <v>440000</v>
      </c>
      <c r="D1199" s="3">
        <v>440000</v>
      </c>
      <c r="E1199" s="7">
        <v>0</v>
      </c>
      <c r="F1199" s="5">
        <v>45909</v>
      </c>
      <c r="G1199" s="4">
        <v>20250908</v>
      </c>
      <c r="H1199" s="6" t="s">
        <v>24</v>
      </c>
      <c r="I1199" s="8" t="s">
        <v>9</v>
      </c>
      <c r="J1199" s="6" t="s">
        <v>29</v>
      </c>
    </row>
    <row r="1200" spans="1:10">
      <c r="A1200" s="9">
        <v>229</v>
      </c>
      <c r="B1200" s="10">
        <v>8957</v>
      </c>
      <c r="C1200" s="3">
        <v>730000</v>
      </c>
      <c r="D1200" s="3">
        <v>730000</v>
      </c>
      <c r="E1200" s="7">
        <v>0</v>
      </c>
      <c r="F1200" s="5">
        <v>45910</v>
      </c>
      <c r="G1200" s="4">
        <v>20250909</v>
      </c>
      <c r="H1200" s="6" t="s">
        <v>30</v>
      </c>
      <c r="I1200" s="8" t="s">
        <v>9</v>
      </c>
      <c r="J1200" s="6" t="s">
        <v>71</v>
      </c>
    </row>
    <row r="1201" spans="1:10">
      <c r="A1201" s="9">
        <v>849</v>
      </c>
      <c r="B1201" s="10">
        <v>9721</v>
      </c>
      <c r="C1201" s="3">
        <v>1800000</v>
      </c>
      <c r="D1201" s="3">
        <v>1800000</v>
      </c>
      <c r="E1201" s="7">
        <v>0</v>
      </c>
      <c r="F1201" s="5">
        <v>45910</v>
      </c>
      <c r="G1201" s="4">
        <v>20250909</v>
      </c>
      <c r="H1201" s="6" t="s">
        <v>30</v>
      </c>
      <c r="I1201" s="8" t="s">
        <v>9</v>
      </c>
      <c r="J1201" s="6" t="s">
        <v>150</v>
      </c>
    </row>
    <row r="1202" spans="1:10">
      <c r="A1202" s="9">
        <v>652</v>
      </c>
      <c r="B1202" s="10">
        <v>5070</v>
      </c>
      <c r="C1202" s="3">
        <v>1920000</v>
      </c>
      <c r="D1202" s="3">
        <v>1920000</v>
      </c>
      <c r="E1202" s="7">
        <v>0</v>
      </c>
      <c r="F1202" s="5">
        <v>45910</v>
      </c>
      <c r="G1202" s="4">
        <v>20250909</v>
      </c>
      <c r="H1202" s="6" t="s">
        <v>24</v>
      </c>
      <c r="I1202" s="8" t="s">
        <v>9</v>
      </c>
      <c r="J1202" s="6" t="s">
        <v>201</v>
      </c>
    </row>
    <row r="1203" spans="1:10">
      <c r="A1203" s="9">
        <v>93</v>
      </c>
      <c r="B1203" s="10">
        <v>7126</v>
      </c>
      <c r="C1203" s="3">
        <v>254000</v>
      </c>
      <c r="D1203" s="3">
        <v>254000</v>
      </c>
      <c r="E1203" s="7">
        <v>0</v>
      </c>
      <c r="F1203" s="5">
        <v>45910</v>
      </c>
      <c r="G1203" s="4">
        <v>20250909</v>
      </c>
      <c r="H1203" s="6" t="s">
        <v>24</v>
      </c>
      <c r="I1203" s="8" t="s">
        <v>9</v>
      </c>
      <c r="J1203" s="6" t="s">
        <v>29</v>
      </c>
    </row>
    <row r="1204" spans="1:10">
      <c r="A1204" s="9">
        <v>795</v>
      </c>
      <c r="B1204" s="10">
        <v>1028</v>
      </c>
      <c r="C1204" s="3">
        <v>170000</v>
      </c>
      <c r="D1204" s="3">
        <v>170000</v>
      </c>
      <c r="E1204" s="7">
        <v>0</v>
      </c>
      <c r="F1204" s="5">
        <v>45910</v>
      </c>
      <c r="G1204" s="4">
        <v>20250909</v>
      </c>
      <c r="H1204" s="6" t="s">
        <v>24</v>
      </c>
      <c r="I1204" s="8" t="s">
        <v>9</v>
      </c>
      <c r="J1204" s="6" t="s">
        <v>305</v>
      </c>
    </row>
    <row r="1205" spans="1:10">
      <c r="A1205" s="9">
        <v>623</v>
      </c>
      <c r="B1205" s="10">
        <v>5047</v>
      </c>
      <c r="C1205" s="3">
        <v>2540000</v>
      </c>
      <c r="D1205" s="3">
        <v>2540000</v>
      </c>
      <c r="E1205" s="7">
        <v>0</v>
      </c>
      <c r="F1205" s="5">
        <v>45911</v>
      </c>
      <c r="G1205" s="4">
        <v>20250910</v>
      </c>
      <c r="H1205" s="6" t="s">
        <v>24</v>
      </c>
      <c r="I1205" s="8" t="s">
        <v>9</v>
      </c>
      <c r="J1205" s="6" t="s">
        <v>26</v>
      </c>
    </row>
    <row r="1206" spans="1:10">
      <c r="A1206" s="9">
        <v>167</v>
      </c>
      <c r="B1206" s="10">
        <v>5030</v>
      </c>
      <c r="C1206" s="3">
        <v>2111000</v>
      </c>
      <c r="D1206" s="3">
        <v>2111000</v>
      </c>
      <c r="E1206" s="7">
        <v>0</v>
      </c>
      <c r="F1206" s="5">
        <v>45911</v>
      </c>
      <c r="G1206" s="4">
        <v>20250910</v>
      </c>
      <c r="H1206" s="6" t="s">
        <v>24</v>
      </c>
      <c r="I1206" s="8" t="s">
        <v>9</v>
      </c>
      <c r="J1206" s="6" t="s">
        <v>330</v>
      </c>
    </row>
    <row r="1207" spans="1:10">
      <c r="A1207" s="9">
        <v>927</v>
      </c>
      <c r="B1207" s="10">
        <v>5750</v>
      </c>
      <c r="C1207" s="3">
        <v>10000</v>
      </c>
      <c r="D1207" s="3">
        <v>10000</v>
      </c>
      <c r="E1207" s="7">
        <v>0</v>
      </c>
      <c r="F1207" s="5">
        <v>45911</v>
      </c>
      <c r="G1207" s="4">
        <v>20250910</v>
      </c>
      <c r="H1207" s="6" t="s">
        <v>30</v>
      </c>
      <c r="I1207" s="8" t="s">
        <v>10</v>
      </c>
      <c r="J1207" s="6" t="s">
        <v>39</v>
      </c>
    </row>
    <row r="1208" spans="1:10">
      <c r="A1208" s="9">
        <v>229</v>
      </c>
      <c r="B1208" s="10">
        <v>9604</v>
      </c>
      <c r="C1208" s="3">
        <v>1571600</v>
      </c>
      <c r="D1208" s="3">
        <v>1571600</v>
      </c>
      <c r="E1208" s="7">
        <v>0</v>
      </c>
      <c r="F1208" s="5">
        <v>45912</v>
      </c>
      <c r="G1208" s="4">
        <v>20250911</v>
      </c>
      <c r="H1208" s="6" t="s">
        <v>24</v>
      </c>
      <c r="I1208" s="8"/>
      <c r="J1208" s="6" t="s">
        <v>384</v>
      </c>
    </row>
    <row r="1209" spans="1:10">
      <c r="A1209" s="9">
        <v>442</v>
      </c>
      <c r="B1209" s="10">
        <v>8888</v>
      </c>
      <c r="C1209" s="3">
        <v>2245000</v>
      </c>
      <c r="D1209" s="3">
        <v>2245000</v>
      </c>
      <c r="E1209" s="7">
        <v>0</v>
      </c>
      <c r="F1209" s="5">
        <v>45912</v>
      </c>
      <c r="G1209" s="4">
        <v>20250912</v>
      </c>
      <c r="H1209" s="6" t="s">
        <v>24</v>
      </c>
      <c r="I1209" s="8"/>
      <c r="J1209" s="6" t="s">
        <v>385</v>
      </c>
    </row>
    <row r="1210" spans="1:10">
      <c r="A1210" s="9">
        <v>667</v>
      </c>
      <c r="B1210" s="10">
        <v>5167</v>
      </c>
      <c r="C1210" s="3">
        <v>2780000</v>
      </c>
      <c r="D1210" s="3">
        <v>2780000</v>
      </c>
      <c r="E1210" s="7">
        <v>0</v>
      </c>
      <c r="F1210" s="5">
        <v>45912</v>
      </c>
      <c r="G1210" s="4">
        <v>20250911</v>
      </c>
      <c r="H1210" s="6" t="s">
        <v>24</v>
      </c>
      <c r="I1210" s="8" t="s">
        <v>9</v>
      </c>
      <c r="J1210" s="6" t="s">
        <v>277</v>
      </c>
    </row>
    <row r="1211" spans="1:10">
      <c r="A1211" s="9">
        <v>882</v>
      </c>
      <c r="B1211" s="10">
        <v>5020</v>
      </c>
      <c r="C1211" s="3">
        <v>2360000</v>
      </c>
      <c r="D1211" s="3">
        <v>2360000</v>
      </c>
      <c r="E1211" s="7">
        <v>0</v>
      </c>
      <c r="F1211" s="5">
        <v>45912</v>
      </c>
      <c r="G1211" s="4">
        <v>20250911</v>
      </c>
      <c r="H1211" s="6" t="s">
        <v>24</v>
      </c>
      <c r="I1211" s="8" t="s">
        <v>9</v>
      </c>
      <c r="J1211" s="6" t="s">
        <v>224</v>
      </c>
    </row>
    <row r="1212" spans="1:10">
      <c r="A1212" s="9">
        <v>422</v>
      </c>
      <c r="B1212" s="10">
        <v>4555</v>
      </c>
      <c r="C1212" s="3">
        <v>2970000</v>
      </c>
      <c r="D1212" s="3">
        <v>2970000</v>
      </c>
      <c r="E1212" s="7">
        <v>0</v>
      </c>
      <c r="F1212" s="5">
        <v>45912</v>
      </c>
      <c r="G1212" s="4">
        <v>20250911</v>
      </c>
      <c r="H1212" s="6" t="s">
        <v>30</v>
      </c>
      <c r="I1212" s="8"/>
      <c r="J1212" s="6" t="s">
        <v>138</v>
      </c>
    </row>
    <row r="1213" spans="1:10">
      <c r="A1213" s="9">
        <v>927</v>
      </c>
      <c r="B1213" s="10">
        <v>5750</v>
      </c>
      <c r="C1213" s="3">
        <v>50000</v>
      </c>
      <c r="D1213" s="3">
        <v>50000</v>
      </c>
      <c r="E1213" s="7">
        <v>0</v>
      </c>
      <c r="F1213" s="5">
        <v>45912</v>
      </c>
      <c r="G1213" s="4">
        <v>20250911</v>
      </c>
      <c r="H1213" s="6" t="s">
        <v>30</v>
      </c>
      <c r="I1213" s="8" t="s">
        <v>9</v>
      </c>
      <c r="J1213" s="6" t="s">
        <v>39</v>
      </c>
    </row>
    <row r="1214" spans="1:10">
      <c r="A1214" s="9">
        <v>229</v>
      </c>
      <c r="B1214" s="10">
        <v>8957</v>
      </c>
      <c r="C1214" s="3">
        <v>970000</v>
      </c>
      <c r="D1214" s="3">
        <v>970000</v>
      </c>
      <c r="E1214" s="7">
        <v>0</v>
      </c>
      <c r="F1214" s="5">
        <v>45915</v>
      </c>
      <c r="G1214" s="4">
        <v>20250914</v>
      </c>
      <c r="H1214" s="6" t="s">
        <v>30</v>
      </c>
      <c r="I1214" s="8" t="s">
        <v>9</v>
      </c>
      <c r="J1214" s="6" t="s">
        <v>71</v>
      </c>
    </row>
    <row r="1215" spans="1:10">
      <c r="A1215" s="9">
        <v>451</v>
      </c>
      <c r="B1215" s="10">
        <v>9434</v>
      </c>
      <c r="C1215" s="3">
        <v>16990000</v>
      </c>
      <c r="D1215" s="3">
        <v>16990000</v>
      </c>
      <c r="E1215" s="7">
        <v>0</v>
      </c>
      <c r="F1215" s="5">
        <v>45915</v>
      </c>
      <c r="G1215" s="4">
        <v>20250912</v>
      </c>
      <c r="H1215" s="6" t="s">
        <v>24</v>
      </c>
      <c r="I1215" s="8"/>
      <c r="J1215" s="6" t="s">
        <v>327</v>
      </c>
    </row>
    <row r="1216" spans="1:10">
      <c r="A1216" s="9">
        <v>229</v>
      </c>
      <c r="B1216" s="10">
        <v>9604</v>
      </c>
      <c r="C1216" s="3">
        <v>1338400</v>
      </c>
      <c r="D1216" s="3">
        <v>1338400</v>
      </c>
      <c r="E1216" s="7">
        <v>0</v>
      </c>
      <c r="F1216" s="5">
        <v>45915</v>
      </c>
      <c r="G1216" s="4">
        <v>20250914</v>
      </c>
      <c r="H1216" s="6" t="s">
        <v>24</v>
      </c>
      <c r="I1216" s="8" t="s">
        <v>9</v>
      </c>
      <c r="J1216" s="6" t="s">
        <v>384</v>
      </c>
    </row>
    <row r="1217" spans="1:10">
      <c r="A1217" s="9">
        <v>367</v>
      </c>
      <c r="B1217" s="10">
        <v>9580</v>
      </c>
      <c r="C1217" s="3">
        <v>1220000</v>
      </c>
      <c r="D1217" s="3">
        <v>1220000</v>
      </c>
      <c r="E1217" s="7">
        <v>0</v>
      </c>
      <c r="F1217" s="5">
        <v>45915</v>
      </c>
      <c r="G1217" s="4">
        <v>20250914</v>
      </c>
      <c r="H1217" s="6" t="s">
        <v>24</v>
      </c>
      <c r="I1217" s="8" t="s">
        <v>9</v>
      </c>
      <c r="J1217" s="6" t="s">
        <v>386</v>
      </c>
    </row>
    <row r="1218" spans="1:10">
      <c r="A1218" s="9">
        <v>495</v>
      </c>
      <c r="B1218" s="10">
        <v>8482</v>
      </c>
      <c r="C1218" s="3">
        <v>250000</v>
      </c>
      <c r="D1218" s="3">
        <v>250000</v>
      </c>
      <c r="E1218" s="7">
        <v>0</v>
      </c>
      <c r="F1218" s="5">
        <v>45915</v>
      </c>
      <c r="G1218" s="4">
        <v>20250914</v>
      </c>
      <c r="H1218" s="6" t="s">
        <v>24</v>
      </c>
      <c r="I1218" s="8" t="s">
        <v>9</v>
      </c>
      <c r="J1218" s="6" t="s">
        <v>387</v>
      </c>
    </row>
    <row r="1219" spans="1:10">
      <c r="A1219" s="9">
        <v>332</v>
      </c>
      <c r="B1219" s="10">
        <v>7569</v>
      </c>
      <c r="C1219" s="3">
        <v>150000</v>
      </c>
      <c r="D1219" s="3">
        <v>150000</v>
      </c>
      <c r="E1219" s="7">
        <v>0</v>
      </c>
      <c r="F1219" s="5">
        <v>45915</v>
      </c>
      <c r="G1219" s="4">
        <v>20250914</v>
      </c>
      <c r="H1219" s="6" t="s">
        <v>24</v>
      </c>
      <c r="I1219" s="8" t="s">
        <v>9</v>
      </c>
      <c r="J1219" s="6" t="s">
        <v>351</v>
      </c>
    </row>
    <row r="1220" spans="1:10">
      <c r="A1220" s="9">
        <v>451</v>
      </c>
      <c r="B1220" s="9">
        <v>4967</v>
      </c>
      <c r="C1220" s="3">
        <v>10000</v>
      </c>
      <c r="D1220" s="3">
        <v>10000</v>
      </c>
      <c r="E1220" s="7">
        <v>0</v>
      </c>
      <c r="F1220" s="5">
        <v>45877</v>
      </c>
      <c r="G1220" s="4">
        <v>20250806</v>
      </c>
      <c r="H1220" s="6" t="s">
        <v>30</v>
      </c>
      <c r="I1220" s="8"/>
      <c r="J1220" s="6" t="s">
        <v>388</v>
      </c>
    </row>
    <row r="1221" spans="1:10">
      <c r="A1221" s="9">
        <v>253</v>
      </c>
      <c r="B1221" s="9">
        <v>5176</v>
      </c>
      <c r="C1221" s="3">
        <v>2190000</v>
      </c>
      <c r="D1221" s="3">
        <v>2190000</v>
      </c>
      <c r="E1221" s="7">
        <v>0</v>
      </c>
      <c r="F1221" s="5">
        <v>45880</v>
      </c>
      <c r="G1221" s="4">
        <v>20250810</v>
      </c>
      <c r="H1221" s="6" t="s">
        <v>24</v>
      </c>
      <c r="I1221" s="8" t="s">
        <v>9</v>
      </c>
      <c r="J1221" s="6" t="s">
        <v>53</v>
      </c>
    </row>
    <row r="1222" spans="1:10">
      <c r="A1222" s="9">
        <v>432</v>
      </c>
      <c r="B1222" s="10">
        <v>5195</v>
      </c>
      <c r="C1222" s="3">
        <v>2389800</v>
      </c>
      <c r="D1222" s="3">
        <v>2389800</v>
      </c>
      <c r="E1222" s="7">
        <v>0</v>
      </c>
      <c r="F1222" s="5">
        <v>45883</v>
      </c>
      <c r="G1222" s="4">
        <v>20250813</v>
      </c>
      <c r="H1222" s="6" t="s">
        <v>24</v>
      </c>
      <c r="I1222" s="8" t="s">
        <v>9</v>
      </c>
      <c r="J1222" s="6" t="s">
        <v>126</v>
      </c>
    </row>
    <row r="1223" spans="1:10">
      <c r="A1223" s="9">
        <v>225</v>
      </c>
      <c r="B1223" s="10">
        <v>8866</v>
      </c>
      <c r="C1223" s="3">
        <v>40000</v>
      </c>
      <c r="D1223" s="3">
        <v>40000</v>
      </c>
      <c r="E1223" s="7">
        <v>0</v>
      </c>
      <c r="F1223" s="5">
        <v>45883</v>
      </c>
      <c r="G1223" s="4">
        <v>20250813</v>
      </c>
      <c r="H1223" s="6" t="s">
        <v>30</v>
      </c>
      <c r="I1223" s="8"/>
      <c r="J1223" s="6" t="s">
        <v>389</v>
      </c>
    </row>
    <row r="1224" spans="1:10">
      <c r="A1224" s="9">
        <v>551</v>
      </c>
      <c r="B1224" s="10">
        <v>9643</v>
      </c>
      <c r="C1224" s="3">
        <v>89950</v>
      </c>
      <c r="D1224" s="3">
        <v>89950</v>
      </c>
      <c r="E1224" s="7">
        <v>0</v>
      </c>
      <c r="F1224" s="5">
        <v>45884</v>
      </c>
      <c r="G1224" s="4">
        <v>20250814</v>
      </c>
      <c r="H1224" s="6" t="s">
        <v>24</v>
      </c>
      <c r="I1224" s="8" t="s">
        <v>9</v>
      </c>
      <c r="J1224" s="6" t="s">
        <v>390</v>
      </c>
    </row>
    <row r="1225" spans="1:10">
      <c r="A1225" s="9">
        <v>81</v>
      </c>
      <c r="B1225" s="10">
        <v>4568</v>
      </c>
      <c r="C1225" s="3">
        <v>10000</v>
      </c>
      <c r="D1225" s="3">
        <v>10000</v>
      </c>
      <c r="E1225" s="7">
        <v>0</v>
      </c>
      <c r="F1225" s="5">
        <v>45884</v>
      </c>
      <c r="G1225" s="4">
        <v>20250814</v>
      </c>
      <c r="H1225" s="6" t="s">
        <v>30</v>
      </c>
      <c r="I1225" s="8" t="s">
        <v>10</v>
      </c>
      <c r="J1225" s="6" t="s">
        <v>228</v>
      </c>
    </row>
    <row r="1226" spans="1:10">
      <c r="A1226" s="9">
        <v>225</v>
      </c>
      <c r="B1226" s="10">
        <v>8866</v>
      </c>
      <c r="C1226" s="3">
        <v>100000</v>
      </c>
      <c r="D1226" s="3">
        <v>100000</v>
      </c>
      <c r="E1226" s="7">
        <v>0</v>
      </c>
      <c r="F1226" s="5">
        <v>45888</v>
      </c>
      <c r="G1226" s="4">
        <v>20250818</v>
      </c>
      <c r="H1226" s="6" t="s">
        <v>30</v>
      </c>
      <c r="I1226" s="8" t="s">
        <v>9</v>
      </c>
      <c r="J1226" s="6" t="s">
        <v>389</v>
      </c>
    </row>
    <row r="1227" spans="1:10">
      <c r="A1227" s="9">
        <v>345</v>
      </c>
      <c r="B1227" s="10">
        <v>6254</v>
      </c>
      <c r="C1227" s="3">
        <v>120000</v>
      </c>
      <c r="D1227" s="3">
        <v>120000</v>
      </c>
      <c r="E1227" s="7">
        <v>0</v>
      </c>
      <c r="F1227" s="5">
        <v>45888</v>
      </c>
      <c r="G1227" s="4">
        <v>20250818</v>
      </c>
      <c r="H1227" s="6" t="s">
        <v>30</v>
      </c>
      <c r="I1227" s="8" t="s">
        <v>9</v>
      </c>
      <c r="J1227" s="6" t="s">
        <v>64</v>
      </c>
    </row>
    <row r="1228" spans="1:10">
      <c r="A1228" s="9">
        <v>451</v>
      </c>
      <c r="B1228" s="10">
        <v>4967</v>
      </c>
      <c r="C1228" s="3">
        <v>1090000</v>
      </c>
      <c r="D1228" s="3">
        <v>1090000</v>
      </c>
      <c r="E1228" s="7">
        <v>0</v>
      </c>
      <c r="F1228" s="5">
        <v>45888</v>
      </c>
      <c r="G1228" s="4">
        <v>20250818</v>
      </c>
      <c r="H1228" s="6" t="s">
        <v>30</v>
      </c>
      <c r="I1228" s="8" t="s">
        <v>9</v>
      </c>
      <c r="J1228" s="6" t="s">
        <v>388</v>
      </c>
    </row>
    <row r="1229" spans="1:10">
      <c r="A1229" s="9">
        <v>225</v>
      </c>
      <c r="B1229" s="10">
        <v>8866</v>
      </c>
      <c r="C1229" s="3">
        <v>40000</v>
      </c>
      <c r="D1229" s="3">
        <v>40000</v>
      </c>
      <c r="E1229" s="7">
        <v>0</v>
      </c>
      <c r="F1229" s="5">
        <v>45889</v>
      </c>
      <c r="G1229" s="4">
        <v>20250819</v>
      </c>
      <c r="H1229" s="6" t="s">
        <v>30</v>
      </c>
      <c r="I1229" s="8" t="s">
        <v>9</v>
      </c>
      <c r="J1229" s="6" t="s">
        <v>389</v>
      </c>
    </row>
    <row r="1230" spans="1:10">
      <c r="A1230" s="9">
        <v>551</v>
      </c>
      <c r="B1230" s="10">
        <v>9643</v>
      </c>
      <c r="C1230" s="3">
        <v>75000</v>
      </c>
      <c r="D1230" s="3">
        <v>75000</v>
      </c>
      <c r="E1230" s="7">
        <v>0</v>
      </c>
      <c r="F1230" s="5">
        <v>45889</v>
      </c>
      <c r="G1230" s="4">
        <v>20250819</v>
      </c>
      <c r="H1230" s="6" t="s">
        <v>24</v>
      </c>
      <c r="I1230" s="8" t="s">
        <v>9</v>
      </c>
      <c r="J1230" s="6" t="s">
        <v>390</v>
      </c>
    </row>
    <row r="1231" spans="1:10">
      <c r="A1231" s="9">
        <v>345</v>
      </c>
      <c r="B1231" s="10">
        <v>1962</v>
      </c>
      <c r="C1231" s="3">
        <v>10000</v>
      </c>
      <c r="D1231" s="3">
        <v>10000</v>
      </c>
      <c r="E1231" s="7">
        <v>0</v>
      </c>
      <c r="F1231" s="5">
        <v>45889</v>
      </c>
      <c r="G1231" s="4">
        <v>20250819</v>
      </c>
      <c r="H1231" s="6" t="s">
        <v>30</v>
      </c>
      <c r="I1231" s="8" t="s">
        <v>10</v>
      </c>
      <c r="J1231" s="6" t="s">
        <v>391</v>
      </c>
    </row>
    <row r="1232" spans="1:10">
      <c r="A1232" s="9">
        <v>451</v>
      </c>
      <c r="B1232" s="10">
        <v>4967</v>
      </c>
      <c r="C1232" s="3">
        <v>1460000</v>
      </c>
      <c r="D1232" s="3">
        <v>1460000</v>
      </c>
      <c r="E1232" s="7">
        <v>0</v>
      </c>
      <c r="F1232" s="5">
        <v>45890</v>
      </c>
      <c r="G1232" s="4">
        <v>20250820</v>
      </c>
      <c r="H1232" s="6" t="s">
        <v>30</v>
      </c>
      <c r="I1232" s="8"/>
      <c r="J1232" s="6" t="s">
        <v>388</v>
      </c>
    </row>
    <row r="1233" spans="1:10">
      <c r="A1233" s="9">
        <v>688</v>
      </c>
      <c r="B1233" s="10">
        <v>4840</v>
      </c>
      <c r="C1233" s="3">
        <v>20000</v>
      </c>
      <c r="D1233" s="3">
        <v>20000</v>
      </c>
      <c r="E1233" s="7">
        <v>0</v>
      </c>
      <c r="F1233" s="5">
        <v>45890</v>
      </c>
      <c r="G1233" s="4">
        <v>20250820</v>
      </c>
      <c r="H1233" s="6" t="s">
        <v>30</v>
      </c>
      <c r="I1233" s="8" t="s">
        <v>10</v>
      </c>
      <c r="J1233" s="6" t="s">
        <v>168</v>
      </c>
    </row>
    <row r="1234" spans="1:10">
      <c r="A1234" s="9">
        <v>253</v>
      </c>
      <c r="B1234" s="10">
        <v>5176</v>
      </c>
      <c r="C1234" s="3">
        <v>9920000</v>
      </c>
      <c r="D1234" s="3">
        <v>9920000</v>
      </c>
      <c r="E1234" s="7">
        <v>0</v>
      </c>
      <c r="F1234" s="5">
        <v>45891</v>
      </c>
      <c r="G1234" s="4">
        <v>20250821</v>
      </c>
      <c r="H1234" s="6" t="s">
        <v>24</v>
      </c>
      <c r="I1234" s="8"/>
      <c r="J1234" s="6" t="s">
        <v>53</v>
      </c>
    </row>
    <row r="1235" spans="1:10">
      <c r="A1235" s="9">
        <v>345</v>
      </c>
      <c r="B1235" s="10">
        <v>1962</v>
      </c>
      <c r="C1235" s="3">
        <v>640000</v>
      </c>
      <c r="D1235" s="3">
        <v>640000</v>
      </c>
      <c r="E1235" s="7">
        <v>0</v>
      </c>
      <c r="F1235" s="5">
        <v>45894</v>
      </c>
      <c r="G1235" s="4">
        <v>20250824</v>
      </c>
      <c r="H1235" s="6" t="s">
        <v>30</v>
      </c>
      <c r="I1235" s="8" t="s">
        <v>9</v>
      </c>
      <c r="J1235" s="6" t="s">
        <v>391</v>
      </c>
    </row>
    <row r="1236" spans="1:10">
      <c r="A1236" s="9">
        <v>438</v>
      </c>
      <c r="B1236" s="10">
        <v>1565</v>
      </c>
      <c r="C1236" s="3">
        <v>2220000</v>
      </c>
      <c r="D1236" s="3">
        <v>2220000</v>
      </c>
      <c r="E1236" s="7">
        <v>0</v>
      </c>
      <c r="F1236" s="5">
        <v>45894</v>
      </c>
      <c r="G1236" s="4">
        <v>20250824</v>
      </c>
      <c r="H1236" s="6" t="s">
        <v>24</v>
      </c>
      <c r="I1236" s="8" t="s">
        <v>9</v>
      </c>
      <c r="J1236" s="6" t="s">
        <v>42</v>
      </c>
    </row>
    <row r="1237" spans="1:10">
      <c r="A1237" s="9">
        <v>438</v>
      </c>
      <c r="B1237" s="10">
        <v>1565</v>
      </c>
      <c r="C1237" s="3">
        <v>1410000</v>
      </c>
      <c r="D1237" s="3">
        <v>1410000</v>
      </c>
      <c r="E1237" s="7">
        <v>0</v>
      </c>
      <c r="F1237" s="5">
        <v>45895</v>
      </c>
      <c r="G1237" s="4">
        <v>20250825</v>
      </c>
      <c r="H1237" s="6" t="s">
        <v>24</v>
      </c>
      <c r="I1237" s="8" t="s">
        <v>9</v>
      </c>
      <c r="J1237" s="6" t="s">
        <v>42</v>
      </c>
    </row>
    <row r="1238" spans="1:10">
      <c r="A1238" s="9">
        <v>345</v>
      </c>
      <c r="B1238" s="10">
        <v>6254</v>
      </c>
      <c r="C1238" s="3">
        <v>40000</v>
      </c>
      <c r="D1238" s="3">
        <v>40000</v>
      </c>
      <c r="E1238" s="7">
        <v>0</v>
      </c>
      <c r="F1238" s="5">
        <v>45895</v>
      </c>
      <c r="G1238" s="4">
        <v>20250825</v>
      </c>
      <c r="H1238" s="6" t="s">
        <v>30</v>
      </c>
      <c r="I1238" s="8" t="s">
        <v>9</v>
      </c>
      <c r="J1238" s="6" t="s">
        <v>64</v>
      </c>
    </row>
    <row r="1239" spans="1:10">
      <c r="A1239" s="9">
        <v>451</v>
      </c>
      <c r="B1239" s="10">
        <v>4967</v>
      </c>
      <c r="C1239" s="3">
        <v>750000</v>
      </c>
      <c r="D1239" s="3">
        <v>750000</v>
      </c>
      <c r="E1239" s="7">
        <v>0</v>
      </c>
      <c r="F1239" s="5">
        <v>45895</v>
      </c>
      <c r="G1239" s="4">
        <v>20250825</v>
      </c>
      <c r="H1239" s="6" t="s">
        <v>30</v>
      </c>
      <c r="I1239" s="8" t="s">
        <v>9</v>
      </c>
      <c r="J1239" s="6" t="s">
        <v>388</v>
      </c>
    </row>
    <row r="1240" spans="1:10">
      <c r="A1240" s="9">
        <v>551</v>
      </c>
      <c r="B1240" s="10">
        <v>9643</v>
      </c>
      <c r="C1240" s="3">
        <v>98100</v>
      </c>
      <c r="D1240" s="3">
        <v>98100</v>
      </c>
      <c r="E1240" s="7">
        <v>0</v>
      </c>
      <c r="F1240" s="5">
        <v>45897</v>
      </c>
      <c r="G1240" s="4">
        <v>20250827</v>
      </c>
      <c r="H1240" s="6" t="s">
        <v>24</v>
      </c>
      <c r="I1240" s="8" t="s">
        <v>9</v>
      </c>
      <c r="J1240" s="6" t="s">
        <v>390</v>
      </c>
    </row>
    <row r="1241" spans="1:10">
      <c r="A1241" s="9">
        <v>345</v>
      </c>
      <c r="B1241" s="10">
        <v>1962</v>
      </c>
      <c r="C1241" s="3">
        <v>20000</v>
      </c>
      <c r="D1241" s="3">
        <v>20000</v>
      </c>
      <c r="E1241" s="7">
        <v>0</v>
      </c>
      <c r="F1241" s="5">
        <v>45897</v>
      </c>
      <c r="G1241" s="4">
        <v>20250827</v>
      </c>
      <c r="H1241" s="6" t="s">
        <v>30</v>
      </c>
      <c r="I1241" s="8" t="s">
        <v>10</v>
      </c>
      <c r="J1241" s="6" t="s">
        <v>391</v>
      </c>
    </row>
    <row r="1242" spans="1:10">
      <c r="A1242" s="9">
        <v>438</v>
      </c>
      <c r="B1242" s="10">
        <v>1565</v>
      </c>
      <c r="C1242" s="3">
        <v>180000</v>
      </c>
      <c r="D1242" s="3">
        <v>180000</v>
      </c>
      <c r="E1242" s="7">
        <v>0</v>
      </c>
      <c r="F1242" s="5">
        <v>45898</v>
      </c>
      <c r="G1242" s="4">
        <v>20250828</v>
      </c>
      <c r="H1242" s="6" t="s">
        <v>24</v>
      </c>
      <c r="I1242" s="8" t="s">
        <v>9</v>
      </c>
      <c r="J1242" s="6" t="s">
        <v>42</v>
      </c>
    </row>
    <row r="1243" spans="1:10">
      <c r="A1243" s="9">
        <v>91</v>
      </c>
      <c r="B1243" s="10">
        <v>5148</v>
      </c>
      <c r="C1243" s="3">
        <v>2840000</v>
      </c>
      <c r="D1243" s="3">
        <v>2840000</v>
      </c>
      <c r="E1243" s="7">
        <v>0</v>
      </c>
      <c r="F1243" s="5">
        <v>45898</v>
      </c>
      <c r="G1243" s="4">
        <v>20250828</v>
      </c>
      <c r="H1243" s="6" t="s">
        <v>24</v>
      </c>
      <c r="I1243" s="8" t="s">
        <v>9</v>
      </c>
      <c r="J1243" s="6" t="s">
        <v>88</v>
      </c>
    </row>
    <row r="1244" spans="1:10">
      <c r="A1244" s="9">
        <v>551</v>
      </c>
      <c r="B1244" s="10">
        <v>9643</v>
      </c>
      <c r="C1244" s="3">
        <v>235000</v>
      </c>
      <c r="D1244" s="3">
        <v>235000</v>
      </c>
      <c r="E1244" s="7">
        <v>0</v>
      </c>
      <c r="F1244" s="5">
        <v>45898</v>
      </c>
      <c r="G1244" s="4">
        <v>20250828</v>
      </c>
      <c r="H1244" s="6" t="s">
        <v>24</v>
      </c>
      <c r="I1244" s="8" t="s">
        <v>9</v>
      </c>
      <c r="J1244" s="6" t="s">
        <v>390</v>
      </c>
    </row>
    <row r="1245" spans="1:10">
      <c r="A1245" s="9">
        <v>451</v>
      </c>
      <c r="B1245" s="10">
        <v>4967</v>
      </c>
      <c r="C1245" s="3">
        <v>10000</v>
      </c>
      <c r="D1245" s="3">
        <v>10000</v>
      </c>
      <c r="E1245" s="7">
        <v>0</v>
      </c>
      <c r="F1245" s="5">
        <v>45898</v>
      </c>
      <c r="G1245" s="4">
        <v>20250828</v>
      </c>
      <c r="H1245" s="6" t="s">
        <v>30</v>
      </c>
      <c r="I1245" s="8" t="s">
        <v>10</v>
      </c>
      <c r="J1245" s="6" t="s">
        <v>388</v>
      </c>
    </row>
    <row r="1246" spans="1:10">
      <c r="A1246" s="9">
        <v>345</v>
      </c>
      <c r="B1246" s="10">
        <v>1962</v>
      </c>
      <c r="C1246" s="3">
        <v>790000</v>
      </c>
      <c r="D1246" s="3">
        <v>790000</v>
      </c>
      <c r="E1246" s="7">
        <v>0</v>
      </c>
      <c r="F1246" s="5">
        <v>45902</v>
      </c>
      <c r="G1246" s="4">
        <v>20250901</v>
      </c>
      <c r="H1246" s="6" t="s">
        <v>30</v>
      </c>
      <c r="I1246" s="8" t="s">
        <v>9</v>
      </c>
      <c r="J1246" s="6" t="s">
        <v>391</v>
      </c>
    </row>
    <row r="1247" spans="1:10">
      <c r="A1247" s="9">
        <v>345</v>
      </c>
      <c r="B1247" s="10">
        <v>6254</v>
      </c>
      <c r="C1247" s="3">
        <v>600000</v>
      </c>
      <c r="D1247" s="3">
        <v>600000</v>
      </c>
      <c r="E1247" s="7">
        <v>0</v>
      </c>
      <c r="F1247" s="5">
        <v>45902</v>
      </c>
      <c r="G1247" s="4">
        <v>20250901</v>
      </c>
      <c r="H1247" s="6" t="s">
        <v>30</v>
      </c>
      <c r="I1247" s="8" t="s">
        <v>9</v>
      </c>
      <c r="J1247" s="6" t="s">
        <v>64</v>
      </c>
    </row>
    <row r="1248" spans="1:10">
      <c r="A1248" s="9">
        <v>688</v>
      </c>
      <c r="B1248" s="10">
        <v>4840</v>
      </c>
      <c r="C1248" s="3">
        <v>140000</v>
      </c>
      <c r="D1248" s="3">
        <v>140000</v>
      </c>
      <c r="E1248" s="7">
        <v>0</v>
      </c>
      <c r="F1248" s="5">
        <v>45902</v>
      </c>
      <c r="G1248" s="4">
        <v>20250901</v>
      </c>
      <c r="H1248" s="6" t="s">
        <v>30</v>
      </c>
      <c r="I1248" s="8" t="s">
        <v>9</v>
      </c>
      <c r="J1248" s="6" t="s">
        <v>168</v>
      </c>
    </row>
    <row r="1249" spans="1:10">
      <c r="A1249" s="9">
        <v>959</v>
      </c>
      <c r="B1249" s="10">
        <v>4498</v>
      </c>
      <c r="C1249" s="3">
        <v>1560000</v>
      </c>
      <c r="D1249" s="3">
        <v>1560000</v>
      </c>
      <c r="E1249" s="7">
        <v>0</v>
      </c>
      <c r="F1249" s="5">
        <v>45902</v>
      </c>
      <c r="G1249" s="4">
        <v>20250901</v>
      </c>
      <c r="H1249" s="6" t="s">
        <v>30</v>
      </c>
      <c r="I1249" s="8" t="s">
        <v>9</v>
      </c>
      <c r="J1249" s="6" t="s">
        <v>392</v>
      </c>
    </row>
    <row r="1250" spans="1:10">
      <c r="A1250" s="9">
        <v>345</v>
      </c>
      <c r="B1250" s="10">
        <v>1962</v>
      </c>
      <c r="C1250" s="3">
        <v>1470000</v>
      </c>
      <c r="D1250" s="3">
        <v>1470000</v>
      </c>
      <c r="E1250" s="7">
        <v>0</v>
      </c>
      <c r="F1250" s="5">
        <v>45903</v>
      </c>
      <c r="G1250" s="4">
        <v>20250902</v>
      </c>
      <c r="H1250" s="6" t="s">
        <v>30</v>
      </c>
      <c r="I1250" s="8" t="s">
        <v>9</v>
      </c>
      <c r="J1250" s="6" t="s">
        <v>391</v>
      </c>
    </row>
    <row r="1251" spans="1:10">
      <c r="A1251" s="9">
        <v>688</v>
      </c>
      <c r="B1251" s="10">
        <v>4840</v>
      </c>
      <c r="C1251" s="3">
        <v>60000</v>
      </c>
      <c r="D1251" s="3">
        <v>60000</v>
      </c>
      <c r="E1251" s="7">
        <v>0</v>
      </c>
      <c r="F1251" s="5">
        <v>45903</v>
      </c>
      <c r="G1251" s="4">
        <v>20250902</v>
      </c>
      <c r="H1251" s="6" t="s">
        <v>30</v>
      </c>
      <c r="I1251" s="8" t="s">
        <v>9</v>
      </c>
      <c r="J1251" s="6" t="s">
        <v>168</v>
      </c>
    </row>
    <row r="1252" spans="1:10">
      <c r="A1252" s="9">
        <v>551</v>
      </c>
      <c r="B1252" s="10">
        <v>9643</v>
      </c>
      <c r="C1252" s="3">
        <v>70000</v>
      </c>
      <c r="D1252" s="3">
        <v>70000</v>
      </c>
      <c r="E1252" s="7">
        <v>0</v>
      </c>
      <c r="F1252" s="5">
        <v>45903</v>
      </c>
      <c r="G1252" s="4">
        <v>20250902</v>
      </c>
      <c r="H1252" s="6" t="s">
        <v>24</v>
      </c>
      <c r="I1252" s="8" t="s">
        <v>9</v>
      </c>
      <c r="J1252" s="6" t="s">
        <v>390</v>
      </c>
    </row>
    <row r="1253" spans="1:10">
      <c r="A1253" s="9">
        <v>225</v>
      </c>
      <c r="B1253" s="10">
        <v>8866</v>
      </c>
      <c r="C1253" s="3">
        <v>60000</v>
      </c>
      <c r="D1253" s="3">
        <v>60000</v>
      </c>
      <c r="E1253" s="7">
        <v>0</v>
      </c>
      <c r="F1253" s="5">
        <v>45904</v>
      </c>
      <c r="G1253" s="4">
        <v>20250903</v>
      </c>
      <c r="H1253" s="6" t="s">
        <v>30</v>
      </c>
      <c r="I1253" s="8" t="s">
        <v>9</v>
      </c>
      <c r="J1253" s="6" t="s">
        <v>389</v>
      </c>
    </row>
    <row r="1254" spans="1:10">
      <c r="A1254" s="9">
        <v>555</v>
      </c>
      <c r="B1254" s="10">
        <v>7265</v>
      </c>
      <c r="C1254" s="3">
        <v>740000</v>
      </c>
      <c r="D1254" s="3">
        <v>740000</v>
      </c>
      <c r="E1254" s="7">
        <v>0</v>
      </c>
      <c r="F1254" s="5">
        <v>45904</v>
      </c>
      <c r="G1254" s="4">
        <v>20250903</v>
      </c>
      <c r="H1254" s="6" t="s">
        <v>30</v>
      </c>
      <c r="I1254" s="8" t="s">
        <v>9</v>
      </c>
      <c r="J1254" s="6" t="s">
        <v>271</v>
      </c>
    </row>
    <row r="1255" spans="1:10">
      <c r="A1255" s="9">
        <v>763</v>
      </c>
      <c r="B1255" s="10">
        <v>4997</v>
      </c>
      <c r="C1255" s="3">
        <v>100000</v>
      </c>
      <c r="D1255" s="3">
        <v>100000</v>
      </c>
      <c r="E1255" s="7">
        <v>0</v>
      </c>
      <c r="F1255" s="5">
        <v>45904</v>
      </c>
      <c r="G1255" s="4">
        <v>20250903</v>
      </c>
      <c r="H1255" s="6" t="s">
        <v>30</v>
      </c>
      <c r="I1255" s="8" t="s">
        <v>9</v>
      </c>
      <c r="J1255" s="6" t="s">
        <v>393</v>
      </c>
    </row>
    <row r="1256" spans="1:10">
      <c r="A1256" s="9">
        <v>678</v>
      </c>
      <c r="B1256" s="10">
        <v>5227</v>
      </c>
      <c r="C1256" s="3">
        <v>3430000</v>
      </c>
      <c r="D1256" s="3">
        <v>3430000</v>
      </c>
      <c r="E1256" s="7">
        <v>0</v>
      </c>
      <c r="F1256" s="5">
        <v>45904</v>
      </c>
      <c r="G1256" s="4">
        <v>20250903</v>
      </c>
      <c r="H1256" s="6" t="s">
        <v>24</v>
      </c>
      <c r="I1256" s="8" t="s">
        <v>9</v>
      </c>
      <c r="J1256" s="6" t="s">
        <v>394</v>
      </c>
    </row>
    <row r="1257" spans="1:10">
      <c r="A1257" s="9">
        <v>551</v>
      </c>
      <c r="B1257" s="10">
        <v>9643</v>
      </c>
      <c r="C1257" s="3">
        <v>40000</v>
      </c>
      <c r="D1257" s="3">
        <v>40000</v>
      </c>
      <c r="E1257" s="7">
        <v>0</v>
      </c>
      <c r="F1257" s="5">
        <v>45904</v>
      </c>
      <c r="G1257" s="4">
        <v>20250903</v>
      </c>
      <c r="H1257" s="6" t="s">
        <v>24</v>
      </c>
      <c r="I1257" s="8" t="s">
        <v>9</v>
      </c>
      <c r="J1257" s="6" t="s">
        <v>390</v>
      </c>
    </row>
    <row r="1258" spans="1:10">
      <c r="A1258" s="9">
        <v>688</v>
      </c>
      <c r="B1258" s="10">
        <v>4840</v>
      </c>
      <c r="C1258" s="3">
        <v>600000</v>
      </c>
      <c r="D1258" s="3">
        <v>600000</v>
      </c>
      <c r="E1258" s="7">
        <v>0</v>
      </c>
      <c r="F1258" s="5">
        <v>45905</v>
      </c>
      <c r="G1258" s="4">
        <v>20250904</v>
      </c>
      <c r="H1258" s="6" t="s">
        <v>30</v>
      </c>
      <c r="I1258" s="8" t="s">
        <v>9</v>
      </c>
      <c r="J1258" s="6" t="s">
        <v>168</v>
      </c>
    </row>
    <row r="1259" spans="1:10">
      <c r="A1259" s="9">
        <v>30</v>
      </c>
      <c r="B1259" s="10">
        <v>4958</v>
      </c>
      <c r="C1259" s="3">
        <v>200000</v>
      </c>
      <c r="D1259" s="3">
        <v>200000</v>
      </c>
      <c r="E1259" s="7">
        <v>0</v>
      </c>
      <c r="F1259" s="5">
        <v>45908</v>
      </c>
      <c r="G1259" s="4">
        <v>20250907</v>
      </c>
      <c r="H1259" s="6" t="s">
        <v>30</v>
      </c>
      <c r="I1259" s="8" t="s">
        <v>9</v>
      </c>
      <c r="J1259" s="6" t="s">
        <v>144</v>
      </c>
    </row>
    <row r="1260" spans="1:10">
      <c r="A1260" s="9">
        <v>345</v>
      </c>
      <c r="B1260" s="10">
        <v>6254</v>
      </c>
      <c r="C1260" s="3">
        <v>280000</v>
      </c>
      <c r="D1260" s="3">
        <v>280000</v>
      </c>
      <c r="E1260" s="7">
        <v>0</v>
      </c>
      <c r="F1260" s="5">
        <v>45908</v>
      </c>
      <c r="G1260" s="4">
        <v>20250907</v>
      </c>
      <c r="H1260" s="6" t="s">
        <v>30</v>
      </c>
      <c r="I1260" s="8" t="s">
        <v>9</v>
      </c>
      <c r="J1260" s="6" t="s">
        <v>64</v>
      </c>
    </row>
    <row r="1261" spans="1:10">
      <c r="A1261" s="9">
        <v>688</v>
      </c>
      <c r="B1261" s="10">
        <v>4840</v>
      </c>
      <c r="C1261" s="3">
        <v>1200000</v>
      </c>
      <c r="D1261" s="3">
        <v>1200000</v>
      </c>
      <c r="E1261" s="7">
        <v>0</v>
      </c>
      <c r="F1261" s="5">
        <v>45908</v>
      </c>
      <c r="G1261" s="4">
        <v>20250907</v>
      </c>
      <c r="H1261" s="6" t="s">
        <v>30</v>
      </c>
      <c r="I1261" s="8" t="s">
        <v>9</v>
      </c>
      <c r="J1261" s="6" t="s">
        <v>168</v>
      </c>
    </row>
    <row r="1262" spans="1:10">
      <c r="A1262" s="9">
        <v>959</v>
      </c>
      <c r="B1262" s="10">
        <v>4498</v>
      </c>
      <c r="C1262" s="3">
        <v>500000</v>
      </c>
      <c r="D1262" s="3">
        <v>500000</v>
      </c>
      <c r="E1262" s="7">
        <v>0</v>
      </c>
      <c r="F1262" s="5">
        <v>45908</v>
      </c>
      <c r="G1262" s="4">
        <v>20250907</v>
      </c>
      <c r="H1262" s="6" t="s">
        <v>30</v>
      </c>
      <c r="I1262" s="8" t="s">
        <v>9</v>
      </c>
      <c r="J1262" s="6" t="s">
        <v>392</v>
      </c>
    </row>
    <row r="1263" spans="1:10">
      <c r="A1263" s="9">
        <v>820</v>
      </c>
      <c r="B1263" s="10">
        <v>6174</v>
      </c>
      <c r="C1263" s="3">
        <v>3941100</v>
      </c>
      <c r="D1263" s="3">
        <v>3941100</v>
      </c>
      <c r="E1263" s="7">
        <v>0</v>
      </c>
      <c r="F1263" s="5">
        <v>45908</v>
      </c>
      <c r="G1263" s="4">
        <v>20250907</v>
      </c>
      <c r="H1263" s="6" t="s">
        <v>24</v>
      </c>
      <c r="I1263" s="8" t="s">
        <v>9</v>
      </c>
      <c r="J1263" s="6" t="s">
        <v>395</v>
      </c>
    </row>
    <row r="1264" spans="1:10">
      <c r="A1264" s="9">
        <v>267</v>
      </c>
      <c r="B1264" s="10">
        <v>6186</v>
      </c>
      <c r="C1264" s="3">
        <v>2914000</v>
      </c>
      <c r="D1264" s="3">
        <v>2914000</v>
      </c>
      <c r="E1264" s="7">
        <v>0</v>
      </c>
      <c r="F1264" s="5">
        <v>45908</v>
      </c>
      <c r="G1264" s="4">
        <v>20250907</v>
      </c>
      <c r="H1264" s="6" t="s">
        <v>24</v>
      </c>
      <c r="I1264" s="8" t="s">
        <v>9</v>
      </c>
      <c r="J1264" s="6" t="s">
        <v>300</v>
      </c>
    </row>
    <row r="1265" spans="1:10">
      <c r="A1265" s="9">
        <v>91</v>
      </c>
      <c r="B1265" s="10">
        <v>5148</v>
      </c>
      <c r="C1265" s="3">
        <v>1670000</v>
      </c>
      <c r="D1265" s="3">
        <v>1670000</v>
      </c>
      <c r="E1265" s="7">
        <v>0</v>
      </c>
      <c r="F1265" s="5">
        <v>45908</v>
      </c>
      <c r="G1265" s="4">
        <v>20250907</v>
      </c>
      <c r="H1265" s="6" t="s">
        <v>24</v>
      </c>
      <c r="I1265" s="8" t="s">
        <v>9</v>
      </c>
      <c r="J1265" s="6" t="s">
        <v>88</v>
      </c>
    </row>
    <row r="1266" spans="1:10">
      <c r="A1266" s="9">
        <v>438</v>
      </c>
      <c r="B1266" s="10">
        <v>1565</v>
      </c>
      <c r="C1266" s="3">
        <v>1050000</v>
      </c>
      <c r="D1266" s="3">
        <v>1050000</v>
      </c>
      <c r="E1266" s="7">
        <v>0</v>
      </c>
      <c r="F1266" s="5">
        <v>45909</v>
      </c>
      <c r="G1266" s="4">
        <v>20250908</v>
      </c>
      <c r="H1266" s="6" t="s">
        <v>24</v>
      </c>
      <c r="I1266" s="8" t="s">
        <v>9</v>
      </c>
      <c r="J1266" s="6" t="s">
        <v>42</v>
      </c>
    </row>
    <row r="1267" spans="1:10">
      <c r="A1267" s="9">
        <v>849</v>
      </c>
      <c r="B1267" s="10">
        <v>9724</v>
      </c>
      <c r="C1267" s="3">
        <v>2800000</v>
      </c>
      <c r="D1267" s="3">
        <v>2800000</v>
      </c>
      <c r="E1267" s="7">
        <v>0</v>
      </c>
      <c r="F1267" s="5">
        <v>45910</v>
      </c>
      <c r="G1267" s="4">
        <v>20250909</v>
      </c>
      <c r="H1267" s="6" t="s">
        <v>24</v>
      </c>
      <c r="I1267" s="8" t="s">
        <v>9</v>
      </c>
      <c r="J1267" s="6" t="s">
        <v>396</v>
      </c>
    </row>
    <row r="1268" spans="1:10">
      <c r="A1268" s="9">
        <v>959</v>
      </c>
      <c r="B1268" s="10">
        <v>9265</v>
      </c>
      <c r="C1268" s="3">
        <v>800000</v>
      </c>
      <c r="D1268" s="3">
        <v>800000</v>
      </c>
      <c r="E1268" s="7">
        <v>0</v>
      </c>
      <c r="F1268" s="5">
        <v>45910</v>
      </c>
      <c r="G1268" s="4">
        <v>20250909</v>
      </c>
      <c r="H1268" s="6" t="s">
        <v>24</v>
      </c>
      <c r="I1268" s="8" t="s">
        <v>9</v>
      </c>
      <c r="J1268" s="6" t="s">
        <v>397</v>
      </c>
    </row>
    <row r="1269" spans="1:10">
      <c r="A1269" s="9">
        <v>849</v>
      </c>
      <c r="B1269" s="10">
        <v>9724</v>
      </c>
      <c r="C1269" s="3">
        <v>610000</v>
      </c>
      <c r="D1269" s="3">
        <v>610000</v>
      </c>
      <c r="E1269" s="7">
        <v>0</v>
      </c>
      <c r="F1269" s="5">
        <v>45911</v>
      </c>
      <c r="G1269" s="4">
        <v>20250910</v>
      </c>
      <c r="H1269" s="6" t="s">
        <v>24</v>
      </c>
      <c r="I1269" s="8" t="s">
        <v>9</v>
      </c>
      <c r="J1269" s="6" t="s">
        <v>396</v>
      </c>
    </row>
    <row r="1270" spans="1:10">
      <c r="A1270" s="9">
        <v>692</v>
      </c>
      <c r="B1270" s="10">
        <v>1515</v>
      </c>
      <c r="C1270" s="3">
        <v>3140000</v>
      </c>
      <c r="D1270" s="3">
        <v>3140000</v>
      </c>
      <c r="E1270" s="7">
        <v>0</v>
      </c>
      <c r="F1270" s="5">
        <v>45912</v>
      </c>
      <c r="G1270" s="4">
        <v>20250911</v>
      </c>
      <c r="H1270" s="6" t="s">
        <v>24</v>
      </c>
      <c r="I1270" s="8" t="s">
        <v>9</v>
      </c>
      <c r="J1270" s="6" t="s">
        <v>108</v>
      </c>
    </row>
    <row r="1271" spans="1:10">
      <c r="A1271" s="9">
        <v>253</v>
      </c>
      <c r="B1271" s="10">
        <v>5176</v>
      </c>
      <c r="C1271" s="3">
        <v>420000</v>
      </c>
      <c r="D1271" s="3">
        <v>420000</v>
      </c>
      <c r="E1271" s="7">
        <v>0</v>
      </c>
      <c r="F1271" s="5">
        <v>45912</v>
      </c>
      <c r="G1271" s="4">
        <v>20250911</v>
      </c>
      <c r="H1271" s="6" t="s">
        <v>24</v>
      </c>
      <c r="I1271" s="8" t="s">
        <v>9</v>
      </c>
      <c r="J1271" s="6" t="s">
        <v>53</v>
      </c>
    </row>
    <row r="1272" spans="1:10">
      <c r="A1272" s="9">
        <v>688</v>
      </c>
      <c r="B1272" s="10">
        <v>4843</v>
      </c>
      <c r="C1272" s="3">
        <v>130000</v>
      </c>
      <c r="D1272" s="3">
        <v>130000</v>
      </c>
      <c r="E1272" s="7">
        <v>0</v>
      </c>
      <c r="F1272" s="5">
        <v>45912</v>
      </c>
      <c r="G1272" s="4">
        <v>20250911</v>
      </c>
      <c r="H1272" s="6" t="s">
        <v>30</v>
      </c>
      <c r="I1272" s="8" t="s">
        <v>9</v>
      </c>
      <c r="J1272" s="6" t="s">
        <v>157</v>
      </c>
    </row>
    <row r="1273" spans="1:10">
      <c r="A1273" s="9">
        <v>225</v>
      </c>
      <c r="B1273" s="10">
        <v>8866</v>
      </c>
      <c r="C1273" s="3">
        <v>150000</v>
      </c>
      <c r="D1273" s="3">
        <v>150000</v>
      </c>
      <c r="E1273" s="7">
        <v>0</v>
      </c>
      <c r="F1273" s="5">
        <v>45915</v>
      </c>
      <c r="G1273" s="4">
        <v>20250912</v>
      </c>
      <c r="H1273" s="6" t="s">
        <v>30</v>
      </c>
      <c r="I1273" s="8"/>
      <c r="J1273" s="6" t="s">
        <v>389</v>
      </c>
    </row>
    <row r="1274" spans="1:10">
      <c r="A1274" s="9">
        <v>451</v>
      </c>
      <c r="B1274" s="10">
        <v>4967</v>
      </c>
      <c r="C1274" s="3">
        <v>50000</v>
      </c>
      <c r="D1274" s="3">
        <v>50000</v>
      </c>
      <c r="E1274" s="7">
        <v>0</v>
      </c>
      <c r="F1274" s="5">
        <v>45915</v>
      </c>
      <c r="G1274" s="4">
        <v>20250912</v>
      </c>
      <c r="H1274" s="6" t="s">
        <v>30</v>
      </c>
      <c r="I1274" s="8"/>
      <c r="J1274" s="6" t="s">
        <v>388</v>
      </c>
    </row>
    <row r="1275" spans="1:10">
      <c r="A1275" s="9">
        <v>825</v>
      </c>
      <c r="B1275" s="10">
        <v>5023</v>
      </c>
      <c r="C1275" s="3">
        <v>2960000</v>
      </c>
      <c r="D1275" s="3">
        <v>2960000</v>
      </c>
      <c r="E1275" s="7">
        <v>0</v>
      </c>
      <c r="F1275" s="5">
        <v>45915</v>
      </c>
      <c r="G1275" s="4">
        <v>20250914</v>
      </c>
      <c r="H1275" s="6" t="s">
        <v>24</v>
      </c>
      <c r="I1275" s="8" t="s">
        <v>9</v>
      </c>
      <c r="J1275" s="6" t="s">
        <v>162</v>
      </c>
    </row>
    <row r="1276" spans="1:10">
      <c r="A1276" s="9">
        <v>553</v>
      </c>
      <c r="B1276" s="10">
        <v>6707</v>
      </c>
      <c r="C1276" s="3">
        <v>1150000</v>
      </c>
      <c r="D1276" s="3">
        <v>1150000</v>
      </c>
      <c r="E1276" s="7">
        <v>0</v>
      </c>
      <c r="F1276" s="5">
        <v>45916</v>
      </c>
      <c r="G1276" s="4">
        <v>20250915</v>
      </c>
      <c r="H1276" s="6" t="s">
        <v>30</v>
      </c>
      <c r="I1276" s="8"/>
      <c r="J1276" s="6" t="s">
        <v>398</v>
      </c>
    </row>
    <row r="1277" spans="1:10">
      <c r="A1277" s="9">
        <v>554</v>
      </c>
      <c r="B1277" s="10">
        <v>8294</v>
      </c>
      <c r="C1277" s="3">
        <v>3473000</v>
      </c>
      <c r="D1277" s="3">
        <v>3473000</v>
      </c>
      <c r="E1277" s="7">
        <v>0</v>
      </c>
      <c r="F1277" s="5">
        <v>45916</v>
      </c>
      <c r="G1277" s="4">
        <v>20250915</v>
      </c>
      <c r="H1277" s="6" t="s">
        <v>24</v>
      </c>
      <c r="I1277" s="8" t="s">
        <v>9</v>
      </c>
      <c r="J1277" s="6" t="s">
        <v>78</v>
      </c>
    </row>
    <row r="1278" spans="1:10">
      <c r="A1278" s="9">
        <v>154</v>
      </c>
      <c r="B1278" s="10">
        <v>5041</v>
      </c>
      <c r="C1278" s="3">
        <v>2070000</v>
      </c>
      <c r="D1278" s="3">
        <v>2070000</v>
      </c>
      <c r="E1278" s="7">
        <v>0</v>
      </c>
      <c r="F1278" s="5">
        <v>45916</v>
      </c>
      <c r="G1278" s="4">
        <v>20250915</v>
      </c>
      <c r="H1278" s="6" t="s">
        <v>24</v>
      </c>
      <c r="I1278" s="8" t="s">
        <v>9</v>
      </c>
      <c r="J1278" s="6" t="s">
        <v>364</v>
      </c>
    </row>
    <row r="1279" spans="1:10">
      <c r="A1279" s="9">
        <v>253</v>
      </c>
      <c r="B1279" s="10">
        <v>5176</v>
      </c>
      <c r="C1279" s="3">
        <v>360000</v>
      </c>
      <c r="D1279" s="3">
        <v>360000</v>
      </c>
      <c r="E1279" s="7">
        <v>0</v>
      </c>
      <c r="F1279" s="5">
        <v>45916</v>
      </c>
      <c r="G1279" s="4">
        <v>20250915</v>
      </c>
      <c r="H1279" s="6" t="s">
        <v>24</v>
      </c>
      <c r="I1279" s="8" t="s">
        <v>9</v>
      </c>
      <c r="J1279" s="6" t="s">
        <v>53</v>
      </c>
    </row>
    <row r="1280" spans="1:10">
      <c r="A1280" s="9">
        <v>93</v>
      </c>
      <c r="B1280" s="10">
        <v>7227</v>
      </c>
      <c r="C1280" s="3">
        <v>4780000</v>
      </c>
      <c r="D1280" s="3">
        <v>4780000</v>
      </c>
      <c r="E1280" s="7">
        <v>0</v>
      </c>
      <c r="F1280" s="5">
        <v>45916</v>
      </c>
      <c r="G1280" s="4">
        <v>20250915</v>
      </c>
      <c r="H1280" s="6" t="s">
        <v>30</v>
      </c>
      <c r="I1280" s="8" t="s">
        <v>9</v>
      </c>
      <c r="J1280" s="6" t="s">
        <v>399</v>
      </c>
    </row>
    <row r="1281" spans="1:10">
      <c r="A1281" s="9">
        <v>385</v>
      </c>
      <c r="B1281" s="10">
        <v>1826</v>
      </c>
      <c r="C1281" s="3">
        <v>200000</v>
      </c>
      <c r="D1281" s="3">
        <v>200000</v>
      </c>
      <c r="E1281" s="7">
        <v>0</v>
      </c>
      <c r="F1281" s="5">
        <v>45916</v>
      </c>
      <c r="G1281" s="4">
        <v>20250915</v>
      </c>
      <c r="H1281" s="6" t="s">
        <v>30</v>
      </c>
      <c r="I1281" s="8" t="s">
        <v>9</v>
      </c>
      <c r="J1281" s="6" t="s">
        <v>145</v>
      </c>
    </row>
    <row r="1282" spans="1:10">
      <c r="A1282" s="9">
        <v>345</v>
      </c>
      <c r="B1282" s="10">
        <v>6254</v>
      </c>
      <c r="C1282" s="3">
        <v>20000</v>
      </c>
      <c r="D1282" s="3">
        <v>20000</v>
      </c>
      <c r="E1282" s="7">
        <v>0</v>
      </c>
      <c r="F1282" s="5">
        <v>45916</v>
      </c>
      <c r="G1282" s="4">
        <v>20250915</v>
      </c>
      <c r="H1282" s="6" t="s">
        <v>30</v>
      </c>
      <c r="I1282" s="8" t="s">
        <v>10</v>
      </c>
      <c r="J1282" s="6" t="s">
        <v>64</v>
      </c>
    </row>
    <row r="1283" spans="1:10">
      <c r="A1283" s="9">
        <v>765</v>
      </c>
      <c r="B1283" s="10">
        <v>4998</v>
      </c>
      <c r="C1283" s="3">
        <v>170000</v>
      </c>
      <c r="D1283" s="3">
        <v>170000</v>
      </c>
      <c r="E1283" s="7">
        <v>0</v>
      </c>
      <c r="F1283" s="5">
        <v>45888</v>
      </c>
      <c r="G1283" s="4">
        <v>20250818</v>
      </c>
      <c r="H1283" s="6" t="s">
        <v>30</v>
      </c>
      <c r="I1283" s="8" t="s">
        <v>9</v>
      </c>
      <c r="J1283" s="6" t="s">
        <v>268</v>
      </c>
    </row>
    <row r="1284" spans="1:10">
      <c r="A1284" s="9">
        <v>237</v>
      </c>
      <c r="B1284" s="10">
        <v>6467</v>
      </c>
      <c r="C1284" s="3">
        <v>70000</v>
      </c>
      <c r="D1284" s="3">
        <v>70000</v>
      </c>
      <c r="E1284" s="7">
        <v>0</v>
      </c>
      <c r="F1284" s="5">
        <v>45890</v>
      </c>
      <c r="G1284" s="4">
        <v>20250820</v>
      </c>
      <c r="H1284" s="6" t="s">
        <v>24</v>
      </c>
      <c r="I1284" s="8" t="s">
        <v>9</v>
      </c>
      <c r="J1284" s="6" t="s">
        <v>151</v>
      </c>
    </row>
    <row r="1285" spans="1:10">
      <c r="A1285" s="9">
        <v>8</v>
      </c>
      <c r="B1285" s="10">
        <v>5656</v>
      </c>
      <c r="C1285" s="3">
        <v>400000</v>
      </c>
      <c r="D1285" s="3">
        <v>400000</v>
      </c>
      <c r="E1285" s="7">
        <v>0</v>
      </c>
      <c r="F1285" s="5">
        <v>45896</v>
      </c>
      <c r="G1285" s="4">
        <v>20250826</v>
      </c>
      <c r="H1285" s="6" t="s">
        <v>30</v>
      </c>
      <c r="I1285" s="8" t="s">
        <v>9</v>
      </c>
      <c r="J1285" s="6" t="s">
        <v>400</v>
      </c>
    </row>
    <row r="1286" spans="1:10">
      <c r="A1286" s="9">
        <v>262</v>
      </c>
      <c r="B1286" s="10">
        <v>5153</v>
      </c>
      <c r="C1286" s="3">
        <v>2235050</v>
      </c>
      <c r="D1286" s="3">
        <v>2235050</v>
      </c>
      <c r="E1286" s="7">
        <v>0</v>
      </c>
      <c r="F1286" s="5">
        <v>45897</v>
      </c>
      <c r="G1286" s="4">
        <v>20250827</v>
      </c>
      <c r="H1286" s="6" t="s">
        <v>24</v>
      </c>
      <c r="I1286" s="8"/>
      <c r="J1286" s="6" t="s">
        <v>52</v>
      </c>
    </row>
    <row r="1287" spans="1:10">
      <c r="A1287" s="9">
        <v>398</v>
      </c>
      <c r="B1287" s="10">
        <v>9562</v>
      </c>
      <c r="C1287" s="3">
        <v>1800000</v>
      </c>
      <c r="D1287" s="3">
        <v>1800000</v>
      </c>
      <c r="E1287" s="7">
        <v>0</v>
      </c>
      <c r="F1287" s="5">
        <v>45902</v>
      </c>
      <c r="G1287" s="4">
        <v>20250901</v>
      </c>
      <c r="H1287" s="6" t="s">
        <v>30</v>
      </c>
      <c r="I1287" s="8" t="s">
        <v>9</v>
      </c>
      <c r="J1287" s="6" t="s">
        <v>401</v>
      </c>
    </row>
    <row r="1288" spans="1:10">
      <c r="A1288" s="9">
        <v>61</v>
      </c>
      <c r="B1288" s="10">
        <v>788</v>
      </c>
      <c r="C1288" s="3">
        <v>910000</v>
      </c>
      <c r="D1288" s="3">
        <v>910000</v>
      </c>
      <c r="E1288" s="7">
        <v>0</v>
      </c>
      <c r="F1288" s="5">
        <v>45903</v>
      </c>
      <c r="G1288" s="4">
        <v>20250902</v>
      </c>
      <c r="H1288" s="6" t="s">
        <v>24</v>
      </c>
      <c r="I1288" s="8" t="s">
        <v>9</v>
      </c>
      <c r="J1288" s="6" t="s">
        <v>25</v>
      </c>
    </row>
    <row r="1289" spans="1:10">
      <c r="A1289" s="9">
        <v>520</v>
      </c>
      <c r="B1289" s="10">
        <v>4471</v>
      </c>
      <c r="C1289" s="3">
        <v>700000</v>
      </c>
      <c r="D1289" s="3">
        <v>700000</v>
      </c>
      <c r="E1289" s="7">
        <v>0</v>
      </c>
      <c r="F1289" s="5">
        <v>45904</v>
      </c>
      <c r="G1289" s="4">
        <v>20250903</v>
      </c>
      <c r="H1289" s="6" t="s">
        <v>30</v>
      </c>
      <c r="I1289" s="8" t="s">
        <v>9</v>
      </c>
      <c r="J1289" s="6" t="s">
        <v>96</v>
      </c>
    </row>
    <row r="1290" spans="1:10">
      <c r="A1290" s="9">
        <v>536</v>
      </c>
      <c r="B1290" s="10">
        <v>4795</v>
      </c>
      <c r="C1290" s="3">
        <v>200000</v>
      </c>
      <c r="D1290" s="3">
        <v>200000</v>
      </c>
      <c r="E1290" s="7">
        <v>0</v>
      </c>
      <c r="F1290" s="5">
        <v>45904</v>
      </c>
      <c r="G1290" s="4">
        <v>20250903</v>
      </c>
      <c r="H1290" s="6" t="s">
        <v>30</v>
      </c>
      <c r="I1290" s="8" t="s">
        <v>9</v>
      </c>
      <c r="J1290" s="6" t="s">
        <v>37</v>
      </c>
    </row>
    <row r="1291" spans="1:10">
      <c r="A1291" s="9">
        <v>61</v>
      </c>
      <c r="B1291" s="10">
        <v>788</v>
      </c>
      <c r="C1291" s="3">
        <v>1610000</v>
      </c>
      <c r="D1291" s="3">
        <v>1610000</v>
      </c>
      <c r="E1291" s="7">
        <v>0</v>
      </c>
      <c r="F1291" s="5">
        <v>45904</v>
      </c>
      <c r="G1291" s="4">
        <v>20250903</v>
      </c>
      <c r="H1291" s="6" t="s">
        <v>24</v>
      </c>
      <c r="I1291" s="8" t="s">
        <v>9</v>
      </c>
      <c r="J1291" s="6" t="s">
        <v>25</v>
      </c>
    </row>
    <row r="1292" spans="1:10">
      <c r="A1292" s="9">
        <v>281</v>
      </c>
      <c r="B1292" s="10">
        <v>3178</v>
      </c>
      <c r="C1292" s="3">
        <v>300000</v>
      </c>
      <c r="D1292" s="3">
        <v>300000</v>
      </c>
      <c r="E1292" s="7">
        <v>0</v>
      </c>
      <c r="F1292" s="5">
        <v>45905</v>
      </c>
      <c r="G1292" s="4">
        <v>20250904</v>
      </c>
      <c r="H1292" s="6" t="s">
        <v>30</v>
      </c>
      <c r="I1292" s="8" t="s">
        <v>9</v>
      </c>
      <c r="J1292" s="6" t="s">
        <v>402</v>
      </c>
    </row>
    <row r="1293" spans="1:10">
      <c r="A1293" s="9">
        <v>520</v>
      </c>
      <c r="B1293" s="10">
        <v>4471</v>
      </c>
      <c r="C1293" s="3">
        <v>100000</v>
      </c>
      <c r="D1293" s="3">
        <v>100000</v>
      </c>
      <c r="E1293" s="7">
        <v>0</v>
      </c>
      <c r="F1293" s="5">
        <v>45905</v>
      </c>
      <c r="G1293" s="4">
        <v>20250904</v>
      </c>
      <c r="H1293" s="6" t="s">
        <v>30</v>
      </c>
      <c r="I1293" s="8" t="s">
        <v>9</v>
      </c>
      <c r="J1293" s="6" t="s">
        <v>96</v>
      </c>
    </row>
    <row r="1294" spans="1:10">
      <c r="A1294" s="9">
        <v>595</v>
      </c>
      <c r="B1294" s="10">
        <v>3697</v>
      </c>
      <c r="C1294" s="3">
        <v>200000</v>
      </c>
      <c r="D1294" s="3">
        <v>200000</v>
      </c>
      <c r="E1294" s="7">
        <v>0</v>
      </c>
      <c r="F1294" s="5">
        <v>45905</v>
      </c>
      <c r="G1294" s="4">
        <v>20250904</v>
      </c>
      <c r="H1294" s="6" t="s">
        <v>30</v>
      </c>
      <c r="I1294" s="8" t="s">
        <v>9</v>
      </c>
      <c r="J1294" s="6" t="s">
        <v>403</v>
      </c>
    </row>
    <row r="1295" spans="1:10">
      <c r="A1295" s="9">
        <v>264</v>
      </c>
      <c r="B1295" s="10">
        <v>9906</v>
      </c>
      <c r="C1295" s="3">
        <v>2220000</v>
      </c>
      <c r="D1295" s="3">
        <v>2220000</v>
      </c>
      <c r="E1295" s="7">
        <v>0</v>
      </c>
      <c r="F1295" s="5">
        <v>45905</v>
      </c>
      <c r="G1295" s="4">
        <v>20250904</v>
      </c>
      <c r="H1295" s="6" t="s">
        <v>24</v>
      </c>
      <c r="I1295" s="8" t="s">
        <v>9</v>
      </c>
      <c r="J1295" s="6" t="s">
        <v>57</v>
      </c>
    </row>
    <row r="1296" spans="1:10">
      <c r="A1296" s="9">
        <v>613</v>
      </c>
      <c r="B1296" s="10">
        <v>6713</v>
      </c>
      <c r="C1296" s="3">
        <v>66000</v>
      </c>
      <c r="D1296" s="3">
        <v>66000</v>
      </c>
      <c r="E1296" s="7">
        <v>0</v>
      </c>
      <c r="F1296" s="5">
        <v>45905</v>
      </c>
      <c r="G1296" s="4">
        <v>20250904</v>
      </c>
      <c r="H1296" s="6" t="s">
        <v>24</v>
      </c>
      <c r="I1296" s="8" t="s">
        <v>9</v>
      </c>
      <c r="J1296" s="6" t="s">
        <v>404</v>
      </c>
    </row>
    <row r="1297" spans="1:10">
      <c r="A1297" s="9">
        <v>520</v>
      </c>
      <c r="B1297" s="10">
        <v>4471</v>
      </c>
      <c r="C1297" s="3">
        <v>150000</v>
      </c>
      <c r="D1297" s="3">
        <v>150000</v>
      </c>
      <c r="E1297" s="7">
        <v>0</v>
      </c>
      <c r="F1297" s="5">
        <v>45908</v>
      </c>
      <c r="G1297" s="4">
        <v>20250907</v>
      </c>
      <c r="H1297" s="6" t="s">
        <v>30</v>
      </c>
      <c r="I1297" s="8" t="s">
        <v>9</v>
      </c>
      <c r="J1297" s="6" t="s">
        <v>96</v>
      </c>
    </row>
    <row r="1298" spans="1:10">
      <c r="A1298" s="9">
        <v>536</v>
      </c>
      <c r="B1298" s="10">
        <v>8993</v>
      </c>
      <c r="C1298" s="3">
        <v>800000</v>
      </c>
      <c r="D1298" s="3">
        <v>800000</v>
      </c>
      <c r="E1298" s="7">
        <v>0</v>
      </c>
      <c r="F1298" s="5">
        <v>45908</v>
      </c>
      <c r="G1298" s="4">
        <v>20250907</v>
      </c>
      <c r="H1298" s="6" t="s">
        <v>30</v>
      </c>
      <c r="I1298" s="8" t="s">
        <v>9</v>
      </c>
      <c r="J1298" s="6" t="s">
        <v>405</v>
      </c>
    </row>
    <row r="1299" spans="1:10">
      <c r="A1299" s="9">
        <v>541</v>
      </c>
      <c r="B1299" s="10">
        <v>8660</v>
      </c>
      <c r="C1299" s="3">
        <v>450000</v>
      </c>
      <c r="D1299" s="3">
        <v>450000</v>
      </c>
      <c r="E1299" s="7">
        <v>0</v>
      </c>
      <c r="F1299" s="5">
        <v>45908</v>
      </c>
      <c r="G1299" s="4">
        <v>20250907</v>
      </c>
      <c r="H1299" s="6" t="s">
        <v>24</v>
      </c>
      <c r="I1299" s="8" t="s">
        <v>9</v>
      </c>
      <c r="J1299" s="6" t="s">
        <v>291</v>
      </c>
    </row>
    <row r="1300" spans="1:10">
      <c r="A1300" s="9">
        <v>765</v>
      </c>
      <c r="B1300" s="10">
        <v>4998</v>
      </c>
      <c r="C1300" s="3">
        <v>200000</v>
      </c>
      <c r="D1300" s="3">
        <v>200000</v>
      </c>
      <c r="E1300" s="7">
        <v>0</v>
      </c>
      <c r="F1300" s="5">
        <v>45910</v>
      </c>
      <c r="G1300" s="4">
        <v>20250909</v>
      </c>
      <c r="H1300" s="6" t="s">
        <v>30</v>
      </c>
      <c r="I1300" s="8" t="s">
        <v>9</v>
      </c>
      <c r="J1300" s="6" t="s">
        <v>268</v>
      </c>
    </row>
    <row r="1301" spans="1:10">
      <c r="A1301" s="9">
        <v>795</v>
      </c>
      <c r="B1301" s="10">
        <v>1027</v>
      </c>
      <c r="C1301" s="3">
        <v>1740000</v>
      </c>
      <c r="D1301" s="3">
        <v>1740000</v>
      </c>
      <c r="E1301" s="7">
        <v>0</v>
      </c>
      <c r="F1301" s="5">
        <v>45910</v>
      </c>
      <c r="G1301" s="4">
        <v>20250909</v>
      </c>
      <c r="H1301" s="6" t="s">
        <v>24</v>
      </c>
      <c r="I1301" s="8" t="s">
        <v>9</v>
      </c>
      <c r="J1301" s="6" t="s">
        <v>276</v>
      </c>
    </row>
    <row r="1302" spans="1:10">
      <c r="A1302" s="9">
        <v>60</v>
      </c>
      <c r="B1302" s="10">
        <v>8721</v>
      </c>
      <c r="C1302" s="3">
        <v>200000</v>
      </c>
      <c r="D1302" s="3">
        <v>200000</v>
      </c>
      <c r="E1302" s="7">
        <v>0</v>
      </c>
      <c r="F1302" s="5">
        <v>45911</v>
      </c>
      <c r="G1302" s="4">
        <v>20250910</v>
      </c>
      <c r="H1302" s="6" t="s">
        <v>30</v>
      </c>
      <c r="I1302" s="8" t="s">
        <v>9</v>
      </c>
      <c r="J1302" s="6" t="s">
        <v>59</v>
      </c>
    </row>
    <row r="1303" spans="1:10">
      <c r="A1303" s="9">
        <v>60</v>
      </c>
      <c r="B1303" s="10">
        <v>8725</v>
      </c>
      <c r="C1303" s="3">
        <v>800000</v>
      </c>
      <c r="D1303" s="3">
        <v>800000</v>
      </c>
      <c r="E1303" s="7">
        <v>0</v>
      </c>
      <c r="F1303" s="5">
        <v>45911</v>
      </c>
      <c r="G1303" s="4">
        <v>20250910</v>
      </c>
      <c r="H1303" s="6" t="s">
        <v>30</v>
      </c>
      <c r="I1303" s="8" t="s">
        <v>9</v>
      </c>
      <c r="J1303" s="6" t="s">
        <v>323</v>
      </c>
    </row>
    <row r="1304" spans="1:10">
      <c r="A1304" s="9">
        <v>61</v>
      </c>
      <c r="B1304" s="10">
        <v>788</v>
      </c>
      <c r="C1304" s="3">
        <v>1150000</v>
      </c>
      <c r="D1304" s="3">
        <v>1150000</v>
      </c>
      <c r="E1304" s="7">
        <v>0</v>
      </c>
      <c r="F1304" s="5">
        <v>45911</v>
      </c>
      <c r="G1304" s="4">
        <v>20250910</v>
      </c>
      <c r="H1304" s="6" t="s">
        <v>24</v>
      </c>
      <c r="I1304" s="8" t="s">
        <v>9</v>
      </c>
      <c r="J1304" s="6" t="s">
        <v>25</v>
      </c>
    </row>
    <row r="1305" spans="1:10">
      <c r="A1305" s="9">
        <v>795</v>
      </c>
      <c r="B1305" s="10">
        <v>1027</v>
      </c>
      <c r="C1305" s="3">
        <v>1130000</v>
      </c>
      <c r="D1305" s="3">
        <v>1130000</v>
      </c>
      <c r="E1305" s="7">
        <v>0</v>
      </c>
      <c r="F1305" s="5">
        <v>45911</v>
      </c>
      <c r="G1305" s="4">
        <v>20250910</v>
      </c>
      <c r="H1305" s="6" t="s">
        <v>24</v>
      </c>
      <c r="I1305" s="8" t="s">
        <v>9</v>
      </c>
      <c r="J1305" s="6" t="s">
        <v>276</v>
      </c>
    </row>
    <row r="1306" spans="1:10">
      <c r="A1306" s="9">
        <v>631</v>
      </c>
      <c r="B1306" s="10">
        <v>2794</v>
      </c>
      <c r="C1306" s="3">
        <v>20000</v>
      </c>
      <c r="D1306" s="3">
        <v>20000</v>
      </c>
      <c r="E1306" s="7">
        <v>0</v>
      </c>
      <c r="F1306" s="5">
        <v>45911</v>
      </c>
      <c r="G1306" s="4">
        <v>20250910</v>
      </c>
      <c r="H1306" s="6" t="s">
        <v>30</v>
      </c>
      <c r="I1306" s="8" t="s">
        <v>10</v>
      </c>
      <c r="J1306" s="6" t="s">
        <v>97</v>
      </c>
    </row>
    <row r="1307" spans="1:10">
      <c r="A1307" s="9">
        <v>258</v>
      </c>
      <c r="B1307" s="10">
        <v>5155</v>
      </c>
      <c r="C1307" s="3">
        <v>2990000</v>
      </c>
      <c r="D1307" s="3">
        <v>2990000</v>
      </c>
      <c r="E1307" s="7">
        <v>0</v>
      </c>
      <c r="F1307" s="5">
        <v>45912</v>
      </c>
      <c r="G1307" s="4">
        <v>20250911</v>
      </c>
      <c r="H1307" s="6" t="s">
        <v>24</v>
      </c>
      <c r="I1307" s="8" t="s">
        <v>9</v>
      </c>
      <c r="J1307" s="6" t="s">
        <v>331</v>
      </c>
    </row>
    <row r="1308" spans="1:10">
      <c r="A1308" s="9">
        <v>613</v>
      </c>
      <c r="B1308" s="10">
        <v>6713</v>
      </c>
      <c r="C1308" s="3">
        <v>560000</v>
      </c>
      <c r="D1308" s="3">
        <v>560000</v>
      </c>
      <c r="E1308" s="7">
        <v>0</v>
      </c>
      <c r="F1308" s="5">
        <v>45912</v>
      </c>
      <c r="G1308" s="4">
        <v>20250911</v>
      </c>
      <c r="H1308" s="6" t="s">
        <v>24</v>
      </c>
      <c r="I1308" s="8" t="s">
        <v>9</v>
      </c>
      <c r="J1308" s="6" t="s">
        <v>404</v>
      </c>
    </row>
    <row r="1309" spans="1:10">
      <c r="A1309" s="9">
        <v>795</v>
      </c>
      <c r="B1309" s="10">
        <v>1027</v>
      </c>
      <c r="C1309" s="3">
        <v>460000</v>
      </c>
      <c r="D1309" s="3">
        <v>460000</v>
      </c>
      <c r="E1309" s="7">
        <v>0</v>
      </c>
      <c r="F1309" s="5">
        <v>45912</v>
      </c>
      <c r="G1309" s="4">
        <v>20250911</v>
      </c>
      <c r="H1309" s="6" t="s">
        <v>24</v>
      </c>
      <c r="I1309" s="8" t="s">
        <v>9</v>
      </c>
      <c r="J1309" s="6" t="s">
        <v>276</v>
      </c>
    </row>
    <row r="1310" spans="1:10">
      <c r="A1310" s="9">
        <v>60</v>
      </c>
      <c r="B1310" s="10">
        <v>8720</v>
      </c>
      <c r="C1310" s="3">
        <v>100000</v>
      </c>
      <c r="D1310" s="3">
        <v>100000</v>
      </c>
      <c r="E1310" s="7">
        <v>0</v>
      </c>
      <c r="F1310" s="5">
        <v>45912</v>
      </c>
      <c r="G1310" s="4">
        <v>20250911</v>
      </c>
      <c r="H1310" s="6" t="s">
        <v>30</v>
      </c>
      <c r="I1310" s="8" t="s">
        <v>9</v>
      </c>
      <c r="J1310" s="6" t="s">
        <v>324</v>
      </c>
    </row>
    <row r="1311" spans="1:10">
      <c r="A1311" s="9">
        <v>567</v>
      </c>
      <c r="B1311" s="10">
        <v>4521</v>
      </c>
      <c r="C1311" s="3">
        <v>3170000</v>
      </c>
      <c r="D1311" s="3">
        <v>3170000</v>
      </c>
      <c r="E1311" s="7">
        <v>0</v>
      </c>
      <c r="F1311" s="5">
        <v>45912</v>
      </c>
      <c r="G1311" s="4">
        <v>20250911</v>
      </c>
      <c r="H1311" s="6" t="s">
        <v>30</v>
      </c>
      <c r="I1311" s="8" t="s">
        <v>9</v>
      </c>
      <c r="J1311" s="6" t="s">
        <v>120</v>
      </c>
    </row>
    <row r="1312" spans="1:10">
      <c r="A1312" s="9">
        <v>631</v>
      </c>
      <c r="B1312" s="10">
        <v>2616</v>
      </c>
      <c r="C1312" s="3">
        <v>200000</v>
      </c>
      <c r="D1312" s="3">
        <v>200000</v>
      </c>
      <c r="E1312" s="7">
        <v>0</v>
      </c>
      <c r="F1312" s="5">
        <v>45912</v>
      </c>
      <c r="G1312" s="4">
        <v>20250911</v>
      </c>
      <c r="H1312" s="6" t="s">
        <v>30</v>
      </c>
      <c r="I1312" s="8" t="s">
        <v>9</v>
      </c>
      <c r="J1312" s="6" t="s">
        <v>337</v>
      </c>
    </row>
    <row r="1313" spans="1:10">
      <c r="A1313" s="9">
        <v>631</v>
      </c>
      <c r="B1313" s="10">
        <v>2795</v>
      </c>
      <c r="C1313" s="3">
        <v>400000</v>
      </c>
      <c r="D1313" s="3">
        <v>400000</v>
      </c>
      <c r="E1313" s="7">
        <v>0</v>
      </c>
      <c r="F1313" s="5">
        <v>45912</v>
      </c>
      <c r="G1313" s="4">
        <v>20250911</v>
      </c>
      <c r="H1313" s="6" t="s">
        <v>30</v>
      </c>
      <c r="I1313" s="8" t="s">
        <v>9</v>
      </c>
      <c r="J1313" s="6" t="s">
        <v>98</v>
      </c>
    </row>
    <row r="1314" spans="1:10">
      <c r="A1314" s="9">
        <v>330</v>
      </c>
      <c r="B1314" s="10">
        <v>6747</v>
      </c>
      <c r="C1314" s="3">
        <v>3170000</v>
      </c>
      <c r="D1314" s="3">
        <v>3170000</v>
      </c>
      <c r="E1314" s="7">
        <v>0</v>
      </c>
      <c r="F1314" s="5">
        <v>45915</v>
      </c>
      <c r="G1314" s="4">
        <v>20250914</v>
      </c>
      <c r="H1314" s="6" t="s">
        <v>30</v>
      </c>
      <c r="I1314" s="8" t="s">
        <v>9</v>
      </c>
      <c r="J1314" s="6" t="s">
        <v>406</v>
      </c>
    </row>
    <row r="1315" spans="1:10">
      <c r="A1315" s="9">
        <v>457</v>
      </c>
      <c r="B1315" s="10">
        <v>9004</v>
      </c>
      <c r="C1315" s="3">
        <v>1849950</v>
      </c>
      <c r="D1315" s="3">
        <v>1849950</v>
      </c>
      <c r="E1315" s="7">
        <v>0</v>
      </c>
      <c r="F1315" s="5">
        <v>45915</v>
      </c>
      <c r="G1315" s="4">
        <v>20250914</v>
      </c>
      <c r="H1315" s="6" t="s">
        <v>24</v>
      </c>
      <c r="I1315" s="8" t="s">
        <v>9</v>
      </c>
      <c r="J1315" s="6" t="s">
        <v>253</v>
      </c>
    </row>
    <row r="1316" spans="1:10">
      <c r="A1316" s="9">
        <v>625</v>
      </c>
      <c r="B1316" s="10">
        <v>6096</v>
      </c>
      <c r="C1316" s="3">
        <v>100000</v>
      </c>
      <c r="D1316" s="3">
        <v>100000</v>
      </c>
      <c r="E1316" s="7">
        <v>0</v>
      </c>
      <c r="F1316" s="5">
        <v>45915</v>
      </c>
      <c r="G1316" s="4">
        <v>20250914</v>
      </c>
      <c r="H1316" s="6" t="s">
        <v>24</v>
      </c>
      <c r="I1316" s="8" t="s">
        <v>9</v>
      </c>
      <c r="J1316" s="6" t="s">
        <v>188</v>
      </c>
    </row>
    <row r="1317" spans="1:10">
      <c r="A1317" s="9">
        <v>59</v>
      </c>
      <c r="B1317" s="10">
        <v>5002</v>
      </c>
      <c r="C1317" s="3">
        <v>2760000</v>
      </c>
      <c r="D1317" s="3">
        <v>2760000</v>
      </c>
      <c r="E1317" s="7">
        <v>0</v>
      </c>
      <c r="F1317" s="5">
        <v>45916</v>
      </c>
      <c r="G1317" s="4">
        <v>20250915</v>
      </c>
      <c r="H1317" s="6" t="s">
        <v>24</v>
      </c>
      <c r="I1317" s="8" t="s">
        <v>9</v>
      </c>
      <c r="J1317" s="6" t="s">
        <v>407</v>
      </c>
    </row>
    <row r="1318" spans="1:10">
      <c r="A1318" s="9">
        <v>61</v>
      </c>
      <c r="B1318" s="10">
        <v>788</v>
      </c>
      <c r="C1318" s="3">
        <v>800000</v>
      </c>
      <c r="D1318" s="3">
        <v>800000</v>
      </c>
      <c r="E1318" s="7">
        <v>0</v>
      </c>
      <c r="F1318" s="5">
        <v>45916</v>
      </c>
      <c r="G1318" s="4">
        <v>20250915</v>
      </c>
      <c r="H1318" s="6" t="s">
        <v>24</v>
      </c>
      <c r="I1318" s="8" t="s">
        <v>9</v>
      </c>
      <c r="J1318" s="6" t="s">
        <v>25</v>
      </c>
    </row>
    <row r="1319" spans="1:10">
      <c r="A1319" s="9">
        <v>60</v>
      </c>
      <c r="B1319" s="10">
        <v>8720</v>
      </c>
      <c r="C1319" s="3">
        <v>300000</v>
      </c>
      <c r="D1319" s="3">
        <v>300000</v>
      </c>
      <c r="E1319" s="7">
        <v>0</v>
      </c>
      <c r="F1319" s="5">
        <v>45916</v>
      </c>
      <c r="G1319" s="4">
        <v>20250915</v>
      </c>
      <c r="H1319" s="6" t="s">
        <v>30</v>
      </c>
      <c r="I1319" s="8" t="s">
        <v>9</v>
      </c>
      <c r="J1319" s="6" t="s">
        <v>324</v>
      </c>
    </row>
    <row r="1320" spans="1:10">
      <c r="A1320" s="9">
        <v>60</v>
      </c>
      <c r="B1320" s="10">
        <v>8721</v>
      </c>
      <c r="C1320" s="3">
        <v>700000</v>
      </c>
      <c r="D1320" s="3">
        <v>700000</v>
      </c>
      <c r="E1320" s="7">
        <v>0</v>
      </c>
      <c r="F1320" s="5">
        <v>45916</v>
      </c>
      <c r="G1320" s="4">
        <v>20250915</v>
      </c>
      <c r="H1320" s="6" t="s">
        <v>30</v>
      </c>
      <c r="I1320" s="8" t="s">
        <v>9</v>
      </c>
      <c r="J1320" s="6" t="s">
        <v>59</v>
      </c>
    </row>
    <row r="1321" spans="1:10">
      <c r="A1321" s="9">
        <v>60</v>
      </c>
      <c r="B1321" s="10">
        <v>8725</v>
      </c>
      <c r="C1321" s="3">
        <v>200000</v>
      </c>
      <c r="D1321" s="3">
        <v>200000</v>
      </c>
      <c r="E1321" s="7">
        <v>0</v>
      </c>
      <c r="F1321" s="5">
        <v>45916</v>
      </c>
      <c r="G1321" s="4">
        <v>20250915</v>
      </c>
      <c r="H1321" s="6" t="s">
        <v>30</v>
      </c>
      <c r="I1321" s="8" t="s">
        <v>9</v>
      </c>
      <c r="J1321" s="6" t="s">
        <v>323</v>
      </c>
    </row>
    <row r="1322" spans="1:10">
      <c r="A1322" s="9">
        <v>765</v>
      </c>
      <c r="B1322" s="10">
        <v>4998</v>
      </c>
      <c r="C1322" s="3">
        <v>400000</v>
      </c>
      <c r="D1322" s="3">
        <v>400000</v>
      </c>
      <c r="E1322" s="7">
        <v>0</v>
      </c>
      <c r="F1322" s="5">
        <v>45916</v>
      </c>
      <c r="G1322" s="4">
        <v>20250915</v>
      </c>
      <c r="H1322" s="6" t="s">
        <v>30</v>
      </c>
      <c r="I1322" s="8" t="s">
        <v>9</v>
      </c>
      <c r="J1322" s="6" t="s">
        <v>268</v>
      </c>
    </row>
    <row r="1323" spans="1:10">
      <c r="A1323" s="9">
        <v>60</v>
      </c>
      <c r="B1323" s="10">
        <v>8720</v>
      </c>
      <c r="C1323" s="3">
        <v>200000</v>
      </c>
      <c r="D1323" s="3">
        <v>200000</v>
      </c>
      <c r="E1323" s="7">
        <v>0</v>
      </c>
      <c r="F1323" s="5">
        <v>45917</v>
      </c>
      <c r="G1323" s="4">
        <v>20250916</v>
      </c>
      <c r="H1323" s="6" t="s">
        <v>30</v>
      </c>
      <c r="I1323" s="8" t="s">
        <v>9</v>
      </c>
      <c r="J1323" s="6" t="s">
        <v>324</v>
      </c>
    </row>
    <row r="1324" spans="1:10">
      <c r="A1324" s="9">
        <v>631</v>
      </c>
      <c r="B1324" s="10">
        <v>2616</v>
      </c>
      <c r="C1324" s="3">
        <v>740000</v>
      </c>
      <c r="D1324" s="3">
        <v>740000</v>
      </c>
      <c r="E1324" s="7">
        <v>0</v>
      </c>
      <c r="F1324" s="5">
        <v>45917</v>
      </c>
      <c r="G1324" s="4">
        <v>20250916</v>
      </c>
      <c r="H1324" s="6" t="s">
        <v>30</v>
      </c>
      <c r="I1324" s="8" t="s">
        <v>9</v>
      </c>
      <c r="J1324" s="6" t="s">
        <v>337</v>
      </c>
    </row>
    <row r="1325" spans="1:10">
      <c r="A1325" s="9">
        <v>631</v>
      </c>
      <c r="B1325" s="10">
        <v>2795</v>
      </c>
      <c r="C1325" s="3">
        <v>900000</v>
      </c>
      <c r="D1325" s="3">
        <v>900000</v>
      </c>
      <c r="E1325" s="7">
        <v>0</v>
      </c>
      <c r="F1325" s="5">
        <v>45917</v>
      </c>
      <c r="G1325" s="4">
        <v>20250916</v>
      </c>
      <c r="H1325" s="6" t="s">
        <v>30</v>
      </c>
      <c r="I1325" s="8" t="s">
        <v>9</v>
      </c>
      <c r="J1325" s="6" t="s">
        <v>98</v>
      </c>
    </row>
    <row r="1326" spans="1:10">
      <c r="A1326" s="9">
        <v>765</v>
      </c>
      <c r="B1326" s="10">
        <v>4998</v>
      </c>
      <c r="C1326" s="3">
        <v>50000</v>
      </c>
      <c r="D1326" s="3">
        <v>50000</v>
      </c>
      <c r="E1326" s="7">
        <v>0</v>
      </c>
      <c r="F1326" s="5">
        <v>45917</v>
      </c>
      <c r="G1326" s="4">
        <v>20250916</v>
      </c>
      <c r="H1326" s="6" t="s">
        <v>30</v>
      </c>
      <c r="I1326" s="8" t="s">
        <v>9</v>
      </c>
      <c r="J1326" s="6" t="s">
        <v>268</v>
      </c>
    </row>
    <row r="1327" spans="1:10">
      <c r="A1327" s="9">
        <v>625</v>
      </c>
      <c r="B1327" s="10">
        <v>6096</v>
      </c>
      <c r="C1327" s="3">
        <v>90000</v>
      </c>
      <c r="D1327" s="3">
        <v>90000</v>
      </c>
      <c r="E1327" s="7">
        <v>0</v>
      </c>
      <c r="F1327" s="5">
        <v>45917</v>
      </c>
      <c r="G1327" s="4">
        <v>20250916</v>
      </c>
      <c r="H1327" s="6" t="s">
        <v>24</v>
      </c>
      <c r="I1327" s="8" t="s">
        <v>9</v>
      </c>
      <c r="J1327" s="6" t="s">
        <v>188</v>
      </c>
    </row>
    <row r="1328" spans="1:10">
      <c r="A1328" s="9">
        <v>413</v>
      </c>
      <c r="B1328" s="9">
        <v>4133</v>
      </c>
      <c r="C1328" s="3">
        <v>50000</v>
      </c>
      <c r="D1328" s="3">
        <v>50000</v>
      </c>
      <c r="E1328" s="7">
        <v>0</v>
      </c>
      <c r="F1328" s="5">
        <v>45882</v>
      </c>
      <c r="G1328" s="4">
        <v>20250812</v>
      </c>
      <c r="H1328" s="6" t="s">
        <v>30</v>
      </c>
      <c r="I1328" s="8"/>
      <c r="J1328" s="6" t="s">
        <v>408</v>
      </c>
    </row>
    <row r="1329" spans="1:10">
      <c r="A1329" s="9">
        <v>966</v>
      </c>
      <c r="B1329" s="10">
        <v>9941</v>
      </c>
      <c r="C1329" s="3">
        <v>300000</v>
      </c>
      <c r="D1329" s="3">
        <v>300000</v>
      </c>
      <c r="E1329" s="7">
        <v>0</v>
      </c>
      <c r="F1329" s="5">
        <v>45888</v>
      </c>
      <c r="G1329" s="4">
        <v>20250818</v>
      </c>
      <c r="H1329" s="6" t="s">
        <v>30</v>
      </c>
      <c r="I1329" s="8" t="s">
        <v>9</v>
      </c>
      <c r="J1329" s="6" t="s">
        <v>240</v>
      </c>
    </row>
    <row r="1330" spans="1:10">
      <c r="A1330" s="9">
        <v>499</v>
      </c>
      <c r="B1330" s="10">
        <v>9807</v>
      </c>
      <c r="C1330" s="3">
        <v>20000</v>
      </c>
      <c r="D1330" s="3">
        <v>20000</v>
      </c>
      <c r="E1330" s="7">
        <v>0</v>
      </c>
      <c r="F1330" s="5">
        <v>45889</v>
      </c>
      <c r="G1330" s="4">
        <v>20250819</v>
      </c>
      <c r="H1330" s="6" t="s">
        <v>30</v>
      </c>
      <c r="I1330" s="8" t="s">
        <v>10</v>
      </c>
      <c r="J1330" s="6" t="s">
        <v>409</v>
      </c>
    </row>
    <row r="1331" spans="1:10">
      <c r="A1331" s="9">
        <v>966</v>
      </c>
      <c r="B1331" s="10">
        <v>9941</v>
      </c>
      <c r="C1331" s="3">
        <v>20000</v>
      </c>
      <c r="D1331" s="3">
        <v>20000</v>
      </c>
      <c r="E1331" s="7">
        <v>0</v>
      </c>
      <c r="F1331" s="5">
        <v>45895</v>
      </c>
      <c r="G1331" s="4">
        <v>20250825</v>
      </c>
      <c r="H1331" s="6" t="s">
        <v>30</v>
      </c>
      <c r="I1331" s="8" t="s">
        <v>10</v>
      </c>
      <c r="J1331" s="6" t="s">
        <v>240</v>
      </c>
    </row>
    <row r="1332" spans="1:10">
      <c r="A1332" s="9">
        <v>499</v>
      </c>
      <c r="B1332" s="10">
        <v>9807</v>
      </c>
      <c r="C1332" s="3">
        <v>20000</v>
      </c>
      <c r="D1332" s="3">
        <v>20000</v>
      </c>
      <c r="E1332" s="7">
        <v>0</v>
      </c>
      <c r="F1332" s="5">
        <v>45902</v>
      </c>
      <c r="G1332" s="4">
        <v>20250901</v>
      </c>
      <c r="H1332" s="6" t="s">
        <v>30</v>
      </c>
      <c r="I1332" s="8" t="s">
        <v>10</v>
      </c>
      <c r="J1332" s="6" t="s">
        <v>409</v>
      </c>
    </row>
    <row r="1333" spans="1:10">
      <c r="A1333" s="9">
        <v>467</v>
      </c>
      <c r="B1333" s="10">
        <v>8911</v>
      </c>
      <c r="C1333" s="3">
        <v>300000</v>
      </c>
      <c r="D1333" s="3">
        <v>300000</v>
      </c>
      <c r="E1333" s="7">
        <v>0</v>
      </c>
      <c r="F1333" s="5">
        <v>45903</v>
      </c>
      <c r="G1333" s="4">
        <v>20250902</v>
      </c>
      <c r="H1333" s="6" t="s">
        <v>30</v>
      </c>
      <c r="I1333" s="8" t="s">
        <v>9</v>
      </c>
      <c r="J1333" s="6" t="s">
        <v>410</v>
      </c>
    </row>
    <row r="1334" spans="1:10">
      <c r="A1334" s="9">
        <v>499</v>
      </c>
      <c r="B1334" s="10">
        <v>9807</v>
      </c>
      <c r="C1334" s="3">
        <v>50000</v>
      </c>
      <c r="D1334" s="3">
        <v>50000</v>
      </c>
      <c r="E1334" s="7">
        <v>0</v>
      </c>
      <c r="F1334" s="5">
        <v>45903</v>
      </c>
      <c r="G1334" s="4">
        <v>20250902</v>
      </c>
      <c r="H1334" s="6" t="s">
        <v>30</v>
      </c>
      <c r="I1334" s="8" t="s">
        <v>9</v>
      </c>
      <c r="J1334" s="6" t="s">
        <v>409</v>
      </c>
    </row>
    <row r="1335" spans="1:10">
      <c r="A1335" s="9">
        <v>6</v>
      </c>
      <c r="B1335" s="10">
        <v>5001</v>
      </c>
      <c r="C1335" s="3">
        <v>650000</v>
      </c>
      <c r="D1335" s="3">
        <v>650000</v>
      </c>
      <c r="E1335" s="7">
        <v>0</v>
      </c>
      <c r="F1335" s="5">
        <v>45909</v>
      </c>
      <c r="G1335" s="4">
        <v>20250908</v>
      </c>
      <c r="H1335" s="6" t="s">
        <v>24</v>
      </c>
      <c r="I1335" s="8" t="s">
        <v>9</v>
      </c>
      <c r="J1335" s="6" t="s">
        <v>281</v>
      </c>
    </row>
    <row r="1336" spans="1:10">
      <c r="A1336" s="9">
        <v>966</v>
      </c>
      <c r="B1336" s="10">
        <v>9942</v>
      </c>
      <c r="C1336" s="3">
        <v>40000</v>
      </c>
      <c r="D1336" s="3">
        <v>40000</v>
      </c>
      <c r="E1336" s="7">
        <v>0</v>
      </c>
      <c r="F1336" s="5">
        <v>45910</v>
      </c>
      <c r="G1336" s="4">
        <v>20250909</v>
      </c>
      <c r="H1336" s="6" t="s">
        <v>30</v>
      </c>
      <c r="I1336" s="8" t="s">
        <v>9</v>
      </c>
      <c r="J1336" s="6" t="s">
        <v>411</v>
      </c>
    </row>
    <row r="1337" spans="1:10">
      <c r="A1337" s="9">
        <v>966</v>
      </c>
      <c r="B1337" s="10">
        <v>9942</v>
      </c>
      <c r="C1337" s="3">
        <v>850000</v>
      </c>
      <c r="D1337" s="3">
        <v>850000</v>
      </c>
      <c r="E1337" s="7">
        <v>0</v>
      </c>
      <c r="F1337" s="5">
        <v>45911</v>
      </c>
      <c r="G1337" s="4">
        <v>20250910</v>
      </c>
      <c r="H1337" s="6" t="s">
        <v>30</v>
      </c>
      <c r="I1337" s="8" t="s">
        <v>9</v>
      </c>
      <c r="J1337" s="6" t="s">
        <v>411</v>
      </c>
    </row>
    <row r="1338" spans="1:10">
      <c r="A1338" s="9">
        <v>216</v>
      </c>
      <c r="B1338" s="10">
        <v>4433</v>
      </c>
      <c r="C1338" s="3">
        <v>2000000</v>
      </c>
      <c r="D1338" s="3">
        <v>2000000</v>
      </c>
      <c r="E1338" s="7">
        <v>0</v>
      </c>
      <c r="F1338" s="5">
        <v>45915</v>
      </c>
      <c r="G1338" s="4">
        <v>20250913</v>
      </c>
      <c r="H1338" s="6" t="s">
        <v>30</v>
      </c>
      <c r="I1338" s="8" t="s">
        <v>9</v>
      </c>
      <c r="J1338" s="6" t="s">
        <v>412</v>
      </c>
    </row>
    <row r="1339" spans="1:10">
      <c r="A1339" s="9">
        <v>966</v>
      </c>
      <c r="B1339" s="10">
        <v>9941</v>
      </c>
      <c r="C1339" s="3">
        <v>100000</v>
      </c>
      <c r="D1339" s="3">
        <v>100000</v>
      </c>
      <c r="E1339" s="7">
        <v>0</v>
      </c>
      <c r="F1339" s="5">
        <v>45915</v>
      </c>
      <c r="G1339" s="4">
        <v>20250913</v>
      </c>
      <c r="H1339" s="6" t="s">
        <v>30</v>
      </c>
      <c r="I1339" s="8" t="s">
        <v>9</v>
      </c>
      <c r="J1339" s="6" t="s">
        <v>240</v>
      </c>
    </row>
    <row r="1340" spans="1:10">
      <c r="A1340" s="9">
        <v>358</v>
      </c>
      <c r="B1340" s="10">
        <v>5149</v>
      </c>
      <c r="C1340" s="3">
        <v>1520000</v>
      </c>
      <c r="D1340" s="3">
        <v>1520000</v>
      </c>
      <c r="E1340" s="7">
        <v>0</v>
      </c>
      <c r="F1340" s="5">
        <v>45915</v>
      </c>
      <c r="G1340" s="4">
        <v>20250914</v>
      </c>
      <c r="H1340" s="6" t="s">
        <v>24</v>
      </c>
      <c r="I1340" s="8" t="s">
        <v>9</v>
      </c>
      <c r="J1340" s="6" t="s">
        <v>413</v>
      </c>
    </row>
    <row r="1341" spans="1:10">
      <c r="A1341" s="9">
        <v>658</v>
      </c>
      <c r="B1341" s="10">
        <v>7074</v>
      </c>
      <c r="C1341" s="3">
        <v>3800300</v>
      </c>
      <c r="D1341" s="3">
        <v>3800300</v>
      </c>
      <c r="E1341" s="7">
        <v>0</v>
      </c>
      <c r="F1341" s="5">
        <v>45916</v>
      </c>
      <c r="G1341" s="4">
        <v>20250915</v>
      </c>
      <c r="H1341" s="6" t="s">
        <v>24</v>
      </c>
      <c r="I1341" s="8" t="s">
        <v>9</v>
      </c>
      <c r="J1341" s="6" t="s">
        <v>414</v>
      </c>
    </row>
    <row r="1342" spans="1:10">
      <c r="A1342" s="9">
        <v>499</v>
      </c>
      <c r="B1342" s="10">
        <v>9807</v>
      </c>
      <c r="C1342" s="3">
        <v>500000</v>
      </c>
      <c r="D1342" s="3">
        <v>500000</v>
      </c>
      <c r="E1342" s="7">
        <v>0</v>
      </c>
      <c r="F1342" s="5">
        <v>45917</v>
      </c>
      <c r="G1342" s="4">
        <v>20250916</v>
      </c>
      <c r="H1342" s="6" t="s">
        <v>30</v>
      </c>
      <c r="I1342" s="8" t="s">
        <v>9</v>
      </c>
      <c r="J1342" s="6" t="s">
        <v>409</v>
      </c>
    </row>
    <row r="1343" spans="1:10">
      <c r="A1343" s="9">
        <v>467</v>
      </c>
      <c r="B1343" s="10">
        <v>9051</v>
      </c>
      <c r="C1343" s="3">
        <v>1360000</v>
      </c>
      <c r="D1343" s="3">
        <v>1360000</v>
      </c>
      <c r="E1343" s="7">
        <v>0</v>
      </c>
      <c r="F1343" s="5">
        <v>45918</v>
      </c>
      <c r="G1343" s="4">
        <v>20250917</v>
      </c>
      <c r="H1343" s="6" t="s">
        <v>24</v>
      </c>
      <c r="I1343" s="8" t="s">
        <v>9</v>
      </c>
      <c r="J1343" s="6" t="s">
        <v>314</v>
      </c>
    </row>
    <row r="1344" spans="1:10">
      <c r="A1344" s="9">
        <v>601</v>
      </c>
      <c r="B1344" s="10">
        <v>6407</v>
      </c>
      <c r="C1344" s="3">
        <v>825000</v>
      </c>
      <c r="D1344" s="3">
        <v>825000</v>
      </c>
      <c r="E1344" s="7">
        <v>0</v>
      </c>
      <c r="F1344" s="5">
        <v>45918</v>
      </c>
      <c r="G1344" s="4">
        <v>20250917</v>
      </c>
      <c r="H1344" s="6" t="s">
        <v>24</v>
      </c>
      <c r="I1344" s="8" t="s">
        <v>9</v>
      </c>
      <c r="J1344" s="6" t="s">
        <v>415</v>
      </c>
    </row>
    <row r="1345" spans="1:10">
      <c r="A1345" s="9">
        <v>609</v>
      </c>
      <c r="B1345" s="10">
        <v>7875</v>
      </c>
      <c r="C1345" s="3">
        <v>500000</v>
      </c>
      <c r="D1345" s="3">
        <v>500000</v>
      </c>
      <c r="E1345" s="7">
        <v>0</v>
      </c>
      <c r="F1345" s="5">
        <v>45918</v>
      </c>
      <c r="G1345" s="4">
        <v>20250917</v>
      </c>
      <c r="H1345" s="6" t="s">
        <v>24</v>
      </c>
      <c r="I1345" s="8" t="s">
        <v>9</v>
      </c>
      <c r="J1345" s="6" t="s">
        <v>416</v>
      </c>
    </row>
    <row r="1346" spans="1:10">
      <c r="A1346" s="9">
        <v>609</v>
      </c>
      <c r="B1346" s="10">
        <v>7888</v>
      </c>
      <c r="C1346" s="3">
        <v>100000</v>
      </c>
      <c r="D1346" s="3">
        <v>100000</v>
      </c>
      <c r="E1346" s="7">
        <v>0</v>
      </c>
      <c r="F1346" s="5">
        <v>45918</v>
      </c>
      <c r="G1346" s="4">
        <v>20250917</v>
      </c>
      <c r="H1346" s="6" t="s">
        <v>24</v>
      </c>
      <c r="I1346" s="8" t="s">
        <v>9</v>
      </c>
      <c r="J1346" s="6" t="s">
        <v>252</v>
      </c>
    </row>
    <row r="1347" spans="1:10">
      <c r="A1347" s="9">
        <v>20</v>
      </c>
      <c r="B1347" s="9">
        <v>6839</v>
      </c>
      <c r="C1347" s="3">
        <v>2653100</v>
      </c>
      <c r="D1347" s="3">
        <v>2653100</v>
      </c>
      <c r="E1347" s="7">
        <v>0</v>
      </c>
      <c r="F1347" s="5">
        <v>45882</v>
      </c>
      <c r="G1347" s="4">
        <v>20250812</v>
      </c>
      <c r="H1347" s="6" t="s">
        <v>24</v>
      </c>
      <c r="I1347" s="8" t="s">
        <v>9</v>
      </c>
      <c r="J1347" s="6" t="s">
        <v>112</v>
      </c>
    </row>
    <row r="1348" spans="1:10">
      <c r="A1348" s="9">
        <v>828</v>
      </c>
      <c r="B1348" s="10">
        <v>2234</v>
      </c>
      <c r="C1348" s="3">
        <v>1000000</v>
      </c>
      <c r="D1348" s="3">
        <v>1000000</v>
      </c>
      <c r="E1348" s="7">
        <v>0</v>
      </c>
      <c r="F1348" s="5">
        <v>45888</v>
      </c>
      <c r="G1348" s="4">
        <v>20250818</v>
      </c>
      <c r="H1348" s="6" t="s">
        <v>30</v>
      </c>
      <c r="I1348" s="8" t="s">
        <v>9</v>
      </c>
      <c r="J1348" s="6" t="s">
        <v>236</v>
      </c>
    </row>
    <row r="1349" spans="1:10">
      <c r="A1349" s="9">
        <v>198</v>
      </c>
      <c r="B1349" s="10">
        <v>5179</v>
      </c>
      <c r="C1349" s="3">
        <v>2470000</v>
      </c>
      <c r="D1349" s="3">
        <v>2470000</v>
      </c>
      <c r="E1349" s="7">
        <v>0</v>
      </c>
      <c r="F1349" s="5">
        <v>45888</v>
      </c>
      <c r="G1349" s="4">
        <v>20250818</v>
      </c>
      <c r="H1349" s="6" t="s">
        <v>24</v>
      </c>
      <c r="I1349" s="8" t="s">
        <v>9</v>
      </c>
      <c r="J1349" s="6" t="s">
        <v>316</v>
      </c>
    </row>
    <row r="1350" spans="1:10">
      <c r="A1350" s="9">
        <v>20</v>
      </c>
      <c r="B1350" s="10">
        <v>6839</v>
      </c>
      <c r="C1350" s="3">
        <v>2285000</v>
      </c>
      <c r="D1350" s="3">
        <v>2285000</v>
      </c>
      <c r="E1350" s="7">
        <v>0</v>
      </c>
      <c r="F1350" s="5">
        <v>45889</v>
      </c>
      <c r="G1350" s="4">
        <v>20250819</v>
      </c>
      <c r="H1350" s="6" t="s">
        <v>24</v>
      </c>
      <c r="I1350" s="8" t="s">
        <v>9</v>
      </c>
      <c r="J1350" s="6" t="s">
        <v>112</v>
      </c>
    </row>
    <row r="1351" spans="1:10">
      <c r="A1351" s="9">
        <v>828</v>
      </c>
      <c r="B1351" s="10">
        <v>2234</v>
      </c>
      <c r="C1351" s="3">
        <v>200000</v>
      </c>
      <c r="D1351" s="3">
        <v>200000</v>
      </c>
      <c r="E1351" s="7">
        <v>0</v>
      </c>
      <c r="F1351" s="5">
        <v>45890</v>
      </c>
      <c r="G1351" s="4">
        <v>20250820</v>
      </c>
      <c r="H1351" s="6" t="s">
        <v>30</v>
      </c>
      <c r="I1351" s="8" t="s">
        <v>9</v>
      </c>
      <c r="J1351" s="6" t="s">
        <v>236</v>
      </c>
    </row>
    <row r="1352" spans="1:10">
      <c r="A1352" s="9">
        <v>828</v>
      </c>
      <c r="B1352" s="10">
        <v>2234</v>
      </c>
      <c r="C1352" s="3">
        <v>40000</v>
      </c>
      <c r="D1352" s="3">
        <v>40000</v>
      </c>
      <c r="E1352" s="7">
        <v>0</v>
      </c>
      <c r="F1352" s="5">
        <v>45894</v>
      </c>
      <c r="G1352" s="4">
        <v>20250824</v>
      </c>
      <c r="H1352" s="6" t="s">
        <v>30</v>
      </c>
      <c r="I1352" s="8" t="s">
        <v>9</v>
      </c>
      <c r="J1352" s="6" t="s">
        <v>236</v>
      </c>
    </row>
    <row r="1353" spans="1:10">
      <c r="A1353" s="9">
        <v>828</v>
      </c>
      <c r="B1353" s="10">
        <v>2234</v>
      </c>
      <c r="C1353" s="3">
        <v>1200000</v>
      </c>
      <c r="D1353" s="3">
        <v>1200000</v>
      </c>
      <c r="E1353" s="7">
        <v>0</v>
      </c>
      <c r="F1353" s="5">
        <v>45895</v>
      </c>
      <c r="G1353" s="4">
        <v>20250825</v>
      </c>
      <c r="H1353" s="6" t="s">
        <v>30</v>
      </c>
      <c r="I1353" s="8" t="s">
        <v>9</v>
      </c>
      <c r="J1353" s="6" t="s">
        <v>236</v>
      </c>
    </row>
    <row r="1354" spans="1:10">
      <c r="A1354" s="9">
        <v>828</v>
      </c>
      <c r="B1354" s="10">
        <v>2234</v>
      </c>
      <c r="C1354" s="3">
        <v>1900000</v>
      </c>
      <c r="D1354" s="3">
        <v>1900000</v>
      </c>
      <c r="E1354" s="7">
        <v>0</v>
      </c>
      <c r="F1354" s="5">
        <v>45898</v>
      </c>
      <c r="G1354" s="4">
        <v>20250828</v>
      </c>
      <c r="H1354" s="6" t="s">
        <v>30</v>
      </c>
      <c r="I1354" s="8" t="s">
        <v>9</v>
      </c>
      <c r="J1354" s="6" t="s">
        <v>236</v>
      </c>
    </row>
    <row r="1355" spans="1:10">
      <c r="A1355" s="9">
        <v>828</v>
      </c>
      <c r="B1355" s="10">
        <v>2234</v>
      </c>
      <c r="C1355" s="3">
        <v>2300000</v>
      </c>
      <c r="D1355" s="3">
        <v>2300000</v>
      </c>
      <c r="E1355" s="7">
        <v>0</v>
      </c>
      <c r="F1355" s="5">
        <v>45903</v>
      </c>
      <c r="G1355" s="4">
        <v>20250902</v>
      </c>
      <c r="H1355" s="6" t="s">
        <v>30</v>
      </c>
      <c r="I1355" s="8" t="s">
        <v>9</v>
      </c>
      <c r="J1355" s="6" t="s">
        <v>236</v>
      </c>
    </row>
    <row r="1356" spans="1:10">
      <c r="A1356" s="9">
        <v>828</v>
      </c>
      <c r="B1356" s="10">
        <v>2234</v>
      </c>
      <c r="C1356" s="3">
        <v>800000</v>
      </c>
      <c r="D1356" s="3">
        <v>800000</v>
      </c>
      <c r="E1356" s="7">
        <v>0</v>
      </c>
      <c r="F1356" s="5">
        <v>45904</v>
      </c>
      <c r="G1356" s="4">
        <v>20250903</v>
      </c>
      <c r="H1356" s="6" t="s">
        <v>30</v>
      </c>
      <c r="I1356" s="8" t="s">
        <v>9</v>
      </c>
      <c r="J1356" s="6" t="s">
        <v>236</v>
      </c>
    </row>
    <row r="1357" spans="1:10">
      <c r="A1357" s="9">
        <v>915</v>
      </c>
      <c r="B1357" s="10">
        <v>8313</v>
      </c>
      <c r="C1357" s="3">
        <v>1530000</v>
      </c>
      <c r="D1357" s="3">
        <v>1530000</v>
      </c>
      <c r="E1357" s="7">
        <v>0</v>
      </c>
      <c r="F1357" s="5">
        <v>45911</v>
      </c>
      <c r="G1357" s="4">
        <v>20250910</v>
      </c>
      <c r="H1357" s="6" t="s">
        <v>24</v>
      </c>
      <c r="I1357" s="8" t="s">
        <v>9</v>
      </c>
      <c r="J1357" s="6" t="s">
        <v>27</v>
      </c>
    </row>
    <row r="1358" spans="1:10">
      <c r="A1358" s="9">
        <v>20</v>
      </c>
      <c r="B1358" s="10">
        <v>6839</v>
      </c>
      <c r="C1358" s="3">
        <v>710000</v>
      </c>
      <c r="D1358" s="3">
        <v>710000</v>
      </c>
      <c r="E1358" s="7">
        <v>0</v>
      </c>
      <c r="F1358" s="5">
        <v>45911</v>
      </c>
      <c r="G1358" s="4">
        <v>20250910</v>
      </c>
      <c r="H1358" s="6" t="s">
        <v>24</v>
      </c>
      <c r="I1358" s="8" t="s">
        <v>9</v>
      </c>
      <c r="J1358" s="6" t="s">
        <v>112</v>
      </c>
    </row>
    <row r="1359" spans="1:10">
      <c r="A1359" s="9">
        <v>709</v>
      </c>
      <c r="B1359" s="10">
        <v>3426</v>
      </c>
      <c r="C1359" s="3">
        <v>250000</v>
      </c>
      <c r="D1359" s="3">
        <v>250000</v>
      </c>
      <c r="E1359" s="7">
        <v>0</v>
      </c>
      <c r="F1359" s="5">
        <v>45915</v>
      </c>
      <c r="G1359" s="4">
        <v>20250914</v>
      </c>
      <c r="H1359" s="6" t="s">
        <v>30</v>
      </c>
      <c r="I1359" s="8" t="s">
        <v>9</v>
      </c>
      <c r="J1359" s="6" t="s">
        <v>417</v>
      </c>
    </row>
    <row r="1360" spans="1:10">
      <c r="A1360" s="9">
        <v>828</v>
      </c>
      <c r="B1360" s="10">
        <v>2234</v>
      </c>
      <c r="C1360" s="3">
        <v>1000000</v>
      </c>
      <c r="D1360" s="3">
        <v>1000000</v>
      </c>
      <c r="E1360" s="7">
        <v>0</v>
      </c>
      <c r="F1360" s="5">
        <v>45915</v>
      </c>
      <c r="G1360" s="4">
        <v>20250914</v>
      </c>
      <c r="H1360" s="6" t="s">
        <v>30</v>
      </c>
      <c r="I1360" s="8" t="s">
        <v>9</v>
      </c>
      <c r="J1360" s="6" t="s">
        <v>236</v>
      </c>
    </row>
    <row r="1361" spans="1:10">
      <c r="A1361" s="9">
        <v>828</v>
      </c>
      <c r="B1361" s="10">
        <v>2234</v>
      </c>
      <c r="C1361" s="3">
        <v>580000</v>
      </c>
      <c r="D1361" s="3">
        <v>580000</v>
      </c>
      <c r="E1361" s="7">
        <v>0</v>
      </c>
      <c r="F1361" s="5">
        <v>45916</v>
      </c>
      <c r="G1361" s="4">
        <v>20250915</v>
      </c>
      <c r="H1361" s="6" t="s">
        <v>30</v>
      </c>
      <c r="I1361" s="8" t="s">
        <v>9</v>
      </c>
      <c r="J1361" s="6" t="s">
        <v>236</v>
      </c>
    </row>
    <row r="1362" spans="1:10">
      <c r="A1362" s="9">
        <v>322</v>
      </c>
      <c r="B1362" s="10">
        <v>2444</v>
      </c>
      <c r="C1362" s="3">
        <v>2530000</v>
      </c>
      <c r="D1362" s="3">
        <v>2530000</v>
      </c>
      <c r="E1362" s="7">
        <v>0</v>
      </c>
      <c r="F1362" s="5">
        <v>45917</v>
      </c>
      <c r="G1362" s="4">
        <v>20250916</v>
      </c>
      <c r="H1362" s="6" t="s">
        <v>24</v>
      </c>
      <c r="I1362" s="8" t="s">
        <v>9</v>
      </c>
      <c r="J1362" s="6" t="s">
        <v>109</v>
      </c>
    </row>
    <row r="1363" spans="1:10">
      <c r="A1363" s="9">
        <v>229</v>
      </c>
      <c r="B1363" s="10">
        <v>9605</v>
      </c>
      <c r="C1363" s="3">
        <v>1045000</v>
      </c>
      <c r="D1363" s="3">
        <v>1045000</v>
      </c>
      <c r="E1363" s="7">
        <v>0</v>
      </c>
      <c r="F1363" s="5">
        <v>45917</v>
      </c>
      <c r="G1363" s="4">
        <v>20250916</v>
      </c>
      <c r="H1363" s="6" t="s">
        <v>24</v>
      </c>
      <c r="I1363" s="8" t="s">
        <v>9</v>
      </c>
      <c r="J1363" s="6" t="s">
        <v>153</v>
      </c>
    </row>
    <row r="1364" spans="1:10">
      <c r="A1364" s="9">
        <v>377</v>
      </c>
      <c r="B1364" s="10">
        <v>1505</v>
      </c>
      <c r="C1364" s="3">
        <v>1000000</v>
      </c>
      <c r="D1364" s="3">
        <v>1000000</v>
      </c>
      <c r="E1364" s="7">
        <v>0</v>
      </c>
      <c r="F1364" s="5">
        <v>45918</v>
      </c>
      <c r="G1364" s="4">
        <v>20250917</v>
      </c>
      <c r="H1364" s="6" t="s">
        <v>30</v>
      </c>
      <c r="I1364" s="8"/>
      <c r="J1364" s="6" t="s">
        <v>418</v>
      </c>
    </row>
    <row r="1365" spans="1:10">
      <c r="A1365" s="9">
        <v>927</v>
      </c>
      <c r="B1365" s="10">
        <v>5750</v>
      </c>
      <c r="C1365" s="3">
        <v>6500000</v>
      </c>
      <c r="D1365" s="3">
        <v>6500000</v>
      </c>
      <c r="E1365" s="7">
        <v>0</v>
      </c>
      <c r="F1365" s="5">
        <v>45918</v>
      </c>
      <c r="G1365" s="4">
        <v>20250917</v>
      </c>
      <c r="H1365" s="6" t="s">
        <v>30</v>
      </c>
      <c r="I1365" s="8" t="s">
        <v>9</v>
      </c>
      <c r="J1365" s="6" t="s">
        <v>39</v>
      </c>
    </row>
    <row r="1366" spans="1:10">
      <c r="A1366" s="9">
        <v>291</v>
      </c>
      <c r="B1366" s="10">
        <v>5114</v>
      </c>
      <c r="C1366" s="3">
        <v>3950000</v>
      </c>
      <c r="D1366" s="3">
        <v>3950000</v>
      </c>
      <c r="E1366" s="7">
        <v>0</v>
      </c>
      <c r="F1366" s="5">
        <v>45918</v>
      </c>
      <c r="G1366" s="4">
        <v>20250917</v>
      </c>
      <c r="H1366" s="6" t="s">
        <v>24</v>
      </c>
      <c r="I1366" s="8" t="s">
        <v>9</v>
      </c>
      <c r="J1366" s="6" t="s">
        <v>245</v>
      </c>
    </row>
    <row r="1367" spans="1:10">
      <c r="A1367" s="9">
        <v>300</v>
      </c>
      <c r="B1367" s="10">
        <v>5139</v>
      </c>
      <c r="C1367" s="3">
        <v>3330000</v>
      </c>
      <c r="D1367" s="3">
        <v>3330000</v>
      </c>
      <c r="E1367" s="7">
        <v>0</v>
      </c>
      <c r="F1367" s="5">
        <v>45918</v>
      </c>
      <c r="G1367" s="4">
        <v>20250917</v>
      </c>
      <c r="H1367" s="6" t="s">
        <v>24</v>
      </c>
      <c r="I1367" s="8" t="s">
        <v>9</v>
      </c>
      <c r="J1367" s="6" t="s">
        <v>51</v>
      </c>
    </row>
    <row r="1368" spans="1:10">
      <c r="A1368" s="9">
        <v>54</v>
      </c>
      <c r="B1368" s="10">
        <v>6204</v>
      </c>
      <c r="C1368" s="3">
        <v>2110000</v>
      </c>
      <c r="D1368" s="3">
        <v>2110000</v>
      </c>
      <c r="E1368" s="7">
        <v>0</v>
      </c>
      <c r="F1368" s="5">
        <v>45918</v>
      </c>
      <c r="G1368" s="4">
        <v>20250917</v>
      </c>
      <c r="H1368" s="6" t="s">
        <v>24</v>
      </c>
      <c r="I1368" s="8" t="s">
        <v>9</v>
      </c>
      <c r="J1368" s="6" t="s">
        <v>152</v>
      </c>
    </row>
    <row r="1369" spans="1:10">
      <c r="A1369" s="9">
        <v>81</v>
      </c>
      <c r="B1369" s="10">
        <v>5036</v>
      </c>
      <c r="C1369" s="3">
        <v>1960000</v>
      </c>
      <c r="D1369" s="3">
        <v>1960000</v>
      </c>
      <c r="E1369" s="7">
        <v>0</v>
      </c>
      <c r="F1369" s="5">
        <v>45918</v>
      </c>
      <c r="G1369" s="4">
        <v>20250917</v>
      </c>
      <c r="H1369" s="6" t="s">
        <v>24</v>
      </c>
      <c r="I1369" s="8" t="s">
        <v>9</v>
      </c>
      <c r="J1369" s="6" t="s">
        <v>419</v>
      </c>
    </row>
    <row r="1370" spans="1:10">
      <c r="A1370" s="9">
        <v>894</v>
      </c>
      <c r="B1370" s="10">
        <v>6466</v>
      </c>
      <c r="C1370" s="3">
        <v>1590000</v>
      </c>
      <c r="D1370" s="3">
        <v>1590000</v>
      </c>
      <c r="E1370" s="7">
        <v>0</v>
      </c>
      <c r="F1370" s="5">
        <v>45918</v>
      </c>
      <c r="G1370" s="4">
        <v>20250917</v>
      </c>
      <c r="H1370" s="6" t="s">
        <v>24</v>
      </c>
      <c r="I1370" s="8" t="s">
        <v>9</v>
      </c>
      <c r="J1370" s="6" t="s">
        <v>420</v>
      </c>
    </row>
    <row r="1371" spans="1:10">
      <c r="A1371" s="9">
        <v>879</v>
      </c>
      <c r="B1371" s="10">
        <v>5045</v>
      </c>
      <c r="C1371" s="3">
        <v>2050550</v>
      </c>
      <c r="D1371" s="3">
        <v>2050550</v>
      </c>
      <c r="E1371" s="7">
        <v>0</v>
      </c>
      <c r="F1371" s="5">
        <v>45919</v>
      </c>
      <c r="G1371" s="4">
        <v>20250918</v>
      </c>
      <c r="H1371" s="6" t="s">
        <v>24</v>
      </c>
      <c r="I1371" s="8" t="s">
        <v>9</v>
      </c>
      <c r="J1371" s="6" t="s">
        <v>421</v>
      </c>
    </row>
    <row r="1372" spans="1:10">
      <c r="A1372" s="9">
        <v>419</v>
      </c>
      <c r="B1372" s="10">
        <v>5077</v>
      </c>
      <c r="C1372" s="3">
        <v>1630000</v>
      </c>
      <c r="D1372" s="3">
        <v>1630000</v>
      </c>
      <c r="E1372" s="7">
        <v>0</v>
      </c>
      <c r="F1372" s="5">
        <v>45919</v>
      </c>
      <c r="G1372" s="4">
        <v>20250918</v>
      </c>
      <c r="H1372" s="6" t="s">
        <v>24</v>
      </c>
      <c r="I1372" s="8" t="s">
        <v>9</v>
      </c>
      <c r="J1372" s="6" t="s">
        <v>422</v>
      </c>
    </row>
    <row r="1373" spans="1:10">
      <c r="A1373" s="9">
        <v>361</v>
      </c>
      <c r="B1373" s="10">
        <v>5005</v>
      </c>
      <c r="C1373" s="3">
        <v>1120000</v>
      </c>
      <c r="D1373" s="3">
        <v>1120000</v>
      </c>
      <c r="E1373" s="7">
        <v>0</v>
      </c>
      <c r="F1373" s="5">
        <v>45919</v>
      </c>
      <c r="G1373" s="4">
        <v>20250918</v>
      </c>
      <c r="H1373" s="6" t="s">
        <v>24</v>
      </c>
      <c r="I1373" s="8" t="s">
        <v>9</v>
      </c>
      <c r="J1373" s="6" t="s">
        <v>423</v>
      </c>
    </row>
    <row r="1374" spans="1:10">
      <c r="A1374" s="9">
        <v>517</v>
      </c>
      <c r="B1374" s="10">
        <v>5053</v>
      </c>
      <c r="C1374" s="3">
        <v>1080000</v>
      </c>
      <c r="D1374" s="3">
        <v>1080000</v>
      </c>
      <c r="E1374" s="7">
        <v>0</v>
      </c>
      <c r="F1374" s="5">
        <v>45919</v>
      </c>
      <c r="G1374" s="4">
        <v>20250918</v>
      </c>
      <c r="H1374" s="6" t="s">
        <v>24</v>
      </c>
      <c r="I1374" s="8" t="s">
        <v>9</v>
      </c>
      <c r="J1374" s="6" t="s">
        <v>424</v>
      </c>
    </row>
    <row r="1375" spans="1:10">
      <c r="A1375" s="9">
        <v>229</v>
      </c>
      <c r="B1375" s="10">
        <v>9605</v>
      </c>
      <c r="C1375" s="3">
        <v>215000</v>
      </c>
      <c r="D1375" s="3">
        <v>215000</v>
      </c>
      <c r="E1375" s="7">
        <v>0</v>
      </c>
      <c r="F1375" s="5">
        <v>45919</v>
      </c>
      <c r="G1375" s="4">
        <v>20250918</v>
      </c>
      <c r="H1375" s="6" t="s">
        <v>24</v>
      </c>
      <c r="I1375" s="8" t="s">
        <v>9</v>
      </c>
      <c r="J1375" s="6" t="s">
        <v>153</v>
      </c>
    </row>
    <row r="1376" spans="1:10">
      <c r="A1376" s="9">
        <v>377</v>
      </c>
      <c r="B1376" s="10">
        <v>1505</v>
      </c>
      <c r="C1376" s="3">
        <v>6000000</v>
      </c>
      <c r="D1376" s="3">
        <v>6000000</v>
      </c>
      <c r="E1376" s="7">
        <v>0</v>
      </c>
      <c r="F1376" s="5">
        <v>45919</v>
      </c>
      <c r="G1376" s="4">
        <v>20250918</v>
      </c>
      <c r="H1376" s="6" t="s">
        <v>30</v>
      </c>
      <c r="I1376" s="8" t="s">
        <v>9</v>
      </c>
      <c r="J1376" s="6" t="s">
        <v>418</v>
      </c>
    </row>
    <row r="1377" spans="1:10">
      <c r="A1377" s="9">
        <v>60</v>
      </c>
      <c r="B1377" s="10">
        <v>8720</v>
      </c>
      <c r="C1377" s="3">
        <v>100000</v>
      </c>
      <c r="D1377" s="3"/>
      <c r="E1377" s="7">
        <f>+C1377-D1377</f>
        <v>100000</v>
      </c>
      <c r="F1377" s="5">
        <v>45918</v>
      </c>
      <c r="G1377" s="4">
        <v>20250918</v>
      </c>
      <c r="H1377" s="6" t="str">
        <f>VLOOKUP(B1377,CAJEROS!B:D,3,0)</f>
        <v>Dispensador</v>
      </c>
      <c r="I1377" s="8"/>
      <c r="J1377" s="6" t="str">
        <f>VLOOKUP(B1377,CAJEROS!B:E,4,0)</f>
        <v>HALLCALIPR2</v>
      </c>
    </row>
    <row r="1378" spans="1:10">
      <c r="A1378" s="32">
        <v>453</v>
      </c>
      <c r="B1378" s="32">
        <v>8019</v>
      </c>
      <c r="C1378" s="3">
        <v>88900</v>
      </c>
      <c r="D1378" s="3">
        <v>88900</v>
      </c>
      <c r="E1378" s="7">
        <v>0</v>
      </c>
      <c r="F1378" s="5">
        <v>45873</v>
      </c>
      <c r="G1378" s="4">
        <v>20250801</v>
      </c>
      <c r="H1378" s="38" t="s">
        <v>24</v>
      </c>
      <c r="I1378" s="34"/>
      <c r="J1378" s="38" t="s">
        <v>190</v>
      </c>
    </row>
    <row r="1379" spans="1:10">
      <c r="A1379" s="32">
        <v>882</v>
      </c>
      <c r="B1379" s="32">
        <v>3510</v>
      </c>
      <c r="C1379" s="3">
        <v>1620000</v>
      </c>
      <c r="D1379" s="3">
        <v>1620000</v>
      </c>
      <c r="E1379" s="7">
        <v>0</v>
      </c>
      <c r="F1379" s="5">
        <v>45880</v>
      </c>
      <c r="G1379" s="4">
        <v>20250810</v>
      </c>
      <c r="H1379" s="38" t="s">
        <v>30</v>
      </c>
      <c r="I1379" s="34" t="s">
        <v>9</v>
      </c>
      <c r="J1379" s="38" t="s">
        <v>222</v>
      </c>
    </row>
    <row r="1380" spans="1:10">
      <c r="A1380" s="32">
        <v>237</v>
      </c>
      <c r="B1380" s="32">
        <v>6467</v>
      </c>
      <c r="C1380" s="3">
        <v>225000</v>
      </c>
      <c r="D1380" s="3">
        <v>225000</v>
      </c>
      <c r="E1380" s="7">
        <v>0</v>
      </c>
      <c r="F1380" s="5">
        <v>45882</v>
      </c>
      <c r="G1380" s="4">
        <v>20250812</v>
      </c>
      <c r="H1380" s="38" t="s">
        <v>24</v>
      </c>
      <c r="I1380" s="34" t="s">
        <v>9</v>
      </c>
      <c r="J1380" s="38" t="s">
        <v>151</v>
      </c>
    </row>
    <row r="1381" spans="1:10">
      <c r="A1381" s="32">
        <v>24</v>
      </c>
      <c r="B1381" s="32">
        <v>5294</v>
      </c>
      <c r="C1381" s="3">
        <v>450000</v>
      </c>
      <c r="D1381" s="3">
        <v>450000</v>
      </c>
      <c r="E1381" s="7">
        <v>0</v>
      </c>
      <c r="F1381" s="5">
        <v>45882</v>
      </c>
      <c r="G1381" s="4">
        <v>20250812</v>
      </c>
      <c r="H1381" s="38" t="s">
        <v>30</v>
      </c>
      <c r="I1381" s="34" t="s">
        <v>9</v>
      </c>
      <c r="J1381" s="38" t="s">
        <v>425</v>
      </c>
    </row>
    <row r="1382" spans="1:10">
      <c r="A1382" s="32">
        <v>91</v>
      </c>
      <c r="B1382" s="33">
        <v>5148</v>
      </c>
      <c r="C1382" s="3">
        <v>350000</v>
      </c>
      <c r="D1382" s="3">
        <v>350000</v>
      </c>
      <c r="E1382" s="7">
        <v>0</v>
      </c>
      <c r="F1382" s="5">
        <v>45884</v>
      </c>
      <c r="G1382" s="4">
        <v>20250814</v>
      </c>
      <c r="H1382" s="38" t="s">
        <v>24</v>
      </c>
      <c r="I1382" s="34" t="s">
        <v>9</v>
      </c>
      <c r="J1382" s="38" t="s">
        <v>88</v>
      </c>
    </row>
    <row r="1383" spans="1:10">
      <c r="A1383" s="32">
        <v>806</v>
      </c>
      <c r="B1383" s="33">
        <v>5156</v>
      </c>
      <c r="C1383" s="3">
        <v>2608950</v>
      </c>
      <c r="D1383" s="3">
        <v>2608950</v>
      </c>
      <c r="E1383" s="7">
        <v>0</v>
      </c>
      <c r="F1383" s="5">
        <v>45884</v>
      </c>
      <c r="G1383" s="4">
        <v>20250814</v>
      </c>
      <c r="H1383" s="38" t="s">
        <v>24</v>
      </c>
      <c r="I1383" s="34" t="s">
        <v>9</v>
      </c>
      <c r="J1383" s="38" t="s">
        <v>426</v>
      </c>
    </row>
    <row r="1384" spans="1:10">
      <c r="A1384" s="32">
        <v>606</v>
      </c>
      <c r="B1384" s="33">
        <v>5201</v>
      </c>
      <c r="C1384" s="3">
        <v>1738000</v>
      </c>
      <c r="D1384" s="3">
        <v>1738000</v>
      </c>
      <c r="E1384" s="7">
        <v>0</v>
      </c>
      <c r="F1384" s="5">
        <v>45889</v>
      </c>
      <c r="G1384" s="4">
        <v>20250819</v>
      </c>
      <c r="H1384" s="38" t="s">
        <v>24</v>
      </c>
      <c r="I1384" s="34" t="s">
        <v>9</v>
      </c>
      <c r="J1384" s="38" t="s">
        <v>247</v>
      </c>
    </row>
    <row r="1385" spans="1:10">
      <c r="A1385" s="32">
        <v>682</v>
      </c>
      <c r="B1385" s="33">
        <v>5049</v>
      </c>
      <c r="C1385" s="3">
        <v>3803900</v>
      </c>
      <c r="D1385" s="3">
        <v>3803900</v>
      </c>
      <c r="E1385" s="7">
        <v>0</v>
      </c>
      <c r="F1385" s="5">
        <v>45896</v>
      </c>
      <c r="G1385" s="4">
        <v>20250826</v>
      </c>
      <c r="H1385" s="38" t="s">
        <v>24</v>
      </c>
      <c r="I1385" s="34"/>
      <c r="J1385" s="38" t="s">
        <v>163</v>
      </c>
    </row>
    <row r="1386" spans="1:10">
      <c r="A1386" s="32">
        <v>511</v>
      </c>
      <c r="B1386" s="33">
        <v>5122</v>
      </c>
      <c r="C1386" s="3">
        <v>50000</v>
      </c>
      <c r="D1386" s="3">
        <v>50000</v>
      </c>
      <c r="E1386" s="7">
        <v>0</v>
      </c>
      <c r="F1386" s="5">
        <v>45896</v>
      </c>
      <c r="G1386" s="4">
        <v>20250826</v>
      </c>
      <c r="H1386" s="38" t="s">
        <v>24</v>
      </c>
      <c r="I1386" s="34"/>
      <c r="J1386" s="38" t="s">
        <v>125</v>
      </c>
    </row>
    <row r="1387" spans="1:10">
      <c r="A1387" s="32">
        <v>516</v>
      </c>
      <c r="B1387" s="33">
        <v>9729</v>
      </c>
      <c r="C1387" s="3">
        <v>730000</v>
      </c>
      <c r="D1387" s="3">
        <v>730000</v>
      </c>
      <c r="E1387" s="7">
        <v>0</v>
      </c>
      <c r="F1387" s="5">
        <v>45896</v>
      </c>
      <c r="G1387" s="4">
        <v>20250826</v>
      </c>
      <c r="H1387" s="38" t="s">
        <v>24</v>
      </c>
      <c r="I1387" s="34" t="s">
        <v>9</v>
      </c>
      <c r="J1387" s="38" t="s">
        <v>427</v>
      </c>
    </row>
    <row r="1388" spans="1:10">
      <c r="A1388" s="32">
        <v>516</v>
      </c>
      <c r="B1388" s="33">
        <v>9729</v>
      </c>
      <c r="C1388" s="3">
        <v>2575000</v>
      </c>
      <c r="D1388" s="3">
        <v>2575000</v>
      </c>
      <c r="E1388" s="7">
        <v>0</v>
      </c>
      <c r="F1388" s="5">
        <v>45897</v>
      </c>
      <c r="G1388" s="4">
        <v>20250827</v>
      </c>
      <c r="H1388" s="38" t="s">
        <v>24</v>
      </c>
      <c r="I1388" s="34" t="s">
        <v>9</v>
      </c>
      <c r="J1388" s="38" t="s">
        <v>427</v>
      </c>
    </row>
    <row r="1389" spans="1:10">
      <c r="A1389" s="32">
        <v>141</v>
      </c>
      <c r="B1389" s="33">
        <v>1541</v>
      </c>
      <c r="C1389" s="3">
        <v>30000</v>
      </c>
      <c r="D1389" s="3">
        <v>30000</v>
      </c>
      <c r="E1389" s="7">
        <v>0</v>
      </c>
      <c r="F1389" s="5">
        <v>45898</v>
      </c>
      <c r="G1389" s="4">
        <v>20250828</v>
      </c>
      <c r="H1389" s="38" t="s">
        <v>24</v>
      </c>
      <c r="I1389" s="34"/>
      <c r="J1389" s="38" t="s">
        <v>242</v>
      </c>
    </row>
    <row r="1390" spans="1:10">
      <c r="A1390" s="32">
        <v>291</v>
      </c>
      <c r="B1390" s="33">
        <v>8139</v>
      </c>
      <c r="C1390" s="3">
        <v>3815000</v>
      </c>
      <c r="D1390" s="3">
        <v>3815000</v>
      </c>
      <c r="E1390" s="7">
        <v>0</v>
      </c>
      <c r="F1390" s="5">
        <v>45900</v>
      </c>
      <c r="G1390" s="4">
        <v>20250829</v>
      </c>
      <c r="H1390" s="38" t="s">
        <v>24</v>
      </c>
      <c r="I1390" s="34"/>
      <c r="J1390" s="38" t="s">
        <v>428</v>
      </c>
    </row>
    <row r="1391" spans="1:10">
      <c r="A1391" s="32">
        <v>516</v>
      </c>
      <c r="B1391" s="33">
        <v>9729</v>
      </c>
      <c r="C1391" s="3">
        <v>420000</v>
      </c>
      <c r="D1391" s="3">
        <v>420000</v>
      </c>
      <c r="E1391" s="7">
        <v>0</v>
      </c>
      <c r="F1391" s="5">
        <v>45903</v>
      </c>
      <c r="G1391" s="4">
        <v>20250902</v>
      </c>
      <c r="H1391" s="38" t="s">
        <v>24</v>
      </c>
      <c r="I1391" s="34" t="s">
        <v>9</v>
      </c>
      <c r="J1391" s="38" t="s">
        <v>427</v>
      </c>
    </row>
    <row r="1392" spans="1:10">
      <c r="A1392" s="32">
        <v>163</v>
      </c>
      <c r="B1392" s="33">
        <v>4130</v>
      </c>
      <c r="C1392" s="3">
        <v>80000</v>
      </c>
      <c r="D1392" s="3">
        <v>80000</v>
      </c>
      <c r="E1392" s="7">
        <v>0</v>
      </c>
      <c r="F1392" s="5">
        <v>45904</v>
      </c>
      <c r="G1392" s="4">
        <v>20250903</v>
      </c>
      <c r="H1392" s="38" t="s">
        <v>30</v>
      </c>
      <c r="I1392" s="34"/>
      <c r="J1392" s="38" t="s">
        <v>148</v>
      </c>
    </row>
    <row r="1393" spans="1:10">
      <c r="A1393" s="32">
        <v>453</v>
      </c>
      <c r="B1393" s="33">
        <v>8019</v>
      </c>
      <c r="C1393" s="3">
        <v>163500</v>
      </c>
      <c r="D1393" s="3">
        <v>163500</v>
      </c>
      <c r="E1393" s="7">
        <v>0</v>
      </c>
      <c r="F1393" s="5">
        <v>45905</v>
      </c>
      <c r="G1393" s="4">
        <v>20250904</v>
      </c>
      <c r="H1393" s="38" t="s">
        <v>24</v>
      </c>
      <c r="I1393" s="34" t="s">
        <v>9</v>
      </c>
      <c r="J1393" s="38" t="s">
        <v>190</v>
      </c>
    </row>
    <row r="1394" spans="1:10">
      <c r="A1394" s="32">
        <v>453</v>
      </c>
      <c r="B1394" s="33">
        <v>8019</v>
      </c>
      <c r="C1394" s="3">
        <v>1423500</v>
      </c>
      <c r="D1394" s="3">
        <v>1423500</v>
      </c>
      <c r="E1394" s="7">
        <v>0</v>
      </c>
      <c r="F1394" s="5">
        <v>45910</v>
      </c>
      <c r="G1394" s="4">
        <v>20250909</v>
      </c>
      <c r="H1394" s="38" t="s">
        <v>24</v>
      </c>
      <c r="I1394" s="34" t="s">
        <v>9</v>
      </c>
      <c r="J1394" s="38" t="s">
        <v>190</v>
      </c>
    </row>
    <row r="1395" spans="1:10">
      <c r="A1395" s="32">
        <v>706</v>
      </c>
      <c r="B1395" s="33">
        <v>4147</v>
      </c>
      <c r="C1395" s="3">
        <v>10000</v>
      </c>
      <c r="D1395" s="3">
        <v>10000</v>
      </c>
      <c r="E1395" s="7">
        <v>0</v>
      </c>
      <c r="F1395" s="5">
        <v>45910</v>
      </c>
      <c r="G1395" s="4">
        <v>20250909</v>
      </c>
      <c r="H1395" s="38" t="s">
        <v>30</v>
      </c>
      <c r="I1395" s="34" t="s">
        <v>10</v>
      </c>
      <c r="J1395" s="38" t="s">
        <v>44</v>
      </c>
    </row>
    <row r="1396" spans="1:10">
      <c r="A1396" s="32">
        <v>832</v>
      </c>
      <c r="B1396" s="33">
        <v>4767</v>
      </c>
      <c r="C1396" s="3">
        <v>3580000</v>
      </c>
      <c r="D1396" s="3">
        <v>3580000</v>
      </c>
      <c r="E1396" s="7">
        <v>0</v>
      </c>
      <c r="F1396" s="5">
        <v>45911</v>
      </c>
      <c r="G1396" s="4">
        <v>20250910</v>
      </c>
      <c r="H1396" s="38" t="s">
        <v>30</v>
      </c>
      <c r="I1396" s="34" t="s">
        <v>9</v>
      </c>
      <c r="J1396" s="38" t="s">
        <v>204</v>
      </c>
    </row>
    <row r="1397" spans="1:10">
      <c r="A1397" s="32">
        <v>453</v>
      </c>
      <c r="B1397" s="33">
        <v>8019</v>
      </c>
      <c r="C1397" s="3">
        <v>12500</v>
      </c>
      <c r="D1397" s="3">
        <v>12500</v>
      </c>
      <c r="E1397" s="7">
        <v>0</v>
      </c>
      <c r="F1397" s="5">
        <v>45911</v>
      </c>
      <c r="G1397" s="4">
        <v>20250910</v>
      </c>
      <c r="H1397" s="38" t="s">
        <v>24</v>
      </c>
      <c r="I1397" s="34" t="s">
        <v>10</v>
      </c>
      <c r="J1397" s="38" t="s">
        <v>190</v>
      </c>
    </row>
    <row r="1398" spans="1:10">
      <c r="A1398" s="32">
        <v>453</v>
      </c>
      <c r="B1398" s="33">
        <v>8019</v>
      </c>
      <c r="C1398" s="3">
        <v>1521450</v>
      </c>
      <c r="D1398" s="3">
        <v>1521450</v>
      </c>
      <c r="E1398" s="7">
        <v>0</v>
      </c>
      <c r="F1398" s="5">
        <v>45912</v>
      </c>
      <c r="G1398" s="4">
        <v>20250911</v>
      </c>
      <c r="H1398" s="38" t="s">
        <v>24</v>
      </c>
      <c r="I1398" s="34" t="s">
        <v>9</v>
      </c>
      <c r="J1398" s="38" t="s">
        <v>190</v>
      </c>
    </row>
    <row r="1399" spans="1:10">
      <c r="A1399" s="32">
        <v>476</v>
      </c>
      <c r="B1399" s="33">
        <v>5573</v>
      </c>
      <c r="C1399" s="3">
        <v>100000</v>
      </c>
      <c r="D1399" s="3">
        <v>100000</v>
      </c>
      <c r="E1399" s="7">
        <v>0</v>
      </c>
      <c r="F1399" s="5">
        <v>45917</v>
      </c>
      <c r="G1399" s="4">
        <v>20250916</v>
      </c>
      <c r="H1399" s="38" t="s">
        <v>30</v>
      </c>
      <c r="I1399" s="34" t="s">
        <v>9</v>
      </c>
      <c r="J1399" s="38" t="s">
        <v>429</v>
      </c>
    </row>
    <row r="1400" spans="1:10">
      <c r="A1400" s="32">
        <v>163</v>
      </c>
      <c r="B1400" s="33">
        <v>4130</v>
      </c>
      <c r="C1400" s="3">
        <v>200000</v>
      </c>
      <c r="D1400" s="3">
        <v>200000</v>
      </c>
      <c r="E1400" s="7">
        <v>0</v>
      </c>
      <c r="F1400" s="5">
        <v>45918</v>
      </c>
      <c r="G1400" s="4">
        <v>20250917</v>
      </c>
      <c r="H1400" s="38" t="s">
        <v>30</v>
      </c>
      <c r="I1400" s="34" t="s">
        <v>9</v>
      </c>
      <c r="J1400" s="38" t="s">
        <v>148</v>
      </c>
    </row>
    <row r="1401" spans="1:10">
      <c r="A1401" s="32">
        <v>406</v>
      </c>
      <c r="B1401" s="33">
        <v>4579</v>
      </c>
      <c r="C1401" s="3">
        <v>40000</v>
      </c>
      <c r="D1401" s="3">
        <v>40000</v>
      </c>
      <c r="E1401" s="7">
        <v>0</v>
      </c>
      <c r="F1401" s="5">
        <v>45918</v>
      </c>
      <c r="G1401" s="4">
        <v>20250917</v>
      </c>
      <c r="H1401" s="38" t="s">
        <v>30</v>
      </c>
      <c r="I1401" s="34" t="s">
        <v>9</v>
      </c>
      <c r="J1401" s="38" t="s">
        <v>430</v>
      </c>
    </row>
    <row r="1402" spans="1:10">
      <c r="A1402" s="32">
        <v>706</v>
      </c>
      <c r="B1402" s="33">
        <v>4147</v>
      </c>
      <c r="C1402" s="3">
        <v>6500000</v>
      </c>
      <c r="D1402" s="3">
        <v>6500000</v>
      </c>
      <c r="E1402" s="7">
        <v>0</v>
      </c>
      <c r="F1402" s="5">
        <v>45918</v>
      </c>
      <c r="G1402" s="4">
        <v>20250917</v>
      </c>
      <c r="H1402" s="38" t="s">
        <v>30</v>
      </c>
      <c r="I1402" s="34" t="s">
        <v>9</v>
      </c>
      <c r="J1402" s="38" t="s">
        <v>44</v>
      </c>
    </row>
    <row r="1403" spans="1:10">
      <c r="A1403" s="32">
        <v>764</v>
      </c>
      <c r="B1403" s="33">
        <v>6715</v>
      </c>
      <c r="C1403" s="3">
        <v>5693000</v>
      </c>
      <c r="D1403" s="3">
        <v>5693000</v>
      </c>
      <c r="E1403" s="7">
        <v>0</v>
      </c>
      <c r="F1403" s="5">
        <v>45918</v>
      </c>
      <c r="G1403" s="4">
        <v>20250917</v>
      </c>
      <c r="H1403" s="38" t="s">
        <v>24</v>
      </c>
      <c r="I1403" s="34"/>
      <c r="J1403" s="38" t="s">
        <v>431</v>
      </c>
    </row>
    <row r="1404" spans="1:10">
      <c r="A1404" s="32">
        <v>453</v>
      </c>
      <c r="B1404" s="33">
        <v>8019</v>
      </c>
      <c r="C1404" s="3">
        <v>3657000</v>
      </c>
      <c r="D1404" s="3">
        <v>3657000</v>
      </c>
      <c r="E1404" s="7">
        <v>0</v>
      </c>
      <c r="F1404" s="5">
        <v>45918</v>
      </c>
      <c r="G1404" s="4">
        <v>20250917</v>
      </c>
      <c r="H1404" s="38" t="s">
        <v>24</v>
      </c>
      <c r="I1404" s="34" t="s">
        <v>9</v>
      </c>
      <c r="J1404" s="38" t="s">
        <v>190</v>
      </c>
    </row>
    <row r="1405" spans="1:10">
      <c r="A1405" s="32">
        <v>78</v>
      </c>
      <c r="B1405" s="33">
        <v>8594</v>
      </c>
      <c r="C1405" s="3">
        <v>850</v>
      </c>
      <c r="D1405" s="3">
        <v>850</v>
      </c>
      <c r="E1405" s="7">
        <v>0</v>
      </c>
      <c r="F1405" s="5">
        <v>45919</v>
      </c>
      <c r="G1405" s="4">
        <v>20250918</v>
      </c>
      <c r="H1405" s="38" t="s">
        <v>24</v>
      </c>
      <c r="I1405" s="34"/>
      <c r="J1405" s="38" t="s">
        <v>432</v>
      </c>
    </row>
    <row r="1406" spans="1:10">
      <c r="A1406" s="32">
        <v>172</v>
      </c>
      <c r="B1406" s="33">
        <v>7429</v>
      </c>
      <c r="C1406" s="3">
        <v>600000</v>
      </c>
      <c r="D1406" s="3">
        <v>600000</v>
      </c>
      <c r="E1406" s="7">
        <v>0</v>
      </c>
      <c r="F1406" s="5">
        <v>45919</v>
      </c>
      <c r="G1406" s="4">
        <v>20250918</v>
      </c>
      <c r="H1406" s="38" t="s">
        <v>24</v>
      </c>
      <c r="I1406" s="34"/>
      <c r="J1406" s="38" t="s">
        <v>433</v>
      </c>
    </row>
    <row r="1407" spans="1:10">
      <c r="A1407" s="32">
        <v>457</v>
      </c>
      <c r="B1407" s="33">
        <v>9004</v>
      </c>
      <c r="C1407" s="3">
        <v>3030000</v>
      </c>
      <c r="D1407" s="3">
        <v>3030000</v>
      </c>
      <c r="E1407" s="7">
        <v>0</v>
      </c>
      <c r="F1407" s="5">
        <v>45919</v>
      </c>
      <c r="G1407" s="4">
        <v>20250918</v>
      </c>
      <c r="H1407" s="38" t="s">
        <v>24</v>
      </c>
      <c r="I1407" s="34" t="s">
        <v>9</v>
      </c>
      <c r="J1407" s="38" t="s">
        <v>253</v>
      </c>
    </row>
    <row r="1408" spans="1:10">
      <c r="A1408" s="32">
        <v>658</v>
      </c>
      <c r="B1408" s="33">
        <v>6228</v>
      </c>
      <c r="C1408" s="3">
        <v>4770000</v>
      </c>
      <c r="D1408" s="3">
        <v>4770000</v>
      </c>
      <c r="E1408" s="7">
        <v>0</v>
      </c>
      <c r="F1408" s="5">
        <v>45919</v>
      </c>
      <c r="G1408" s="4">
        <v>20250918</v>
      </c>
      <c r="H1408" s="38" t="s">
        <v>30</v>
      </c>
      <c r="I1408" s="34"/>
      <c r="J1408" s="38" t="s">
        <v>203</v>
      </c>
    </row>
    <row r="1409" spans="1:10">
      <c r="A1409" s="32">
        <v>334</v>
      </c>
      <c r="B1409" s="33">
        <v>8801</v>
      </c>
      <c r="C1409" s="3">
        <v>100000</v>
      </c>
      <c r="D1409" s="3">
        <v>100000</v>
      </c>
      <c r="E1409" s="7">
        <v>0</v>
      </c>
      <c r="F1409" s="5">
        <v>45919</v>
      </c>
      <c r="G1409" s="4">
        <v>20250918</v>
      </c>
      <c r="H1409" s="38" t="s">
        <v>30</v>
      </c>
      <c r="I1409" s="34" t="s">
        <v>9</v>
      </c>
      <c r="J1409" s="38" t="s">
        <v>434</v>
      </c>
    </row>
    <row r="1410" spans="1:10">
      <c r="A1410" s="32">
        <v>407</v>
      </c>
      <c r="B1410" s="33">
        <v>4070</v>
      </c>
      <c r="C1410" s="3">
        <v>300000</v>
      </c>
      <c r="D1410" s="3">
        <v>300000</v>
      </c>
      <c r="E1410" s="7">
        <v>0</v>
      </c>
      <c r="F1410" s="5">
        <v>45919</v>
      </c>
      <c r="G1410" s="4">
        <v>20250918</v>
      </c>
      <c r="H1410" s="38" t="s">
        <v>30</v>
      </c>
      <c r="I1410" s="34" t="s">
        <v>9</v>
      </c>
      <c r="J1410" s="38" t="s">
        <v>435</v>
      </c>
    </row>
    <row r="1411" spans="1:10">
      <c r="A1411" s="32">
        <v>60</v>
      </c>
      <c r="B1411" s="33">
        <v>8720</v>
      </c>
      <c r="C1411" s="3">
        <v>100000</v>
      </c>
      <c r="D1411" s="3">
        <v>100000</v>
      </c>
      <c r="E1411" s="7">
        <v>0</v>
      </c>
      <c r="F1411" s="5">
        <v>45922</v>
      </c>
      <c r="G1411" s="4">
        <v>20250921</v>
      </c>
      <c r="H1411" s="38" t="s">
        <v>30</v>
      </c>
      <c r="I1411" s="34" t="s">
        <v>9</v>
      </c>
      <c r="J1411" s="38" t="s">
        <v>324</v>
      </c>
    </row>
    <row r="1412" spans="1:10">
      <c r="A1412" s="32">
        <v>85</v>
      </c>
      <c r="B1412" s="33">
        <v>8974</v>
      </c>
      <c r="C1412" s="3">
        <v>53300</v>
      </c>
      <c r="D1412" s="3">
        <v>53300</v>
      </c>
      <c r="E1412" s="7">
        <v>0</v>
      </c>
      <c r="F1412" s="5">
        <v>45922</v>
      </c>
      <c r="G1412" s="4">
        <v>20250919</v>
      </c>
      <c r="H1412" s="38" t="s">
        <v>24</v>
      </c>
      <c r="I1412" s="34"/>
      <c r="J1412" s="38" t="s">
        <v>382</v>
      </c>
    </row>
    <row r="1413" spans="1:10">
      <c r="A1413" s="32">
        <v>551</v>
      </c>
      <c r="B1413" s="33">
        <v>9643</v>
      </c>
      <c r="C1413" s="3">
        <v>440000</v>
      </c>
      <c r="D1413" s="3">
        <v>440000</v>
      </c>
      <c r="E1413" s="7">
        <v>0</v>
      </c>
      <c r="F1413" s="5">
        <v>45922</v>
      </c>
      <c r="G1413" s="4">
        <v>20250921</v>
      </c>
      <c r="H1413" s="38" t="s">
        <v>24</v>
      </c>
      <c r="I1413" s="34" t="s">
        <v>9</v>
      </c>
      <c r="J1413" s="38" t="s">
        <v>390</v>
      </c>
    </row>
    <row r="1414" spans="1:10">
      <c r="A1414" s="32">
        <v>631</v>
      </c>
      <c r="B1414" s="32">
        <v>2795</v>
      </c>
      <c r="C1414" s="3">
        <v>1010000</v>
      </c>
      <c r="D1414" s="3">
        <v>1010000</v>
      </c>
      <c r="E1414" s="7">
        <v>0</v>
      </c>
      <c r="F1414" s="5">
        <v>45873</v>
      </c>
      <c r="G1414" s="4">
        <v>20250803</v>
      </c>
      <c r="H1414" s="38" t="s">
        <v>30</v>
      </c>
      <c r="I1414" s="34" t="s">
        <v>9</v>
      </c>
      <c r="J1414" s="38" t="s">
        <v>98</v>
      </c>
    </row>
    <row r="1415" spans="1:10">
      <c r="A1415" s="32">
        <v>300</v>
      </c>
      <c r="B1415" s="32">
        <v>5139</v>
      </c>
      <c r="C1415" s="3">
        <v>1052000</v>
      </c>
      <c r="D1415" s="3">
        <v>1052000</v>
      </c>
      <c r="E1415" s="7">
        <v>0</v>
      </c>
      <c r="F1415" s="5">
        <v>45873</v>
      </c>
      <c r="G1415" s="4">
        <v>20250801</v>
      </c>
      <c r="H1415" s="38" t="s">
        <v>24</v>
      </c>
      <c r="I1415" s="34"/>
      <c r="J1415" s="38" t="s">
        <v>51</v>
      </c>
    </row>
    <row r="1416" spans="1:10">
      <c r="A1416" s="32">
        <v>509</v>
      </c>
      <c r="B1416" s="32">
        <v>8835</v>
      </c>
      <c r="C1416" s="3">
        <v>1230000</v>
      </c>
      <c r="D1416" s="3">
        <v>1230000</v>
      </c>
      <c r="E1416" s="7">
        <v>0</v>
      </c>
      <c r="F1416" s="5">
        <v>45873</v>
      </c>
      <c r="G1416" s="4">
        <v>20250801</v>
      </c>
      <c r="H1416" s="38" t="s">
        <v>24</v>
      </c>
      <c r="I1416" s="34"/>
      <c r="J1416" s="38" t="s">
        <v>165</v>
      </c>
    </row>
    <row r="1417" spans="1:10">
      <c r="A1417" s="32">
        <v>19</v>
      </c>
      <c r="B1417" s="32">
        <v>5078</v>
      </c>
      <c r="C1417" s="3">
        <v>799000</v>
      </c>
      <c r="D1417" s="3">
        <v>799000</v>
      </c>
      <c r="E1417" s="7">
        <v>0</v>
      </c>
      <c r="F1417" s="5">
        <v>45873</v>
      </c>
      <c r="G1417" s="4">
        <v>20250803</v>
      </c>
      <c r="H1417" s="38" t="s">
        <v>24</v>
      </c>
      <c r="I1417" s="34" t="s">
        <v>9</v>
      </c>
      <c r="J1417" s="38" t="s">
        <v>367</v>
      </c>
    </row>
    <row r="1418" spans="1:10">
      <c r="A1418" s="32">
        <v>806</v>
      </c>
      <c r="B1418" s="32">
        <v>5156</v>
      </c>
      <c r="C1418" s="3">
        <v>2520050</v>
      </c>
      <c r="D1418" s="3">
        <v>2520050</v>
      </c>
      <c r="E1418" s="7">
        <v>0</v>
      </c>
      <c r="F1418" s="5">
        <v>45874</v>
      </c>
      <c r="G1418" s="4">
        <v>20250804</v>
      </c>
      <c r="H1418" s="38" t="s">
        <v>24</v>
      </c>
      <c r="I1418" s="34" t="s">
        <v>9</v>
      </c>
      <c r="J1418" s="38" t="s">
        <v>426</v>
      </c>
    </row>
    <row r="1419" spans="1:10">
      <c r="A1419" s="32">
        <v>467</v>
      </c>
      <c r="B1419" s="32">
        <v>8917</v>
      </c>
      <c r="C1419" s="3">
        <v>20000</v>
      </c>
      <c r="D1419" s="3">
        <v>20000</v>
      </c>
      <c r="E1419" s="7">
        <v>0</v>
      </c>
      <c r="F1419" s="5">
        <v>45874</v>
      </c>
      <c r="G1419" s="4">
        <v>20250804</v>
      </c>
      <c r="H1419" s="38" t="s">
        <v>30</v>
      </c>
      <c r="I1419" s="34" t="s">
        <v>10</v>
      </c>
      <c r="J1419" s="38" t="s">
        <v>436</v>
      </c>
    </row>
    <row r="1420" spans="1:10">
      <c r="A1420" s="32">
        <v>678</v>
      </c>
      <c r="B1420" s="32">
        <v>5227</v>
      </c>
      <c r="C1420" s="3">
        <v>1965000</v>
      </c>
      <c r="D1420" s="3">
        <v>1965000</v>
      </c>
      <c r="E1420" s="7">
        <v>0</v>
      </c>
      <c r="F1420" s="5">
        <v>45880</v>
      </c>
      <c r="G1420" s="4">
        <v>20250810</v>
      </c>
      <c r="H1420" s="38" t="s">
        <v>24</v>
      </c>
      <c r="I1420" s="34" t="s">
        <v>9</v>
      </c>
      <c r="J1420" s="38" t="s">
        <v>394</v>
      </c>
    </row>
    <row r="1421" spans="1:10">
      <c r="A1421" s="32">
        <v>484</v>
      </c>
      <c r="B1421" s="32">
        <v>7125</v>
      </c>
      <c r="C1421" s="3">
        <v>536900</v>
      </c>
      <c r="D1421" s="3">
        <v>536900</v>
      </c>
      <c r="E1421" s="7">
        <v>0</v>
      </c>
      <c r="F1421" s="5">
        <v>45882</v>
      </c>
      <c r="G1421" s="4">
        <v>20250812</v>
      </c>
      <c r="H1421" s="38" t="s">
        <v>24</v>
      </c>
      <c r="I1421" s="34"/>
      <c r="J1421" s="38" t="s">
        <v>437</v>
      </c>
    </row>
    <row r="1422" spans="1:10">
      <c r="A1422" s="32">
        <v>302</v>
      </c>
      <c r="B1422" s="33">
        <v>5170</v>
      </c>
      <c r="C1422" s="3">
        <v>3190000</v>
      </c>
      <c r="D1422" s="3">
        <v>3190000</v>
      </c>
      <c r="E1422" s="7">
        <v>0</v>
      </c>
      <c r="F1422" s="5">
        <v>45884</v>
      </c>
      <c r="G1422" s="4">
        <v>20250814</v>
      </c>
      <c r="H1422" s="38" t="s">
        <v>24</v>
      </c>
      <c r="I1422" s="34"/>
      <c r="J1422" s="38" t="s">
        <v>28</v>
      </c>
    </row>
    <row r="1423" spans="1:10">
      <c r="A1423" s="32">
        <v>455</v>
      </c>
      <c r="B1423" s="33">
        <v>5206</v>
      </c>
      <c r="C1423" s="3">
        <v>1410050</v>
      </c>
      <c r="D1423" s="3">
        <v>1410050</v>
      </c>
      <c r="E1423" s="7">
        <v>0</v>
      </c>
      <c r="F1423" s="5">
        <v>45884</v>
      </c>
      <c r="G1423" s="4">
        <v>20250814</v>
      </c>
      <c r="H1423" s="38" t="s">
        <v>24</v>
      </c>
      <c r="I1423" s="34"/>
      <c r="J1423" s="38" t="s">
        <v>94</v>
      </c>
    </row>
    <row r="1424" spans="1:10">
      <c r="A1424" s="32">
        <v>348</v>
      </c>
      <c r="B1424" s="33">
        <v>6724</v>
      </c>
      <c r="C1424" s="3">
        <v>7072000</v>
      </c>
      <c r="D1424" s="3">
        <v>7072000</v>
      </c>
      <c r="E1424" s="7">
        <v>0</v>
      </c>
      <c r="F1424" s="5">
        <v>45884</v>
      </c>
      <c r="G1424" s="4">
        <v>20250814</v>
      </c>
      <c r="H1424" s="38" t="s">
        <v>24</v>
      </c>
      <c r="I1424" s="34"/>
      <c r="J1424" s="38" t="s">
        <v>438</v>
      </c>
    </row>
    <row r="1425" spans="1:10">
      <c r="A1425" s="32">
        <v>725</v>
      </c>
      <c r="B1425" s="33">
        <v>5166</v>
      </c>
      <c r="C1425" s="3">
        <v>450000</v>
      </c>
      <c r="D1425" s="3">
        <v>450000</v>
      </c>
      <c r="E1425" s="7">
        <v>0</v>
      </c>
      <c r="F1425" s="5">
        <v>45889</v>
      </c>
      <c r="G1425" s="4">
        <v>20250819</v>
      </c>
      <c r="H1425" s="38" t="s">
        <v>24</v>
      </c>
      <c r="I1425" s="34" t="s">
        <v>9</v>
      </c>
      <c r="J1425" s="38" t="s">
        <v>91</v>
      </c>
    </row>
    <row r="1426" spans="1:10">
      <c r="A1426" s="32">
        <v>419</v>
      </c>
      <c r="B1426" s="33">
        <v>7980</v>
      </c>
      <c r="C1426" s="3">
        <v>1668000</v>
      </c>
      <c r="D1426" s="3">
        <v>1668000</v>
      </c>
      <c r="E1426" s="7">
        <v>0</v>
      </c>
      <c r="F1426" s="5">
        <v>45890</v>
      </c>
      <c r="G1426" s="4">
        <v>20250820</v>
      </c>
      <c r="H1426" s="38" t="s">
        <v>24</v>
      </c>
      <c r="I1426" s="34"/>
      <c r="J1426" s="38" t="s">
        <v>113</v>
      </c>
    </row>
    <row r="1427" spans="1:10">
      <c r="A1427" s="32">
        <v>725</v>
      </c>
      <c r="B1427" s="33">
        <v>5166</v>
      </c>
      <c r="C1427" s="3">
        <v>830000</v>
      </c>
      <c r="D1427" s="3">
        <v>830000</v>
      </c>
      <c r="E1427" s="7">
        <v>0</v>
      </c>
      <c r="F1427" s="5">
        <v>45890</v>
      </c>
      <c r="G1427" s="4">
        <v>20250820</v>
      </c>
      <c r="H1427" s="38" t="s">
        <v>24</v>
      </c>
      <c r="I1427" s="34" t="s">
        <v>9</v>
      </c>
      <c r="J1427" s="38" t="s">
        <v>91</v>
      </c>
    </row>
    <row r="1428" spans="1:10">
      <c r="A1428" s="32">
        <v>725</v>
      </c>
      <c r="B1428" s="33">
        <v>5166</v>
      </c>
      <c r="C1428" s="3">
        <v>720000</v>
      </c>
      <c r="D1428" s="3">
        <v>720000</v>
      </c>
      <c r="E1428" s="7">
        <v>0</v>
      </c>
      <c r="F1428" s="5">
        <v>45891</v>
      </c>
      <c r="G1428" s="4">
        <v>20250821</v>
      </c>
      <c r="H1428" s="38" t="s">
        <v>24</v>
      </c>
      <c r="I1428" s="34"/>
      <c r="J1428" s="38" t="s">
        <v>91</v>
      </c>
    </row>
    <row r="1429" spans="1:10">
      <c r="A1429" s="32">
        <v>432</v>
      </c>
      <c r="B1429" s="33">
        <v>5195</v>
      </c>
      <c r="C1429" s="3">
        <v>1793200</v>
      </c>
      <c r="D1429" s="3">
        <v>1793200</v>
      </c>
      <c r="E1429" s="7">
        <v>0</v>
      </c>
      <c r="F1429" s="5">
        <v>45891</v>
      </c>
      <c r="G1429" s="4">
        <v>20250821</v>
      </c>
      <c r="H1429" s="38" t="s">
        <v>24</v>
      </c>
      <c r="I1429" s="34" t="s">
        <v>9</v>
      </c>
      <c r="J1429" s="38" t="s">
        <v>126</v>
      </c>
    </row>
    <row r="1430" spans="1:10">
      <c r="A1430" s="32">
        <v>454</v>
      </c>
      <c r="B1430" s="33">
        <v>1886</v>
      </c>
      <c r="C1430" s="3">
        <v>20000</v>
      </c>
      <c r="D1430" s="3">
        <v>20000</v>
      </c>
      <c r="E1430" s="7">
        <v>0</v>
      </c>
      <c r="F1430" s="5">
        <v>45891</v>
      </c>
      <c r="G1430" s="4">
        <v>20250821</v>
      </c>
      <c r="H1430" s="38" t="s">
        <v>30</v>
      </c>
      <c r="I1430" s="34" t="s">
        <v>10</v>
      </c>
      <c r="J1430" s="38" t="s">
        <v>439</v>
      </c>
    </row>
    <row r="1431" spans="1:10">
      <c r="A1431" s="32">
        <v>941</v>
      </c>
      <c r="B1431" s="33">
        <v>5220</v>
      </c>
      <c r="C1431" s="3">
        <v>3101000</v>
      </c>
      <c r="D1431" s="3">
        <v>3101000</v>
      </c>
      <c r="E1431" s="7">
        <v>0</v>
      </c>
      <c r="F1431" s="5">
        <v>45894</v>
      </c>
      <c r="G1431" s="4">
        <v>20250822</v>
      </c>
      <c r="H1431" s="38" t="s">
        <v>24</v>
      </c>
      <c r="I1431" s="34"/>
      <c r="J1431" s="38" t="s">
        <v>265</v>
      </c>
    </row>
    <row r="1432" spans="1:10">
      <c r="A1432" s="32">
        <v>781</v>
      </c>
      <c r="B1432" s="33">
        <v>5057</v>
      </c>
      <c r="C1432" s="3">
        <v>1081000</v>
      </c>
      <c r="D1432" s="3">
        <v>1081000</v>
      </c>
      <c r="E1432" s="7">
        <v>0</v>
      </c>
      <c r="F1432" s="5">
        <v>45895</v>
      </c>
      <c r="G1432" s="4">
        <v>20250825</v>
      </c>
      <c r="H1432" s="38" t="s">
        <v>24</v>
      </c>
      <c r="I1432" s="34" t="s">
        <v>9</v>
      </c>
      <c r="J1432" s="38" t="s">
        <v>370</v>
      </c>
    </row>
    <row r="1433" spans="1:10">
      <c r="A1433" s="32">
        <v>638</v>
      </c>
      <c r="B1433" s="33">
        <v>4486</v>
      </c>
      <c r="C1433" s="3">
        <v>10000</v>
      </c>
      <c r="D1433" s="3">
        <v>10000</v>
      </c>
      <c r="E1433" s="7">
        <v>0</v>
      </c>
      <c r="F1433" s="5">
        <v>45903</v>
      </c>
      <c r="G1433" s="4">
        <v>20250902</v>
      </c>
      <c r="H1433" s="38" t="s">
        <v>30</v>
      </c>
      <c r="I1433" s="34" t="s">
        <v>10</v>
      </c>
      <c r="J1433" s="38" t="s">
        <v>116</v>
      </c>
    </row>
    <row r="1434" spans="1:10">
      <c r="A1434" s="32">
        <v>884</v>
      </c>
      <c r="B1434" s="33">
        <v>7538</v>
      </c>
      <c r="C1434" s="3">
        <v>100000</v>
      </c>
      <c r="D1434" s="3">
        <v>100000</v>
      </c>
      <c r="E1434" s="7">
        <v>0</v>
      </c>
      <c r="F1434" s="5">
        <v>45905</v>
      </c>
      <c r="G1434" s="4">
        <v>20250904</v>
      </c>
      <c r="H1434" s="38" t="s">
        <v>30</v>
      </c>
      <c r="I1434" s="34" t="s">
        <v>9</v>
      </c>
      <c r="J1434" s="38" t="s">
        <v>440</v>
      </c>
    </row>
    <row r="1435" spans="1:10">
      <c r="A1435" s="32">
        <v>484</v>
      </c>
      <c r="B1435" s="33">
        <v>7125</v>
      </c>
      <c r="C1435" s="3">
        <v>1950400</v>
      </c>
      <c r="D1435" s="3">
        <v>1950400</v>
      </c>
      <c r="E1435" s="7">
        <v>0</v>
      </c>
      <c r="F1435" s="5">
        <v>45908</v>
      </c>
      <c r="G1435" s="4">
        <v>20250905</v>
      </c>
      <c r="H1435" s="38" t="s">
        <v>24</v>
      </c>
      <c r="I1435" s="34"/>
      <c r="J1435" s="38" t="s">
        <v>437</v>
      </c>
    </row>
    <row r="1436" spans="1:10">
      <c r="A1436" s="32">
        <v>392</v>
      </c>
      <c r="B1436" s="33">
        <v>4890</v>
      </c>
      <c r="C1436" s="3">
        <v>100000</v>
      </c>
      <c r="D1436" s="3">
        <v>100000</v>
      </c>
      <c r="E1436" s="7">
        <v>0</v>
      </c>
      <c r="F1436" s="5">
        <v>45911</v>
      </c>
      <c r="G1436" s="4">
        <v>20250910</v>
      </c>
      <c r="H1436" s="38" t="s">
        <v>30</v>
      </c>
      <c r="I1436" s="34" t="s">
        <v>9</v>
      </c>
      <c r="J1436" s="38" t="s">
        <v>134</v>
      </c>
    </row>
    <row r="1437" spans="1:10">
      <c r="A1437" s="32">
        <v>907</v>
      </c>
      <c r="B1437" s="33">
        <v>5019</v>
      </c>
      <c r="C1437" s="3">
        <v>3250000</v>
      </c>
      <c r="D1437" s="3">
        <v>3250000</v>
      </c>
      <c r="E1437" s="7">
        <v>0</v>
      </c>
      <c r="F1437" s="5">
        <v>45911</v>
      </c>
      <c r="G1437" s="4">
        <v>20250910</v>
      </c>
      <c r="H1437" s="38" t="s">
        <v>24</v>
      </c>
      <c r="I1437" s="34" t="s">
        <v>9</v>
      </c>
      <c r="J1437" s="38" t="s">
        <v>111</v>
      </c>
    </row>
    <row r="1438" spans="1:10">
      <c r="A1438" s="32">
        <v>876</v>
      </c>
      <c r="B1438" s="33">
        <v>9682</v>
      </c>
      <c r="C1438" s="3">
        <v>2550000</v>
      </c>
      <c r="D1438" s="3">
        <v>2550000</v>
      </c>
      <c r="E1438" s="7">
        <v>0</v>
      </c>
      <c r="F1438" s="5">
        <v>45911</v>
      </c>
      <c r="G1438" s="4">
        <v>20250910</v>
      </c>
      <c r="H1438" s="38" t="s">
        <v>24</v>
      </c>
      <c r="I1438" s="34" t="s">
        <v>9</v>
      </c>
      <c r="J1438" s="38" t="s">
        <v>332</v>
      </c>
    </row>
    <row r="1439" spans="1:10">
      <c r="A1439" s="32">
        <v>876</v>
      </c>
      <c r="B1439" s="33">
        <v>9682</v>
      </c>
      <c r="C1439" s="3">
        <v>560000</v>
      </c>
      <c r="D1439" s="3">
        <v>560000</v>
      </c>
      <c r="E1439" s="7">
        <v>0</v>
      </c>
      <c r="F1439" s="5">
        <v>45912</v>
      </c>
      <c r="G1439" s="4">
        <v>20250911</v>
      </c>
      <c r="H1439" s="38" t="s">
        <v>24</v>
      </c>
      <c r="I1439" s="34" t="s">
        <v>9</v>
      </c>
      <c r="J1439" s="38" t="s">
        <v>332</v>
      </c>
    </row>
    <row r="1440" spans="1:10">
      <c r="A1440" s="32">
        <v>211</v>
      </c>
      <c r="B1440" s="33">
        <v>5067</v>
      </c>
      <c r="C1440" s="3">
        <v>100000</v>
      </c>
      <c r="D1440" s="3">
        <v>100000</v>
      </c>
      <c r="E1440" s="7">
        <v>0</v>
      </c>
      <c r="F1440" s="5">
        <v>45912</v>
      </c>
      <c r="G1440" s="4">
        <v>20250911</v>
      </c>
      <c r="H1440" s="38" t="s">
        <v>24</v>
      </c>
      <c r="I1440" s="34" t="s">
        <v>9</v>
      </c>
      <c r="J1440" s="38" t="s">
        <v>441</v>
      </c>
    </row>
    <row r="1441" spans="1:10">
      <c r="A1441" s="32">
        <v>454</v>
      </c>
      <c r="B1441" s="33">
        <v>1886</v>
      </c>
      <c r="C1441" s="3">
        <v>70000</v>
      </c>
      <c r="D1441" s="3">
        <v>70000</v>
      </c>
      <c r="E1441" s="7">
        <v>0</v>
      </c>
      <c r="F1441" s="5">
        <v>45915</v>
      </c>
      <c r="G1441" s="4">
        <v>20250912</v>
      </c>
      <c r="H1441" s="38" t="s">
        <v>30</v>
      </c>
      <c r="I1441" s="34"/>
      <c r="J1441" s="38" t="s">
        <v>439</v>
      </c>
    </row>
    <row r="1442" spans="1:10">
      <c r="A1442" s="32">
        <v>186</v>
      </c>
      <c r="B1442" s="33">
        <v>6514</v>
      </c>
      <c r="C1442" s="3">
        <v>100000</v>
      </c>
      <c r="D1442" s="3">
        <v>100000</v>
      </c>
      <c r="E1442" s="7">
        <v>0</v>
      </c>
      <c r="F1442" s="5">
        <v>45915</v>
      </c>
      <c r="G1442" s="4">
        <v>20250914</v>
      </c>
      <c r="H1442" s="38" t="s">
        <v>30</v>
      </c>
      <c r="I1442" s="34" t="s">
        <v>9</v>
      </c>
      <c r="J1442" s="38" t="s">
        <v>139</v>
      </c>
    </row>
    <row r="1443" spans="1:10">
      <c r="A1443" s="32">
        <v>392</v>
      </c>
      <c r="B1443" s="33">
        <v>4890</v>
      </c>
      <c r="C1443" s="3">
        <v>200000</v>
      </c>
      <c r="D1443" s="3">
        <v>200000</v>
      </c>
      <c r="E1443" s="7">
        <v>0</v>
      </c>
      <c r="F1443" s="5">
        <v>45915</v>
      </c>
      <c r="G1443" s="4">
        <v>20250914</v>
      </c>
      <c r="H1443" s="38" t="s">
        <v>30</v>
      </c>
      <c r="I1443" s="34" t="s">
        <v>9</v>
      </c>
      <c r="J1443" s="38" t="s">
        <v>134</v>
      </c>
    </row>
    <row r="1444" spans="1:10">
      <c r="A1444" s="32">
        <v>724</v>
      </c>
      <c r="B1444" s="33">
        <v>4005</v>
      </c>
      <c r="C1444" s="3">
        <v>300000</v>
      </c>
      <c r="D1444" s="3">
        <v>300000</v>
      </c>
      <c r="E1444" s="7">
        <v>0</v>
      </c>
      <c r="F1444" s="5">
        <v>45915</v>
      </c>
      <c r="G1444" s="4">
        <v>20250914</v>
      </c>
      <c r="H1444" s="38" t="s">
        <v>30</v>
      </c>
      <c r="I1444" s="34" t="s">
        <v>9</v>
      </c>
      <c r="J1444" s="38" t="s">
        <v>442</v>
      </c>
    </row>
    <row r="1445" spans="1:10">
      <c r="A1445" s="32">
        <v>221</v>
      </c>
      <c r="B1445" s="33">
        <v>5221</v>
      </c>
      <c r="C1445" s="3">
        <v>3700000</v>
      </c>
      <c r="D1445" s="3">
        <v>3700000</v>
      </c>
      <c r="E1445" s="7">
        <v>0</v>
      </c>
      <c r="F1445" s="5">
        <v>45916</v>
      </c>
      <c r="G1445" s="4">
        <v>20250915</v>
      </c>
      <c r="H1445" s="38" t="s">
        <v>24</v>
      </c>
      <c r="I1445" s="34" t="s">
        <v>9</v>
      </c>
      <c r="J1445" s="38" t="s">
        <v>187</v>
      </c>
    </row>
    <row r="1446" spans="1:10">
      <c r="A1446" s="32">
        <v>392</v>
      </c>
      <c r="B1446" s="33">
        <v>4890</v>
      </c>
      <c r="C1446" s="3">
        <v>70000</v>
      </c>
      <c r="D1446" s="3">
        <v>70000</v>
      </c>
      <c r="E1446" s="7">
        <v>0</v>
      </c>
      <c r="F1446" s="5">
        <v>45916</v>
      </c>
      <c r="G1446" s="4">
        <v>20250915</v>
      </c>
      <c r="H1446" s="38" t="s">
        <v>30</v>
      </c>
      <c r="I1446" s="34" t="s">
        <v>9</v>
      </c>
      <c r="J1446" s="38" t="s">
        <v>134</v>
      </c>
    </row>
    <row r="1447" spans="1:10">
      <c r="A1447" s="32">
        <v>454</v>
      </c>
      <c r="B1447" s="33">
        <v>1886</v>
      </c>
      <c r="C1447" s="3">
        <v>100000</v>
      </c>
      <c r="D1447" s="3">
        <v>100000</v>
      </c>
      <c r="E1447" s="7">
        <v>0</v>
      </c>
      <c r="F1447" s="5">
        <v>45916</v>
      </c>
      <c r="G1447" s="4">
        <v>20250915</v>
      </c>
      <c r="H1447" s="38" t="s">
        <v>30</v>
      </c>
      <c r="I1447" s="34" t="s">
        <v>9</v>
      </c>
      <c r="J1447" s="38" t="s">
        <v>439</v>
      </c>
    </row>
    <row r="1448" spans="1:10">
      <c r="A1448" s="32">
        <v>678</v>
      </c>
      <c r="B1448" s="33">
        <v>6016</v>
      </c>
      <c r="C1448" s="3">
        <v>330000</v>
      </c>
      <c r="D1448" s="3">
        <v>330000</v>
      </c>
      <c r="E1448" s="7">
        <v>0</v>
      </c>
      <c r="F1448" s="5">
        <v>45917</v>
      </c>
      <c r="G1448" s="4">
        <v>20250916</v>
      </c>
      <c r="H1448" s="38" t="s">
        <v>30</v>
      </c>
      <c r="I1448" s="34" t="s">
        <v>9</v>
      </c>
      <c r="J1448" s="38" t="s">
        <v>443</v>
      </c>
    </row>
    <row r="1449" spans="1:10">
      <c r="A1449" s="32">
        <v>876</v>
      </c>
      <c r="B1449" s="33">
        <v>9682</v>
      </c>
      <c r="C1449" s="3">
        <v>1395000</v>
      </c>
      <c r="D1449" s="3">
        <v>1395000</v>
      </c>
      <c r="E1449" s="7">
        <v>0</v>
      </c>
      <c r="F1449" s="5">
        <v>45917</v>
      </c>
      <c r="G1449" s="4">
        <v>20250916</v>
      </c>
      <c r="H1449" s="38" t="s">
        <v>24</v>
      </c>
      <c r="I1449" s="34" t="s">
        <v>9</v>
      </c>
      <c r="J1449" s="38" t="s">
        <v>332</v>
      </c>
    </row>
    <row r="1450" spans="1:10">
      <c r="A1450" s="32">
        <v>392</v>
      </c>
      <c r="B1450" s="33">
        <v>4890</v>
      </c>
      <c r="C1450" s="3">
        <v>20000</v>
      </c>
      <c r="D1450" s="3">
        <v>20000</v>
      </c>
      <c r="E1450" s="7">
        <v>0</v>
      </c>
      <c r="F1450" s="5">
        <v>45917</v>
      </c>
      <c r="G1450" s="4">
        <v>20250916</v>
      </c>
      <c r="H1450" s="38" t="s">
        <v>30</v>
      </c>
      <c r="I1450" s="34" t="s">
        <v>10</v>
      </c>
      <c r="J1450" s="38" t="s">
        <v>134</v>
      </c>
    </row>
    <row r="1451" spans="1:10">
      <c r="A1451" s="32">
        <v>229</v>
      </c>
      <c r="B1451" s="33">
        <v>8956</v>
      </c>
      <c r="C1451" s="3">
        <v>1800000</v>
      </c>
      <c r="D1451" s="3">
        <v>1800000</v>
      </c>
      <c r="E1451" s="7">
        <v>0</v>
      </c>
      <c r="F1451" s="5">
        <v>45918</v>
      </c>
      <c r="G1451" s="4">
        <v>20250917</v>
      </c>
      <c r="H1451" s="38" t="s">
        <v>30</v>
      </c>
      <c r="I1451" s="34" t="s">
        <v>9</v>
      </c>
      <c r="J1451" s="38" t="s">
        <v>260</v>
      </c>
    </row>
    <row r="1452" spans="1:10">
      <c r="A1452" s="32">
        <v>775</v>
      </c>
      <c r="B1452" s="33">
        <v>6986</v>
      </c>
      <c r="C1452" s="3">
        <v>400000</v>
      </c>
      <c r="D1452" s="3">
        <v>400000</v>
      </c>
      <c r="E1452" s="7">
        <v>0</v>
      </c>
      <c r="F1452" s="5">
        <v>45918</v>
      </c>
      <c r="G1452" s="4">
        <v>20250917</v>
      </c>
      <c r="H1452" s="38" t="s">
        <v>30</v>
      </c>
      <c r="I1452" s="34" t="s">
        <v>9</v>
      </c>
      <c r="J1452" s="38" t="s">
        <v>106</v>
      </c>
    </row>
    <row r="1453" spans="1:10">
      <c r="A1453" s="32">
        <v>848</v>
      </c>
      <c r="B1453" s="33">
        <v>4739</v>
      </c>
      <c r="C1453" s="3">
        <v>150000</v>
      </c>
      <c r="D1453" s="3">
        <v>150000</v>
      </c>
      <c r="E1453" s="7">
        <v>0</v>
      </c>
      <c r="F1453" s="5">
        <v>45918</v>
      </c>
      <c r="G1453" s="4">
        <v>20250917</v>
      </c>
      <c r="H1453" s="38" t="s">
        <v>30</v>
      </c>
      <c r="I1453" s="34" t="s">
        <v>9</v>
      </c>
      <c r="J1453" s="38" t="s">
        <v>72</v>
      </c>
    </row>
    <row r="1454" spans="1:10">
      <c r="A1454" s="32">
        <v>438</v>
      </c>
      <c r="B1454" s="33">
        <v>1565</v>
      </c>
      <c r="C1454" s="3">
        <v>2040000</v>
      </c>
      <c r="D1454" s="3">
        <v>2040000</v>
      </c>
      <c r="E1454" s="7">
        <v>0</v>
      </c>
      <c r="F1454" s="5">
        <v>45918</v>
      </c>
      <c r="G1454" s="4">
        <v>20250917</v>
      </c>
      <c r="H1454" s="38" t="s">
        <v>24</v>
      </c>
      <c r="I1454" s="34" t="s">
        <v>9</v>
      </c>
      <c r="J1454" s="38" t="s">
        <v>42</v>
      </c>
    </row>
    <row r="1455" spans="1:10">
      <c r="A1455" s="32">
        <v>678</v>
      </c>
      <c r="B1455" s="33">
        <v>5227</v>
      </c>
      <c r="C1455" s="3">
        <v>2030000</v>
      </c>
      <c r="D1455" s="3">
        <v>2030000</v>
      </c>
      <c r="E1455" s="7">
        <v>0</v>
      </c>
      <c r="F1455" s="5">
        <v>45918</v>
      </c>
      <c r="G1455" s="4">
        <v>20250917</v>
      </c>
      <c r="H1455" s="38" t="s">
        <v>24</v>
      </c>
      <c r="I1455" s="34" t="s">
        <v>9</v>
      </c>
      <c r="J1455" s="38" t="s">
        <v>394</v>
      </c>
    </row>
    <row r="1456" spans="1:10">
      <c r="A1456" s="32">
        <v>392</v>
      </c>
      <c r="B1456" s="33">
        <v>4890</v>
      </c>
      <c r="C1456" s="3">
        <v>10000</v>
      </c>
      <c r="D1456" s="3">
        <v>10000</v>
      </c>
      <c r="E1456" s="7">
        <v>0</v>
      </c>
      <c r="F1456" s="5">
        <v>45918</v>
      </c>
      <c r="G1456" s="4">
        <v>20250917</v>
      </c>
      <c r="H1456" s="38" t="s">
        <v>30</v>
      </c>
      <c r="I1456" s="34" t="s">
        <v>10</v>
      </c>
      <c r="J1456" s="38" t="s">
        <v>134</v>
      </c>
    </row>
    <row r="1457" spans="1:10">
      <c r="A1457" s="32">
        <v>217</v>
      </c>
      <c r="B1457" s="33">
        <v>5208</v>
      </c>
      <c r="C1457" s="3">
        <v>10000</v>
      </c>
      <c r="D1457" s="3">
        <v>10000</v>
      </c>
      <c r="E1457" s="7">
        <v>0</v>
      </c>
      <c r="F1457" s="5">
        <v>45918</v>
      </c>
      <c r="G1457" s="4">
        <v>20250917</v>
      </c>
      <c r="H1457" s="38" t="s">
        <v>24</v>
      </c>
      <c r="I1457" s="34" t="s">
        <v>10</v>
      </c>
      <c r="J1457" s="38" t="s">
        <v>326</v>
      </c>
    </row>
    <row r="1458" spans="1:10">
      <c r="A1458" s="32">
        <v>438</v>
      </c>
      <c r="B1458" s="33">
        <v>1565</v>
      </c>
      <c r="C1458" s="3">
        <v>3460000</v>
      </c>
      <c r="D1458" s="3">
        <v>3460000</v>
      </c>
      <c r="E1458" s="7">
        <v>0</v>
      </c>
      <c r="F1458" s="5">
        <v>45919</v>
      </c>
      <c r="G1458" s="4">
        <v>20250918</v>
      </c>
      <c r="H1458" s="38" t="s">
        <v>24</v>
      </c>
      <c r="I1458" s="34" t="s">
        <v>9</v>
      </c>
      <c r="J1458" s="38" t="s">
        <v>42</v>
      </c>
    </row>
    <row r="1459" spans="1:10">
      <c r="A1459" s="32">
        <v>884</v>
      </c>
      <c r="B1459" s="33">
        <v>7538</v>
      </c>
      <c r="C1459" s="3">
        <v>300000</v>
      </c>
      <c r="D1459" s="3">
        <v>300000</v>
      </c>
      <c r="E1459" s="7">
        <v>0</v>
      </c>
      <c r="F1459" s="5">
        <v>45919</v>
      </c>
      <c r="G1459" s="4">
        <v>20250918</v>
      </c>
      <c r="H1459" s="38" t="s">
        <v>30</v>
      </c>
      <c r="I1459" s="34" t="s">
        <v>9</v>
      </c>
      <c r="J1459" s="38" t="s">
        <v>440</v>
      </c>
    </row>
    <row r="1460" spans="1:10">
      <c r="A1460" s="32">
        <v>385</v>
      </c>
      <c r="B1460" s="33">
        <v>6601</v>
      </c>
      <c r="C1460" s="3">
        <v>380000</v>
      </c>
      <c r="D1460" s="3">
        <v>380000</v>
      </c>
      <c r="E1460" s="7">
        <v>0</v>
      </c>
      <c r="F1460" s="5">
        <v>45922</v>
      </c>
      <c r="G1460" s="4">
        <v>20250921</v>
      </c>
      <c r="H1460" s="38" t="s">
        <v>30</v>
      </c>
      <c r="I1460" s="34" t="s">
        <v>9</v>
      </c>
      <c r="J1460" s="38" t="s">
        <v>444</v>
      </c>
    </row>
    <row r="1461" spans="1:10">
      <c r="A1461" s="32">
        <v>848</v>
      </c>
      <c r="B1461" s="33">
        <v>4739</v>
      </c>
      <c r="C1461" s="3">
        <v>420000</v>
      </c>
      <c r="D1461" s="3">
        <v>420000</v>
      </c>
      <c r="E1461" s="7">
        <v>0</v>
      </c>
      <c r="F1461" s="5">
        <v>45922</v>
      </c>
      <c r="G1461" s="4">
        <v>20250921</v>
      </c>
      <c r="H1461" s="38" t="s">
        <v>30</v>
      </c>
      <c r="I1461" s="34" t="s">
        <v>9</v>
      </c>
      <c r="J1461" s="38" t="s">
        <v>72</v>
      </c>
    </row>
    <row r="1462" spans="1:10">
      <c r="A1462" s="32">
        <v>892</v>
      </c>
      <c r="B1462" s="33">
        <v>8920</v>
      </c>
      <c r="C1462" s="3">
        <v>6880000</v>
      </c>
      <c r="D1462" s="3">
        <v>6880000</v>
      </c>
      <c r="E1462" s="7">
        <v>0</v>
      </c>
      <c r="F1462" s="5">
        <v>45922</v>
      </c>
      <c r="G1462" s="4">
        <v>20250921</v>
      </c>
      <c r="H1462" s="38" t="s">
        <v>30</v>
      </c>
      <c r="I1462" s="34" t="s">
        <v>9</v>
      </c>
      <c r="J1462" s="38" t="s">
        <v>445</v>
      </c>
    </row>
    <row r="1463" spans="1:10">
      <c r="A1463" s="32">
        <v>876</v>
      </c>
      <c r="B1463" s="33">
        <v>9682</v>
      </c>
      <c r="C1463" s="3">
        <v>360000</v>
      </c>
      <c r="D1463" s="3">
        <v>360000</v>
      </c>
      <c r="E1463" s="7">
        <v>0</v>
      </c>
      <c r="F1463" s="5">
        <v>45922</v>
      </c>
      <c r="G1463" s="4">
        <v>20250921</v>
      </c>
      <c r="H1463" s="38" t="s">
        <v>24</v>
      </c>
      <c r="I1463" s="34" t="s">
        <v>9</v>
      </c>
      <c r="J1463" s="38" t="s">
        <v>332</v>
      </c>
    </row>
    <row r="1464" spans="1:10">
      <c r="A1464" s="32">
        <v>186</v>
      </c>
      <c r="B1464" s="33">
        <v>6509</v>
      </c>
      <c r="C1464" s="3">
        <v>300000</v>
      </c>
      <c r="D1464" s="3">
        <v>300000</v>
      </c>
      <c r="E1464" s="7">
        <v>0</v>
      </c>
      <c r="F1464" s="5">
        <v>45923</v>
      </c>
      <c r="G1464" s="4">
        <v>20250922</v>
      </c>
      <c r="H1464" s="38" t="s">
        <v>30</v>
      </c>
      <c r="I1464" s="34" t="s">
        <v>9</v>
      </c>
      <c r="J1464" s="38" t="s">
        <v>267</v>
      </c>
    </row>
    <row r="1465" spans="1:10">
      <c r="A1465" s="32">
        <v>229</v>
      </c>
      <c r="B1465" s="33">
        <v>8956</v>
      </c>
      <c r="C1465" s="3">
        <v>1300000</v>
      </c>
      <c r="D1465" s="3">
        <v>1300000</v>
      </c>
      <c r="E1465" s="7">
        <v>0</v>
      </c>
      <c r="F1465" s="5">
        <v>45923</v>
      </c>
      <c r="G1465" s="4">
        <v>20250922</v>
      </c>
      <c r="H1465" s="38" t="s">
        <v>30</v>
      </c>
      <c r="I1465" s="34" t="s">
        <v>9</v>
      </c>
      <c r="J1465" s="38" t="s">
        <v>260</v>
      </c>
    </row>
    <row r="1466" spans="1:10">
      <c r="A1466" s="32">
        <v>221</v>
      </c>
      <c r="B1466" s="33">
        <v>5221</v>
      </c>
      <c r="C1466" s="3">
        <v>1950000</v>
      </c>
      <c r="D1466" s="3">
        <v>1950000</v>
      </c>
      <c r="E1466" s="7">
        <v>0</v>
      </c>
      <c r="F1466" s="5">
        <v>45923</v>
      </c>
      <c r="G1466" s="4">
        <v>20250922</v>
      </c>
      <c r="H1466" s="38" t="s">
        <v>24</v>
      </c>
      <c r="I1466" s="34" t="s">
        <v>9</v>
      </c>
      <c r="J1466" s="38" t="s">
        <v>187</v>
      </c>
    </row>
    <row r="1467" spans="1:10">
      <c r="A1467" s="32">
        <v>623</v>
      </c>
      <c r="B1467" s="33">
        <v>7375</v>
      </c>
      <c r="C1467" s="3">
        <v>690000</v>
      </c>
      <c r="D1467" s="3">
        <v>690000</v>
      </c>
      <c r="E1467" s="7">
        <v>0</v>
      </c>
      <c r="F1467" s="5">
        <v>45923</v>
      </c>
      <c r="G1467" s="4">
        <v>20250922</v>
      </c>
      <c r="H1467" s="38" t="s">
        <v>24</v>
      </c>
      <c r="I1467" s="34" t="s">
        <v>9</v>
      </c>
      <c r="J1467" s="38" t="s">
        <v>446</v>
      </c>
    </row>
    <row r="1468" spans="1:10">
      <c r="A1468" s="32">
        <v>888</v>
      </c>
      <c r="B1468" s="33">
        <v>6818</v>
      </c>
      <c r="C1468" s="3">
        <v>80000</v>
      </c>
      <c r="D1468" s="3">
        <v>80000</v>
      </c>
      <c r="E1468" s="7">
        <v>0</v>
      </c>
      <c r="F1468" s="5">
        <v>45923</v>
      </c>
      <c r="G1468" s="4">
        <v>20250922</v>
      </c>
      <c r="H1468" s="38" t="s">
        <v>24</v>
      </c>
      <c r="I1468" s="34" t="s">
        <v>9</v>
      </c>
      <c r="J1468" s="38" t="s">
        <v>321</v>
      </c>
    </row>
    <row r="1469" spans="1:10">
      <c r="A1469" s="32">
        <v>541</v>
      </c>
      <c r="B1469" s="33">
        <v>8654</v>
      </c>
      <c r="C1469" s="3">
        <v>50000</v>
      </c>
      <c r="D1469" s="3">
        <v>50000</v>
      </c>
      <c r="E1469" s="7">
        <f>+C1469-D1469</f>
        <v>0</v>
      </c>
      <c r="F1469" s="5">
        <v>45918</v>
      </c>
      <c r="G1469" s="4">
        <v>20250917</v>
      </c>
      <c r="H1469" s="38" t="str">
        <f>VLOOKUP(B1469,CAJEROS!B:D,3,0)</f>
        <v>Dispensador</v>
      </c>
      <c r="I1469" s="34"/>
      <c r="J1469" s="38" t="str">
        <f>VLOOKUP(B1469,CAJEROS!B:E,4,0)</f>
        <v>SUCCALDASP5</v>
      </c>
    </row>
    <row r="1470" spans="1:10">
      <c r="A1470" s="32">
        <v>499</v>
      </c>
      <c r="B1470" s="33">
        <v>9808</v>
      </c>
      <c r="C1470" s="3">
        <v>800000</v>
      </c>
      <c r="D1470" s="3">
        <v>800000</v>
      </c>
      <c r="E1470" s="7">
        <v>0</v>
      </c>
      <c r="F1470" s="5">
        <v>45884</v>
      </c>
      <c r="G1470" s="4">
        <v>20250814</v>
      </c>
      <c r="H1470" s="38" t="s">
        <v>30</v>
      </c>
      <c r="I1470" s="34" t="s">
        <v>9</v>
      </c>
      <c r="J1470" s="38" t="s">
        <v>65</v>
      </c>
    </row>
    <row r="1471" spans="1:10">
      <c r="A1471" s="32">
        <v>499</v>
      </c>
      <c r="B1471" s="33">
        <v>9811</v>
      </c>
      <c r="C1471" s="3">
        <v>344000</v>
      </c>
      <c r="D1471" s="3">
        <v>344000</v>
      </c>
      <c r="E1471" s="7">
        <v>0</v>
      </c>
      <c r="F1471" s="5">
        <v>45888</v>
      </c>
      <c r="G1471" s="4">
        <v>20250818</v>
      </c>
      <c r="H1471" s="38" t="s">
        <v>24</v>
      </c>
      <c r="I1471" s="34" t="s">
        <v>9</v>
      </c>
      <c r="J1471" s="38" t="s">
        <v>334</v>
      </c>
    </row>
    <row r="1472" spans="1:10">
      <c r="A1472" s="32">
        <v>392</v>
      </c>
      <c r="B1472" s="33">
        <v>4794</v>
      </c>
      <c r="C1472" s="3">
        <v>100000</v>
      </c>
      <c r="D1472" s="3">
        <v>100000</v>
      </c>
      <c r="E1472" s="7">
        <v>0</v>
      </c>
      <c r="F1472" s="5">
        <v>45889</v>
      </c>
      <c r="G1472" s="4">
        <v>20250819</v>
      </c>
      <c r="H1472" s="38" t="s">
        <v>30</v>
      </c>
      <c r="I1472" s="34" t="s">
        <v>9</v>
      </c>
      <c r="J1472" s="38" t="s">
        <v>270</v>
      </c>
    </row>
    <row r="1473" spans="1:10">
      <c r="A1473" s="32">
        <v>499</v>
      </c>
      <c r="B1473" s="33">
        <v>9808</v>
      </c>
      <c r="C1473" s="3">
        <v>1000000</v>
      </c>
      <c r="D1473" s="3">
        <v>1000000</v>
      </c>
      <c r="E1473" s="7">
        <v>0</v>
      </c>
      <c r="F1473" s="5">
        <v>45889</v>
      </c>
      <c r="G1473" s="4">
        <v>20250819</v>
      </c>
      <c r="H1473" s="38" t="s">
        <v>30</v>
      </c>
      <c r="I1473" s="34" t="s">
        <v>9</v>
      </c>
      <c r="J1473" s="38" t="s">
        <v>65</v>
      </c>
    </row>
    <row r="1474" spans="1:10">
      <c r="A1474" s="32">
        <v>499</v>
      </c>
      <c r="B1474" s="33">
        <v>9811</v>
      </c>
      <c r="C1474" s="3">
        <v>1890000</v>
      </c>
      <c r="D1474" s="3">
        <v>1890000</v>
      </c>
      <c r="E1474" s="7">
        <v>0</v>
      </c>
      <c r="F1474" s="5">
        <v>45890</v>
      </c>
      <c r="G1474" s="4">
        <v>20250820</v>
      </c>
      <c r="H1474" s="38" t="s">
        <v>24</v>
      </c>
      <c r="I1474" s="34" t="s">
        <v>9</v>
      </c>
      <c r="J1474" s="38" t="s">
        <v>334</v>
      </c>
    </row>
    <row r="1475" spans="1:10">
      <c r="A1475" s="32">
        <v>499</v>
      </c>
      <c r="B1475" s="33">
        <v>9806</v>
      </c>
      <c r="C1475" s="3">
        <v>20000</v>
      </c>
      <c r="D1475" s="3">
        <v>20000</v>
      </c>
      <c r="E1475" s="7">
        <v>0</v>
      </c>
      <c r="F1475" s="5">
        <v>45890</v>
      </c>
      <c r="G1475" s="4">
        <v>20250820</v>
      </c>
      <c r="H1475" s="38" t="s">
        <v>30</v>
      </c>
      <c r="I1475" s="34" t="s">
        <v>10</v>
      </c>
      <c r="J1475" s="38" t="s">
        <v>447</v>
      </c>
    </row>
    <row r="1476" spans="1:10">
      <c r="A1476" s="32">
        <v>499</v>
      </c>
      <c r="B1476" s="33">
        <v>9808</v>
      </c>
      <c r="C1476" s="3">
        <v>1800000</v>
      </c>
      <c r="D1476" s="3">
        <v>1800000</v>
      </c>
      <c r="E1476" s="7">
        <v>0</v>
      </c>
      <c r="F1476" s="5">
        <v>45897</v>
      </c>
      <c r="G1476" s="4">
        <v>20250827</v>
      </c>
      <c r="H1476" s="38" t="s">
        <v>30</v>
      </c>
      <c r="I1476" s="34" t="s">
        <v>9</v>
      </c>
      <c r="J1476" s="38" t="s">
        <v>65</v>
      </c>
    </row>
    <row r="1477" spans="1:10">
      <c r="A1477" s="32">
        <v>832</v>
      </c>
      <c r="B1477" s="33">
        <v>4767</v>
      </c>
      <c r="C1477" s="3">
        <v>7080000</v>
      </c>
      <c r="D1477" s="3">
        <v>7080000</v>
      </c>
      <c r="E1477" s="7">
        <v>0</v>
      </c>
      <c r="F1477" s="5">
        <v>45898</v>
      </c>
      <c r="G1477" s="4">
        <v>20250828</v>
      </c>
      <c r="H1477" s="38" t="s">
        <v>30</v>
      </c>
      <c r="I1477" s="34" t="s">
        <v>9</v>
      </c>
      <c r="J1477" s="38" t="s">
        <v>204</v>
      </c>
    </row>
    <row r="1478" spans="1:10">
      <c r="A1478" s="32">
        <v>499</v>
      </c>
      <c r="B1478" s="33">
        <v>9808</v>
      </c>
      <c r="C1478" s="3">
        <v>500000</v>
      </c>
      <c r="D1478" s="3">
        <v>500000</v>
      </c>
      <c r="E1478" s="7">
        <v>0</v>
      </c>
      <c r="F1478" s="5">
        <v>45902</v>
      </c>
      <c r="G1478" s="4">
        <v>20250901</v>
      </c>
      <c r="H1478" s="38" t="s">
        <v>30</v>
      </c>
      <c r="I1478" s="34" t="s">
        <v>9</v>
      </c>
      <c r="J1478" s="38" t="s">
        <v>65</v>
      </c>
    </row>
    <row r="1479" spans="1:10">
      <c r="A1479" s="32">
        <v>499</v>
      </c>
      <c r="B1479" s="33">
        <v>9811</v>
      </c>
      <c r="C1479" s="3">
        <v>50000</v>
      </c>
      <c r="D1479" s="3">
        <v>50000</v>
      </c>
      <c r="E1479" s="7">
        <v>0</v>
      </c>
      <c r="F1479" s="5">
        <v>45903</v>
      </c>
      <c r="G1479" s="4">
        <v>20250902</v>
      </c>
      <c r="H1479" s="38" t="s">
        <v>24</v>
      </c>
      <c r="I1479" s="34" t="s">
        <v>9</v>
      </c>
      <c r="J1479" s="38" t="s">
        <v>334</v>
      </c>
    </row>
    <row r="1480" spans="1:10">
      <c r="A1480" s="32">
        <v>499</v>
      </c>
      <c r="B1480" s="33">
        <v>9811</v>
      </c>
      <c r="C1480" s="3">
        <v>200000</v>
      </c>
      <c r="D1480" s="3">
        <v>200000</v>
      </c>
      <c r="E1480" s="7">
        <v>0</v>
      </c>
      <c r="F1480" s="5">
        <v>45904</v>
      </c>
      <c r="G1480" s="4">
        <v>20250903</v>
      </c>
      <c r="H1480" s="38" t="s">
        <v>24</v>
      </c>
      <c r="I1480" s="34" t="s">
        <v>9</v>
      </c>
      <c r="J1480" s="38" t="s">
        <v>334</v>
      </c>
    </row>
    <row r="1481" spans="1:10">
      <c r="A1481" s="32">
        <v>499</v>
      </c>
      <c r="B1481" s="33">
        <v>9806</v>
      </c>
      <c r="C1481" s="3">
        <v>280000</v>
      </c>
      <c r="D1481" s="3">
        <v>280000</v>
      </c>
      <c r="E1481" s="7">
        <v>0</v>
      </c>
      <c r="F1481" s="5">
        <v>45905</v>
      </c>
      <c r="G1481" s="4">
        <v>20250904</v>
      </c>
      <c r="H1481" s="38" t="s">
        <v>30</v>
      </c>
      <c r="I1481" s="34" t="s">
        <v>9</v>
      </c>
      <c r="J1481" s="38" t="s">
        <v>447</v>
      </c>
    </row>
    <row r="1482" spans="1:10">
      <c r="A1482" s="32">
        <v>499</v>
      </c>
      <c r="B1482" s="33">
        <v>9808</v>
      </c>
      <c r="C1482" s="3">
        <v>600000</v>
      </c>
      <c r="D1482" s="3">
        <v>600000</v>
      </c>
      <c r="E1482" s="7">
        <v>0</v>
      </c>
      <c r="F1482" s="5">
        <v>45911</v>
      </c>
      <c r="G1482" s="4">
        <v>20250910</v>
      </c>
      <c r="H1482" s="38" t="s">
        <v>30</v>
      </c>
      <c r="I1482" s="34" t="s">
        <v>9</v>
      </c>
      <c r="J1482" s="38" t="s">
        <v>65</v>
      </c>
    </row>
    <row r="1483" spans="1:10">
      <c r="A1483" s="32">
        <v>499</v>
      </c>
      <c r="B1483" s="33">
        <v>9811</v>
      </c>
      <c r="C1483" s="3">
        <v>800000</v>
      </c>
      <c r="D1483" s="3">
        <v>800000</v>
      </c>
      <c r="E1483" s="7">
        <v>0</v>
      </c>
      <c r="F1483" s="5">
        <v>45911</v>
      </c>
      <c r="G1483" s="4">
        <v>20250910</v>
      </c>
      <c r="H1483" s="38" t="s">
        <v>24</v>
      </c>
      <c r="I1483" s="34" t="s">
        <v>9</v>
      </c>
      <c r="J1483" s="38" t="s">
        <v>334</v>
      </c>
    </row>
    <row r="1484" spans="1:10">
      <c r="A1484" s="32">
        <v>499</v>
      </c>
      <c r="B1484" s="33">
        <v>9811</v>
      </c>
      <c r="C1484" s="3">
        <v>880000</v>
      </c>
      <c r="D1484" s="3">
        <v>880000</v>
      </c>
      <c r="E1484" s="7">
        <v>0</v>
      </c>
      <c r="F1484" s="5">
        <v>45916</v>
      </c>
      <c r="G1484" s="4">
        <v>20250915</v>
      </c>
      <c r="H1484" s="38" t="s">
        <v>24</v>
      </c>
      <c r="I1484" s="34" t="s">
        <v>9</v>
      </c>
      <c r="J1484" s="38" t="s">
        <v>334</v>
      </c>
    </row>
    <row r="1485" spans="1:10">
      <c r="A1485" s="32">
        <v>499</v>
      </c>
      <c r="B1485" s="33">
        <v>9808</v>
      </c>
      <c r="C1485" s="3">
        <v>2600000</v>
      </c>
      <c r="D1485" s="3">
        <v>2600000</v>
      </c>
      <c r="E1485" s="7">
        <v>0</v>
      </c>
      <c r="F1485" s="5">
        <v>45917</v>
      </c>
      <c r="G1485" s="4">
        <v>20250916</v>
      </c>
      <c r="H1485" s="38" t="s">
        <v>30</v>
      </c>
      <c r="I1485" s="34" t="s">
        <v>9</v>
      </c>
      <c r="J1485" s="38" t="s">
        <v>65</v>
      </c>
    </row>
    <row r="1486" spans="1:10">
      <c r="A1486" s="32">
        <v>392</v>
      </c>
      <c r="B1486" s="33">
        <v>4794</v>
      </c>
      <c r="C1486" s="3">
        <v>50000</v>
      </c>
      <c r="D1486" s="3">
        <v>50000</v>
      </c>
      <c r="E1486" s="7">
        <v>0</v>
      </c>
      <c r="F1486" s="5">
        <v>45919</v>
      </c>
      <c r="G1486" s="4">
        <v>20250918</v>
      </c>
      <c r="H1486" s="38" t="s">
        <v>30</v>
      </c>
      <c r="I1486" s="34" t="s">
        <v>9</v>
      </c>
      <c r="J1486" s="38" t="s">
        <v>270</v>
      </c>
    </row>
    <row r="1487" spans="1:10">
      <c r="A1487" s="32">
        <v>225</v>
      </c>
      <c r="B1487" s="33">
        <v>8867</v>
      </c>
      <c r="C1487" s="3">
        <v>200000</v>
      </c>
      <c r="D1487" s="3">
        <v>200000</v>
      </c>
      <c r="E1487" s="7">
        <v>0</v>
      </c>
      <c r="F1487" s="5">
        <v>45922</v>
      </c>
      <c r="G1487" s="4">
        <v>20250921</v>
      </c>
      <c r="H1487" s="38" t="s">
        <v>30</v>
      </c>
      <c r="I1487" s="34" t="s">
        <v>9</v>
      </c>
      <c r="J1487" s="38" t="s">
        <v>448</v>
      </c>
    </row>
    <row r="1488" spans="1:10">
      <c r="A1488" s="32">
        <v>195</v>
      </c>
      <c r="B1488" s="33">
        <v>6392</v>
      </c>
      <c r="C1488" s="3">
        <v>8980000</v>
      </c>
      <c r="D1488" s="3">
        <v>8980000</v>
      </c>
      <c r="E1488" s="7">
        <v>0</v>
      </c>
      <c r="F1488" s="5">
        <v>45923</v>
      </c>
      <c r="G1488" s="4">
        <v>20250922</v>
      </c>
      <c r="H1488" s="38" t="s">
        <v>30</v>
      </c>
      <c r="I1488" s="34" t="s">
        <v>9</v>
      </c>
      <c r="J1488" s="38" t="s">
        <v>449</v>
      </c>
    </row>
    <row r="1489" spans="1:11">
      <c r="A1489" s="32">
        <v>32</v>
      </c>
      <c r="B1489" s="33">
        <v>5027</v>
      </c>
      <c r="C1489" s="3">
        <v>2020000</v>
      </c>
      <c r="D1489" s="3">
        <v>2020000</v>
      </c>
      <c r="E1489" s="7">
        <v>0</v>
      </c>
      <c r="F1489" s="5">
        <v>45923</v>
      </c>
      <c r="G1489" s="4">
        <v>20250922</v>
      </c>
      <c r="H1489" s="38" t="s">
        <v>24</v>
      </c>
      <c r="I1489" s="34" t="s">
        <v>9</v>
      </c>
      <c r="J1489" s="38" t="s">
        <v>280</v>
      </c>
    </row>
    <row r="1490" spans="1:11">
      <c r="A1490" s="32">
        <v>446</v>
      </c>
      <c r="B1490" s="32">
        <v>4461</v>
      </c>
      <c r="C1490" s="3">
        <v>60000</v>
      </c>
      <c r="D1490" s="3"/>
      <c r="E1490" s="7">
        <f t="shared" ref="E1490:E1553" si="60">+C1490-D1490</f>
        <v>60000</v>
      </c>
      <c r="F1490" s="5">
        <v>45873</v>
      </c>
      <c r="G1490" s="4">
        <v>20250804</v>
      </c>
      <c r="H1490" s="38" t="str">
        <f>VLOOKUP(B1490,CAJEROS!B:D,3,0)</f>
        <v>Dispensador</v>
      </c>
      <c r="I1490" s="34"/>
      <c r="J1490" s="38" t="str">
        <f>VLOOKUP(B1490,CAJEROS!B:E,4,0)</f>
        <v>LIBANO</v>
      </c>
      <c r="K1490" t="s">
        <v>450</v>
      </c>
    </row>
    <row r="1491" spans="1:11">
      <c r="A1491" s="32">
        <v>70</v>
      </c>
      <c r="B1491" s="32">
        <v>4729</v>
      </c>
      <c r="C1491" s="3">
        <v>120000</v>
      </c>
      <c r="D1491" s="3"/>
      <c r="E1491" s="7">
        <f t="shared" si="60"/>
        <v>120000</v>
      </c>
      <c r="F1491" s="5">
        <v>45873</v>
      </c>
      <c r="G1491" s="4">
        <v>20250801</v>
      </c>
      <c r="H1491" s="38" t="str">
        <f>VLOOKUP(B1491,CAJEROS!B:D,3,0)</f>
        <v>Dispensador</v>
      </c>
      <c r="I1491" s="34"/>
      <c r="J1491" s="38" t="str">
        <f>VLOOKUP(B1491,CAJEROS!B:E,4,0)</f>
        <v>PPMANIZLES4</v>
      </c>
      <c r="K1491" t="s">
        <v>450</v>
      </c>
    </row>
    <row r="1492" spans="1:11">
      <c r="A1492" s="32">
        <v>108</v>
      </c>
      <c r="B1492" s="32">
        <v>2042</v>
      </c>
      <c r="C1492" s="3">
        <v>400000</v>
      </c>
      <c r="D1492" s="3"/>
      <c r="E1492" s="7">
        <f t="shared" si="60"/>
        <v>400000</v>
      </c>
      <c r="F1492" s="5">
        <v>45873</v>
      </c>
      <c r="G1492" s="4">
        <v>20250801</v>
      </c>
      <c r="H1492" s="38" t="str">
        <f>VLOOKUP(B1492,CAJEROS!B:D,3,0)</f>
        <v>Dispensador</v>
      </c>
      <c r="I1492" s="34"/>
      <c r="J1492" s="38" t="str">
        <f>VLOOKUP(B1492,CAJEROS!B:E,4,0)</f>
        <v>SUCPLZAMER5</v>
      </c>
      <c r="K1492" t="s">
        <v>450</v>
      </c>
    </row>
    <row r="1493" spans="1:11">
      <c r="A1493" s="32">
        <v>404</v>
      </c>
      <c r="B1493" s="32">
        <v>5873</v>
      </c>
      <c r="C1493" s="3">
        <v>10000</v>
      </c>
      <c r="D1493" s="3"/>
      <c r="E1493" s="7">
        <f t="shared" si="60"/>
        <v>10000</v>
      </c>
      <c r="F1493" s="5">
        <v>45873</v>
      </c>
      <c r="G1493" s="4">
        <v>20250801</v>
      </c>
      <c r="H1493" s="38" t="str">
        <f>VLOOKUP(B1493,CAJEROS!B:D,3,0)</f>
        <v>Dispensador</v>
      </c>
      <c r="I1493" s="34"/>
      <c r="J1493" s="38" t="str">
        <f>VLOOKUP(B1493,CAJEROS!B:E,4,0)</f>
        <v>JARDIN_2</v>
      </c>
      <c r="K1493" t="s">
        <v>450</v>
      </c>
    </row>
    <row r="1494" spans="1:11">
      <c r="A1494" s="32">
        <v>473</v>
      </c>
      <c r="B1494" s="32">
        <v>3441</v>
      </c>
      <c r="C1494" s="3">
        <v>10000</v>
      </c>
      <c r="D1494" s="3"/>
      <c r="E1494" s="7">
        <f t="shared" si="60"/>
        <v>10000</v>
      </c>
      <c r="F1494" s="5">
        <v>45873</v>
      </c>
      <c r="G1494" s="4">
        <v>20250801</v>
      </c>
      <c r="H1494" s="38" t="str">
        <f>VLOOKUP(B1494,CAJEROS!B:D,3,0)</f>
        <v>Dispensador</v>
      </c>
      <c r="I1494" s="34"/>
      <c r="J1494" s="38" t="str">
        <f>VLOOKUP(B1494,CAJEROS!B:E,4,0)</f>
        <v>VICAGUAN1</v>
      </c>
      <c r="K1494" t="s">
        <v>450</v>
      </c>
    </row>
    <row r="1495" spans="1:11">
      <c r="A1495" s="32">
        <v>473</v>
      </c>
      <c r="B1495" s="32">
        <v>3442</v>
      </c>
      <c r="C1495" s="3">
        <v>440000</v>
      </c>
      <c r="D1495" s="3">
        <v>50000</v>
      </c>
      <c r="E1495" s="7">
        <f t="shared" si="60"/>
        <v>390000</v>
      </c>
      <c r="F1495" s="5">
        <v>45873</v>
      </c>
      <c r="G1495" s="4">
        <v>20250801</v>
      </c>
      <c r="H1495" s="38" t="str">
        <f>VLOOKUP(B1495,CAJEROS!B:D,3,0)</f>
        <v>Dispensador</v>
      </c>
      <c r="I1495" s="34"/>
      <c r="J1495" s="38" t="str">
        <f>VLOOKUP(B1495,CAJEROS!B:E,4,0)</f>
        <v>VICAGUAN2</v>
      </c>
      <c r="K1495" t="s">
        <v>450</v>
      </c>
    </row>
    <row r="1496" spans="1:11">
      <c r="A1496" s="32">
        <v>719</v>
      </c>
      <c r="B1496" s="32">
        <v>7190</v>
      </c>
      <c r="C1496" s="3">
        <v>2000000</v>
      </c>
      <c r="D1496" s="3"/>
      <c r="E1496" s="7">
        <f t="shared" si="60"/>
        <v>2000000</v>
      </c>
      <c r="F1496" s="5">
        <v>45873</v>
      </c>
      <c r="G1496" s="4">
        <v>20250801</v>
      </c>
      <c r="H1496" s="38" t="str">
        <f>VLOOKUP(B1496,CAJEROS!B:D,3,0)</f>
        <v>Dispensador</v>
      </c>
      <c r="I1496" s="34"/>
      <c r="J1496" s="38" t="str">
        <f>VLOOKUP(B1496,CAJEROS!B:E,4,0)</f>
        <v>BELENUMBRIA</v>
      </c>
      <c r="K1496" t="s">
        <v>450</v>
      </c>
    </row>
    <row r="1497" spans="1:11">
      <c r="A1497" s="32">
        <v>832</v>
      </c>
      <c r="B1497" s="32">
        <v>4768</v>
      </c>
      <c r="C1497" s="3">
        <v>40000</v>
      </c>
      <c r="D1497" s="3"/>
      <c r="E1497" s="7">
        <f t="shared" si="60"/>
        <v>40000</v>
      </c>
      <c r="F1497" s="5">
        <v>45873</v>
      </c>
      <c r="G1497" s="4">
        <v>20250801</v>
      </c>
      <c r="H1497" s="38" t="str">
        <f>VLOOKUP(B1497,CAJEROS!B:D,3,0)</f>
        <v>Dispensador</v>
      </c>
      <c r="I1497" s="34"/>
      <c r="J1497" s="38" t="str">
        <f>VLOOKUP(B1497,CAJEROS!B:E,4,0)</f>
        <v>SUC_SANTAN2</v>
      </c>
      <c r="K1497" t="s">
        <v>450</v>
      </c>
    </row>
    <row r="1498" spans="1:11">
      <c r="A1498" s="32">
        <v>153</v>
      </c>
      <c r="B1498" s="32">
        <v>9880</v>
      </c>
      <c r="C1498" s="3">
        <v>360000</v>
      </c>
      <c r="D1498" s="3">
        <v>240000</v>
      </c>
      <c r="E1498" s="7">
        <f t="shared" si="60"/>
        <v>120000</v>
      </c>
      <c r="F1498" s="5">
        <v>45873</v>
      </c>
      <c r="G1498" s="4">
        <v>20250803</v>
      </c>
      <c r="H1498" s="38" t="str">
        <f>VLOOKUP(B1498,CAJEROS!B:D,3,0)</f>
        <v>Dispensador</v>
      </c>
      <c r="I1498" s="34" t="s">
        <v>9</v>
      </c>
      <c r="J1498" s="38" t="str">
        <f>VLOOKUP(B1498,CAJEROS!B:E,4,0)</f>
        <v>EXITOIBAG_2</v>
      </c>
      <c r="K1498" t="s">
        <v>450</v>
      </c>
    </row>
    <row r="1499" spans="1:11">
      <c r="A1499" s="32">
        <v>153</v>
      </c>
      <c r="B1499" s="32">
        <v>9881</v>
      </c>
      <c r="C1499" s="3">
        <v>200000</v>
      </c>
      <c r="D1499" s="3">
        <f>100000+50000</f>
        <v>150000</v>
      </c>
      <c r="E1499" s="7">
        <f t="shared" si="60"/>
        <v>50000</v>
      </c>
      <c r="F1499" s="5">
        <v>45873</v>
      </c>
      <c r="G1499" s="4">
        <v>20250803</v>
      </c>
      <c r="H1499" s="38" t="str">
        <f>VLOOKUP(B1499,CAJEROS!B:D,3,0)</f>
        <v>Dispensador</v>
      </c>
      <c r="I1499" s="34" t="s">
        <v>9</v>
      </c>
      <c r="J1499" s="38" t="str">
        <f>VLOOKUP(B1499,CAJEROS!B:E,4,0)</f>
        <v>EXITOIBAG_3</v>
      </c>
      <c r="K1499" t="s">
        <v>450</v>
      </c>
    </row>
    <row r="1500" spans="1:11">
      <c r="A1500" s="32">
        <v>345</v>
      </c>
      <c r="B1500" s="32">
        <v>1962</v>
      </c>
      <c r="C1500" s="3">
        <v>940000</v>
      </c>
      <c r="D1500" s="3">
        <v>740000</v>
      </c>
      <c r="E1500" s="7">
        <f t="shared" si="60"/>
        <v>200000</v>
      </c>
      <c r="F1500" s="5">
        <v>45873</v>
      </c>
      <c r="G1500" s="4">
        <v>20250803</v>
      </c>
      <c r="H1500" s="38" t="str">
        <f>VLOOKUP(B1500,CAJEROS!B:D,3,0)</f>
        <v>Dispensador</v>
      </c>
      <c r="I1500" s="34" t="s">
        <v>9</v>
      </c>
      <c r="J1500" s="38" t="str">
        <f>VLOOKUP(B1500,CAJEROS!B:E,4,0)</f>
        <v>SUCTENJO1</v>
      </c>
      <c r="K1500" t="s">
        <v>450</v>
      </c>
    </row>
    <row r="1501" spans="1:11">
      <c r="A1501" s="32">
        <v>389</v>
      </c>
      <c r="B1501" s="32">
        <v>4689</v>
      </c>
      <c r="C1501" s="3">
        <v>400000</v>
      </c>
      <c r="D1501" s="3">
        <v>380000</v>
      </c>
      <c r="E1501" s="7">
        <f t="shared" si="60"/>
        <v>20000</v>
      </c>
      <c r="F1501" s="5">
        <v>45873</v>
      </c>
      <c r="G1501" s="4">
        <v>20250803</v>
      </c>
      <c r="H1501" s="38" t="str">
        <f>VLOOKUP(B1501,CAJEROS!B:D,3,0)</f>
        <v>Dispensador</v>
      </c>
      <c r="I1501" s="34" t="s">
        <v>9</v>
      </c>
      <c r="J1501" s="38" t="str">
        <f>VLOOKUP(B1501,CAJEROS!B:E,4,0)</f>
        <v>SUC_MARIQ3</v>
      </c>
      <c r="K1501" t="s">
        <v>450</v>
      </c>
    </row>
    <row r="1502" spans="1:11">
      <c r="A1502" s="32">
        <v>413</v>
      </c>
      <c r="B1502" s="32">
        <v>4636</v>
      </c>
      <c r="C1502" s="3">
        <v>150000</v>
      </c>
      <c r="D1502" s="3"/>
      <c r="E1502" s="7">
        <f t="shared" si="60"/>
        <v>150000</v>
      </c>
      <c r="F1502" s="5">
        <v>45873</v>
      </c>
      <c r="G1502" s="4">
        <v>20250803</v>
      </c>
      <c r="H1502" s="38" t="str">
        <f>VLOOKUP(B1502,CAJEROS!B:D,3,0)</f>
        <v>Dispensador</v>
      </c>
      <c r="I1502" s="34" t="s">
        <v>9</v>
      </c>
      <c r="J1502" s="38" t="str">
        <f>VLOOKUP(B1502,CAJEROS!B:E,4,0)</f>
        <v>SUC_MELGAR3</v>
      </c>
      <c r="K1502" t="s">
        <v>450</v>
      </c>
    </row>
    <row r="1503" spans="1:11">
      <c r="A1503" s="32">
        <v>466</v>
      </c>
      <c r="B1503" s="32">
        <v>6777</v>
      </c>
      <c r="C1503" s="3">
        <v>30000</v>
      </c>
      <c r="D1503" s="3"/>
      <c r="E1503" s="7">
        <f t="shared" si="60"/>
        <v>30000</v>
      </c>
      <c r="F1503" s="5">
        <v>45873</v>
      </c>
      <c r="G1503" s="4">
        <v>20250803</v>
      </c>
      <c r="H1503" s="38" t="str">
        <f>VLOOKUP(B1503,CAJEROS!B:D,3,0)</f>
        <v>Dispensador</v>
      </c>
      <c r="I1503" s="34" t="s">
        <v>9</v>
      </c>
      <c r="J1503" s="38" t="str">
        <f>VLOOKUP(B1503,CAJEROS!B:E,4,0)</f>
        <v>SUCFLOREN_2</v>
      </c>
      <c r="K1503" t="s">
        <v>450</v>
      </c>
    </row>
    <row r="1504" spans="1:11">
      <c r="A1504" s="32">
        <v>507</v>
      </c>
      <c r="B1504" s="32">
        <v>1727</v>
      </c>
      <c r="C1504" s="3">
        <v>440000</v>
      </c>
      <c r="D1504" s="3">
        <v>410000</v>
      </c>
      <c r="E1504" s="7">
        <f t="shared" si="60"/>
        <v>30000</v>
      </c>
      <c r="F1504" s="5">
        <v>45873</v>
      </c>
      <c r="G1504" s="4">
        <v>20250803</v>
      </c>
      <c r="H1504" s="38" t="str">
        <f>VLOOKUP(B1504,CAJEROS!B:D,3,0)</f>
        <v>Dispensador</v>
      </c>
      <c r="I1504" s="34" t="s">
        <v>9</v>
      </c>
      <c r="J1504" s="38" t="str">
        <f>VLOOKUP(B1504,CAJEROS!B:E,4,0)</f>
        <v>OFSANTOLU3</v>
      </c>
      <c r="K1504" t="s">
        <v>450</v>
      </c>
    </row>
    <row r="1505" spans="1:11">
      <c r="A1505" s="32">
        <v>512</v>
      </c>
      <c r="B1505" s="32">
        <v>4718</v>
      </c>
      <c r="C1505" s="3">
        <v>260000</v>
      </c>
      <c r="D1505" s="3">
        <v>140000</v>
      </c>
      <c r="E1505" s="7">
        <f t="shared" si="60"/>
        <v>120000</v>
      </c>
      <c r="F1505" s="5">
        <v>45873</v>
      </c>
      <c r="G1505" s="4">
        <v>20250803</v>
      </c>
      <c r="H1505" s="38" t="str">
        <f>VLOOKUP(B1505,CAJEROS!B:D,3,0)</f>
        <v>Dispensador</v>
      </c>
      <c r="I1505" s="34" t="s">
        <v>9</v>
      </c>
      <c r="J1505" s="38" t="str">
        <f>VLOOKUP(B1505,CAJEROS!B:E,4,0)</f>
        <v>SUC_PLATO3</v>
      </c>
      <c r="K1505" t="s">
        <v>450</v>
      </c>
    </row>
    <row r="1506" spans="1:11">
      <c r="A1506" s="32">
        <v>651</v>
      </c>
      <c r="B1506" s="32">
        <v>6511</v>
      </c>
      <c r="C1506" s="3">
        <v>200000</v>
      </c>
      <c r="D1506" s="3"/>
      <c r="E1506" s="7">
        <f t="shared" si="60"/>
        <v>200000</v>
      </c>
      <c r="F1506" s="5">
        <v>45873</v>
      </c>
      <c r="G1506" s="4">
        <v>20250803</v>
      </c>
      <c r="H1506" s="38" t="str">
        <f>VLOOKUP(B1506,CAJEROS!B:D,3,0)</f>
        <v>Dispensador</v>
      </c>
      <c r="I1506" s="34" t="s">
        <v>9</v>
      </c>
      <c r="J1506" s="38" t="str">
        <f>VLOOKUP(B1506,CAJEROS!B:E,4,0)</f>
        <v>BARBOSA</v>
      </c>
      <c r="K1506" t="s">
        <v>450</v>
      </c>
    </row>
    <row r="1507" spans="1:11">
      <c r="A1507" s="32">
        <v>678</v>
      </c>
      <c r="B1507" s="32">
        <v>6014</v>
      </c>
      <c r="C1507" s="3">
        <v>5130000</v>
      </c>
      <c r="D1507" s="3">
        <f>1080000+570000</f>
        <v>1650000</v>
      </c>
      <c r="E1507" s="7">
        <f t="shared" si="60"/>
        <v>3480000</v>
      </c>
      <c r="F1507" s="5">
        <v>45873</v>
      </c>
      <c r="G1507" s="4">
        <v>20250803</v>
      </c>
      <c r="H1507" s="38" t="str">
        <f>VLOOKUP(B1507,CAJEROS!B:D,3,0)</f>
        <v>Dispensador</v>
      </c>
      <c r="I1507" s="34" t="s">
        <v>9</v>
      </c>
      <c r="J1507" s="38" t="str">
        <f>VLOOKUP(B1507,CAJEROS!B:E,4,0)</f>
        <v>PASEOCAST_5</v>
      </c>
      <c r="K1507" t="s">
        <v>450</v>
      </c>
    </row>
    <row r="1508" spans="1:11">
      <c r="A1508" s="32">
        <v>678</v>
      </c>
      <c r="B1508" s="32">
        <v>6015</v>
      </c>
      <c r="C1508" s="3">
        <v>50000</v>
      </c>
      <c r="D1508" s="3">
        <v>40000</v>
      </c>
      <c r="E1508" s="7">
        <f t="shared" si="60"/>
        <v>10000</v>
      </c>
      <c r="F1508" s="5">
        <v>45873</v>
      </c>
      <c r="G1508" s="4">
        <v>20250803</v>
      </c>
      <c r="H1508" s="38" t="str">
        <f>VLOOKUP(B1508,CAJEROS!B:D,3,0)</f>
        <v>Dispensador</v>
      </c>
      <c r="I1508" s="34" t="s">
        <v>9</v>
      </c>
      <c r="J1508" s="38" t="str">
        <f>VLOOKUP(B1508,CAJEROS!B:E,4,0)</f>
        <v>PASEOCAST_6</v>
      </c>
      <c r="K1508" t="s">
        <v>450</v>
      </c>
    </row>
    <row r="1509" spans="1:11">
      <c r="A1509" s="32">
        <v>681</v>
      </c>
      <c r="B1509" s="32">
        <v>8495</v>
      </c>
      <c r="C1509" s="3">
        <v>60000</v>
      </c>
      <c r="D1509" s="3"/>
      <c r="E1509" s="7">
        <f t="shared" si="60"/>
        <v>60000</v>
      </c>
      <c r="F1509" s="5">
        <v>45873</v>
      </c>
      <c r="G1509" s="4">
        <v>20250803</v>
      </c>
      <c r="H1509" s="38" t="str">
        <f>VLOOKUP(B1509,CAJEROS!B:D,3,0)</f>
        <v>Dispensador</v>
      </c>
      <c r="I1509" s="34" t="s">
        <v>9</v>
      </c>
      <c r="J1509" s="38" t="str">
        <f>VLOOKUP(B1509,CAJEROS!B:E,4,0)</f>
        <v>SUC_CERET4</v>
      </c>
      <c r="K1509" t="s">
        <v>450</v>
      </c>
    </row>
    <row r="1510" spans="1:11">
      <c r="A1510" s="32">
        <v>764</v>
      </c>
      <c r="B1510" s="32">
        <v>6052</v>
      </c>
      <c r="C1510" s="3">
        <v>1280000</v>
      </c>
      <c r="D1510" s="3"/>
      <c r="E1510" s="7">
        <f t="shared" si="60"/>
        <v>1280000</v>
      </c>
      <c r="F1510" s="5">
        <v>45873</v>
      </c>
      <c r="G1510" s="4">
        <v>20250803</v>
      </c>
      <c r="H1510" s="38" t="str">
        <f>VLOOKUP(B1510,CAJEROS!B:D,3,0)</f>
        <v>Dispensador</v>
      </c>
      <c r="I1510" s="34" t="s">
        <v>9</v>
      </c>
      <c r="J1510" s="38" t="str">
        <f>VLOOKUP(B1510,CAJEROS!B:E,4,0)</f>
        <v>SUC_JAMUND4</v>
      </c>
      <c r="K1510" t="s">
        <v>450</v>
      </c>
    </row>
    <row r="1511" spans="1:11">
      <c r="A1511" s="32">
        <v>828</v>
      </c>
      <c r="B1511" s="32">
        <v>2234</v>
      </c>
      <c r="C1511" s="3">
        <v>910000</v>
      </c>
      <c r="D1511" s="3">
        <v>620000</v>
      </c>
      <c r="E1511" s="7">
        <f t="shared" si="60"/>
        <v>290000</v>
      </c>
      <c r="F1511" s="5">
        <v>45873</v>
      </c>
      <c r="G1511" s="4">
        <v>20250803</v>
      </c>
      <c r="H1511" s="38" t="str">
        <f>VLOOKUP(B1511,CAJEROS!B:D,3,0)</f>
        <v>Dispensador</v>
      </c>
      <c r="I1511" s="34" t="s">
        <v>9</v>
      </c>
      <c r="J1511" s="38" t="str">
        <f>VLOOKUP(B1511,CAJEROS!B:E,4,0)</f>
        <v>SUC_SANJOS4</v>
      </c>
      <c r="K1511" t="s">
        <v>450</v>
      </c>
    </row>
    <row r="1512" spans="1:11">
      <c r="A1512" s="32">
        <v>866</v>
      </c>
      <c r="B1512" s="32">
        <v>467</v>
      </c>
      <c r="C1512" s="3">
        <v>100000</v>
      </c>
      <c r="D1512" s="3"/>
      <c r="E1512" s="7">
        <f t="shared" si="60"/>
        <v>100000</v>
      </c>
      <c r="F1512" s="5">
        <v>45873</v>
      </c>
      <c r="G1512" s="4">
        <v>20250803</v>
      </c>
      <c r="H1512" s="38" t="str">
        <f>VLOOKUP(B1512,CAJEROS!B:D,3,0)</f>
        <v>Dispensador</v>
      </c>
      <c r="I1512" s="34" t="s">
        <v>9</v>
      </c>
      <c r="J1512" s="38" t="str">
        <f>VLOOKUP(B1512,CAJEROS!B:E,4,0)</f>
        <v>OFCFLORIDA2</v>
      </c>
      <c r="K1512" t="s">
        <v>450</v>
      </c>
    </row>
    <row r="1513" spans="1:11">
      <c r="A1513" s="32">
        <v>892</v>
      </c>
      <c r="B1513" s="32">
        <v>8921</v>
      </c>
      <c r="C1513" s="3">
        <v>190000</v>
      </c>
      <c r="D1513" s="3"/>
      <c r="E1513" s="7">
        <f t="shared" si="60"/>
        <v>190000</v>
      </c>
      <c r="F1513" s="5">
        <v>45873</v>
      </c>
      <c r="G1513" s="4">
        <v>20250803</v>
      </c>
      <c r="H1513" s="38" t="str">
        <f>VLOOKUP(B1513,CAJEROS!B:D,3,0)</f>
        <v>Dispensador</v>
      </c>
      <c r="I1513" s="34" t="s">
        <v>9</v>
      </c>
      <c r="J1513" s="38" t="str">
        <f>VLOOKUP(B1513,CAJEROS!B:E,4,0)</f>
        <v>LAVEGA_2</v>
      </c>
      <c r="K1513" t="s">
        <v>450</v>
      </c>
    </row>
    <row r="1514" spans="1:11">
      <c r="A1514" s="32">
        <v>914</v>
      </c>
      <c r="B1514" s="32">
        <v>9140</v>
      </c>
      <c r="C1514" s="3">
        <v>110000</v>
      </c>
      <c r="D1514" s="3"/>
      <c r="E1514" s="7">
        <f t="shared" si="60"/>
        <v>110000</v>
      </c>
      <c r="F1514" s="5">
        <v>45873</v>
      </c>
      <c r="G1514" s="4">
        <v>20250803</v>
      </c>
      <c r="H1514" s="38" t="str">
        <f>VLOOKUP(B1514,CAJEROS!B:D,3,0)</f>
        <v>Dispensador</v>
      </c>
      <c r="I1514" s="34" t="s">
        <v>9</v>
      </c>
      <c r="J1514" s="38" t="str">
        <f>VLOOKUP(B1514,CAJEROS!B:E,4,0)</f>
        <v>DON_MATIAS</v>
      </c>
      <c r="K1514" t="s">
        <v>450</v>
      </c>
    </row>
    <row r="1515" spans="1:11">
      <c r="A1515" s="32">
        <v>916</v>
      </c>
      <c r="B1515" s="32">
        <v>5743</v>
      </c>
      <c r="C1515" s="3">
        <v>260000</v>
      </c>
      <c r="D1515" s="3"/>
      <c r="E1515" s="7">
        <f t="shared" si="60"/>
        <v>260000</v>
      </c>
      <c r="F1515" s="5">
        <v>45873</v>
      </c>
      <c r="G1515" s="4">
        <v>20250803</v>
      </c>
      <c r="H1515" s="38" t="str">
        <f>VLOOKUP(B1515,CAJEROS!B:D,3,0)</f>
        <v>Dispensador</v>
      </c>
      <c r="I1515" s="34" t="s">
        <v>9</v>
      </c>
      <c r="J1515" s="38" t="str">
        <f>VLOOKUP(B1515,CAJEROS!B:E,4,0)</f>
        <v>SUC_OCEANM3</v>
      </c>
      <c r="K1515" t="s">
        <v>450</v>
      </c>
    </row>
    <row r="1516" spans="1:11">
      <c r="A1516" s="32">
        <v>944</v>
      </c>
      <c r="B1516" s="32">
        <v>8358</v>
      </c>
      <c r="C1516" s="3">
        <v>600000</v>
      </c>
      <c r="D1516" s="3"/>
      <c r="E1516" s="7">
        <f t="shared" si="60"/>
        <v>600000</v>
      </c>
      <c r="F1516" s="5">
        <v>45873</v>
      </c>
      <c r="G1516" s="4">
        <v>20250803</v>
      </c>
      <c r="H1516" s="38" t="str">
        <f>VLOOKUP(B1516,CAJEROS!B:D,3,0)</f>
        <v>Dispensador</v>
      </c>
      <c r="I1516" s="34" t="s">
        <v>9</v>
      </c>
      <c r="J1516" s="38" t="str">
        <f>VLOOKUP(B1516,CAJEROS!B:E,4,0)</f>
        <v>SUCSANTABO4</v>
      </c>
      <c r="K1516" t="s">
        <v>450</v>
      </c>
    </row>
    <row r="1517" spans="1:11">
      <c r="A1517" s="32">
        <v>392</v>
      </c>
      <c r="B1517" s="32">
        <v>5265</v>
      </c>
      <c r="C1517" s="3">
        <v>50000</v>
      </c>
      <c r="D1517" s="3"/>
      <c r="E1517" s="7">
        <f t="shared" si="60"/>
        <v>50000</v>
      </c>
      <c r="F1517" s="5">
        <v>45873</v>
      </c>
      <c r="G1517" s="4">
        <v>20250802</v>
      </c>
      <c r="H1517" s="38" t="str">
        <f>VLOOKUP(B1517,CAJEROS!B:D,3,0)</f>
        <v>Dispensador</v>
      </c>
      <c r="I1517" s="34" t="s">
        <v>9</v>
      </c>
      <c r="J1517" s="38" t="str">
        <f>VLOOKUP(B1517,CAJEROS!B:E,4,0)</f>
        <v>SUC_LADORA4</v>
      </c>
      <c r="K1517" t="s">
        <v>450</v>
      </c>
    </row>
    <row r="1518" spans="1:11">
      <c r="A1518" s="32">
        <v>795</v>
      </c>
      <c r="B1518" s="32">
        <v>1029</v>
      </c>
      <c r="C1518" s="3">
        <v>8278900</v>
      </c>
      <c r="D1518" s="3">
        <v>5337200</v>
      </c>
      <c r="E1518" s="7">
        <f t="shared" si="60"/>
        <v>2941700</v>
      </c>
      <c r="F1518" s="5">
        <v>45873</v>
      </c>
      <c r="G1518" s="4">
        <v>20250801</v>
      </c>
      <c r="H1518" s="38" t="str">
        <f>VLOOKUP(B1518,CAJEROS!B:D,3,0)</f>
        <v>Multifuncional</v>
      </c>
      <c r="I1518" s="34"/>
      <c r="J1518" s="38" t="str">
        <f>VLOOKUP(B1518,CAJEROS!B:E,4,0)</f>
        <v>MFSUCANVER3</v>
      </c>
      <c r="K1518" t="s">
        <v>450</v>
      </c>
    </row>
    <row r="1519" spans="1:11">
      <c r="A1519" s="32">
        <v>167</v>
      </c>
      <c r="B1519" s="32">
        <v>5030</v>
      </c>
      <c r="C1519" s="3">
        <v>6881400</v>
      </c>
      <c r="D1519" s="3">
        <f>40400+1800000</f>
        <v>1840400</v>
      </c>
      <c r="E1519" s="7">
        <f t="shared" si="60"/>
        <v>5041000</v>
      </c>
      <c r="F1519" s="5">
        <v>45873</v>
      </c>
      <c r="G1519" s="4">
        <v>20250801</v>
      </c>
      <c r="H1519" s="38" t="str">
        <f>VLOOKUP(B1519,CAJEROS!B:D,3,0)</f>
        <v>Multifuncional</v>
      </c>
      <c r="I1519" s="34"/>
      <c r="J1519" s="38" t="str">
        <f>VLOOKUP(B1519,CAJEROS!B:E,4,0)</f>
        <v>MF_AVENID82</v>
      </c>
      <c r="K1519" t="s">
        <v>450</v>
      </c>
    </row>
    <row r="1520" spans="1:11">
      <c r="A1520" s="32">
        <v>430</v>
      </c>
      <c r="B1520" s="32">
        <v>5104</v>
      </c>
      <c r="C1520" s="3">
        <v>1038000</v>
      </c>
      <c r="D1520" s="3"/>
      <c r="E1520" s="7">
        <f t="shared" si="60"/>
        <v>1038000</v>
      </c>
      <c r="F1520" s="5">
        <v>45873</v>
      </c>
      <c r="G1520" s="4">
        <v>20250801</v>
      </c>
      <c r="H1520" s="38" t="str">
        <f>VLOOKUP(B1520,CAJEROS!B:D,3,0)</f>
        <v>Multifuncional</v>
      </c>
      <c r="I1520" s="34"/>
      <c r="J1520" s="38" t="str">
        <f>VLOOKUP(B1520,CAJEROS!B:E,4,0)</f>
        <v>MF_ZONAROSA</v>
      </c>
      <c r="K1520" t="s">
        <v>450</v>
      </c>
    </row>
    <row r="1521" spans="1:11">
      <c r="A1521" s="32">
        <v>77</v>
      </c>
      <c r="B1521" s="32">
        <v>5204</v>
      </c>
      <c r="C1521" s="3">
        <v>6736400</v>
      </c>
      <c r="D1521" s="3">
        <v>200000</v>
      </c>
      <c r="E1521" s="7">
        <f t="shared" si="60"/>
        <v>6536400</v>
      </c>
      <c r="F1521" s="5">
        <v>45873</v>
      </c>
      <c r="G1521" s="4">
        <v>20250801</v>
      </c>
      <c r="H1521" s="38" t="str">
        <f>VLOOKUP(B1521,CAJEROS!B:D,3,0)</f>
        <v>Multifuncional</v>
      </c>
      <c r="I1521" s="34"/>
      <c r="J1521" s="38" t="str">
        <f>VLOOKUP(B1521,CAJEROS!B:E,4,0)</f>
        <v>MF_TEQENDMA</v>
      </c>
      <c r="K1521" t="s">
        <v>450</v>
      </c>
    </row>
    <row r="1522" spans="1:11">
      <c r="A1522" s="32">
        <v>453</v>
      </c>
      <c r="B1522" s="32">
        <v>8018</v>
      </c>
      <c r="C1522" s="3">
        <v>6004000</v>
      </c>
      <c r="D1522" s="3"/>
      <c r="E1522" s="7">
        <f t="shared" si="60"/>
        <v>6004000</v>
      </c>
      <c r="F1522" s="5">
        <v>45873</v>
      </c>
      <c r="G1522" s="4">
        <v>20250801</v>
      </c>
      <c r="H1522" s="38" t="str">
        <f>VLOOKUP(B1522,CAJEROS!B:D,3,0)</f>
        <v>Multifuncional</v>
      </c>
      <c r="I1522" s="34"/>
      <c r="J1522" s="38" t="str">
        <f>VLOOKUP(B1522,CAJEROS!B:E,4,0)</f>
        <v>MFSUCPITAL1</v>
      </c>
      <c r="K1522" t="s">
        <v>450</v>
      </c>
    </row>
    <row r="1523" spans="1:11">
      <c r="A1523" s="32">
        <v>554</v>
      </c>
      <c r="B1523" s="32">
        <v>8294</v>
      </c>
      <c r="C1523" s="3">
        <v>8780200</v>
      </c>
      <c r="D1523" s="3"/>
      <c r="E1523" s="7">
        <f t="shared" si="60"/>
        <v>8780200</v>
      </c>
      <c r="F1523" s="5">
        <v>45873</v>
      </c>
      <c r="G1523" s="4">
        <v>20250801</v>
      </c>
      <c r="H1523" s="38" t="str">
        <f>VLOOKUP(B1523,CAJEROS!B:D,3,0)</f>
        <v>Multifuncional</v>
      </c>
      <c r="I1523" s="34"/>
      <c r="J1523" s="38" t="str">
        <f>VLOOKUP(B1523,CAJEROS!B:E,4,0)</f>
        <v>MF_SBUVIII1</v>
      </c>
      <c r="K1523" t="s">
        <v>450</v>
      </c>
    </row>
    <row r="1524" spans="1:11">
      <c r="A1524" s="32">
        <v>554</v>
      </c>
      <c r="B1524" s="32">
        <v>8295</v>
      </c>
      <c r="C1524" s="3">
        <v>10526750</v>
      </c>
      <c r="D1524" s="3">
        <v>710000</v>
      </c>
      <c r="E1524" s="7">
        <f t="shared" si="60"/>
        <v>9816750</v>
      </c>
      <c r="F1524" s="5">
        <v>45873</v>
      </c>
      <c r="G1524" s="4">
        <v>20250801</v>
      </c>
      <c r="H1524" s="38" t="str">
        <f>VLOOKUP(B1524,CAJEROS!B:D,3,0)</f>
        <v>Multifuncional</v>
      </c>
      <c r="I1524" s="34"/>
      <c r="J1524" s="38" t="str">
        <f>VLOOKUP(B1524,CAJEROS!B:E,4,0)</f>
        <v>MF_SBUVIII2</v>
      </c>
      <c r="K1524" t="s">
        <v>450</v>
      </c>
    </row>
    <row r="1525" spans="1:11">
      <c r="A1525" s="32">
        <v>495</v>
      </c>
      <c r="B1525" s="32">
        <v>8482</v>
      </c>
      <c r="C1525" s="3">
        <v>7000000</v>
      </c>
      <c r="D1525" s="3"/>
      <c r="E1525" s="7">
        <f t="shared" si="60"/>
        <v>7000000</v>
      </c>
      <c r="F1525" s="5">
        <v>45873</v>
      </c>
      <c r="G1525" s="4">
        <v>20250801</v>
      </c>
      <c r="H1525" s="38" t="str">
        <f>VLOOKUP(B1525,CAJEROS!B:D,3,0)</f>
        <v>Multifuncional</v>
      </c>
      <c r="I1525" s="34"/>
      <c r="J1525" s="38" t="str">
        <f>VLOOKUP(B1525,CAJEROS!B:E,4,0)</f>
        <v>MF_SUCBOSQ1</v>
      </c>
      <c r="K1525" t="s">
        <v>450</v>
      </c>
    </row>
    <row r="1526" spans="1:11">
      <c r="A1526" s="32">
        <v>33</v>
      </c>
      <c r="B1526" s="32">
        <v>8861</v>
      </c>
      <c r="C1526" s="3">
        <v>8600000</v>
      </c>
      <c r="D1526" s="3"/>
      <c r="E1526" s="7">
        <f t="shared" si="60"/>
        <v>8600000</v>
      </c>
      <c r="F1526" s="5">
        <v>45873</v>
      </c>
      <c r="G1526" s="4">
        <v>20250801</v>
      </c>
      <c r="H1526" s="38" t="str">
        <f>VLOOKUP(B1526,CAJEROS!B:D,3,0)</f>
        <v>Multifuncional</v>
      </c>
      <c r="I1526" s="34"/>
      <c r="J1526" s="38" t="str">
        <f>VLOOKUP(B1526,CAJEROS!B:E,4,0)</f>
        <v>MF_SPOLCLU1</v>
      </c>
      <c r="K1526" t="s">
        <v>450</v>
      </c>
    </row>
    <row r="1527" spans="1:11">
      <c r="A1527" s="32">
        <v>287</v>
      </c>
      <c r="B1527" s="32">
        <v>907</v>
      </c>
      <c r="C1527" s="3">
        <v>1181000</v>
      </c>
      <c r="D1527" s="3">
        <v>1050000</v>
      </c>
      <c r="E1527" s="7">
        <f t="shared" si="60"/>
        <v>131000</v>
      </c>
      <c r="F1527" s="5">
        <v>45873</v>
      </c>
      <c r="G1527" s="4">
        <v>20250803</v>
      </c>
      <c r="H1527" s="38" t="str">
        <f>VLOOKUP(B1527,CAJEROS!B:D,3,0)</f>
        <v>Multifuncional</v>
      </c>
      <c r="I1527" s="34" t="s">
        <v>9</v>
      </c>
      <c r="J1527" s="38" t="str">
        <f>VLOOKUP(B1527,CAJEROS!B:E,4,0)</f>
        <v>MFABASTOBGA</v>
      </c>
      <c r="K1527" t="s">
        <v>450</v>
      </c>
    </row>
    <row r="1528" spans="1:11">
      <c r="A1528" s="32">
        <v>197</v>
      </c>
      <c r="B1528" s="32">
        <v>5084</v>
      </c>
      <c r="C1528" s="3">
        <v>100000</v>
      </c>
      <c r="D1528" s="3"/>
      <c r="E1528" s="7">
        <f t="shared" si="60"/>
        <v>100000</v>
      </c>
      <c r="F1528" s="5">
        <v>45873</v>
      </c>
      <c r="G1528" s="4">
        <v>20250803</v>
      </c>
      <c r="H1528" s="38" t="str">
        <f>VLOOKUP(B1528,CAJEROS!B:D,3,0)</f>
        <v>Multifuncional</v>
      </c>
      <c r="I1528" s="34" t="s">
        <v>9</v>
      </c>
      <c r="J1528" s="38" t="str">
        <f>VLOOKUP(B1528,CAJEROS!B:E,4,0)</f>
        <v>MF_GUATAPUR</v>
      </c>
      <c r="K1528" t="s">
        <v>450</v>
      </c>
    </row>
    <row r="1529" spans="1:11">
      <c r="A1529" s="32">
        <v>659</v>
      </c>
      <c r="B1529" s="32">
        <v>5102</v>
      </c>
      <c r="C1529" s="3">
        <v>1050000</v>
      </c>
      <c r="D1529" s="3">
        <f>5000+870000</f>
        <v>875000</v>
      </c>
      <c r="E1529" s="7">
        <f t="shared" si="60"/>
        <v>175000</v>
      </c>
      <c r="F1529" s="5">
        <v>45873</v>
      </c>
      <c r="G1529" s="4">
        <v>20250803</v>
      </c>
      <c r="H1529" s="38" t="str">
        <f>VLOOKUP(B1529,CAJEROS!B:D,3,0)</f>
        <v>Multifuncional</v>
      </c>
      <c r="I1529" s="34" t="s">
        <v>9</v>
      </c>
      <c r="J1529" s="38" t="str">
        <f>VLOOKUP(B1529,CAJEROS!B:E,4,0)</f>
        <v>MF_GIRARDOT</v>
      </c>
      <c r="K1529" t="s">
        <v>450</v>
      </c>
    </row>
    <row r="1530" spans="1:11">
      <c r="A1530" s="32">
        <v>656</v>
      </c>
      <c r="B1530" s="32">
        <v>5103</v>
      </c>
      <c r="C1530" s="3">
        <v>101050</v>
      </c>
      <c r="D1530" s="3"/>
      <c r="E1530" s="7">
        <f t="shared" si="60"/>
        <v>101050</v>
      </c>
      <c r="F1530" s="5">
        <v>45873</v>
      </c>
      <c r="G1530" s="4">
        <v>20250803</v>
      </c>
      <c r="H1530" s="38" t="str">
        <f>VLOOKUP(B1530,CAJEROS!B:D,3,0)</f>
        <v>Multifuncional</v>
      </c>
      <c r="I1530" s="34" t="s">
        <v>9</v>
      </c>
      <c r="J1530" s="38" t="str">
        <f>VLOOKUP(B1530,CAJEROS!B:E,4,0)</f>
        <v>MF_MAYPLAZA</v>
      </c>
      <c r="K1530" t="s">
        <v>450</v>
      </c>
    </row>
    <row r="1531" spans="1:11">
      <c r="A1531" s="32">
        <v>244</v>
      </c>
      <c r="B1531" s="32">
        <v>5129</v>
      </c>
      <c r="C1531" s="3">
        <v>934950</v>
      </c>
      <c r="D1531" s="3">
        <v>375000</v>
      </c>
      <c r="E1531" s="7">
        <f t="shared" si="60"/>
        <v>559950</v>
      </c>
      <c r="F1531" s="5">
        <v>45873</v>
      </c>
      <c r="G1531" s="4">
        <v>20250803</v>
      </c>
      <c r="H1531" s="38" t="str">
        <f>VLOOKUP(B1531,CAJEROS!B:D,3,0)</f>
        <v>Multifuncional</v>
      </c>
      <c r="I1531" s="34" t="s">
        <v>9</v>
      </c>
      <c r="J1531" s="38" t="str">
        <f>VLOOKUP(B1531,CAJEROS!B:E,4,0)</f>
        <v>MF_TRIGALAN</v>
      </c>
      <c r="K1531" t="s">
        <v>450</v>
      </c>
    </row>
    <row r="1532" spans="1:11">
      <c r="A1532" s="32">
        <v>762</v>
      </c>
      <c r="B1532" s="32">
        <v>5181</v>
      </c>
      <c r="C1532" s="3">
        <v>1307200</v>
      </c>
      <c r="D1532" s="3">
        <f>970000+250000</f>
        <v>1220000</v>
      </c>
      <c r="E1532" s="7">
        <f t="shared" si="60"/>
        <v>87200</v>
      </c>
      <c r="F1532" s="5">
        <v>45873</v>
      </c>
      <c r="G1532" s="4">
        <v>20250803</v>
      </c>
      <c r="H1532" s="38" t="str">
        <f>VLOOKUP(B1532,CAJEROS!B:D,3,0)</f>
        <v>Multifuncional</v>
      </c>
      <c r="I1532" s="34" t="s">
        <v>9</v>
      </c>
      <c r="J1532" s="38" t="str">
        <f>VLOOKUP(B1532,CAJEROS!B:E,4,0)</f>
        <v>MF_HERRADU1</v>
      </c>
      <c r="K1532" t="s">
        <v>450</v>
      </c>
    </row>
    <row r="1533" spans="1:11">
      <c r="A1533" s="32">
        <v>941</v>
      </c>
      <c r="B1533" s="32">
        <v>5220</v>
      </c>
      <c r="C1533" s="3">
        <v>1850000</v>
      </c>
      <c r="D1533" s="3">
        <v>368000</v>
      </c>
      <c r="E1533" s="7">
        <f t="shared" si="60"/>
        <v>1482000</v>
      </c>
      <c r="F1533" s="5">
        <v>45873</v>
      </c>
      <c r="G1533" s="4">
        <v>20250803</v>
      </c>
      <c r="H1533" s="38" t="str">
        <f>VLOOKUP(B1533,CAJEROS!B:D,3,0)</f>
        <v>Multifuncional</v>
      </c>
      <c r="I1533" s="34" t="s">
        <v>9</v>
      </c>
      <c r="J1533" s="38" t="str">
        <f>VLOOKUP(B1533,CAJEROS!B:E,4,0)</f>
        <v>MF_NEIVANVA</v>
      </c>
      <c r="K1533" t="s">
        <v>450</v>
      </c>
    </row>
    <row r="1534" spans="1:11">
      <c r="A1534" s="32">
        <v>74</v>
      </c>
      <c r="B1534" s="32">
        <v>6215</v>
      </c>
      <c r="C1534" s="3">
        <v>2216000</v>
      </c>
      <c r="D1534" s="3">
        <v>1130000</v>
      </c>
      <c r="E1534" s="7">
        <f t="shared" si="60"/>
        <v>1086000</v>
      </c>
      <c r="F1534" s="5">
        <v>45873</v>
      </c>
      <c r="G1534" s="4">
        <v>20250803</v>
      </c>
      <c r="H1534" s="38" t="str">
        <f>VLOOKUP(B1534,CAJEROS!B:D,3,0)</f>
        <v>Multifuncional</v>
      </c>
      <c r="I1534" s="34" t="s">
        <v>9</v>
      </c>
      <c r="J1534" s="38" t="str">
        <f>VLOOKUP(B1534,CAJEROS!B:E,4,0)</f>
        <v>MF_PASTO</v>
      </c>
      <c r="K1534" t="s">
        <v>450</v>
      </c>
    </row>
    <row r="1535" spans="1:11">
      <c r="A1535" s="32">
        <v>524</v>
      </c>
      <c r="B1535" s="32">
        <v>6336</v>
      </c>
      <c r="C1535" s="3">
        <v>1650000</v>
      </c>
      <c r="D1535" s="3"/>
      <c r="E1535" s="7">
        <f t="shared" si="60"/>
        <v>1650000</v>
      </c>
      <c r="F1535" s="5">
        <v>45873</v>
      </c>
      <c r="G1535" s="4">
        <v>20250803</v>
      </c>
      <c r="H1535" s="38" t="str">
        <f>VLOOKUP(B1535,CAJEROS!B:D,3,0)</f>
        <v>Multifuncional</v>
      </c>
      <c r="I1535" s="34" t="s">
        <v>9</v>
      </c>
      <c r="J1535" s="38" t="str">
        <f>VLOOKUP(B1535,CAJEROS!B:E,4,0)</f>
        <v>MF_VALLEDUP</v>
      </c>
      <c r="K1535" t="s">
        <v>450</v>
      </c>
    </row>
    <row r="1536" spans="1:11">
      <c r="A1536" s="32">
        <v>601</v>
      </c>
      <c r="B1536" s="32">
        <v>6407</v>
      </c>
      <c r="C1536" s="3">
        <v>300000</v>
      </c>
      <c r="D1536" s="3">
        <v>120000</v>
      </c>
      <c r="E1536" s="7">
        <f t="shared" si="60"/>
        <v>180000</v>
      </c>
      <c r="F1536" s="5">
        <v>45873</v>
      </c>
      <c r="G1536" s="4">
        <v>20250803</v>
      </c>
      <c r="H1536" s="38" t="str">
        <f>VLOOKUP(B1536,CAJEROS!B:D,3,0)</f>
        <v>Multifuncional</v>
      </c>
      <c r="I1536" s="34" t="s">
        <v>9</v>
      </c>
      <c r="J1536" s="38" t="str">
        <f>VLOOKUP(B1536,CAJEROS!B:E,4,0)</f>
        <v>MF_COLINACA</v>
      </c>
      <c r="K1536" t="s">
        <v>450</v>
      </c>
    </row>
    <row r="1537" spans="1:11">
      <c r="A1537" s="32">
        <v>549</v>
      </c>
      <c r="B1537" s="32">
        <v>7123</v>
      </c>
      <c r="C1537" s="3">
        <v>1720000</v>
      </c>
      <c r="D1537" s="3">
        <f>300700+225000</f>
        <v>525700</v>
      </c>
      <c r="E1537" s="7">
        <f t="shared" si="60"/>
        <v>1194300</v>
      </c>
      <c r="F1537" s="5">
        <v>45873</v>
      </c>
      <c r="G1537" s="4">
        <v>20250803</v>
      </c>
      <c r="H1537" s="38" t="str">
        <f>VLOOKUP(B1537,CAJEROS!B:D,3,0)</f>
        <v>Multifuncional</v>
      </c>
      <c r="I1537" s="34" t="s">
        <v>9</v>
      </c>
      <c r="J1537" s="38" t="str">
        <f>VLOOKUP(B1537,CAJEROS!B:E,4,0)</f>
        <v>MF_PLARIO2</v>
      </c>
      <c r="K1537" t="s">
        <v>450</v>
      </c>
    </row>
    <row r="1538" spans="1:11">
      <c r="A1538" s="32">
        <v>15</v>
      </c>
      <c r="B1538" s="32">
        <v>8577</v>
      </c>
      <c r="C1538" s="3">
        <v>143850</v>
      </c>
      <c r="D1538" s="3"/>
      <c r="E1538" s="7">
        <f t="shared" si="60"/>
        <v>143850</v>
      </c>
      <c r="F1538" s="5">
        <v>45873</v>
      </c>
      <c r="G1538" s="4">
        <v>20250803</v>
      </c>
      <c r="H1538" s="38" t="str">
        <f>VLOOKUP(B1538,CAJEROS!B:D,3,0)</f>
        <v>Multifuncional</v>
      </c>
      <c r="I1538" s="34" t="s">
        <v>9</v>
      </c>
      <c r="J1538" s="38" t="str">
        <f>VLOOKUP(B1538,CAJEROS!B:E,4,0)</f>
        <v>MF_HITAGUI2</v>
      </c>
      <c r="K1538" t="s">
        <v>450</v>
      </c>
    </row>
    <row r="1539" spans="1:11">
      <c r="A1539" s="32">
        <v>60</v>
      </c>
      <c r="B1539" s="32">
        <v>8727</v>
      </c>
      <c r="C1539" s="3">
        <v>90000</v>
      </c>
      <c r="D1539" s="3"/>
      <c r="E1539" s="7">
        <f t="shared" si="60"/>
        <v>90000</v>
      </c>
      <c r="F1539" s="5">
        <v>45873</v>
      </c>
      <c r="G1539" s="4">
        <v>20250803</v>
      </c>
      <c r="H1539" s="38" t="str">
        <f>VLOOKUP(B1539,CAJEROS!B:D,3,0)</f>
        <v>Multifuncional</v>
      </c>
      <c r="I1539" s="34" t="s">
        <v>9</v>
      </c>
      <c r="J1539" s="38" t="str">
        <f>VLOOKUP(B1539,CAJEROS!B:E,4,0)</f>
        <v>MF_HCALIPR1</v>
      </c>
      <c r="K1539" t="s">
        <v>450</v>
      </c>
    </row>
    <row r="1540" spans="1:11">
      <c r="A1540" s="32">
        <v>467</v>
      </c>
      <c r="B1540" s="32">
        <v>9052</v>
      </c>
      <c r="C1540" s="3">
        <v>335000</v>
      </c>
      <c r="D1540" s="3">
        <v>50000</v>
      </c>
      <c r="E1540" s="7">
        <f t="shared" si="60"/>
        <v>285000</v>
      </c>
      <c r="F1540" s="5">
        <v>45873</v>
      </c>
      <c r="G1540" s="4">
        <v>20250803</v>
      </c>
      <c r="H1540" s="38" t="str">
        <f>VLOOKUP(B1540,CAJEROS!B:D,3,0)</f>
        <v>Multifuncional</v>
      </c>
      <c r="I1540" s="34" t="s">
        <v>9</v>
      </c>
      <c r="J1540" s="38" t="str">
        <f>VLOOKUP(B1540,CAJEROS!B:E,4,0)</f>
        <v>MFHDVERPLZ2</v>
      </c>
      <c r="K1540" t="s">
        <v>450</v>
      </c>
    </row>
    <row r="1541" spans="1:11">
      <c r="A1541" s="32">
        <v>367</v>
      </c>
      <c r="B1541" s="32">
        <v>9580</v>
      </c>
      <c r="C1541" s="3">
        <v>2760000</v>
      </c>
      <c r="D1541" s="3">
        <v>2038000</v>
      </c>
      <c r="E1541" s="7">
        <f t="shared" si="60"/>
        <v>722000</v>
      </c>
      <c r="F1541" s="5">
        <v>45873</v>
      </c>
      <c r="G1541" s="4">
        <v>20250803</v>
      </c>
      <c r="H1541" s="38" t="str">
        <f>VLOOKUP(B1541,CAJEROS!B:D,3,0)</f>
        <v>Multifuncional</v>
      </c>
      <c r="I1541" s="34" t="s">
        <v>9</v>
      </c>
      <c r="J1541" s="38" t="str">
        <f>VLOOKUP(B1541,CAJEROS!B:E,4,0)</f>
        <v>MF_SUCGRAN1</v>
      </c>
      <c r="K1541" t="s">
        <v>450</v>
      </c>
    </row>
    <row r="1542" spans="1:11">
      <c r="A1542" s="32">
        <v>499</v>
      </c>
      <c r="B1542" s="32">
        <v>9810</v>
      </c>
      <c r="C1542" s="3">
        <v>300000</v>
      </c>
      <c r="D1542" s="3">
        <v>288800</v>
      </c>
      <c r="E1542" s="7">
        <f t="shared" si="60"/>
        <v>11200</v>
      </c>
      <c r="F1542" s="5">
        <v>45873</v>
      </c>
      <c r="G1542" s="4">
        <v>20250803</v>
      </c>
      <c r="H1542" s="38" t="str">
        <f>VLOOKUP(B1542,CAJEROS!B:D,3,0)</f>
        <v>Multifuncional</v>
      </c>
      <c r="I1542" s="34" t="s">
        <v>9</v>
      </c>
      <c r="J1542" s="38" t="str">
        <f>VLOOKUP(B1542,CAJEROS!B:E,4,0)</f>
        <v>MF_SUCPARF1</v>
      </c>
      <c r="K1542" t="s">
        <v>450</v>
      </c>
    </row>
    <row r="1543" spans="1:11">
      <c r="A1543" s="32">
        <v>693</v>
      </c>
      <c r="B1543" s="32">
        <v>7979</v>
      </c>
      <c r="C1543" s="3">
        <v>4450000</v>
      </c>
      <c r="D1543" s="3"/>
      <c r="E1543" s="7">
        <f t="shared" si="60"/>
        <v>4450000</v>
      </c>
      <c r="F1543" s="5">
        <v>45873</v>
      </c>
      <c r="G1543" s="4">
        <v>20250804</v>
      </c>
      <c r="H1543" s="38" t="str">
        <f>VLOOKUP(B1543,CAJEROS!B:D,3,0)</f>
        <v>Multifuncional</v>
      </c>
      <c r="I1543" s="34" t="s">
        <v>451</v>
      </c>
      <c r="J1543" s="38" t="str">
        <f>VLOOKUP(B1543,CAJEROS!B:E,4,0)</f>
        <v>MF_CCSNTAF3</v>
      </c>
      <c r="K1543" t="s">
        <v>450</v>
      </c>
    </row>
    <row r="1544" spans="1:11">
      <c r="A1544" s="32">
        <v>68</v>
      </c>
      <c r="B1544" s="32">
        <v>4980</v>
      </c>
      <c r="C1544" s="3">
        <v>1550000</v>
      </c>
      <c r="D1544" s="3">
        <f>40000+350000</f>
        <v>390000</v>
      </c>
      <c r="E1544" s="7">
        <f t="shared" si="60"/>
        <v>1160000</v>
      </c>
      <c r="F1544" s="5">
        <v>45874</v>
      </c>
      <c r="G1544" s="4">
        <v>20250804</v>
      </c>
      <c r="H1544" s="38" t="str">
        <f>VLOOKUP(B1544,CAJEROS!B:D,3,0)</f>
        <v>Dispensador</v>
      </c>
      <c r="I1544" s="34"/>
      <c r="J1544" s="38" t="str">
        <f>VLOOKUP(B1544,CAJEROS!B:E,4,0)</f>
        <v>AUTO_IBAGU2</v>
      </c>
      <c r="K1544" t="s">
        <v>450</v>
      </c>
    </row>
    <row r="1545" spans="1:11">
      <c r="A1545" s="32">
        <v>93</v>
      </c>
      <c r="B1545" s="32">
        <v>6055</v>
      </c>
      <c r="C1545" s="3">
        <v>360000</v>
      </c>
      <c r="D1545" s="3"/>
      <c r="E1545" s="7">
        <f t="shared" si="60"/>
        <v>360000</v>
      </c>
      <c r="F1545" s="5">
        <v>45874</v>
      </c>
      <c r="G1545" s="4">
        <v>20250804</v>
      </c>
      <c r="H1545" s="38" t="str">
        <f>VLOOKUP(B1545,CAJEROS!B:D,3,0)</f>
        <v>Dispensador</v>
      </c>
      <c r="I1545" s="34"/>
      <c r="J1545" s="38" t="str">
        <f>VLOOKUP(B1545,CAJEROS!B:E,4,0)</f>
        <v>SAHAGUN3</v>
      </c>
      <c r="K1545" t="s">
        <v>450</v>
      </c>
    </row>
    <row r="1546" spans="1:11">
      <c r="A1546" s="32">
        <v>358</v>
      </c>
      <c r="B1546" s="32">
        <v>9648</v>
      </c>
      <c r="C1546" s="3">
        <f>180000+30000</f>
        <v>210000</v>
      </c>
      <c r="D1546" s="3"/>
      <c r="E1546" s="7">
        <f t="shared" si="60"/>
        <v>210000</v>
      </c>
      <c r="F1546" s="5">
        <v>45874</v>
      </c>
      <c r="G1546" s="4">
        <v>20250804</v>
      </c>
      <c r="H1546" s="38" t="str">
        <f>VLOOKUP(B1546,CAJEROS!B:D,3,0)</f>
        <v>Dispensador</v>
      </c>
      <c r="I1546" s="34" t="s">
        <v>452</v>
      </c>
      <c r="J1546" s="38" t="str">
        <f>VLOOKUP(B1546,CAJEROS!B:E,4,0)</f>
        <v>SUC_SOGA3</v>
      </c>
      <c r="K1546" t="s">
        <v>450</v>
      </c>
    </row>
    <row r="1547" spans="1:11">
      <c r="A1547" s="32">
        <v>426</v>
      </c>
      <c r="B1547" s="32">
        <v>4260</v>
      </c>
      <c r="C1547" s="3">
        <v>2700000</v>
      </c>
      <c r="D1547" s="3"/>
      <c r="E1547" s="7">
        <f t="shared" si="60"/>
        <v>2700000</v>
      </c>
      <c r="F1547" s="5">
        <v>45874</v>
      </c>
      <c r="G1547" s="4">
        <v>20250804</v>
      </c>
      <c r="H1547" s="38" t="str">
        <f>VLOOKUP(B1547,CAJEROS!B:D,3,0)</f>
        <v>Dispensador</v>
      </c>
      <c r="I1547" s="34"/>
      <c r="J1547" s="38" t="str">
        <f>VLOOKUP(B1547,CAJEROS!B:E,4,0)</f>
        <v>PURIFICACI1</v>
      </c>
      <c r="K1547" t="s">
        <v>450</v>
      </c>
    </row>
    <row r="1548" spans="1:11">
      <c r="A1548" s="32">
        <v>453</v>
      </c>
      <c r="B1548" s="32">
        <v>8012</v>
      </c>
      <c r="C1548" s="3">
        <v>1180000</v>
      </c>
      <c r="D1548" s="3"/>
      <c r="E1548" s="7">
        <f t="shared" si="60"/>
        <v>1180000</v>
      </c>
      <c r="F1548" s="5">
        <v>45874</v>
      </c>
      <c r="G1548" s="4">
        <v>20250804</v>
      </c>
      <c r="H1548" s="38" t="str">
        <f>VLOOKUP(B1548,CAJEROS!B:D,3,0)</f>
        <v>Dispensador</v>
      </c>
      <c r="I1548" s="34"/>
      <c r="J1548" s="38" t="str">
        <f>VLOOKUP(B1548,CAJEROS!B:E,4,0)</f>
        <v>SUCPITALTO1</v>
      </c>
      <c r="K1548" t="s">
        <v>450</v>
      </c>
    </row>
    <row r="1549" spans="1:11">
      <c r="A1549" s="32">
        <v>453</v>
      </c>
      <c r="B1549" s="32">
        <v>8013</v>
      </c>
      <c r="C1549" s="3">
        <v>1100000</v>
      </c>
      <c r="D1549" s="3"/>
      <c r="E1549" s="7">
        <f t="shared" si="60"/>
        <v>1100000</v>
      </c>
      <c r="F1549" s="5">
        <v>45874</v>
      </c>
      <c r="G1549" s="4">
        <v>20250804</v>
      </c>
      <c r="H1549" s="38" t="str">
        <f>VLOOKUP(B1549,CAJEROS!B:D,3,0)</f>
        <v>Dispensador</v>
      </c>
      <c r="I1549" s="34"/>
      <c r="J1549" s="38" t="str">
        <f>VLOOKUP(B1549,CAJEROS!B:E,4,0)</f>
        <v>SUCPITALTO2</v>
      </c>
      <c r="K1549" t="s">
        <v>450</v>
      </c>
    </row>
    <row r="1550" spans="1:11">
      <c r="A1550" s="32">
        <v>503</v>
      </c>
      <c r="B1550" s="32">
        <v>5032</v>
      </c>
      <c r="C1550" s="3">
        <v>60000</v>
      </c>
      <c r="D1550" s="3"/>
      <c r="E1550" s="7">
        <f t="shared" si="60"/>
        <v>60000</v>
      </c>
      <c r="F1550" s="5">
        <v>45874</v>
      </c>
      <c r="G1550" s="4">
        <v>20250804</v>
      </c>
      <c r="H1550" s="38" t="str">
        <f>VLOOKUP(B1550,CAJEROS!B:D,3,0)</f>
        <v>Dispensador</v>
      </c>
      <c r="I1550" s="34"/>
      <c r="J1550" s="38" t="str">
        <f>VLOOKUP(B1550,CAJEROS!B:E,4,0)</f>
        <v>YARUMAL2</v>
      </c>
      <c r="K1550" t="s">
        <v>450</v>
      </c>
    </row>
    <row r="1551" spans="1:11">
      <c r="A1551" s="32">
        <v>537</v>
      </c>
      <c r="B1551" s="32">
        <v>5370</v>
      </c>
      <c r="C1551" s="3">
        <v>110000</v>
      </c>
      <c r="D1551" s="3">
        <v>100000</v>
      </c>
      <c r="E1551" s="7">
        <f t="shared" si="60"/>
        <v>10000</v>
      </c>
      <c r="F1551" s="5">
        <v>45874</v>
      </c>
      <c r="G1551" s="4">
        <v>20250804</v>
      </c>
      <c r="H1551" s="38" t="str">
        <f>VLOOKUP(B1551,CAJEROS!B:D,3,0)</f>
        <v>Dispensador</v>
      </c>
      <c r="I1551" s="34"/>
      <c r="J1551" s="38" t="str">
        <f>VLOOKUP(B1551,CAJEROS!B:E,4,0)</f>
        <v>ENTRERRIOS</v>
      </c>
      <c r="K1551" t="s">
        <v>450</v>
      </c>
    </row>
    <row r="1552" spans="1:11">
      <c r="A1552" s="32">
        <v>541</v>
      </c>
      <c r="B1552" s="32">
        <v>8655</v>
      </c>
      <c r="C1552" s="3">
        <v>10000</v>
      </c>
      <c r="D1552" s="3"/>
      <c r="E1552" s="7">
        <f t="shared" si="60"/>
        <v>10000</v>
      </c>
      <c r="F1552" s="5">
        <v>45874</v>
      </c>
      <c r="G1552" s="4">
        <v>20250804</v>
      </c>
      <c r="H1552" s="38" t="str">
        <f>VLOOKUP(B1552,CAJEROS!B:D,3,0)</f>
        <v>Dispensador</v>
      </c>
      <c r="I1552" s="34"/>
      <c r="J1552" s="38" t="str">
        <f>VLOOKUP(B1552,CAJEROS!B:E,4,0)</f>
        <v>SUCCALDASP6</v>
      </c>
      <c r="K1552" t="s">
        <v>450</v>
      </c>
    </row>
    <row r="1553" spans="1:11">
      <c r="A1553" s="32">
        <v>8</v>
      </c>
      <c r="B1553" s="32">
        <v>5656</v>
      </c>
      <c r="C1553" s="3">
        <v>200000</v>
      </c>
      <c r="D1553" s="3"/>
      <c r="E1553" s="7">
        <f t="shared" si="60"/>
        <v>200000</v>
      </c>
      <c r="F1553" s="5">
        <v>45874</v>
      </c>
      <c r="G1553" s="4">
        <v>20250804</v>
      </c>
      <c r="H1553" s="38" t="str">
        <f>VLOOKUP(B1553,CAJEROS!B:D,3,0)</f>
        <v>Dispensador</v>
      </c>
      <c r="I1553" s="34" t="s">
        <v>9</v>
      </c>
      <c r="J1553" s="38" t="str">
        <f>VLOOKUP(B1553,CAJEROS!B:E,4,0)</f>
        <v>SUC_LAPLAY2</v>
      </c>
      <c r="K1553" t="s">
        <v>450</v>
      </c>
    </row>
    <row r="1554" spans="1:11">
      <c r="A1554" s="32">
        <v>64</v>
      </c>
      <c r="B1554" s="32">
        <v>6605</v>
      </c>
      <c r="C1554" s="3">
        <v>220000</v>
      </c>
      <c r="D1554" s="3">
        <f>80000+40000</f>
        <v>120000</v>
      </c>
      <c r="E1554" s="7">
        <f t="shared" ref="E1554:E1617" si="61">+C1554-D1554</f>
        <v>100000</v>
      </c>
      <c r="F1554" s="5">
        <v>45874</v>
      </c>
      <c r="G1554" s="4">
        <v>20250804</v>
      </c>
      <c r="H1554" s="38" t="str">
        <f>VLOOKUP(B1554,CAJEROS!B:D,3,0)</f>
        <v>Dispensador</v>
      </c>
      <c r="I1554" s="34" t="s">
        <v>9</v>
      </c>
      <c r="J1554" s="38" t="str">
        <f>VLOOKUP(B1554,CAJEROS!B:E,4,0)</f>
        <v>VIPASA_6_R</v>
      </c>
      <c r="K1554" t="s">
        <v>450</v>
      </c>
    </row>
    <row r="1555" spans="1:11">
      <c r="A1555" s="32">
        <v>96</v>
      </c>
      <c r="B1555" s="32">
        <v>1036</v>
      </c>
      <c r="C1555" s="3">
        <v>660000</v>
      </c>
      <c r="D1555" s="3">
        <f>310000+230000</f>
        <v>540000</v>
      </c>
      <c r="E1555" s="7">
        <f t="shared" si="61"/>
        <v>120000</v>
      </c>
      <c r="F1555" s="5">
        <v>45874</v>
      </c>
      <c r="G1555" s="4">
        <v>20250804</v>
      </c>
      <c r="H1555" s="38" t="str">
        <f>VLOOKUP(B1555,CAJEROS!B:D,3,0)</f>
        <v>Dispensador</v>
      </c>
      <c r="I1555" s="34" t="s">
        <v>9</v>
      </c>
      <c r="J1555" s="38" t="str">
        <f>VLOOKUP(B1555,CAJEROS!B:E,4,0)</f>
        <v>SUC_MAICAO2</v>
      </c>
      <c r="K1555" t="s">
        <v>450</v>
      </c>
    </row>
    <row r="1556" spans="1:11">
      <c r="A1556" s="32">
        <v>186</v>
      </c>
      <c r="B1556" s="32">
        <v>6509</v>
      </c>
      <c r="C1556" s="3">
        <v>100000</v>
      </c>
      <c r="D1556" s="3"/>
      <c r="E1556" s="7">
        <f t="shared" si="61"/>
        <v>100000</v>
      </c>
      <c r="F1556" s="5">
        <v>45874</v>
      </c>
      <c r="G1556" s="4">
        <v>20250804</v>
      </c>
      <c r="H1556" s="38" t="str">
        <f>VLOOKUP(B1556,CAJEROS!B:D,3,0)</f>
        <v>Dispensador</v>
      </c>
      <c r="I1556" s="34" t="s">
        <v>9</v>
      </c>
      <c r="J1556" s="38" t="str">
        <f>VLOOKUP(B1556,CAJEROS!B:E,4,0)</f>
        <v>SUC_GALERI2</v>
      </c>
      <c r="K1556" t="s">
        <v>450</v>
      </c>
    </row>
    <row r="1557" spans="1:11">
      <c r="A1557" s="32">
        <v>186</v>
      </c>
      <c r="B1557" s="32">
        <v>6514</v>
      </c>
      <c r="C1557" s="3">
        <v>600000</v>
      </c>
      <c r="D1557" s="3">
        <f>420000+50000</f>
        <v>470000</v>
      </c>
      <c r="E1557" s="7">
        <f t="shared" si="61"/>
        <v>130000</v>
      </c>
      <c r="F1557" s="5">
        <v>45874</v>
      </c>
      <c r="G1557" s="4">
        <v>20250804</v>
      </c>
      <c r="H1557" s="38" t="str">
        <f>VLOOKUP(B1557,CAJEROS!B:D,3,0)</f>
        <v>Dispensador</v>
      </c>
      <c r="I1557" s="34" t="s">
        <v>9</v>
      </c>
      <c r="J1557" s="38" t="str">
        <f>VLOOKUP(B1557,CAJEROS!B:E,4,0)</f>
        <v>SUC_GALERI5</v>
      </c>
      <c r="K1557" t="s">
        <v>450</v>
      </c>
    </row>
    <row r="1558" spans="1:11">
      <c r="A1558" s="32">
        <v>261</v>
      </c>
      <c r="B1558" s="32">
        <v>8475</v>
      </c>
      <c r="C1558" s="3">
        <v>100000</v>
      </c>
      <c r="D1558" s="3"/>
      <c r="E1558" s="7">
        <f t="shared" si="61"/>
        <v>100000</v>
      </c>
      <c r="F1558" s="5">
        <v>45874</v>
      </c>
      <c r="G1558" s="4">
        <v>20250804</v>
      </c>
      <c r="H1558" s="38" t="str">
        <f>VLOOKUP(B1558,CAJEROS!B:D,3,0)</f>
        <v>Dispensador</v>
      </c>
      <c r="I1558" s="34" t="s">
        <v>9</v>
      </c>
      <c r="J1558" s="38" t="str">
        <f>VLOOKUP(B1558,CAJEROS!B:E,4,0)</f>
        <v>SUCAMPA1</v>
      </c>
      <c r="K1558" t="s">
        <v>450</v>
      </c>
    </row>
    <row r="1559" spans="1:11">
      <c r="A1559" s="32">
        <v>395</v>
      </c>
      <c r="B1559" s="32">
        <v>1538</v>
      </c>
      <c r="C1559" s="3">
        <v>670000</v>
      </c>
      <c r="D1559" s="3"/>
      <c r="E1559" s="7">
        <f t="shared" si="61"/>
        <v>670000</v>
      </c>
      <c r="F1559" s="5">
        <v>45874</v>
      </c>
      <c r="G1559" s="4">
        <v>20250804</v>
      </c>
      <c r="H1559" s="38" t="str">
        <f>VLOOKUP(B1559,CAJEROS!B:D,3,0)</f>
        <v>Dispensador</v>
      </c>
      <c r="I1559" s="34" t="s">
        <v>9</v>
      </c>
      <c r="J1559" s="38" t="str">
        <f>VLOOKUP(B1559,CAJEROS!B:E,4,0)</f>
        <v>SUCVIVAVCI7</v>
      </c>
      <c r="K1559" t="s">
        <v>450</v>
      </c>
    </row>
    <row r="1560" spans="1:11">
      <c r="A1560" s="32">
        <v>466</v>
      </c>
      <c r="B1560" s="32">
        <v>6596</v>
      </c>
      <c r="C1560" s="3">
        <v>300000</v>
      </c>
      <c r="D1560" s="3"/>
      <c r="E1560" s="7">
        <f t="shared" si="61"/>
        <v>300000</v>
      </c>
      <c r="F1560" s="5">
        <v>45874</v>
      </c>
      <c r="G1560" s="4">
        <v>20250804</v>
      </c>
      <c r="H1560" s="38" t="str">
        <f>VLOOKUP(B1560,CAJEROS!B:D,3,0)</f>
        <v>Dispensador</v>
      </c>
      <c r="I1560" s="34" t="s">
        <v>9</v>
      </c>
      <c r="J1560" s="38" t="str">
        <f>VLOOKUP(B1560,CAJEROS!B:E,4,0)</f>
        <v>SUC_FLOREN1</v>
      </c>
      <c r="K1560" t="s">
        <v>450</v>
      </c>
    </row>
    <row r="1561" spans="1:11">
      <c r="A1561" s="32">
        <v>631</v>
      </c>
      <c r="B1561" s="32">
        <v>2794</v>
      </c>
      <c r="C1561" s="3">
        <v>140000</v>
      </c>
      <c r="D1561" s="3">
        <v>20000</v>
      </c>
      <c r="E1561" s="7">
        <f t="shared" si="61"/>
        <v>120000</v>
      </c>
      <c r="F1561" s="5">
        <v>45874</v>
      </c>
      <c r="G1561" s="4">
        <v>20250804</v>
      </c>
      <c r="H1561" s="38" t="str">
        <f>VLOOKUP(B1561,CAJEROS!B:D,3,0)</f>
        <v>Dispensador</v>
      </c>
      <c r="I1561" s="34" t="s">
        <v>9</v>
      </c>
      <c r="J1561" s="38" t="str">
        <f>VLOOKUP(B1561,CAJEROS!B:E,4,0)</f>
        <v>SUCURIBIA_4</v>
      </c>
      <c r="K1561" t="s">
        <v>450</v>
      </c>
    </row>
    <row r="1562" spans="1:11">
      <c r="A1562" s="32">
        <v>750</v>
      </c>
      <c r="B1562" s="32">
        <v>5537</v>
      </c>
      <c r="C1562" s="3">
        <v>2700000</v>
      </c>
      <c r="D1562" s="3"/>
      <c r="E1562" s="7">
        <f t="shared" si="61"/>
        <v>2700000</v>
      </c>
      <c r="F1562" s="5">
        <v>45874</v>
      </c>
      <c r="G1562" s="4">
        <v>20250804</v>
      </c>
      <c r="H1562" s="38" t="str">
        <f>VLOOKUP(B1562,CAJEROS!B:D,3,0)</f>
        <v>Dispensador</v>
      </c>
      <c r="I1562" s="34" t="s">
        <v>9</v>
      </c>
      <c r="J1562" s="38" t="str">
        <f>VLOOKUP(B1562,CAJEROS!B:E,4,0)</f>
        <v>AV_ROOSVEL1</v>
      </c>
      <c r="K1562" t="s">
        <v>450</v>
      </c>
    </row>
    <row r="1563" spans="1:11">
      <c r="A1563" s="32">
        <v>750</v>
      </c>
      <c r="B1563" s="32">
        <v>5538</v>
      </c>
      <c r="C1563" s="3">
        <v>50000</v>
      </c>
      <c r="D1563" s="3"/>
      <c r="E1563" s="7">
        <f t="shared" si="61"/>
        <v>50000</v>
      </c>
      <c r="F1563" s="5">
        <v>45874</v>
      </c>
      <c r="G1563" s="4">
        <v>20250804</v>
      </c>
      <c r="H1563" s="38" t="str">
        <f>VLOOKUP(B1563,CAJEROS!B:D,3,0)</f>
        <v>Dispensador</v>
      </c>
      <c r="I1563" s="34" t="s">
        <v>9</v>
      </c>
      <c r="J1563" s="38" t="str">
        <f>VLOOKUP(B1563,CAJEROS!B:E,4,0)</f>
        <v>AV_ROOSVEL2</v>
      </c>
      <c r="K1563" t="s">
        <v>450</v>
      </c>
    </row>
    <row r="1564" spans="1:11">
      <c r="A1564" s="32">
        <v>828</v>
      </c>
      <c r="B1564" s="32">
        <v>2234</v>
      </c>
      <c r="C1564" s="3">
        <v>210000</v>
      </c>
      <c r="D1564" s="3"/>
      <c r="E1564" s="7">
        <f t="shared" si="61"/>
        <v>210000</v>
      </c>
      <c r="F1564" s="5">
        <v>45874</v>
      </c>
      <c r="G1564" s="4">
        <v>20250804</v>
      </c>
      <c r="H1564" s="38" t="str">
        <f>VLOOKUP(B1564,CAJEROS!B:D,3,0)</f>
        <v>Dispensador</v>
      </c>
      <c r="I1564" s="34" t="s">
        <v>9</v>
      </c>
      <c r="J1564" s="38" t="str">
        <f>VLOOKUP(B1564,CAJEROS!B:E,4,0)</f>
        <v>SUC_SANJOS4</v>
      </c>
      <c r="K1564" t="s">
        <v>450</v>
      </c>
    </row>
    <row r="1565" spans="1:11">
      <c r="A1565" s="32">
        <v>828</v>
      </c>
      <c r="B1565" s="32">
        <v>2235</v>
      </c>
      <c r="C1565" s="3">
        <v>210000</v>
      </c>
      <c r="D1565" s="3"/>
      <c r="E1565" s="7">
        <f t="shared" si="61"/>
        <v>210000</v>
      </c>
      <c r="F1565" s="5">
        <v>45874</v>
      </c>
      <c r="G1565" s="4">
        <v>20250804</v>
      </c>
      <c r="H1565" s="38" t="str">
        <f>VLOOKUP(B1565,CAJEROS!B:D,3,0)</f>
        <v>Dispensador</v>
      </c>
      <c r="I1565" s="34" t="s">
        <v>9</v>
      </c>
      <c r="J1565" s="38" t="str">
        <f>VLOOKUP(B1565,CAJEROS!B:E,4,0)</f>
        <v>SUC_SANJOS5</v>
      </c>
      <c r="K1565" t="s">
        <v>450</v>
      </c>
    </row>
    <row r="1566" spans="1:11">
      <c r="A1566" s="32">
        <v>849</v>
      </c>
      <c r="B1566" s="32">
        <v>9722</v>
      </c>
      <c r="C1566" s="3">
        <v>100000</v>
      </c>
      <c r="D1566" s="3"/>
      <c r="E1566" s="7">
        <f t="shared" si="61"/>
        <v>100000</v>
      </c>
      <c r="F1566" s="5">
        <v>45874</v>
      </c>
      <c r="G1566" s="4">
        <v>20250804</v>
      </c>
      <c r="H1566" s="38" t="str">
        <f>VLOOKUP(B1566,CAJEROS!B:D,3,0)</f>
        <v>Dispensador</v>
      </c>
      <c r="I1566" s="34" t="s">
        <v>9</v>
      </c>
      <c r="J1566" s="38" t="str">
        <f>VLOOKUP(B1566,CAJEROS!B:E,4,0)</f>
        <v>SUCUNIVILL3</v>
      </c>
      <c r="K1566" t="s">
        <v>450</v>
      </c>
    </row>
    <row r="1567" spans="1:11">
      <c r="A1567" s="32">
        <v>882</v>
      </c>
      <c r="B1567" s="32">
        <v>3510</v>
      </c>
      <c r="C1567" s="3">
        <v>2860000</v>
      </c>
      <c r="D1567" s="3">
        <v>1860000</v>
      </c>
      <c r="E1567" s="7">
        <f t="shared" si="61"/>
        <v>1000000</v>
      </c>
      <c r="F1567" s="5">
        <v>45874</v>
      </c>
      <c r="G1567" s="4">
        <v>20250804</v>
      </c>
      <c r="H1567" s="38" t="str">
        <f>VLOOKUP(B1567,CAJEROS!B:D,3,0)</f>
        <v>Dispensador</v>
      </c>
      <c r="I1567" s="34" t="s">
        <v>9</v>
      </c>
      <c r="J1567" s="38" t="str">
        <f>VLOOKUP(B1567,CAJEROS!B:E,4,0)</f>
        <v>LIBERTADOR1</v>
      </c>
      <c r="K1567" t="s">
        <v>450</v>
      </c>
    </row>
    <row r="1568" spans="1:11">
      <c r="A1568" s="32">
        <v>966</v>
      </c>
      <c r="B1568" s="33">
        <v>9941</v>
      </c>
      <c r="C1568" s="3">
        <v>100000</v>
      </c>
      <c r="D1568" s="3"/>
      <c r="E1568" s="7">
        <f t="shared" si="61"/>
        <v>100000</v>
      </c>
      <c r="F1568" s="5">
        <v>45874</v>
      </c>
      <c r="G1568" s="4">
        <v>20250804</v>
      </c>
      <c r="H1568" s="38" t="str">
        <f>VLOOKUP(B1568,CAJEROS!B:D,3,0)</f>
        <v>Dispensador</v>
      </c>
      <c r="I1568" s="34" t="s">
        <v>9</v>
      </c>
      <c r="J1568" s="38" t="str">
        <f>VLOOKUP(B1568,CAJEROS!B:E,4,0)</f>
        <v>HALLSUCMTE1</v>
      </c>
      <c r="K1568" t="s">
        <v>450</v>
      </c>
    </row>
    <row r="1569" spans="1:11">
      <c r="A1569" s="32">
        <v>993</v>
      </c>
      <c r="B1569" s="32">
        <v>3470</v>
      </c>
      <c r="C1569" s="3">
        <v>100000</v>
      </c>
      <c r="D1569" s="3"/>
      <c r="E1569" s="7">
        <f t="shared" si="61"/>
        <v>100000</v>
      </c>
      <c r="F1569" s="5">
        <v>45874</v>
      </c>
      <c r="G1569" s="4">
        <v>20250804</v>
      </c>
      <c r="H1569" s="38" t="str">
        <f>VLOOKUP(B1569,CAJEROS!B:D,3,0)</f>
        <v>Dispensador</v>
      </c>
      <c r="I1569" s="34" t="s">
        <v>9</v>
      </c>
      <c r="J1569" s="38" t="str">
        <f>VLOOKUP(B1569,CAJEROS!B:E,4,0)</f>
        <v>URRAO_2</v>
      </c>
      <c r="K1569" t="s">
        <v>450</v>
      </c>
    </row>
    <row r="1570" spans="1:11">
      <c r="A1570" s="32">
        <v>745</v>
      </c>
      <c r="B1570" s="32">
        <v>1477</v>
      </c>
      <c r="C1570" s="3">
        <v>5732000</v>
      </c>
      <c r="D1570" s="3"/>
      <c r="E1570" s="7">
        <f t="shared" si="61"/>
        <v>5732000</v>
      </c>
      <c r="F1570" s="5">
        <v>45874</v>
      </c>
      <c r="G1570" s="4">
        <v>20250804</v>
      </c>
      <c r="H1570" s="38" t="str">
        <f>VLOOKUP(B1570,CAJEROS!B:D,3,0)</f>
        <v>Multifuncional</v>
      </c>
      <c r="I1570" s="34"/>
      <c r="J1570" s="38" t="str">
        <f>VLOOKUP(B1570,CAJEROS!B:E,4,0)</f>
        <v>MFSUCMALPZ2</v>
      </c>
      <c r="K1570" t="s">
        <v>450</v>
      </c>
    </row>
    <row r="1571" spans="1:11">
      <c r="A1571" s="32">
        <v>193</v>
      </c>
      <c r="B1571" s="32">
        <v>8537</v>
      </c>
      <c r="C1571" s="3">
        <v>19500</v>
      </c>
      <c r="D1571" s="3"/>
      <c r="E1571" s="7">
        <f t="shared" si="61"/>
        <v>19500</v>
      </c>
      <c r="F1571" s="5">
        <v>45874</v>
      </c>
      <c r="G1571" s="4">
        <v>20250804</v>
      </c>
      <c r="H1571" s="38" t="str">
        <f>VLOOKUP(B1571,CAJEROS!B:D,3,0)</f>
        <v>Multifuncional</v>
      </c>
      <c r="I1571" s="34"/>
      <c r="J1571" s="38" t="str">
        <f>VLOOKUP(B1571,CAJEROS!B:E,4,0)</f>
        <v>MF_HSUCFIC1</v>
      </c>
      <c r="K1571" t="s">
        <v>450</v>
      </c>
    </row>
    <row r="1572" spans="1:11">
      <c r="A1572" s="32">
        <v>442</v>
      </c>
      <c r="B1572" s="32">
        <v>8888</v>
      </c>
      <c r="C1572" s="3">
        <v>113500</v>
      </c>
      <c r="D1572" s="3"/>
      <c r="E1572" s="7">
        <f t="shared" si="61"/>
        <v>113500</v>
      </c>
      <c r="F1572" s="5">
        <v>45874</v>
      </c>
      <c r="G1572" s="4">
        <v>20250804</v>
      </c>
      <c r="H1572" s="38" t="str">
        <f>VLOOKUP(B1572,CAJEROS!B:D,3,0)</f>
        <v>Multifuncional</v>
      </c>
      <c r="I1572" s="34"/>
      <c r="J1572" s="38" t="str">
        <f>VLOOKUP(B1572,CAJEROS!B:E,4,0)</f>
        <v>MFVIVABQUI2</v>
      </c>
      <c r="K1572" t="s">
        <v>450</v>
      </c>
    </row>
    <row r="1573" spans="1:11">
      <c r="A1573" s="32">
        <v>795</v>
      </c>
      <c r="B1573" s="32">
        <v>1028</v>
      </c>
      <c r="C1573" s="3">
        <v>1250000</v>
      </c>
      <c r="D1573" s="3"/>
      <c r="E1573" s="7">
        <f t="shared" si="61"/>
        <v>1250000</v>
      </c>
      <c r="F1573" s="5">
        <v>45874</v>
      </c>
      <c r="G1573" s="4">
        <v>20250804</v>
      </c>
      <c r="H1573" s="38" t="str">
        <f>VLOOKUP(B1573,CAJEROS!B:D,3,0)</f>
        <v>Multifuncional</v>
      </c>
      <c r="I1573" s="34" t="s">
        <v>9</v>
      </c>
      <c r="J1573" s="38" t="str">
        <f>VLOOKUP(B1573,CAJEROS!B:E,4,0)</f>
        <v>MFSUCANVER2</v>
      </c>
      <c r="K1573" t="s">
        <v>450</v>
      </c>
    </row>
    <row r="1574" spans="1:11">
      <c r="A1574" s="32">
        <v>377</v>
      </c>
      <c r="B1574" s="32">
        <v>1508</v>
      </c>
      <c r="C1574" s="3">
        <v>1261000</v>
      </c>
      <c r="D1574" s="3">
        <f>220000+694000</f>
        <v>914000</v>
      </c>
      <c r="E1574" s="7">
        <f t="shared" si="61"/>
        <v>347000</v>
      </c>
      <c r="F1574" s="5">
        <v>45874</v>
      </c>
      <c r="G1574" s="4">
        <v>20250804</v>
      </c>
      <c r="H1574" s="38" t="str">
        <f>VLOOKUP(B1574,CAJEROS!B:D,3,0)</f>
        <v>Multifuncional</v>
      </c>
      <c r="I1574" s="34" t="s">
        <v>9</v>
      </c>
      <c r="J1574" s="38" t="str">
        <f>VLOOKUP(B1574,CAJEROS!B:E,4,0)</f>
        <v>MFSUCCIAV1</v>
      </c>
      <c r="K1574" t="s">
        <v>450</v>
      </c>
    </row>
    <row r="1575" spans="1:11">
      <c r="A1575" s="32">
        <v>944</v>
      </c>
      <c r="B1575" s="32">
        <v>2228</v>
      </c>
      <c r="C1575" s="3">
        <v>110000</v>
      </c>
      <c r="D1575" s="3">
        <v>18600</v>
      </c>
      <c r="E1575" s="7">
        <f t="shared" si="61"/>
        <v>91400</v>
      </c>
      <c r="F1575" s="5">
        <v>45874</v>
      </c>
      <c r="G1575" s="4">
        <v>20250804</v>
      </c>
      <c r="H1575" s="38" t="str">
        <f>VLOOKUP(B1575,CAJEROS!B:D,3,0)</f>
        <v>Multifuncional</v>
      </c>
      <c r="I1575" s="34" t="s">
        <v>9</v>
      </c>
      <c r="J1575" s="38" t="str">
        <f>VLOOKUP(B1575,CAJEROS!B:E,4,0)</f>
        <v>MF_SANTABO3</v>
      </c>
      <c r="K1575" t="s">
        <v>450</v>
      </c>
    </row>
    <row r="1576" spans="1:11">
      <c r="A1576" s="32">
        <v>261</v>
      </c>
      <c r="B1576" s="32">
        <v>5048</v>
      </c>
      <c r="C1576" s="3">
        <v>260000</v>
      </c>
      <c r="D1576" s="3">
        <v>25200</v>
      </c>
      <c r="E1576" s="7">
        <f t="shared" si="61"/>
        <v>234800</v>
      </c>
      <c r="F1576" s="5">
        <v>45874</v>
      </c>
      <c r="G1576" s="4">
        <v>20250804</v>
      </c>
      <c r="H1576" s="38" t="str">
        <f>VLOOKUP(B1576,CAJEROS!B:D,3,0)</f>
        <v>Multifuncional</v>
      </c>
      <c r="I1576" s="34" t="s">
        <v>9</v>
      </c>
      <c r="J1576" s="38" t="str">
        <f>VLOOKUP(B1576,CAJEROS!B:E,4,0)</f>
        <v>MF_CAMPANA</v>
      </c>
      <c r="K1576" t="s">
        <v>450</v>
      </c>
    </row>
    <row r="1577" spans="1:11">
      <c r="A1577" s="32">
        <v>24</v>
      </c>
      <c r="B1577" s="32">
        <v>5066</v>
      </c>
      <c r="C1577" s="3">
        <v>2510000</v>
      </c>
      <c r="D1577" s="3">
        <f>1890000+97900</f>
        <v>1987900</v>
      </c>
      <c r="E1577" s="7">
        <f t="shared" si="61"/>
        <v>522100</v>
      </c>
      <c r="F1577" s="5">
        <v>45874</v>
      </c>
      <c r="G1577" s="4">
        <v>20250804</v>
      </c>
      <c r="H1577" s="38" t="str">
        <f>VLOOKUP(B1577,CAJEROS!B:D,3,0)</f>
        <v>Multifuncional</v>
      </c>
      <c r="I1577" s="34" t="s">
        <v>9</v>
      </c>
      <c r="J1577" s="38" t="str">
        <f>VLOOKUP(B1577,CAJEROS!B:E,4,0)</f>
        <v>MF_RIONEGPA</v>
      </c>
      <c r="K1577" t="s">
        <v>450</v>
      </c>
    </row>
    <row r="1578" spans="1:11">
      <c r="A1578" s="32">
        <v>419</v>
      </c>
      <c r="B1578" s="32">
        <v>5077</v>
      </c>
      <c r="C1578" s="3">
        <v>2190250</v>
      </c>
      <c r="D1578" s="3">
        <v>2000000</v>
      </c>
      <c r="E1578" s="7">
        <f t="shared" si="61"/>
        <v>190250</v>
      </c>
      <c r="F1578" s="5">
        <v>45874</v>
      </c>
      <c r="G1578" s="4">
        <v>20250804</v>
      </c>
      <c r="H1578" s="38" t="str">
        <f>VLOOKUP(B1578,CAJEROS!B:D,3,0)</f>
        <v>Multifuncional</v>
      </c>
      <c r="I1578" s="34" t="s">
        <v>9</v>
      </c>
      <c r="J1578" s="38" t="str">
        <f>VLOOKUP(B1578,CAJEROS!B:E,4,0)</f>
        <v>MF_CPUNIBOG</v>
      </c>
      <c r="K1578" t="s">
        <v>450</v>
      </c>
    </row>
    <row r="1579" spans="1:11">
      <c r="A1579" s="32">
        <v>197</v>
      </c>
      <c r="B1579" s="32">
        <v>5084</v>
      </c>
      <c r="C1579" s="3">
        <v>90000</v>
      </c>
      <c r="D1579" s="3"/>
      <c r="E1579" s="7">
        <f t="shared" si="61"/>
        <v>90000</v>
      </c>
      <c r="F1579" s="5">
        <v>45874</v>
      </c>
      <c r="G1579" s="4">
        <v>20250804</v>
      </c>
      <c r="H1579" s="38" t="str">
        <f>VLOOKUP(B1579,CAJEROS!B:D,3,0)</f>
        <v>Multifuncional</v>
      </c>
      <c r="I1579" s="34" t="s">
        <v>9</v>
      </c>
      <c r="J1579" s="38" t="str">
        <f>VLOOKUP(B1579,CAJEROS!B:E,4,0)</f>
        <v>MF_GUATAPUR</v>
      </c>
      <c r="K1579" t="s">
        <v>450</v>
      </c>
    </row>
    <row r="1580" spans="1:11">
      <c r="A1580" s="32">
        <v>656</v>
      </c>
      <c r="B1580" s="32">
        <v>5103</v>
      </c>
      <c r="C1580" s="3">
        <v>2130000</v>
      </c>
      <c r="D1580" s="3">
        <f>1751000+335000</f>
        <v>2086000</v>
      </c>
      <c r="E1580" s="7">
        <f t="shared" si="61"/>
        <v>44000</v>
      </c>
      <c r="F1580" s="5">
        <v>45874</v>
      </c>
      <c r="G1580" s="4">
        <v>20250804</v>
      </c>
      <c r="H1580" s="38" t="str">
        <f>VLOOKUP(B1580,CAJEROS!B:D,3,0)</f>
        <v>Multifuncional</v>
      </c>
      <c r="I1580" s="34" t="s">
        <v>9</v>
      </c>
      <c r="J1580" s="38" t="str">
        <f>VLOOKUP(B1580,CAJEROS!B:E,4,0)</f>
        <v>MF_MAYPLAZA</v>
      </c>
      <c r="K1580" t="s">
        <v>450</v>
      </c>
    </row>
    <row r="1581" spans="1:11">
      <c r="A1581" s="32">
        <v>756</v>
      </c>
      <c r="B1581" s="32">
        <v>5183</v>
      </c>
      <c r="C1581" s="3">
        <v>745000</v>
      </c>
      <c r="D1581" s="3"/>
      <c r="E1581" s="7">
        <f t="shared" si="61"/>
        <v>745000</v>
      </c>
      <c r="F1581" s="5">
        <v>45874</v>
      </c>
      <c r="G1581" s="4">
        <v>20250804</v>
      </c>
      <c r="H1581" s="38" t="str">
        <f>VLOOKUP(B1581,CAJEROS!B:D,3,0)</f>
        <v>Multifuncional</v>
      </c>
      <c r="I1581" s="34" t="s">
        <v>9</v>
      </c>
      <c r="J1581" s="38" t="str">
        <f>VLOOKUP(B1581,CAJEROS!B:E,4,0)</f>
        <v>MF_ARMNORTE</v>
      </c>
      <c r="K1581" t="s">
        <v>450</v>
      </c>
    </row>
    <row r="1582" spans="1:11">
      <c r="A1582" s="32">
        <v>606</v>
      </c>
      <c r="B1582" s="32">
        <v>5201</v>
      </c>
      <c r="C1582" s="3">
        <v>1880000</v>
      </c>
      <c r="D1582" s="3">
        <f>1530000+100000</f>
        <v>1630000</v>
      </c>
      <c r="E1582" s="7">
        <f t="shared" si="61"/>
        <v>250000</v>
      </c>
      <c r="F1582" s="5">
        <v>45874</v>
      </c>
      <c r="G1582" s="4">
        <v>20250804</v>
      </c>
      <c r="H1582" s="38" t="str">
        <f>VLOOKUP(B1582,CAJEROS!B:D,3,0)</f>
        <v>Multifuncional</v>
      </c>
      <c r="I1582" s="34" t="s">
        <v>9</v>
      </c>
      <c r="J1582" s="38" t="str">
        <f>VLOOKUP(B1582,CAJEROS!B:E,4,0)</f>
        <v>MF_UNITUNJA</v>
      </c>
      <c r="K1582" t="s">
        <v>450</v>
      </c>
    </row>
    <row r="1583" spans="1:11">
      <c r="A1583" s="32">
        <v>844</v>
      </c>
      <c r="B1583" s="32">
        <v>6169</v>
      </c>
      <c r="C1583" s="3">
        <v>1762000</v>
      </c>
      <c r="D1583" s="3">
        <f>499800+710000</f>
        <v>1209800</v>
      </c>
      <c r="E1583" s="7">
        <f t="shared" si="61"/>
        <v>552200</v>
      </c>
      <c r="F1583" s="5">
        <v>45874</v>
      </c>
      <c r="G1583" s="4">
        <v>20250804</v>
      </c>
      <c r="H1583" s="38" t="str">
        <f>VLOOKUP(B1583,CAJEROS!B:D,3,0)</f>
        <v>Multifuncional</v>
      </c>
      <c r="I1583" s="34" t="s">
        <v>9</v>
      </c>
      <c r="J1583" s="38" t="str">
        <f>VLOOKUP(B1583,CAJEROS!B:E,4,0)</f>
        <v>MF_PRIMAVRA</v>
      </c>
      <c r="K1583" t="s">
        <v>450</v>
      </c>
    </row>
    <row r="1584" spans="1:11">
      <c r="A1584" s="32">
        <v>30</v>
      </c>
      <c r="B1584" s="32">
        <v>6172</v>
      </c>
      <c r="C1584" s="3">
        <v>84200</v>
      </c>
      <c r="D1584" s="3">
        <v>50000</v>
      </c>
      <c r="E1584" s="7">
        <f t="shared" si="61"/>
        <v>34200</v>
      </c>
      <c r="F1584" s="5">
        <v>45874</v>
      </c>
      <c r="G1584" s="4">
        <v>20250804</v>
      </c>
      <c r="H1584" s="38" t="str">
        <f>VLOOKUP(B1584,CAJEROS!B:D,3,0)</f>
        <v>Multifuncional</v>
      </c>
      <c r="I1584" s="34" t="s">
        <v>9</v>
      </c>
      <c r="J1584" s="38" t="str">
        <f>VLOOKUP(B1584,CAJEROS!B:E,4,0)</f>
        <v>MF_CROCTAV1</v>
      </c>
      <c r="K1584" t="s">
        <v>450</v>
      </c>
    </row>
    <row r="1585" spans="1:11">
      <c r="A1585" s="32">
        <v>477</v>
      </c>
      <c r="B1585" s="32">
        <v>6251</v>
      </c>
      <c r="C1585" s="3">
        <v>2680000</v>
      </c>
      <c r="D1585" s="3">
        <v>670000</v>
      </c>
      <c r="E1585" s="7">
        <f t="shared" si="61"/>
        <v>2010000</v>
      </c>
      <c r="F1585" s="5">
        <v>45874</v>
      </c>
      <c r="G1585" s="4">
        <v>20250804</v>
      </c>
      <c r="H1585" s="38" t="str">
        <f>VLOOKUP(B1585,CAJEROS!B:D,3,0)</f>
        <v>Multifuncional</v>
      </c>
      <c r="I1585" s="34" t="s">
        <v>9</v>
      </c>
      <c r="J1585" s="38" t="str">
        <f>VLOOKUP(B1585,CAJEROS!B:E,4,0)</f>
        <v>MF_GRANCENT</v>
      </c>
      <c r="K1585" t="s">
        <v>450</v>
      </c>
    </row>
    <row r="1586" spans="1:11">
      <c r="A1586" s="32">
        <v>764</v>
      </c>
      <c r="B1586" s="32">
        <v>6715</v>
      </c>
      <c r="C1586" s="3">
        <v>644000</v>
      </c>
      <c r="D1586" s="3"/>
      <c r="E1586" s="7">
        <f t="shared" si="61"/>
        <v>644000</v>
      </c>
      <c r="F1586" s="5">
        <v>45874</v>
      </c>
      <c r="G1586" s="4">
        <v>20250804</v>
      </c>
      <c r="H1586" s="38" t="str">
        <f>VLOOKUP(B1586,CAJEROS!B:D,3,0)</f>
        <v>Multifuncional</v>
      </c>
      <c r="I1586" s="34" t="s">
        <v>9</v>
      </c>
      <c r="J1586" s="38" t="str">
        <f>VLOOKUP(B1586,CAJEROS!B:E,4,0)</f>
        <v>MF_JAMUNDI</v>
      </c>
      <c r="K1586" t="s">
        <v>450</v>
      </c>
    </row>
    <row r="1587" spans="1:11">
      <c r="A1587" s="32">
        <v>651</v>
      </c>
      <c r="B1587" s="32">
        <v>7318</v>
      </c>
      <c r="C1587" s="3">
        <v>2873000</v>
      </c>
      <c r="D1587" s="3">
        <f>551000+380000</f>
        <v>931000</v>
      </c>
      <c r="E1587" s="7">
        <f t="shared" si="61"/>
        <v>1942000</v>
      </c>
      <c r="F1587" s="5">
        <v>45874</v>
      </c>
      <c r="G1587" s="4">
        <v>20250804</v>
      </c>
      <c r="H1587" s="38" t="str">
        <f>VLOOKUP(B1587,CAJEROS!B:D,3,0)</f>
        <v>Multifuncional</v>
      </c>
      <c r="I1587" s="34" t="s">
        <v>9</v>
      </c>
      <c r="J1587" s="38" t="str">
        <f>VLOOKUP(B1587,CAJEROS!B:E,4,0)</f>
        <v>MF_BARBOSA2</v>
      </c>
      <c r="K1587" t="s">
        <v>450</v>
      </c>
    </row>
    <row r="1588" spans="1:11">
      <c r="A1588" s="32">
        <v>609</v>
      </c>
      <c r="B1588" s="32">
        <v>7888</v>
      </c>
      <c r="C1588" s="3">
        <v>630000</v>
      </c>
      <c r="D1588" s="3">
        <v>610000</v>
      </c>
      <c r="E1588" s="7">
        <f t="shared" si="61"/>
        <v>20000</v>
      </c>
      <c r="F1588" s="5">
        <v>45874</v>
      </c>
      <c r="G1588" s="4">
        <v>20250804</v>
      </c>
      <c r="H1588" s="38" t="str">
        <f>VLOOKUP(B1588,CAJEROS!B:D,3,0)</f>
        <v>Multifuncional</v>
      </c>
      <c r="I1588" s="34" t="s">
        <v>9</v>
      </c>
      <c r="J1588" s="38" t="str">
        <f>VLOOKUP(B1588,CAJEROS!B:E,4,0)</f>
        <v>MFSUCABAST2</v>
      </c>
      <c r="K1588" t="s">
        <v>450</v>
      </c>
    </row>
    <row r="1589" spans="1:11">
      <c r="A1589" s="32">
        <v>166</v>
      </c>
      <c r="B1589" s="32">
        <v>7939</v>
      </c>
      <c r="C1589" s="3">
        <v>1990000</v>
      </c>
      <c r="D1589" s="3">
        <v>1232000</v>
      </c>
      <c r="E1589" s="7">
        <f t="shared" si="61"/>
        <v>758000</v>
      </c>
      <c r="F1589" s="5">
        <v>45874</v>
      </c>
      <c r="G1589" s="4">
        <v>20250804</v>
      </c>
      <c r="H1589" s="38" t="str">
        <f>VLOOKUP(B1589,CAJEROS!B:D,3,0)</f>
        <v>Multifuncional</v>
      </c>
      <c r="I1589" s="34" t="s">
        <v>9</v>
      </c>
      <c r="J1589" s="38" t="str">
        <f>VLOOKUP(B1589,CAJEROS!B:E,4,0)</f>
        <v>MF_ALDELSI1</v>
      </c>
      <c r="K1589" t="s">
        <v>450</v>
      </c>
    </row>
    <row r="1590" spans="1:11">
      <c r="A1590" s="32">
        <v>569</v>
      </c>
      <c r="B1590" s="32">
        <v>8129</v>
      </c>
      <c r="C1590" s="3">
        <v>2790000</v>
      </c>
      <c r="D1590" s="3">
        <f>1487000+684000+445000</f>
        <v>2616000</v>
      </c>
      <c r="E1590" s="7">
        <f t="shared" si="61"/>
        <v>174000</v>
      </c>
      <c r="F1590" s="5">
        <v>45874</v>
      </c>
      <c r="G1590" s="4">
        <v>20250804</v>
      </c>
      <c r="H1590" s="38" t="str">
        <f>VLOOKUP(B1590,CAJEROS!B:D,3,0)</f>
        <v>Multifuncional</v>
      </c>
      <c r="I1590" s="34" t="s">
        <v>9</v>
      </c>
      <c r="J1590" s="38" t="str">
        <f>VLOOKUP(B1590,CAJEROS!B:E,4,0)</f>
        <v>MF_BUENMON2</v>
      </c>
      <c r="K1590" t="s">
        <v>450</v>
      </c>
    </row>
    <row r="1591" spans="1:11">
      <c r="A1591" s="32">
        <v>554</v>
      </c>
      <c r="B1591" s="32">
        <v>8295</v>
      </c>
      <c r="C1591" s="3">
        <v>330000</v>
      </c>
      <c r="D1591" s="3"/>
      <c r="E1591" s="7">
        <f t="shared" si="61"/>
        <v>330000</v>
      </c>
      <c r="F1591" s="5">
        <v>45874</v>
      </c>
      <c r="G1591" s="4">
        <v>20250804</v>
      </c>
      <c r="H1591" s="38" t="str">
        <f>VLOOKUP(B1591,CAJEROS!B:D,3,0)</f>
        <v>Multifuncional</v>
      </c>
      <c r="I1591" s="34" t="s">
        <v>9</v>
      </c>
      <c r="J1591" s="38" t="str">
        <f>VLOOKUP(B1591,CAJEROS!B:E,4,0)</f>
        <v>MF_SBUVIII2</v>
      </c>
      <c r="K1591" t="s">
        <v>450</v>
      </c>
    </row>
    <row r="1592" spans="1:11">
      <c r="A1592" s="32">
        <v>57</v>
      </c>
      <c r="B1592" s="32">
        <v>9963</v>
      </c>
      <c r="C1592" s="3">
        <v>950000</v>
      </c>
      <c r="D1592" s="3">
        <v>948600</v>
      </c>
      <c r="E1592" s="7">
        <f t="shared" si="61"/>
        <v>1400</v>
      </c>
      <c r="F1592" s="5">
        <v>45874</v>
      </c>
      <c r="G1592" s="4">
        <v>20250804</v>
      </c>
      <c r="H1592" s="38" t="str">
        <f>VLOOKUP(B1592,CAJEROS!B:D,3,0)</f>
        <v>Multifuncional</v>
      </c>
      <c r="I1592" s="34" t="s">
        <v>9</v>
      </c>
      <c r="J1592" s="38" t="str">
        <f>VLOOKUP(B1592,CAJEROS!B:E,4,0)</f>
        <v>MF_VILLAVI1</v>
      </c>
      <c r="K1592" t="s">
        <v>450</v>
      </c>
    </row>
    <row r="1593" spans="1:11">
      <c r="A1593" s="32">
        <v>486</v>
      </c>
      <c r="B1593" s="32">
        <v>5081</v>
      </c>
      <c r="C1593" s="3">
        <v>1950</v>
      </c>
      <c r="D1593" s="3"/>
      <c r="E1593" s="7">
        <f t="shared" si="61"/>
        <v>1950</v>
      </c>
      <c r="F1593" s="5">
        <v>45874</v>
      </c>
      <c r="G1593" s="4">
        <v>20250804</v>
      </c>
      <c r="H1593" s="38" t="str">
        <f>VLOOKUP(B1593,CAJEROS!B:D,3,0)</f>
        <v>Multifuncional</v>
      </c>
      <c r="I1593" s="34" t="s">
        <v>10</v>
      </c>
      <c r="J1593" s="38" t="str">
        <f>VLOOKUP(B1593,CAJEROS!B:E,4,0)</f>
        <v>MF_SANNIBA1</v>
      </c>
      <c r="K1593" t="s">
        <v>450</v>
      </c>
    </row>
    <row r="1594" spans="1:11">
      <c r="A1594" s="32">
        <v>348</v>
      </c>
      <c r="B1594" s="32">
        <v>9008</v>
      </c>
      <c r="C1594" s="3">
        <v>20000</v>
      </c>
      <c r="D1594" s="3"/>
      <c r="E1594" s="7">
        <f t="shared" si="61"/>
        <v>20000</v>
      </c>
      <c r="F1594" s="5">
        <v>45874</v>
      </c>
      <c r="G1594" s="4">
        <v>20250804</v>
      </c>
      <c r="H1594" s="38" t="str">
        <f>VLOOKUP(B1594,CAJEROS!B:D,3,0)</f>
        <v>Dispensador</v>
      </c>
      <c r="I1594" s="34" t="s">
        <v>10</v>
      </c>
      <c r="J1594" s="38" t="str">
        <f>VLOOKUP(B1594,CAJEROS!B:E,4,0)</f>
        <v>SUCSANDRES8</v>
      </c>
      <c r="K1594" t="s">
        <v>450</v>
      </c>
    </row>
    <row r="1595" spans="1:11">
      <c r="A1595" s="32">
        <v>476</v>
      </c>
      <c r="B1595" s="32">
        <v>5573</v>
      </c>
      <c r="C1595" s="3">
        <v>20000</v>
      </c>
      <c r="D1595" s="3"/>
      <c r="E1595" s="7">
        <f t="shared" si="61"/>
        <v>20000</v>
      </c>
      <c r="F1595" s="5">
        <v>45874</v>
      </c>
      <c r="G1595" s="4">
        <v>20250804</v>
      </c>
      <c r="H1595" s="38" t="str">
        <f>VLOOKUP(B1595,CAJEROS!B:D,3,0)</f>
        <v>Dispensador</v>
      </c>
      <c r="I1595" s="34" t="s">
        <v>10</v>
      </c>
      <c r="J1595" s="38" t="str">
        <f>VLOOKUP(B1595,CAJEROS!B:E,4,0)</f>
        <v>SUC_PAMPLO1</v>
      </c>
      <c r="K1595" t="s">
        <v>450</v>
      </c>
    </row>
    <row r="1596" spans="1:11">
      <c r="A1596" s="32">
        <v>77</v>
      </c>
      <c r="B1596" s="32">
        <v>4853</v>
      </c>
      <c r="C1596" s="3">
        <v>20000</v>
      </c>
      <c r="D1596" s="3"/>
      <c r="E1596" s="7">
        <f t="shared" si="61"/>
        <v>20000</v>
      </c>
      <c r="F1596" s="5">
        <v>45874</v>
      </c>
      <c r="G1596" s="4">
        <v>20250804</v>
      </c>
      <c r="H1596" s="38" t="str">
        <f>VLOOKUP(B1596,CAJEROS!B:D,3,0)</f>
        <v>Dispensador</v>
      </c>
      <c r="I1596" s="34" t="s">
        <v>10</v>
      </c>
      <c r="J1596" s="38" t="str">
        <f>VLOOKUP(B1596,CAJEROS!B:E,4,0)</f>
        <v>SUC_TEQUEN1</v>
      </c>
      <c r="K1596" t="s">
        <v>450</v>
      </c>
    </row>
    <row r="1597" spans="1:11">
      <c r="A1597" s="32">
        <v>688</v>
      </c>
      <c r="B1597" s="32">
        <v>4843</v>
      </c>
      <c r="C1597" s="3">
        <v>20000</v>
      </c>
      <c r="D1597" s="3"/>
      <c r="E1597" s="7">
        <f t="shared" si="61"/>
        <v>20000</v>
      </c>
      <c r="F1597" s="5">
        <v>45874</v>
      </c>
      <c r="G1597" s="4">
        <v>20250804</v>
      </c>
      <c r="H1597" s="38" t="str">
        <f>VLOOKUP(B1597,CAJEROS!B:D,3,0)</f>
        <v>Dispensador</v>
      </c>
      <c r="I1597" s="34" t="s">
        <v>10</v>
      </c>
      <c r="J1597" s="38" t="str">
        <f>VLOOKUP(B1597,CAJEROS!B:E,4,0)</f>
        <v>SUC_CONTAD2</v>
      </c>
      <c r="K1597" t="s">
        <v>450</v>
      </c>
    </row>
    <row r="1598" spans="1:11">
      <c r="A1598" s="32">
        <v>348</v>
      </c>
      <c r="B1598" s="32">
        <v>3481</v>
      </c>
      <c r="C1598" s="3">
        <v>20000</v>
      </c>
      <c r="D1598" s="3"/>
      <c r="E1598" s="7">
        <f t="shared" si="61"/>
        <v>20000</v>
      </c>
      <c r="F1598" s="5">
        <v>45874</v>
      </c>
      <c r="G1598" s="4">
        <v>20250804</v>
      </c>
      <c r="H1598" s="38" t="str">
        <f>VLOOKUP(B1598,CAJEROS!B:D,3,0)</f>
        <v>Dispensador</v>
      </c>
      <c r="I1598" s="34" t="s">
        <v>10</v>
      </c>
      <c r="J1598" s="38" t="str">
        <f>VLOOKUP(B1598,CAJEROS!B:E,4,0)</f>
        <v>SUCSANDRES2</v>
      </c>
      <c r="K1598" t="s">
        <v>450</v>
      </c>
    </row>
    <row r="1599" spans="1:11">
      <c r="A1599" s="32">
        <v>473</v>
      </c>
      <c r="B1599" s="32">
        <v>3441</v>
      </c>
      <c r="C1599" s="3">
        <v>20000</v>
      </c>
      <c r="D1599" s="3"/>
      <c r="E1599" s="7">
        <f t="shared" si="61"/>
        <v>20000</v>
      </c>
      <c r="F1599" s="5">
        <v>45874</v>
      </c>
      <c r="G1599" s="4">
        <v>20250804</v>
      </c>
      <c r="H1599" s="38" t="str">
        <f>VLOOKUP(B1599,CAJEROS!B:D,3,0)</f>
        <v>Dispensador</v>
      </c>
      <c r="I1599" s="34" t="s">
        <v>10</v>
      </c>
      <c r="J1599" s="38" t="str">
        <f>VLOOKUP(B1599,CAJEROS!B:E,4,0)</f>
        <v>VICAGUAN1</v>
      </c>
      <c r="K1599" t="s">
        <v>450</v>
      </c>
    </row>
    <row r="1600" spans="1:11">
      <c r="A1600" s="32">
        <v>709</v>
      </c>
      <c r="B1600" s="32">
        <v>3426</v>
      </c>
      <c r="C1600" s="3">
        <v>20000</v>
      </c>
      <c r="D1600" s="3"/>
      <c r="E1600" s="7">
        <f t="shared" si="61"/>
        <v>20000</v>
      </c>
      <c r="F1600" s="5">
        <v>45874</v>
      </c>
      <c r="G1600" s="4">
        <v>20250804</v>
      </c>
      <c r="H1600" s="38" t="str">
        <f>VLOOKUP(B1600,CAJEROS!B:D,3,0)</f>
        <v>Dispensador</v>
      </c>
      <c r="I1600" s="34" t="s">
        <v>10</v>
      </c>
      <c r="J1600" s="38" t="str">
        <f>VLOOKUP(B1600,CAJEROS!B:E,4,0)</f>
        <v>ABREGO</v>
      </c>
      <c r="K1600" t="s">
        <v>450</v>
      </c>
    </row>
    <row r="1601" spans="1:11">
      <c r="A1601" s="32">
        <v>693</v>
      </c>
      <c r="B1601" s="32">
        <v>7979</v>
      </c>
      <c r="C1601" s="3">
        <v>20000</v>
      </c>
      <c r="D1601" s="3"/>
      <c r="E1601" s="7">
        <f t="shared" si="61"/>
        <v>20000</v>
      </c>
      <c r="F1601" s="5">
        <v>45874</v>
      </c>
      <c r="G1601" s="4">
        <v>20250804</v>
      </c>
      <c r="H1601" s="38" t="str">
        <f>VLOOKUP(B1601,CAJEROS!B:D,3,0)</f>
        <v>Multifuncional</v>
      </c>
      <c r="I1601" s="34" t="s">
        <v>10</v>
      </c>
      <c r="J1601" s="38" t="str">
        <f>VLOOKUP(B1601,CAJEROS!B:E,4,0)</f>
        <v>MF_CCSNTAF3</v>
      </c>
      <c r="K1601" t="s">
        <v>450</v>
      </c>
    </row>
    <row r="1602" spans="1:11">
      <c r="A1602" s="32">
        <v>108</v>
      </c>
      <c r="B1602" s="32">
        <v>2254</v>
      </c>
      <c r="C1602" s="3">
        <v>1400000</v>
      </c>
      <c r="D1602" s="3">
        <v>750000</v>
      </c>
      <c r="E1602" s="7">
        <f t="shared" si="61"/>
        <v>650000</v>
      </c>
      <c r="F1602" s="5">
        <v>45875</v>
      </c>
      <c r="G1602" s="4">
        <v>20250805</v>
      </c>
      <c r="H1602" s="38" t="str">
        <f>VLOOKUP(B1602,CAJEROS!B:D,3,0)</f>
        <v>Multifuncional</v>
      </c>
      <c r="I1602" s="34"/>
      <c r="J1602" s="38" t="str">
        <f>VLOOKUP(B1602,CAJEROS!B:E,4,0)</f>
        <v>MFSUCPAMER2</v>
      </c>
      <c r="K1602" t="s">
        <v>450</v>
      </c>
    </row>
    <row r="1603" spans="1:11">
      <c r="A1603" s="32">
        <v>682</v>
      </c>
      <c r="B1603" s="32">
        <v>5049</v>
      </c>
      <c r="C1603" s="3">
        <v>3532000</v>
      </c>
      <c r="D1603" s="3"/>
      <c r="E1603" s="7">
        <f t="shared" si="61"/>
        <v>3532000</v>
      </c>
      <c r="F1603" s="5">
        <v>45875</v>
      </c>
      <c r="G1603" s="4">
        <v>20250805</v>
      </c>
      <c r="H1603" s="38" t="str">
        <f>VLOOKUP(B1603,CAJEROS!B:D,3,0)</f>
        <v>Multifuncional</v>
      </c>
      <c r="I1603" s="34"/>
      <c r="J1603" s="38" t="str">
        <f>VLOOKUP(B1603,CAJEROS!B:E,4,0)</f>
        <v>MF_CCFONTA1</v>
      </c>
      <c r="K1603" t="s">
        <v>450</v>
      </c>
    </row>
    <row r="1604" spans="1:11">
      <c r="A1604" s="32">
        <v>101</v>
      </c>
      <c r="B1604" s="32">
        <v>5128</v>
      </c>
      <c r="C1604" s="3">
        <v>5980000</v>
      </c>
      <c r="D1604" s="3"/>
      <c r="E1604" s="7">
        <f t="shared" si="61"/>
        <v>5980000</v>
      </c>
      <c r="F1604" s="5">
        <v>45875</v>
      </c>
      <c r="G1604" s="4">
        <v>20250805</v>
      </c>
      <c r="H1604" s="38" t="str">
        <f>VLOOKUP(B1604,CAJEROS!B:D,3,0)</f>
        <v>Multifuncional</v>
      </c>
      <c r="I1604" s="34"/>
      <c r="J1604" s="38" t="str">
        <f>VLOOKUP(B1604,CAJEROS!B:E,4,0)</f>
        <v>MF_MULTDRIV</v>
      </c>
      <c r="K1604" t="s">
        <v>450</v>
      </c>
    </row>
    <row r="1605" spans="1:11">
      <c r="A1605" s="32">
        <v>750</v>
      </c>
      <c r="B1605" s="32">
        <v>5157</v>
      </c>
      <c r="C1605" s="3">
        <v>2000000</v>
      </c>
      <c r="D1605" s="3"/>
      <c r="E1605" s="7">
        <f t="shared" si="61"/>
        <v>2000000</v>
      </c>
      <c r="F1605" s="5">
        <v>45875</v>
      </c>
      <c r="G1605" s="4">
        <v>20250805</v>
      </c>
      <c r="H1605" s="38" t="str">
        <f>VLOOKUP(B1605,CAJEROS!B:D,3,0)</f>
        <v>Multifuncional</v>
      </c>
      <c r="I1605" s="34"/>
      <c r="J1605" s="38" t="str">
        <f>VLOOKUP(B1605,CAJEROS!B:E,4,0)</f>
        <v>MF_AVROOSVL</v>
      </c>
      <c r="K1605" t="s">
        <v>450</v>
      </c>
    </row>
    <row r="1606" spans="1:11">
      <c r="A1606" s="32">
        <v>664</v>
      </c>
      <c r="B1606" s="32">
        <v>5191</v>
      </c>
      <c r="C1606" s="3">
        <v>16370400</v>
      </c>
      <c r="D1606" s="3">
        <v>3097000</v>
      </c>
      <c r="E1606" s="7">
        <f t="shared" si="61"/>
        <v>13273400</v>
      </c>
      <c r="F1606" s="5">
        <v>45875</v>
      </c>
      <c r="G1606" s="4">
        <v>20250805</v>
      </c>
      <c r="H1606" s="38" t="str">
        <f>VLOOKUP(B1606,CAJEROS!B:D,3,0)</f>
        <v>Multifuncional</v>
      </c>
      <c r="I1606" s="34"/>
      <c r="J1606" s="38" t="str">
        <f>VLOOKUP(B1606,CAJEROS!B:E,4,0)</f>
        <v>MF_CORABAST</v>
      </c>
      <c r="K1606" t="s">
        <v>450</v>
      </c>
    </row>
    <row r="1607" spans="1:11">
      <c r="A1607" s="32">
        <v>844</v>
      </c>
      <c r="B1607" s="32">
        <v>6169</v>
      </c>
      <c r="C1607" s="3">
        <v>120400</v>
      </c>
      <c r="D1607" s="3"/>
      <c r="E1607" s="7">
        <f t="shared" si="61"/>
        <v>120400</v>
      </c>
      <c r="F1607" s="5">
        <v>45875</v>
      </c>
      <c r="G1607" s="4">
        <v>20250805</v>
      </c>
      <c r="H1607" s="38" t="str">
        <f>VLOOKUP(B1607,CAJEROS!B:D,3,0)</f>
        <v>Multifuncional</v>
      </c>
      <c r="I1607" s="34"/>
      <c r="J1607" s="38" t="str">
        <f>VLOOKUP(B1607,CAJEROS!B:E,4,0)</f>
        <v>MF_PRIMAVRA</v>
      </c>
      <c r="K1607" t="s">
        <v>450</v>
      </c>
    </row>
    <row r="1608" spans="1:11">
      <c r="A1608" s="32">
        <v>524</v>
      </c>
      <c r="B1608" s="32">
        <v>6336</v>
      </c>
      <c r="C1608" s="3">
        <v>8530000</v>
      </c>
      <c r="D1608" s="3"/>
      <c r="E1608" s="7">
        <f t="shared" si="61"/>
        <v>8530000</v>
      </c>
      <c r="F1608" s="5">
        <v>45875</v>
      </c>
      <c r="G1608" s="4">
        <v>20250805</v>
      </c>
      <c r="H1608" s="38" t="str">
        <f>VLOOKUP(B1608,CAJEROS!B:D,3,0)</f>
        <v>Multifuncional</v>
      </c>
      <c r="I1608" s="34"/>
      <c r="J1608" s="38" t="str">
        <f>VLOOKUP(B1608,CAJEROS!B:E,4,0)</f>
        <v>MF_VALLEDUP</v>
      </c>
      <c r="K1608" t="s">
        <v>450</v>
      </c>
    </row>
    <row r="1609" spans="1:11">
      <c r="A1609" s="32">
        <v>476</v>
      </c>
      <c r="B1609" s="32">
        <v>7759</v>
      </c>
      <c r="C1609" s="3">
        <v>2537100</v>
      </c>
      <c r="D1609" s="3"/>
      <c r="E1609" s="7">
        <f t="shared" si="61"/>
        <v>2537100</v>
      </c>
      <c r="F1609" s="5">
        <v>45875</v>
      </c>
      <c r="G1609" s="4">
        <v>20250805</v>
      </c>
      <c r="H1609" s="38" t="str">
        <f>VLOOKUP(B1609,CAJEROS!B:D,3,0)</f>
        <v>Multifuncional</v>
      </c>
      <c r="I1609" s="34"/>
      <c r="J1609" s="38" t="str">
        <f>VLOOKUP(B1609,CAJEROS!B:E,4,0)</f>
        <v>MF_PAMPLONA</v>
      </c>
      <c r="K1609" t="s">
        <v>450</v>
      </c>
    </row>
    <row r="1610" spans="1:11">
      <c r="A1610" s="32">
        <v>944</v>
      </c>
      <c r="B1610" s="32">
        <v>8353</v>
      </c>
      <c r="C1610" s="3">
        <v>95800</v>
      </c>
      <c r="D1610" s="3"/>
      <c r="E1610" s="7">
        <f t="shared" si="61"/>
        <v>95800</v>
      </c>
      <c r="F1610" s="5">
        <v>45875</v>
      </c>
      <c r="G1610" s="4">
        <v>20250805</v>
      </c>
      <c r="H1610" s="38" t="str">
        <f>VLOOKUP(B1610,CAJEROS!B:D,3,0)</f>
        <v>Multifuncional</v>
      </c>
      <c r="I1610" s="34"/>
      <c r="J1610" s="38" t="str">
        <f>VLOOKUP(B1610,CAJEROS!B:E,4,0)</f>
        <v>MF_SANTABO1</v>
      </c>
      <c r="K1610" t="s">
        <v>450</v>
      </c>
    </row>
    <row r="1611" spans="1:11">
      <c r="A1611" s="32">
        <v>4</v>
      </c>
      <c r="B1611" s="32">
        <v>8631</v>
      </c>
      <c r="C1611" s="3">
        <v>8525000</v>
      </c>
      <c r="D1611" s="3"/>
      <c r="E1611" s="7">
        <f t="shared" si="61"/>
        <v>8525000</v>
      </c>
      <c r="F1611" s="5">
        <v>45875</v>
      </c>
      <c r="G1611" s="4">
        <v>20250805</v>
      </c>
      <c r="H1611" s="38" t="str">
        <f>VLOOKUP(B1611,CAJEROS!B:D,3,0)</f>
        <v>Multifuncional</v>
      </c>
      <c r="I1611" s="34"/>
      <c r="J1611" s="38" t="str">
        <f>VLOOKUP(B1611,CAJEROS!B:E,4,0)</f>
        <v>MF_SUCLAUR2</v>
      </c>
      <c r="K1611" t="s">
        <v>450</v>
      </c>
    </row>
    <row r="1612" spans="1:11">
      <c r="A1612" s="32">
        <v>959</v>
      </c>
      <c r="B1612" s="32">
        <v>9265</v>
      </c>
      <c r="C1612" s="3">
        <v>50000</v>
      </c>
      <c r="D1612" s="3"/>
      <c r="E1612" s="7">
        <f t="shared" si="61"/>
        <v>50000</v>
      </c>
      <c r="F1612" s="5">
        <v>45875</v>
      </c>
      <c r="G1612" s="4">
        <v>20250805</v>
      </c>
      <c r="H1612" s="38" t="str">
        <f>VLOOKUP(B1612,CAJEROS!B:D,3,0)</f>
        <v>Multifuncional</v>
      </c>
      <c r="I1612" s="34"/>
      <c r="J1612" s="38" t="str">
        <f>VLOOKUP(B1612,CAJEROS!B:E,4,0)</f>
        <v>MFSUCTURBO1</v>
      </c>
      <c r="K1612" t="s">
        <v>450</v>
      </c>
    </row>
    <row r="1613" spans="1:11">
      <c r="A1613" s="32">
        <v>367</v>
      </c>
      <c r="B1613" s="32">
        <v>9580</v>
      </c>
      <c r="C1613" s="3">
        <v>300000</v>
      </c>
      <c r="D1613" s="3"/>
      <c r="E1613" s="7">
        <f t="shared" si="61"/>
        <v>300000</v>
      </c>
      <c r="F1613" s="5">
        <v>45875</v>
      </c>
      <c r="G1613" s="4">
        <v>20250805</v>
      </c>
      <c r="H1613" s="38" t="str">
        <f>VLOOKUP(B1613,CAJEROS!B:D,3,0)</f>
        <v>Multifuncional</v>
      </c>
      <c r="I1613" s="34"/>
      <c r="J1613" s="38" t="str">
        <f>VLOOKUP(B1613,CAJEROS!B:E,4,0)</f>
        <v>MF_SUCGRAN1</v>
      </c>
      <c r="K1613" t="s">
        <v>450</v>
      </c>
    </row>
    <row r="1614" spans="1:11">
      <c r="A1614" s="32">
        <v>229</v>
      </c>
      <c r="B1614" s="32">
        <v>9604</v>
      </c>
      <c r="C1614" s="3">
        <v>50000</v>
      </c>
      <c r="D1614" s="3"/>
      <c r="E1614" s="7">
        <f t="shared" si="61"/>
        <v>50000</v>
      </c>
      <c r="F1614" s="5">
        <v>45875</v>
      </c>
      <c r="G1614" s="4">
        <v>20250805</v>
      </c>
      <c r="H1614" s="38" t="str">
        <f>VLOOKUP(B1614,CAJEROS!B:D,3,0)</f>
        <v>Multifuncional</v>
      </c>
      <c r="I1614" s="34"/>
      <c r="J1614" s="38" t="str">
        <f>VLOOKUP(B1614,CAJEROS!B:E,4,0)</f>
        <v>MFSUCPASER1</v>
      </c>
      <c r="K1614" t="s">
        <v>450</v>
      </c>
    </row>
    <row r="1615" spans="1:11">
      <c r="A1615" s="32">
        <v>481</v>
      </c>
      <c r="B1615" s="32">
        <v>1011</v>
      </c>
      <c r="C1615" s="3">
        <v>730000</v>
      </c>
      <c r="D1615" s="3">
        <v>719000</v>
      </c>
      <c r="E1615" s="7">
        <f t="shared" si="61"/>
        <v>11000</v>
      </c>
      <c r="F1615" s="5">
        <v>45875</v>
      </c>
      <c r="G1615" s="4">
        <v>20250805</v>
      </c>
      <c r="H1615" s="38" t="str">
        <f>VLOOKUP(B1615,CAJEROS!B:D,3,0)</f>
        <v>Multifuncional</v>
      </c>
      <c r="I1615" s="34" t="s">
        <v>9</v>
      </c>
      <c r="J1615" s="38" t="str">
        <f>VLOOKUP(B1615,CAJEROS!B:E,4,0)</f>
        <v>MF_SOLEDAD2</v>
      </c>
      <c r="K1615" t="s">
        <v>450</v>
      </c>
    </row>
    <row r="1616" spans="1:11">
      <c r="A1616" s="32">
        <v>795</v>
      </c>
      <c r="B1616" s="32">
        <v>1028</v>
      </c>
      <c r="C1616" s="3">
        <v>350500</v>
      </c>
      <c r="D1616" s="3"/>
      <c r="E1616" s="7">
        <f t="shared" si="61"/>
        <v>350500</v>
      </c>
      <c r="F1616" s="5">
        <v>45875</v>
      </c>
      <c r="G1616" s="4">
        <v>20250805</v>
      </c>
      <c r="H1616" s="38" t="str">
        <f>VLOOKUP(B1616,CAJEROS!B:D,3,0)</f>
        <v>Multifuncional</v>
      </c>
      <c r="I1616" s="34" t="s">
        <v>9</v>
      </c>
      <c r="J1616" s="38" t="str">
        <f>VLOOKUP(B1616,CAJEROS!B:E,4,0)</f>
        <v>MFSUCANVER2</v>
      </c>
      <c r="K1616" t="s">
        <v>450</v>
      </c>
    </row>
    <row r="1617" spans="1:11">
      <c r="A1617" s="32">
        <v>745</v>
      </c>
      <c r="B1617" s="32">
        <v>1477</v>
      </c>
      <c r="C1617" s="3">
        <v>2160000</v>
      </c>
      <c r="D1617" s="3"/>
      <c r="E1617" s="7">
        <f t="shared" si="61"/>
        <v>2160000</v>
      </c>
      <c r="F1617" s="5">
        <v>45875</v>
      </c>
      <c r="G1617" s="4">
        <v>20250805</v>
      </c>
      <c r="H1617" s="38" t="str">
        <f>VLOOKUP(B1617,CAJEROS!B:D,3,0)</f>
        <v>Multifuncional</v>
      </c>
      <c r="I1617" s="34" t="s">
        <v>9</v>
      </c>
      <c r="J1617" s="38" t="str">
        <f>VLOOKUP(B1617,CAJEROS!B:E,4,0)</f>
        <v>MFSUCMALPZ2</v>
      </c>
      <c r="K1617" t="s">
        <v>450</v>
      </c>
    </row>
    <row r="1618" spans="1:11">
      <c r="A1618" s="32">
        <v>692</v>
      </c>
      <c r="B1618" s="32">
        <v>1515</v>
      </c>
      <c r="C1618" s="3">
        <v>1977100</v>
      </c>
      <c r="D1618" s="3">
        <f>190000+864000</f>
        <v>1054000</v>
      </c>
      <c r="E1618" s="7">
        <f t="shared" ref="E1618:E1681" si="62">+C1618-D1618</f>
        <v>923100</v>
      </c>
      <c r="F1618" s="5">
        <v>45875</v>
      </c>
      <c r="G1618" s="4">
        <v>20250805</v>
      </c>
      <c r="H1618" s="38" t="str">
        <f>VLOOKUP(B1618,CAJEROS!B:D,3,0)</f>
        <v>Multifuncional</v>
      </c>
      <c r="I1618" s="34" t="s">
        <v>9</v>
      </c>
      <c r="J1618" s="38" t="str">
        <f>VLOOKUP(B1618,CAJEROS!B:E,4,0)</f>
        <v>MFSUCALTPR1</v>
      </c>
      <c r="K1618" t="s">
        <v>450</v>
      </c>
    </row>
    <row r="1619" spans="1:11">
      <c r="A1619" s="32">
        <v>277</v>
      </c>
      <c r="B1619" s="32">
        <v>5021</v>
      </c>
      <c r="C1619" s="3">
        <v>1985000</v>
      </c>
      <c r="D1619" s="3">
        <v>1556000</v>
      </c>
      <c r="E1619" s="7">
        <f t="shared" si="62"/>
        <v>429000</v>
      </c>
      <c r="F1619" s="5">
        <v>45875</v>
      </c>
      <c r="G1619" s="4">
        <v>20250805</v>
      </c>
      <c r="H1619" s="38" t="str">
        <f>VLOOKUP(B1619,CAJEROS!B:D,3,0)</f>
        <v>Multifuncional</v>
      </c>
      <c r="I1619" s="34" t="s">
        <v>9</v>
      </c>
      <c r="J1619" s="38" t="str">
        <f>VLOOKUP(B1619,CAJEROS!B:E,4,0)</f>
        <v>MF_CCMAYOR1</v>
      </c>
      <c r="K1619" t="s">
        <v>450</v>
      </c>
    </row>
    <row r="1620" spans="1:11">
      <c r="A1620" s="32">
        <v>825</v>
      </c>
      <c r="B1620" s="32">
        <v>5023</v>
      </c>
      <c r="C1620" s="3">
        <v>1150000</v>
      </c>
      <c r="D1620" s="3">
        <v>980000</v>
      </c>
      <c r="E1620" s="7">
        <f t="shared" si="62"/>
        <v>170000</v>
      </c>
      <c r="F1620" s="5">
        <v>45875</v>
      </c>
      <c r="G1620" s="4">
        <v>20250805</v>
      </c>
      <c r="H1620" s="38" t="str">
        <f>VLOOKUP(B1620,CAJEROS!B:D,3,0)</f>
        <v>Multifuncional</v>
      </c>
      <c r="I1620" s="34" t="s">
        <v>9</v>
      </c>
      <c r="J1620" s="38" t="str">
        <f>VLOOKUP(B1620,CAJEROS!B:E,4,0)</f>
        <v>MF_ASTROCEN</v>
      </c>
      <c r="K1620" t="s">
        <v>450</v>
      </c>
    </row>
    <row r="1621" spans="1:11">
      <c r="A1621" s="32">
        <v>154</v>
      </c>
      <c r="B1621" s="32">
        <v>5041</v>
      </c>
      <c r="C1621" s="3">
        <v>1092000</v>
      </c>
      <c r="D1621" s="3">
        <v>892600</v>
      </c>
      <c r="E1621" s="7">
        <f t="shared" si="62"/>
        <v>199400</v>
      </c>
      <c r="F1621" s="5">
        <v>45875</v>
      </c>
      <c r="G1621" s="4">
        <v>20250805</v>
      </c>
      <c r="H1621" s="38" t="str">
        <f>VLOOKUP(B1621,CAJEROS!B:D,3,0)</f>
        <v>Multifuncional</v>
      </c>
      <c r="I1621" s="34" t="s">
        <v>9</v>
      </c>
      <c r="J1621" s="38" t="str">
        <f>VLOOKUP(B1621,CAJEROS!B:E,4,0)</f>
        <v>MF_CMAYOR</v>
      </c>
      <c r="K1621" t="s">
        <v>450</v>
      </c>
    </row>
    <row r="1622" spans="1:11">
      <c r="A1622" s="32">
        <v>261</v>
      </c>
      <c r="B1622" s="32">
        <v>5048</v>
      </c>
      <c r="C1622" s="3">
        <v>1590000</v>
      </c>
      <c r="D1622" s="3">
        <v>48950</v>
      </c>
      <c r="E1622" s="7">
        <f t="shared" si="62"/>
        <v>1541050</v>
      </c>
      <c r="F1622" s="5">
        <v>45875</v>
      </c>
      <c r="G1622" s="4">
        <v>20250805</v>
      </c>
      <c r="H1622" s="38" t="str">
        <f>VLOOKUP(B1622,CAJEROS!B:D,3,0)</f>
        <v>Multifuncional</v>
      </c>
      <c r="I1622" s="34" t="s">
        <v>9</v>
      </c>
      <c r="J1622" s="38" t="str">
        <f>VLOOKUP(B1622,CAJEROS!B:E,4,0)</f>
        <v>MF_CAMPANA</v>
      </c>
      <c r="K1622" t="s">
        <v>450</v>
      </c>
    </row>
    <row r="1623" spans="1:11">
      <c r="A1623" s="32">
        <v>7</v>
      </c>
      <c r="B1623" s="32">
        <v>5059</v>
      </c>
      <c r="C1623" s="3">
        <v>416200</v>
      </c>
      <c r="D1623" s="3"/>
      <c r="E1623" s="7">
        <f t="shared" si="62"/>
        <v>416200</v>
      </c>
      <c r="F1623" s="5">
        <v>45875</v>
      </c>
      <c r="G1623" s="4">
        <v>20250805</v>
      </c>
      <c r="H1623" s="38" t="str">
        <f>VLOOKUP(B1623,CAJEROS!B:D,3,0)</f>
        <v>Multifuncional</v>
      </c>
      <c r="I1623" s="34" t="s">
        <v>9</v>
      </c>
      <c r="J1623" s="38" t="str">
        <f>VLOOKUP(B1623,CAJEROS!B:E,4,0)</f>
        <v>MF_LOSMOLI1</v>
      </c>
      <c r="K1623" t="s">
        <v>450</v>
      </c>
    </row>
    <row r="1624" spans="1:11">
      <c r="A1624" s="32">
        <v>19</v>
      </c>
      <c r="B1624" s="32">
        <v>5078</v>
      </c>
      <c r="C1624" s="3">
        <v>530000</v>
      </c>
      <c r="D1624" s="3">
        <v>500000</v>
      </c>
      <c r="E1624" s="7">
        <f t="shared" si="62"/>
        <v>30000</v>
      </c>
      <c r="F1624" s="5">
        <v>45875</v>
      </c>
      <c r="G1624" s="4">
        <v>20250805</v>
      </c>
      <c r="H1624" s="38" t="str">
        <f>VLOOKUP(B1624,CAJEROS!B:D,3,0)</f>
        <v>Multifuncional</v>
      </c>
      <c r="I1624" s="34" t="s">
        <v>9</v>
      </c>
      <c r="J1624" s="38" t="str">
        <f>VLOOKUP(B1624,CAJEROS!B:E,4,0)</f>
        <v>MF_SUCENVIG</v>
      </c>
      <c r="K1624" t="s">
        <v>450</v>
      </c>
    </row>
    <row r="1625" spans="1:11">
      <c r="A1625" s="32">
        <v>197</v>
      </c>
      <c r="B1625" s="32">
        <v>5084</v>
      </c>
      <c r="C1625" s="3">
        <v>160000</v>
      </c>
      <c r="D1625" s="3"/>
      <c r="E1625" s="7">
        <f t="shared" si="62"/>
        <v>160000</v>
      </c>
      <c r="F1625" s="5">
        <v>45875</v>
      </c>
      <c r="G1625" s="4">
        <v>20250805</v>
      </c>
      <c r="H1625" s="38" t="str">
        <f>VLOOKUP(B1625,CAJEROS!B:D,3,0)</f>
        <v>Multifuncional</v>
      </c>
      <c r="I1625" s="34" t="s">
        <v>9</v>
      </c>
      <c r="J1625" s="38" t="str">
        <f>VLOOKUP(B1625,CAJEROS!B:E,4,0)</f>
        <v>MF_GUATAPUR</v>
      </c>
      <c r="K1625" t="s">
        <v>450</v>
      </c>
    </row>
    <row r="1626" spans="1:11">
      <c r="A1626" s="32">
        <v>53</v>
      </c>
      <c r="B1626" s="32">
        <v>5141</v>
      </c>
      <c r="C1626" s="3">
        <v>2220000</v>
      </c>
      <c r="D1626" s="3">
        <v>870000</v>
      </c>
      <c r="E1626" s="7">
        <f t="shared" si="62"/>
        <v>1350000</v>
      </c>
      <c r="F1626" s="5">
        <v>45875</v>
      </c>
      <c r="G1626" s="4">
        <v>20250805</v>
      </c>
      <c r="H1626" s="38" t="str">
        <f>VLOOKUP(B1626,CAJEROS!B:D,3,0)</f>
        <v>Multifuncional</v>
      </c>
      <c r="I1626" s="34" t="s">
        <v>9</v>
      </c>
      <c r="J1626" s="38" t="str">
        <f>VLOOKUP(B1626,CAJEROS!B:E,4,0)</f>
        <v>MF_CARRDECI</v>
      </c>
      <c r="K1626" t="s">
        <v>450</v>
      </c>
    </row>
    <row r="1627" spans="1:11">
      <c r="A1627" s="32">
        <v>40</v>
      </c>
      <c r="B1627" s="32">
        <v>5142</v>
      </c>
      <c r="C1627" s="3">
        <v>150000</v>
      </c>
      <c r="D1627" s="3"/>
      <c r="E1627" s="7">
        <f t="shared" si="62"/>
        <v>150000</v>
      </c>
      <c r="F1627" s="5">
        <v>45875</v>
      </c>
      <c r="G1627" s="4">
        <v>20250805</v>
      </c>
      <c r="H1627" s="38" t="str">
        <f>VLOOKUP(B1627,CAJEROS!B:D,3,0)</f>
        <v>Multifuncional</v>
      </c>
      <c r="I1627" s="34" t="s">
        <v>9</v>
      </c>
      <c r="J1627" s="38" t="str">
        <f>VLOOKUP(B1627,CAJEROS!B:E,4,0)</f>
        <v>MF_CENTRO93</v>
      </c>
      <c r="K1627" t="s">
        <v>450</v>
      </c>
    </row>
    <row r="1628" spans="1:11">
      <c r="A1628" s="32">
        <v>258</v>
      </c>
      <c r="B1628" s="32">
        <v>5155</v>
      </c>
      <c r="C1628" s="3">
        <v>2823800</v>
      </c>
      <c r="D1628" s="3">
        <f>2080000+7000</f>
        <v>2087000</v>
      </c>
      <c r="E1628" s="7">
        <f t="shared" si="62"/>
        <v>736800</v>
      </c>
      <c r="F1628" s="5">
        <v>45875</v>
      </c>
      <c r="G1628" s="4">
        <v>20250805</v>
      </c>
      <c r="H1628" s="38" t="str">
        <f>VLOOKUP(B1628,CAJEROS!B:D,3,0)</f>
        <v>Multifuncional</v>
      </c>
      <c r="I1628" s="34" t="s">
        <v>9</v>
      </c>
      <c r="J1628" s="38" t="str">
        <f>VLOOKUP(B1628,CAJEROS!B:E,4,0)</f>
        <v>MF_TUNJA</v>
      </c>
      <c r="K1628" t="s">
        <v>450</v>
      </c>
    </row>
    <row r="1629" spans="1:11">
      <c r="A1629" s="32">
        <v>454</v>
      </c>
      <c r="B1629" s="32">
        <v>5231</v>
      </c>
      <c r="C1629" s="3">
        <v>2130000</v>
      </c>
      <c r="D1629" s="3">
        <v>1186000</v>
      </c>
      <c r="E1629" s="7">
        <f t="shared" si="62"/>
        <v>944000</v>
      </c>
      <c r="F1629" s="5">
        <v>45875</v>
      </c>
      <c r="G1629" s="4">
        <v>20250805</v>
      </c>
      <c r="H1629" s="38" t="str">
        <f>VLOOKUP(B1629,CAJEROS!B:D,3,0)</f>
        <v>Multifuncional</v>
      </c>
      <c r="I1629" s="34" t="s">
        <v>9</v>
      </c>
      <c r="J1629" s="38" t="str">
        <f>VLOOKUP(B1629,CAJEROS!B:E,4,0)</f>
        <v>MF_5TAVENID</v>
      </c>
      <c r="K1629" t="s">
        <v>450</v>
      </c>
    </row>
    <row r="1630" spans="1:11">
      <c r="A1630" s="32">
        <v>601</v>
      </c>
      <c r="B1630" s="32">
        <v>6407</v>
      </c>
      <c r="C1630" s="3">
        <v>2606000</v>
      </c>
      <c r="D1630" s="3"/>
      <c r="E1630" s="7">
        <f t="shared" si="62"/>
        <v>2606000</v>
      </c>
      <c r="F1630" s="5">
        <v>45875</v>
      </c>
      <c r="G1630" s="4">
        <v>20250805</v>
      </c>
      <c r="H1630" s="38" t="str">
        <f>VLOOKUP(B1630,CAJEROS!B:D,3,0)</f>
        <v>Multifuncional</v>
      </c>
      <c r="I1630" s="34" t="s">
        <v>9</v>
      </c>
      <c r="J1630" s="38" t="str">
        <f>VLOOKUP(B1630,CAJEROS!B:E,4,0)</f>
        <v>MF_COLINACA</v>
      </c>
      <c r="K1630" t="s">
        <v>450</v>
      </c>
    </row>
    <row r="1631" spans="1:11">
      <c r="A1631" s="32">
        <v>379</v>
      </c>
      <c r="B1631" s="32">
        <v>6465</v>
      </c>
      <c r="C1631" s="3">
        <v>460000</v>
      </c>
      <c r="D1631" s="3">
        <v>430000</v>
      </c>
      <c r="E1631" s="7">
        <f t="shared" si="62"/>
        <v>30000</v>
      </c>
      <c r="F1631" s="5">
        <v>45875</v>
      </c>
      <c r="G1631" s="4">
        <v>20250805</v>
      </c>
      <c r="H1631" s="38" t="str">
        <f>VLOOKUP(B1631,CAJEROS!B:D,3,0)</f>
        <v>Multifuncional</v>
      </c>
      <c r="I1631" s="34" t="s">
        <v>9</v>
      </c>
      <c r="J1631" s="38" t="str">
        <f>VLOOKUP(B1631,CAJEROS!B:E,4,0)</f>
        <v>MF_SUCTESO1</v>
      </c>
      <c r="K1631" t="s">
        <v>450</v>
      </c>
    </row>
    <row r="1632" spans="1:11">
      <c r="A1632" s="32">
        <v>371</v>
      </c>
      <c r="B1632" s="32">
        <v>6718</v>
      </c>
      <c r="C1632" s="3">
        <v>1094000</v>
      </c>
      <c r="D1632" s="3"/>
      <c r="E1632" s="7">
        <f t="shared" si="62"/>
        <v>1094000</v>
      </c>
      <c r="F1632" s="5">
        <v>45875</v>
      </c>
      <c r="G1632" s="4">
        <v>20250805</v>
      </c>
      <c r="H1632" s="38" t="str">
        <f>VLOOKUP(B1632,CAJEROS!B:D,3,0)</f>
        <v>Multifuncional</v>
      </c>
      <c r="I1632" s="34" t="s">
        <v>9</v>
      </c>
      <c r="J1632" s="38" t="str">
        <f>VLOOKUP(B1632,CAJEROS!B:E,4,0)</f>
        <v>MF_CAUCASIA</v>
      </c>
      <c r="K1632" t="s">
        <v>450</v>
      </c>
    </row>
    <row r="1633" spans="1:11">
      <c r="A1633" s="32">
        <v>741</v>
      </c>
      <c r="B1633" s="32">
        <v>6843</v>
      </c>
      <c r="C1633" s="3">
        <v>1539000</v>
      </c>
      <c r="D1633" s="3"/>
      <c r="E1633" s="7">
        <f t="shared" si="62"/>
        <v>1539000</v>
      </c>
      <c r="F1633" s="5">
        <v>45875</v>
      </c>
      <c r="G1633" s="4">
        <v>20250805</v>
      </c>
      <c r="H1633" s="38" t="str">
        <f>VLOOKUP(B1633,CAJEROS!B:D,3,0)</f>
        <v>Multifuncional</v>
      </c>
      <c r="I1633" s="34" t="s">
        <v>9</v>
      </c>
      <c r="J1633" s="38" t="str">
        <f>VLOOKUP(B1633,CAJEROS!B:E,4,0)</f>
        <v>MFSUC_IDEO1</v>
      </c>
      <c r="K1633" t="s">
        <v>450</v>
      </c>
    </row>
    <row r="1634" spans="1:11">
      <c r="A1634" s="32">
        <v>549</v>
      </c>
      <c r="B1634" s="32">
        <v>7123</v>
      </c>
      <c r="C1634" s="3">
        <v>2236000</v>
      </c>
      <c r="D1634" s="3">
        <v>842900</v>
      </c>
      <c r="E1634" s="7">
        <f t="shared" si="62"/>
        <v>1393100</v>
      </c>
      <c r="F1634" s="5">
        <v>45875</v>
      </c>
      <c r="G1634" s="4">
        <v>20250805</v>
      </c>
      <c r="H1634" s="38" t="str">
        <f>VLOOKUP(B1634,CAJEROS!B:D,3,0)</f>
        <v>Multifuncional</v>
      </c>
      <c r="I1634" s="34" t="s">
        <v>9</v>
      </c>
      <c r="J1634" s="38" t="str">
        <f>VLOOKUP(B1634,CAJEROS!B:E,4,0)</f>
        <v>MF_PLARIO2</v>
      </c>
      <c r="K1634" t="s">
        <v>450</v>
      </c>
    </row>
    <row r="1635" spans="1:11">
      <c r="A1635" s="32">
        <v>318</v>
      </c>
      <c r="B1635" s="32">
        <v>7680</v>
      </c>
      <c r="C1635" s="3">
        <v>59000</v>
      </c>
      <c r="D1635" s="3"/>
      <c r="E1635" s="7">
        <f t="shared" si="62"/>
        <v>59000</v>
      </c>
      <c r="F1635" s="5">
        <v>45875</v>
      </c>
      <c r="G1635" s="4">
        <v>20250805</v>
      </c>
      <c r="H1635" s="38" t="str">
        <f>VLOOKUP(B1635,CAJEROS!B:D,3,0)</f>
        <v>Multifuncional</v>
      </c>
      <c r="I1635" s="34" t="s">
        <v>9</v>
      </c>
      <c r="J1635" s="38" t="str">
        <f>VLOOKUP(B1635,CAJEROS!B:E,4,0)</f>
        <v>MF_OCANA2</v>
      </c>
      <c r="K1635" t="s">
        <v>450</v>
      </c>
    </row>
    <row r="1636" spans="1:11">
      <c r="A1636" s="32">
        <v>915</v>
      </c>
      <c r="B1636" s="32">
        <v>8314</v>
      </c>
      <c r="C1636" s="3">
        <v>1220000</v>
      </c>
      <c r="D1636" s="3">
        <v>1170000</v>
      </c>
      <c r="E1636" s="7">
        <f t="shared" si="62"/>
        <v>50000</v>
      </c>
      <c r="F1636" s="5">
        <v>45875</v>
      </c>
      <c r="G1636" s="4">
        <v>20250805</v>
      </c>
      <c r="H1636" s="38" t="str">
        <f>VLOOKUP(B1636,CAJEROS!B:D,3,0)</f>
        <v>Multifuncional</v>
      </c>
      <c r="I1636" s="34" t="s">
        <v>9</v>
      </c>
      <c r="J1636" s="38" t="str">
        <f>VLOOKUP(B1636,CAJEROS!B:E,4,0)</f>
        <v>MF_BANLABB2</v>
      </c>
      <c r="K1636" t="s">
        <v>450</v>
      </c>
    </row>
    <row r="1637" spans="1:11">
      <c r="A1637" s="32">
        <v>60</v>
      </c>
      <c r="B1637" s="32">
        <v>8727</v>
      </c>
      <c r="C1637" s="3">
        <v>2800000</v>
      </c>
      <c r="D1637" s="3">
        <v>751300</v>
      </c>
      <c r="E1637" s="7">
        <f t="shared" si="62"/>
        <v>2048700</v>
      </c>
      <c r="F1637" s="5">
        <v>45875</v>
      </c>
      <c r="G1637" s="4">
        <v>20250805</v>
      </c>
      <c r="H1637" s="38" t="str">
        <f>VLOOKUP(B1637,CAJEROS!B:D,3,0)</f>
        <v>Multifuncional</v>
      </c>
      <c r="I1637" s="34" t="s">
        <v>9</v>
      </c>
      <c r="J1637" s="38" t="str">
        <f>VLOOKUP(B1637,CAJEROS!B:E,4,0)</f>
        <v>MF_HCALIPR1</v>
      </c>
      <c r="K1637" t="s">
        <v>450</v>
      </c>
    </row>
    <row r="1638" spans="1:11">
      <c r="A1638" s="32">
        <v>348</v>
      </c>
      <c r="B1638" s="32">
        <v>9009</v>
      </c>
      <c r="C1638" s="3">
        <v>1647000</v>
      </c>
      <c r="D1638" s="3">
        <v>800</v>
      </c>
      <c r="E1638" s="7">
        <f t="shared" si="62"/>
        <v>1646200</v>
      </c>
      <c r="F1638" s="5">
        <v>45875</v>
      </c>
      <c r="G1638" s="4">
        <v>20250805</v>
      </c>
      <c r="H1638" s="38" t="str">
        <f>VLOOKUP(B1638,CAJEROS!B:D,3,0)</f>
        <v>Multifuncional</v>
      </c>
      <c r="I1638" s="34" t="s">
        <v>9</v>
      </c>
      <c r="J1638" s="38" t="str">
        <f>VLOOKUP(B1638,CAJEROS!B:E,4,0)</f>
        <v>MF_SANDRES2</v>
      </c>
      <c r="K1638" t="s">
        <v>450</v>
      </c>
    </row>
    <row r="1639" spans="1:11">
      <c r="A1639" s="32">
        <v>467</v>
      </c>
      <c r="B1639" s="32">
        <v>9051</v>
      </c>
      <c r="C1639" s="3">
        <v>1347800</v>
      </c>
      <c r="D1639" s="3">
        <v>1138050</v>
      </c>
      <c r="E1639" s="7">
        <f t="shared" si="62"/>
        <v>209750</v>
      </c>
      <c r="F1639" s="5">
        <v>45875</v>
      </c>
      <c r="G1639" s="4">
        <v>20250805</v>
      </c>
      <c r="H1639" s="38" t="str">
        <f>VLOOKUP(B1639,CAJEROS!B:D,3,0)</f>
        <v>Multifuncional</v>
      </c>
      <c r="I1639" s="34" t="s">
        <v>9</v>
      </c>
      <c r="J1639" s="38" t="str">
        <f>VLOOKUP(B1639,CAJEROS!B:E,4,0)</f>
        <v>MFHDVERPLZ1</v>
      </c>
      <c r="K1639" t="s">
        <v>450</v>
      </c>
    </row>
    <row r="1640" spans="1:11">
      <c r="A1640" s="32">
        <v>64</v>
      </c>
      <c r="B1640" s="32">
        <v>9306</v>
      </c>
      <c r="C1640" s="3">
        <v>1160000</v>
      </c>
      <c r="D1640" s="3">
        <v>910000</v>
      </c>
      <c r="E1640" s="7">
        <f t="shared" si="62"/>
        <v>250000</v>
      </c>
      <c r="F1640" s="5">
        <v>45875</v>
      </c>
      <c r="G1640" s="4">
        <v>20250805</v>
      </c>
      <c r="H1640" s="38" t="str">
        <f>VLOOKUP(B1640,CAJEROS!B:D,3,0)</f>
        <v>Multifuncional</v>
      </c>
      <c r="I1640" s="34" t="s">
        <v>9</v>
      </c>
      <c r="J1640" s="38" t="str">
        <f>VLOOKUP(B1640,CAJEROS!B:E,4,0)</f>
        <v>MFSUCVIPA1</v>
      </c>
      <c r="K1640" t="s">
        <v>450</v>
      </c>
    </row>
    <row r="1641" spans="1:11">
      <c r="A1641" s="32">
        <v>849</v>
      </c>
      <c r="B1641" s="32">
        <v>9725</v>
      </c>
      <c r="C1641" s="3">
        <v>40000</v>
      </c>
      <c r="D1641" s="3"/>
      <c r="E1641" s="7">
        <f t="shared" si="62"/>
        <v>40000</v>
      </c>
      <c r="F1641" s="5">
        <v>45875</v>
      </c>
      <c r="G1641" s="4">
        <v>20250805</v>
      </c>
      <c r="H1641" s="38" t="str">
        <f>VLOOKUP(B1641,CAJEROS!B:D,3,0)</f>
        <v>Multifuncional</v>
      </c>
      <c r="I1641" s="34" t="s">
        <v>9</v>
      </c>
      <c r="J1641" s="38" t="str">
        <f>VLOOKUP(B1641,CAJEROS!B:E,4,0)</f>
        <v>MF_SUNIVIL2</v>
      </c>
      <c r="K1641" t="s">
        <v>450</v>
      </c>
    </row>
    <row r="1642" spans="1:11">
      <c r="A1642" s="32">
        <v>108</v>
      </c>
      <c r="B1642" s="32">
        <v>2042</v>
      </c>
      <c r="C1642" s="3">
        <v>460000</v>
      </c>
      <c r="D1642" s="3"/>
      <c r="E1642" s="7">
        <f t="shared" si="62"/>
        <v>460000</v>
      </c>
      <c r="F1642" s="5">
        <v>45875</v>
      </c>
      <c r="G1642" s="4">
        <v>20250805</v>
      </c>
      <c r="H1642" s="38" t="str">
        <f>VLOOKUP(B1642,CAJEROS!B:D,3,0)</f>
        <v>Dispensador</v>
      </c>
      <c r="I1642" s="34"/>
      <c r="J1642" s="38" t="str">
        <f>VLOOKUP(B1642,CAJEROS!B:E,4,0)</f>
        <v>SUCPLZAMER5</v>
      </c>
      <c r="K1642" t="s">
        <v>450</v>
      </c>
    </row>
    <row r="1643" spans="1:11">
      <c r="A1643" s="32">
        <v>163</v>
      </c>
      <c r="B1643" s="32">
        <v>4130</v>
      </c>
      <c r="C1643" s="3">
        <v>190000</v>
      </c>
      <c r="D1643" s="3"/>
      <c r="E1643" s="7">
        <f t="shared" si="62"/>
        <v>190000</v>
      </c>
      <c r="F1643" s="5">
        <v>45875</v>
      </c>
      <c r="G1643" s="4">
        <v>20250805</v>
      </c>
      <c r="H1643" s="38" t="str">
        <f>VLOOKUP(B1643,CAJEROS!B:D,3,0)</f>
        <v>Dispensador</v>
      </c>
      <c r="I1643" s="34"/>
      <c r="J1643" s="38" t="str">
        <f>VLOOKUP(B1643,CAJEROS!B:E,4,0)</f>
        <v>SUC_PUERBE3</v>
      </c>
      <c r="K1643" t="s">
        <v>450</v>
      </c>
    </row>
    <row r="1644" spans="1:11">
      <c r="A1644" s="32">
        <v>305</v>
      </c>
      <c r="B1644" s="32">
        <v>3278</v>
      </c>
      <c r="C1644" s="3">
        <v>100000</v>
      </c>
      <c r="D1644" s="3"/>
      <c r="E1644" s="7">
        <f t="shared" si="62"/>
        <v>100000</v>
      </c>
      <c r="F1644" s="5">
        <v>45875</v>
      </c>
      <c r="G1644" s="4">
        <v>20250805</v>
      </c>
      <c r="H1644" s="38" t="str">
        <f>VLOOKUP(B1644,CAJEROS!B:D,3,0)</f>
        <v>Dispensador</v>
      </c>
      <c r="I1644" s="34"/>
      <c r="J1644" s="38" t="str">
        <f>VLOOKUP(B1644,CAJEROS!B:E,4,0)</f>
        <v>VILLACASAN1</v>
      </c>
      <c r="K1644" t="s">
        <v>450</v>
      </c>
    </row>
    <row r="1645" spans="1:11">
      <c r="A1645" s="32">
        <v>385</v>
      </c>
      <c r="B1645" s="32">
        <v>1826</v>
      </c>
      <c r="C1645" s="3">
        <v>20000</v>
      </c>
      <c r="D1645" s="3">
        <v>10000</v>
      </c>
      <c r="E1645" s="7">
        <f t="shared" si="62"/>
        <v>10000</v>
      </c>
      <c r="F1645" s="5">
        <v>45875</v>
      </c>
      <c r="G1645" s="4">
        <v>20250805</v>
      </c>
      <c r="H1645" s="38" t="str">
        <f>VLOOKUP(B1645,CAJEROS!B:D,3,0)</f>
        <v>Dispensador</v>
      </c>
      <c r="I1645" s="34"/>
      <c r="J1645" s="38" t="str">
        <f>VLOOKUP(B1645,CAJEROS!B:E,4,0)</f>
        <v>OFVILLETA1</v>
      </c>
      <c r="K1645" t="s">
        <v>450</v>
      </c>
    </row>
    <row r="1646" spans="1:11">
      <c r="A1646" s="32">
        <v>385</v>
      </c>
      <c r="B1646" s="32">
        <v>3694</v>
      </c>
      <c r="C1646" s="3">
        <v>150000</v>
      </c>
      <c r="D1646" s="3"/>
      <c r="E1646" s="7">
        <f t="shared" si="62"/>
        <v>150000</v>
      </c>
      <c r="F1646" s="5">
        <v>45875</v>
      </c>
      <c r="G1646" s="4">
        <v>20250805</v>
      </c>
      <c r="H1646" s="38" t="str">
        <f>VLOOKUP(B1646,CAJEROS!B:D,3,0)</f>
        <v>Dispensador</v>
      </c>
      <c r="I1646" s="34"/>
      <c r="J1646" s="38" t="str">
        <f>VLOOKUP(B1646,CAJEROS!B:E,4,0)</f>
        <v>SUC_VILLET3</v>
      </c>
      <c r="K1646" t="s">
        <v>450</v>
      </c>
    </row>
    <row r="1647" spans="1:11">
      <c r="A1647" s="32">
        <v>438</v>
      </c>
      <c r="B1647" s="32">
        <v>4380</v>
      </c>
      <c r="C1647" s="3">
        <v>160000</v>
      </c>
      <c r="D1647" s="3"/>
      <c r="E1647" s="7">
        <f t="shared" si="62"/>
        <v>160000</v>
      </c>
      <c r="F1647" s="5">
        <v>45875</v>
      </c>
      <c r="G1647" s="4">
        <v>20250805</v>
      </c>
      <c r="H1647" s="38" t="str">
        <f>VLOOKUP(B1647,CAJEROS!B:D,3,0)</f>
        <v>Dispensador</v>
      </c>
      <c r="I1647" s="34"/>
      <c r="J1647" s="38" t="str">
        <f>VLOOKUP(B1647,CAJEROS!B:E,4,0)</f>
        <v>ANDES</v>
      </c>
      <c r="K1647" t="s">
        <v>450</v>
      </c>
    </row>
    <row r="1648" spans="1:11">
      <c r="A1648" s="32">
        <v>476</v>
      </c>
      <c r="B1648" s="32">
        <v>5573</v>
      </c>
      <c r="C1648" s="3">
        <v>150000</v>
      </c>
      <c r="D1648" s="3"/>
      <c r="E1648" s="7">
        <f t="shared" si="62"/>
        <v>150000</v>
      </c>
      <c r="F1648" s="5">
        <v>45875</v>
      </c>
      <c r="G1648" s="4">
        <v>20250805</v>
      </c>
      <c r="H1648" s="38" t="str">
        <f>VLOOKUP(B1648,CAJEROS!B:D,3,0)</f>
        <v>Dispensador</v>
      </c>
      <c r="I1648" s="34"/>
      <c r="J1648" s="38" t="str">
        <f>VLOOKUP(B1648,CAJEROS!B:E,4,0)</f>
        <v>SUC_PAMPLO1</v>
      </c>
      <c r="K1648" t="s">
        <v>450</v>
      </c>
    </row>
    <row r="1649" spans="1:11">
      <c r="A1649" s="32">
        <v>682</v>
      </c>
      <c r="B1649" s="32">
        <v>5959</v>
      </c>
      <c r="C1649" s="3">
        <v>4150000</v>
      </c>
      <c r="D1649" s="3"/>
      <c r="E1649" s="7">
        <f t="shared" si="62"/>
        <v>4150000</v>
      </c>
      <c r="F1649" s="5">
        <v>45875</v>
      </c>
      <c r="G1649" s="4">
        <v>20250805</v>
      </c>
      <c r="H1649" s="38" t="str">
        <f>VLOOKUP(B1649,CAJEROS!B:D,3,0)</f>
        <v>Dispensador</v>
      </c>
      <c r="I1649" s="34"/>
      <c r="J1649" s="38" t="str">
        <f>VLOOKUP(B1649,CAJEROS!B:E,4,0)</f>
        <v>SUC_CCFONT1</v>
      </c>
      <c r="K1649" t="s">
        <v>450</v>
      </c>
    </row>
    <row r="1650" spans="1:11">
      <c r="A1650" s="32">
        <v>704</v>
      </c>
      <c r="B1650" s="32">
        <v>4647</v>
      </c>
      <c r="C1650" s="3">
        <v>100000</v>
      </c>
      <c r="D1650" s="3"/>
      <c r="E1650" s="7">
        <f t="shared" si="62"/>
        <v>100000</v>
      </c>
      <c r="F1650" s="5">
        <v>45875</v>
      </c>
      <c r="G1650" s="4">
        <v>20250805</v>
      </c>
      <c r="H1650" s="38" t="str">
        <f>VLOOKUP(B1650,CAJEROS!B:D,3,0)</f>
        <v>Dispensador</v>
      </c>
      <c r="I1650" s="34"/>
      <c r="J1650" s="38" t="str">
        <f>VLOOKUP(B1650,CAJEROS!B:E,4,0)</f>
        <v>SUC_LOMCES2</v>
      </c>
      <c r="K1650" t="s">
        <v>450</v>
      </c>
    </row>
    <row r="1651" spans="1:11">
      <c r="A1651" s="32">
        <v>741</v>
      </c>
      <c r="B1651" s="32">
        <v>6842</v>
      </c>
      <c r="C1651" s="3">
        <v>50000</v>
      </c>
      <c r="D1651" s="3"/>
      <c r="E1651" s="7">
        <f t="shared" si="62"/>
        <v>50000</v>
      </c>
      <c r="F1651" s="5">
        <v>45875</v>
      </c>
      <c r="G1651" s="4">
        <v>20250805</v>
      </c>
      <c r="H1651" s="38" t="str">
        <f>VLOOKUP(B1651,CAJEROS!B:D,3,0)</f>
        <v>Dispensador</v>
      </c>
      <c r="I1651" s="34"/>
      <c r="J1651" s="38" t="str">
        <f>VLOOKUP(B1651,CAJEROS!B:E,4,0)</f>
        <v>SUC_IDEO_2</v>
      </c>
      <c r="K1651" t="s">
        <v>450</v>
      </c>
    </row>
    <row r="1652" spans="1:11">
      <c r="A1652" s="32">
        <v>775</v>
      </c>
      <c r="B1652" s="32">
        <v>6986</v>
      </c>
      <c r="C1652" s="3">
        <v>100000</v>
      </c>
      <c r="D1652" s="3"/>
      <c r="E1652" s="7">
        <f t="shared" si="62"/>
        <v>100000</v>
      </c>
      <c r="F1652" s="5">
        <v>45875</v>
      </c>
      <c r="G1652" s="4">
        <v>20250805</v>
      </c>
      <c r="H1652" s="38" t="str">
        <f>VLOOKUP(B1652,CAJEROS!B:D,3,0)</f>
        <v>Dispensador</v>
      </c>
      <c r="I1652" s="34"/>
      <c r="J1652" s="38" t="str">
        <f>VLOOKUP(B1652,CAJEROS!B:E,4,0)</f>
        <v>BOULEVA_54</v>
      </c>
      <c r="K1652" t="s">
        <v>450</v>
      </c>
    </row>
    <row r="1653" spans="1:11">
      <c r="A1653" s="32">
        <v>782</v>
      </c>
      <c r="B1653" s="32">
        <v>9854</v>
      </c>
      <c r="C1653" s="3">
        <v>170000</v>
      </c>
      <c r="D1653" s="3">
        <v>50000</v>
      </c>
      <c r="E1653" s="7">
        <f t="shared" si="62"/>
        <v>120000</v>
      </c>
      <c r="F1653" s="5">
        <v>45875</v>
      </c>
      <c r="G1653" s="4">
        <v>20250805</v>
      </c>
      <c r="H1653" s="38" t="str">
        <f>VLOOKUP(B1653,CAJEROS!B:D,3,0)</f>
        <v>Dispensador</v>
      </c>
      <c r="I1653" s="34"/>
      <c r="J1653" s="38" t="str">
        <f>VLOOKUP(B1653,CAJEROS!B:E,4,0)</f>
        <v>SUCSEVILLA1</v>
      </c>
      <c r="K1653" t="s">
        <v>450</v>
      </c>
    </row>
    <row r="1654" spans="1:11">
      <c r="A1654" s="32">
        <v>820</v>
      </c>
      <c r="B1654" s="32">
        <v>6988</v>
      </c>
      <c r="C1654" s="3">
        <v>1000000</v>
      </c>
      <c r="D1654" s="3"/>
      <c r="E1654" s="7">
        <f t="shared" si="62"/>
        <v>1000000</v>
      </c>
      <c r="F1654" s="5">
        <v>45875</v>
      </c>
      <c r="G1654" s="4">
        <v>20250805</v>
      </c>
      <c r="H1654" s="38" t="str">
        <f>VLOOKUP(B1654,CAJEROS!B:D,3,0)</f>
        <v>Dispensador</v>
      </c>
      <c r="I1654" s="34"/>
      <c r="J1654" s="38" t="str">
        <f>VLOOKUP(B1654,CAJEROS!B:E,4,0)</f>
        <v>AVCERO_2</v>
      </c>
      <c r="K1654" t="s">
        <v>450</v>
      </c>
    </row>
    <row r="1655" spans="1:11">
      <c r="A1655" s="32">
        <v>30</v>
      </c>
      <c r="B1655" s="32">
        <v>4958</v>
      </c>
      <c r="C1655" s="3">
        <v>620000</v>
      </c>
      <c r="D1655" s="3">
        <v>450000</v>
      </c>
      <c r="E1655" s="7">
        <f t="shared" si="62"/>
        <v>170000</v>
      </c>
      <c r="F1655" s="5">
        <v>45877</v>
      </c>
      <c r="G1655" s="4">
        <v>20250805</v>
      </c>
      <c r="H1655" s="38" t="str">
        <f>VLOOKUP(B1655,CAJEROS!B:D,3,0)</f>
        <v>Dispensador</v>
      </c>
      <c r="I1655" s="34"/>
      <c r="J1655" s="38" t="str">
        <f>VLOOKUP(B1655,CAJEROS!B:E,4,0)</f>
        <v>SUC_CRAOCT2</v>
      </c>
      <c r="K1655" t="s">
        <v>450</v>
      </c>
    </row>
    <row r="1656" spans="1:11">
      <c r="A1656" s="32">
        <v>40</v>
      </c>
      <c r="B1656" s="32">
        <v>7990</v>
      </c>
      <c r="C1656" s="3">
        <v>1000000</v>
      </c>
      <c r="D1656" s="3"/>
      <c r="E1656" s="7">
        <f t="shared" si="62"/>
        <v>1000000</v>
      </c>
      <c r="F1656" s="5">
        <v>45877</v>
      </c>
      <c r="G1656" s="4">
        <v>20250806</v>
      </c>
      <c r="H1656" s="38" t="str">
        <f>VLOOKUP(B1656,CAJEROS!B:D,3,0)</f>
        <v>Dispensador</v>
      </c>
      <c r="I1656" s="34"/>
      <c r="J1656" s="38" t="str">
        <f>VLOOKUP(B1656,CAJEROS!B:E,4,0)</f>
        <v>SUCCENT93_1</v>
      </c>
      <c r="K1656" t="s">
        <v>450</v>
      </c>
    </row>
    <row r="1657" spans="1:11">
      <c r="A1657" s="32">
        <v>57</v>
      </c>
      <c r="B1657" s="32">
        <v>9929</v>
      </c>
      <c r="C1657" s="3">
        <v>50000</v>
      </c>
      <c r="D1657" s="3"/>
      <c r="E1657" s="7">
        <f t="shared" si="62"/>
        <v>50000</v>
      </c>
      <c r="F1657" s="5">
        <v>45877</v>
      </c>
      <c r="G1657" s="4">
        <v>20250806</v>
      </c>
      <c r="H1657" s="38" t="str">
        <f>VLOOKUP(B1657,CAJEROS!B:D,3,0)</f>
        <v>Dispensador</v>
      </c>
      <c r="I1657" s="34"/>
      <c r="J1657" s="38" t="str">
        <f>VLOOKUP(B1657,CAJEROS!B:E,4,0)</f>
        <v>SUC_VILLAO1</v>
      </c>
      <c r="K1657" t="s">
        <v>450</v>
      </c>
    </row>
    <row r="1658" spans="1:11">
      <c r="A1658" s="32">
        <v>57</v>
      </c>
      <c r="B1658" s="32">
        <v>9951</v>
      </c>
      <c r="C1658" s="3">
        <v>650000</v>
      </c>
      <c r="D1658" s="3"/>
      <c r="E1658" s="7">
        <f t="shared" si="62"/>
        <v>650000</v>
      </c>
      <c r="F1658" s="5">
        <v>45877</v>
      </c>
      <c r="G1658" s="4">
        <v>20250806</v>
      </c>
      <c r="H1658" s="38" t="str">
        <f>VLOOKUP(B1658,CAJEROS!B:D,3,0)</f>
        <v>Dispensador</v>
      </c>
      <c r="I1658" s="34"/>
      <c r="J1658" s="38" t="str">
        <f>VLOOKUP(B1658,CAJEROS!B:E,4,0)</f>
        <v>SUC_VILLAO6</v>
      </c>
      <c r="K1658" t="s">
        <v>450</v>
      </c>
    </row>
    <row r="1659" spans="1:11">
      <c r="A1659" s="32">
        <v>64</v>
      </c>
      <c r="B1659" s="32">
        <v>6605</v>
      </c>
      <c r="C1659" s="3">
        <v>120000</v>
      </c>
      <c r="D1659" s="3"/>
      <c r="E1659" s="7">
        <f t="shared" si="62"/>
        <v>120000</v>
      </c>
      <c r="F1659" s="5">
        <v>45877</v>
      </c>
      <c r="G1659" s="4">
        <v>20250806</v>
      </c>
      <c r="H1659" s="38" t="str">
        <f>VLOOKUP(B1659,CAJEROS!B:D,3,0)</f>
        <v>Dispensador</v>
      </c>
      <c r="I1659" s="34"/>
      <c r="J1659" s="38" t="str">
        <f>VLOOKUP(B1659,CAJEROS!B:E,4,0)</f>
        <v>VIPASA_6_R</v>
      </c>
      <c r="K1659" t="s">
        <v>450</v>
      </c>
    </row>
    <row r="1660" spans="1:11">
      <c r="A1660" s="32">
        <v>93</v>
      </c>
      <c r="B1660" s="32">
        <v>6055</v>
      </c>
      <c r="C1660" s="3">
        <v>510000</v>
      </c>
      <c r="D1660" s="3"/>
      <c r="E1660" s="7">
        <f t="shared" si="62"/>
        <v>510000</v>
      </c>
      <c r="F1660" s="5">
        <v>45877</v>
      </c>
      <c r="G1660" s="4">
        <v>20250806</v>
      </c>
      <c r="H1660" s="38" t="str">
        <f>VLOOKUP(B1660,CAJEROS!B:D,3,0)</f>
        <v>Dispensador</v>
      </c>
      <c r="I1660" s="34"/>
      <c r="J1660" s="38" t="str">
        <f>VLOOKUP(B1660,CAJEROS!B:E,4,0)</f>
        <v>SAHAGUN3</v>
      </c>
      <c r="K1660" t="s">
        <v>450</v>
      </c>
    </row>
    <row r="1661" spans="1:11">
      <c r="A1661" s="32">
        <v>166</v>
      </c>
      <c r="B1661" s="32">
        <v>7927</v>
      </c>
      <c r="C1661" s="3">
        <v>100000</v>
      </c>
      <c r="D1661" s="3"/>
      <c r="E1661" s="7">
        <f t="shared" si="62"/>
        <v>100000</v>
      </c>
      <c r="F1661" s="5">
        <v>45877</v>
      </c>
      <c r="G1661" s="4">
        <v>20250806</v>
      </c>
      <c r="H1661" s="38" t="str">
        <f>VLOOKUP(B1661,CAJEROS!B:D,3,0)</f>
        <v>Dispensador</v>
      </c>
      <c r="I1661" s="34"/>
      <c r="J1661" s="38" t="str">
        <f>VLOOKUP(B1661,CAJEROS!B:E,4,0)</f>
        <v>SUCALMSIN1</v>
      </c>
      <c r="K1661" t="s">
        <v>450</v>
      </c>
    </row>
    <row r="1662" spans="1:11">
      <c r="A1662" s="32">
        <v>201</v>
      </c>
      <c r="B1662" s="32">
        <v>6919</v>
      </c>
      <c r="C1662" s="3">
        <v>50000</v>
      </c>
      <c r="D1662" s="3"/>
      <c r="E1662" s="7">
        <f t="shared" si="62"/>
        <v>50000</v>
      </c>
      <c r="F1662" s="5">
        <v>45877</v>
      </c>
      <c r="G1662" s="4">
        <v>20250806</v>
      </c>
      <c r="H1662" s="38" t="str">
        <f>VLOOKUP(B1662,CAJEROS!B:D,3,0)</f>
        <v>Dispensador</v>
      </c>
      <c r="I1662" s="34"/>
      <c r="J1662" s="38" t="str">
        <f>VLOOKUP(B1662,CAJEROS!B:E,4,0)</f>
        <v>SUC_USASTB4</v>
      </c>
      <c r="K1662" t="s">
        <v>450</v>
      </c>
    </row>
    <row r="1663" spans="1:11">
      <c r="A1663" s="32">
        <v>240</v>
      </c>
      <c r="B1663" s="32">
        <v>6372</v>
      </c>
      <c r="C1663" s="3">
        <v>3560000</v>
      </c>
      <c r="D1663" s="3"/>
      <c r="E1663" s="7">
        <f t="shared" si="62"/>
        <v>3560000</v>
      </c>
      <c r="F1663" s="5">
        <v>45877</v>
      </c>
      <c r="G1663" s="4">
        <v>20250806</v>
      </c>
      <c r="H1663" s="38" t="str">
        <f>VLOOKUP(B1663,CAJEROS!B:D,3,0)</f>
        <v>Dispensador</v>
      </c>
      <c r="I1663" s="34"/>
      <c r="J1663" s="38" t="str">
        <f>VLOOKUP(B1663,CAJEROS!B:E,4,0)</f>
        <v>STAFEANTI_2</v>
      </c>
      <c r="K1663" t="s">
        <v>450</v>
      </c>
    </row>
    <row r="1664" spans="1:11">
      <c r="A1664" s="32">
        <v>331</v>
      </c>
      <c r="B1664" s="32">
        <v>8345</v>
      </c>
      <c r="C1664" s="3">
        <v>300000</v>
      </c>
      <c r="D1664" s="3"/>
      <c r="E1664" s="7">
        <f t="shared" si="62"/>
        <v>300000</v>
      </c>
      <c r="F1664" s="5">
        <v>45877</v>
      </c>
      <c r="G1664" s="4">
        <v>20250806</v>
      </c>
      <c r="H1664" s="38" t="str">
        <f>VLOOKUP(B1664,CAJEROS!B:D,3,0)</f>
        <v>Dispensador</v>
      </c>
      <c r="I1664" s="34"/>
      <c r="J1664" s="38" t="str">
        <f>VLOOKUP(B1664,CAJEROS!B:E,4,0)</f>
        <v>SUCARKADIA4</v>
      </c>
      <c r="K1664" t="s">
        <v>450</v>
      </c>
    </row>
    <row r="1665" spans="1:11">
      <c r="A1665" s="32">
        <v>332</v>
      </c>
      <c r="B1665" s="32">
        <v>2553</v>
      </c>
      <c r="C1665" s="3">
        <v>750000</v>
      </c>
      <c r="D1665" s="3">
        <f>40000+40000+480000</f>
        <v>560000</v>
      </c>
      <c r="E1665" s="7">
        <f t="shared" si="62"/>
        <v>190000</v>
      </c>
      <c r="F1665" s="5">
        <v>45877</v>
      </c>
      <c r="G1665" s="4">
        <v>20250806</v>
      </c>
      <c r="H1665" s="38" t="str">
        <f>VLOOKUP(B1665,CAJEROS!B:D,3,0)</f>
        <v>Dispensador</v>
      </c>
      <c r="I1665" s="34"/>
      <c r="J1665" s="38" t="str">
        <f>VLOOKUP(B1665,CAJEROS!B:E,4,0)</f>
        <v>ZIPAQUIRA_2</v>
      </c>
      <c r="K1665" t="s">
        <v>450</v>
      </c>
    </row>
    <row r="1666" spans="1:11">
      <c r="A1666" s="32">
        <v>332</v>
      </c>
      <c r="B1666" s="32">
        <v>2556</v>
      </c>
      <c r="C1666" s="3">
        <v>670000</v>
      </c>
      <c r="D1666" s="3">
        <v>50000</v>
      </c>
      <c r="E1666" s="7">
        <f t="shared" si="62"/>
        <v>620000</v>
      </c>
      <c r="F1666" s="5">
        <v>45877</v>
      </c>
      <c r="G1666" s="4">
        <v>20250806</v>
      </c>
      <c r="H1666" s="38" t="str">
        <f>VLOOKUP(B1666,CAJEROS!B:D,3,0)</f>
        <v>Dispensador</v>
      </c>
      <c r="I1666" s="34"/>
      <c r="J1666" s="38" t="str">
        <f>VLOOKUP(B1666,CAJEROS!B:E,4,0)</f>
        <v>ZIPAQUIRA_3</v>
      </c>
      <c r="K1666" t="s">
        <v>450</v>
      </c>
    </row>
    <row r="1667" spans="1:11">
      <c r="A1667" s="32">
        <v>332</v>
      </c>
      <c r="B1667" s="32">
        <v>2559</v>
      </c>
      <c r="C1667" s="3">
        <v>130000</v>
      </c>
      <c r="D1667" s="3"/>
      <c r="E1667" s="7">
        <f t="shared" si="62"/>
        <v>130000</v>
      </c>
      <c r="F1667" s="5">
        <v>45877</v>
      </c>
      <c r="G1667" s="4">
        <v>20250806</v>
      </c>
      <c r="H1667" s="38" t="str">
        <f>VLOOKUP(B1667,CAJEROS!B:D,3,0)</f>
        <v>Dispensador</v>
      </c>
      <c r="I1667" s="34"/>
      <c r="J1667" s="38" t="str">
        <f>VLOOKUP(B1667,CAJEROS!B:E,4,0)</f>
        <v>ZIPAQUIRA_4</v>
      </c>
      <c r="K1667" t="s">
        <v>450</v>
      </c>
    </row>
    <row r="1668" spans="1:11">
      <c r="A1668" s="32">
        <v>334</v>
      </c>
      <c r="B1668" s="32">
        <v>8801</v>
      </c>
      <c r="C1668" s="3">
        <v>50000</v>
      </c>
      <c r="D1668" s="3"/>
      <c r="E1668" s="7">
        <f t="shared" si="62"/>
        <v>50000</v>
      </c>
      <c r="F1668" s="5">
        <v>45877</v>
      </c>
      <c r="G1668" s="4">
        <v>20250806</v>
      </c>
      <c r="H1668" s="38" t="str">
        <f>VLOOKUP(B1668,CAJEROS!B:D,3,0)</f>
        <v>Dispensador</v>
      </c>
      <c r="I1668" s="34"/>
      <c r="J1668" s="38" t="str">
        <f>VLOOKUP(B1668,CAJEROS!B:E,4,0)</f>
        <v>SUCPENOL_1</v>
      </c>
      <c r="K1668" t="s">
        <v>450</v>
      </c>
    </row>
    <row r="1669" spans="1:11">
      <c r="A1669" s="32">
        <v>334</v>
      </c>
      <c r="B1669" s="32">
        <v>8802</v>
      </c>
      <c r="C1669" s="3">
        <v>300000</v>
      </c>
      <c r="D1669" s="3"/>
      <c r="E1669" s="7">
        <f t="shared" si="62"/>
        <v>300000</v>
      </c>
      <c r="F1669" s="5">
        <v>45877</v>
      </c>
      <c r="G1669" s="4">
        <v>20250806</v>
      </c>
      <c r="H1669" s="38" t="str">
        <f>VLOOKUP(B1669,CAJEROS!B:D,3,0)</f>
        <v>Dispensador</v>
      </c>
      <c r="I1669" s="34"/>
      <c r="J1669" s="38" t="str">
        <f>VLOOKUP(B1669,CAJEROS!B:E,4,0)</f>
        <v>SUCPENOL_2</v>
      </c>
      <c r="K1669" t="s">
        <v>450</v>
      </c>
    </row>
    <row r="1670" spans="1:11">
      <c r="A1670" s="32">
        <v>355</v>
      </c>
      <c r="B1670" s="32">
        <v>5360</v>
      </c>
      <c r="C1670" s="3">
        <v>10000</v>
      </c>
      <c r="D1670" s="3"/>
      <c r="E1670" s="7">
        <f t="shared" si="62"/>
        <v>10000</v>
      </c>
      <c r="F1670" s="5">
        <v>45877</v>
      </c>
      <c r="G1670" s="4">
        <v>20250806</v>
      </c>
      <c r="H1670" s="38" t="str">
        <f>VLOOKUP(B1670,CAJEROS!B:D,3,0)</f>
        <v>Dispensador</v>
      </c>
      <c r="I1670" s="34"/>
      <c r="J1670" s="38" t="str">
        <f>VLOOKUP(B1670,CAJEROS!B:E,4,0)</f>
        <v>SIMIJACA1</v>
      </c>
      <c r="K1670" t="s">
        <v>450</v>
      </c>
    </row>
    <row r="1671" spans="1:11">
      <c r="A1671" s="32">
        <v>359</v>
      </c>
      <c r="B1671" s="32">
        <v>4650</v>
      </c>
      <c r="C1671" s="3">
        <v>10000</v>
      </c>
      <c r="D1671" s="3"/>
      <c r="E1671" s="7">
        <f t="shared" si="62"/>
        <v>10000</v>
      </c>
      <c r="F1671" s="5">
        <v>45877</v>
      </c>
      <c r="G1671" s="4">
        <v>20250806</v>
      </c>
      <c r="H1671" s="38" t="str">
        <f>VLOOKUP(B1671,CAJEROS!B:D,3,0)</f>
        <v>Dispensador</v>
      </c>
      <c r="I1671" s="34"/>
      <c r="J1671" s="38" t="str">
        <f>VLOOKUP(B1671,CAJEROS!B:E,4,0)</f>
        <v>SUC_COVEN1</v>
      </c>
      <c r="K1671" t="s">
        <v>450</v>
      </c>
    </row>
    <row r="1672" spans="1:11">
      <c r="A1672" s="32">
        <v>398</v>
      </c>
      <c r="B1672" s="32">
        <v>3527</v>
      </c>
      <c r="C1672" s="3">
        <v>420000</v>
      </c>
      <c r="D1672" s="3">
        <v>20000</v>
      </c>
      <c r="E1672" s="7">
        <f t="shared" si="62"/>
        <v>400000</v>
      </c>
      <c r="F1672" s="5">
        <v>45877</v>
      </c>
      <c r="G1672" s="4">
        <v>20250806</v>
      </c>
      <c r="H1672" s="38" t="str">
        <f>VLOOKUP(B1672,CAJEROS!B:D,3,0)</f>
        <v>Dispensador</v>
      </c>
      <c r="I1672" s="34"/>
      <c r="J1672" s="38" t="str">
        <f>VLOOKUP(B1672,CAJEROS!B:E,4,0)</f>
        <v>SUC_CHINU</v>
      </c>
      <c r="K1672" t="s">
        <v>450</v>
      </c>
    </row>
    <row r="1673" spans="1:11">
      <c r="A1673" s="32">
        <v>399</v>
      </c>
      <c r="B1673" s="32">
        <v>8440</v>
      </c>
      <c r="C1673" s="3">
        <v>30000</v>
      </c>
      <c r="D1673" s="3"/>
      <c r="E1673" s="7">
        <f t="shared" si="62"/>
        <v>30000</v>
      </c>
      <c r="F1673" s="5">
        <v>45877</v>
      </c>
      <c r="G1673" s="4">
        <v>20250806</v>
      </c>
      <c r="H1673" s="38" t="str">
        <f>VLOOKUP(B1673,CAJEROS!B:D,3,0)</f>
        <v>Dispensador</v>
      </c>
      <c r="I1673" s="34"/>
      <c r="J1673" s="38" t="str">
        <f>VLOOKUP(B1673,CAJEROS!B:E,4,0)</f>
        <v>SUCGIRARDO1</v>
      </c>
      <c r="K1673" t="s">
        <v>450</v>
      </c>
    </row>
    <row r="1674" spans="1:11">
      <c r="A1674" s="32">
        <v>439</v>
      </c>
      <c r="B1674" s="32">
        <v>6309</v>
      </c>
      <c r="C1674" s="3">
        <v>2300000</v>
      </c>
      <c r="D1674" s="3"/>
      <c r="E1674" s="7">
        <f t="shared" si="62"/>
        <v>2300000</v>
      </c>
      <c r="F1674" s="5">
        <v>45877</v>
      </c>
      <c r="G1674" s="4">
        <v>20250806</v>
      </c>
      <c r="H1674" s="38" t="str">
        <f>VLOOKUP(B1674,CAJEROS!B:D,3,0)</f>
        <v>Dispensador</v>
      </c>
      <c r="I1674" s="34"/>
      <c r="J1674" s="38" t="str">
        <f>VLOOKUP(B1674,CAJEROS!B:E,4,0)</f>
        <v>SUC_CAJAMA2</v>
      </c>
      <c r="K1674" t="s">
        <v>450</v>
      </c>
    </row>
    <row r="1675" spans="1:11">
      <c r="A1675" s="32">
        <v>439</v>
      </c>
      <c r="B1675" s="32">
        <v>6702</v>
      </c>
      <c r="C1675" s="3">
        <v>1000000</v>
      </c>
      <c r="D1675" s="3"/>
      <c r="E1675" s="7">
        <f t="shared" si="62"/>
        <v>1000000</v>
      </c>
      <c r="F1675" s="5">
        <v>45877</v>
      </c>
      <c r="G1675" s="4">
        <v>20250806</v>
      </c>
      <c r="H1675" s="38" t="str">
        <f>VLOOKUP(B1675,CAJEROS!B:D,3,0)</f>
        <v>Dispensador</v>
      </c>
      <c r="I1675" s="34"/>
      <c r="J1675" s="38" t="str">
        <f>VLOOKUP(B1675,CAJEROS!B:E,4,0)</f>
        <v>SUC_CAJAMA1</v>
      </c>
      <c r="K1675" t="s">
        <v>450</v>
      </c>
    </row>
    <row r="1676" spans="1:11">
      <c r="A1676" s="32">
        <v>499</v>
      </c>
      <c r="B1676" s="32">
        <v>9802</v>
      </c>
      <c r="C1676" s="3">
        <v>2020000</v>
      </c>
      <c r="D1676" s="3"/>
      <c r="E1676" s="7">
        <f t="shared" si="62"/>
        <v>2020000</v>
      </c>
      <c r="F1676" s="5">
        <v>45877</v>
      </c>
      <c r="G1676" s="4">
        <v>20250806</v>
      </c>
      <c r="H1676" s="38" t="str">
        <f>VLOOKUP(B1676,CAJEROS!B:D,3,0)</f>
        <v>Dispensador</v>
      </c>
      <c r="I1676" s="34"/>
      <c r="J1676" s="38" t="str">
        <f>VLOOKUP(B1676,CAJEROS!B:E,4,0)</f>
        <v>SUCPLZFABR4</v>
      </c>
      <c r="K1676" t="s">
        <v>450</v>
      </c>
    </row>
    <row r="1677" spans="1:11">
      <c r="A1677" s="32">
        <v>499</v>
      </c>
      <c r="B1677" s="32">
        <v>9803</v>
      </c>
      <c r="C1677" s="3">
        <v>10000</v>
      </c>
      <c r="D1677" s="3"/>
      <c r="E1677" s="7">
        <f t="shared" si="62"/>
        <v>10000</v>
      </c>
      <c r="F1677" s="5">
        <v>45877</v>
      </c>
      <c r="G1677" s="4">
        <v>20250806</v>
      </c>
      <c r="H1677" s="38" t="str">
        <f>VLOOKUP(B1677,CAJEROS!B:D,3,0)</f>
        <v>Dispensador</v>
      </c>
      <c r="I1677" s="34"/>
      <c r="J1677" s="38" t="str">
        <f>VLOOKUP(B1677,CAJEROS!B:E,4,0)</f>
        <v>SUCPLZFABR5</v>
      </c>
      <c r="K1677" t="s">
        <v>450</v>
      </c>
    </row>
    <row r="1678" spans="1:11">
      <c r="A1678" s="32">
        <v>523</v>
      </c>
      <c r="B1678" s="32">
        <v>3975</v>
      </c>
      <c r="C1678" s="3">
        <v>300000</v>
      </c>
      <c r="D1678" s="3"/>
      <c r="E1678" s="7">
        <f t="shared" si="62"/>
        <v>300000</v>
      </c>
      <c r="F1678" s="5">
        <v>45877</v>
      </c>
      <c r="G1678" s="4">
        <v>20250806</v>
      </c>
      <c r="H1678" s="38" t="str">
        <f>VLOOKUP(B1678,CAJEROS!B:D,3,0)</f>
        <v>Dispensador</v>
      </c>
      <c r="I1678" s="34"/>
      <c r="J1678" s="38" t="str">
        <f>VLOOKUP(B1678,CAJEROS!B:E,4,0)</f>
        <v>SUC_OVALLE2</v>
      </c>
      <c r="K1678" t="s">
        <v>450</v>
      </c>
    </row>
    <row r="1679" spans="1:11">
      <c r="A1679" s="32">
        <v>536</v>
      </c>
      <c r="B1679" s="32">
        <v>6914</v>
      </c>
      <c r="C1679" s="3">
        <v>2600000</v>
      </c>
      <c r="D1679" s="3"/>
      <c r="E1679" s="7">
        <f t="shared" si="62"/>
        <v>2600000</v>
      </c>
      <c r="F1679" s="5">
        <v>45877</v>
      </c>
      <c r="G1679" s="4">
        <v>20250806</v>
      </c>
      <c r="H1679" s="38" t="str">
        <f>VLOOKUP(B1679,CAJEROS!B:D,3,0)</f>
        <v>Dispensador</v>
      </c>
      <c r="I1679" s="34"/>
      <c r="J1679" s="38" t="str">
        <f>VLOOKUP(B1679,CAJEROS!B:E,4,0)</f>
        <v>SUC_QUIBDO6</v>
      </c>
      <c r="K1679" t="s">
        <v>450</v>
      </c>
    </row>
    <row r="1680" spans="1:11">
      <c r="A1680" s="32">
        <v>541</v>
      </c>
      <c r="B1680" s="32">
        <v>8652</v>
      </c>
      <c r="C1680" s="3">
        <v>500000</v>
      </c>
      <c r="D1680" s="3"/>
      <c r="E1680" s="7">
        <f t="shared" si="62"/>
        <v>500000</v>
      </c>
      <c r="F1680" s="5">
        <v>45877</v>
      </c>
      <c r="G1680" s="4">
        <v>20250806</v>
      </c>
      <c r="H1680" s="38" t="str">
        <f>VLOOKUP(B1680,CAJEROS!B:D,3,0)</f>
        <v>Dispensador</v>
      </c>
      <c r="I1680" s="34"/>
      <c r="J1680" s="38" t="str">
        <f>VLOOKUP(B1680,CAJEROS!B:E,4,0)</f>
        <v>SUCCALDASP3</v>
      </c>
      <c r="K1680" t="s">
        <v>450</v>
      </c>
    </row>
    <row r="1681" spans="1:11">
      <c r="A1681" s="32">
        <v>678</v>
      </c>
      <c r="B1681" s="32">
        <v>6014</v>
      </c>
      <c r="C1681" s="3">
        <v>5650000</v>
      </c>
      <c r="D1681" s="3"/>
      <c r="E1681" s="7">
        <f t="shared" si="62"/>
        <v>5650000</v>
      </c>
      <c r="F1681" s="5">
        <v>45877</v>
      </c>
      <c r="G1681" s="4">
        <v>20250806</v>
      </c>
      <c r="H1681" s="38" t="str">
        <f>VLOOKUP(B1681,CAJEROS!B:D,3,0)</f>
        <v>Dispensador</v>
      </c>
      <c r="I1681" s="34"/>
      <c r="J1681" s="38" t="str">
        <f>VLOOKUP(B1681,CAJEROS!B:E,4,0)</f>
        <v>PASEOCAST_5</v>
      </c>
      <c r="K1681" t="s">
        <v>450</v>
      </c>
    </row>
    <row r="1682" spans="1:11">
      <c r="A1682" s="32">
        <v>733</v>
      </c>
      <c r="B1682" s="32">
        <v>5466</v>
      </c>
      <c r="C1682" s="3">
        <v>30000</v>
      </c>
      <c r="D1682" s="3"/>
      <c r="E1682" s="7">
        <f t="shared" ref="E1682:E1745" si="63">+C1682-D1682</f>
        <v>30000</v>
      </c>
      <c r="F1682" s="5">
        <v>45877</v>
      </c>
      <c r="G1682" s="4">
        <v>20250806</v>
      </c>
      <c r="H1682" s="38" t="str">
        <f>VLOOKUP(B1682,CAJEROS!B:D,3,0)</f>
        <v>Dispensador</v>
      </c>
      <c r="I1682" s="34"/>
      <c r="J1682" s="38" t="str">
        <f>VLOOKUP(B1682,CAJEROS!B:E,4,0)</f>
        <v>UNIONVALL2</v>
      </c>
      <c r="K1682" t="s">
        <v>450</v>
      </c>
    </row>
    <row r="1683" spans="1:11">
      <c r="A1683" s="32">
        <v>748</v>
      </c>
      <c r="B1683" s="32">
        <v>4584</v>
      </c>
      <c r="C1683" s="3">
        <v>500000</v>
      </c>
      <c r="D1683" s="3"/>
      <c r="E1683" s="7">
        <f t="shared" si="63"/>
        <v>500000</v>
      </c>
      <c r="F1683" s="5">
        <v>45877</v>
      </c>
      <c r="G1683" s="4">
        <v>20250806</v>
      </c>
      <c r="H1683" s="38" t="str">
        <f>VLOOKUP(B1683,CAJEROS!B:D,3,0)</f>
        <v>Dispensador</v>
      </c>
      <c r="I1683" s="34"/>
      <c r="J1683" s="38" t="str">
        <f>VLOOKUP(B1683,CAJEROS!B:E,4,0)</f>
        <v>SUC_MOMPOX1</v>
      </c>
      <c r="K1683" t="s">
        <v>450</v>
      </c>
    </row>
    <row r="1684" spans="1:11">
      <c r="A1684" s="32">
        <v>842</v>
      </c>
      <c r="B1684" s="32">
        <v>1646</v>
      </c>
      <c r="C1684" s="3">
        <v>620000</v>
      </c>
      <c r="D1684" s="3">
        <v>20000</v>
      </c>
      <c r="E1684" s="7">
        <f t="shared" si="63"/>
        <v>600000</v>
      </c>
      <c r="F1684" s="5">
        <v>45877</v>
      </c>
      <c r="G1684" s="4">
        <v>20250806</v>
      </c>
      <c r="H1684" s="38" t="str">
        <f>VLOOKUP(B1684,CAJEROS!B:D,3,0)</f>
        <v>Dispensador</v>
      </c>
      <c r="I1684" s="34"/>
      <c r="J1684" s="38" t="str">
        <f>VLOOKUP(B1684,CAJEROS!B:E,4,0)</f>
        <v>BVENTURA_2</v>
      </c>
      <c r="K1684" t="s">
        <v>450</v>
      </c>
    </row>
    <row r="1685" spans="1:11">
      <c r="A1685" s="32">
        <v>859</v>
      </c>
      <c r="B1685" s="32">
        <v>5599</v>
      </c>
      <c r="C1685" s="3">
        <v>4360000</v>
      </c>
      <c r="D1685" s="3"/>
      <c r="E1685" s="7">
        <f t="shared" si="63"/>
        <v>4360000</v>
      </c>
      <c r="F1685" s="5">
        <v>45877</v>
      </c>
      <c r="G1685" s="4">
        <v>20250806</v>
      </c>
      <c r="H1685" s="38" t="e">
        <f>VLOOKUP(B1685,CAJEROS!B:D,3,0)</f>
        <v>#N/A</v>
      </c>
      <c r="I1685" s="34"/>
      <c r="J1685" s="38" t="e">
        <f>VLOOKUP(B1685,CAJEROS!B:E,4,0)</f>
        <v>#N/A</v>
      </c>
      <c r="K1685" t="s">
        <v>450</v>
      </c>
    </row>
    <row r="1686" spans="1:11">
      <c r="A1686" s="32">
        <v>867</v>
      </c>
      <c r="B1686" s="32">
        <v>4060</v>
      </c>
      <c r="C1686" s="3">
        <v>290000</v>
      </c>
      <c r="D1686" s="3"/>
      <c r="E1686" s="7">
        <f t="shared" si="63"/>
        <v>290000</v>
      </c>
      <c r="F1686" s="5">
        <v>45877</v>
      </c>
      <c r="G1686" s="4">
        <v>20250806</v>
      </c>
      <c r="H1686" s="38" t="str">
        <f>VLOOKUP(B1686,CAJEROS!B:D,3,0)</f>
        <v>Dispensador</v>
      </c>
      <c r="I1686" s="34"/>
      <c r="J1686" s="38" t="str">
        <f>VLOOKUP(B1686,CAJEROS!B:E,4,0)</f>
        <v>UNIC_ARME3</v>
      </c>
      <c r="K1686" t="s">
        <v>450</v>
      </c>
    </row>
    <row r="1687" spans="1:11">
      <c r="A1687" s="32">
        <v>894</v>
      </c>
      <c r="B1687" s="32">
        <v>4232</v>
      </c>
      <c r="C1687" s="3">
        <v>600000</v>
      </c>
      <c r="D1687" s="3"/>
      <c r="E1687" s="7">
        <f t="shared" si="63"/>
        <v>600000</v>
      </c>
      <c r="F1687" s="5">
        <v>45877</v>
      </c>
      <c r="G1687" s="4">
        <v>20250806</v>
      </c>
      <c r="H1687" s="38" t="str">
        <f>VLOOKUP(B1687,CAJEROS!B:D,3,0)</f>
        <v>Dispensador</v>
      </c>
      <c r="I1687" s="34"/>
      <c r="J1687" s="38" t="str">
        <f>VLOOKUP(B1687,CAJEROS!B:E,4,0)</f>
        <v>AUTO_TUMA1</v>
      </c>
      <c r="K1687" t="s">
        <v>450</v>
      </c>
    </row>
    <row r="1688" spans="1:11">
      <c r="A1688" s="32">
        <v>96</v>
      </c>
      <c r="B1688" s="32">
        <v>1036</v>
      </c>
      <c r="C1688" s="3">
        <v>3690000</v>
      </c>
      <c r="D1688" s="3"/>
      <c r="E1688" s="7">
        <f t="shared" si="63"/>
        <v>3690000</v>
      </c>
      <c r="F1688" s="5">
        <v>45877</v>
      </c>
      <c r="G1688" s="4">
        <v>20250807</v>
      </c>
      <c r="H1688" s="38" t="str">
        <f>VLOOKUP(B1688,CAJEROS!B:D,3,0)</f>
        <v>Dispensador</v>
      </c>
      <c r="I1688" s="34" t="s">
        <v>9</v>
      </c>
      <c r="J1688" s="38" t="str">
        <f>VLOOKUP(B1688,CAJEROS!B:E,4,0)</f>
        <v>SUC_MAICAO2</v>
      </c>
      <c r="K1688" t="s">
        <v>450</v>
      </c>
    </row>
    <row r="1689" spans="1:11">
      <c r="A1689" s="32">
        <v>96</v>
      </c>
      <c r="B1689" s="32">
        <v>4257</v>
      </c>
      <c r="C1689" s="3">
        <v>450000</v>
      </c>
      <c r="D1689" s="3">
        <v>400000</v>
      </c>
      <c r="E1689" s="7">
        <f t="shared" si="63"/>
        <v>50000</v>
      </c>
      <c r="F1689" s="5">
        <v>45877</v>
      </c>
      <c r="G1689" s="4">
        <v>20250807</v>
      </c>
      <c r="H1689" s="38" t="str">
        <f>VLOOKUP(B1689,CAJEROS!B:D,3,0)</f>
        <v>Dispensador</v>
      </c>
      <c r="I1689" s="34" t="s">
        <v>9</v>
      </c>
      <c r="J1689" s="38" t="str">
        <f>VLOOKUP(B1689,CAJEROS!B:E,4,0)</f>
        <v>SUC_MAICAO3</v>
      </c>
      <c r="K1689" t="s">
        <v>450</v>
      </c>
    </row>
    <row r="1690" spans="1:11">
      <c r="A1690" s="32">
        <v>163</v>
      </c>
      <c r="B1690" s="32">
        <v>4130</v>
      </c>
      <c r="C1690" s="3">
        <v>200000</v>
      </c>
      <c r="D1690" s="3"/>
      <c r="E1690" s="7">
        <f t="shared" si="63"/>
        <v>200000</v>
      </c>
      <c r="F1690" s="5">
        <v>45877</v>
      </c>
      <c r="G1690" s="4">
        <v>20250807</v>
      </c>
      <c r="H1690" s="38" t="str">
        <f>VLOOKUP(B1690,CAJEROS!B:D,3,0)</f>
        <v>Dispensador</v>
      </c>
      <c r="I1690" s="34" t="s">
        <v>9</v>
      </c>
      <c r="J1690" s="38" t="str">
        <f>VLOOKUP(B1690,CAJEROS!B:E,4,0)</f>
        <v>SUC_PUERBE3</v>
      </c>
      <c r="K1690" t="s">
        <v>450</v>
      </c>
    </row>
    <row r="1691" spans="1:11">
      <c r="A1691" s="32">
        <v>186</v>
      </c>
      <c r="B1691" s="32">
        <v>6509</v>
      </c>
      <c r="C1691" s="3">
        <v>80000</v>
      </c>
      <c r="D1691" s="3"/>
      <c r="E1691" s="7">
        <f t="shared" si="63"/>
        <v>80000</v>
      </c>
      <c r="F1691" s="5">
        <v>45877</v>
      </c>
      <c r="G1691" s="4">
        <v>20250807</v>
      </c>
      <c r="H1691" s="38" t="str">
        <f>VLOOKUP(B1691,CAJEROS!B:D,3,0)</f>
        <v>Dispensador</v>
      </c>
      <c r="I1691" s="34" t="s">
        <v>9</v>
      </c>
      <c r="J1691" s="38" t="str">
        <f>VLOOKUP(B1691,CAJEROS!B:E,4,0)</f>
        <v>SUC_GALERI2</v>
      </c>
      <c r="K1691" t="s">
        <v>450</v>
      </c>
    </row>
    <row r="1692" spans="1:11">
      <c r="A1692" s="32">
        <v>211</v>
      </c>
      <c r="B1692" s="32">
        <v>5308</v>
      </c>
      <c r="C1692" s="3">
        <v>210000</v>
      </c>
      <c r="D1692" s="3">
        <v>30000</v>
      </c>
      <c r="E1692" s="7">
        <f t="shared" si="63"/>
        <v>180000</v>
      </c>
      <c r="F1692" s="5">
        <v>45877</v>
      </c>
      <c r="G1692" s="4">
        <v>20250807</v>
      </c>
      <c r="H1692" s="38" t="str">
        <f>VLOOKUP(B1692,CAJEROS!B:D,3,0)</f>
        <v>Dispensador</v>
      </c>
      <c r="I1692" s="34" t="s">
        <v>9</v>
      </c>
      <c r="J1692" s="38" t="str">
        <f>VLOOKUP(B1692,CAJEROS!B:E,4,0)</f>
        <v>SUC_INDUST1</v>
      </c>
      <c r="K1692" t="s">
        <v>450</v>
      </c>
    </row>
    <row r="1693" spans="1:11">
      <c r="A1693" s="32">
        <v>229</v>
      </c>
      <c r="B1693" s="32">
        <v>8956</v>
      </c>
      <c r="C1693" s="3">
        <v>200000</v>
      </c>
      <c r="D1693" s="3">
        <v>190000</v>
      </c>
      <c r="E1693" s="7">
        <f t="shared" si="63"/>
        <v>10000</v>
      </c>
      <c r="F1693" s="5">
        <v>45877</v>
      </c>
      <c r="G1693" s="4">
        <v>20250807</v>
      </c>
      <c r="H1693" s="38" t="str">
        <f>VLOOKUP(B1693,CAJEROS!B:D,3,0)</f>
        <v>Dispensador</v>
      </c>
      <c r="I1693" s="34" t="s">
        <v>9</v>
      </c>
      <c r="J1693" s="38" t="str">
        <f>VLOOKUP(B1693,CAJEROS!B:E,4,0)</f>
        <v>SUCPASERIO2</v>
      </c>
      <c r="K1693" t="s">
        <v>450</v>
      </c>
    </row>
    <row r="1694" spans="1:11">
      <c r="A1694" s="32">
        <v>261</v>
      </c>
      <c r="B1694" s="32">
        <v>8475</v>
      </c>
      <c r="C1694" s="3">
        <v>50000</v>
      </c>
      <c r="D1694" s="3"/>
      <c r="E1694" s="7">
        <f t="shared" si="63"/>
        <v>50000</v>
      </c>
      <c r="F1694" s="5">
        <v>45877</v>
      </c>
      <c r="G1694" s="4">
        <v>20250807</v>
      </c>
      <c r="H1694" s="38" t="str">
        <f>VLOOKUP(B1694,CAJEROS!B:D,3,0)</f>
        <v>Dispensador</v>
      </c>
      <c r="I1694" s="34" t="s">
        <v>9</v>
      </c>
      <c r="J1694" s="38" t="str">
        <f>VLOOKUP(B1694,CAJEROS!B:E,4,0)</f>
        <v>SUCAMPA1</v>
      </c>
      <c r="K1694" t="s">
        <v>450</v>
      </c>
    </row>
    <row r="1695" spans="1:11">
      <c r="A1695" s="32">
        <v>261</v>
      </c>
      <c r="B1695" s="32">
        <v>8478</v>
      </c>
      <c r="C1695" s="3">
        <v>500000</v>
      </c>
      <c r="D1695" s="3"/>
      <c r="E1695" s="7">
        <f t="shared" si="63"/>
        <v>500000</v>
      </c>
      <c r="F1695" s="5">
        <v>45877</v>
      </c>
      <c r="G1695" s="4">
        <v>20250807</v>
      </c>
      <c r="H1695" s="38" t="str">
        <f>VLOOKUP(B1695,CAJEROS!B:D,3,0)</f>
        <v>Dispensador</v>
      </c>
      <c r="I1695" s="34" t="s">
        <v>9</v>
      </c>
      <c r="J1695" s="38" t="str">
        <f>VLOOKUP(B1695,CAJEROS!B:E,4,0)</f>
        <v>SUCAMPA4</v>
      </c>
      <c r="K1695" t="s">
        <v>450</v>
      </c>
    </row>
    <row r="1696" spans="1:11">
      <c r="A1696" s="32">
        <v>297</v>
      </c>
      <c r="B1696" s="32">
        <v>5398</v>
      </c>
      <c r="C1696" s="3">
        <v>100000</v>
      </c>
      <c r="D1696" s="3"/>
      <c r="E1696" s="7">
        <f t="shared" si="63"/>
        <v>100000</v>
      </c>
      <c r="F1696" s="5">
        <v>45877</v>
      </c>
      <c r="G1696" s="4">
        <v>20250807</v>
      </c>
      <c r="H1696" s="38" t="str">
        <f>VLOOKUP(B1696,CAJEROS!B:D,3,0)</f>
        <v>Dispensador</v>
      </c>
      <c r="I1696" s="34" t="s">
        <v>9</v>
      </c>
      <c r="J1696" s="38" t="str">
        <f>VLOOKUP(B1696,CAJEROS!B:E,4,0)</f>
        <v>AGUACHICA2</v>
      </c>
      <c r="K1696" t="s">
        <v>450</v>
      </c>
    </row>
    <row r="1697" spans="1:11">
      <c r="A1697" s="32">
        <v>389</v>
      </c>
      <c r="B1697" s="32">
        <v>4689</v>
      </c>
      <c r="C1697" s="3">
        <v>100000</v>
      </c>
      <c r="D1697" s="3"/>
      <c r="E1697" s="7">
        <f t="shared" si="63"/>
        <v>100000</v>
      </c>
      <c r="F1697" s="5">
        <v>45877</v>
      </c>
      <c r="G1697" s="4">
        <v>20250807</v>
      </c>
      <c r="H1697" s="38" t="str">
        <f>VLOOKUP(B1697,CAJEROS!B:D,3,0)</f>
        <v>Dispensador</v>
      </c>
      <c r="I1697" s="34" t="s">
        <v>9</v>
      </c>
      <c r="J1697" s="38" t="str">
        <f>VLOOKUP(B1697,CAJEROS!B:E,4,0)</f>
        <v>SUC_MARIQ3</v>
      </c>
      <c r="K1697" t="s">
        <v>450</v>
      </c>
    </row>
    <row r="1698" spans="1:11">
      <c r="A1698" s="32">
        <v>446</v>
      </c>
      <c r="B1698" s="32">
        <v>4461</v>
      </c>
      <c r="C1698" s="3">
        <v>680000</v>
      </c>
      <c r="D1698" s="3"/>
      <c r="E1698" s="7">
        <f t="shared" si="63"/>
        <v>680000</v>
      </c>
      <c r="F1698" s="5">
        <v>45877</v>
      </c>
      <c r="G1698" s="4">
        <v>20250807</v>
      </c>
      <c r="H1698" s="38" t="str">
        <f>VLOOKUP(B1698,CAJEROS!B:D,3,0)</f>
        <v>Dispensador</v>
      </c>
      <c r="I1698" s="34" t="s">
        <v>9</v>
      </c>
      <c r="J1698" s="38" t="str">
        <f>VLOOKUP(B1698,CAJEROS!B:E,4,0)</f>
        <v>LIBANO</v>
      </c>
      <c r="K1698" t="s">
        <v>450</v>
      </c>
    </row>
    <row r="1699" spans="1:11">
      <c r="A1699" s="32">
        <v>481</v>
      </c>
      <c r="B1699" s="32">
        <v>1007</v>
      </c>
      <c r="C1699" s="3">
        <v>1650000</v>
      </c>
      <c r="D1699" s="3"/>
      <c r="E1699" s="7">
        <f t="shared" si="63"/>
        <v>1650000</v>
      </c>
      <c r="F1699" s="5">
        <v>45877</v>
      </c>
      <c r="G1699" s="4">
        <v>20250807</v>
      </c>
      <c r="H1699" s="38" t="str">
        <f>VLOOKUP(B1699,CAJEROS!B:D,3,0)</f>
        <v>Dispensador</v>
      </c>
      <c r="I1699" s="34" t="s">
        <v>9</v>
      </c>
      <c r="J1699" s="38" t="str">
        <f>VLOOKUP(B1699,CAJEROS!B:E,4,0)</f>
        <v>SUC_SOLEDA3</v>
      </c>
      <c r="K1699" t="s">
        <v>450</v>
      </c>
    </row>
    <row r="1700" spans="1:11">
      <c r="A1700" s="32">
        <v>484</v>
      </c>
      <c r="B1700" s="32">
        <v>7234</v>
      </c>
      <c r="C1700" s="3">
        <v>70000</v>
      </c>
      <c r="D1700" s="3">
        <f>20000+10000</f>
        <v>30000</v>
      </c>
      <c r="E1700" s="7">
        <f t="shared" si="63"/>
        <v>40000</v>
      </c>
      <c r="F1700" s="5">
        <v>45877</v>
      </c>
      <c r="G1700" s="4">
        <v>20250807</v>
      </c>
      <c r="H1700" s="38" t="str">
        <f>VLOOKUP(B1700,CAJEROS!B:D,3,0)</f>
        <v>Dispensador</v>
      </c>
      <c r="I1700" s="34" t="s">
        <v>9</v>
      </c>
      <c r="J1700" s="38" t="str">
        <f>VLOOKUP(B1700,CAJEROS!B:E,4,0)</f>
        <v>MAGANGUE2</v>
      </c>
      <c r="K1700" t="s">
        <v>450</v>
      </c>
    </row>
    <row r="1701" spans="1:11">
      <c r="A1701" s="32">
        <v>512</v>
      </c>
      <c r="B1701" s="32">
        <v>4718</v>
      </c>
      <c r="C1701" s="3">
        <v>150000</v>
      </c>
      <c r="D1701" s="3">
        <v>50000</v>
      </c>
      <c r="E1701" s="7">
        <f t="shared" si="63"/>
        <v>100000</v>
      </c>
      <c r="F1701" s="5">
        <v>45877</v>
      </c>
      <c r="G1701" s="4">
        <v>20250807</v>
      </c>
      <c r="H1701" s="38" t="str">
        <f>VLOOKUP(B1701,CAJEROS!B:D,3,0)</f>
        <v>Dispensador</v>
      </c>
      <c r="I1701" s="34" t="s">
        <v>9</v>
      </c>
      <c r="J1701" s="38" t="str">
        <f>VLOOKUP(B1701,CAJEROS!B:E,4,0)</f>
        <v>SUC_PLATO3</v>
      </c>
      <c r="K1701" t="s">
        <v>450</v>
      </c>
    </row>
    <row r="1702" spans="1:11">
      <c r="A1702" s="32">
        <v>523</v>
      </c>
      <c r="B1702" s="32">
        <v>3997</v>
      </c>
      <c r="C1702" s="3">
        <v>1130000</v>
      </c>
      <c r="D1702" s="3"/>
      <c r="E1702" s="7">
        <f t="shared" si="63"/>
        <v>1130000</v>
      </c>
      <c r="F1702" s="5">
        <v>45877</v>
      </c>
      <c r="G1702" s="4">
        <v>20250807</v>
      </c>
      <c r="H1702" s="38" t="str">
        <f>VLOOKUP(B1702,CAJEROS!B:D,3,0)</f>
        <v>Dispensador</v>
      </c>
      <c r="I1702" s="34" t="s">
        <v>9</v>
      </c>
      <c r="J1702" s="38" t="str">
        <f>VLOOKUP(B1702,CAJEROS!B:E,4,0)</f>
        <v>SUC_OVALLE3</v>
      </c>
      <c r="K1702" t="s">
        <v>450</v>
      </c>
    </row>
    <row r="1703" spans="1:11">
      <c r="A1703" s="32">
        <v>692</v>
      </c>
      <c r="B1703" s="32">
        <v>1527</v>
      </c>
      <c r="C1703" s="3">
        <v>150000</v>
      </c>
      <c r="D1703" s="3"/>
      <c r="E1703" s="7">
        <f t="shared" si="63"/>
        <v>150000</v>
      </c>
      <c r="F1703" s="5">
        <v>45877</v>
      </c>
      <c r="G1703" s="4">
        <v>20250807</v>
      </c>
      <c r="H1703" s="38" t="str">
        <f>VLOOKUP(B1703,CAJEROS!B:D,3,0)</f>
        <v>Dispensador</v>
      </c>
      <c r="I1703" s="34" t="s">
        <v>9</v>
      </c>
      <c r="J1703" s="38" t="str">
        <f>VLOOKUP(B1703,CAJEROS!B:E,4,0)</f>
        <v>SUCALTOPRA3</v>
      </c>
      <c r="K1703" t="s">
        <v>450</v>
      </c>
    </row>
    <row r="1704" spans="1:11">
      <c r="A1704" s="32">
        <v>724</v>
      </c>
      <c r="B1704" s="32">
        <v>6894</v>
      </c>
      <c r="C1704" s="3">
        <v>270000</v>
      </c>
      <c r="D1704" s="3">
        <v>40000</v>
      </c>
      <c r="E1704" s="7">
        <f t="shared" si="63"/>
        <v>230000</v>
      </c>
      <c r="F1704" s="5">
        <v>45877</v>
      </c>
      <c r="G1704" s="4">
        <v>20250807</v>
      </c>
      <c r="H1704" s="38" t="str">
        <f>VLOOKUP(B1704,CAJEROS!B:D,3,0)</f>
        <v>Dispensador</v>
      </c>
      <c r="I1704" s="34" t="s">
        <v>9</v>
      </c>
      <c r="J1704" s="38" t="str">
        <f>VLOOKUP(B1704,CAJEROS!B:E,4,0)</f>
        <v>SUC_FONSEC3</v>
      </c>
      <c r="K1704" t="s">
        <v>450</v>
      </c>
    </row>
    <row r="1705" spans="1:11">
      <c r="A1705" s="32">
        <v>745</v>
      </c>
      <c r="B1705" s="32">
        <v>1471</v>
      </c>
      <c r="C1705" s="3">
        <v>1400000</v>
      </c>
      <c r="D1705" s="3"/>
      <c r="E1705" s="7">
        <f t="shared" si="63"/>
        <v>1400000</v>
      </c>
      <c r="F1705" s="5">
        <v>45877</v>
      </c>
      <c r="G1705" s="4">
        <v>20250807</v>
      </c>
      <c r="H1705" s="38" t="str">
        <f>VLOOKUP(B1705,CAJEROS!B:D,3,0)</f>
        <v>Dispensador</v>
      </c>
      <c r="I1705" s="34" t="s">
        <v>9</v>
      </c>
      <c r="J1705" s="38" t="str">
        <f>VLOOKUP(B1705,CAJEROS!B:E,4,0)</f>
        <v>SUCMALPLAZ1</v>
      </c>
      <c r="K1705" t="s">
        <v>450</v>
      </c>
    </row>
    <row r="1706" spans="1:11">
      <c r="A1706" s="32">
        <v>793</v>
      </c>
      <c r="B1706" s="32">
        <v>8469</v>
      </c>
      <c r="C1706" s="3">
        <v>850000</v>
      </c>
      <c r="D1706" s="3"/>
      <c r="E1706" s="7">
        <f t="shared" si="63"/>
        <v>850000</v>
      </c>
      <c r="F1706" s="5">
        <v>45877</v>
      </c>
      <c r="G1706" s="4">
        <v>20250807</v>
      </c>
      <c r="H1706" s="38" t="str">
        <f>VLOOKUP(B1706,CAJEROS!B:D,3,0)</f>
        <v>Dispensador</v>
      </c>
      <c r="I1706" s="34" t="s">
        <v>9</v>
      </c>
      <c r="J1706" s="38" t="str">
        <f>VLOOKUP(B1706,CAJEROS!B:E,4,0)</f>
        <v>OFPROFESI_1</v>
      </c>
      <c r="K1706" t="s">
        <v>450</v>
      </c>
    </row>
    <row r="1707" spans="1:11">
      <c r="A1707" s="32">
        <v>840</v>
      </c>
      <c r="B1707" s="32">
        <v>4248</v>
      </c>
      <c r="C1707" s="3">
        <v>340000</v>
      </c>
      <c r="D1707" s="3">
        <v>190000</v>
      </c>
      <c r="E1707" s="7">
        <f t="shared" si="63"/>
        <v>150000</v>
      </c>
      <c r="F1707" s="5">
        <v>45877</v>
      </c>
      <c r="G1707" s="4">
        <v>20250807</v>
      </c>
      <c r="H1707" s="38" t="str">
        <f>VLOOKUP(B1707,CAJEROS!B:D,3,0)</f>
        <v>Dispensador</v>
      </c>
      <c r="I1707" s="34" t="s">
        <v>9</v>
      </c>
      <c r="J1707" s="38" t="str">
        <f>VLOOKUP(B1707,CAJEROS!B:E,4,0)</f>
        <v>SUC_PAZARI1</v>
      </c>
      <c r="K1707" t="s">
        <v>450</v>
      </c>
    </row>
    <row r="1708" spans="1:11">
      <c r="A1708" s="32">
        <v>882</v>
      </c>
      <c r="B1708" s="32">
        <v>3510</v>
      </c>
      <c r="C1708" s="3">
        <v>400000</v>
      </c>
      <c r="D1708" s="3"/>
      <c r="E1708" s="7">
        <f t="shared" si="63"/>
        <v>400000</v>
      </c>
      <c r="F1708" s="5">
        <v>45877</v>
      </c>
      <c r="G1708" s="4">
        <v>20250807</v>
      </c>
      <c r="H1708" s="38" t="str">
        <f>VLOOKUP(B1708,CAJEROS!B:D,3,0)</f>
        <v>Dispensador</v>
      </c>
      <c r="I1708" s="34" t="s">
        <v>9</v>
      </c>
      <c r="J1708" s="38" t="str">
        <f>VLOOKUP(B1708,CAJEROS!B:E,4,0)</f>
        <v>LIBERTADOR1</v>
      </c>
      <c r="K1708" t="s">
        <v>450</v>
      </c>
    </row>
    <row r="1709" spans="1:11">
      <c r="A1709" s="32">
        <v>909</v>
      </c>
      <c r="B1709" s="32">
        <v>6641</v>
      </c>
      <c r="C1709" s="3">
        <v>380000</v>
      </c>
      <c r="D1709" s="3">
        <v>150000</v>
      </c>
      <c r="E1709" s="7">
        <f t="shared" si="63"/>
        <v>230000</v>
      </c>
      <c r="F1709" s="5">
        <v>45877</v>
      </c>
      <c r="G1709" s="4">
        <v>20250807</v>
      </c>
      <c r="H1709" s="38" t="str">
        <f>VLOOKUP(B1709,CAJEROS!B:D,3,0)</f>
        <v>Dispensador</v>
      </c>
      <c r="I1709" s="34" t="s">
        <v>9</v>
      </c>
      <c r="J1709" s="38" t="str">
        <f>VLOOKUP(B1709,CAJEROS!B:E,4,0)</f>
        <v>SUC_ROSAL2</v>
      </c>
      <c r="K1709" t="s">
        <v>450</v>
      </c>
    </row>
    <row r="1710" spans="1:11">
      <c r="A1710" s="32">
        <v>331</v>
      </c>
      <c r="B1710" s="32">
        <v>575</v>
      </c>
      <c r="C1710" s="3">
        <v>3830600</v>
      </c>
      <c r="D1710" s="3">
        <v>3170000</v>
      </c>
      <c r="E1710" s="7">
        <f t="shared" si="63"/>
        <v>660600</v>
      </c>
      <c r="F1710" s="5">
        <v>45877</v>
      </c>
      <c r="G1710" s="4">
        <v>20250806</v>
      </c>
      <c r="H1710" s="38" t="str">
        <f>VLOOKUP(B1710,CAJEROS!B:D,3,0)</f>
        <v>Multifuncional</v>
      </c>
      <c r="I1710" s="34"/>
      <c r="J1710" s="38" t="str">
        <f>VLOOKUP(B1710,CAJEROS!B:E,4,0)</f>
        <v>MF_SUCARKA2</v>
      </c>
      <c r="K1710" t="s">
        <v>450</v>
      </c>
    </row>
    <row r="1711" spans="1:11">
      <c r="A1711" s="32">
        <v>395</v>
      </c>
      <c r="B1711" s="32">
        <v>1529</v>
      </c>
      <c r="C1711" s="3">
        <v>11499950</v>
      </c>
      <c r="D1711" s="3">
        <v>1870000</v>
      </c>
      <c r="E1711" s="7">
        <f t="shared" si="63"/>
        <v>9629950</v>
      </c>
      <c r="F1711" s="5">
        <v>45877</v>
      </c>
      <c r="G1711" s="4">
        <v>20250806</v>
      </c>
      <c r="H1711" s="38" t="str">
        <f>VLOOKUP(B1711,CAJEROS!B:D,3,0)</f>
        <v>Multifuncional</v>
      </c>
      <c r="I1711" s="34"/>
      <c r="J1711" s="38" t="str">
        <f>VLOOKUP(B1711,CAJEROS!B:E,4,0)</f>
        <v>SUCMFVIVCI2</v>
      </c>
      <c r="K1711" t="s">
        <v>450</v>
      </c>
    </row>
    <row r="1712" spans="1:11">
      <c r="A1712" s="32">
        <v>167</v>
      </c>
      <c r="B1712" s="32">
        <v>5030</v>
      </c>
      <c r="C1712" s="3">
        <v>800</v>
      </c>
      <c r="D1712" s="3"/>
      <c r="E1712" s="7">
        <f t="shared" si="63"/>
        <v>800</v>
      </c>
      <c r="F1712" s="5">
        <v>45877</v>
      </c>
      <c r="G1712" s="4">
        <v>20250806</v>
      </c>
      <c r="H1712" s="38" t="str">
        <f>VLOOKUP(B1712,CAJEROS!B:D,3,0)</f>
        <v>Multifuncional</v>
      </c>
      <c r="I1712" s="34"/>
      <c r="J1712" s="38" t="str">
        <f>VLOOKUP(B1712,CAJEROS!B:E,4,0)</f>
        <v>MF_AVENID82</v>
      </c>
      <c r="K1712" t="s">
        <v>450</v>
      </c>
    </row>
    <row r="1713" spans="1:11">
      <c r="A1713" s="32">
        <v>275</v>
      </c>
      <c r="B1713" s="32">
        <v>5034</v>
      </c>
      <c r="C1713" s="3">
        <v>2052200</v>
      </c>
      <c r="D1713" s="3">
        <f>399050+441000+13050</f>
        <v>853100</v>
      </c>
      <c r="E1713" s="7">
        <f t="shared" si="63"/>
        <v>1199100</v>
      </c>
      <c r="F1713" s="5">
        <v>45877</v>
      </c>
      <c r="G1713" s="4">
        <v>20250806</v>
      </c>
      <c r="H1713" s="38" t="str">
        <f>VLOOKUP(B1713,CAJEROS!B:D,3,0)</f>
        <v>Multifuncional</v>
      </c>
      <c r="I1713" s="34"/>
      <c r="J1713" s="38" t="str">
        <f>VLOOKUP(B1713,CAJEROS!B:E,4,0)</f>
        <v>MF_BOUENVIG</v>
      </c>
      <c r="K1713" t="s">
        <v>450</v>
      </c>
    </row>
    <row r="1714" spans="1:11">
      <c r="A1714" s="32">
        <v>867</v>
      </c>
      <c r="B1714" s="32">
        <v>5043</v>
      </c>
      <c r="C1714" s="3">
        <v>8333000</v>
      </c>
      <c r="D1714" s="3"/>
      <c r="E1714" s="7">
        <f t="shared" si="63"/>
        <v>8333000</v>
      </c>
      <c r="F1714" s="5">
        <v>45877</v>
      </c>
      <c r="G1714" s="4">
        <v>20250806</v>
      </c>
      <c r="H1714" s="38" t="str">
        <f>VLOOKUP(B1714,CAJEROS!B:D,3,0)</f>
        <v>Multifuncional</v>
      </c>
      <c r="I1714" s="34"/>
      <c r="J1714" s="38" t="str">
        <f>VLOOKUP(B1714,CAJEROS!B:E,4,0)</f>
        <v>MF_UNARMENI</v>
      </c>
      <c r="K1714" t="s">
        <v>450</v>
      </c>
    </row>
    <row r="1715" spans="1:11">
      <c r="A1715" s="32">
        <v>879</v>
      </c>
      <c r="B1715" s="32">
        <v>5045</v>
      </c>
      <c r="C1715" s="3">
        <v>13220000</v>
      </c>
      <c r="D1715" s="3"/>
      <c r="E1715" s="7">
        <f t="shared" si="63"/>
        <v>13220000</v>
      </c>
      <c r="F1715" s="5">
        <v>45877</v>
      </c>
      <c r="G1715" s="4">
        <v>20250805</v>
      </c>
      <c r="H1715" s="38" t="str">
        <f>VLOOKUP(B1715,CAJEROS!B:D,3,0)</f>
        <v>Multifuncional</v>
      </c>
      <c r="I1715" s="34"/>
      <c r="J1715" s="38" t="str">
        <f>VLOOKUP(B1715,CAJEROS!B:E,4,0)</f>
        <v>MF_UNPASTO</v>
      </c>
      <c r="K1715" t="s">
        <v>450</v>
      </c>
    </row>
    <row r="1716" spans="1:11">
      <c r="A1716" s="32">
        <v>197</v>
      </c>
      <c r="B1716" s="32">
        <v>5084</v>
      </c>
      <c r="C1716" s="3">
        <v>4500000</v>
      </c>
      <c r="D1716" s="3">
        <v>385000</v>
      </c>
      <c r="E1716" s="7">
        <f t="shared" si="63"/>
        <v>4115000</v>
      </c>
      <c r="F1716" s="5">
        <v>45877</v>
      </c>
      <c r="G1716" s="4">
        <v>20250806</v>
      </c>
      <c r="H1716" s="38" t="str">
        <f>VLOOKUP(B1716,CAJEROS!B:D,3,0)</f>
        <v>Multifuncional</v>
      </c>
      <c r="I1716" s="34"/>
      <c r="J1716" s="38" t="str">
        <f>VLOOKUP(B1716,CAJEROS!B:E,4,0)</f>
        <v>MF_GUATAPUR</v>
      </c>
      <c r="K1716" t="s">
        <v>450</v>
      </c>
    </row>
    <row r="1717" spans="1:11">
      <c r="A1717" s="32">
        <v>244</v>
      </c>
      <c r="B1717" s="32">
        <v>5129</v>
      </c>
      <c r="C1717" s="3">
        <v>4806000</v>
      </c>
      <c r="D1717" s="3">
        <v>1725000</v>
      </c>
      <c r="E1717" s="7">
        <f t="shared" si="63"/>
        <v>3081000</v>
      </c>
      <c r="F1717" s="5">
        <v>45877</v>
      </c>
      <c r="G1717" s="4">
        <v>20250806</v>
      </c>
      <c r="H1717" s="38" t="str">
        <f>VLOOKUP(B1717,CAJEROS!B:D,3,0)</f>
        <v>Multifuncional</v>
      </c>
      <c r="I1717" s="34"/>
      <c r="J1717" s="38" t="str">
        <f>VLOOKUP(B1717,CAJEROS!B:E,4,0)</f>
        <v>MF_TRIGALAN</v>
      </c>
      <c r="K1717" t="s">
        <v>450</v>
      </c>
    </row>
    <row r="1718" spans="1:11">
      <c r="A1718" s="32">
        <v>279</v>
      </c>
      <c r="B1718" s="32">
        <v>5147</v>
      </c>
      <c r="C1718" s="3">
        <v>1319000</v>
      </c>
      <c r="D1718" s="3"/>
      <c r="E1718" s="7">
        <f t="shared" si="63"/>
        <v>1319000</v>
      </c>
      <c r="F1718" s="5">
        <v>45877</v>
      </c>
      <c r="G1718" s="4">
        <v>20250806</v>
      </c>
      <c r="H1718" s="38" t="str">
        <f>VLOOKUP(B1718,CAJEROS!B:D,3,0)</f>
        <v>Multifuncional</v>
      </c>
      <c r="I1718" s="34"/>
      <c r="J1718" s="38" t="str">
        <f>VLOOKUP(B1718,CAJEROS!B:E,4,0)</f>
        <v>MF_ITAGPARQ</v>
      </c>
      <c r="K1718" t="s">
        <v>450</v>
      </c>
    </row>
    <row r="1719" spans="1:11">
      <c r="A1719" s="32">
        <v>363</v>
      </c>
      <c r="B1719" s="32">
        <v>5168</v>
      </c>
      <c r="C1719" s="3">
        <v>2426500</v>
      </c>
      <c r="D1719" s="3">
        <v>1868000</v>
      </c>
      <c r="E1719" s="7">
        <f t="shared" si="63"/>
        <v>558500</v>
      </c>
      <c r="F1719" s="5">
        <v>45877</v>
      </c>
      <c r="G1719" s="4">
        <v>20250806</v>
      </c>
      <c r="H1719" s="38" t="str">
        <f>VLOOKUP(B1719,CAJEROS!B:D,3,0)</f>
        <v>Multifuncional</v>
      </c>
      <c r="I1719" s="34"/>
      <c r="J1719" s="38" t="str">
        <f>VLOOKUP(B1719,CAJEROS!B:E,4,0)</f>
        <v>MF_YOPAL</v>
      </c>
      <c r="K1719" t="s">
        <v>450</v>
      </c>
    </row>
    <row r="1720" spans="1:11">
      <c r="A1720" s="32">
        <v>541</v>
      </c>
      <c r="B1720" s="32">
        <v>5185</v>
      </c>
      <c r="C1720" s="3">
        <v>17875500</v>
      </c>
      <c r="D1720" s="3"/>
      <c r="E1720" s="7">
        <f t="shared" si="63"/>
        <v>17875500</v>
      </c>
      <c r="F1720" s="5">
        <v>45877</v>
      </c>
      <c r="G1720" s="4">
        <v>20250806</v>
      </c>
      <c r="H1720" s="38" t="str">
        <f>VLOOKUP(B1720,CAJEROS!B:D,3,0)</f>
        <v>Multifuncional</v>
      </c>
      <c r="I1720" s="34"/>
      <c r="J1720" s="38" t="str">
        <f>VLOOKUP(B1720,CAJEROS!B:E,4,0)</f>
        <v>MF_PARQCALD</v>
      </c>
      <c r="K1720" t="s">
        <v>450</v>
      </c>
    </row>
    <row r="1721" spans="1:11">
      <c r="A1721" s="32">
        <v>716</v>
      </c>
      <c r="B1721" s="32">
        <v>5192</v>
      </c>
      <c r="C1721" s="3">
        <v>3896400</v>
      </c>
      <c r="D1721" s="3">
        <f>400000+760000</f>
        <v>1160000</v>
      </c>
      <c r="E1721" s="7">
        <f t="shared" si="63"/>
        <v>2736400</v>
      </c>
      <c r="F1721" s="5">
        <v>45877</v>
      </c>
      <c r="G1721" s="4">
        <v>20250806</v>
      </c>
      <c r="H1721" s="38" t="str">
        <f>VLOOKUP(B1721,CAJEROS!B:D,3,0)</f>
        <v>Multifuncional</v>
      </c>
      <c r="I1721" s="34"/>
      <c r="J1721" s="38" t="str">
        <f>VLOOKUP(B1721,CAJEROS!B:E,4,0)</f>
        <v>MF_AVCGORDS</v>
      </c>
      <c r="K1721" t="s">
        <v>450</v>
      </c>
    </row>
    <row r="1722" spans="1:11">
      <c r="A1722" s="32">
        <v>54</v>
      </c>
      <c r="B1722" s="32">
        <v>6204</v>
      </c>
      <c r="C1722" s="3">
        <v>3880150</v>
      </c>
      <c r="D1722" s="3">
        <f>27850+90000+60000</f>
        <v>177850</v>
      </c>
      <c r="E1722" s="7">
        <f t="shared" si="63"/>
        <v>3702300</v>
      </c>
      <c r="F1722" s="5">
        <v>45877</v>
      </c>
      <c r="G1722" s="4">
        <v>20250806</v>
      </c>
      <c r="H1722" s="38" t="str">
        <f>VLOOKUP(B1722,CAJEROS!B:D,3,0)</f>
        <v>Multifuncional</v>
      </c>
      <c r="I1722" s="34"/>
      <c r="J1722" s="38" t="str">
        <f>VLOOKUP(B1722,CAJEROS!B:E,4,0)</f>
        <v>MF_CALLE122</v>
      </c>
      <c r="K1722" t="s">
        <v>450</v>
      </c>
    </row>
    <row r="1723" spans="1:11">
      <c r="A1723" s="32">
        <v>78</v>
      </c>
      <c r="B1723" s="32">
        <v>6246</v>
      </c>
      <c r="C1723" s="3">
        <v>7090000</v>
      </c>
      <c r="D1723" s="3">
        <v>3170000</v>
      </c>
      <c r="E1723" s="7">
        <f t="shared" si="63"/>
        <v>3920000</v>
      </c>
      <c r="F1723" s="5">
        <v>45877</v>
      </c>
      <c r="G1723" s="4">
        <v>20250806</v>
      </c>
      <c r="H1723" s="38" t="str">
        <f>VLOOKUP(B1723,CAJEROS!B:D,3,0)</f>
        <v>Multifuncional</v>
      </c>
      <c r="I1723" s="34"/>
      <c r="J1723" s="38" t="str">
        <f>VLOOKUP(B1723,CAJEROS!B:E,4,0)</f>
        <v>MF_CACIQUE</v>
      </c>
      <c r="K1723" t="s">
        <v>450</v>
      </c>
    </row>
    <row r="1724" spans="1:11">
      <c r="A1724" s="32">
        <v>894</v>
      </c>
      <c r="B1724" s="32">
        <v>6466</v>
      </c>
      <c r="C1724" s="3">
        <v>6234000</v>
      </c>
      <c r="D1724" s="3">
        <f>2200000+200000</f>
        <v>2400000</v>
      </c>
      <c r="E1724" s="7">
        <f t="shared" si="63"/>
        <v>3834000</v>
      </c>
      <c r="F1724" s="5">
        <v>45877</v>
      </c>
      <c r="G1724" s="4">
        <v>20250806</v>
      </c>
      <c r="H1724" s="38" t="str">
        <f>VLOOKUP(B1724,CAJEROS!B:D,3,0)</f>
        <v>Multifuncional</v>
      </c>
      <c r="I1724" s="34"/>
      <c r="J1724" s="38" t="str">
        <f>VLOOKUP(B1724,CAJEROS!B:E,4,0)</f>
        <v>MF_TUMACO</v>
      </c>
      <c r="K1724" t="s">
        <v>450</v>
      </c>
    </row>
    <row r="1725" spans="1:11">
      <c r="A1725" s="32">
        <v>202</v>
      </c>
      <c r="B1725" s="32">
        <v>6608</v>
      </c>
      <c r="C1725" s="3">
        <v>100</v>
      </c>
      <c r="D1725" s="3"/>
      <c r="E1725" s="7">
        <f t="shared" si="63"/>
        <v>100</v>
      </c>
      <c r="F1725" s="5">
        <v>45877</v>
      </c>
      <c r="G1725" s="4">
        <v>20250806</v>
      </c>
      <c r="H1725" s="38" t="str">
        <f>VLOOKUP(B1725,CAJEROS!B:D,3,0)</f>
        <v>Multifuncional</v>
      </c>
      <c r="I1725" s="34"/>
      <c r="J1725" s="38" t="str">
        <f>VLOOKUP(B1725,CAJEROS!B:E,4,0)</f>
        <v>MF_AVPEPESI</v>
      </c>
      <c r="K1725" t="s">
        <v>450</v>
      </c>
    </row>
    <row r="1726" spans="1:11">
      <c r="A1726" s="32">
        <v>96</v>
      </c>
      <c r="B1726" s="32">
        <v>6735</v>
      </c>
      <c r="C1726" s="3">
        <v>11218500</v>
      </c>
      <c r="D1726" s="3">
        <v>1785000</v>
      </c>
      <c r="E1726" s="7">
        <f t="shared" si="63"/>
        <v>9433500</v>
      </c>
      <c r="F1726" s="5">
        <v>45877</v>
      </c>
      <c r="G1726" s="4">
        <v>20250806</v>
      </c>
      <c r="H1726" s="38" t="str">
        <f>VLOOKUP(B1726,CAJEROS!B:D,3,0)</f>
        <v>Multifuncional</v>
      </c>
      <c r="I1726" s="34"/>
      <c r="J1726" s="38" t="str">
        <f>VLOOKUP(B1726,CAJEROS!B:E,4,0)</f>
        <v>MF_MAICAO</v>
      </c>
      <c r="K1726" t="s">
        <v>450</v>
      </c>
    </row>
    <row r="1727" spans="1:11">
      <c r="A1727" s="32">
        <v>93</v>
      </c>
      <c r="B1727" s="32">
        <v>7126</v>
      </c>
      <c r="C1727" s="3">
        <v>450000</v>
      </c>
      <c r="D1727" s="3"/>
      <c r="E1727" s="7">
        <f t="shared" si="63"/>
        <v>450000</v>
      </c>
      <c r="F1727" s="5">
        <v>45877</v>
      </c>
      <c r="G1727" s="4">
        <v>20250806</v>
      </c>
      <c r="H1727" s="38" t="str">
        <f>VLOOKUP(B1727,CAJEROS!B:D,3,0)</f>
        <v>Multifuncional</v>
      </c>
      <c r="I1727" s="34"/>
      <c r="J1727" s="38" t="str">
        <f>VLOOKUP(B1727,CAJEROS!B:E,4,0)</f>
        <v>MF_SAHAGUN</v>
      </c>
      <c r="K1727" t="s">
        <v>450</v>
      </c>
    </row>
    <row r="1728" spans="1:11">
      <c r="A1728" s="32">
        <v>385</v>
      </c>
      <c r="B1728" s="32">
        <v>7139</v>
      </c>
      <c r="C1728" s="3">
        <v>4862000</v>
      </c>
      <c r="D1728" s="3"/>
      <c r="E1728" s="7">
        <f t="shared" si="63"/>
        <v>4862000</v>
      </c>
      <c r="F1728" s="5">
        <v>45877</v>
      </c>
      <c r="G1728" s="4">
        <v>20250806</v>
      </c>
      <c r="H1728" s="38" t="str">
        <f>VLOOKUP(B1728,CAJEROS!B:D,3,0)</f>
        <v>Multifuncional</v>
      </c>
      <c r="I1728" s="34"/>
      <c r="J1728" s="38" t="str">
        <f>VLOOKUP(B1728,CAJEROS!B:E,4,0)</f>
        <v>MF_VILLETA</v>
      </c>
      <c r="K1728" t="s">
        <v>450</v>
      </c>
    </row>
    <row r="1729" spans="1:11">
      <c r="A1729" s="32">
        <v>233</v>
      </c>
      <c r="B1729" s="32">
        <v>7212</v>
      </c>
      <c r="C1729" s="3">
        <v>1860200</v>
      </c>
      <c r="D1729" s="3"/>
      <c r="E1729" s="7">
        <f t="shared" si="63"/>
        <v>1860200</v>
      </c>
      <c r="F1729" s="5">
        <v>45877</v>
      </c>
      <c r="G1729" s="4">
        <v>20250806</v>
      </c>
      <c r="H1729" s="38" t="str">
        <f>VLOOKUP(B1729,CAJEROS!B:D,3,0)</f>
        <v>Multifuncional</v>
      </c>
      <c r="I1729" s="34"/>
      <c r="J1729" s="38" t="str">
        <f>VLOOKUP(B1729,CAJEROS!B:E,4,0)</f>
        <v>MF_BARRIRPO</v>
      </c>
      <c r="K1729" t="s">
        <v>450</v>
      </c>
    </row>
    <row r="1730" spans="1:11">
      <c r="A1730" s="32">
        <v>389</v>
      </c>
      <c r="B1730" s="32">
        <v>7327</v>
      </c>
      <c r="C1730" s="3">
        <v>3000</v>
      </c>
      <c r="D1730" s="3"/>
      <c r="E1730" s="7">
        <f t="shared" si="63"/>
        <v>3000</v>
      </c>
      <c r="F1730" s="5">
        <v>45877</v>
      </c>
      <c r="G1730" s="4">
        <v>20250806</v>
      </c>
      <c r="H1730" s="38" t="str">
        <f>VLOOKUP(B1730,CAJEROS!B:D,3,0)</f>
        <v>Multifuncional</v>
      </c>
      <c r="I1730" s="34"/>
      <c r="J1730" s="38" t="str">
        <f>VLOOKUP(B1730,CAJEROS!B:E,4,0)</f>
        <v>MF_MARIQUIT</v>
      </c>
      <c r="K1730" t="s">
        <v>450</v>
      </c>
    </row>
    <row r="1731" spans="1:11">
      <c r="A1731" s="32">
        <v>332</v>
      </c>
      <c r="B1731" s="32">
        <v>7569</v>
      </c>
      <c r="C1731" s="3">
        <v>1601000</v>
      </c>
      <c r="D1731" s="3"/>
      <c r="E1731" s="7">
        <f t="shared" si="63"/>
        <v>1601000</v>
      </c>
      <c r="F1731" s="5">
        <v>45877</v>
      </c>
      <c r="G1731" s="4">
        <v>20250806</v>
      </c>
      <c r="H1731" s="38" t="str">
        <f>VLOOKUP(B1731,CAJEROS!B:D,3,0)</f>
        <v>Multifuncional</v>
      </c>
      <c r="I1731" s="34"/>
      <c r="J1731" s="38" t="str">
        <f>VLOOKUP(B1731,CAJEROS!B:E,4,0)</f>
        <v>MF_ZIPAQUI2</v>
      </c>
      <c r="K1731" t="s">
        <v>450</v>
      </c>
    </row>
    <row r="1732" spans="1:11">
      <c r="A1732" s="32">
        <v>812</v>
      </c>
      <c r="B1732" s="32">
        <v>7614</v>
      </c>
      <c r="C1732" s="3">
        <v>4177000</v>
      </c>
      <c r="D1732" s="3">
        <f>502000+477000</f>
        <v>979000</v>
      </c>
      <c r="E1732" s="7">
        <f t="shared" si="63"/>
        <v>3198000</v>
      </c>
      <c r="F1732" s="5">
        <v>45877</v>
      </c>
      <c r="G1732" s="4">
        <v>20250806</v>
      </c>
      <c r="H1732" s="38" t="str">
        <f>VLOOKUP(B1732,CAJEROS!B:D,3,0)</f>
        <v>Multifuncional</v>
      </c>
      <c r="I1732" s="34"/>
      <c r="J1732" s="38" t="str">
        <f>VLOOKUP(B1732,CAJEROS!B:E,4,0)</f>
        <v>MF_CHPICHP3</v>
      </c>
      <c r="K1732" t="s">
        <v>450</v>
      </c>
    </row>
    <row r="1733" spans="1:11">
      <c r="A1733" s="32">
        <v>60</v>
      </c>
      <c r="B1733" s="32">
        <v>8727</v>
      </c>
      <c r="C1733" s="3">
        <v>2450000</v>
      </c>
      <c r="D1733" s="3"/>
      <c r="E1733" s="7">
        <f t="shared" si="63"/>
        <v>2450000</v>
      </c>
      <c r="F1733" s="5">
        <v>45877</v>
      </c>
      <c r="G1733" s="4">
        <v>20250806</v>
      </c>
      <c r="H1733" s="38" t="str">
        <f>VLOOKUP(B1733,CAJEROS!B:D,3,0)</f>
        <v>Multifuncional</v>
      </c>
      <c r="I1733" s="34"/>
      <c r="J1733" s="38" t="str">
        <f>VLOOKUP(B1733,CAJEROS!B:E,4,0)</f>
        <v>MF_HCALIPR1</v>
      </c>
      <c r="K1733" t="s">
        <v>450</v>
      </c>
    </row>
    <row r="1734" spans="1:11">
      <c r="A1734" s="32">
        <v>60</v>
      </c>
      <c r="B1734" s="32">
        <v>8728</v>
      </c>
      <c r="C1734" s="3">
        <v>1600000</v>
      </c>
      <c r="D1734" s="3"/>
      <c r="E1734" s="7">
        <f t="shared" si="63"/>
        <v>1600000</v>
      </c>
      <c r="F1734" s="5">
        <v>45877</v>
      </c>
      <c r="G1734" s="4">
        <v>20250806</v>
      </c>
      <c r="H1734" s="38" t="str">
        <f>VLOOKUP(B1734,CAJEROS!B:D,3,0)</f>
        <v>Multifuncional</v>
      </c>
      <c r="I1734" s="34"/>
      <c r="J1734" s="38" t="str">
        <f>VLOOKUP(B1734,CAJEROS!B:E,4,0)</f>
        <v>MF_HCALIPR2</v>
      </c>
      <c r="K1734" t="s">
        <v>450</v>
      </c>
    </row>
    <row r="1735" spans="1:11">
      <c r="A1735" s="32">
        <v>225</v>
      </c>
      <c r="B1735" s="32">
        <v>8868</v>
      </c>
      <c r="C1735" s="3">
        <v>26607000</v>
      </c>
      <c r="D1735" s="3">
        <v>8775000</v>
      </c>
      <c r="E1735" s="7">
        <f t="shared" si="63"/>
        <v>17832000</v>
      </c>
      <c r="F1735" s="5">
        <v>45877</v>
      </c>
      <c r="G1735" s="4">
        <v>20250806</v>
      </c>
      <c r="H1735" s="38" t="str">
        <f>VLOOKUP(B1735,CAJEROS!B:D,3,0)</f>
        <v>Multifuncional</v>
      </c>
      <c r="I1735" s="34"/>
      <c r="J1735" s="38" t="str">
        <f>VLOOKUP(B1735,CAJEROS!B:E,4,0)</f>
        <v>MF_SMPLNQS1</v>
      </c>
      <c r="K1735" t="s">
        <v>450</v>
      </c>
    </row>
    <row r="1736" spans="1:11">
      <c r="A1736" s="32">
        <v>225</v>
      </c>
      <c r="B1736" s="32">
        <v>8869</v>
      </c>
      <c r="C1736" s="3">
        <v>1420000</v>
      </c>
      <c r="D1736" s="3"/>
      <c r="E1736" s="7">
        <f t="shared" si="63"/>
        <v>1420000</v>
      </c>
      <c r="F1736" s="5">
        <v>45877</v>
      </c>
      <c r="G1736" s="4">
        <v>20250806</v>
      </c>
      <c r="H1736" s="38" t="str">
        <f>VLOOKUP(B1736,CAJEROS!B:D,3,0)</f>
        <v>Multifuncional</v>
      </c>
      <c r="I1736" s="34"/>
      <c r="J1736" s="38" t="str">
        <f>VLOOKUP(B1736,CAJEROS!B:E,4,0)</f>
        <v>MF_SMPLNQS2</v>
      </c>
      <c r="K1736" t="s">
        <v>450</v>
      </c>
    </row>
    <row r="1737" spans="1:11">
      <c r="A1737" s="32">
        <v>845</v>
      </c>
      <c r="B1737" s="32">
        <v>9232</v>
      </c>
      <c r="C1737" s="3">
        <v>6589000</v>
      </c>
      <c r="D1737" s="3"/>
      <c r="E1737" s="7">
        <f t="shared" si="63"/>
        <v>6589000</v>
      </c>
      <c r="F1737" s="5">
        <v>45877</v>
      </c>
      <c r="G1737" s="4">
        <v>20250806</v>
      </c>
      <c r="H1737" s="38" t="str">
        <f>VLOOKUP(B1737,CAJEROS!B:D,3,0)</f>
        <v>Multifuncional</v>
      </c>
      <c r="I1737" s="34"/>
      <c r="J1737" s="38" t="str">
        <f>VLOOKUP(B1737,CAJEROS!B:E,4,0)</f>
        <v>MFSUCLAPLT1</v>
      </c>
      <c r="K1737" t="s">
        <v>450</v>
      </c>
    </row>
    <row r="1738" spans="1:11">
      <c r="A1738" s="32">
        <v>499</v>
      </c>
      <c r="B1738" s="32">
        <v>9811</v>
      </c>
      <c r="C1738" s="3">
        <v>1000</v>
      </c>
      <c r="D1738" s="3"/>
      <c r="E1738" s="7">
        <f t="shared" si="63"/>
        <v>1000</v>
      </c>
      <c r="F1738" s="5">
        <v>45877</v>
      </c>
      <c r="G1738" s="4">
        <v>20250806</v>
      </c>
      <c r="H1738" s="38" t="str">
        <f>VLOOKUP(B1738,CAJEROS!B:D,3,0)</f>
        <v>Multifuncional</v>
      </c>
      <c r="I1738" s="34"/>
      <c r="J1738" s="38" t="str">
        <f>VLOOKUP(B1738,CAJEROS!B:E,4,0)</f>
        <v>MF_SUCPLZF2</v>
      </c>
      <c r="K1738" t="s">
        <v>450</v>
      </c>
    </row>
    <row r="1739" spans="1:11">
      <c r="A1739" s="32">
        <v>795</v>
      </c>
      <c r="B1739" s="32">
        <v>1027</v>
      </c>
      <c r="C1739" s="3">
        <v>1763500</v>
      </c>
      <c r="D1739" s="3">
        <v>1451650</v>
      </c>
      <c r="E1739" s="7">
        <f t="shared" si="63"/>
        <v>311850</v>
      </c>
      <c r="F1739" s="5">
        <v>45877</v>
      </c>
      <c r="G1739" s="4">
        <v>20250807</v>
      </c>
      <c r="H1739" s="38" t="str">
        <f>VLOOKUP(B1739,CAJEROS!B:D,3,0)</f>
        <v>Multifuncional</v>
      </c>
      <c r="I1739" s="34" t="s">
        <v>9</v>
      </c>
      <c r="J1739" s="38" t="str">
        <f>VLOOKUP(B1739,CAJEROS!B:E,4,0)</f>
        <v>MFSUCANVER1</v>
      </c>
      <c r="K1739" t="s">
        <v>450</v>
      </c>
    </row>
    <row r="1740" spans="1:11">
      <c r="A1740" s="32">
        <v>24</v>
      </c>
      <c r="B1740" s="32">
        <v>5066</v>
      </c>
      <c r="C1740" s="3">
        <v>110000</v>
      </c>
      <c r="D1740" s="3">
        <v>108000</v>
      </c>
      <c r="E1740" s="7">
        <f t="shared" si="63"/>
        <v>2000</v>
      </c>
      <c r="F1740" s="5">
        <v>45877</v>
      </c>
      <c r="G1740" s="4">
        <v>20250807</v>
      </c>
      <c r="H1740" s="38" t="str">
        <f>VLOOKUP(B1740,CAJEROS!B:D,3,0)</f>
        <v>Multifuncional</v>
      </c>
      <c r="I1740" s="34" t="s">
        <v>9</v>
      </c>
      <c r="J1740" s="38" t="str">
        <f>VLOOKUP(B1740,CAJEROS!B:E,4,0)</f>
        <v>MF_RIONEGPA</v>
      </c>
      <c r="K1740" t="s">
        <v>450</v>
      </c>
    </row>
    <row r="1741" spans="1:11">
      <c r="A1741" s="32">
        <v>419</v>
      </c>
      <c r="B1741" s="32">
        <v>5077</v>
      </c>
      <c r="C1741" s="3">
        <v>2680000</v>
      </c>
      <c r="D1741" s="3"/>
      <c r="E1741" s="7">
        <f t="shared" si="63"/>
        <v>2680000</v>
      </c>
      <c r="F1741" s="5">
        <v>45877</v>
      </c>
      <c r="G1741" s="4">
        <v>20250807</v>
      </c>
      <c r="H1741" s="38" t="str">
        <f>VLOOKUP(B1741,CAJEROS!B:D,3,0)</f>
        <v>Multifuncional</v>
      </c>
      <c r="I1741" s="34" t="s">
        <v>9</v>
      </c>
      <c r="J1741" s="38" t="str">
        <f>VLOOKUP(B1741,CAJEROS!B:E,4,0)</f>
        <v>MF_CPUNIBOG</v>
      </c>
      <c r="K1741" t="s">
        <v>450</v>
      </c>
    </row>
    <row r="1742" spans="1:11">
      <c r="A1742" s="32">
        <v>762</v>
      </c>
      <c r="B1742" s="32">
        <v>5181</v>
      </c>
      <c r="C1742" s="3">
        <v>140000</v>
      </c>
      <c r="D1742" s="3"/>
      <c r="E1742" s="7">
        <f t="shared" si="63"/>
        <v>140000</v>
      </c>
      <c r="F1742" s="5">
        <v>45877</v>
      </c>
      <c r="G1742" s="4">
        <v>20250807</v>
      </c>
      <c r="H1742" s="38" t="str">
        <f>VLOOKUP(B1742,CAJEROS!B:D,3,0)</f>
        <v>Multifuncional</v>
      </c>
      <c r="I1742" s="34" t="s">
        <v>9</v>
      </c>
      <c r="J1742" s="38" t="str">
        <f>VLOOKUP(B1742,CAJEROS!B:E,4,0)</f>
        <v>MF_HERRADU1</v>
      </c>
      <c r="K1742" t="s">
        <v>450</v>
      </c>
    </row>
    <row r="1743" spans="1:11">
      <c r="A1743" s="32">
        <v>941</v>
      </c>
      <c r="B1743" s="32">
        <v>5220</v>
      </c>
      <c r="C1743" s="3">
        <v>2452000</v>
      </c>
      <c r="D1743" s="3">
        <v>85250</v>
      </c>
      <c r="E1743" s="7">
        <f t="shared" si="63"/>
        <v>2366750</v>
      </c>
      <c r="F1743" s="5">
        <v>45877</v>
      </c>
      <c r="G1743" s="4">
        <v>20250807</v>
      </c>
      <c r="H1743" s="38" t="str">
        <f>VLOOKUP(B1743,CAJEROS!B:D,3,0)</f>
        <v>Multifuncional</v>
      </c>
      <c r="I1743" s="34" t="s">
        <v>9</v>
      </c>
      <c r="J1743" s="38" t="str">
        <f>VLOOKUP(B1743,CAJEROS!B:E,4,0)</f>
        <v>MF_NEIVANVA</v>
      </c>
      <c r="K1743" t="s">
        <v>450</v>
      </c>
    </row>
    <row r="1744" spans="1:11">
      <c r="A1744" s="32">
        <v>337</v>
      </c>
      <c r="B1744" s="32">
        <v>6253</v>
      </c>
      <c r="C1744" s="3">
        <v>288500</v>
      </c>
      <c r="D1744" s="3">
        <v>96150</v>
      </c>
      <c r="E1744" s="7">
        <f t="shared" si="63"/>
        <v>192350</v>
      </c>
      <c r="F1744" s="5">
        <v>45877</v>
      </c>
      <c r="G1744" s="4">
        <v>20250807</v>
      </c>
      <c r="H1744" s="38" t="str">
        <f>VLOOKUP(B1744,CAJEROS!B:D,3,0)</f>
        <v>Multifuncional</v>
      </c>
      <c r="I1744" s="34" t="s">
        <v>9</v>
      </c>
      <c r="J1744" s="38" t="str">
        <f>VLOOKUP(B1744,CAJEROS!B:E,4,0)</f>
        <v>MF_CHIA</v>
      </c>
      <c r="K1744" t="s">
        <v>450</v>
      </c>
    </row>
    <row r="1745" spans="1:11">
      <c r="A1745" s="32">
        <v>15</v>
      </c>
      <c r="B1745" s="32">
        <v>8578</v>
      </c>
      <c r="C1745" s="3">
        <v>2850000</v>
      </c>
      <c r="D1745" s="3">
        <v>428100</v>
      </c>
      <c r="E1745" s="7">
        <f t="shared" si="63"/>
        <v>2421900</v>
      </c>
      <c r="F1745" s="5">
        <v>45877</v>
      </c>
      <c r="G1745" s="4">
        <v>20250807</v>
      </c>
      <c r="H1745" s="38" t="str">
        <f>VLOOKUP(B1745,CAJEROS!B:D,3,0)</f>
        <v>Multifuncional</v>
      </c>
      <c r="I1745" s="34" t="s">
        <v>9</v>
      </c>
      <c r="J1745" s="38" t="str">
        <f>VLOOKUP(B1745,CAJEROS!B:E,4,0)</f>
        <v>MF_HITAGUI3</v>
      </c>
      <c r="K1745" t="s">
        <v>450</v>
      </c>
    </row>
    <row r="1746" spans="1:11">
      <c r="A1746" s="32">
        <v>442</v>
      </c>
      <c r="B1746" s="32">
        <v>8887</v>
      </c>
      <c r="C1746" s="3">
        <v>132500</v>
      </c>
      <c r="D1746" s="3"/>
      <c r="E1746" s="7">
        <f t="shared" ref="E1746:E1809" si="64">+C1746-D1746</f>
        <v>132500</v>
      </c>
      <c r="F1746" s="5">
        <v>45877</v>
      </c>
      <c r="G1746" s="4">
        <v>20250807</v>
      </c>
      <c r="H1746" s="38" t="str">
        <f>VLOOKUP(B1746,CAJEROS!B:D,3,0)</f>
        <v>Multifuncional</v>
      </c>
      <c r="I1746" s="34" t="s">
        <v>9</v>
      </c>
      <c r="J1746" s="38" t="str">
        <f>VLOOKUP(B1746,CAJEROS!B:E,4,0)</f>
        <v>MFVIVABQUI1</v>
      </c>
      <c r="K1746" t="s">
        <v>450</v>
      </c>
    </row>
    <row r="1747" spans="1:11">
      <c r="A1747" s="32">
        <v>467</v>
      </c>
      <c r="B1747" s="32">
        <v>9052</v>
      </c>
      <c r="C1747" s="3">
        <v>50000</v>
      </c>
      <c r="D1747" s="3"/>
      <c r="E1747" s="7">
        <f t="shared" si="64"/>
        <v>50000</v>
      </c>
      <c r="F1747" s="5">
        <v>45877</v>
      </c>
      <c r="G1747" s="4">
        <v>20250807</v>
      </c>
      <c r="H1747" s="38" t="str">
        <f>VLOOKUP(B1747,CAJEROS!B:D,3,0)</f>
        <v>Multifuncional</v>
      </c>
      <c r="I1747" s="34" t="s">
        <v>9</v>
      </c>
      <c r="J1747" s="38" t="str">
        <f>VLOOKUP(B1747,CAJEROS!B:E,4,0)</f>
        <v>MFHDVERPLZ2</v>
      </c>
      <c r="K1747" t="s">
        <v>450</v>
      </c>
    </row>
    <row r="1748" spans="1:11">
      <c r="A1748" s="32">
        <v>68</v>
      </c>
      <c r="B1748" s="32">
        <v>4981</v>
      </c>
      <c r="C1748" s="3">
        <v>20890000</v>
      </c>
      <c r="D1748" s="3"/>
      <c r="E1748" s="7">
        <f t="shared" si="64"/>
        <v>20890000</v>
      </c>
      <c r="F1748" s="5">
        <v>45880</v>
      </c>
      <c r="G1748" s="4">
        <v>20250808</v>
      </c>
      <c r="H1748" s="38" t="str">
        <f>VLOOKUP(B1748,CAJEROS!B:D,3,0)</f>
        <v>Dispensador</v>
      </c>
      <c r="I1748" s="34"/>
      <c r="J1748" s="38" t="str">
        <f>VLOOKUP(B1748,CAJEROS!B:E,4,0)</f>
        <v>AUTO_IBAGU3</v>
      </c>
      <c r="K1748" t="s">
        <v>450</v>
      </c>
    </row>
    <row r="1749" spans="1:11">
      <c r="A1749" s="32">
        <v>229</v>
      </c>
      <c r="B1749" s="32">
        <v>8955</v>
      </c>
      <c r="C1749" s="3">
        <v>590000</v>
      </c>
      <c r="D1749" s="3">
        <v>220000</v>
      </c>
      <c r="E1749" s="7">
        <f t="shared" si="64"/>
        <v>370000</v>
      </c>
      <c r="F1749" s="5">
        <v>45880</v>
      </c>
      <c r="G1749" s="4">
        <v>20250808</v>
      </c>
      <c r="H1749" s="38" t="str">
        <f>VLOOKUP(B1749,CAJEROS!B:D,3,0)</f>
        <v>Dispensador</v>
      </c>
      <c r="I1749" s="34"/>
      <c r="J1749" s="38" t="str">
        <f>VLOOKUP(B1749,CAJEROS!B:E,4,0)</f>
        <v>SUCPASERIO1</v>
      </c>
      <c r="K1749" t="s">
        <v>450</v>
      </c>
    </row>
    <row r="1750" spans="1:11">
      <c r="A1750" s="32">
        <v>232</v>
      </c>
      <c r="B1750" s="32">
        <v>4062</v>
      </c>
      <c r="C1750" s="3">
        <v>650000</v>
      </c>
      <c r="D1750" s="3"/>
      <c r="E1750" s="7">
        <f t="shared" si="64"/>
        <v>650000</v>
      </c>
      <c r="F1750" s="5">
        <v>45880</v>
      </c>
      <c r="G1750" s="4">
        <v>20250808</v>
      </c>
      <c r="H1750" s="38" t="str">
        <f>VLOOKUP(B1750,CAJEROS!B:D,3,0)</f>
        <v>Dispensador</v>
      </c>
      <c r="I1750" s="34"/>
      <c r="J1750" s="38" t="str">
        <f>VLOOKUP(B1750,CAJEROS!B:E,4,0)</f>
        <v>SUC_GUASCA1</v>
      </c>
      <c r="K1750" t="s">
        <v>450</v>
      </c>
    </row>
    <row r="1751" spans="1:11">
      <c r="A1751" s="32">
        <v>318</v>
      </c>
      <c r="B1751" s="32">
        <v>5349</v>
      </c>
      <c r="C1751" s="3">
        <v>50000</v>
      </c>
      <c r="D1751" s="3"/>
      <c r="E1751" s="7">
        <f t="shared" si="64"/>
        <v>50000</v>
      </c>
      <c r="F1751" s="5">
        <v>45880</v>
      </c>
      <c r="G1751" s="4">
        <v>20250808</v>
      </c>
      <c r="H1751" s="38" t="str">
        <f>VLOOKUP(B1751,CAJEROS!B:D,3,0)</f>
        <v>Dispensador</v>
      </c>
      <c r="I1751" s="34"/>
      <c r="J1751" s="38" t="str">
        <f>VLOOKUP(B1751,CAJEROS!B:E,4,0)</f>
        <v>SUC_OCANA2</v>
      </c>
      <c r="K1751" t="s">
        <v>450</v>
      </c>
    </row>
    <row r="1752" spans="1:11">
      <c r="A1752" s="32">
        <v>395</v>
      </c>
      <c r="B1752" s="32">
        <v>1537</v>
      </c>
      <c r="C1752" s="3">
        <v>550000</v>
      </c>
      <c r="D1752" s="3">
        <v>30000</v>
      </c>
      <c r="E1752" s="7">
        <f t="shared" si="64"/>
        <v>520000</v>
      </c>
      <c r="F1752" s="5">
        <v>45880</v>
      </c>
      <c r="G1752" s="4">
        <v>20250808</v>
      </c>
      <c r="H1752" s="38" t="str">
        <f>VLOOKUP(B1752,CAJEROS!B:D,3,0)</f>
        <v>Dispensador</v>
      </c>
      <c r="I1752" s="34"/>
      <c r="J1752" s="38" t="str">
        <f>VLOOKUP(B1752,CAJEROS!B:E,4,0)</f>
        <v>SUCVIVAVCI6</v>
      </c>
      <c r="K1752" t="s">
        <v>450</v>
      </c>
    </row>
    <row r="1753" spans="1:11">
      <c r="A1753" s="32">
        <v>399</v>
      </c>
      <c r="B1753" s="32">
        <v>8441</v>
      </c>
      <c r="C1753" s="3">
        <v>20000</v>
      </c>
      <c r="D1753" s="3"/>
      <c r="E1753" s="7">
        <f t="shared" si="64"/>
        <v>20000</v>
      </c>
      <c r="F1753" s="5">
        <v>45880</v>
      </c>
      <c r="G1753" s="4">
        <v>20250808</v>
      </c>
      <c r="H1753" s="38" t="str">
        <f>VLOOKUP(B1753,CAJEROS!B:D,3,0)</f>
        <v>Dispensador</v>
      </c>
      <c r="I1753" s="34"/>
      <c r="J1753" s="38" t="str">
        <f>VLOOKUP(B1753,CAJEROS!B:E,4,0)</f>
        <v>SUCGIRARDO2</v>
      </c>
      <c r="K1753" t="s">
        <v>450</v>
      </c>
    </row>
    <row r="1754" spans="1:11">
      <c r="A1754" s="32">
        <v>399</v>
      </c>
      <c r="B1754" s="32">
        <v>8442</v>
      </c>
      <c r="C1754" s="3">
        <v>500000</v>
      </c>
      <c r="D1754" s="3"/>
      <c r="E1754" s="7">
        <f t="shared" si="64"/>
        <v>500000</v>
      </c>
      <c r="F1754" s="5">
        <v>45880</v>
      </c>
      <c r="G1754" s="4">
        <v>20250808</v>
      </c>
      <c r="H1754" s="38" t="str">
        <f>VLOOKUP(B1754,CAJEROS!B:D,3,0)</f>
        <v>Dispensador</v>
      </c>
      <c r="I1754" s="34"/>
      <c r="J1754" s="38" t="str">
        <f>VLOOKUP(B1754,CAJEROS!B:E,4,0)</f>
        <v>SUCGIRARDO3</v>
      </c>
      <c r="K1754" t="s">
        <v>450</v>
      </c>
    </row>
    <row r="1755" spans="1:11">
      <c r="A1755" s="32">
        <v>444</v>
      </c>
      <c r="B1755" s="32">
        <v>3240</v>
      </c>
      <c r="C1755" s="3">
        <v>20000</v>
      </c>
      <c r="D1755" s="3"/>
      <c r="E1755" s="7">
        <f t="shared" si="64"/>
        <v>20000</v>
      </c>
      <c r="F1755" s="5">
        <v>45880</v>
      </c>
      <c r="G1755" s="4">
        <v>20250808</v>
      </c>
      <c r="H1755" s="38" t="str">
        <f>VLOOKUP(B1755,CAJEROS!B:D,3,0)</f>
        <v>Dispensador</v>
      </c>
      <c r="I1755" s="34"/>
      <c r="J1755" s="38" t="str">
        <f>VLOOKUP(B1755,CAJEROS!B:E,4,0)</f>
        <v>SUCCONCORD1</v>
      </c>
      <c r="K1755" t="s">
        <v>450</v>
      </c>
    </row>
    <row r="1756" spans="1:11">
      <c r="A1756" s="32">
        <v>743</v>
      </c>
      <c r="B1756" s="32">
        <v>5696</v>
      </c>
      <c r="C1756" s="3">
        <v>920000</v>
      </c>
      <c r="D1756" s="3"/>
      <c r="E1756" s="7">
        <f t="shared" si="64"/>
        <v>920000</v>
      </c>
      <c r="F1756" s="5">
        <v>45880</v>
      </c>
      <c r="G1756" s="4">
        <v>20250808</v>
      </c>
      <c r="H1756" s="38" t="str">
        <f>VLOOKUP(B1756,CAJEROS!B:D,3,0)</f>
        <v>Dispensador</v>
      </c>
      <c r="I1756" s="34"/>
      <c r="J1756" s="38" t="str">
        <f>VLOOKUP(B1756,CAJEROS!B:E,4,0)</f>
        <v>SUC_NORTHP2</v>
      </c>
      <c r="K1756" t="s">
        <v>450</v>
      </c>
    </row>
    <row r="1757" spans="1:11">
      <c r="A1757" s="32">
        <v>38</v>
      </c>
      <c r="B1757" s="32">
        <v>6553</v>
      </c>
      <c r="C1757" s="3">
        <v>1160000</v>
      </c>
      <c r="D1757" s="3">
        <f>730000+60000+250000</f>
        <v>1040000</v>
      </c>
      <c r="E1757" s="7">
        <f t="shared" si="64"/>
        <v>120000</v>
      </c>
      <c r="F1757" s="5">
        <v>45880</v>
      </c>
      <c r="G1757" s="4">
        <v>20250810</v>
      </c>
      <c r="H1757" s="38" t="str">
        <f>VLOOKUP(B1757,CAJEROS!B:D,3,0)</f>
        <v>Dispensador</v>
      </c>
      <c r="I1757" s="34" t="s">
        <v>9</v>
      </c>
      <c r="J1757" s="38" t="str">
        <f>VLOOKUP(B1757,CAJEROS!B:E,4,0)</f>
        <v>PAIPA1</v>
      </c>
      <c r="K1757" t="s">
        <v>450</v>
      </c>
    </row>
    <row r="1758" spans="1:11">
      <c r="A1758" s="32">
        <v>91</v>
      </c>
      <c r="B1758" s="32">
        <v>8164</v>
      </c>
      <c r="C1758" s="3">
        <v>50000</v>
      </c>
      <c r="D1758" s="3"/>
      <c r="E1758" s="7">
        <f t="shared" si="64"/>
        <v>50000</v>
      </c>
      <c r="F1758" s="5">
        <v>45880</v>
      </c>
      <c r="G1758" s="4">
        <v>20250810</v>
      </c>
      <c r="H1758" s="38" t="str">
        <f>VLOOKUP(B1758,CAJEROS!B:D,3,0)</f>
        <v>Dispensador</v>
      </c>
      <c r="I1758" s="34" t="s">
        <v>9</v>
      </c>
      <c r="J1758" s="38" t="str">
        <f>VLOOKUP(B1758,CAJEROS!B:E,4,0)</f>
        <v>SUC_MONTER6</v>
      </c>
      <c r="K1758" t="s">
        <v>450</v>
      </c>
    </row>
    <row r="1759" spans="1:11">
      <c r="A1759" s="32">
        <v>96</v>
      </c>
      <c r="B1759" s="32">
        <v>1036</v>
      </c>
      <c r="C1759" s="3">
        <v>250000</v>
      </c>
      <c r="D1759" s="3"/>
      <c r="E1759" s="7">
        <f t="shared" si="64"/>
        <v>250000</v>
      </c>
      <c r="F1759" s="5">
        <v>45880</v>
      </c>
      <c r="G1759" s="4">
        <v>20250810</v>
      </c>
      <c r="H1759" s="38" t="str">
        <f>VLOOKUP(B1759,CAJEROS!B:D,3,0)</f>
        <v>Dispensador</v>
      </c>
      <c r="I1759" s="34" t="s">
        <v>9</v>
      </c>
      <c r="J1759" s="38" t="str">
        <f>VLOOKUP(B1759,CAJEROS!B:E,4,0)</f>
        <v>SUC_MAICAO2</v>
      </c>
      <c r="K1759" t="s">
        <v>450</v>
      </c>
    </row>
    <row r="1760" spans="1:11">
      <c r="A1760" s="32">
        <v>111</v>
      </c>
      <c r="B1760" s="32">
        <v>3654</v>
      </c>
      <c r="C1760" s="3">
        <v>100000</v>
      </c>
      <c r="D1760" s="3"/>
      <c r="E1760" s="7">
        <f t="shared" si="64"/>
        <v>100000</v>
      </c>
      <c r="F1760" s="5">
        <v>45880</v>
      </c>
      <c r="G1760" s="4">
        <v>20250810</v>
      </c>
      <c r="H1760" s="38" t="str">
        <f>VLOOKUP(B1760,CAJEROS!B:D,3,0)</f>
        <v>Dispensador</v>
      </c>
      <c r="I1760" s="34" t="s">
        <v>9</v>
      </c>
      <c r="J1760" s="38" t="str">
        <f>VLOOKUP(B1760,CAJEROS!B:E,4,0)</f>
        <v>SUC_COROZ2</v>
      </c>
      <c r="K1760" t="s">
        <v>450</v>
      </c>
    </row>
    <row r="1761" spans="1:11">
      <c r="A1761" s="32">
        <v>159</v>
      </c>
      <c r="B1761" s="32">
        <v>6893</v>
      </c>
      <c r="C1761" s="3">
        <v>2000000</v>
      </c>
      <c r="D1761" s="3"/>
      <c r="E1761" s="7">
        <f t="shared" si="64"/>
        <v>2000000</v>
      </c>
      <c r="F1761" s="5">
        <v>45880</v>
      </c>
      <c r="G1761" s="4">
        <v>20250810</v>
      </c>
      <c r="H1761" s="38" t="str">
        <f>VLOOKUP(B1761,CAJEROS!B:D,3,0)</f>
        <v>Dispensador</v>
      </c>
      <c r="I1761" s="34" t="s">
        <v>9</v>
      </c>
      <c r="J1761" s="38" t="str">
        <f>VLOOKUP(B1761,CAJEROS!B:E,4,0)</f>
        <v>SUC_FUNZA3</v>
      </c>
      <c r="K1761" t="s">
        <v>450</v>
      </c>
    </row>
    <row r="1762" spans="1:11">
      <c r="A1762" s="32">
        <v>289</v>
      </c>
      <c r="B1762" s="32">
        <v>8874</v>
      </c>
      <c r="C1762" s="3">
        <v>50000</v>
      </c>
      <c r="D1762" s="3">
        <v>20000</v>
      </c>
      <c r="E1762" s="7">
        <f t="shared" si="64"/>
        <v>30000</v>
      </c>
      <c r="F1762" s="5">
        <v>45880</v>
      </c>
      <c r="G1762" s="4">
        <v>20250810</v>
      </c>
      <c r="H1762" s="38" t="str">
        <f>VLOOKUP(B1762,CAJEROS!B:D,3,0)</f>
        <v>Dispensador</v>
      </c>
      <c r="I1762" s="34" t="s">
        <v>9</v>
      </c>
      <c r="J1762" s="38" t="str">
        <f>VLOOKUP(B1762,CAJEROS!B:E,4,0)</f>
        <v>PUERTO_GAI5</v>
      </c>
      <c r="K1762" t="s">
        <v>450</v>
      </c>
    </row>
    <row r="1763" spans="1:11">
      <c r="A1763" s="32">
        <v>297</v>
      </c>
      <c r="B1763" s="32">
        <v>5398</v>
      </c>
      <c r="C1763" s="3">
        <v>200000</v>
      </c>
      <c r="D1763" s="3"/>
      <c r="E1763" s="7">
        <f t="shared" si="64"/>
        <v>200000</v>
      </c>
      <c r="F1763" s="5">
        <v>45880</v>
      </c>
      <c r="G1763" s="4">
        <v>20250810</v>
      </c>
      <c r="H1763" s="38" t="str">
        <f>VLOOKUP(B1763,CAJEROS!B:D,3,0)</f>
        <v>Dispensador</v>
      </c>
      <c r="I1763" s="34" t="s">
        <v>9</v>
      </c>
      <c r="J1763" s="38" t="str">
        <f>VLOOKUP(B1763,CAJEROS!B:E,4,0)</f>
        <v>AGUACHICA2</v>
      </c>
      <c r="K1763" t="s">
        <v>450</v>
      </c>
    </row>
    <row r="1764" spans="1:11">
      <c r="A1764" s="32">
        <v>322</v>
      </c>
      <c r="B1764" s="32">
        <v>2441</v>
      </c>
      <c r="C1764" s="3">
        <v>100000</v>
      </c>
      <c r="D1764" s="3">
        <v>60000</v>
      </c>
      <c r="E1764" s="7">
        <f t="shared" si="64"/>
        <v>40000</v>
      </c>
      <c r="F1764" s="5">
        <v>45880</v>
      </c>
      <c r="G1764" s="4">
        <v>20250810</v>
      </c>
      <c r="H1764" s="38" t="str">
        <f>VLOOKUP(B1764,CAJEROS!B:D,3,0)</f>
        <v>Dispensador</v>
      </c>
      <c r="I1764" s="34" t="s">
        <v>9</v>
      </c>
      <c r="J1764" s="38" t="str">
        <f>VLOOKUP(B1764,CAJEROS!B:E,4,0)</f>
        <v>SUCSANGIL1</v>
      </c>
      <c r="K1764" t="s">
        <v>450</v>
      </c>
    </row>
    <row r="1765" spans="1:11">
      <c r="A1765" s="32">
        <v>365</v>
      </c>
      <c r="B1765" s="32">
        <v>4632</v>
      </c>
      <c r="C1765" s="3">
        <v>100000</v>
      </c>
      <c r="D1765" s="3"/>
      <c r="E1765" s="7">
        <f t="shared" si="64"/>
        <v>100000</v>
      </c>
      <c r="F1765" s="5">
        <v>45880</v>
      </c>
      <c r="G1765" s="4">
        <v>20250810</v>
      </c>
      <c r="H1765" s="38" t="str">
        <f>VLOOKUP(B1765,CAJEROS!B:D,3,0)</f>
        <v>Dispensador</v>
      </c>
      <c r="I1765" s="34" t="s">
        <v>9</v>
      </c>
      <c r="J1765" s="38" t="str">
        <f>VLOOKUP(B1765,CAJEROS!B:E,4,0)</f>
        <v>SUC_AGUAZ3</v>
      </c>
      <c r="K1765" t="s">
        <v>450</v>
      </c>
    </row>
    <row r="1766" spans="1:11">
      <c r="A1766" s="32">
        <v>389</v>
      </c>
      <c r="B1766" s="32">
        <v>4689</v>
      </c>
      <c r="C1766" s="3">
        <v>40000</v>
      </c>
      <c r="D1766" s="3"/>
      <c r="E1766" s="7">
        <f t="shared" si="64"/>
        <v>40000</v>
      </c>
      <c r="F1766" s="5">
        <v>45880</v>
      </c>
      <c r="G1766" s="4">
        <v>20250810</v>
      </c>
      <c r="H1766" s="38" t="str">
        <f>VLOOKUP(B1766,CAJEROS!B:D,3,0)</f>
        <v>Dispensador</v>
      </c>
      <c r="I1766" s="34" t="s">
        <v>9</v>
      </c>
      <c r="J1766" s="38" t="str">
        <f>VLOOKUP(B1766,CAJEROS!B:E,4,0)</f>
        <v>SUC_MARIQ3</v>
      </c>
      <c r="K1766" t="s">
        <v>450</v>
      </c>
    </row>
    <row r="1767" spans="1:11">
      <c r="A1767" s="32">
        <v>426</v>
      </c>
      <c r="B1767" s="32">
        <v>7819</v>
      </c>
      <c r="C1767" s="3">
        <v>50000</v>
      </c>
      <c r="D1767" s="3">
        <v>10000</v>
      </c>
      <c r="E1767" s="7">
        <f t="shared" si="64"/>
        <v>40000</v>
      </c>
      <c r="F1767" s="5">
        <v>45880</v>
      </c>
      <c r="G1767" s="4">
        <v>20250810</v>
      </c>
      <c r="H1767" s="38" t="str">
        <f>VLOOKUP(B1767,CAJEROS!B:D,3,0)</f>
        <v>Dispensador</v>
      </c>
      <c r="I1767" s="34" t="s">
        <v>9</v>
      </c>
      <c r="J1767" s="38" t="str">
        <f>VLOOKUP(B1767,CAJEROS!B:E,4,0)</f>
        <v>PURIFICACI2</v>
      </c>
      <c r="K1767" t="s">
        <v>450</v>
      </c>
    </row>
    <row r="1768" spans="1:11">
      <c r="A1768" s="32">
        <v>513</v>
      </c>
      <c r="B1768" s="32">
        <v>5130</v>
      </c>
      <c r="C1768" s="3">
        <v>50000</v>
      </c>
      <c r="D1768" s="3">
        <v>30000</v>
      </c>
      <c r="E1768" s="7">
        <f t="shared" si="64"/>
        <v>20000</v>
      </c>
      <c r="F1768" s="5">
        <v>45880</v>
      </c>
      <c r="G1768" s="4">
        <v>20250810</v>
      </c>
      <c r="H1768" s="38" t="str">
        <f>VLOOKUP(B1768,CAJEROS!B:D,3,0)</f>
        <v>Dispensador</v>
      </c>
      <c r="I1768" s="34" t="s">
        <v>9</v>
      </c>
      <c r="J1768" s="38" t="str">
        <f>VLOOKUP(B1768,CAJEROS!B:E,4,0)</f>
        <v>SUC_AGUARI2</v>
      </c>
      <c r="K1768" t="s">
        <v>450</v>
      </c>
    </row>
    <row r="1769" spans="1:11">
      <c r="A1769" s="32">
        <v>516</v>
      </c>
      <c r="B1769" s="32">
        <v>9727</v>
      </c>
      <c r="C1769" s="3">
        <v>30000</v>
      </c>
      <c r="D1769" s="3"/>
      <c r="E1769" s="7">
        <f t="shared" si="64"/>
        <v>30000</v>
      </c>
      <c r="F1769" s="5">
        <v>45880</v>
      </c>
      <c r="G1769" s="4">
        <v>20250810</v>
      </c>
      <c r="H1769" s="38" t="str">
        <f>VLOOKUP(B1769,CAJEROS!B:D,3,0)</f>
        <v>Dispensador</v>
      </c>
      <c r="I1769" s="34" t="s">
        <v>9</v>
      </c>
      <c r="J1769" s="38" t="str">
        <f>VLOOKUP(B1769,CAJEROS!B:E,4,0)</f>
        <v>SUCSTAMART2</v>
      </c>
      <c r="K1769" t="s">
        <v>450</v>
      </c>
    </row>
    <row r="1770" spans="1:11">
      <c r="A1770" s="32">
        <v>601</v>
      </c>
      <c r="B1770" s="32">
        <v>6423</v>
      </c>
      <c r="C1770" s="3">
        <v>200000</v>
      </c>
      <c r="D1770" s="3"/>
      <c r="E1770" s="7">
        <f t="shared" si="64"/>
        <v>200000</v>
      </c>
      <c r="F1770" s="5">
        <v>45880</v>
      </c>
      <c r="G1770" s="4">
        <v>20250810</v>
      </c>
      <c r="H1770" s="38" t="str">
        <f>VLOOKUP(B1770,CAJEROS!B:D,3,0)</f>
        <v>Dispensador</v>
      </c>
      <c r="I1770" s="34" t="s">
        <v>9</v>
      </c>
      <c r="J1770" s="38" t="str">
        <f>VLOOKUP(B1770,CAJEROS!B:E,4,0)</f>
        <v>SUC_PQCOL3</v>
      </c>
      <c r="K1770" t="s">
        <v>450</v>
      </c>
    </row>
    <row r="1771" spans="1:11">
      <c r="A1771" s="32">
        <v>681</v>
      </c>
      <c r="B1771" s="32">
        <v>8495</v>
      </c>
      <c r="C1771" s="3">
        <v>200000</v>
      </c>
      <c r="D1771" s="3"/>
      <c r="E1771" s="7">
        <f t="shared" si="64"/>
        <v>200000</v>
      </c>
      <c r="F1771" s="5">
        <v>45880</v>
      </c>
      <c r="G1771" s="4">
        <v>20250810</v>
      </c>
      <c r="H1771" s="38" t="str">
        <f>VLOOKUP(B1771,CAJEROS!B:D,3,0)</f>
        <v>Dispensador</v>
      </c>
      <c r="I1771" s="34" t="s">
        <v>9</v>
      </c>
      <c r="J1771" s="38" t="str">
        <f>VLOOKUP(B1771,CAJEROS!B:E,4,0)</f>
        <v>SUC_CERET4</v>
      </c>
      <c r="K1771" t="s">
        <v>450</v>
      </c>
    </row>
    <row r="1772" spans="1:11">
      <c r="A1772" s="32">
        <v>705</v>
      </c>
      <c r="B1772" s="32">
        <v>4151</v>
      </c>
      <c r="C1772" s="3">
        <v>610000</v>
      </c>
      <c r="D1772" s="3">
        <f>50000+300000</f>
        <v>350000</v>
      </c>
      <c r="E1772" s="7">
        <f t="shared" si="64"/>
        <v>260000</v>
      </c>
      <c r="F1772" s="5">
        <v>45880</v>
      </c>
      <c r="G1772" s="4">
        <v>20250810</v>
      </c>
      <c r="H1772" s="38" t="str">
        <f>VLOOKUP(B1772,CAJEROS!B:D,3,0)</f>
        <v>Dispensador</v>
      </c>
      <c r="I1772" s="34" t="s">
        <v>9</v>
      </c>
      <c r="J1772" s="38" t="str">
        <f>VLOOKUP(B1772,CAJEROS!B:E,4,0)</f>
        <v>SUC_BAGRE1</v>
      </c>
      <c r="K1772" t="s">
        <v>450</v>
      </c>
    </row>
    <row r="1773" spans="1:11">
      <c r="A1773" s="32">
        <v>705</v>
      </c>
      <c r="B1773" s="32">
        <v>4152</v>
      </c>
      <c r="C1773" s="3">
        <v>70000</v>
      </c>
      <c r="D1773" s="3">
        <v>40000</v>
      </c>
      <c r="E1773" s="7">
        <f t="shared" si="64"/>
        <v>30000</v>
      </c>
      <c r="F1773" s="5">
        <v>45880</v>
      </c>
      <c r="G1773" s="4">
        <v>20250810</v>
      </c>
      <c r="H1773" s="38" t="str">
        <f>VLOOKUP(B1773,CAJEROS!B:D,3,0)</f>
        <v>Dispensador</v>
      </c>
      <c r="I1773" s="34" t="s">
        <v>9</v>
      </c>
      <c r="J1773" s="38" t="str">
        <f>VLOOKUP(B1773,CAJEROS!B:E,4,0)</f>
        <v>SUC_BAGRE2</v>
      </c>
      <c r="K1773" t="s">
        <v>450</v>
      </c>
    </row>
    <row r="1774" spans="1:11">
      <c r="A1774" s="32">
        <v>707</v>
      </c>
      <c r="B1774" s="32">
        <v>4988</v>
      </c>
      <c r="C1774" s="3">
        <v>600000</v>
      </c>
      <c r="D1774" s="3"/>
      <c r="E1774" s="7">
        <f t="shared" si="64"/>
        <v>600000</v>
      </c>
      <c r="F1774" s="5">
        <v>45880</v>
      </c>
      <c r="G1774" s="4">
        <v>20250810</v>
      </c>
      <c r="H1774" s="38" t="str">
        <f>VLOOKUP(B1774,CAJEROS!B:D,3,0)</f>
        <v>Dispensador</v>
      </c>
      <c r="I1774" s="34" t="s">
        <v>9</v>
      </c>
      <c r="J1774" s="38" t="str">
        <f>VLOOKUP(B1774,CAJEROS!B:E,4,0)</f>
        <v>SUC_MANICA1</v>
      </c>
      <c r="K1774" t="s">
        <v>450</v>
      </c>
    </row>
    <row r="1775" spans="1:11">
      <c r="A1775" s="32">
        <v>709</v>
      </c>
      <c r="B1775" s="32">
        <v>3426</v>
      </c>
      <c r="C1775" s="3">
        <v>1740000</v>
      </c>
      <c r="D1775" s="3">
        <v>1560000</v>
      </c>
      <c r="E1775" s="7">
        <f t="shared" si="64"/>
        <v>180000</v>
      </c>
      <c r="F1775" s="5">
        <v>45880</v>
      </c>
      <c r="G1775" s="4">
        <v>20250810</v>
      </c>
      <c r="H1775" s="38" t="str">
        <f>VLOOKUP(B1775,CAJEROS!B:D,3,0)</f>
        <v>Dispensador</v>
      </c>
      <c r="I1775" s="34" t="s">
        <v>9</v>
      </c>
      <c r="J1775" s="38" t="str">
        <f>VLOOKUP(B1775,CAJEROS!B:E,4,0)</f>
        <v>ABREGO</v>
      </c>
      <c r="K1775" t="s">
        <v>450</v>
      </c>
    </row>
    <row r="1776" spans="1:11">
      <c r="A1776" s="32">
        <v>828</v>
      </c>
      <c r="B1776" s="32">
        <v>2235</v>
      </c>
      <c r="C1776" s="3">
        <v>200000</v>
      </c>
      <c r="D1776" s="3"/>
      <c r="E1776" s="7">
        <f t="shared" si="64"/>
        <v>200000</v>
      </c>
      <c r="F1776" s="5">
        <v>45880</v>
      </c>
      <c r="G1776" s="4">
        <v>20250810</v>
      </c>
      <c r="H1776" s="38" t="str">
        <f>VLOOKUP(B1776,CAJEROS!B:D,3,0)</f>
        <v>Dispensador</v>
      </c>
      <c r="I1776" s="34" t="s">
        <v>9</v>
      </c>
      <c r="J1776" s="38" t="str">
        <f>VLOOKUP(B1776,CAJEROS!B:E,4,0)</f>
        <v>SUC_SANJOS5</v>
      </c>
      <c r="K1776" t="s">
        <v>450</v>
      </c>
    </row>
    <row r="1777" spans="1:11">
      <c r="A1777" s="32">
        <v>831</v>
      </c>
      <c r="B1777" s="32">
        <v>1014</v>
      </c>
      <c r="C1777" s="3">
        <v>80000</v>
      </c>
      <c r="D1777" s="3"/>
      <c r="E1777" s="7">
        <f t="shared" si="64"/>
        <v>80000</v>
      </c>
      <c r="F1777" s="5">
        <v>45880</v>
      </c>
      <c r="G1777" s="4">
        <v>20250810</v>
      </c>
      <c r="H1777" s="38" t="s">
        <v>30</v>
      </c>
      <c r="I1777" s="34" t="s">
        <v>9</v>
      </c>
      <c r="J1777" s="38" t="str">
        <f>VLOOKUP(B1777,CAJEROS!B:E,4,0)</f>
        <v>SUC_CAREPA4</v>
      </c>
      <c r="K1777" t="s">
        <v>450</v>
      </c>
    </row>
    <row r="1778" spans="1:11">
      <c r="A1778" s="32">
        <v>944</v>
      </c>
      <c r="B1778" s="32">
        <v>8358</v>
      </c>
      <c r="C1778" s="3">
        <v>1990000</v>
      </c>
      <c r="D1778" s="3"/>
      <c r="E1778" s="7">
        <f t="shared" si="64"/>
        <v>1990000</v>
      </c>
      <c r="F1778" s="5">
        <v>45880</v>
      </c>
      <c r="G1778" s="4">
        <v>20250810</v>
      </c>
      <c r="H1778" s="38" t="str">
        <f>VLOOKUP(B1778,CAJEROS!B:D,3,0)</f>
        <v>Dispensador</v>
      </c>
      <c r="I1778" s="34" t="s">
        <v>9</v>
      </c>
      <c r="J1778" s="38" t="str">
        <f>VLOOKUP(B1778,CAJEROS!B:E,4,0)</f>
        <v>SUCSANTABO4</v>
      </c>
      <c r="K1778" t="s">
        <v>450</v>
      </c>
    </row>
    <row r="1779" spans="1:11">
      <c r="A1779" s="32">
        <v>285</v>
      </c>
      <c r="B1779" s="32">
        <v>6054</v>
      </c>
      <c r="C1779" s="3">
        <v>200000</v>
      </c>
      <c r="D1779" s="3"/>
      <c r="E1779" s="7">
        <f t="shared" si="64"/>
        <v>200000</v>
      </c>
      <c r="F1779" s="5">
        <v>45880</v>
      </c>
      <c r="G1779" s="4">
        <v>20250809</v>
      </c>
      <c r="H1779" s="38" t="str">
        <f>VLOOKUP(B1779,CAJEROS!B:D,3,0)</f>
        <v>Dispensador</v>
      </c>
      <c r="I1779" s="34" t="s">
        <v>9</v>
      </c>
      <c r="J1779" s="38" t="str">
        <f>VLOOKUP(B1779,CAJEROS!B:E,4,0)</f>
        <v>GARZON4</v>
      </c>
      <c r="K1779" t="s">
        <v>450</v>
      </c>
    </row>
    <row r="1780" spans="1:11">
      <c r="A1780" s="32">
        <v>745</v>
      </c>
      <c r="B1780" s="32">
        <v>1471</v>
      </c>
      <c r="C1780" s="3">
        <v>30000</v>
      </c>
      <c r="D1780" s="3"/>
      <c r="E1780" s="7">
        <f t="shared" si="64"/>
        <v>30000</v>
      </c>
      <c r="F1780" s="5">
        <v>45880</v>
      </c>
      <c r="G1780" s="4">
        <v>20250809</v>
      </c>
      <c r="H1780" s="38" t="str">
        <f>VLOOKUP(B1780,CAJEROS!B:D,3,0)</f>
        <v>Dispensador</v>
      </c>
      <c r="I1780" s="34" t="s">
        <v>9</v>
      </c>
      <c r="J1780" s="38" t="str">
        <f>VLOOKUP(B1780,CAJEROS!B:E,4,0)</f>
        <v>SUCMALPLAZ1</v>
      </c>
      <c r="K1780" t="s">
        <v>450</v>
      </c>
    </row>
    <row r="1781" spans="1:11">
      <c r="A1781" s="32">
        <v>623</v>
      </c>
      <c r="B1781" s="32">
        <v>5047</v>
      </c>
      <c r="C1781" s="3">
        <v>165000</v>
      </c>
      <c r="D1781" s="3"/>
      <c r="E1781" s="7">
        <f t="shared" si="64"/>
        <v>165000</v>
      </c>
      <c r="F1781" s="5">
        <v>45880</v>
      </c>
      <c r="G1781" s="4">
        <v>20250808</v>
      </c>
      <c r="H1781" s="38" t="str">
        <f>VLOOKUP(B1781,CAJEROS!B:D,3,0)</f>
        <v>Multifuncional</v>
      </c>
      <c r="I1781" s="34"/>
      <c r="J1781" s="38" t="str">
        <f>VLOOKUP(B1781,CAJEROS!B:E,4,0)</f>
        <v>MF_FMANIZAL</v>
      </c>
      <c r="K1781" t="s">
        <v>450</v>
      </c>
    </row>
    <row r="1782" spans="1:11">
      <c r="A1782" s="32">
        <v>916</v>
      </c>
      <c r="B1782" s="32">
        <v>5052</v>
      </c>
      <c r="C1782" s="3">
        <v>2366300</v>
      </c>
      <c r="D1782" s="3">
        <f>138100+50000</f>
        <v>188100</v>
      </c>
      <c r="E1782" s="7">
        <f t="shared" si="64"/>
        <v>2178200</v>
      </c>
      <c r="F1782" s="5">
        <v>45880</v>
      </c>
      <c r="G1782" s="4">
        <v>20250808</v>
      </c>
      <c r="H1782" s="38" t="str">
        <f>VLOOKUP(B1782,CAJEROS!B:D,3,0)</f>
        <v>Multifuncional</v>
      </c>
      <c r="I1782" s="34"/>
      <c r="J1782" s="38" t="str">
        <f>VLOOKUP(B1782,CAJEROS!B:E,4,0)</f>
        <v>MF_OCEANMAL</v>
      </c>
      <c r="K1782" t="s">
        <v>450</v>
      </c>
    </row>
    <row r="1783" spans="1:11">
      <c r="A1783" s="32">
        <v>318</v>
      </c>
      <c r="B1783" s="32">
        <v>5136</v>
      </c>
      <c r="C1783" s="3">
        <v>576000</v>
      </c>
      <c r="D1783" s="3"/>
      <c r="E1783" s="7">
        <f t="shared" si="64"/>
        <v>576000</v>
      </c>
      <c r="F1783" s="5">
        <v>45880</v>
      </c>
      <c r="G1783" s="4">
        <v>20250808</v>
      </c>
      <c r="H1783" s="38" t="str">
        <f>VLOOKUP(B1783,CAJEROS!B:D,3,0)</f>
        <v>Multifuncional</v>
      </c>
      <c r="I1783" s="34"/>
      <c r="J1783" s="38" t="str">
        <f>VLOOKUP(B1783,CAJEROS!B:E,4,0)</f>
        <v>MF_SUCOCANA</v>
      </c>
      <c r="K1783" t="s">
        <v>450</v>
      </c>
    </row>
    <row r="1784" spans="1:11">
      <c r="A1784" s="32">
        <v>178</v>
      </c>
      <c r="B1784" s="32">
        <v>6218</v>
      </c>
      <c r="C1784" s="3">
        <v>3850000</v>
      </c>
      <c r="D1784" s="3"/>
      <c r="E1784" s="7">
        <f t="shared" si="64"/>
        <v>3850000</v>
      </c>
      <c r="F1784" s="5">
        <v>45880</v>
      </c>
      <c r="G1784" s="4">
        <v>20250808</v>
      </c>
      <c r="H1784" s="38" t="str">
        <f>VLOOKUP(B1784,CAJEROS!B:D,3,0)</f>
        <v>Multifuncional</v>
      </c>
      <c r="I1784" s="34"/>
      <c r="J1784" s="38" t="str">
        <f>VLOOKUP(B1784,CAJEROS!B:E,4,0)</f>
        <v>MF_CFINANCI</v>
      </c>
      <c r="K1784" t="s">
        <v>450</v>
      </c>
    </row>
    <row r="1785" spans="1:11">
      <c r="A1785" s="32">
        <v>337</v>
      </c>
      <c r="B1785" s="32">
        <v>6253</v>
      </c>
      <c r="C1785" s="3">
        <v>370000</v>
      </c>
      <c r="D1785" s="3">
        <v>292200</v>
      </c>
      <c r="E1785" s="7">
        <f t="shared" si="64"/>
        <v>77800</v>
      </c>
      <c r="F1785" s="5">
        <v>45880</v>
      </c>
      <c r="G1785" s="4">
        <v>20250808</v>
      </c>
      <c r="H1785" s="38" t="str">
        <f>VLOOKUP(B1785,CAJEROS!B:D,3,0)</f>
        <v>Multifuncional</v>
      </c>
      <c r="I1785" s="34"/>
      <c r="J1785" s="38" t="str">
        <f>VLOOKUP(B1785,CAJEROS!B:E,4,0)</f>
        <v>MF_CHIA</v>
      </c>
      <c r="K1785" t="s">
        <v>450</v>
      </c>
    </row>
    <row r="1786" spans="1:11">
      <c r="A1786" s="32">
        <v>609</v>
      </c>
      <c r="B1786" s="32">
        <v>7888</v>
      </c>
      <c r="C1786" s="3">
        <v>6610000</v>
      </c>
      <c r="D1786" s="3">
        <v>70000</v>
      </c>
      <c r="E1786" s="7">
        <f t="shared" si="64"/>
        <v>6540000</v>
      </c>
      <c r="F1786" s="5">
        <v>45880</v>
      </c>
      <c r="G1786" s="4">
        <v>20250808</v>
      </c>
      <c r="H1786" s="38" t="str">
        <f>VLOOKUP(B1786,CAJEROS!B:D,3,0)</f>
        <v>Multifuncional</v>
      </c>
      <c r="I1786" s="34"/>
      <c r="J1786" s="38" t="str">
        <f>VLOOKUP(B1786,CAJEROS!B:E,4,0)</f>
        <v>MFSUCABAST2</v>
      </c>
      <c r="K1786" t="s">
        <v>450</v>
      </c>
    </row>
    <row r="1787" spans="1:11">
      <c r="A1787" s="32">
        <v>291</v>
      </c>
      <c r="B1787" s="32">
        <v>8139</v>
      </c>
      <c r="C1787" s="3">
        <v>97400</v>
      </c>
      <c r="D1787" s="3"/>
      <c r="E1787" s="7">
        <f t="shared" si="64"/>
        <v>97400</v>
      </c>
      <c r="F1787" s="5">
        <v>45880</v>
      </c>
      <c r="G1787" s="4">
        <v>20250808</v>
      </c>
      <c r="H1787" s="38" t="str">
        <f>VLOOKUP(B1787,CAJEROS!B:D,3,0)</f>
        <v>Multifuncional</v>
      </c>
      <c r="I1787" s="34"/>
      <c r="J1787" s="38" t="str">
        <f>VLOOKUP(B1787,CAJEROS!B:E,4,0)</f>
        <v>MF_LPALMAS2</v>
      </c>
      <c r="K1787" t="s">
        <v>450</v>
      </c>
    </row>
    <row r="1788" spans="1:11">
      <c r="A1788" s="32">
        <v>944</v>
      </c>
      <c r="B1788" s="32">
        <v>8354</v>
      </c>
      <c r="C1788" s="3">
        <v>19550</v>
      </c>
      <c r="D1788" s="3"/>
      <c r="E1788" s="7">
        <f t="shared" si="64"/>
        <v>19550</v>
      </c>
      <c r="F1788" s="5">
        <v>45880</v>
      </c>
      <c r="G1788" s="4">
        <v>20250808</v>
      </c>
      <c r="H1788" s="38" t="str">
        <f>VLOOKUP(B1788,CAJEROS!B:D,3,0)</f>
        <v>Multifuncional</v>
      </c>
      <c r="I1788" s="34"/>
      <c r="J1788" s="38" t="str">
        <f>VLOOKUP(B1788,CAJEROS!B:E,4,0)</f>
        <v>MF_SANTABO2</v>
      </c>
      <c r="K1788" t="s">
        <v>450</v>
      </c>
    </row>
    <row r="1789" spans="1:11">
      <c r="A1789" s="32">
        <v>795</v>
      </c>
      <c r="B1789" s="32">
        <v>1027</v>
      </c>
      <c r="C1789" s="3">
        <v>1132250</v>
      </c>
      <c r="D1789" s="3">
        <v>670000</v>
      </c>
      <c r="E1789" s="7">
        <f t="shared" si="64"/>
        <v>462250</v>
      </c>
      <c r="F1789" s="5">
        <v>45880</v>
      </c>
      <c r="G1789" s="4">
        <v>20250810</v>
      </c>
      <c r="H1789" s="38" t="str">
        <f>VLOOKUP(B1789,CAJEROS!B:D,3,0)</f>
        <v>Multifuncional</v>
      </c>
      <c r="I1789" s="34" t="s">
        <v>9</v>
      </c>
      <c r="J1789" s="38" t="str">
        <f>VLOOKUP(B1789,CAJEROS!B:E,4,0)</f>
        <v>MFSUCANVER1</v>
      </c>
      <c r="K1789" t="s">
        <v>450</v>
      </c>
    </row>
    <row r="1790" spans="1:11">
      <c r="A1790" s="32">
        <v>261</v>
      </c>
      <c r="B1790" s="32">
        <v>5048</v>
      </c>
      <c r="C1790" s="3">
        <v>410000</v>
      </c>
      <c r="D1790" s="3"/>
      <c r="E1790" s="7">
        <f t="shared" si="64"/>
        <v>410000</v>
      </c>
      <c r="F1790" s="5">
        <v>45880</v>
      </c>
      <c r="G1790" s="4">
        <v>20250810</v>
      </c>
      <c r="H1790" s="38" t="str">
        <f>VLOOKUP(B1790,CAJEROS!B:D,3,0)</f>
        <v>Multifuncional</v>
      </c>
      <c r="I1790" s="34" t="s">
        <v>9</v>
      </c>
      <c r="J1790" s="38" t="str">
        <f>VLOOKUP(B1790,CAJEROS!B:E,4,0)</f>
        <v>MF_CAMPANA</v>
      </c>
      <c r="K1790" t="s">
        <v>450</v>
      </c>
    </row>
    <row r="1791" spans="1:11">
      <c r="A1791" s="32">
        <v>419</v>
      </c>
      <c r="B1791" s="32">
        <v>5077</v>
      </c>
      <c r="C1791" s="3">
        <v>850000</v>
      </c>
      <c r="D1791" s="3"/>
      <c r="E1791" s="7">
        <f t="shared" si="64"/>
        <v>850000</v>
      </c>
      <c r="F1791" s="5">
        <v>45880</v>
      </c>
      <c r="G1791" s="4">
        <v>20250810</v>
      </c>
      <c r="H1791" s="38" t="str">
        <f>VLOOKUP(B1791,CAJEROS!B:D,3,0)</f>
        <v>Multifuncional</v>
      </c>
      <c r="I1791" s="34" t="s">
        <v>9</v>
      </c>
      <c r="J1791" s="38" t="str">
        <f>VLOOKUP(B1791,CAJEROS!B:E,4,0)</f>
        <v>MF_CPUNIBOG</v>
      </c>
      <c r="K1791" t="s">
        <v>450</v>
      </c>
    </row>
    <row r="1792" spans="1:11">
      <c r="A1792" s="32">
        <v>244</v>
      </c>
      <c r="B1792" s="32">
        <v>5129</v>
      </c>
      <c r="C1792" s="3">
        <v>400000</v>
      </c>
      <c r="D1792" s="3">
        <f>39000+335000</f>
        <v>374000</v>
      </c>
      <c r="E1792" s="7">
        <f t="shared" si="64"/>
        <v>26000</v>
      </c>
      <c r="F1792" s="5">
        <v>45880</v>
      </c>
      <c r="G1792" s="4">
        <v>20250810</v>
      </c>
      <c r="H1792" s="38" t="str">
        <f>VLOOKUP(B1792,CAJEROS!B:D,3,0)</f>
        <v>Multifuncional</v>
      </c>
      <c r="I1792" s="34" t="s">
        <v>9</v>
      </c>
      <c r="J1792" s="38" t="str">
        <f>VLOOKUP(B1792,CAJEROS!B:E,4,0)</f>
        <v>MF_TRIGALAN</v>
      </c>
      <c r="K1792" t="s">
        <v>450</v>
      </c>
    </row>
    <row r="1793" spans="1:11">
      <c r="A1793" s="32">
        <v>750</v>
      </c>
      <c r="B1793" s="32">
        <v>5157</v>
      </c>
      <c r="C1793" s="3">
        <v>1400000</v>
      </c>
      <c r="D1793" s="3">
        <v>646000</v>
      </c>
      <c r="E1793" s="7">
        <f t="shared" si="64"/>
        <v>754000</v>
      </c>
      <c r="F1793" s="5">
        <v>45880</v>
      </c>
      <c r="G1793" s="4">
        <v>20250810</v>
      </c>
      <c r="H1793" s="38" t="str">
        <f>VLOOKUP(B1793,CAJEROS!B:D,3,0)</f>
        <v>Multifuncional</v>
      </c>
      <c r="I1793" s="34" t="s">
        <v>9</v>
      </c>
      <c r="J1793" s="38" t="str">
        <f>VLOOKUP(B1793,CAJEROS!B:E,4,0)</f>
        <v>MF_AVROOSVL</v>
      </c>
      <c r="K1793" t="s">
        <v>450</v>
      </c>
    </row>
    <row r="1794" spans="1:11">
      <c r="A1794" s="32">
        <v>250</v>
      </c>
      <c r="B1794" s="32">
        <v>5197</v>
      </c>
      <c r="C1794" s="3">
        <v>100000</v>
      </c>
      <c r="D1794" s="3"/>
      <c r="E1794" s="7">
        <f t="shared" si="64"/>
        <v>100000</v>
      </c>
      <c r="F1794" s="5">
        <v>45880</v>
      </c>
      <c r="G1794" s="4">
        <v>20250810</v>
      </c>
      <c r="H1794" s="38" t="str">
        <f>VLOOKUP(B1794,CAJEROS!B:D,3,0)</f>
        <v>Multifuncional</v>
      </c>
      <c r="I1794" s="34" t="s">
        <v>9</v>
      </c>
      <c r="J1794" s="38" t="str">
        <f>VLOOKUP(B1794,CAJEROS!B:E,4,0)</f>
        <v>MF_MODELIA</v>
      </c>
      <c r="K1794" t="s">
        <v>450</v>
      </c>
    </row>
    <row r="1795" spans="1:11">
      <c r="A1795" s="32">
        <v>455</v>
      </c>
      <c r="B1795" s="32">
        <v>5206</v>
      </c>
      <c r="C1795" s="3">
        <v>770000</v>
      </c>
      <c r="D1795" s="3">
        <f>600000+140000</f>
        <v>740000</v>
      </c>
      <c r="E1795" s="7">
        <f t="shared" si="64"/>
        <v>30000</v>
      </c>
      <c r="F1795" s="5">
        <v>45880</v>
      </c>
      <c r="G1795" s="4">
        <v>20250810</v>
      </c>
      <c r="H1795" s="38" t="str">
        <f>VLOOKUP(B1795,CAJEROS!B:D,3,0)</f>
        <v>Multifuncional</v>
      </c>
      <c r="I1795" s="34" t="s">
        <v>9</v>
      </c>
      <c r="J1795" s="38" t="str">
        <f>VLOOKUP(B1795,CAJEROS!B:E,4,0)</f>
        <v>MF_CEIBAS1</v>
      </c>
      <c r="K1795" t="s">
        <v>450</v>
      </c>
    </row>
    <row r="1796" spans="1:11">
      <c r="A1796" s="32">
        <v>96</v>
      </c>
      <c r="B1796" s="32">
        <v>6735</v>
      </c>
      <c r="C1796" s="3">
        <v>1031500</v>
      </c>
      <c r="D1796" s="3"/>
      <c r="E1796" s="7">
        <f t="shared" si="64"/>
        <v>1031500</v>
      </c>
      <c r="F1796" s="5">
        <v>45880</v>
      </c>
      <c r="G1796" s="4">
        <v>20250810</v>
      </c>
      <c r="H1796" s="38" t="str">
        <f>VLOOKUP(B1796,CAJEROS!B:D,3,0)</f>
        <v>Multifuncional</v>
      </c>
      <c r="I1796" s="34" t="s">
        <v>9</v>
      </c>
      <c r="J1796" s="38" t="str">
        <f>VLOOKUP(B1796,CAJEROS!B:E,4,0)</f>
        <v>MF_MAICAO</v>
      </c>
      <c r="K1796" t="s">
        <v>450</v>
      </c>
    </row>
    <row r="1797" spans="1:11">
      <c r="A1797" s="32">
        <v>651</v>
      </c>
      <c r="B1797" s="32">
        <v>7318</v>
      </c>
      <c r="C1797" s="3">
        <v>1821000</v>
      </c>
      <c r="D1797" s="3">
        <v>1732000</v>
      </c>
      <c r="E1797" s="7">
        <f t="shared" si="64"/>
        <v>89000</v>
      </c>
      <c r="F1797" s="5">
        <v>45880</v>
      </c>
      <c r="G1797" s="4">
        <v>20250810</v>
      </c>
      <c r="H1797" s="38" t="str">
        <f>VLOOKUP(B1797,CAJEROS!B:D,3,0)</f>
        <v>Multifuncional</v>
      </c>
      <c r="I1797" s="34" t="s">
        <v>9</v>
      </c>
      <c r="J1797" s="38" t="str">
        <f>VLOOKUP(B1797,CAJEROS!B:E,4,0)</f>
        <v>MF_BARBOSA2</v>
      </c>
      <c r="K1797" t="s">
        <v>450</v>
      </c>
    </row>
    <row r="1798" spans="1:11">
      <c r="A1798" s="32">
        <v>812</v>
      </c>
      <c r="B1798" s="32">
        <v>7613</v>
      </c>
      <c r="C1798" s="3">
        <v>180000</v>
      </c>
      <c r="D1798" s="3">
        <v>144000</v>
      </c>
      <c r="E1798" s="7">
        <f t="shared" si="64"/>
        <v>36000</v>
      </c>
      <c r="F1798" s="5">
        <v>45880</v>
      </c>
      <c r="G1798" s="4">
        <v>20250810</v>
      </c>
      <c r="H1798" s="38" t="str">
        <f>VLOOKUP(B1798,CAJEROS!B:D,3,0)</f>
        <v>Multifuncional</v>
      </c>
      <c r="I1798" s="34" t="s">
        <v>9</v>
      </c>
      <c r="J1798" s="38" t="str">
        <f>VLOOKUP(B1798,CAJEROS!B:E,4,0)</f>
        <v>MF_CHPICHP2</v>
      </c>
      <c r="K1798" t="s">
        <v>450</v>
      </c>
    </row>
    <row r="1799" spans="1:11">
      <c r="A1799" s="32">
        <v>457</v>
      </c>
      <c r="B1799" s="32">
        <v>9004</v>
      </c>
      <c r="C1799" s="3">
        <v>2750000</v>
      </c>
      <c r="D1799" s="3">
        <f>2700000+6000</f>
        <v>2706000</v>
      </c>
      <c r="E1799" s="7">
        <f t="shared" si="64"/>
        <v>44000</v>
      </c>
      <c r="F1799" s="5">
        <v>45880</v>
      </c>
      <c r="G1799" s="4">
        <v>20250810</v>
      </c>
      <c r="H1799" s="38" t="str">
        <f>VLOOKUP(B1799,CAJEROS!B:D,3,0)</f>
        <v>Multifuncional</v>
      </c>
      <c r="I1799" s="34" t="s">
        <v>9</v>
      </c>
      <c r="J1799" s="38" t="str">
        <f>VLOOKUP(B1799,CAJEROS!B:E,4,0)</f>
        <v>MF_SSANPED1</v>
      </c>
      <c r="K1799" t="s">
        <v>450</v>
      </c>
    </row>
    <row r="1800" spans="1:11">
      <c r="A1800" s="32">
        <v>876</v>
      </c>
      <c r="B1800" s="32">
        <v>9682</v>
      </c>
      <c r="C1800" s="3">
        <v>892400</v>
      </c>
      <c r="D1800" s="3">
        <f>630000+250000</f>
        <v>880000</v>
      </c>
      <c r="E1800" s="7">
        <f t="shared" si="64"/>
        <v>12400</v>
      </c>
      <c r="F1800" s="5">
        <v>45880</v>
      </c>
      <c r="G1800" s="4">
        <v>20250810</v>
      </c>
      <c r="H1800" s="38" t="str">
        <f>VLOOKUP(B1800,CAJEROS!B:D,3,0)</f>
        <v>Multifuncional</v>
      </c>
      <c r="I1800" s="34" t="s">
        <v>9</v>
      </c>
      <c r="J1800" s="38" t="str">
        <f>VLOOKUP(B1800,CAJEROS!B:E,4,0)</f>
        <v>MF_VILCAM1</v>
      </c>
      <c r="K1800" t="s">
        <v>450</v>
      </c>
    </row>
    <row r="1801" spans="1:11">
      <c r="A1801" s="32">
        <v>499</v>
      </c>
      <c r="B1801" s="32">
        <v>9810</v>
      </c>
      <c r="C1801" s="3">
        <v>1120000</v>
      </c>
      <c r="D1801" s="3">
        <v>520000</v>
      </c>
      <c r="E1801" s="7">
        <f t="shared" si="64"/>
        <v>600000</v>
      </c>
      <c r="F1801" s="5">
        <v>45880</v>
      </c>
      <c r="G1801" s="4">
        <v>20250810</v>
      </c>
      <c r="H1801" s="38" t="str">
        <f>VLOOKUP(B1801,CAJEROS!B:D,3,0)</f>
        <v>Multifuncional</v>
      </c>
      <c r="I1801" s="34" t="s">
        <v>9</v>
      </c>
      <c r="J1801" s="38" t="str">
        <f>VLOOKUP(B1801,CAJEROS!B:E,4,0)</f>
        <v>MF_SUCPARF1</v>
      </c>
      <c r="K1801" t="s">
        <v>450</v>
      </c>
    </row>
    <row r="1802" spans="1:11">
      <c r="A1802" s="32">
        <v>57</v>
      </c>
      <c r="B1802" s="32">
        <v>9963</v>
      </c>
      <c r="C1802" s="3">
        <v>190000</v>
      </c>
      <c r="D1802" s="3">
        <v>135000</v>
      </c>
      <c r="E1802" s="7">
        <f t="shared" si="64"/>
        <v>55000</v>
      </c>
      <c r="F1802" s="5">
        <v>45880</v>
      </c>
      <c r="G1802" s="4">
        <v>20250810</v>
      </c>
      <c r="H1802" s="38" t="str">
        <f>VLOOKUP(B1802,CAJEROS!B:D,3,0)</f>
        <v>Multifuncional</v>
      </c>
      <c r="I1802" s="34" t="s">
        <v>9</v>
      </c>
      <c r="J1802" s="38" t="str">
        <f>VLOOKUP(B1802,CAJEROS!B:E,4,0)</f>
        <v>MF_VILLAVI1</v>
      </c>
      <c r="K1802" t="s">
        <v>450</v>
      </c>
    </row>
    <row r="1803" spans="1:11">
      <c r="A1803" s="32">
        <v>337</v>
      </c>
      <c r="B1803" s="32">
        <v>6253</v>
      </c>
      <c r="C1803" s="3">
        <v>28000</v>
      </c>
      <c r="D1803" s="3"/>
      <c r="E1803" s="7">
        <f t="shared" si="64"/>
        <v>28000</v>
      </c>
      <c r="F1803" s="5">
        <v>45877</v>
      </c>
      <c r="G1803" s="4">
        <v>20250808</v>
      </c>
      <c r="H1803" s="38" t="str">
        <f>VLOOKUP(B1803,CAJEROS!B:D,3,0)</f>
        <v>Multifuncional</v>
      </c>
      <c r="I1803" s="34" t="s">
        <v>451</v>
      </c>
      <c r="J1803" s="38" t="str">
        <f>VLOOKUP(B1803,CAJEROS!B:E,4,0)</f>
        <v>MF_CHIA</v>
      </c>
      <c r="K1803" t="s">
        <v>450</v>
      </c>
    </row>
    <row r="1804" spans="1:11">
      <c r="A1804" s="32">
        <v>213</v>
      </c>
      <c r="B1804" s="32">
        <v>5595</v>
      </c>
      <c r="C1804" s="3">
        <v>1650000</v>
      </c>
      <c r="D1804" s="3"/>
      <c r="E1804" s="7">
        <f t="shared" si="64"/>
        <v>1650000</v>
      </c>
      <c r="F1804" s="5">
        <v>45881</v>
      </c>
      <c r="G1804" s="4">
        <v>20250811</v>
      </c>
      <c r="H1804" s="38" t="str">
        <f>VLOOKUP(B1804,CAJEROS!B:D,3,0)</f>
        <v>Dispensador</v>
      </c>
      <c r="I1804" s="34"/>
      <c r="J1804" s="38" t="str">
        <f>VLOOKUP(B1804,CAJEROS!B:E,4,0)</f>
        <v>CCMILPLAZA2</v>
      </c>
      <c r="K1804" t="s">
        <v>450</v>
      </c>
    </row>
    <row r="1805" spans="1:11">
      <c r="A1805" s="32">
        <v>523</v>
      </c>
      <c r="B1805" s="32">
        <v>3997</v>
      </c>
      <c r="C1805" s="3">
        <v>100000</v>
      </c>
      <c r="D1805" s="3"/>
      <c r="E1805" s="7">
        <f t="shared" si="64"/>
        <v>100000</v>
      </c>
      <c r="F1805" s="5">
        <v>45881</v>
      </c>
      <c r="G1805" s="4">
        <v>20250811</v>
      </c>
      <c r="H1805" s="38" t="str">
        <f>VLOOKUP(B1805,CAJEROS!B:D,3,0)</f>
        <v>Dispensador</v>
      </c>
      <c r="I1805" s="34"/>
      <c r="J1805" s="38" t="str">
        <f>VLOOKUP(B1805,CAJEROS!B:E,4,0)</f>
        <v>SUC_OVALLE3</v>
      </c>
      <c r="K1805" t="s">
        <v>450</v>
      </c>
    </row>
    <row r="1806" spans="1:11">
      <c r="A1806" s="32">
        <v>554</v>
      </c>
      <c r="B1806" s="32">
        <v>8297</v>
      </c>
      <c r="C1806" s="3">
        <v>2700000</v>
      </c>
      <c r="D1806" s="3"/>
      <c r="E1806" s="7">
        <f t="shared" si="64"/>
        <v>2700000</v>
      </c>
      <c r="F1806" s="5">
        <v>45881</v>
      </c>
      <c r="G1806" s="4">
        <v>20250811</v>
      </c>
      <c r="H1806" s="38" t="str">
        <f>VLOOKUP(B1806,CAJEROS!B:D,3,0)</f>
        <v>Dispensador</v>
      </c>
      <c r="I1806" s="34"/>
      <c r="J1806" s="38" t="str">
        <f>VLOOKUP(B1806,CAJEROS!B:E,4,0)</f>
        <v>SUCBUEVIII2</v>
      </c>
      <c r="K1806" t="s">
        <v>450</v>
      </c>
    </row>
    <row r="1807" spans="1:11">
      <c r="A1807" s="32">
        <v>554</v>
      </c>
      <c r="B1807" s="32">
        <v>8298</v>
      </c>
      <c r="C1807" s="3">
        <v>710000</v>
      </c>
      <c r="D1807" s="3"/>
      <c r="E1807" s="7">
        <f t="shared" si="64"/>
        <v>710000</v>
      </c>
      <c r="F1807" s="5">
        <v>45881</v>
      </c>
      <c r="G1807" s="4">
        <v>20250811</v>
      </c>
      <c r="H1807" s="38" t="str">
        <f>VLOOKUP(B1807,CAJEROS!B:D,3,0)</f>
        <v>Dispensador</v>
      </c>
      <c r="I1807" s="34"/>
      <c r="J1807" s="38" t="str">
        <f>VLOOKUP(B1807,CAJEROS!B:E,4,0)</f>
        <v>SUCBUEVIII3</v>
      </c>
      <c r="K1807" t="s">
        <v>450</v>
      </c>
    </row>
    <row r="1808" spans="1:11">
      <c r="A1808" s="32">
        <v>672</v>
      </c>
      <c r="B1808" s="32">
        <v>8374</v>
      </c>
      <c r="C1808" s="3">
        <v>2250000</v>
      </c>
      <c r="D1808" s="3"/>
      <c r="E1808" s="7">
        <f t="shared" si="64"/>
        <v>2250000</v>
      </c>
      <c r="F1808" s="5">
        <v>45881</v>
      </c>
      <c r="G1808" s="4">
        <v>20250811</v>
      </c>
      <c r="H1808" s="38" t="str">
        <f>VLOOKUP(B1808,CAJEROS!B:D,3,0)</f>
        <v>Dispensador</v>
      </c>
      <c r="I1808" s="34"/>
      <c r="J1808" s="38" t="str">
        <f>VLOOKUP(B1808,CAJEROS!B:E,4,0)</f>
        <v>SUCSONSON_1</v>
      </c>
      <c r="K1808" t="s">
        <v>450</v>
      </c>
    </row>
    <row r="1809" spans="1:11">
      <c r="A1809" s="32">
        <v>705</v>
      </c>
      <c r="B1809" s="32">
        <v>4152</v>
      </c>
      <c r="C1809" s="3">
        <v>410000</v>
      </c>
      <c r="D1809" s="3"/>
      <c r="E1809" s="7">
        <f t="shared" si="64"/>
        <v>410000</v>
      </c>
      <c r="F1809" s="5">
        <v>45881</v>
      </c>
      <c r="G1809" s="4">
        <v>20250811</v>
      </c>
      <c r="H1809" s="38" t="str">
        <f>VLOOKUP(B1809,CAJEROS!B:D,3,0)</f>
        <v>Dispensador</v>
      </c>
      <c r="I1809" s="34"/>
      <c r="J1809" s="38" t="str">
        <f>VLOOKUP(B1809,CAJEROS!B:E,4,0)</f>
        <v>SUC_BAGRE2</v>
      </c>
      <c r="K1809" t="s">
        <v>450</v>
      </c>
    </row>
    <row r="1810" spans="1:11">
      <c r="A1810" s="32">
        <v>40</v>
      </c>
      <c r="B1810" s="32">
        <v>7990</v>
      </c>
      <c r="C1810" s="3">
        <v>1000000</v>
      </c>
      <c r="D1810" s="3"/>
      <c r="E1810" s="7">
        <f t="shared" ref="E1810:E1873" si="65">+C1810-D1810</f>
        <v>1000000</v>
      </c>
      <c r="F1810" s="5">
        <v>45881</v>
      </c>
      <c r="G1810" s="4">
        <v>20250811</v>
      </c>
      <c r="H1810" s="38" t="str">
        <f>VLOOKUP(B1810,CAJEROS!B:D,3,0)</f>
        <v>Dispensador</v>
      </c>
      <c r="I1810" s="34" t="s">
        <v>9</v>
      </c>
      <c r="J1810" s="38" t="str">
        <f>VLOOKUP(B1810,CAJEROS!B:E,4,0)</f>
        <v>SUCCENT93_1</v>
      </c>
      <c r="K1810" t="s">
        <v>450</v>
      </c>
    </row>
    <row r="1811" spans="1:11">
      <c r="A1811" s="32">
        <v>57</v>
      </c>
      <c r="B1811" s="32">
        <v>9962</v>
      </c>
      <c r="C1811" s="3">
        <v>80000</v>
      </c>
      <c r="D1811" s="3"/>
      <c r="E1811" s="7">
        <f t="shared" si="65"/>
        <v>80000</v>
      </c>
      <c r="F1811" s="5">
        <v>45881</v>
      </c>
      <c r="G1811" s="4">
        <v>20250811</v>
      </c>
      <c r="H1811" s="38" t="str">
        <f>VLOOKUP(B1811,CAJEROS!B:D,3,0)</f>
        <v>Dispensador</v>
      </c>
      <c r="I1811" s="34" t="s">
        <v>9</v>
      </c>
      <c r="J1811" s="38" t="str">
        <f>VLOOKUP(B1811,CAJEROS!B:E,4,0)</f>
        <v>SUC_VILLAO8</v>
      </c>
      <c r="K1811" t="s">
        <v>450</v>
      </c>
    </row>
    <row r="1812" spans="1:11">
      <c r="A1812" s="32">
        <v>60</v>
      </c>
      <c r="B1812" s="32">
        <v>8725</v>
      </c>
      <c r="C1812" s="3">
        <v>90000</v>
      </c>
      <c r="D1812" s="3">
        <v>70000</v>
      </c>
      <c r="E1812" s="7">
        <f t="shared" si="65"/>
        <v>20000</v>
      </c>
      <c r="F1812" s="5">
        <v>45881</v>
      </c>
      <c r="G1812" s="4">
        <v>20250811</v>
      </c>
      <c r="H1812" s="38" t="str">
        <f>VLOOKUP(B1812,CAJEROS!B:D,3,0)</f>
        <v>Dispensador</v>
      </c>
      <c r="I1812" s="34" t="s">
        <v>9</v>
      </c>
      <c r="J1812" s="38" t="str">
        <f>VLOOKUP(B1812,CAJEROS!B:E,4,0)</f>
        <v>HALLCALIPR7</v>
      </c>
      <c r="K1812" t="s">
        <v>450</v>
      </c>
    </row>
    <row r="1813" spans="1:11">
      <c r="A1813" s="32">
        <v>64</v>
      </c>
      <c r="B1813" s="32">
        <v>6605</v>
      </c>
      <c r="C1813" s="3">
        <v>100000</v>
      </c>
      <c r="D1813" s="3"/>
      <c r="E1813" s="7">
        <f t="shared" si="65"/>
        <v>100000</v>
      </c>
      <c r="F1813" s="5">
        <v>45881</v>
      </c>
      <c r="G1813" s="4">
        <v>20250811</v>
      </c>
      <c r="H1813" s="38" t="str">
        <f>VLOOKUP(B1813,CAJEROS!B:D,3,0)</f>
        <v>Dispensador</v>
      </c>
      <c r="I1813" s="34" t="s">
        <v>9</v>
      </c>
      <c r="J1813" s="38" t="str">
        <f>VLOOKUP(B1813,CAJEROS!B:E,4,0)</f>
        <v>VIPASA_6_R</v>
      </c>
      <c r="K1813" t="s">
        <v>450</v>
      </c>
    </row>
    <row r="1814" spans="1:11">
      <c r="A1814" s="32">
        <v>96</v>
      </c>
      <c r="B1814" s="32">
        <v>1036</v>
      </c>
      <c r="C1814" s="3">
        <v>200000</v>
      </c>
      <c r="D1814" s="3"/>
      <c r="E1814" s="7">
        <f t="shared" si="65"/>
        <v>200000</v>
      </c>
      <c r="F1814" s="5">
        <v>45881</v>
      </c>
      <c r="G1814" s="4">
        <v>20250811</v>
      </c>
      <c r="H1814" s="38" t="str">
        <f>VLOOKUP(B1814,CAJEROS!B:D,3,0)</f>
        <v>Dispensador</v>
      </c>
      <c r="I1814" s="34" t="s">
        <v>9</v>
      </c>
      <c r="J1814" s="38" t="str">
        <f>VLOOKUP(B1814,CAJEROS!B:E,4,0)</f>
        <v>SUC_MAICAO2</v>
      </c>
      <c r="K1814" t="s">
        <v>450</v>
      </c>
    </row>
    <row r="1815" spans="1:11">
      <c r="A1815" s="32">
        <v>111</v>
      </c>
      <c r="B1815" s="32">
        <v>5671</v>
      </c>
      <c r="C1815" s="3">
        <v>100000</v>
      </c>
      <c r="D1815" s="3">
        <v>60000</v>
      </c>
      <c r="E1815" s="7">
        <f t="shared" si="65"/>
        <v>40000</v>
      </c>
      <c r="F1815" s="5">
        <v>45881</v>
      </c>
      <c r="G1815" s="4">
        <v>20250811</v>
      </c>
      <c r="H1815" s="38" t="str">
        <f>VLOOKUP(B1815,CAJEROS!B:D,3,0)</f>
        <v>Dispensador</v>
      </c>
      <c r="I1815" s="34" t="s">
        <v>9</v>
      </c>
      <c r="J1815" s="38" t="str">
        <f>VLOOKUP(B1815,CAJEROS!B:E,4,0)</f>
        <v>SUC_COROZ3</v>
      </c>
      <c r="K1815" t="s">
        <v>450</v>
      </c>
    </row>
    <row r="1816" spans="1:11">
      <c r="A1816" s="32">
        <v>162</v>
      </c>
      <c r="B1816" s="32">
        <v>1620</v>
      </c>
      <c r="C1816" s="3">
        <v>50000</v>
      </c>
      <c r="D1816" s="3">
        <v>20000</v>
      </c>
      <c r="E1816" s="7">
        <f t="shared" si="65"/>
        <v>30000</v>
      </c>
      <c r="F1816" s="5">
        <v>45881</v>
      </c>
      <c r="G1816" s="4">
        <v>20250811</v>
      </c>
      <c r="H1816" s="38" t="str">
        <f>VLOOKUP(B1816,CAJEROS!B:D,3,0)</f>
        <v>Dispensador</v>
      </c>
      <c r="I1816" s="34" t="s">
        <v>9</v>
      </c>
      <c r="J1816" s="38" t="str">
        <f>VLOOKUP(B1816,CAJEROS!B:E,4,0)</f>
        <v>SAN_PEDRO</v>
      </c>
      <c r="K1816" t="s">
        <v>450</v>
      </c>
    </row>
    <row r="1817" spans="1:11">
      <c r="A1817" s="32">
        <v>162</v>
      </c>
      <c r="B1817" s="32">
        <v>5384</v>
      </c>
      <c r="C1817" s="3">
        <v>50000</v>
      </c>
      <c r="D1817" s="3"/>
      <c r="E1817" s="7">
        <f t="shared" si="65"/>
        <v>50000</v>
      </c>
      <c r="F1817" s="5">
        <v>45881</v>
      </c>
      <c r="G1817" s="4">
        <v>20250811</v>
      </c>
      <c r="H1817" s="38" t="str">
        <f>VLOOKUP(B1817,CAJEROS!B:D,3,0)</f>
        <v>Dispensador</v>
      </c>
      <c r="I1817" s="34" t="s">
        <v>9</v>
      </c>
      <c r="J1817" s="38" t="str">
        <f>VLOOKUP(B1817,CAJEROS!B:E,4,0)</f>
        <v>SAN_PEDRO2</v>
      </c>
      <c r="K1817" t="s">
        <v>450</v>
      </c>
    </row>
    <row r="1818" spans="1:11">
      <c r="A1818" s="32">
        <v>178</v>
      </c>
      <c r="B1818" s="32">
        <v>1755</v>
      </c>
      <c r="C1818" s="3">
        <v>200000</v>
      </c>
      <c r="D1818" s="3"/>
      <c r="E1818" s="7">
        <f t="shared" si="65"/>
        <v>200000</v>
      </c>
      <c r="F1818" s="5">
        <v>45881</v>
      </c>
      <c r="G1818" s="4">
        <v>20250811</v>
      </c>
      <c r="H1818" s="38" t="str">
        <f>VLOOKUP(B1818,CAJEROS!B:D,3,0)</f>
        <v>Dispensador</v>
      </c>
      <c r="I1818" s="34" t="s">
        <v>9</v>
      </c>
      <c r="J1818" s="38" t="str">
        <f>VLOOKUP(B1818,CAJEROS!B:E,4,0)</f>
        <v>FULLFCIERO</v>
      </c>
      <c r="K1818" t="s">
        <v>450</v>
      </c>
    </row>
    <row r="1819" spans="1:11">
      <c r="A1819" s="32">
        <v>287</v>
      </c>
      <c r="B1819" s="32">
        <v>906</v>
      </c>
      <c r="C1819" s="3">
        <v>800000</v>
      </c>
      <c r="D1819" s="3"/>
      <c r="E1819" s="7">
        <f t="shared" si="65"/>
        <v>800000</v>
      </c>
      <c r="F1819" s="5">
        <v>45881</v>
      </c>
      <c r="G1819" s="4">
        <v>20250811</v>
      </c>
      <c r="H1819" s="38" t="str">
        <f>VLOOKUP(B1819,CAJEROS!B:D,3,0)</f>
        <v>Dispensador</v>
      </c>
      <c r="I1819" s="34" t="s">
        <v>9</v>
      </c>
      <c r="J1819" s="38" t="str">
        <f>VLOOKUP(B1819,CAJEROS!B:E,4,0)</f>
        <v>ABASTOBGA_2</v>
      </c>
      <c r="K1819" t="s">
        <v>450</v>
      </c>
    </row>
    <row r="1820" spans="1:11">
      <c r="A1820" s="32">
        <v>289</v>
      </c>
      <c r="B1820" s="32">
        <v>4593</v>
      </c>
      <c r="C1820" s="3">
        <v>300000</v>
      </c>
      <c r="D1820" s="3">
        <v>280000</v>
      </c>
      <c r="E1820" s="7">
        <f t="shared" si="65"/>
        <v>20000</v>
      </c>
      <c r="F1820" s="5">
        <v>45881</v>
      </c>
      <c r="G1820" s="4">
        <v>20250811</v>
      </c>
      <c r="H1820" s="38" t="str">
        <f>VLOOKUP(B1820,CAJEROS!B:D,3,0)</f>
        <v>Dispensador</v>
      </c>
      <c r="I1820" s="34" t="s">
        <v>9</v>
      </c>
      <c r="J1820" s="38" t="str">
        <f>VLOOKUP(B1820,CAJEROS!B:E,4,0)</f>
        <v>SUC_PGAIT3</v>
      </c>
      <c r="K1820" t="s">
        <v>450</v>
      </c>
    </row>
    <row r="1821" spans="1:11">
      <c r="A1821" s="32">
        <v>536</v>
      </c>
      <c r="B1821" s="32">
        <v>4796</v>
      </c>
      <c r="C1821" s="3">
        <v>80000</v>
      </c>
      <c r="D1821" s="3">
        <v>50000</v>
      </c>
      <c r="E1821" s="7">
        <f t="shared" si="65"/>
        <v>30000</v>
      </c>
      <c r="F1821" s="5">
        <v>45881</v>
      </c>
      <c r="G1821" s="4">
        <v>20250811</v>
      </c>
      <c r="H1821" s="38" t="str">
        <f>VLOOKUP(B1821,CAJEROS!B:D,3,0)</f>
        <v>Dispensador</v>
      </c>
      <c r="I1821" s="34" t="s">
        <v>9</v>
      </c>
      <c r="J1821" s="38" t="str">
        <f>VLOOKUP(B1821,CAJEROS!B:E,4,0)</f>
        <v>SUC_QUIBDO3</v>
      </c>
      <c r="K1821" t="s">
        <v>450</v>
      </c>
    </row>
    <row r="1822" spans="1:11">
      <c r="A1822" s="32">
        <v>601</v>
      </c>
      <c r="B1822" s="32">
        <v>6419</v>
      </c>
      <c r="C1822" s="3">
        <v>50000</v>
      </c>
      <c r="D1822" s="3"/>
      <c r="E1822" s="7">
        <f t="shared" si="65"/>
        <v>50000</v>
      </c>
      <c r="F1822" s="5">
        <v>45881</v>
      </c>
      <c r="G1822" s="4">
        <v>20250811</v>
      </c>
      <c r="H1822" s="38" t="str">
        <f>VLOOKUP(B1822,CAJEROS!B:D,3,0)</f>
        <v>Dispensador</v>
      </c>
      <c r="I1822" s="34" t="s">
        <v>9</v>
      </c>
      <c r="J1822" s="38" t="str">
        <f>VLOOKUP(B1822,CAJEROS!B:E,4,0)</f>
        <v>SUC_PQCOL1</v>
      </c>
      <c r="K1822" t="s">
        <v>450</v>
      </c>
    </row>
    <row r="1823" spans="1:11">
      <c r="A1823" s="32">
        <v>764</v>
      </c>
      <c r="B1823" s="32">
        <v>4312</v>
      </c>
      <c r="C1823" s="3">
        <v>100000</v>
      </c>
      <c r="D1823" s="3"/>
      <c r="E1823" s="7">
        <f t="shared" si="65"/>
        <v>100000</v>
      </c>
      <c r="F1823" s="5">
        <v>45881</v>
      </c>
      <c r="G1823" s="4">
        <v>20250811</v>
      </c>
      <c r="H1823" s="38" t="str">
        <f>VLOOKUP(B1823,CAJEROS!B:D,3,0)</f>
        <v>Dispensador</v>
      </c>
      <c r="I1823" s="34" t="s">
        <v>9</v>
      </c>
      <c r="J1823" s="38" t="str">
        <f>VLOOKUP(B1823,CAJEROS!B:E,4,0)</f>
        <v>SUC_JAMUN2</v>
      </c>
      <c r="K1823" t="s">
        <v>450</v>
      </c>
    </row>
    <row r="1824" spans="1:11">
      <c r="A1824" s="32">
        <v>780</v>
      </c>
      <c r="B1824" s="32">
        <v>4713</v>
      </c>
      <c r="C1824" s="3">
        <v>130000</v>
      </c>
      <c r="D1824" s="3"/>
      <c r="E1824" s="7">
        <f t="shared" si="65"/>
        <v>130000</v>
      </c>
      <c r="F1824" s="5">
        <v>45881</v>
      </c>
      <c r="G1824" s="4">
        <v>20250811</v>
      </c>
      <c r="H1824" s="38" t="str">
        <f>VLOOKUP(B1824,CAJEROS!B:D,3,0)</f>
        <v>Dispensador</v>
      </c>
      <c r="I1824" s="34" t="s">
        <v>9</v>
      </c>
      <c r="J1824" s="38" t="str">
        <f>VLOOKUP(B1824,CAJEROS!B:E,4,0)</f>
        <v>SUCREALMIN1</v>
      </c>
      <c r="K1824" t="s">
        <v>450</v>
      </c>
    </row>
    <row r="1825" spans="1:11">
      <c r="A1825" s="32">
        <v>108</v>
      </c>
      <c r="B1825" s="32">
        <v>2254</v>
      </c>
      <c r="C1825" s="3">
        <v>513000</v>
      </c>
      <c r="D1825" s="3"/>
      <c r="E1825" s="7">
        <f t="shared" si="65"/>
        <v>513000</v>
      </c>
      <c r="F1825" s="5">
        <v>45881</v>
      </c>
      <c r="G1825" s="4">
        <v>20250811</v>
      </c>
      <c r="H1825" s="38" t="str">
        <f>VLOOKUP(B1825,CAJEROS!B:D,3,0)</f>
        <v>Multifuncional</v>
      </c>
      <c r="I1825" s="34"/>
      <c r="J1825" s="38" t="str">
        <f>VLOOKUP(B1825,CAJEROS!B:E,4,0)</f>
        <v>MFSUCPAMER2</v>
      </c>
      <c r="K1825" t="s">
        <v>450</v>
      </c>
    </row>
    <row r="1826" spans="1:11">
      <c r="A1826" s="32">
        <v>101</v>
      </c>
      <c r="B1826" s="32">
        <v>5128</v>
      </c>
      <c r="C1826" s="3">
        <v>3744000</v>
      </c>
      <c r="D1826" s="3">
        <v>2039000</v>
      </c>
      <c r="E1826" s="7">
        <f t="shared" si="65"/>
        <v>1705000</v>
      </c>
      <c r="F1826" s="5">
        <v>45881</v>
      </c>
      <c r="G1826" s="4">
        <v>20250811</v>
      </c>
      <c r="H1826" s="38" t="str">
        <f>VLOOKUP(B1826,CAJEROS!B:D,3,0)</f>
        <v>Multifuncional</v>
      </c>
      <c r="I1826" s="34"/>
      <c r="J1826" s="38" t="str">
        <f>VLOOKUP(B1826,CAJEROS!B:E,4,0)</f>
        <v>MF_MULTDRIV</v>
      </c>
      <c r="K1826" t="s">
        <v>450</v>
      </c>
    </row>
    <row r="1827" spans="1:11">
      <c r="A1827" s="32">
        <v>946</v>
      </c>
      <c r="B1827" s="32">
        <v>5225</v>
      </c>
      <c r="C1827" s="3">
        <v>800000</v>
      </c>
      <c r="D1827" s="3">
        <v>50000</v>
      </c>
      <c r="E1827" s="7">
        <f t="shared" si="65"/>
        <v>750000</v>
      </c>
      <c r="F1827" s="5">
        <v>45881</v>
      </c>
      <c r="G1827" s="4">
        <v>20250811</v>
      </c>
      <c r="H1827" s="38" t="str">
        <f>VLOOKUP(B1827,CAJEROS!B:D,3,0)</f>
        <v>Multifuncional</v>
      </c>
      <c r="I1827" s="34"/>
      <c r="J1827" s="38" t="str">
        <f>VLOOKUP(B1827,CAJEROS!B:E,4,0)</f>
        <v>MF_SABANACH</v>
      </c>
      <c r="K1827" t="s">
        <v>450</v>
      </c>
    </row>
    <row r="1828" spans="1:11">
      <c r="A1828" s="32">
        <v>554</v>
      </c>
      <c r="B1828" s="32">
        <v>8295</v>
      </c>
      <c r="C1828" s="3">
        <v>1670000</v>
      </c>
      <c r="D1828" s="3"/>
      <c r="E1828" s="7">
        <f t="shared" si="65"/>
        <v>1670000</v>
      </c>
      <c r="F1828" s="5">
        <v>45881</v>
      </c>
      <c r="G1828" s="4">
        <v>20250811</v>
      </c>
      <c r="H1828" s="38" t="str">
        <f>VLOOKUP(B1828,CAJEROS!B:D,3,0)</f>
        <v>Multifuncional</v>
      </c>
      <c r="I1828" s="34"/>
      <c r="J1828" s="38" t="str">
        <f>VLOOKUP(B1828,CAJEROS!B:E,4,0)</f>
        <v>MF_SBUVIII2</v>
      </c>
      <c r="K1828" t="s">
        <v>450</v>
      </c>
    </row>
    <row r="1829" spans="1:11">
      <c r="A1829" s="32">
        <v>944</v>
      </c>
      <c r="B1829" s="32">
        <v>8353</v>
      </c>
      <c r="C1829" s="3">
        <v>5435000</v>
      </c>
      <c r="D1829" s="3">
        <v>455600</v>
      </c>
      <c r="E1829" s="7">
        <f t="shared" si="65"/>
        <v>4979400</v>
      </c>
      <c r="F1829" s="5">
        <v>45881</v>
      </c>
      <c r="G1829" s="4">
        <v>20250811</v>
      </c>
      <c r="H1829" s="38" t="str">
        <f>VLOOKUP(B1829,CAJEROS!B:D,3,0)</f>
        <v>Multifuncional</v>
      </c>
      <c r="I1829" s="34"/>
      <c r="J1829" s="38" t="str">
        <f>VLOOKUP(B1829,CAJEROS!B:E,4,0)</f>
        <v>MF_SANTABO1</v>
      </c>
      <c r="K1829" t="s">
        <v>450</v>
      </c>
    </row>
    <row r="1830" spans="1:11">
      <c r="A1830" s="32">
        <v>721</v>
      </c>
      <c r="B1830" s="32">
        <v>8897</v>
      </c>
      <c r="C1830" s="3">
        <v>500000</v>
      </c>
      <c r="D1830" s="3"/>
      <c r="E1830" s="7">
        <f t="shared" si="65"/>
        <v>500000</v>
      </c>
      <c r="F1830" s="5">
        <v>45881</v>
      </c>
      <c r="G1830" s="4">
        <v>20250811</v>
      </c>
      <c r="H1830" s="38" t="str">
        <f>VLOOKUP(B1830,CAJEROS!B:D,3,0)</f>
        <v>Multifuncional</v>
      </c>
      <c r="I1830" s="34"/>
      <c r="J1830" s="38" t="str">
        <f>VLOOKUP(B1830,CAJEROS!B:E,4,0)</f>
        <v>MFSUCLAGO2</v>
      </c>
      <c r="K1830" t="s">
        <v>450</v>
      </c>
    </row>
    <row r="1831" spans="1:11">
      <c r="A1831" s="32">
        <v>890</v>
      </c>
      <c r="B1831" s="32">
        <v>9584</v>
      </c>
      <c r="C1831" s="3">
        <v>12500</v>
      </c>
      <c r="D1831" s="3"/>
      <c r="E1831" s="7">
        <f t="shared" si="65"/>
        <v>12500</v>
      </c>
      <c r="F1831" s="5">
        <v>45881</v>
      </c>
      <c r="G1831" s="4">
        <v>20250811</v>
      </c>
      <c r="H1831" s="38" t="str">
        <f>VLOOKUP(B1831,CAJEROS!B:D,3,0)</f>
        <v>Multifuncional</v>
      </c>
      <c r="I1831" s="34"/>
      <c r="J1831" s="38" t="str">
        <f>VLOOKUP(B1831,CAJEROS!B:E,4,0)</f>
        <v>MFSUCACACI1</v>
      </c>
      <c r="K1831" t="s">
        <v>450</v>
      </c>
    </row>
    <row r="1832" spans="1:11">
      <c r="A1832" s="32">
        <v>551</v>
      </c>
      <c r="B1832" s="32">
        <v>9644</v>
      </c>
      <c r="C1832" s="3">
        <v>127457700</v>
      </c>
      <c r="D1832" s="3">
        <f>62002950+41286600+1330000</f>
        <v>104619550</v>
      </c>
      <c r="E1832" s="7">
        <f t="shared" si="65"/>
        <v>22838150</v>
      </c>
      <c r="F1832" s="5">
        <v>45881</v>
      </c>
      <c r="G1832" s="4">
        <v>20250811</v>
      </c>
      <c r="H1832" s="38" t="str">
        <f>VLOOKUP(B1832,CAJEROS!B:D,3,0)</f>
        <v>Multifuncional</v>
      </c>
      <c r="I1832" s="34"/>
      <c r="J1832" s="38" t="str">
        <f>VLOOKUP(B1832,CAJEROS!B:E,4,0)</f>
        <v>MFSUCUNIME2</v>
      </c>
      <c r="K1832" t="s">
        <v>450</v>
      </c>
    </row>
    <row r="1833" spans="1:11">
      <c r="A1833" s="32">
        <v>331</v>
      </c>
      <c r="B1833" s="32">
        <v>575</v>
      </c>
      <c r="C1833" s="3">
        <v>1606500</v>
      </c>
      <c r="D1833" s="3"/>
      <c r="E1833" s="7">
        <f t="shared" si="65"/>
        <v>1606500</v>
      </c>
      <c r="F1833" s="5">
        <v>45881</v>
      </c>
      <c r="G1833" s="4">
        <v>20250811</v>
      </c>
      <c r="H1833" s="38" t="str">
        <f>VLOOKUP(B1833,CAJEROS!B:D,3,0)</f>
        <v>Multifuncional</v>
      </c>
      <c r="I1833" s="34" t="s">
        <v>9</v>
      </c>
      <c r="J1833" s="38" t="str">
        <f>VLOOKUP(B1833,CAJEROS!B:E,4,0)</f>
        <v>MF_SUCARKA2</v>
      </c>
      <c r="K1833" t="s">
        <v>450</v>
      </c>
    </row>
    <row r="1834" spans="1:11">
      <c r="A1834" s="32">
        <v>395</v>
      </c>
      <c r="B1834" s="32">
        <v>1528</v>
      </c>
      <c r="C1834" s="3">
        <v>280000</v>
      </c>
      <c r="D1834" s="3">
        <v>90000</v>
      </c>
      <c r="E1834" s="7">
        <f t="shared" si="65"/>
        <v>190000</v>
      </c>
      <c r="F1834" s="5">
        <v>45881</v>
      </c>
      <c r="G1834" s="4">
        <v>20250811</v>
      </c>
      <c r="H1834" s="38" t="str">
        <f>VLOOKUP(B1834,CAJEROS!B:D,3,0)</f>
        <v>Multifuncional</v>
      </c>
      <c r="I1834" s="34" t="s">
        <v>9</v>
      </c>
      <c r="J1834" s="38" t="str">
        <f>VLOOKUP(B1834,CAJEROS!B:E,4,0)</f>
        <v>SUCMFVIVCI1</v>
      </c>
      <c r="K1834" t="s">
        <v>450</v>
      </c>
    </row>
    <row r="1835" spans="1:11">
      <c r="A1835" s="32">
        <v>395</v>
      </c>
      <c r="B1835" s="32">
        <v>1529</v>
      </c>
      <c r="C1835" s="3">
        <v>1330000</v>
      </c>
      <c r="D1835" s="3">
        <v>420000</v>
      </c>
      <c r="E1835" s="7">
        <f t="shared" si="65"/>
        <v>910000</v>
      </c>
      <c r="F1835" s="5">
        <v>45881</v>
      </c>
      <c r="G1835" s="4">
        <v>20250811</v>
      </c>
      <c r="H1835" s="38" t="str">
        <f>VLOOKUP(B1835,CAJEROS!B:D,3,0)</f>
        <v>Multifuncional</v>
      </c>
      <c r="I1835" s="34" t="s">
        <v>9</v>
      </c>
      <c r="J1835" s="38" t="str">
        <f>VLOOKUP(B1835,CAJEROS!B:E,4,0)</f>
        <v>SUCMFVIVCI2</v>
      </c>
      <c r="K1835" t="s">
        <v>450</v>
      </c>
    </row>
    <row r="1836" spans="1:11">
      <c r="A1836" s="32">
        <v>154</v>
      </c>
      <c r="B1836" s="32">
        <v>5041</v>
      </c>
      <c r="C1836" s="3">
        <v>2010000</v>
      </c>
      <c r="D1836" s="3">
        <f>1550000+220000</f>
        <v>1770000</v>
      </c>
      <c r="E1836" s="7">
        <f t="shared" si="65"/>
        <v>240000</v>
      </c>
      <c r="F1836" s="5">
        <v>45881</v>
      </c>
      <c r="G1836" s="4">
        <v>20250811</v>
      </c>
      <c r="H1836" s="38" t="str">
        <f>VLOOKUP(B1836,CAJEROS!B:D,3,0)</f>
        <v>Multifuncional</v>
      </c>
      <c r="I1836" s="34" t="s">
        <v>9</v>
      </c>
      <c r="J1836" s="38" t="str">
        <f>VLOOKUP(B1836,CAJEROS!B:E,4,0)</f>
        <v>MF_CMAYOR</v>
      </c>
      <c r="K1836" t="s">
        <v>450</v>
      </c>
    </row>
    <row r="1837" spans="1:11">
      <c r="A1837" s="32">
        <v>24</v>
      </c>
      <c r="B1837" s="32">
        <v>5066</v>
      </c>
      <c r="C1837" s="3">
        <v>1750000</v>
      </c>
      <c r="D1837" s="3">
        <f>924900+523900</f>
        <v>1448800</v>
      </c>
      <c r="E1837" s="7">
        <f t="shared" si="65"/>
        <v>301200</v>
      </c>
      <c r="F1837" s="5">
        <v>45881</v>
      </c>
      <c r="G1837" s="4">
        <v>20250811</v>
      </c>
      <c r="H1837" s="38" t="str">
        <f>VLOOKUP(B1837,CAJEROS!B:D,3,0)</f>
        <v>Multifuncional</v>
      </c>
      <c r="I1837" s="34" t="s">
        <v>9</v>
      </c>
      <c r="J1837" s="38" t="str">
        <f>VLOOKUP(B1837,CAJEROS!B:E,4,0)</f>
        <v>MF_RIONEGPA</v>
      </c>
      <c r="K1837" t="s">
        <v>450</v>
      </c>
    </row>
    <row r="1838" spans="1:11">
      <c r="A1838" s="32">
        <v>656</v>
      </c>
      <c r="B1838" s="32">
        <v>5103</v>
      </c>
      <c r="C1838" s="3">
        <v>30000</v>
      </c>
      <c r="D1838" s="3"/>
      <c r="E1838" s="7">
        <f t="shared" si="65"/>
        <v>30000</v>
      </c>
      <c r="F1838" s="5">
        <v>45881</v>
      </c>
      <c r="G1838" s="4">
        <v>20250811</v>
      </c>
      <c r="H1838" s="38" t="str">
        <f>VLOOKUP(B1838,CAJEROS!B:D,3,0)</f>
        <v>Multifuncional</v>
      </c>
      <c r="I1838" s="34" t="s">
        <v>9</v>
      </c>
      <c r="J1838" s="38" t="str">
        <f>VLOOKUP(B1838,CAJEROS!B:E,4,0)</f>
        <v>MF_MAYPLAZA</v>
      </c>
      <c r="K1838" t="s">
        <v>450</v>
      </c>
    </row>
    <row r="1839" spans="1:11">
      <c r="A1839" s="32">
        <v>191</v>
      </c>
      <c r="B1839" s="32">
        <v>5112</v>
      </c>
      <c r="C1839" s="3">
        <v>100000</v>
      </c>
      <c r="D1839" s="3"/>
      <c r="E1839" s="7">
        <f t="shared" si="65"/>
        <v>100000</v>
      </c>
      <c r="F1839" s="5">
        <v>45881</v>
      </c>
      <c r="G1839" s="4">
        <v>20250811</v>
      </c>
      <c r="H1839" s="38" t="str">
        <f>VLOOKUP(B1839,CAJEROS!B:D,3,0)</f>
        <v>Multifuncional</v>
      </c>
      <c r="I1839" s="34" t="s">
        <v>9</v>
      </c>
      <c r="J1839" s="38" t="str">
        <f>VLOOKUP(B1839,CAJEROS!B:E,4,0)</f>
        <v>MF_AVENID19</v>
      </c>
      <c r="K1839" t="s">
        <v>450</v>
      </c>
    </row>
    <row r="1840" spans="1:11">
      <c r="A1840" s="32">
        <v>302</v>
      </c>
      <c r="B1840" s="32">
        <v>5170</v>
      </c>
      <c r="C1840" s="3">
        <v>494000</v>
      </c>
      <c r="D1840" s="3"/>
      <c r="E1840" s="7">
        <f t="shared" si="65"/>
        <v>494000</v>
      </c>
      <c r="F1840" s="5">
        <v>45881</v>
      </c>
      <c r="G1840" s="4">
        <v>20250811</v>
      </c>
      <c r="H1840" s="38" t="str">
        <f>VLOOKUP(B1840,CAJEROS!B:D,3,0)</f>
        <v>Multifuncional</v>
      </c>
      <c r="I1840" s="34" t="s">
        <v>9</v>
      </c>
      <c r="J1840" s="38" t="str">
        <f>VLOOKUP(B1840,CAJEROS!B:E,4,0)</f>
        <v>MF_QUEBRASE</v>
      </c>
      <c r="K1840" t="s">
        <v>450</v>
      </c>
    </row>
    <row r="1841" spans="1:11">
      <c r="A1841" s="32">
        <v>541</v>
      </c>
      <c r="B1841" s="32">
        <v>5185</v>
      </c>
      <c r="C1841" s="3">
        <v>1677250</v>
      </c>
      <c r="D1841" s="3">
        <v>1075000</v>
      </c>
      <c r="E1841" s="7">
        <f t="shared" si="65"/>
        <v>602250</v>
      </c>
      <c r="F1841" s="5">
        <v>45881</v>
      </c>
      <c r="G1841" s="4">
        <v>20250811</v>
      </c>
      <c r="H1841" s="38" t="str">
        <f>VLOOKUP(B1841,CAJEROS!B:D,3,0)</f>
        <v>Multifuncional</v>
      </c>
      <c r="I1841" s="34" t="s">
        <v>9</v>
      </c>
      <c r="J1841" s="38" t="str">
        <f>VLOOKUP(B1841,CAJEROS!B:E,4,0)</f>
        <v>MF_PARQCALD</v>
      </c>
      <c r="K1841" t="s">
        <v>450</v>
      </c>
    </row>
    <row r="1842" spans="1:11">
      <c r="A1842" s="32">
        <v>77</v>
      </c>
      <c r="B1842" s="32">
        <v>5204</v>
      </c>
      <c r="C1842" s="3">
        <v>780000</v>
      </c>
      <c r="D1842" s="3"/>
      <c r="E1842" s="7">
        <f t="shared" si="65"/>
        <v>780000</v>
      </c>
      <c r="F1842" s="5">
        <v>45881</v>
      </c>
      <c r="G1842" s="4">
        <v>20250811</v>
      </c>
      <c r="H1842" s="38" t="str">
        <f>VLOOKUP(B1842,CAJEROS!B:D,3,0)</f>
        <v>Multifuncional</v>
      </c>
      <c r="I1842" s="34" t="s">
        <v>9</v>
      </c>
      <c r="J1842" s="38" t="str">
        <f>VLOOKUP(B1842,CAJEROS!B:E,4,0)</f>
        <v>MF_TEQENDMA</v>
      </c>
      <c r="K1842" t="s">
        <v>450</v>
      </c>
    </row>
    <row r="1843" spans="1:11">
      <c r="A1843" s="32">
        <v>816</v>
      </c>
      <c r="B1843" s="32">
        <v>5205</v>
      </c>
      <c r="C1843" s="3">
        <v>1345000</v>
      </c>
      <c r="D1843" s="3">
        <f>929000+407000</f>
        <v>1336000</v>
      </c>
      <c r="E1843" s="7">
        <f t="shared" si="65"/>
        <v>9000</v>
      </c>
      <c r="F1843" s="5">
        <v>45881</v>
      </c>
      <c r="G1843" s="4">
        <v>20250811</v>
      </c>
      <c r="H1843" s="38" t="str">
        <f>VLOOKUP(B1843,CAJEROS!B:D,3,0)</f>
        <v>Multifuncional</v>
      </c>
      <c r="I1843" s="34" t="s">
        <v>9</v>
      </c>
      <c r="J1843" s="38" t="str">
        <f>VLOOKUP(B1843,CAJEROS!B:E,4,0)</f>
        <v>MF_SUCLLE10</v>
      </c>
      <c r="K1843" t="s">
        <v>450</v>
      </c>
    </row>
    <row r="1844" spans="1:11">
      <c r="A1844" s="32">
        <v>859</v>
      </c>
      <c r="B1844" s="32">
        <v>5207</v>
      </c>
      <c r="C1844" s="3">
        <v>1786000</v>
      </c>
      <c r="D1844" s="3">
        <f>60000+1454000+29600</f>
        <v>1543600</v>
      </c>
      <c r="E1844" s="7">
        <f t="shared" si="65"/>
        <v>242400</v>
      </c>
      <c r="F1844" s="5">
        <v>45881</v>
      </c>
      <c r="G1844" s="4">
        <v>20250811</v>
      </c>
      <c r="H1844" s="38" t="e">
        <f>VLOOKUP(B1844,CAJEROS!B:D,3,0)</f>
        <v>#N/A</v>
      </c>
      <c r="I1844" s="34" t="s">
        <v>9</v>
      </c>
      <c r="J1844" s="38" t="e">
        <f>VLOOKUP(B1844,CAJEROS!B:E,4,0)</f>
        <v>#N/A</v>
      </c>
      <c r="K1844" t="s">
        <v>450</v>
      </c>
    </row>
    <row r="1845" spans="1:11">
      <c r="A1845" s="32">
        <v>725</v>
      </c>
      <c r="B1845" s="32">
        <v>8090</v>
      </c>
      <c r="C1845" s="3">
        <v>2000000</v>
      </c>
      <c r="D1845" s="3"/>
      <c r="E1845" s="7">
        <f t="shared" si="65"/>
        <v>2000000</v>
      </c>
      <c r="F1845" s="5">
        <v>45881</v>
      </c>
      <c r="G1845" s="4">
        <v>20250811</v>
      </c>
      <c r="H1845" s="38" t="str">
        <f>VLOOKUP(B1845,CAJEROS!B:D,3,0)</f>
        <v>Multifuncional</v>
      </c>
      <c r="I1845" s="34" t="s">
        <v>9</v>
      </c>
      <c r="J1845" s="38" t="str">
        <f>VLOOKUP(B1845,CAJEROS!B:E,4,0)</f>
        <v>MF_DOSQUEB2</v>
      </c>
      <c r="K1845" t="s">
        <v>450</v>
      </c>
    </row>
    <row r="1846" spans="1:11">
      <c r="A1846" s="32">
        <v>569</v>
      </c>
      <c r="B1846" s="32">
        <v>8129</v>
      </c>
      <c r="C1846" s="3">
        <v>1993000</v>
      </c>
      <c r="D1846" s="3">
        <v>77000</v>
      </c>
      <c r="E1846" s="7">
        <f t="shared" si="65"/>
        <v>1916000</v>
      </c>
      <c r="F1846" s="5">
        <v>45881</v>
      </c>
      <c r="G1846" s="4">
        <v>20250811</v>
      </c>
      <c r="H1846" s="38" t="str">
        <f>VLOOKUP(B1846,CAJEROS!B:D,3,0)</f>
        <v>Multifuncional</v>
      </c>
      <c r="I1846" s="34" t="s">
        <v>9</v>
      </c>
      <c r="J1846" s="38" t="str">
        <f>VLOOKUP(B1846,CAJEROS!B:E,4,0)</f>
        <v>MF_BUENMON2</v>
      </c>
      <c r="K1846" t="s">
        <v>450</v>
      </c>
    </row>
    <row r="1847" spans="1:11">
      <c r="A1847" s="32">
        <v>60</v>
      </c>
      <c r="B1847" s="32">
        <v>8729</v>
      </c>
      <c r="C1847" s="3">
        <v>53300</v>
      </c>
      <c r="D1847" s="3">
        <v>50000</v>
      </c>
      <c r="E1847" s="7">
        <f t="shared" si="65"/>
        <v>3300</v>
      </c>
      <c r="F1847" s="5">
        <v>45881</v>
      </c>
      <c r="G1847" s="4">
        <v>20250811</v>
      </c>
      <c r="H1847" s="38" t="str">
        <f>VLOOKUP(B1847,CAJEROS!B:D,3,0)</f>
        <v>Multifuncional</v>
      </c>
      <c r="I1847" s="34" t="s">
        <v>9</v>
      </c>
      <c r="J1847" s="38" t="str">
        <f>VLOOKUP(B1847,CAJEROS!B:E,4,0)</f>
        <v>MF_HCALIPR3</v>
      </c>
      <c r="K1847" t="s">
        <v>450</v>
      </c>
    </row>
    <row r="1848" spans="1:11">
      <c r="A1848" s="32">
        <v>467</v>
      </c>
      <c r="B1848" s="32">
        <v>9052</v>
      </c>
      <c r="C1848" s="3">
        <v>60000</v>
      </c>
      <c r="D1848" s="3"/>
      <c r="E1848" s="7">
        <f t="shared" si="65"/>
        <v>60000</v>
      </c>
      <c r="F1848" s="5">
        <v>45881</v>
      </c>
      <c r="G1848" s="4">
        <v>20250811</v>
      </c>
      <c r="H1848" s="38" t="str">
        <f>VLOOKUP(B1848,CAJEROS!B:D,3,0)</f>
        <v>Multifuncional</v>
      </c>
      <c r="I1848" s="34" t="s">
        <v>9</v>
      </c>
      <c r="J1848" s="38" t="str">
        <f>VLOOKUP(B1848,CAJEROS!B:E,4,0)</f>
        <v>MFHDVERPLZ2</v>
      </c>
      <c r="K1848" t="s">
        <v>450</v>
      </c>
    </row>
    <row r="1849" spans="1:11">
      <c r="A1849" s="32">
        <v>229</v>
      </c>
      <c r="B1849" s="32">
        <v>9604</v>
      </c>
      <c r="C1849" s="3">
        <v>136000</v>
      </c>
      <c r="D1849" s="3">
        <f>110000+500</f>
        <v>110500</v>
      </c>
      <c r="E1849" s="7">
        <f t="shared" si="65"/>
        <v>25500</v>
      </c>
      <c r="F1849" s="5">
        <v>45881</v>
      </c>
      <c r="G1849" s="4">
        <v>20250811</v>
      </c>
      <c r="H1849" s="38" t="str">
        <f>VLOOKUP(B1849,CAJEROS!B:D,3,0)</f>
        <v>Multifuncional</v>
      </c>
      <c r="I1849" s="34" t="s">
        <v>9</v>
      </c>
      <c r="J1849" s="38" t="str">
        <f>VLOOKUP(B1849,CAJEROS!B:E,4,0)</f>
        <v>MFSUCPASER1</v>
      </c>
      <c r="K1849" t="s">
        <v>450</v>
      </c>
    </row>
    <row r="1850" spans="1:11">
      <c r="A1850" s="32">
        <v>141</v>
      </c>
      <c r="B1850" s="32">
        <v>1541</v>
      </c>
      <c r="C1850" s="3">
        <v>15000</v>
      </c>
      <c r="D1850" s="3"/>
      <c r="E1850" s="7">
        <f t="shared" si="65"/>
        <v>15000</v>
      </c>
      <c r="F1850" s="5">
        <v>45881</v>
      </c>
      <c r="G1850" s="4">
        <v>20250811</v>
      </c>
      <c r="H1850" s="38" t="str">
        <f>VLOOKUP(B1850,CAJEROS!B:D,3,0)</f>
        <v>Multifuncional</v>
      </c>
      <c r="I1850" s="34" t="s">
        <v>10</v>
      </c>
      <c r="J1850" s="38" t="str">
        <f>VLOOKUP(B1850,CAJEROS!B:E,4,0)</f>
        <v>MFSUCMERCA1</v>
      </c>
      <c r="K1850" t="s">
        <v>450</v>
      </c>
    </row>
    <row r="1851" spans="1:11">
      <c r="A1851" s="32">
        <v>225</v>
      </c>
      <c r="B1851" s="32">
        <v>8867</v>
      </c>
      <c r="C1851" s="3">
        <v>20000</v>
      </c>
      <c r="D1851" s="3">
        <v>10000</v>
      </c>
      <c r="E1851" s="7">
        <f t="shared" si="65"/>
        <v>10000</v>
      </c>
      <c r="F1851" s="5">
        <v>45881</v>
      </c>
      <c r="G1851" s="4">
        <v>20250811</v>
      </c>
      <c r="H1851" s="38" t="str">
        <f>VLOOKUP(B1851,CAJEROS!B:D,3,0)</f>
        <v>Dispensador</v>
      </c>
      <c r="I1851" s="34" t="s">
        <v>10</v>
      </c>
      <c r="J1851" s="38" t="str">
        <f>VLOOKUP(B1851,CAJEROS!B:E,4,0)</f>
        <v>SMALPLANQS5</v>
      </c>
      <c r="K1851" t="s">
        <v>450</v>
      </c>
    </row>
    <row r="1852" spans="1:11">
      <c r="A1852" s="32">
        <v>31</v>
      </c>
      <c r="B1852" s="32">
        <v>8732</v>
      </c>
      <c r="C1852" s="3">
        <v>20000</v>
      </c>
      <c r="D1852" s="3">
        <v>10000</v>
      </c>
      <c r="E1852" s="7">
        <f t="shared" si="65"/>
        <v>10000</v>
      </c>
      <c r="F1852" s="5">
        <v>45881</v>
      </c>
      <c r="G1852" s="4">
        <v>20250811</v>
      </c>
      <c r="H1852" s="38" t="str">
        <f>VLOOKUP(B1852,CAJEROS!B:D,3,0)</f>
        <v>Dispensador</v>
      </c>
      <c r="I1852" s="34" t="s">
        <v>10</v>
      </c>
      <c r="J1852" s="38" t="str">
        <f>VLOOKUP(B1852,CAJEROS!B:E,4,0)</f>
        <v>SUCENTINTE1</v>
      </c>
      <c r="K1852" t="s">
        <v>450</v>
      </c>
    </row>
    <row r="1853" spans="1:11">
      <c r="A1853" s="32">
        <v>866</v>
      </c>
      <c r="B1853" s="32">
        <v>8661</v>
      </c>
      <c r="C1853" s="3">
        <v>20000</v>
      </c>
      <c r="D1853" s="3"/>
      <c r="E1853" s="7">
        <f t="shared" si="65"/>
        <v>20000</v>
      </c>
      <c r="F1853" s="5">
        <v>45881</v>
      </c>
      <c r="G1853" s="4">
        <v>20250811</v>
      </c>
      <c r="H1853" s="38" t="str">
        <f>VLOOKUP(B1853,CAJEROS!B:D,3,0)</f>
        <v>Dispensador</v>
      </c>
      <c r="I1853" s="34" t="s">
        <v>10</v>
      </c>
      <c r="J1853" s="38" t="str">
        <f>VLOOKUP(B1853,CAJEROS!B:E,4,0)</f>
        <v>SUC_FLORID1</v>
      </c>
      <c r="K1853" t="s">
        <v>450</v>
      </c>
    </row>
    <row r="1854" spans="1:11">
      <c r="A1854" s="32">
        <v>541</v>
      </c>
      <c r="B1854" s="32">
        <v>8659</v>
      </c>
      <c r="C1854" s="3">
        <v>20000</v>
      </c>
      <c r="D1854" s="3"/>
      <c r="E1854" s="7">
        <f t="shared" si="65"/>
        <v>20000</v>
      </c>
      <c r="F1854" s="5">
        <v>45881</v>
      </c>
      <c r="G1854" s="4">
        <v>20250811</v>
      </c>
      <c r="H1854" s="38" t="str">
        <f>VLOOKUP(B1854,CAJEROS!B:D,3,0)</f>
        <v>Dispensador</v>
      </c>
      <c r="I1854" s="34" t="s">
        <v>10</v>
      </c>
      <c r="J1854" s="38" t="str">
        <f>VLOOKUP(B1854,CAJEROS!B:E,4,0)</f>
        <v>SUCCALDAS10</v>
      </c>
      <c r="K1854" t="s">
        <v>450</v>
      </c>
    </row>
    <row r="1855" spans="1:11">
      <c r="A1855" s="32">
        <v>261</v>
      </c>
      <c r="B1855" s="32">
        <v>8478</v>
      </c>
      <c r="C1855" s="3">
        <v>20000</v>
      </c>
      <c r="D1855" s="3"/>
      <c r="E1855" s="7">
        <f t="shared" si="65"/>
        <v>20000</v>
      </c>
      <c r="F1855" s="5">
        <v>45881</v>
      </c>
      <c r="G1855" s="4">
        <v>20250811</v>
      </c>
      <c r="H1855" s="38" t="str">
        <f>VLOOKUP(B1855,CAJEROS!B:D,3,0)</f>
        <v>Dispensador</v>
      </c>
      <c r="I1855" s="34" t="s">
        <v>10</v>
      </c>
      <c r="J1855" s="38" t="str">
        <f>VLOOKUP(B1855,CAJEROS!B:E,4,0)</f>
        <v>SUCAMPA4</v>
      </c>
      <c r="K1855" t="s">
        <v>450</v>
      </c>
    </row>
    <row r="1856" spans="1:11">
      <c r="A1856" s="32">
        <v>331</v>
      </c>
      <c r="B1856" s="32">
        <v>8342</v>
      </c>
      <c r="C1856" s="3">
        <v>20000</v>
      </c>
      <c r="D1856" s="3"/>
      <c r="E1856" s="7">
        <f t="shared" si="65"/>
        <v>20000</v>
      </c>
      <c r="F1856" s="5">
        <v>45881</v>
      </c>
      <c r="G1856" s="4">
        <v>20250811</v>
      </c>
      <c r="H1856" s="38" t="str">
        <f>VLOOKUP(B1856,CAJEROS!B:D,3,0)</f>
        <v>Dispensador</v>
      </c>
      <c r="I1856" s="34" t="s">
        <v>10</v>
      </c>
      <c r="J1856" s="38" t="str">
        <f>VLOOKUP(B1856,CAJEROS!B:E,4,0)</f>
        <v>SUCARKADIA1</v>
      </c>
      <c r="K1856" t="s">
        <v>450</v>
      </c>
    </row>
    <row r="1857" spans="1:11">
      <c r="A1857" s="32">
        <v>556</v>
      </c>
      <c r="B1857" s="32">
        <v>8337</v>
      </c>
      <c r="C1857" s="3">
        <v>20000</v>
      </c>
      <c r="D1857" s="3"/>
      <c r="E1857" s="7">
        <f t="shared" si="65"/>
        <v>20000</v>
      </c>
      <c r="F1857" s="5">
        <v>45881</v>
      </c>
      <c r="G1857" s="4">
        <v>20250811</v>
      </c>
      <c r="H1857" s="38" t="str">
        <f>VLOOKUP(B1857,CAJEROS!B:D,3,0)</f>
        <v>Dispensador</v>
      </c>
      <c r="I1857" s="34" t="s">
        <v>10</v>
      </c>
      <c r="J1857" s="38" t="str">
        <f>VLOOKUP(B1857,CAJEROS!B:E,4,0)</f>
        <v>SUCCARVIBO4</v>
      </c>
      <c r="K1857" t="s">
        <v>450</v>
      </c>
    </row>
    <row r="1858" spans="1:11">
      <c r="A1858" s="32">
        <v>732</v>
      </c>
      <c r="B1858" s="32">
        <v>6966</v>
      </c>
      <c r="C1858" s="3">
        <v>10000</v>
      </c>
      <c r="D1858" s="3"/>
      <c r="E1858" s="7">
        <f t="shared" si="65"/>
        <v>10000</v>
      </c>
      <c r="F1858" s="5">
        <v>45881</v>
      </c>
      <c r="G1858" s="4">
        <v>20250811</v>
      </c>
      <c r="H1858" s="38" t="str">
        <f>VLOOKUP(B1858,CAJEROS!B:D,3,0)</f>
        <v>Dispensador</v>
      </c>
      <c r="I1858" s="34" t="s">
        <v>10</v>
      </c>
      <c r="J1858" s="38" t="str">
        <f>VLOOKUP(B1858,CAJEROS!B:E,4,0)</f>
        <v>ROLDANIL_2</v>
      </c>
      <c r="K1858" t="s">
        <v>450</v>
      </c>
    </row>
    <row r="1859" spans="1:11">
      <c r="A1859" s="32">
        <v>861</v>
      </c>
      <c r="B1859" s="32">
        <v>5957</v>
      </c>
      <c r="C1859" s="3">
        <v>20000</v>
      </c>
      <c r="D1859" s="3"/>
      <c r="E1859" s="7">
        <f t="shared" si="65"/>
        <v>20000</v>
      </c>
      <c r="F1859" s="5">
        <v>45881</v>
      </c>
      <c r="G1859" s="4">
        <v>20250811</v>
      </c>
      <c r="H1859" s="38" t="str">
        <f>VLOOKUP(B1859,CAJEROS!B:D,3,0)</f>
        <v>Dispensador</v>
      </c>
      <c r="I1859" s="34" t="s">
        <v>10</v>
      </c>
      <c r="J1859" s="38" t="str">
        <f>VLOOKUP(B1859,CAJEROS!B:E,4,0)</f>
        <v>SUC_ALBANI1</v>
      </c>
      <c r="K1859" t="s">
        <v>450</v>
      </c>
    </row>
    <row r="1860" spans="1:11">
      <c r="A1860" s="32">
        <v>512</v>
      </c>
      <c r="B1860" s="32">
        <v>4167</v>
      </c>
      <c r="C1860" s="3">
        <v>20000</v>
      </c>
      <c r="D1860" s="3"/>
      <c r="E1860" s="7">
        <f t="shared" si="65"/>
        <v>20000</v>
      </c>
      <c r="F1860" s="5">
        <v>45881</v>
      </c>
      <c r="G1860" s="4">
        <v>20250811</v>
      </c>
      <c r="H1860" s="38" t="str">
        <f>VLOOKUP(B1860,CAJEROS!B:D,3,0)</f>
        <v>Dispensador</v>
      </c>
      <c r="I1860" s="34" t="s">
        <v>10</v>
      </c>
      <c r="J1860" s="38" t="str">
        <f>VLOOKUP(B1860,CAJEROS!B:E,4,0)</f>
        <v>SUC_PLATO1</v>
      </c>
      <c r="K1860" t="s">
        <v>450</v>
      </c>
    </row>
    <row r="1861" spans="1:11">
      <c r="A1861" s="32">
        <v>59</v>
      </c>
      <c r="B1861" s="32">
        <v>3667</v>
      </c>
      <c r="C1861" s="3">
        <v>20000</v>
      </c>
      <c r="D1861" s="3"/>
      <c r="E1861" s="7">
        <f t="shared" si="65"/>
        <v>20000</v>
      </c>
      <c r="F1861" s="5">
        <v>45881</v>
      </c>
      <c r="G1861" s="4">
        <v>20250811</v>
      </c>
      <c r="H1861" s="38" t="str">
        <f>VLOOKUP(B1861,CAJEROS!B:D,3,0)</f>
        <v>Dispensador</v>
      </c>
      <c r="I1861" s="34" t="s">
        <v>10</v>
      </c>
      <c r="J1861" s="38" t="str">
        <f>VLOOKUP(B1861,CAJEROS!B:E,4,0)</f>
        <v>AVSANTAN_1</v>
      </c>
      <c r="K1861" t="s">
        <v>450</v>
      </c>
    </row>
    <row r="1862" spans="1:11">
      <c r="A1862" s="32">
        <v>882</v>
      </c>
      <c r="B1862" s="32">
        <v>3510</v>
      </c>
      <c r="C1862" s="3">
        <v>10000</v>
      </c>
      <c r="D1862" s="3"/>
      <c r="E1862" s="7">
        <f t="shared" si="65"/>
        <v>10000</v>
      </c>
      <c r="F1862" s="5">
        <v>45881</v>
      </c>
      <c r="G1862" s="4">
        <v>20250811</v>
      </c>
      <c r="H1862" s="38" t="str">
        <f>VLOOKUP(B1862,CAJEROS!B:D,3,0)</f>
        <v>Dispensador</v>
      </c>
      <c r="I1862" s="34" t="s">
        <v>10</v>
      </c>
      <c r="J1862" s="38" t="str">
        <f>VLOOKUP(B1862,CAJEROS!B:E,4,0)</f>
        <v>LIBERTADOR1</v>
      </c>
      <c r="K1862" t="s">
        <v>450</v>
      </c>
    </row>
    <row r="1863" spans="1:11">
      <c r="A1863" s="32">
        <v>567</v>
      </c>
      <c r="B1863" s="32">
        <v>2423</v>
      </c>
      <c r="C1863" s="3">
        <v>20000</v>
      </c>
      <c r="D1863" s="3"/>
      <c r="E1863" s="7">
        <f t="shared" si="65"/>
        <v>20000</v>
      </c>
      <c r="F1863" s="5">
        <v>45881</v>
      </c>
      <c r="G1863" s="4">
        <v>20250811</v>
      </c>
      <c r="H1863" s="38" t="str">
        <f>VLOOKUP(B1863,CAJEROS!B:D,3,0)</f>
        <v>Dispensador</v>
      </c>
      <c r="I1863" s="34" t="s">
        <v>10</v>
      </c>
      <c r="J1863" s="38" t="str">
        <f>VLOOKUP(B1863,CAJEROS!B:E,4,0)</f>
        <v>VENECIA_1_R</v>
      </c>
      <c r="K1863" t="s">
        <v>450</v>
      </c>
    </row>
    <row r="1864" spans="1:11">
      <c r="A1864" s="32">
        <v>831</v>
      </c>
      <c r="B1864" s="32">
        <v>1014</v>
      </c>
      <c r="C1864" s="3">
        <v>20000</v>
      </c>
      <c r="D1864" s="3"/>
      <c r="E1864" s="7">
        <f t="shared" si="65"/>
        <v>20000</v>
      </c>
      <c r="F1864" s="5">
        <v>45881</v>
      </c>
      <c r="G1864" s="4">
        <v>20250811</v>
      </c>
      <c r="H1864" s="38" t="str">
        <f>VLOOKUP(B1864,CAJEROS!B:D,3,0)</f>
        <v>Dispensador</v>
      </c>
      <c r="I1864" s="34" t="s">
        <v>10</v>
      </c>
      <c r="J1864" s="38" t="str">
        <f>VLOOKUP(B1864,CAJEROS!B:E,4,0)</f>
        <v>SUC_CAREPA4</v>
      </c>
      <c r="K1864" t="s">
        <v>450</v>
      </c>
    </row>
    <row r="1865" spans="1:11">
      <c r="A1865" s="32">
        <v>1</v>
      </c>
      <c r="B1865" s="32">
        <v>5000</v>
      </c>
      <c r="C1865" s="3">
        <v>50</v>
      </c>
      <c r="D1865" s="3"/>
      <c r="E1865" s="7">
        <f t="shared" si="65"/>
        <v>50</v>
      </c>
      <c r="F1865" s="5">
        <v>45881</v>
      </c>
      <c r="G1865" s="4">
        <v>20250811</v>
      </c>
      <c r="H1865" s="38" t="str">
        <f>VLOOKUP(B1865,CAJEROS!B:D,3,0)</f>
        <v>Multifuncional</v>
      </c>
      <c r="I1865" s="34" t="s">
        <v>10</v>
      </c>
      <c r="J1865" s="38" t="str">
        <f>VLOOKUP(B1865,CAJEROS!B:E,4,0)</f>
        <v>MF_CARABOBO</v>
      </c>
      <c r="K1865" t="s">
        <v>450</v>
      </c>
    </row>
    <row r="1866" spans="1:11">
      <c r="A1866" s="32">
        <v>750</v>
      </c>
      <c r="B1866" s="32">
        <v>5157</v>
      </c>
      <c r="C1866" s="3">
        <v>10000</v>
      </c>
      <c r="D1866" s="3"/>
      <c r="E1866" s="7">
        <f t="shared" si="65"/>
        <v>10000</v>
      </c>
      <c r="F1866" s="5">
        <v>45881</v>
      </c>
      <c r="G1866" s="4">
        <v>20250811</v>
      </c>
      <c r="H1866" s="38" t="str">
        <f>VLOOKUP(B1866,CAJEROS!B:D,3,0)</f>
        <v>Multifuncional</v>
      </c>
      <c r="I1866" s="34" t="s">
        <v>10</v>
      </c>
      <c r="J1866" s="38" t="str">
        <f>VLOOKUP(B1866,CAJEROS!B:E,4,0)</f>
        <v>MF_AVROOSVL</v>
      </c>
      <c r="K1866" t="s">
        <v>450</v>
      </c>
    </row>
    <row r="1867" spans="1:11">
      <c r="A1867" s="32">
        <v>777</v>
      </c>
      <c r="B1867" s="32">
        <v>4868</v>
      </c>
      <c r="C1867" s="3">
        <v>335300</v>
      </c>
      <c r="D1867" s="3"/>
      <c r="E1867" s="7">
        <f t="shared" si="65"/>
        <v>335300</v>
      </c>
      <c r="F1867" s="5">
        <v>45882</v>
      </c>
      <c r="G1867" s="4">
        <v>20250812</v>
      </c>
      <c r="H1867" s="38" t="str">
        <f>VLOOKUP(B1867,CAJEROS!B:D,3,0)</f>
        <v>Multifuncional</v>
      </c>
      <c r="I1867" s="34"/>
      <c r="J1867" s="38" t="str">
        <f>VLOOKUP(B1867,CAJEROS!B:E,4,0)</f>
        <v>MFPWASHING2</v>
      </c>
      <c r="K1867" t="s">
        <v>450</v>
      </c>
    </row>
    <row r="1868" spans="1:11">
      <c r="A1868" s="32">
        <v>275</v>
      </c>
      <c r="B1868" s="32">
        <v>5034</v>
      </c>
      <c r="C1868" s="3">
        <v>110750</v>
      </c>
      <c r="D1868" s="3"/>
      <c r="E1868" s="7">
        <f t="shared" si="65"/>
        <v>110750</v>
      </c>
      <c r="F1868" s="5">
        <v>45882</v>
      </c>
      <c r="G1868" s="4">
        <v>20250812</v>
      </c>
      <c r="H1868" s="38" t="str">
        <f>VLOOKUP(B1868,CAJEROS!B:D,3,0)</f>
        <v>Multifuncional</v>
      </c>
      <c r="I1868" s="34"/>
      <c r="J1868" s="38" t="str">
        <f>VLOOKUP(B1868,CAJEROS!B:E,4,0)</f>
        <v>MF_BOUENVIG</v>
      </c>
      <c r="K1868" t="s">
        <v>450</v>
      </c>
    </row>
    <row r="1869" spans="1:11">
      <c r="A1869" s="32">
        <v>265</v>
      </c>
      <c r="B1869" s="32">
        <v>5083</v>
      </c>
      <c r="C1869" s="3">
        <v>3000</v>
      </c>
      <c r="D1869" s="3"/>
      <c r="E1869" s="7">
        <f t="shared" si="65"/>
        <v>3000</v>
      </c>
      <c r="F1869" s="5">
        <v>45882</v>
      </c>
      <c r="G1869" s="4">
        <v>20250812</v>
      </c>
      <c r="H1869" s="38" t="str">
        <f>VLOOKUP(B1869,CAJEROS!B:D,3,0)</f>
        <v>Multifuncional</v>
      </c>
      <c r="I1869" s="34"/>
      <c r="J1869" s="38" t="str">
        <f>VLOOKUP(B1869,CAJEROS!B:E,4,0)</f>
        <v>MF_VALLELIL</v>
      </c>
      <c r="K1869" t="s">
        <v>450</v>
      </c>
    </row>
    <row r="1870" spans="1:11">
      <c r="A1870" s="32">
        <v>698</v>
      </c>
      <c r="B1870" s="32">
        <v>5187</v>
      </c>
      <c r="C1870" s="3">
        <v>17850</v>
      </c>
      <c r="D1870" s="3"/>
      <c r="E1870" s="7">
        <f t="shared" si="65"/>
        <v>17850</v>
      </c>
      <c r="F1870" s="5">
        <v>45882</v>
      </c>
      <c r="G1870" s="4">
        <v>20250812</v>
      </c>
      <c r="H1870" s="38" t="str">
        <f>VLOOKUP(B1870,CAJEROS!B:D,3,0)</f>
        <v>Multifuncional</v>
      </c>
      <c r="I1870" s="34"/>
      <c r="J1870" s="38" t="str">
        <f>VLOOKUP(B1870,CAJEROS!B:E,4,0)</f>
        <v>MF_SCLLE79</v>
      </c>
      <c r="K1870" t="s">
        <v>450</v>
      </c>
    </row>
    <row r="1871" spans="1:11">
      <c r="A1871" s="32">
        <v>351</v>
      </c>
      <c r="B1871" s="32">
        <v>6182</v>
      </c>
      <c r="C1871" s="3">
        <v>4750</v>
      </c>
      <c r="D1871" s="3"/>
      <c r="E1871" s="7">
        <f t="shared" si="65"/>
        <v>4750</v>
      </c>
      <c r="F1871" s="5">
        <v>45882</v>
      </c>
      <c r="G1871" s="4">
        <v>20250812</v>
      </c>
      <c r="H1871" s="38" t="str">
        <f>VLOOKUP(B1871,CAJEROS!B:D,3,0)</f>
        <v>Multifuncional</v>
      </c>
      <c r="I1871" s="34"/>
      <c r="J1871" s="38" t="str">
        <f>VLOOKUP(B1871,CAJEROS!B:E,4,0)</f>
        <v>MF_PUNTORIE</v>
      </c>
      <c r="K1871" t="s">
        <v>450</v>
      </c>
    </row>
    <row r="1872" spans="1:11">
      <c r="A1872" s="32">
        <v>236</v>
      </c>
      <c r="B1872" s="32">
        <v>6242</v>
      </c>
      <c r="C1872" s="3">
        <v>6364000</v>
      </c>
      <c r="D1872" s="3">
        <f>715000+100300</f>
        <v>815300</v>
      </c>
      <c r="E1872" s="7">
        <f t="shared" si="65"/>
        <v>5548700</v>
      </c>
      <c r="F1872" s="5">
        <v>45882</v>
      </c>
      <c r="G1872" s="4">
        <v>20250812</v>
      </c>
      <c r="H1872" s="38" t="str">
        <f>VLOOKUP(B1872,CAJEROS!B:D,3,0)</f>
        <v>Multifuncional</v>
      </c>
      <c r="I1872" s="34"/>
      <c r="J1872" s="38" t="str">
        <f>VLOOKUP(B1872,CAJEROS!B:E,4,0)</f>
        <v>MF_EXITCOLO</v>
      </c>
      <c r="K1872" t="s">
        <v>450</v>
      </c>
    </row>
    <row r="1873" spans="1:11">
      <c r="A1873" s="32">
        <v>477</v>
      </c>
      <c r="B1873" s="32">
        <v>6251</v>
      </c>
      <c r="C1873" s="3">
        <v>5653000</v>
      </c>
      <c r="D1873" s="3">
        <v>3510000</v>
      </c>
      <c r="E1873" s="7">
        <f t="shared" si="65"/>
        <v>2143000</v>
      </c>
      <c r="F1873" s="5">
        <v>45882</v>
      </c>
      <c r="G1873" s="4">
        <v>20250812</v>
      </c>
      <c r="H1873" s="38" t="str">
        <f>VLOOKUP(B1873,CAJEROS!B:D,3,0)</f>
        <v>Multifuncional</v>
      </c>
      <c r="I1873" s="34"/>
      <c r="J1873" s="38" t="str">
        <f>VLOOKUP(B1873,CAJEROS!B:E,4,0)</f>
        <v>MF_GRANCENT</v>
      </c>
      <c r="K1873" t="s">
        <v>450</v>
      </c>
    </row>
    <row r="1874" spans="1:11">
      <c r="A1874" s="32">
        <v>138</v>
      </c>
      <c r="B1874" s="32">
        <v>6628</v>
      </c>
      <c r="C1874" s="3">
        <v>10000000</v>
      </c>
      <c r="D1874" s="3"/>
      <c r="E1874" s="7">
        <f t="shared" ref="E1874:E1937" si="66">+C1874-D1874</f>
        <v>10000000</v>
      </c>
      <c r="F1874" s="5">
        <v>45882</v>
      </c>
      <c r="G1874" s="4">
        <v>20250812</v>
      </c>
      <c r="H1874" s="38" t="str">
        <f>VLOOKUP(B1874,CAJEROS!B:D,3,0)</f>
        <v>Multifuncional</v>
      </c>
      <c r="I1874" s="34"/>
      <c r="J1874" s="38" t="str">
        <f>VLOOKUP(B1874,CAJEROS!B:E,4,0)</f>
        <v>MF_MOSQUERA</v>
      </c>
      <c r="K1874" t="s">
        <v>450</v>
      </c>
    </row>
    <row r="1875" spans="1:11">
      <c r="A1875" s="32">
        <v>233</v>
      </c>
      <c r="B1875" s="32">
        <v>7212</v>
      </c>
      <c r="C1875" s="3">
        <v>220000</v>
      </c>
      <c r="D1875" s="3">
        <v>149000</v>
      </c>
      <c r="E1875" s="7">
        <f t="shared" si="66"/>
        <v>71000</v>
      </c>
      <c r="F1875" s="5">
        <v>45882</v>
      </c>
      <c r="G1875" s="4">
        <v>20250812</v>
      </c>
      <c r="H1875" s="38" t="str">
        <f>VLOOKUP(B1875,CAJEROS!B:D,3,0)</f>
        <v>Multifuncional</v>
      </c>
      <c r="I1875" s="34"/>
      <c r="J1875" s="38" t="str">
        <f>VLOOKUP(B1875,CAJEROS!B:E,4,0)</f>
        <v>MF_BARRIRPO</v>
      </c>
      <c r="K1875" t="s">
        <v>450</v>
      </c>
    </row>
    <row r="1876" spans="1:11">
      <c r="A1876" s="32">
        <v>8</v>
      </c>
      <c r="B1876" s="32">
        <v>7272</v>
      </c>
      <c r="C1876" s="3">
        <v>2785950</v>
      </c>
      <c r="D1876" s="3">
        <f>38000+95000</f>
        <v>133000</v>
      </c>
      <c r="E1876" s="7">
        <f t="shared" si="66"/>
        <v>2652950</v>
      </c>
      <c r="F1876" s="5">
        <v>45882</v>
      </c>
      <c r="G1876" s="4">
        <v>20250812</v>
      </c>
      <c r="H1876" s="38" t="str">
        <f>VLOOKUP(B1876,CAJEROS!B:D,3,0)</f>
        <v>Multifuncional</v>
      </c>
      <c r="I1876" s="34"/>
      <c r="J1876" s="38" t="str">
        <f>VLOOKUP(B1876,CAJEROS!B:E,4,0)</f>
        <v>MF_LAPLAYA2</v>
      </c>
      <c r="K1876" t="s">
        <v>450</v>
      </c>
    </row>
    <row r="1877" spans="1:11">
      <c r="A1877" s="32">
        <v>389</v>
      </c>
      <c r="B1877" s="32">
        <v>7327</v>
      </c>
      <c r="C1877" s="3">
        <v>3700</v>
      </c>
      <c r="D1877" s="3"/>
      <c r="E1877" s="7">
        <f t="shared" si="66"/>
        <v>3700</v>
      </c>
      <c r="F1877" s="5">
        <v>45882</v>
      </c>
      <c r="G1877" s="4">
        <v>20250812</v>
      </c>
      <c r="H1877" s="38" t="str">
        <f>VLOOKUP(B1877,CAJEROS!B:D,3,0)</f>
        <v>Multifuncional</v>
      </c>
      <c r="I1877" s="34"/>
      <c r="J1877" s="38" t="str">
        <f>VLOOKUP(B1877,CAJEROS!B:E,4,0)</f>
        <v>MF_MARIQUIT</v>
      </c>
      <c r="K1877" t="s">
        <v>450</v>
      </c>
    </row>
    <row r="1878" spans="1:11">
      <c r="A1878" s="32">
        <v>848</v>
      </c>
      <c r="B1878" s="32">
        <v>7374</v>
      </c>
      <c r="C1878" s="3">
        <v>2534000</v>
      </c>
      <c r="D1878" s="3">
        <v>1950000</v>
      </c>
      <c r="E1878" s="7">
        <f t="shared" si="66"/>
        <v>584000</v>
      </c>
      <c r="F1878" s="5">
        <v>45882</v>
      </c>
      <c r="G1878" s="4">
        <v>20250812</v>
      </c>
      <c r="H1878" s="38" t="str">
        <f>VLOOKUP(B1878,CAJEROS!B:D,3,0)</f>
        <v>Multifuncional</v>
      </c>
      <c r="I1878" s="34"/>
      <c r="J1878" s="38" t="str">
        <f>VLOOKUP(B1878,CAJEROS!B:E,4,0)</f>
        <v>MF_BUGA</v>
      </c>
      <c r="K1878" t="s">
        <v>450</v>
      </c>
    </row>
    <row r="1879" spans="1:11">
      <c r="A1879" s="32">
        <v>172</v>
      </c>
      <c r="B1879" s="32">
        <v>7429</v>
      </c>
      <c r="C1879" s="3">
        <v>1004200</v>
      </c>
      <c r="D1879" s="3"/>
      <c r="E1879" s="7">
        <f t="shared" si="66"/>
        <v>1004200</v>
      </c>
      <c r="F1879" s="5">
        <v>45882</v>
      </c>
      <c r="G1879" s="4">
        <v>20250812</v>
      </c>
      <c r="H1879" s="38" t="str">
        <f>VLOOKUP(B1879,CAJEROS!B:D,3,0)</f>
        <v>Multifuncional</v>
      </c>
      <c r="I1879" s="34"/>
      <c r="J1879" s="38" t="str">
        <f>VLOOKUP(B1879,CAJEROS!B:E,4,0)</f>
        <v>MF_TELEPORT</v>
      </c>
      <c r="K1879" t="s">
        <v>450</v>
      </c>
    </row>
    <row r="1880" spans="1:11">
      <c r="A1880" s="32">
        <v>225</v>
      </c>
      <c r="B1880" s="32">
        <v>8868</v>
      </c>
      <c r="C1880" s="3">
        <v>7930000</v>
      </c>
      <c r="D1880" s="3"/>
      <c r="E1880" s="7">
        <f t="shared" si="66"/>
        <v>7930000</v>
      </c>
      <c r="F1880" s="5">
        <v>45882</v>
      </c>
      <c r="G1880" s="4">
        <v>20250812</v>
      </c>
      <c r="H1880" s="38" t="str">
        <f>VLOOKUP(B1880,CAJEROS!B:D,3,0)</f>
        <v>Multifuncional</v>
      </c>
      <c r="I1880" s="34"/>
      <c r="J1880" s="38" t="str">
        <f>VLOOKUP(B1880,CAJEROS!B:E,4,0)</f>
        <v>MF_SMPLNQS1</v>
      </c>
      <c r="K1880" t="s">
        <v>450</v>
      </c>
    </row>
    <row r="1881" spans="1:11">
      <c r="A1881" s="32">
        <v>225</v>
      </c>
      <c r="B1881" s="32">
        <v>8869</v>
      </c>
      <c r="C1881" s="3">
        <v>307000</v>
      </c>
      <c r="D1881" s="3">
        <f>100000+50000+5000</f>
        <v>155000</v>
      </c>
      <c r="E1881" s="7">
        <f t="shared" si="66"/>
        <v>152000</v>
      </c>
      <c r="F1881" s="5">
        <v>45882</v>
      </c>
      <c r="G1881" s="4">
        <v>20250812</v>
      </c>
      <c r="H1881" s="38" t="str">
        <f>VLOOKUP(B1881,CAJEROS!B:D,3,0)</f>
        <v>Multifuncional</v>
      </c>
      <c r="I1881" s="34"/>
      <c r="J1881" s="38" t="str">
        <f>VLOOKUP(B1881,CAJEROS!B:E,4,0)</f>
        <v>MF_SMPLNQS2</v>
      </c>
      <c r="K1881" t="s">
        <v>450</v>
      </c>
    </row>
    <row r="1882" spans="1:11">
      <c r="A1882" s="32">
        <v>442</v>
      </c>
      <c r="B1882" s="32">
        <v>8887</v>
      </c>
      <c r="C1882" s="3">
        <v>5470000</v>
      </c>
      <c r="D1882" s="3">
        <f>235000+357600</f>
        <v>592600</v>
      </c>
      <c r="E1882" s="7">
        <f t="shared" si="66"/>
        <v>4877400</v>
      </c>
      <c r="F1882" s="5">
        <v>45882</v>
      </c>
      <c r="G1882" s="4">
        <v>20250812</v>
      </c>
      <c r="H1882" s="38" t="str">
        <f>VLOOKUP(B1882,CAJEROS!B:D,3,0)</f>
        <v>Multifuncional</v>
      </c>
      <c r="I1882" s="34"/>
      <c r="J1882" s="38" t="str">
        <f>VLOOKUP(B1882,CAJEROS!B:E,4,0)</f>
        <v>MFVIVABQUI1</v>
      </c>
      <c r="K1882" t="s">
        <v>450</v>
      </c>
    </row>
    <row r="1883" spans="1:11">
      <c r="A1883" s="32">
        <v>442</v>
      </c>
      <c r="B1883" s="32">
        <v>8888</v>
      </c>
      <c r="C1883" s="3">
        <v>8068000</v>
      </c>
      <c r="D1883" s="3"/>
      <c r="E1883" s="7">
        <f t="shared" si="66"/>
        <v>8068000</v>
      </c>
      <c r="F1883" s="5">
        <v>45882</v>
      </c>
      <c r="G1883" s="4">
        <v>20250812</v>
      </c>
      <c r="H1883" s="38" t="str">
        <f>VLOOKUP(B1883,CAJEROS!B:D,3,0)</f>
        <v>Multifuncional</v>
      </c>
      <c r="I1883" s="34"/>
      <c r="J1883" s="38" t="str">
        <f>VLOOKUP(B1883,CAJEROS!B:E,4,0)</f>
        <v>MFVIVABQUI2</v>
      </c>
      <c r="K1883" t="s">
        <v>450</v>
      </c>
    </row>
    <row r="1884" spans="1:11">
      <c r="A1884" s="32">
        <v>845</v>
      </c>
      <c r="B1884" s="32">
        <v>9232</v>
      </c>
      <c r="C1884" s="3">
        <v>600000</v>
      </c>
      <c r="D1884" s="3"/>
      <c r="E1884" s="7">
        <f t="shared" si="66"/>
        <v>600000</v>
      </c>
      <c r="F1884" s="5">
        <v>45882</v>
      </c>
      <c r="G1884" s="4">
        <v>20250812</v>
      </c>
      <c r="H1884" s="38" t="str">
        <f>VLOOKUP(B1884,CAJEROS!B:D,3,0)</f>
        <v>Multifuncional</v>
      </c>
      <c r="I1884" s="34"/>
      <c r="J1884" s="38" t="str">
        <f>VLOOKUP(B1884,CAJEROS!B:E,4,0)</f>
        <v>MFSUCLAPLT1</v>
      </c>
      <c r="K1884" t="s">
        <v>450</v>
      </c>
    </row>
    <row r="1885" spans="1:11">
      <c r="A1885" s="32">
        <v>957</v>
      </c>
      <c r="B1885" s="32">
        <v>9512</v>
      </c>
      <c r="C1885" s="3">
        <v>5302000</v>
      </c>
      <c r="D1885" s="3">
        <f>650000+3136000</f>
        <v>3786000</v>
      </c>
      <c r="E1885" s="7">
        <f t="shared" si="66"/>
        <v>1516000</v>
      </c>
      <c r="F1885" s="5">
        <v>45882</v>
      </c>
      <c r="G1885" s="4">
        <v>20250812</v>
      </c>
      <c r="H1885" s="38" t="str">
        <f>VLOOKUP(B1885,CAJEROS!B:D,3,0)</f>
        <v>Multifuncional</v>
      </c>
      <c r="I1885" s="34"/>
      <c r="J1885" s="38" t="str">
        <f>VLOOKUP(B1885,CAJEROS!B:E,4,0)</f>
        <v>MFSUCPARAL1</v>
      </c>
      <c r="K1885" t="s">
        <v>450</v>
      </c>
    </row>
    <row r="1886" spans="1:11">
      <c r="A1886" s="32">
        <v>367</v>
      </c>
      <c r="B1886" s="32">
        <v>9580</v>
      </c>
      <c r="C1886" s="3">
        <v>303000</v>
      </c>
      <c r="D1886" s="3"/>
      <c r="E1886" s="7">
        <f t="shared" si="66"/>
        <v>303000</v>
      </c>
      <c r="F1886" s="5">
        <v>45882</v>
      </c>
      <c r="G1886" s="4">
        <v>20250812</v>
      </c>
      <c r="H1886" s="38" t="str">
        <f>VLOOKUP(B1886,CAJEROS!B:D,3,0)</f>
        <v>Multifuncional</v>
      </c>
      <c r="I1886" s="34"/>
      <c r="J1886" s="38" t="str">
        <f>VLOOKUP(B1886,CAJEROS!B:E,4,0)</f>
        <v>MF_SUCGRAN1</v>
      </c>
      <c r="K1886" t="s">
        <v>450</v>
      </c>
    </row>
    <row r="1887" spans="1:11">
      <c r="A1887" s="32">
        <v>331</v>
      </c>
      <c r="B1887" s="32">
        <v>575</v>
      </c>
      <c r="C1887" s="3">
        <v>2010000</v>
      </c>
      <c r="D1887" s="3"/>
      <c r="E1887" s="7">
        <f t="shared" si="66"/>
        <v>2010000</v>
      </c>
      <c r="F1887" s="5">
        <v>45882</v>
      </c>
      <c r="G1887" s="4">
        <v>20250812</v>
      </c>
      <c r="H1887" s="38" t="str">
        <f>VLOOKUP(B1887,CAJEROS!B:D,3,0)</f>
        <v>Multifuncional</v>
      </c>
      <c r="I1887" s="34" t="s">
        <v>9</v>
      </c>
      <c r="J1887" s="38" t="str">
        <f>VLOOKUP(B1887,CAJEROS!B:E,4,0)</f>
        <v>MF_SUCARKA2</v>
      </c>
      <c r="K1887" t="s">
        <v>450</v>
      </c>
    </row>
    <row r="1888" spans="1:11">
      <c r="A1888" s="32">
        <v>322</v>
      </c>
      <c r="B1888" s="32">
        <v>2444</v>
      </c>
      <c r="C1888" s="3">
        <v>2200000</v>
      </c>
      <c r="D1888" s="3">
        <f>228000+70000</f>
        <v>298000</v>
      </c>
      <c r="E1888" s="7">
        <f t="shared" si="66"/>
        <v>1902000</v>
      </c>
      <c r="F1888" s="5">
        <v>45882</v>
      </c>
      <c r="G1888" s="4">
        <v>20250812</v>
      </c>
      <c r="H1888" s="38" t="str">
        <f>VLOOKUP(B1888,CAJEROS!B:D,3,0)</f>
        <v>Multifuncional</v>
      </c>
      <c r="I1888" s="34" t="s">
        <v>9</v>
      </c>
      <c r="J1888" s="38" t="str">
        <f>VLOOKUP(B1888,CAJEROS!B:E,4,0)</f>
        <v>MFSUCSNGIL1</v>
      </c>
      <c r="K1888" t="s">
        <v>450</v>
      </c>
    </row>
    <row r="1889" spans="1:11">
      <c r="A1889" s="32">
        <v>867</v>
      </c>
      <c r="B1889" s="32">
        <v>5043</v>
      </c>
      <c r="C1889" s="3">
        <v>739000</v>
      </c>
      <c r="D1889" s="3"/>
      <c r="E1889" s="7">
        <f t="shared" si="66"/>
        <v>739000</v>
      </c>
      <c r="F1889" s="5">
        <v>45882</v>
      </c>
      <c r="G1889" s="4">
        <v>20250812</v>
      </c>
      <c r="H1889" s="38" t="str">
        <f>VLOOKUP(B1889,CAJEROS!B:D,3,0)</f>
        <v>Multifuncional</v>
      </c>
      <c r="I1889" s="34" t="s">
        <v>9</v>
      </c>
      <c r="J1889" s="38" t="str">
        <f>VLOOKUP(B1889,CAJEROS!B:E,4,0)</f>
        <v>MF_UNARMENI</v>
      </c>
      <c r="K1889" t="s">
        <v>450</v>
      </c>
    </row>
    <row r="1890" spans="1:11">
      <c r="A1890" s="32">
        <v>419</v>
      </c>
      <c r="B1890" s="32">
        <v>5077</v>
      </c>
      <c r="C1890" s="3">
        <v>950000</v>
      </c>
      <c r="D1890" s="3"/>
      <c r="E1890" s="7">
        <f t="shared" si="66"/>
        <v>950000</v>
      </c>
      <c r="F1890" s="5">
        <v>45882</v>
      </c>
      <c r="G1890" s="4">
        <v>20250812</v>
      </c>
      <c r="H1890" s="38" t="str">
        <f>VLOOKUP(B1890,CAJEROS!B:D,3,0)</f>
        <v>Multifuncional</v>
      </c>
      <c r="I1890" s="34" t="s">
        <v>9</v>
      </c>
      <c r="J1890" s="38" t="str">
        <f>VLOOKUP(B1890,CAJEROS!B:E,4,0)</f>
        <v>MF_CPUNIBOG</v>
      </c>
      <c r="K1890" t="s">
        <v>450</v>
      </c>
    </row>
    <row r="1891" spans="1:11">
      <c r="A1891" s="32">
        <v>656</v>
      </c>
      <c r="B1891" s="32">
        <v>5103</v>
      </c>
      <c r="C1891" s="3">
        <v>1400000</v>
      </c>
      <c r="D1891" s="3">
        <f>1280000+23000</f>
        <v>1303000</v>
      </c>
      <c r="E1891" s="7">
        <f t="shared" si="66"/>
        <v>97000</v>
      </c>
      <c r="F1891" s="5">
        <v>45882</v>
      </c>
      <c r="G1891" s="4">
        <v>20250812</v>
      </c>
      <c r="H1891" s="38" t="str">
        <f>VLOOKUP(B1891,CAJEROS!B:D,3,0)</f>
        <v>Multifuncional</v>
      </c>
      <c r="I1891" s="34" t="s">
        <v>9</v>
      </c>
      <c r="J1891" s="38" t="str">
        <f>VLOOKUP(B1891,CAJEROS!B:E,4,0)</f>
        <v>MF_MAYPLAZA</v>
      </c>
      <c r="K1891" t="s">
        <v>450</v>
      </c>
    </row>
    <row r="1892" spans="1:11">
      <c r="A1892" s="32">
        <v>750</v>
      </c>
      <c r="B1892" s="32">
        <v>5157</v>
      </c>
      <c r="C1892" s="3">
        <v>460000</v>
      </c>
      <c r="D1892" s="3">
        <v>120000</v>
      </c>
      <c r="E1892" s="7">
        <f t="shared" si="66"/>
        <v>340000</v>
      </c>
      <c r="F1892" s="5">
        <v>45882</v>
      </c>
      <c r="G1892" s="4">
        <v>20250812</v>
      </c>
      <c r="H1892" s="38" t="str">
        <f>VLOOKUP(B1892,CAJEROS!B:D,3,0)</f>
        <v>Multifuncional</v>
      </c>
      <c r="I1892" s="34" t="s">
        <v>9</v>
      </c>
      <c r="J1892" s="38" t="str">
        <f>VLOOKUP(B1892,CAJEROS!B:E,4,0)</f>
        <v>MF_AVROOSVL</v>
      </c>
      <c r="K1892" t="s">
        <v>450</v>
      </c>
    </row>
    <row r="1893" spans="1:11">
      <c r="A1893" s="32">
        <v>250</v>
      </c>
      <c r="B1893" s="32">
        <v>5197</v>
      </c>
      <c r="C1893" s="3">
        <v>1055000</v>
      </c>
      <c r="D1893" s="3"/>
      <c r="E1893" s="7">
        <f t="shared" si="66"/>
        <v>1055000</v>
      </c>
      <c r="F1893" s="5">
        <v>45882</v>
      </c>
      <c r="G1893" s="4">
        <v>20250812</v>
      </c>
      <c r="H1893" s="38" t="str">
        <f>VLOOKUP(B1893,CAJEROS!B:D,3,0)</f>
        <v>Multifuncional</v>
      </c>
      <c r="I1893" s="34" t="s">
        <v>9</v>
      </c>
      <c r="J1893" s="38" t="str">
        <f>VLOOKUP(B1893,CAJEROS!B:E,4,0)</f>
        <v>MF_MODELIA</v>
      </c>
      <c r="K1893" t="s">
        <v>450</v>
      </c>
    </row>
    <row r="1894" spans="1:11">
      <c r="A1894" s="32">
        <v>30</v>
      </c>
      <c r="B1894" s="32">
        <v>6172</v>
      </c>
      <c r="C1894" s="3">
        <v>200000</v>
      </c>
      <c r="D1894" s="3"/>
      <c r="E1894" s="7">
        <f t="shared" si="66"/>
        <v>200000</v>
      </c>
      <c r="F1894" s="5">
        <v>45882</v>
      </c>
      <c r="G1894" s="4">
        <v>20250812</v>
      </c>
      <c r="H1894" s="38" t="str">
        <f>VLOOKUP(B1894,CAJEROS!B:D,3,0)</f>
        <v>Multifuncional</v>
      </c>
      <c r="I1894" s="34" t="s">
        <v>9</v>
      </c>
      <c r="J1894" s="38" t="str">
        <f>VLOOKUP(B1894,CAJEROS!B:E,4,0)</f>
        <v>MF_CROCTAV1</v>
      </c>
      <c r="K1894" t="s">
        <v>450</v>
      </c>
    </row>
    <row r="1895" spans="1:11">
      <c r="A1895" s="32">
        <v>74</v>
      </c>
      <c r="B1895" s="32">
        <v>6215</v>
      </c>
      <c r="C1895" s="3">
        <v>64000</v>
      </c>
      <c r="D1895" s="3"/>
      <c r="E1895" s="7">
        <f t="shared" si="66"/>
        <v>64000</v>
      </c>
      <c r="F1895" s="5">
        <v>45882</v>
      </c>
      <c r="G1895" s="4">
        <v>20250812</v>
      </c>
      <c r="H1895" s="38" t="str">
        <f>VLOOKUP(B1895,CAJEROS!B:D,3,0)</f>
        <v>Multifuncional</v>
      </c>
      <c r="I1895" s="34" t="s">
        <v>9</v>
      </c>
      <c r="J1895" s="38" t="str">
        <f>VLOOKUP(B1895,CAJEROS!B:E,4,0)</f>
        <v>MF_PASTO</v>
      </c>
      <c r="K1895" t="s">
        <v>450</v>
      </c>
    </row>
    <row r="1896" spans="1:11">
      <c r="A1896" s="32">
        <v>379</v>
      </c>
      <c r="B1896" s="32">
        <v>6465</v>
      </c>
      <c r="C1896" s="3">
        <v>490000</v>
      </c>
      <c r="D1896" s="3">
        <v>470000</v>
      </c>
      <c r="E1896" s="7">
        <f t="shared" si="66"/>
        <v>20000</v>
      </c>
      <c r="F1896" s="5">
        <v>45882</v>
      </c>
      <c r="G1896" s="4">
        <v>20250812</v>
      </c>
      <c r="H1896" s="38" t="str">
        <f>VLOOKUP(B1896,CAJEROS!B:D,3,0)</f>
        <v>Multifuncional</v>
      </c>
      <c r="I1896" s="34" t="s">
        <v>9</v>
      </c>
      <c r="J1896" s="38" t="str">
        <f>VLOOKUP(B1896,CAJEROS!B:E,4,0)</f>
        <v>MF_SUCTESO1</v>
      </c>
      <c r="K1896" t="s">
        <v>450</v>
      </c>
    </row>
    <row r="1897" spans="1:11">
      <c r="A1897" s="32">
        <v>764</v>
      </c>
      <c r="B1897" s="32">
        <v>6715</v>
      </c>
      <c r="C1897" s="3">
        <v>892000</v>
      </c>
      <c r="D1897" s="3"/>
      <c r="E1897" s="7">
        <f t="shared" si="66"/>
        <v>892000</v>
      </c>
      <c r="F1897" s="5">
        <v>45882</v>
      </c>
      <c r="G1897" s="4">
        <v>20250812</v>
      </c>
      <c r="H1897" s="38" t="str">
        <f>VLOOKUP(B1897,CAJEROS!B:D,3,0)</f>
        <v>Multifuncional</v>
      </c>
      <c r="I1897" s="34" t="s">
        <v>9</v>
      </c>
      <c r="J1897" s="38" t="str">
        <f>VLOOKUP(B1897,CAJEROS!B:E,4,0)</f>
        <v>MF_JAMUNDI</v>
      </c>
      <c r="K1897" t="s">
        <v>450</v>
      </c>
    </row>
    <row r="1898" spans="1:11">
      <c r="A1898" s="32">
        <v>843</v>
      </c>
      <c r="B1898" s="32">
        <v>6716</v>
      </c>
      <c r="C1898" s="3">
        <v>770400</v>
      </c>
      <c r="D1898" s="3">
        <v>20000</v>
      </c>
      <c r="E1898" s="7">
        <f t="shared" si="66"/>
        <v>750400</v>
      </c>
      <c r="F1898" s="5">
        <v>45882</v>
      </c>
      <c r="G1898" s="4">
        <v>20250812</v>
      </c>
      <c r="H1898" s="38" t="str">
        <f>VLOOKUP(B1898,CAJEROS!B:D,3,0)</f>
        <v>Multifuncional</v>
      </c>
      <c r="I1898" s="34" t="s">
        <v>9</v>
      </c>
      <c r="J1898" s="38" t="str">
        <f>VLOOKUP(B1898,CAJEROS!B:E,4,0)</f>
        <v>MF_CPBUENAV</v>
      </c>
      <c r="K1898" t="s">
        <v>450</v>
      </c>
    </row>
    <row r="1899" spans="1:11">
      <c r="A1899" s="32">
        <v>371</v>
      </c>
      <c r="B1899" s="32">
        <v>6718</v>
      </c>
      <c r="C1899" s="3">
        <v>1266000</v>
      </c>
      <c r="D1899" s="3"/>
      <c r="E1899" s="7">
        <f t="shared" si="66"/>
        <v>1266000</v>
      </c>
      <c r="F1899" s="5">
        <v>45882</v>
      </c>
      <c r="G1899" s="4">
        <v>20250812</v>
      </c>
      <c r="H1899" s="38" t="str">
        <f>VLOOKUP(B1899,CAJEROS!B:D,3,0)</f>
        <v>Multifuncional</v>
      </c>
      <c r="I1899" s="34" t="s">
        <v>9</v>
      </c>
      <c r="J1899" s="38" t="str">
        <f>VLOOKUP(B1899,CAJEROS!B:E,4,0)</f>
        <v>MF_CAUCASIA</v>
      </c>
      <c r="K1899" t="s">
        <v>450</v>
      </c>
    </row>
    <row r="1900" spans="1:11">
      <c r="A1900" s="32">
        <v>96</v>
      </c>
      <c r="B1900" s="32">
        <v>6735</v>
      </c>
      <c r="C1900" s="3">
        <v>689000</v>
      </c>
      <c r="D1900" s="3"/>
      <c r="E1900" s="7">
        <f t="shared" si="66"/>
        <v>689000</v>
      </c>
      <c r="F1900" s="5">
        <v>45882</v>
      </c>
      <c r="G1900" s="4">
        <v>20250812</v>
      </c>
      <c r="H1900" s="38" t="str">
        <f>VLOOKUP(B1900,CAJEROS!B:D,3,0)</f>
        <v>Multifuncional</v>
      </c>
      <c r="I1900" s="34" t="s">
        <v>9</v>
      </c>
      <c r="J1900" s="38" t="str">
        <f>VLOOKUP(B1900,CAJEROS!B:E,4,0)</f>
        <v>MF_MAICAO</v>
      </c>
      <c r="K1900" t="s">
        <v>450</v>
      </c>
    </row>
    <row r="1901" spans="1:11">
      <c r="A1901" s="32">
        <v>166</v>
      </c>
      <c r="B1901" s="32">
        <v>7939</v>
      </c>
      <c r="C1901" s="3">
        <v>450000</v>
      </c>
      <c r="D1901" s="3"/>
      <c r="E1901" s="7">
        <f t="shared" si="66"/>
        <v>450000</v>
      </c>
      <c r="F1901" s="5">
        <v>45882</v>
      </c>
      <c r="G1901" s="4">
        <v>20250812</v>
      </c>
      <c r="H1901" s="38" t="str">
        <f>VLOOKUP(B1901,CAJEROS!B:D,3,0)</f>
        <v>Multifuncional</v>
      </c>
      <c r="I1901" s="34" t="s">
        <v>9</v>
      </c>
      <c r="J1901" s="38" t="str">
        <f>VLOOKUP(B1901,CAJEROS!B:E,4,0)</f>
        <v>MF_ALDELSI1</v>
      </c>
      <c r="K1901" t="s">
        <v>450</v>
      </c>
    </row>
    <row r="1902" spans="1:11">
      <c r="A1902" s="32">
        <v>569</v>
      </c>
      <c r="B1902" s="32">
        <v>8129</v>
      </c>
      <c r="C1902" s="3">
        <v>783000</v>
      </c>
      <c r="D1902" s="3"/>
      <c r="E1902" s="7">
        <f t="shared" si="66"/>
        <v>783000</v>
      </c>
      <c r="F1902" s="5">
        <v>45882</v>
      </c>
      <c r="G1902" s="4">
        <v>20250812</v>
      </c>
      <c r="H1902" s="38" t="str">
        <f>VLOOKUP(B1902,CAJEROS!B:D,3,0)</f>
        <v>Multifuncional</v>
      </c>
      <c r="I1902" s="34" t="s">
        <v>9</v>
      </c>
      <c r="J1902" s="38" t="str">
        <f>VLOOKUP(B1902,CAJEROS!B:E,4,0)</f>
        <v>MF_BUENMON2</v>
      </c>
      <c r="K1902" t="s">
        <v>450</v>
      </c>
    </row>
    <row r="1903" spans="1:11">
      <c r="A1903" s="32">
        <v>915</v>
      </c>
      <c r="B1903" s="32">
        <v>8314</v>
      </c>
      <c r="C1903" s="3">
        <v>653450</v>
      </c>
      <c r="D1903" s="3">
        <f>250000+200000+450+170000</f>
        <v>620450</v>
      </c>
      <c r="E1903" s="7">
        <f t="shared" si="66"/>
        <v>33000</v>
      </c>
      <c r="F1903" s="5">
        <v>45882</v>
      </c>
      <c r="G1903" s="4">
        <v>20250812</v>
      </c>
      <c r="H1903" s="38" t="str">
        <f>VLOOKUP(B1903,CAJEROS!B:D,3,0)</f>
        <v>Multifuncional</v>
      </c>
      <c r="I1903" s="34" t="s">
        <v>9</v>
      </c>
      <c r="J1903" s="38" t="str">
        <f>VLOOKUP(B1903,CAJEROS!B:E,4,0)</f>
        <v>MF_BANLABB2</v>
      </c>
      <c r="K1903" t="s">
        <v>450</v>
      </c>
    </row>
    <row r="1904" spans="1:11">
      <c r="A1904" s="32">
        <v>769</v>
      </c>
      <c r="B1904" s="32">
        <v>8679</v>
      </c>
      <c r="C1904" s="3">
        <v>1050000</v>
      </c>
      <c r="D1904" s="3">
        <v>1040000</v>
      </c>
      <c r="E1904" s="7">
        <f t="shared" si="66"/>
        <v>10000</v>
      </c>
      <c r="F1904" s="5">
        <v>45882</v>
      </c>
      <c r="G1904" s="4">
        <v>20250812</v>
      </c>
      <c r="H1904" s="38" t="str">
        <f>VLOOKUP(B1904,CAJEROS!B:D,3,0)</f>
        <v>Multifuncional</v>
      </c>
      <c r="I1904" s="34" t="s">
        <v>9</v>
      </c>
      <c r="J1904" s="38" t="str">
        <f>VLOOKUP(B1904,CAJEROS!B:E,4,0)</f>
        <v>MF_SUCPPRA1</v>
      </c>
      <c r="K1904" t="s">
        <v>450</v>
      </c>
    </row>
    <row r="1905" spans="1:11">
      <c r="A1905" s="32">
        <v>890</v>
      </c>
      <c r="B1905" s="32">
        <v>9584</v>
      </c>
      <c r="C1905" s="3">
        <v>2761550</v>
      </c>
      <c r="D1905" s="3">
        <v>2760000</v>
      </c>
      <c r="E1905" s="7">
        <f t="shared" si="66"/>
        <v>1550</v>
      </c>
      <c r="F1905" s="5">
        <v>45882</v>
      </c>
      <c r="G1905" s="4">
        <v>20250812</v>
      </c>
      <c r="H1905" s="38" t="str">
        <f>VLOOKUP(B1905,CAJEROS!B:D,3,0)</f>
        <v>Multifuncional</v>
      </c>
      <c r="I1905" s="34" t="s">
        <v>9</v>
      </c>
      <c r="J1905" s="38" t="str">
        <f>VLOOKUP(B1905,CAJEROS!B:E,4,0)</f>
        <v>MFSUCACACI1</v>
      </c>
      <c r="K1905" t="s">
        <v>450</v>
      </c>
    </row>
    <row r="1906" spans="1:11">
      <c r="A1906" s="32">
        <v>343</v>
      </c>
      <c r="B1906" s="32">
        <v>7954</v>
      </c>
      <c r="C1906" s="3">
        <v>10000</v>
      </c>
      <c r="D1906" s="3"/>
      <c r="E1906" s="7">
        <f t="shared" si="66"/>
        <v>10000</v>
      </c>
      <c r="F1906" s="5">
        <v>45882</v>
      </c>
      <c r="G1906" s="4">
        <v>20250812</v>
      </c>
      <c r="H1906" s="38" t="str">
        <f>VLOOKUP(B1906,CAJEROS!B:D,3,0)</f>
        <v>Dispensador</v>
      </c>
      <c r="I1906" s="34"/>
      <c r="J1906" s="38" t="str">
        <f>VLOOKUP(B1906,CAJEROS!B:E,4,0)</f>
        <v>SUCTABIO1</v>
      </c>
      <c r="K1906" t="s">
        <v>450</v>
      </c>
    </row>
    <row r="1907" spans="1:11">
      <c r="A1907" s="32">
        <v>376</v>
      </c>
      <c r="B1907" s="32">
        <v>2854</v>
      </c>
      <c r="C1907" s="3">
        <v>20000</v>
      </c>
      <c r="D1907" s="3"/>
      <c r="E1907" s="7">
        <f t="shared" si="66"/>
        <v>20000</v>
      </c>
      <c r="F1907" s="5">
        <v>45882</v>
      </c>
      <c r="G1907" s="4">
        <v>20250812</v>
      </c>
      <c r="H1907" s="38" t="str">
        <f>VLOOKUP(B1907,CAJEROS!B:D,3,0)</f>
        <v>Dispensador</v>
      </c>
      <c r="I1907" s="34"/>
      <c r="J1907" s="38" t="str">
        <f>VLOOKUP(B1907,CAJEROS!B:E,4,0)</f>
        <v>_FREDONIA_</v>
      </c>
      <c r="K1907" t="s">
        <v>450</v>
      </c>
    </row>
    <row r="1908" spans="1:11">
      <c r="A1908" s="32">
        <v>392</v>
      </c>
      <c r="B1908" s="32">
        <v>5265</v>
      </c>
      <c r="C1908" s="3">
        <v>300000</v>
      </c>
      <c r="D1908" s="3"/>
      <c r="E1908" s="7">
        <f t="shared" si="66"/>
        <v>300000</v>
      </c>
      <c r="F1908" s="5">
        <v>45882</v>
      </c>
      <c r="G1908" s="4">
        <v>20250812</v>
      </c>
      <c r="H1908" s="38" t="str">
        <f>VLOOKUP(B1908,CAJEROS!B:D,3,0)</f>
        <v>Dispensador</v>
      </c>
      <c r="I1908" s="34"/>
      <c r="J1908" s="38" t="str">
        <f>VLOOKUP(B1908,CAJEROS!B:E,4,0)</f>
        <v>SUC_LADORA4</v>
      </c>
      <c r="K1908" t="s">
        <v>450</v>
      </c>
    </row>
    <row r="1909" spans="1:11">
      <c r="A1909" s="32">
        <v>413</v>
      </c>
      <c r="B1909" s="32">
        <v>499</v>
      </c>
      <c r="C1909" s="3">
        <v>1400000</v>
      </c>
      <c r="D1909" s="3"/>
      <c r="E1909" s="7">
        <f t="shared" si="66"/>
        <v>1400000</v>
      </c>
      <c r="F1909" s="5">
        <v>45882</v>
      </c>
      <c r="G1909" s="4">
        <v>20250812</v>
      </c>
      <c r="H1909" s="38" t="str">
        <f>VLOOKUP(B1909,CAJEROS!B:D,3,0)</f>
        <v>Dispensador</v>
      </c>
      <c r="I1909" s="34"/>
      <c r="J1909" s="38" t="str">
        <f>VLOOKUP(B1909,CAJEROS!B:E,4,0)</f>
        <v>MELGAR1</v>
      </c>
      <c r="K1909" t="s">
        <v>450</v>
      </c>
    </row>
    <row r="1910" spans="1:11">
      <c r="A1910" s="32">
        <v>415</v>
      </c>
      <c r="B1910" s="32">
        <v>8616</v>
      </c>
      <c r="C1910" s="3">
        <v>30000</v>
      </c>
      <c r="D1910" s="3"/>
      <c r="E1910" s="7">
        <f t="shared" si="66"/>
        <v>30000</v>
      </c>
      <c r="F1910" s="5">
        <v>45882</v>
      </c>
      <c r="G1910" s="4">
        <v>20250812</v>
      </c>
      <c r="H1910" s="38" t="str">
        <f>VLOOKUP(B1910,CAJEROS!B:D,3,0)</f>
        <v>Dispensador</v>
      </c>
      <c r="I1910" s="34"/>
      <c r="J1910" s="38" t="str">
        <f>VLOOKUP(B1910,CAJEROS!B:E,4,0)</f>
        <v>SUCRETIRO1</v>
      </c>
      <c r="K1910" t="s">
        <v>450</v>
      </c>
    </row>
    <row r="1911" spans="1:11">
      <c r="A1911" s="32">
        <v>484</v>
      </c>
      <c r="B1911" s="32">
        <v>3268</v>
      </c>
      <c r="C1911" s="3">
        <v>860000</v>
      </c>
      <c r="D1911" s="3"/>
      <c r="E1911" s="7">
        <f t="shared" si="66"/>
        <v>860000</v>
      </c>
      <c r="F1911" s="5">
        <v>45882</v>
      </c>
      <c r="G1911" s="4">
        <v>20250812</v>
      </c>
      <c r="H1911" s="38" t="str">
        <f>VLOOKUP(B1911,CAJEROS!B:D,3,0)</f>
        <v>Dispensador</v>
      </c>
      <c r="I1911" s="34"/>
      <c r="J1911" s="38" t="str">
        <f>VLOOKUP(B1911,CAJEROS!B:E,4,0)</f>
        <v>MAGANGUE_3</v>
      </c>
      <c r="K1911" t="s">
        <v>450</v>
      </c>
    </row>
    <row r="1912" spans="1:11">
      <c r="A1912" s="32">
        <v>503</v>
      </c>
      <c r="B1912" s="32">
        <v>5031</v>
      </c>
      <c r="C1912" s="3">
        <v>20000</v>
      </c>
      <c r="D1912" s="3"/>
      <c r="E1912" s="7">
        <f t="shared" si="66"/>
        <v>20000</v>
      </c>
      <c r="F1912" s="5">
        <v>45882</v>
      </c>
      <c r="G1912" s="4">
        <v>20250812</v>
      </c>
      <c r="H1912" s="38" t="str">
        <f>VLOOKUP(B1912,CAJEROS!B:D,3,0)</f>
        <v>Dispensador</v>
      </c>
      <c r="I1912" s="34"/>
      <c r="J1912" s="38" t="str">
        <f>VLOOKUP(B1912,CAJEROS!B:E,4,0)</f>
        <v>YARUMAL1</v>
      </c>
      <c r="K1912" t="s">
        <v>450</v>
      </c>
    </row>
    <row r="1913" spans="1:11">
      <c r="A1913" s="32">
        <v>513</v>
      </c>
      <c r="B1913" s="32">
        <v>4949</v>
      </c>
      <c r="C1913" s="3">
        <v>10000</v>
      </c>
      <c r="D1913" s="3"/>
      <c r="E1913" s="7">
        <f t="shared" si="66"/>
        <v>10000</v>
      </c>
      <c r="F1913" s="5">
        <v>45882</v>
      </c>
      <c r="G1913" s="4">
        <v>20250812</v>
      </c>
      <c r="H1913" s="38" t="str">
        <f>VLOOKUP(B1913,CAJEROS!B:D,3,0)</f>
        <v>Dispensador</v>
      </c>
      <c r="I1913" s="34"/>
      <c r="J1913" s="38" t="str">
        <f>VLOOKUP(B1913,CAJEROS!B:E,4,0)</f>
        <v>SUC_AGUARI1</v>
      </c>
      <c r="K1913" t="s">
        <v>450</v>
      </c>
    </row>
    <row r="1914" spans="1:11">
      <c r="A1914" s="32">
        <v>739</v>
      </c>
      <c r="B1914" s="32">
        <v>3803</v>
      </c>
      <c r="C1914" s="3">
        <v>1090000</v>
      </c>
      <c r="D1914" s="3">
        <v>710000</v>
      </c>
      <c r="E1914" s="7">
        <f t="shared" si="66"/>
        <v>380000</v>
      </c>
      <c r="F1914" s="5">
        <v>45882</v>
      </c>
      <c r="G1914" s="4">
        <v>20250812</v>
      </c>
      <c r="H1914" s="38" t="str">
        <f>VLOOKUP(B1914,CAJEROS!B:D,3,0)</f>
        <v>Dispensador</v>
      </c>
      <c r="I1914" s="34"/>
      <c r="J1914" s="38" t="str">
        <f>VLOOKUP(B1914,CAJEROS!B:E,4,0)</f>
        <v>SUC_NECO2</v>
      </c>
      <c r="K1914" t="s">
        <v>450</v>
      </c>
    </row>
    <row r="1915" spans="1:11">
      <c r="A1915" s="32">
        <v>777</v>
      </c>
      <c r="B1915" s="32">
        <v>8635</v>
      </c>
      <c r="C1915" s="3">
        <v>500000</v>
      </c>
      <c r="D1915" s="3"/>
      <c r="E1915" s="7">
        <f t="shared" si="66"/>
        <v>500000</v>
      </c>
      <c r="F1915" s="5">
        <v>45882</v>
      </c>
      <c r="G1915" s="4">
        <v>20250812</v>
      </c>
      <c r="H1915" s="38" t="e">
        <f>VLOOKUP(B1915,CAJEROS!B:D,3,0)</f>
        <v>#N/A</v>
      </c>
      <c r="I1915" s="34"/>
      <c r="J1915" s="38" t="e">
        <f>VLOOKUP(B1915,CAJEROS!B:E,4,0)</f>
        <v>#N/A</v>
      </c>
      <c r="K1915" t="s">
        <v>450</v>
      </c>
    </row>
    <row r="1916" spans="1:11">
      <c r="A1916" s="32">
        <v>780</v>
      </c>
      <c r="B1916" s="32">
        <v>4713</v>
      </c>
      <c r="C1916" s="3">
        <v>490000</v>
      </c>
      <c r="D1916" s="3"/>
      <c r="E1916" s="7">
        <f t="shared" si="66"/>
        <v>490000</v>
      </c>
      <c r="F1916" s="5">
        <v>45882</v>
      </c>
      <c r="G1916" s="4">
        <v>20250812</v>
      </c>
      <c r="H1916" s="38" t="str">
        <f>VLOOKUP(B1916,CAJEROS!B:D,3,0)</f>
        <v>Dispensador</v>
      </c>
      <c r="I1916" s="34"/>
      <c r="J1916" s="38" t="str">
        <f>VLOOKUP(B1916,CAJEROS!B:E,4,0)</f>
        <v>SUCREALMIN1</v>
      </c>
      <c r="K1916" t="s">
        <v>450</v>
      </c>
    </row>
    <row r="1917" spans="1:11">
      <c r="A1917" s="32">
        <v>780</v>
      </c>
      <c r="B1917" s="32">
        <v>4715</v>
      </c>
      <c r="C1917" s="3">
        <v>150000</v>
      </c>
      <c r="D1917" s="3"/>
      <c r="E1917" s="7">
        <f t="shared" si="66"/>
        <v>150000</v>
      </c>
      <c r="F1917" s="5">
        <v>45882</v>
      </c>
      <c r="G1917" s="4">
        <v>20250812</v>
      </c>
      <c r="H1917" s="38" t="str">
        <f>VLOOKUP(B1917,CAJEROS!B:D,3,0)</f>
        <v>Dispensador</v>
      </c>
      <c r="I1917" s="34"/>
      <c r="J1917" s="38" t="str">
        <f>VLOOKUP(B1917,CAJEROS!B:E,4,0)</f>
        <v>SUCREALMIN3</v>
      </c>
      <c r="K1917" t="s">
        <v>450</v>
      </c>
    </row>
    <row r="1918" spans="1:11">
      <c r="A1918" s="32">
        <v>894</v>
      </c>
      <c r="B1918" s="32">
        <v>4232</v>
      </c>
      <c r="C1918" s="3">
        <v>10000</v>
      </c>
      <c r="D1918" s="3"/>
      <c r="E1918" s="7">
        <f t="shared" si="66"/>
        <v>10000</v>
      </c>
      <c r="F1918" s="5">
        <v>45882</v>
      </c>
      <c r="G1918" s="4">
        <v>20250812</v>
      </c>
      <c r="H1918" s="38" t="str">
        <f>VLOOKUP(B1918,CAJEROS!B:D,3,0)</f>
        <v>Dispensador</v>
      </c>
      <c r="I1918" s="34"/>
      <c r="J1918" s="38" t="str">
        <f>VLOOKUP(B1918,CAJEROS!B:E,4,0)</f>
        <v>AUTO_TUMA1</v>
      </c>
      <c r="K1918" t="s">
        <v>450</v>
      </c>
    </row>
    <row r="1919" spans="1:11">
      <c r="A1919" s="32">
        <v>894</v>
      </c>
      <c r="B1919" s="32">
        <v>4233</v>
      </c>
      <c r="C1919" s="3">
        <v>140000</v>
      </c>
      <c r="D1919" s="3"/>
      <c r="E1919" s="7">
        <f t="shared" si="66"/>
        <v>140000</v>
      </c>
      <c r="F1919" s="5">
        <v>45882</v>
      </c>
      <c r="G1919" s="4">
        <v>20250812</v>
      </c>
      <c r="H1919" s="38" t="str">
        <f>VLOOKUP(B1919,CAJEROS!B:D,3,0)</f>
        <v>Dispensador</v>
      </c>
      <c r="I1919" s="34"/>
      <c r="J1919" s="38" t="str">
        <f>VLOOKUP(B1919,CAJEROS!B:E,4,0)</f>
        <v>AUTO_TUMA2</v>
      </c>
      <c r="K1919" t="s">
        <v>450</v>
      </c>
    </row>
    <row r="1920" spans="1:11">
      <c r="A1920" s="32">
        <v>916</v>
      </c>
      <c r="B1920" s="32">
        <v>5345</v>
      </c>
      <c r="C1920" s="3">
        <v>480000</v>
      </c>
      <c r="D1920" s="3"/>
      <c r="E1920" s="7">
        <f t="shared" si="66"/>
        <v>480000</v>
      </c>
      <c r="F1920" s="5">
        <v>45882</v>
      </c>
      <c r="G1920" s="4">
        <v>20250812</v>
      </c>
      <c r="H1920" s="38" t="str">
        <f>VLOOKUP(B1920,CAJEROS!B:D,3,0)</f>
        <v>Dispensador</v>
      </c>
      <c r="I1920" s="34"/>
      <c r="J1920" s="38" t="str">
        <f>VLOOKUP(B1920,CAJEROS!B:E,4,0)</f>
        <v>SUC_OCEANM1</v>
      </c>
      <c r="K1920" t="s">
        <v>450</v>
      </c>
    </row>
    <row r="1921" spans="1:11">
      <c r="A1921" s="32">
        <v>225</v>
      </c>
      <c r="B1921" s="32">
        <v>8866</v>
      </c>
      <c r="C1921" s="3">
        <v>60000</v>
      </c>
      <c r="D1921" s="3">
        <v>50000</v>
      </c>
      <c r="E1921" s="7">
        <f t="shared" si="66"/>
        <v>10000</v>
      </c>
      <c r="F1921" s="5">
        <v>45882</v>
      </c>
      <c r="G1921" s="4">
        <v>20250812</v>
      </c>
      <c r="H1921" s="38" t="str">
        <f>VLOOKUP(B1921,CAJEROS!B:D,3,0)</f>
        <v>Dispensador</v>
      </c>
      <c r="I1921" s="34" t="s">
        <v>9</v>
      </c>
      <c r="J1921" s="38" t="str">
        <f>VLOOKUP(B1921,CAJEROS!B:E,4,0)</f>
        <v>SMALPLANQS4</v>
      </c>
      <c r="K1921" t="s">
        <v>450</v>
      </c>
    </row>
    <row r="1922" spans="1:11">
      <c r="A1922" s="32">
        <v>287</v>
      </c>
      <c r="B1922" s="32">
        <v>906</v>
      </c>
      <c r="C1922" s="3">
        <v>200000</v>
      </c>
      <c r="D1922" s="3"/>
      <c r="E1922" s="7">
        <f t="shared" si="66"/>
        <v>200000</v>
      </c>
      <c r="F1922" s="5">
        <v>45882</v>
      </c>
      <c r="G1922" s="4">
        <v>20250812</v>
      </c>
      <c r="H1922" s="38" t="str">
        <f>VLOOKUP(B1922,CAJEROS!B:D,3,0)</f>
        <v>Dispensador</v>
      </c>
      <c r="I1922" s="34" t="s">
        <v>9</v>
      </c>
      <c r="J1922" s="38" t="str">
        <f>VLOOKUP(B1922,CAJEROS!B:E,4,0)</f>
        <v>ABASTOBGA_2</v>
      </c>
      <c r="K1922" t="s">
        <v>450</v>
      </c>
    </row>
    <row r="1923" spans="1:11">
      <c r="A1923" s="32">
        <v>451</v>
      </c>
      <c r="B1923" s="32">
        <v>3799</v>
      </c>
      <c r="C1923" s="3">
        <v>50000</v>
      </c>
      <c r="D1923" s="3"/>
      <c r="E1923" s="7">
        <f t="shared" si="66"/>
        <v>50000</v>
      </c>
      <c r="F1923" s="5">
        <v>45882</v>
      </c>
      <c r="G1923" s="4">
        <v>20250812</v>
      </c>
      <c r="H1923" s="38" t="str">
        <f>VLOOKUP(B1923,CAJEROS!B:D,3,0)</f>
        <v>Dispensador</v>
      </c>
      <c r="I1923" s="34" t="s">
        <v>9</v>
      </c>
      <c r="J1923" s="38" t="str">
        <f>VLOOKUP(B1923,CAJEROS!B:E,4,0)</f>
        <v>SUC_PASIS1</v>
      </c>
      <c r="K1923" t="s">
        <v>450</v>
      </c>
    </row>
    <row r="1924" spans="1:11">
      <c r="A1924" s="32">
        <v>481</v>
      </c>
      <c r="B1924" s="32">
        <v>1005</v>
      </c>
      <c r="C1924" s="3">
        <v>400000</v>
      </c>
      <c r="D1924" s="3"/>
      <c r="E1924" s="7">
        <f t="shared" si="66"/>
        <v>400000</v>
      </c>
      <c r="F1924" s="5">
        <v>45882</v>
      </c>
      <c r="G1924" s="4">
        <v>20250812</v>
      </c>
      <c r="H1924" s="38" t="str">
        <f>VLOOKUP(B1924,CAJEROS!B:D,3,0)</f>
        <v>Dispensador</v>
      </c>
      <c r="I1924" s="34" t="s">
        <v>9</v>
      </c>
      <c r="J1924" s="38" t="str">
        <f>VLOOKUP(B1924,CAJEROS!B:E,4,0)</f>
        <v>SUC_SOLEDA1</v>
      </c>
      <c r="K1924" t="s">
        <v>450</v>
      </c>
    </row>
    <row r="1925" spans="1:11">
      <c r="A1925" s="32">
        <v>481</v>
      </c>
      <c r="B1925" s="32">
        <v>1007</v>
      </c>
      <c r="C1925" s="3">
        <v>1200000</v>
      </c>
      <c r="D1925" s="3"/>
      <c r="E1925" s="7">
        <f t="shared" si="66"/>
        <v>1200000</v>
      </c>
      <c r="F1925" s="5">
        <v>45882</v>
      </c>
      <c r="G1925" s="4">
        <v>20250812</v>
      </c>
      <c r="H1925" s="38" t="str">
        <f>VLOOKUP(B1925,CAJEROS!B:D,3,0)</f>
        <v>Dispensador</v>
      </c>
      <c r="I1925" s="34" t="s">
        <v>9</v>
      </c>
      <c r="J1925" s="38" t="str">
        <f>VLOOKUP(B1925,CAJEROS!B:E,4,0)</f>
        <v>SUC_SOLEDA3</v>
      </c>
      <c r="K1925" t="s">
        <v>450</v>
      </c>
    </row>
    <row r="1926" spans="1:11">
      <c r="A1926" s="32">
        <v>765</v>
      </c>
      <c r="B1926" s="32">
        <v>4998</v>
      </c>
      <c r="C1926" s="3">
        <v>100000</v>
      </c>
      <c r="D1926" s="3"/>
      <c r="E1926" s="7">
        <f t="shared" si="66"/>
        <v>100000</v>
      </c>
      <c r="F1926" s="5">
        <v>45882</v>
      </c>
      <c r="G1926" s="4">
        <v>20250812</v>
      </c>
      <c r="H1926" s="38" t="str">
        <f>VLOOKUP(B1926,CAJEROS!B:D,3,0)</f>
        <v>Dispensador</v>
      </c>
      <c r="I1926" s="34" t="s">
        <v>9</v>
      </c>
      <c r="J1926" s="38" t="str">
        <f>VLOOKUP(B1926,CAJEROS!B:E,4,0)</f>
        <v>SUC_BECERR1</v>
      </c>
      <c r="K1926" t="s">
        <v>450</v>
      </c>
    </row>
    <row r="1927" spans="1:11">
      <c r="A1927" s="32">
        <v>883</v>
      </c>
      <c r="B1927" s="32">
        <v>4074</v>
      </c>
      <c r="C1927" s="3">
        <v>70000</v>
      </c>
      <c r="D1927" s="3"/>
      <c r="E1927" s="7">
        <f t="shared" si="66"/>
        <v>70000</v>
      </c>
      <c r="F1927" s="5">
        <v>45882</v>
      </c>
      <c r="G1927" s="4">
        <v>20250812</v>
      </c>
      <c r="H1927" s="38" t="str">
        <f>VLOOKUP(B1927,CAJEROS!B:D,3,0)</f>
        <v>Dispensador</v>
      </c>
      <c r="I1927" s="34" t="s">
        <v>9</v>
      </c>
      <c r="J1927" s="38" t="str">
        <f>VLOOKUP(B1927,CAJEROS!B:E,4,0)</f>
        <v>SUC_SALGAR2</v>
      </c>
      <c r="K1927" t="s">
        <v>450</v>
      </c>
    </row>
    <row r="1928" spans="1:11">
      <c r="A1928" s="32">
        <v>966</v>
      </c>
      <c r="B1928" s="33">
        <v>9941</v>
      </c>
      <c r="C1928" s="3">
        <v>10000</v>
      </c>
      <c r="D1928" s="3"/>
      <c r="E1928" s="7">
        <f t="shared" si="66"/>
        <v>10000</v>
      </c>
      <c r="F1928" s="5">
        <v>45882</v>
      </c>
      <c r="G1928" s="4">
        <v>20250812</v>
      </c>
      <c r="H1928" s="38" t="str">
        <f>VLOOKUP(B1928,CAJEROS!B:D,3,0)</f>
        <v>Dispensador</v>
      </c>
      <c r="I1928" s="34" t="s">
        <v>10</v>
      </c>
      <c r="J1928" s="38" t="str">
        <f>VLOOKUP(B1928,CAJEROS!B:E,4,0)</f>
        <v>HALLSUCMTE1</v>
      </c>
      <c r="K1928" t="s">
        <v>450</v>
      </c>
    </row>
    <row r="1929" spans="1:11">
      <c r="A1929" s="32">
        <v>225</v>
      </c>
      <c r="B1929" s="33">
        <v>8865</v>
      </c>
      <c r="C1929" s="3">
        <v>20000</v>
      </c>
      <c r="D1929" s="3"/>
      <c r="E1929" s="7">
        <f t="shared" si="66"/>
        <v>20000</v>
      </c>
      <c r="F1929" s="5">
        <v>45882</v>
      </c>
      <c r="G1929" s="4">
        <v>20250812</v>
      </c>
      <c r="H1929" s="38" t="str">
        <f>VLOOKUP(B1929,CAJEROS!B:D,3,0)</f>
        <v>Dispensador</v>
      </c>
      <c r="I1929" s="34" t="s">
        <v>10</v>
      </c>
      <c r="J1929" s="38" t="str">
        <f>VLOOKUP(B1929,CAJEROS!B:E,4,0)</f>
        <v>SMALPLANQS3</v>
      </c>
      <c r="K1929" t="s">
        <v>450</v>
      </c>
    </row>
    <row r="1930" spans="1:11">
      <c r="A1930" s="32">
        <v>864</v>
      </c>
      <c r="B1930" s="33">
        <v>5795</v>
      </c>
      <c r="C1930" s="3">
        <v>20000</v>
      </c>
      <c r="D1930" s="3"/>
      <c r="E1930" s="7">
        <f t="shared" si="66"/>
        <v>20000</v>
      </c>
      <c r="F1930" s="5">
        <v>45882</v>
      </c>
      <c r="G1930" s="4">
        <v>20250812</v>
      </c>
      <c r="H1930" s="38" t="str">
        <f>VLOOKUP(B1930,CAJEROS!B:D,3,0)</f>
        <v>Dispensador</v>
      </c>
      <c r="I1930" s="34" t="s">
        <v>10</v>
      </c>
      <c r="J1930" s="38" t="str">
        <f>VLOOKUP(B1930,CAJEROS!B:E,4,0)</f>
        <v>SUC_PRADER1</v>
      </c>
      <c r="K1930" t="s">
        <v>450</v>
      </c>
    </row>
    <row r="1931" spans="1:11">
      <c r="A1931" s="32">
        <v>347</v>
      </c>
      <c r="B1931" s="33">
        <v>4782</v>
      </c>
      <c r="C1931" s="3">
        <v>10000</v>
      </c>
      <c r="D1931" s="3"/>
      <c r="E1931" s="7">
        <f t="shared" si="66"/>
        <v>10000</v>
      </c>
      <c r="F1931" s="5">
        <v>45882</v>
      </c>
      <c r="G1931" s="4">
        <v>20250812</v>
      </c>
      <c r="H1931" s="38" t="str">
        <f>VLOOKUP(B1931,CAJEROS!B:D,3,0)</f>
        <v>Dispensador</v>
      </c>
      <c r="I1931" s="34" t="s">
        <v>10</v>
      </c>
      <c r="J1931" s="38" t="str">
        <f>VLOOKUP(B1931,CAJEROS!B:E,4,0)</f>
        <v>SUC_MANRIQ1</v>
      </c>
      <c r="K1931" t="s">
        <v>450</v>
      </c>
    </row>
    <row r="1932" spans="1:11">
      <c r="A1932" s="32">
        <v>882</v>
      </c>
      <c r="B1932" s="33">
        <v>3510</v>
      </c>
      <c r="C1932" s="3">
        <v>10000</v>
      </c>
      <c r="D1932" s="3"/>
      <c r="E1932" s="7">
        <f t="shared" si="66"/>
        <v>10000</v>
      </c>
      <c r="F1932" s="5">
        <v>45882</v>
      </c>
      <c r="G1932" s="4">
        <v>20250812</v>
      </c>
      <c r="H1932" s="38" t="str">
        <f>VLOOKUP(B1932,CAJEROS!B:D,3,0)</f>
        <v>Dispensador</v>
      </c>
      <c r="I1932" s="34" t="s">
        <v>10</v>
      </c>
      <c r="J1932" s="38" t="str">
        <f>VLOOKUP(B1932,CAJEROS!B:E,4,0)</f>
        <v>LIBERTADOR1</v>
      </c>
      <c r="K1932" t="s">
        <v>450</v>
      </c>
    </row>
    <row r="1933" spans="1:11">
      <c r="A1933" s="32">
        <v>400</v>
      </c>
      <c r="B1933" s="33">
        <v>2939</v>
      </c>
      <c r="C1933" s="3">
        <v>10000</v>
      </c>
      <c r="D1933" s="3"/>
      <c r="E1933" s="7">
        <f t="shared" si="66"/>
        <v>10000</v>
      </c>
      <c r="F1933" s="5">
        <v>45882</v>
      </c>
      <c r="G1933" s="4">
        <v>20250812</v>
      </c>
      <c r="H1933" s="38" t="str">
        <f>VLOOKUP(B1933,CAJEROS!B:D,3,0)</f>
        <v>Dispensador</v>
      </c>
      <c r="I1933" s="34" t="s">
        <v>10</v>
      </c>
      <c r="J1933" s="38" t="str">
        <f>VLOOKUP(B1933,CAJEROS!B:E,4,0)</f>
        <v>STA_BARBARA</v>
      </c>
      <c r="K1933" t="s">
        <v>450</v>
      </c>
    </row>
    <row r="1934" spans="1:11">
      <c r="A1934" s="32">
        <v>481</v>
      </c>
      <c r="B1934" s="33">
        <v>1009</v>
      </c>
      <c r="C1934" s="3">
        <v>20000</v>
      </c>
      <c r="D1934" s="3"/>
      <c r="E1934" s="7">
        <f t="shared" si="66"/>
        <v>20000</v>
      </c>
      <c r="F1934" s="5">
        <v>45882</v>
      </c>
      <c r="G1934" s="4">
        <v>20250812</v>
      </c>
      <c r="H1934" s="38" t="str">
        <f>VLOOKUP(B1934,CAJEROS!B:D,3,0)</f>
        <v>Dispensador</v>
      </c>
      <c r="I1934" s="34" t="s">
        <v>10</v>
      </c>
      <c r="J1934" s="38" t="str">
        <f>VLOOKUP(B1934,CAJEROS!B:E,4,0)</f>
        <v>SUC_SOLEDA5</v>
      </c>
      <c r="K1934" t="s">
        <v>450</v>
      </c>
    </row>
    <row r="1935" spans="1:11">
      <c r="A1935" s="32">
        <v>584</v>
      </c>
      <c r="B1935" s="33">
        <v>5570</v>
      </c>
      <c r="C1935" s="3">
        <v>20000</v>
      </c>
      <c r="D1935" s="3"/>
      <c r="E1935" s="7">
        <f t="shared" si="66"/>
        <v>20000</v>
      </c>
      <c r="F1935" s="5">
        <v>45882</v>
      </c>
      <c r="G1935" s="4">
        <v>20250812</v>
      </c>
      <c r="H1935" s="38" t="str">
        <f>VLOOKUP(B1935,CAJEROS!B:D,3,0)</f>
        <v>Dispensador</v>
      </c>
      <c r="I1935" s="34" t="s">
        <v>10</v>
      </c>
      <c r="J1935" s="38" t="str">
        <f>VLOOKUP(B1935,CAJEROS!B:E,4,0)</f>
        <v>HALLCHIGOR1</v>
      </c>
      <c r="K1935" t="s">
        <v>450</v>
      </c>
    </row>
    <row r="1936" spans="1:11">
      <c r="A1936" s="32">
        <v>467</v>
      </c>
      <c r="B1936" s="33">
        <v>9052</v>
      </c>
      <c r="C1936" s="3">
        <v>10000</v>
      </c>
      <c r="D1936" s="3"/>
      <c r="E1936" s="7">
        <f t="shared" si="66"/>
        <v>10000</v>
      </c>
      <c r="F1936" s="5">
        <v>45882</v>
      </c>
      <c r="G1936" s="4">
        <v>20250812</v>
      </c>
      <c r="H1936" s="38" t="str">
        <f>VLOOKUP(B1936,CAJEROS!B:D,3,0)</f>
        <v>Multifuncional</v>
      </c>
      <c r="I1936" s="34" t="s">
        <v>10</v>
      </c>
      <c r="J1936" s="38" t="str">
        <f>VLOOKUP(B1936,CAJEROS!B:E,4,0)</f>
        <v>MFHDVERPLZ2</v>
      </c>
      <c r="K1936" t="s">
        <v>450</v>
      </c>
    </row>
    <row r="1937" spans="1:11">
      <c r="A1937" s="32">
        <v>692</v>
      </c>
      <c r="B1937" s="33">
        <v>1516</v>
      </c>
      <c r="C1937" s="3">
        <v>9100800</v>
      </c>
      <c r="D1937" s="3">
        <v>400000</v>
      </c>
      <c r="E1937" s="7">
        <f t="shared" si="66"/>
        <v>8700800</v>
      </c>
      <c r="F1937" s="5">
        <v>45883</v>
      </c>
      <c r="G1937" s="4">
        <v>20250813</v>
      </c>
      <c r="H1937" s="38" t="str">
        <f>VLOOKUP(B1937,CAJEROS!B:D,3,0)</f>
        <v>Multifuncional</v>
      </c>
      <c r="I1937" s="34"/>
      <c r="J1937" s="38" t="str">
        <f>VLOOKUP(B1937,CAJEROS!B:E,4,0)</f>
        <v>MFSUCALTPR2</v>
      </c>
      <c r="K1937" t="s">
        <v>450</v>
      </c>
    </row>
    <row r="1938" spans="1:11">
      <c r="A1938" s="32">
        <v>944</v>
      </c>
      <c r="B1938" s="33">
        <v>2228</v>
      </c>
      <c r="C1938" s="3">
        <v>12188250</v>
      </c>
      <c r="D1938" s="3">
        <f>2708500+1838000+2990000+1185000</f>
        <v>8721500</v>
      </c>
      <c r="E1938" s="7">
        <f t="shared" ref="E1938:E2001" si="67">+C1938-D1938</f>
        <v>3466750</v>
      </c>
      <c r="F1938" s="5">
        <v>45883</v>
      </c>
      <c r="G1938" s="4">
        <v>20250813</v>
      </c>
      <c r="H1938" s="38" t="str">
        <f>VLOOKUP(B1938,CAJEROS!B:D,3,0)</f>
        <v>Multifuncional</v>
      </c>
      <c r="I1938" s="34"/>
      <c r="J1938" s="38" t="str">
        <f>VLOOKUP(B1938,CAJEROS!B:E,4,0)</f>
        <v>MF_SANTABO3</v>
      </c>
      <c r="K1938" t="s">
        <v>450</v>
      </c>
    </row>
    <row r="1939" spans="1:11">
      <c r="A1939" s="32">
        <v>81</v>
      </c>
      <c r="B1939" s="33">
        <v>5036</v>
      </c>
      <c r="C1939" s="3">
        <v>7980000</v>
      </c>
      <c r="D1939" s="3">
        <f>180000+3419000</f>
        <v>3599000</v>
      </c>
      <c r="E1939" s="7">
        <f t="shared" si="67"/>
        <v>4381000</v>
      </c>
      <c r="F1939" s="5">
        <v>45883</v>
      </c>
      <c r="G1939" s="4">
        <v>20250813</v>
      </c>
      <c r="H1939" s="38" t="str">
        <f>VLOOKUP(B1939,CAJEROS!B:D,3,0)</f>
        <v>Multifuncional</v>
      </c>
      <c r="I1939" s="34"/>
      <c r="J1939" s="38" t="str">
        <f>VLOOKUP(B1939,CAJEROS!B:E,4,0)</f>
        <v>MF_AVKENNE</v>
      </c>
      <c r="K1939" t="s">
        <v>450</v>
      </c>
    </row>
    <row r="1940" spans="1:11">
      <c r="A1940" s="32">
        <v>333</v>
      </c>
      <c r="B1940" s="33">
        <v>5076</v>
      </c>
      <c r="C1940" s="3">
        <v>1717650</v>
      </c>
      <c r="D1940" s="3">
        <v>500</v>
      </c>
      <c r="E1940" s="7">
        <f t="shared" si="67"/>
        <v>1717150</v>
      </c>
      <c r="F1940" s="5">
        <v>45883</v>
      </c>
      <c r="G1940" s="4">
        <v>20250813</v>
      </c>
      <c r="H1940" s="38" t="str">
        <f>VLOOKUP(B1940,CAJEROS!B:D,3,0)</f>
        <v>Multifuncional</v>
      </c>
      <c r="I1940" s="34"/>
      <c r="J1940" s="38" t="str">
        <f>VLOOKUP(B1940,CAJEROS!B:E,4,0)</f>
        <v>MF_AVESMARI</v>
      </c>
      <c r="K1940" t="s">
        <v>450</v>
      </c>
    </row>
    <row r="1941" spans="1:11">
      <c r="A1941" s="32">
        <v>430</v>
      </c>
      <c r="B1941" s="33">
        <v>5104</v>
      </c>
      <c r="C1941" s="3">
        <v>164400</v>
      </c>
      <c r="D1941" s="3"/>
      <c r="E1941" s="7">
        <f t="shared" si="67"/>
        <v>164400</v>
      </c>
      <c r="F1941" s="5">
        <v>45883</v>
      </c>
      <c r="G1941" s="4">
        <v>20250813</v>
      </c>
      <c r="H1941" s="38" t="str">
        <f>VLOOKUP(B1941,CAJEROS!B:D,3,0)</f>
        <v>Multifuncional</v>
      </c>
      <c r="I1941" s="34"/>
      <c r="J1941" s="38" t="str">
        <f>VLOOKUP(B1941,CAJEROS!B:E,4,0)</f>
        <v>MF_ZONAROSA</v>
      </c>
      <c r="K1941" t="s">
        <v>450</v>
      </c>
    </row>
    <row r="1942" spans="1:11">
      <c r="A1942" s="32">
        <v>279</v>
      </c>
      <c r="B1942" s="33">
        <v>5147</v>
      </c>
      <c r="C1942" s="3">
        <v>1156000</v>
      </c>
      <c r="D1942" s="3"/>
      <c r="E1942" s="7">
        <f t="shared" si="67"/>
        <v>1156000</v>
      </c>
      <c r="F1942" s="5">
        <v>45883</v>
      </c>
      <c r="G1942" s="4">
        <v>20250813</v>
      </c>
      <c r="H1942" s="38" t="str">
        <f>VLOOKUP(B1942,CAJEROS!B:D,3,0)</f>
        <v>Multifuncional</v>
      </c>
      <c r="I1942" s="34"/>
      <c r="J1942" s="38" t="str">
        <f>VLOOKUP(B1942,CAJEROS!B:E,4,0)</f>
        <v>MF_ITAGPARQ</v>
      </c>
      <c r="K1942" t="s">
        <v>450</v>
      </c>
    </row>
    <row r="1943" spans="1:11">
      <c r="A1943" s="32">
        <v>756</v>
      </c>
      <c r="B1943" s="33">
        <v>5183</v>
      </c>
      <c r="C1943" s="3">
        <v>110000</v>
      </c>
      <c r="D1943" s="3"/>
      <c r="E1943" s="7">
        <f t="shared" si="67"/>
        <v>110000</v>
      </c>
      <c r="F1943" s="5">
        <v>45883</v>
      </c>
      <c r="G1943" s="4">
        <v>20250813</v>
      </c>
      <c r="H1943" s="38" t="str">
        <f>VLOOKUP(B1943,CAJEROS!B:D,3,0)</f>
        <v>Multifuncional</v>
      </c>
      <c r="I1943" s="34"/>
      <c r="J1943" s="38" t="str">
        <f>VLOOKUP(B1943,CAJEROS!B:E,4,0)</f>
        <v>MF_ARMNORTE</v>
      </c>
      <c r="K1943" t="s">
        <v>450</v>
      </c>
    </row>
    <row r="1944" spans="1:11">
      <c r="A1944" s="32">
        <v>285</v>
      </c>
      <c r="B1944" s="33">
        <v>5228</v>
      </c>
      <c r="C1944" s="3">
        <v>20175000</v>
      </c>
      <c r="D1944" s="3">
        <f>9475000+3840000</f>
        <v>13315000</v>
      </c>
      <c r="E1944" s="7">
        <f t="shared" si="67"/>
        <v>6860000</v>
      </c>
      <c r="F1944" s="5">
        <v>45883</v>
      </c>
      <c r="G1944" s="4">
        <v>20250813</v>
      </c>
      <c r="H1944" s="38" t="str">
        <f>VLOOKUP(B1944,CAJEROS!B:D,3,0)</f>
        <v>Multifuncional</v>
      </c>
      <c r="I1944" s="34"/>
      <c r="J1944" s="38" t="str">
        <f>VLOOKUP(B1944,CAJEROS!B:E,4,0)</f>
        <v>MF_GARZON</v>
      </c>
      <c r="K1944" t="s">
        <v>450</v>
      </c>
    </row>
    <row r="1945" spans="1:11">
      <c r="A1945" s="32">
        <v>524</v>
      </c>
      <c r="B1945" s="33">
        <v>6336</v>
      </c>
      <c r="C1945" s="3">
        <v>243150</v>
      </c>
      <c r="D1945" s="3">
        <v>230050</v>
      </c>
      <c r="E1945" s="7">
        <f t="shared" si="67"/>
        <v>13100</v>
      </c>
      <c r="F1945" s="5">
        <v>45883</v>
      </c>
      <c r="G1945" s="4">
        <v>20250813</v>
      </c>
      <c r="H1945" s="38" t="str">
        <f>VLOOKUP(B1945,CAJEROS!B:D,3,0)</f>
        <v>Multifuncional</v>
      </c>
      <c r="I1945" s="34"/>
      <c r="J1945" s="38" t="str">
        <f>VLOOKUP(B1945,CAJEROS!B:E,4,0)</f>
        <v>MF_VALLEDUP</v>
      </c>
      <c r="K1945" t="s">
        <v>450</v>
      </c>
    </row>
    <row r="1946" spans="1:11">
      <c r="A1946" s="32">
        <v>764</v>
      </c>
      <c r="B1946" s="33">
        <v>6715</v>
      </c>
      <c r="C1946" s="3">
        <v>349500</v>
      </c>
      <c r="D1946" s="3"/>
      <c r="E1946" s="7">
        <f t="shared" si="67"/>
        <v>349500</v>
      </c>
      <c r="F1946" s="5">
        <v>45883</v>
      </c>
      <c r="G1946" s="4">
        <v>20250813</v>
      </c>
      <c r="H1946" s="38" t="str">
        <f>VLOOKUP(B1946,CAJEROS!B:D,3,0)</f>
        <v>Multifuncional</v>
      </c>
      <c r="I1946" s="34"/>
      <c r="J1946" s="38" t="str">
        <f>VLOOKUP(B1946,CAJEROS!B:E,4,0)</f>
        <v>MF_JAMUNDI</v>
      </c>
      <c r="K1946" t="s">
        <v>450</v>
      </c>
    </row>
    <row r="1947" spans="1:11">
      <c r="A1947" s="32">
        <v>843</v>
      </c>
      <c r="B1947" s="33">
        <v>6716</v>
      </c>
      <c r="C1947" s="3">
        <v>692000</v>
      </c>
      <c r="D1947" s="3"/>
      <c r="E1947" s="7">
        <f t="shared" si="67"/>
        <v>692000</v>
      </c>
      <c r="F1947" s="5">
        <v>45883</v>
      </c>
      <c r="G1947" s="4">
        <v>20250813</v>
      </c>
      <c r="H1947" s="38" t="str">
        <f>VLOOKUP(B1947,CAJEROS!B:D,3,0)</f>
        <v>Multifuncional</v>
      </c>
      <c r="I1947" s="34"/>
      <c r="J1947" s="38" t="str">
        <f>VLOOKUP(B1947,CAJEROS!B:E,4,0)</f>
        <v>MF_CPBUENAV</v>
      </c>
      <c r="K1947" t="s">
        <v>450</v>
      </c>
    </row>
    <row r="1948" spans="1:11">
      <c r="A1948" s="32">
        <v>506</v>
      </c>
      <c r="B1948" s="33">
        <v>7316</v>
      </c>
      <c r="C1948" s="3">
        <v>1200000</v>
      </c>
      <c r="D1948" s="3"/>
      <c r="E1948" s="7">
        <f t="shared" si="67"/>
        <v>1200000</v>
      </c>
      <c r="F1948" s="5">
        <v>45883</v>
      </c>
      <c r="G1948" s="4">
        <v>20250813</v>
      </c>
      <c r="H1948" s="38" t="str">
        <f>VLOOKUP(B1948,CAJEROS!B:D,3,0)</f>
        <v>Multifuncional</v>
      </c>
      <c r="I1948" s="34"/>
      <c r="J1948" s="38" t="str">
        <f>VLOOKUP(B1948,CAJEROS!B:E,4,0)</f>
        <v>MF_SINCELE2</v>
      </c>
      <c r="K1948" t="s">
        <v>450</v>
      </c>
    </row>
    <row r="1949" spans="1:11">
      <c r="A1949" s="32">
        <v>810</v>
      </c>
      <c r="B1949" s="33">
        <v>8204</v>
      </c>
      <c r="C1949" s="3">
        <v>4002000</v>
      </c>
      <c r="D1949" s="3">
        <f>70000+81800</f>
        <v>151800</v>
      </c>
      <c r="E1949" s="7">
        <f t="shared" si="67"/>
        <v>3850200</v>
      </c>
      <c r="F1949" s="5">
        <v>45883</v>
      </c>
      <c r="G1949" s="4">
        <v>20250813</v>
      </c>
      <c r="H1949" s="38" t="str">
        <f>VLOOKUP(B1949,CAJEROS!B:D,3,0)</f>
        <v>Multifuncional</v>
      </c>
      <c r="I1949" s="34"/>
      <c r="J1949" s="38" t="str">
        <f>VLOOKUP(B1949,CAJEROS!B:E,4,0)</f>
        <v>MF_OESTE</v>
      </c>
      <c r="K1949" t="s">
        <v>450</v>
      </c>
    </row>
    <row r="1950" spans="1:11">
      <c r="A1950" s="32">
        <v>20</v>
      </c>
      <c r="B1950" s="33">
        <v>8927</v>
      </c>
      <c r="C1950" s="3">
        <v>2162400</v>
      </c>
      <c r="D1950" s="3"/>
      <c r="E1950" s="7">
        <f t="shared" si="67"/>
        <v>2162400</v>
      </c>
      <c r="F1950" s="5">
        <v>45883</v>
      </c>
      <c r="G1950" s="4">
        <v>20250813</v>
      </c>
      <c r="H1950" s="38" t="str">
        <f>VLOOKUP(B1950,CAJEROS!B:D,3,0)</f>
        <v>Multifuncional</v>
      </c>
      <c r="I1950" s="34"/>
      <c r="J1950" s="38" t="str">
        <f>VLOOKUP(B1950,CAJEROS!B:E,4,0)</f>
        <v>MFSUCBUCMG2</v>
      </c>
      <c r="K1950" t="s">
        <v>450</v>
      </c>
    </row>
    <row r="1951" spans="1:11">
      <c r="A1951" s="32">
        <v>467</v>
      </c>
      <c r="B1951" s="33">
        <v>9052</v>
      </c>
      <c r="C1951" s="3">
        <v>6156000</v>
      </c>
      <c r="D1951" s="3"/>
      <c r="E1951" s="7">
        <f t="shared" si="67"/>
        <v>6156000</v>
      </c>
      <c r="F1951" s="5">
        <v>45883</v>
      </c>
      <c r="G1951" s="4">
        <v>20250813</v>
      </c>
      <c r="H1951" s="38" t="str">
        <f>VLOOKUP(B1951,CAJEROS!B:D,3,0)</f>
        <v>Multifuncional</v>
      </c>
      <c r="I1951" s="34"/>
      <c r="J1951" s="38" t="str">
        <f>VLOOKUP(B1951,CAJEROS!B:E,4,0)</f>
        <v>MFHDVERPLZ2</v>
      </c>
      <c r="K1951" t="s">
        <v>450</v>
      </c>
    </row>
    <row r="1952" spans="1:11">
      <c r="A1952" s="32">
        <v>20</v>
      </c>
      <c r="B1952" s="33">
        <v>9204</v>
      </c>
      <c r="C1952" s="3">
        <v>26680200</v>
      </c>
      <c r="D1952" s="3">
        <f>2484600+190000+1000000</f>
        <v>3674600</v>
      </c>
      <c r="E1952" s="7">
        <f t="shared" si="67"/>
        <v>23005600</v>
      </c>
      <c r="F1952" s="5">
        <v>45883</v>
      </c>
      <c r="G1952" s="4">
        <v>20250813</v>
      </c>
      <c r="H1952" s="38" t="str">
        <f>VLOOKUP(B1952,CAJEROS!B:D,3,0)</f>
        <v>Multifuncional</v>
      </c>
      <c r="I1952" s="34"/>
      <c r="J1952" s="38" t="str">
        <f>VLOOKUP(B1952,CAJEROS!B:E,4,0)</f>
        <v>MF_BUCMANGA</v>
      </c>
      <c r="K1952" t="s">
        <v>450</v>
      </c>
    </row>
    <row r="1953" spans="1:11">
      <c r="A1953" s="32">
        <v>331</v>
      </c>
      <c r="B1953" s="33">
        <v>575</v>
      </c>
      <c r="C1953" s="3">
        <v>710000</v>
      </c>
      <c r="D1953" s="3">
        <v>650000</v>
      </c>
      <c r="E1953" s="7">
        <f t="shared" si="67"/>
        <v>60000</v>
      </c>
      <c r="F1953" s="5">
        <v>45883</v>
      </c>
      <c r="G1953" s="4">
        <v>20250813</v>
      </c>
      <c r="H1953" s="38" t="str">
        <f>VLOOKUP(B1953,CAJEROS!B:D,3,0)</f>
        <v>Multifuncional</v>
      </c>
      <c r="I1953" s="34" t="s">
        <v>9</v>
      </c>
      <c r="J1953" s="38" t="str">
        <f>VLOOKUP(B1953,CAJEROS!B:E,4,0)</f>
        <v>MF_SUCARKA2</v>
      </c>
      <c r="K1953" t="s">
        <v>450</v>
      </c>
    </row>
    <row r="1954" spans="1:11">
      <c r="A1954" s="32">
        <v>167</v>
      </c>
      <c r="B1954" s="33">
        <v>5030</v>
      </c>
      <c r="C1954" s="3">
        <v>2360000</v>
      </c>
      <c r="D1954" s="3">
        <v>2358600</v>
      </c>
      <c r="E1954" s="7">
        <f t="shared" si="67"/>
        <v>1400</v>
      </c>
      <c r="F1954" s="5">
        <v>45883</v>
      </c>
      <c r="G1954" s="4">
        <v>20250813</v>
      </c>
      <c r="H1954" s="38" t="str">
        <f>VLOOKUP(B1954,CAJEROS!B:D,3,0)</f>
        <v>Multifuncional</v>
      </c>
      <c r="I1954" s="34" t="s">
        <v>9</v>
      </c>
      <c r="J1954" s="38" t="str">
        <f>VLOOKUP(B1954,CAJEROS!B:E,4,0)</f>
        <v>MF_AVENID82</v>
      </c>
      <c r="K1954" t="s">
        <v>450</v>
      </c>
    </row>
    <row r="1955" spans="1:11">
      <c r="A1955" s="32">
        <v>517</v>
      </c>
      <c r="B1955" s="33">
        <v>5053</v>
      </c>
      <c r="C1955" s="3">
        <v>2903400</v>
      </c>
      <c r="D1955" s="3">
        <v>2831300</v>
      </c>
      <c r="E1955" s="7">
        <f t="shared" si="67"/>
        <v>72100</v>
      </c>
      <c r="F1955" s="5">
        <v>45883</v>
      </c>
      <c r="G1955" s="4">
        <v>20250813</v>
      </c>
      <c r="H1955" s="38" t="str">
        <f>VLOOKUP(B1955,CAJEROS!B:D,3,0)</f>
        <v>Multifuncional</v>
      </c>
      <c r="I1955" s="34" t="s">
        <v>9</v>
      </c>
      <c r="J1955" s="38" t="str">
        <f>VLOOKUP(B1955,CAJEROS!B:E,4,0)</f>
        <v>MF_RODADERO</v>
      </c>
      <c r="K1955" t="s">
        <v>450</v>
      </c>
    </row>
    <row r="1956" spans="1:11">
      <c r="A1956" s="32">
        <v>523</v>
      </c>
      <c r="B1956" s="33">
        <v>5082</v>
      </c>
      <c r="C1956" s="3">
        <v>324650</v>
      </c>
      <c r="D1956" s="3">
        <v>280000</v>
      </c>
      <c r="E1956" s="7">
        <f t="shared" si="67"/>
        <v>44650</v>
      </c>
      <c r="F1956" s="5">
        <v>45883</v>
      </c>
      <c r="G1956" s="4">
        <v>20250813</v>
      </c>
      <c r="H1956" s="38" t="str">
        <f>VLOOKUP(B1956,CAJEROS!B:D,3,0)</f>
        <v>Multifuncional</v>
      </c>
      <c r="I1956" s="34" t="s">
        <v>9</v>
      </c>
      <c r="J1956" s="38" t="str">
        <f>VLOOKUP(B1956,CAJEROS!B:E,4,0)</f>
        <v>MF_OVALLEDU</v>
      </c>
      <c r="K1956" t="s">
        <v>450</v>
      </c>
    </row>
    <row r="1957" spans="1:11">
      <c r="A1957" s="32">
        <v>88</v>
      </c>
      <c r="B1957" s="33">
        <v>5111</v>
      </c>
      <c r="C1957" s="3">
        <v>2445000</v>
      </c>
      <c r="D1957" s="3">
        <f>2341500+5000</f>
        <v>2346500</v>
      </c>
      <c r="E1957" s="7">
        <f t="shared" si="67"/>
        <v>98500</v>
      </c>
      <c r="F1957" s="5">
        <v>45883</v>
      </c>
      <c r="G1957" s="4">
        <v>20250813</v>
      </c>
      <c r="H1957" s="38" t="str">
        <f>VLOOKUP(B1957,CAJEROS!B:D,3,0)</f>
        <v>Multifuncional</v>
      </c>
      <c r="I1957" s="34" t="s">
        <v>9</v>
      </c>
      <c r="J1957" s="38" t="str">
        <f>VLOOKUP(B1957,CAJEROS!B:E,4,0)</f>
        <v>MF_CUCUTPAL</v>
      </c>
      <c r="K1957" t="s">
        <v>450</v>
      </c>
    </row>
    <row r="1958" spans="1:11">
      <c r="A1958" s="32">
        <v>244</v>
      </c>
      <c r="B1958" s="33">
        <v>5129</v>
      </c>
      <c r="C1958" s="3">
        <v>1530000</v>
      </c>
      <c r="D1958" s="3">
        <v>1285000</v>
      </c>
      <c r="E1958" s="7">
        <f t="shared" si="67"/>
        <v>245000</v>
      </c>
      <c r="F1958" s="5">
        <v>45883</v>
      </c>
      <c r="G1958" s="4">
        <v>20250813</v>
      </c>
      <c r="H1958" s="38" t="str">
        <f>VLOOKUP(B1958,CAJEROS!B:D,3,0)</f>
        <v>Multifuncional</v>
      </c>
      <c r="I1958" s="34" t="s">
        <v>9</v>
      </c>
      <c r="J1958" s="38" t="str">
        <f>VLOOKUP(B1958,CAJEROS!B:E,4,0)</f>
        <v>MF_TRIGALAN</v>
      </c>
      <c r="K1958" t="s">
        <v>450</v>
      </c>
    </row>
    <row r="1959" spans="1:11">
      <c r="A1959" s="32">
        <v>698</v>
      </c>
      <c r="B1959" s="33">
        <v>5187</v>
      </c>
      <c r="C1959" s="3">
        <v>80000</v>
      </c>
      <c r="D1959" s="3"/>
      <c r="E1959" s="7">
        <f t="shared" si="67"/>
        <v>80000</v>
      </c>
      <c r="F1959" s="5">
        <v>45883</v>
      </c>
      <c r="G1959" s="4">
        <v>20250813</v>
      </c>
      <c r="H1959" s="38" t="str">
        <f>VLOOKUP(B1959,CAJEROS!B:D,3,0)</f>
        <v>Multifuncional</v>
      </c>
      <c r="I1959" s="34" t="s">
        <v>9</v>
      </c>
      <c r="J1959" s="38" t="str">
        <f>VLOOKUP(B1959,CAJEROS!B:E,4,0)</f>
        <v>MF_SCLLE79</v>
      </c>
      <c r="K1959" t="s">
        <v>450</v>
      </c>
    </row>
    <row r="1960" spans="1:11">
      <c r="A1960" s="32">
        <v>250</v>
      </c>
      <c r="B1960" s="33">
        <v>5197</v>
      </c>
      <c r="C1960" s="3">
        <v>850000</v>
      </c>
      <c r="D1960" s="3"/>
      <c r="E1960" s="7">
        <f t="shared" si="67"/>
        <v>850000</v>
      </c>
      <c r="F1960" s="5">
        <v>45883</v>
      </c>
      <c r="G1960" s="4">
        <v>20250813</v>
      </c>
      <c r="H1960" s="38" t="str">
        <f>VLOOKUP(B1960,CAJEROS!B:D,3,0)</f>
        <v>Multifuncional</v>
      </c>
      <c r="I1960" s="34" t="s">
        <v>9</v>
      </c>
      <c r="J1960" s="38" t="str">
        <f>VLOOKUP(B1960,CAJEROS!B:E,4,0)</f>
        <v>MF_MODELIA</v>
      </c>
      <c r="K1960" t="s">
        <v>450</v>
      </c>
    </row>
    <row r="1961" spans="1:11">
      <c r="A1961" s="32">
        <v>77</v>
      </c>
      <c r="B1961" s="33">
        <v>5204</v>
      </c>
      <c r="C1961" s="3">
        <v>50000</v>
      </c>
      <c r="D1961" s="3"/>
      <c r="E1961" s="7">
        <f t="shared" si="67"/>
        <v>50000</v>
      </c>
      <c r="F1961" s="5">
        <v>45883</v>
      </c>
      <c r="G1961" s="4">
        <v>20250813</v>
      </c>
      <c r="H1961" s="38" t="str">
        <f>VLOOKUP(B1961,CAJEROS!B:D,3,0)</f>
        <v>Multifuncional</v>
      </c>
      <c r="I1961" s="34" t="s">
        <v>9</v>
      </c>
      <c r="J1961" s="38" t="str">
        <f>VLOOKUP(B1961,CAJEROS!B:E,4,0)</f>
        <v>MF_TEQENDMA</v>
      </c>
      <c r="K1961" t="s">
        <v>450</v>
      </c>
    </row>
    <row r="1962" spans="1:11">
      <c r="A1962" s="32">
        <v>168</v>
      </c>
      <c r="B1962" s="33">
        <v>5224</v>
      </c>
      <c r="C1962" s="3">
        <v>1556000</v>
      </c>
      <c r="D1962" s="3"/>
      <c r="E1962" s="7">
        <f t="shared" si="67"/>
        <v>1556000</v>
      </c>
      <c r="F1962" s="5">
        <v>45883</v>
      </c>
      <c r="G1962" s="4">
        <v>20250813</v>
      </c>
      <c r="H1962" s="38" t="str">
        <f>VLOOKUP(B1962,CAJEROS!B:D,3,0)</f>
        <v>Multifuncional</v>
      </c>
      <c r="I1962" s="34" t="s">
        <v>9</v>
      </c>
      <c r="J1962" s="38" t="str">
        <f>VLOOKUP(B1962,CAJEROS!B:E,4,0)</f>
        <v>MF_TOBERIN</v>
      </c>
      <c r="K1962" t="s">
        <v>450</v>
      </c>
    </row>
    <row r="1963" spans="1:11">
      <c r="A1963" s="32">
        <v>844</v>
      </c>
      <c r="B1963" s="33">
        <v>6169</v>
      </c>
      <c r="C1963" s="3">
        <v>410400</v>
      </c>
      <c r="D1963" s="3">
        <v>405000</v>
      </c>
      <c r="E1963" s="7">
        <f t="shared" si="67"/>
        <v>5400</v>
      </c>
      <c r="F1963" s="5">
        <v>45883</v>
      </c>
      <c r="G1963" s="4">
        <v>20250813</v>
      </c>
      <c r="H1963" s="38" t="str">
        <f>VLOOKUP(B1963,CAJEROS!B:D,3,0)</f>
        <v>Multifuncional</v>
      </c>
      <c r="I1963" s="34" t="s">
        <v>9</v>
      </c>
      <c r="J1963" s="38" t="str">
        <f>VLOOKUP(B1963,CAJEROS!B:E,4,0)</f>
        <v>MF_PRIMAVRA</v>
      </c>
      <c r="K1963" t="s">
        <v>450</v>
      </c>
    </row>
    <row r="1964" spans="1:11">
      <c r="A1964" s="32">
        <v>820</v>
      </c>
      <c r="B1964" s="33">
        <v>6174</v>
      </c>
      <c r="C1964" s="3">
        <v>3020500</v>
      </c>
      <c r="D1964" s="3">
        <f>1440000+1389700+190000</f>
        <v>3019700</v>
      </c>
      <c r="E1964" s="7">
        <f t="shared" si="67"/>
        <v>800</v>
      </c>
      <c r="F1964" s="5">
        <v>45883</v>
      </c>
      <c r="G1964" s="4">
        <v>20250813</v>
      </c>
      <c r="H1964" s="38" t="str">
        <f>VLOOKUP(B1964,CAJEROS!B:D,3,0)</f>
        <v>Multifuncional</v>
      </c>
      <c r="I1964" s="34" t="s">
        <v>9</v>
      </c>
      <c r="J1964" s="38" t="str">
        <f>VLOOKUP(B1964,CAJEROS!B:E,4,0)</f>
        <v>MF_AVCERO</v>
      </c>
      <c r="K1964" t="s">
        <v>450</v>
      </c>
    </row>
    <row r="1965" spans="1:11">
      <c r="A1965" s="32">
        <v>138</v>
      </c>
      <c r="B1965" s="33">
        <v>6628</v>
      </c>
      <c r="C1965" s="3">
        <v>2272000</v>
      </c>
      <c r="D1965" s="3">
        <f>597000+393000</f>
        <v>990000</v>
      </c>
      <c r="E1965" s="7">
        <f t="shared" si="67"/>
        <v>1282000</v>
      </c>
      <c r="F1965" s="5">
        <v>45883</v>
      </c>
      <c r="G1965" s="4">
        <v>20250813</v>
      </c>
      <c r="H1965" s="38" t="str">
        <f>VLOOKUP(B1965,CAJEROS!B:D,3,0)</f>
        <v>Multifuncional</v>
      </c>
      <c r="I1965" s="34" t="s">
        <v>9</v>
      </c>
      <c r="J1965" s="38" t="str">
        <f>VLOOKUP(B1965,CAJEROS!B:E,4,0)</f>
        <v>MF_MOSQUERA</v>
      </c>
      <c r="K1965" t="s">
        <v>450</v>
      </c>
    </row>
    <row r="1966" spans="1:11">
      <c r="A1966" s="32">
        <v>371</v>
      </c>
      <c r="B1966" s="33">
        <v>6718</v>
      </c>
      <c r="C1966" s="3">
        <v>1873000</v>
      </c>
      <c r="D1966" s="3">
        <v>1181000</v>
      </c>
      <c r="E1966" s="7">
        <f t="shared" si="67"/>
        <v>692000</v>
      </c>
      <c r="F1966" s="5">
        <v>45883</v>
      </c>
      <c r="G1966" s="4">
        <v>20250813</v>
      </c>
      <c r="H1966" s="38" t="str">
        <f>VLOOKUP(B1966,CAJEROS!B:D,3,0)</f>
        <v>Multifuncional</v>
      </c>
      <c r="I1966" s="34" t="s">
        <v>9</v>
      </c>
      <c r="J1966" s="38" t="str">
        <f>VLOOKUP(B1966,CAJEROS!B:E,4,0)</f>
        <v>MF_CAUCASIA</v>
      </c>
      <c r="K1966" t="s">
        <v>450</v>
      </c>
    </row>
    <row r="1967" spans="1:11">
      <c r="A1967" s="32">
        <v>812</v>
      </c>
      <c r="B1967" s="33">
        <v>7613</v>
      </c>
      <c r="C1967" s="3">
        <v>2498000</v>
      </c>
      <c r="D1967" s="3">
        <f>64000+1997650</f>
        <v>2061650</v>
      </c>
      <c r="E1967" s="7">
        <f t="shared" si="67"/>
        <v>436350</v>
      </c>
      <c r="F1967" s="5">
        <v>45883</v>
      </c>
      <c r="G1967" s="4">
        <v>20250813</v>
      </c>
      <c r="H1967" s="38" t="str">
        <f>VLOOKUP(B1967,CAJEROS!B:D,3,0)</f>
        <v>Multifuncional</v>
      </c>
      <c r="I1967" s="34" t="s">
        <v>9</v>
      </c>
      <c r="J1967" s="38" t="str">
        <f>VLOOKUP(B1967,CAJEROS!B:E,4,0)</f>
        <v>MF_CHPICHP2</v>
      </c>
      <c r="K1967" t="s">
        <v>450</v>
      </c>
    </row>
    <row r="1968" spans="1:11">
      <c r="A1968" s="32">
        <v>166</v>
      </c>
      <c r="B1968" s="33">
        <v>7939</v>
      </c>
      <c r="C1968" s="3">
        <v>2120000</v>
      </c>
      <c r="D1968" s="3">
        <v>1930000</v>
      </c>
      <c r="E1968" s="7">
        <f t="shared" si="67"/>
        <v>190000</v>
      </c>
      <c r="F1968" s="5">
        <v>45883</v>
      </c>
      <c r="G1968" s="4">
        <v>20250813</v>
      </c>
      <c r="H1968" s="38" t="str">
        <f>VLOOKUP(B1968,CAJEROS!B:D,3,0)</f>
        <v>Multifuncional</v>
      </c>
      <c r="I1968" s="34" t="s">
        <v>9</v>
      </c>
      <c r="J1968" s="38" t="str">
        <f>VLOOKUP(B1968,CAJEROS!B:E,4,0)</f>
        <v>MF_ALDELSI1</v>
      </c>
      <c r="K1968" t="s">
        <v>450</v>
      </c>
    </row>
    <row r="1969" spans="1:11">
      <c r="A1969" s="32">
        <v>453</v>
      </c>
      <c r="B1969" s="33">
        <v>8018</v>
      </c>
      <c r="C1969" s="3">
        <v>1670000</v>
      </c>
      <c r="D1969" s="3">
        <v>1250100</v>
      </c>
      <c r="E1969" s="7">
        <f t="shared" si="67"/>
        <v>419900</v>
      </c>
      <c r="F1969" s="5">
        <v>45883</v>
      </c>
      <c r="G1969" s="4">
        <v>20250813</v>
      </c>
      <c r="H1969" s="38" t="str">
        <f>VLOOKUP(B1969,CAJEROS!B:D,3,0)</f>
        <v>Multifuncional</v>
      </c>
      <c r="I1969" s="34" t="s">
        <v>9</v>
      </c>
      <c r="J1969" s="38" t="str">
        <f>VLOOKUP(B1969,CAJEROS!B:E,4,0)</f>
        <v>MFSUCPITAL1</v>
      </c>
      <c r="K1969" t="s">
        <v>450</v>
      </c>
    </row>
    <row r="1970" spans="1:11">
      <c r="A1970" s="32">
        <v>236</v>
      </c>
      <c r="B1970" s="33">
        <v>8497</v>
      </c>
      <c r="C1970" s="3">
        <v>100000</v>
      </c>
      <c r="D1970" s="3">
        <v>20000</v>
      </c>
      <c r="E1970" s="7">
        <f t="shared" si="67"/>
        <v>80000</v>
      </c>
      <c r="F1970" s="5">
        <v>45883</v>
      </c>
      <c r="G1970" s="4">
        <v>20250813</v>
      </c>
      <c r="H1970" s="38" t="str">
        <f>VLOOKUP(B1970,CAJEROS!B:D,3,0)</f>
        <v>Multifuncional</v>
      </c>
      <c r="I1970" s="34" t="s">
        <v>9</v>
      </c>
      <c r="J1970" s="38" t="str">
        <f>VLOOKUP(B1970,CAJEROS!B:E,4,0)</f>
        <v>MF_EXITCOL2</v>
      </c>
      <c r="K1970" t="s">
        <v>450</v>
      </c>
    </row>
    <row r="1971" spans="1:11">
      <c r="A1971" s="32">
        <v>4</v>
      </c>
      <c r="B1971" s="33">
        <v>8631</v>
      </c>
      <c r="C1971" s="3">
        <v>2442000</v>
      </c>
      <c r="D1971" s="3">
        <v>250000</v>
      </c>
      <c r="E1971" s="7">
        <f t="shared" si="67"/>
        <v>2192000</v>
      </c>
      <c r="F1971" s="5">
        <v>45883</v>
      </c>
      <c r="G1971" s="4">
        <v>20250813</v>
      </c>
      <c r="H1971" s="38" t="str">
        <f>VLOOKUP(B1971,CAJEROS!B:D,3,0)</f>
        <v>Multifuncional</v>
      </c>
      <c r="I1971" s="34" t="s">
        <v>9</v>
      </c>
      <c r="J1971" s="38" t="str">
        <f>VLOOKUP(B1971,CAJEROS!B:E,4,0)</f>
        <v>MF_SUCLAUR2</v>
      </c>
      <c r="K1971" t="s">
        <v>450</v>
      </c>
    </row>
    <row r="1972" spans="1:11">
      <c r="A1972" s="32">
        <v>60</v>
      </c>
      <c r="B1972" s="33">
        <v>8728</v>
      </c>
      <c r="C1972" s="3">
        <v>1671000</v>
      </c>
      <c r="D1972" s="3">
        <v>495000</v>
      </c>
      <c r="E1972" s="7">
        <f t="shared" si="67"/>
        <v>1176000</v>
      </c>
      <c r="F1972" s="5">
        <v>45883</v>
      </c>
      <c r="G1972" s="4">
        <v>20250813</v>
      </c>
      <c r="H1972" s="38" t="str">
        <f>VLOOKUP(B1972,CAJEROS!B:D,3,0)</f>
        <v>Multifuncional</v>
      </c>
      <c r="I1972" s="34" t="s">
        <v>9</v>
      </c>
      <c r="J1972" s="38" t="str">
        <f>VLOOKUP(B1972,CAJEROS!B:E,4,0)</f>
        <v>MF_HCALIPR2</v>
      </c>
      <c r="K1972" t="s">
        <v>450</v>
      </c>
    </row>
    <row r="1973" spans="1:11">
      <c r="A1973" s="32">
        <v>849</v>
      </c>
      <c r="B1973" s="33">
        <v>9725</v>
      </c>
      <c r="C1973" s="3">
        <v>700000</v>
      </c>
      <c r="D1973" s="3">
        <v>420000</v>
      </c>
      <c r="E1973" s="7">
        <f t="shared" si="67"/>
        <v>280000</v>
      </c>
      <c r="F1973" s="5">
        <v>45883</v>
      </c>
      <c r="G1973" s="4">
        <v>20250813</v>
      </c>
      <c r="H1973" s="38" t="str">
        <f>VLOOKUP(B1973,CAJEROS!B:D,3,0)</f>
        <v>Multifuncional</v>
      </c>
      <c r="I1973" s="34" t="s">
        <v>9</v>
      </c>
      <c r="J1973" s="38" t="str">
        <f>VLOOKUP(B1973,CAJEROS!B:E,4,0)</f>
        <v>MF_SUNIVIL2</v>
      </c>
      <c r="K1973" t="s">
        <v>450</v>
      </c>
    </row>
    <row r="1974" spans="1:11">
      <c r="A1974" s="32">
        <v>15</v>
      </c>
      <c r="B1974" s="33">
        <v>8573</v>
      </c>
      <c r="C1974" s="3">
        <v>530000</v>
      </c>
      <c r="D1974" s="3"/>
      <c r="E1974" s="7">
        <f t="shared" si="67"/>
        <v>530000</v>
      </c>
      <c r="F1974" s="5">
        <v>45883</v>
      </c>
      <c r="G1974" s="4">
        <v>20250813</v>
      </c>
      <c r="H1974" s="38" t="str">
        <f>VLOOKUP(B1974,CAJEROS!B:D,3,0)</f>
        <v>Dispensador</v>
      </c>
      <c r="I1974" s="34"/>
      <c r="J1974" s="38" t="str">
        <f>VLOOKUP(B1974,CAJEROS!B:E,4,0)</f>
        <v>HALLITAGUI3</v>
      </c>
      <c r="K1974" t="s">
        <v>450</v>
      </c>
    </row>
    <row r="1975" spans="1:11">
      <c r="A1975" s="32">
        <v>59</v>
      </c>
      <c r="B1975" s="33">
        <v>3667</v>
      </c>
      <c r="C1975" s="3">
        <v>150000</v>
      </c>
      <c r="D1975" s="3"/>
      <c r="E1975" s="7">
        <f t="shared" si="67"/>
        <v>150000</v>
      </c>
      <c r="F1975" s="5">
        <v>45883</v>
      </c>
      <c r="G1975" s="4">
        <v>20250813</v>
      </c>
      <c r="H1975" s="38" t="str">
        <f>VLOOKUP(B1975,CAJEROS!B:D,3,0)</f>
        <v>Dispensador</v>
      </c>
      <c r="I1975" s="34"/>
      <c r="J1975" s="38" t="str">
        <f>VLOOKUP(B1975,CAJEROS!B:E,4,0)</f>
        <v>AVSANTAN_1</v>
      </c>
      <c r="K1975" t="s">
        <v>450</v>
      </c>
    </row>
    <row r="1976" spans="1:11">
      <c r="A1976" s="32">
        <v>91</v>
      </c>
      <c r="B1976" s="33">
        <v>4731</v>
      </c>
      <c r="C1976" s="3">
        <v>500000</v>
      </c>
      <c r="D1976" s="3"/>
      <c r="E1976" s="7">
        <f t="shared" si="67"/>
        <v>500000</v>
      </c>
      <c r="F1976" s="5">
        <v>45883</v>
      </c>
      <c r="G1976" s="4">
        <v>20250813</v>
      </c>
      <c r="H1976" s="38" t="str">
        <f>VLOOKUP(B1976,CAJEROS!B:D,3,0)</f>
        <v>Dispensador</v>
      </c>
      <c r="I1976" s="34"/>
      <c r="J1976" s="38" t="str">
        <f>VLOOKUP(B1976,CAJEROS!B:E,4,0)</f>
        <v>MONTERIA_2</v>
      </c>
      <c r="K1976" t="s">
        <v>450</v>
      </c>
    </row>
    <row r="1977" spans="1:11">
      <c r="A1977" s="32">
        <v>240</v>
      </c>
      <c r="B1977" s="33">
        <v>4510</v>
      </c>
      <c r="C1977" s="3">
        <v>50000</v>
      </c>
      <c r="D1977" s="3"/>
      <c r="E1977" s="7">
        <f t="shared" si="67"/>
        <v>50000</v>
      </c>
      <c r="F1977" s="5">
        <v>45883</v>
      </c>
      <c r="G1977" s="4">
        <v>20250813</v>
      </c>
      <c r="H1977" s="38" t="str">
        <f>VLOOKUP(B1977,CAJEROS!B:D,3,0)</f>
        <v>Dispensador</v>
      </c>
      <c r="I1977" s="34"/>
      <c r="J1977" s="38" t="str">
        <f>VLOOKUP(B1977,CAJEROS!B:E,4,0)</f>
        <v>SUC_SANTFE1</v>
      </c>
      <c r="K1977" t="s">
        <v>450</v>
      </c>
    </row>
    <row r="1978" spans="1:11">
      <c r="A1978" s="32">
        <v>240</v>
      </c>
      <c r="B1978" s="33">
        <v>6372</v>
      </c>
      <c r="C1978" s="3">
        <v>70000</v>
      </c>
      <c r="D1978" s="3"/>
      <c r="E1978" s="7">
        <f t="shared" si="67"/>
        <v>70000</v>
      </c>
      <c r="F1978" s="5">
        <v>45883</v>
      </c>
      <c r="G1978" s="4">
        <v>20250813</v>
      </c>
      <c r="H1978" s="38" t="str">
        <f>VLOOKUP(B1978,CAJEROS!B:D,3,0)</f>
        <v>Dispensador</v>
      </c>
      <c r="I1978" s="34"/>
      <c r="J1978" s="38" t="str">
        <f>VLOOKUP(B1978,CAJEROS!B:E,4,0)</f>
        <v>STAFEANTI_2</v>
      </c>
      <c r="K1978" t="s">
        <v>450</v>
      </c>
    </row>
    <row r="1979" spans="1:11">
      <c r="A1979" s="32">
        <v>285</v>
      </c>
      <c r="B1979" s="33">
        <v>1437</v>
      </c>
      <c r="C1979" s="3">
        <v>520000</v>
      </c>
      <c r="D1979" s="3"/>
      <c r="E1979" s="7">
        <f t="shared" si="67"/>
        <v>520000</v>
      </c>
      <c r="F1979" s="5">
        <v>45883</v>
      </c>
      <c r="G1979" s="4">
        <v>20250813</v>
      </c>
      <c r="H1979" s="38" t="str">
        <f>VLOOKUP(B1979,CAJEROS!B:D,3,0)</f>
        <v>Dispensador</v>
      </c>
      <c r="I1979" s="34"/>
      <c r="J1979" s="38" t="str">
        <f>VLOOKUP(B1979,CAJEROS!B:E,4,0)</f>
        <v>GARZON_2</v>
      </c>
      <c r="K1979" t="s">
        <v>450</v>
      </c>
    </row>
    <row r="1980" spans="1:11">
      <c r="A1980" s="32">
        <v>289</v>
      </c>
      <c r="B1980" s="33">
        <v>3176</v>
      </c>
      <c r="C1980" s="3">
        <v>100000</v>
      </c>
      <c r="D1980" s="3"/>
      <c r="E1980" s="7">
        <f t="shared" si="67"/>
        <v>100000</v>
      </c>
      <c r="F1980" s="5">
        <v>45883</v>
      </c>
      <c r="G1980" s="4">
        <v>20250813</v>
      </c>
      <c r="H1980" s="38" t="str">
        <f>VLOOKUP(B1980,CAJEROS!B:D,3,0)</f>
        <v>Dispensador</v>
      </c>
      <c r="I1980" s="34"/>
      <c r="J1980" s="38" t="str">
        <f>VLOOKUP(B1980,CAJEROS!B:E,4,0)</f>
        <v>PUERTO_GAI1</v>
      </c>
      <c r="K1980" t="s">
        <v>450</v>
      </c>
    </row>
    <row r="1981" spans="1:11">
      <c r="A1981" s="32">
        <v>289</v>
      </c>
      <c r="B1981" s="33">
        <v>3177</v>
      </c>
      <c r="C1981" s="3">
        <v>30000</v>
      </c>
      <c r="D1981" s="3"/>
      <c r="E1981" s="7">
        <f t="shared" si="67"/>
        <v>30000</v>
      </c>
      <c r="F1981" s="5">
        <v>45883</v>
      </c>
      <c r="G1981" s="4">
        <v>20250813</v>
      </c>
      <c r="H1981" s="38" t="str">
        <f>VLOOKUP(B1981,CAJEROS!B:D,3,0)</f>
        <v>Dispensador</v>
      </c>
      <c r="I1981" s="34"/>
      <c r="J1981" s="38" t="str">
        <f>VLOOKUP(B1981,CAJEROS!B:E,4,0)</f>
        <v>PUERTO_GAI2</v>
      </c>
      <c r="K1981" t="s">
        <v>450</v>
      </c>
    </row>
    <row r="1982" spans="1:11">
      <c r="A1982" s="32">
        <v>289</v>
      </c>
      <c r="B1982" s="33">
        <v>8874</v>
      </c>
      <c r="C1982" s="3">
        <v>20000</v>
      </c>
      <c r="D1982" s="3"/>
      <c r="E1982" s="7">
        <f t="shared" si="67"/>
        <v>20000</v>
      </c>
      <c r="F1982" s="5">
        <v>45883</v>
      </c>
      <c r="G1982" s="4">
        <v>20250813</v>
      </c>
      <c r="H1982" s="38" t="str">
        <f>VLOOKUP(B1982,CAJEROS!B:D,3,0)</f>
        <v>Dispensador</v>
      </c>
      <c r="I1982" s="34"/>
      <c r="J1982" s="38" t="str">
        <f>VLOOKUP(B1982,CAJEROS!B:E,4,0)</f>
        <v>PUERTO_GAI5</v>
      </c>
      <c r="K1982" t="s">
        <v>450</v>
      </c>
    </row>
    <row r="1983" spans="1:11">
      <c r="A1983" s="32">
        <v>297</v>
      </c>
      <c r="B1983" s="33">
        <v>4565</v>
      </c>
      <c r="C1983" s="3">
        <v>30000</v>
      </c>
      <c r="D1983" s="3"/>
      <c r="E1983" s="7">
        <f t="shared" si="67"/>
        <v>30000</v>
      </c>
      <c r="F1983" s="5">
        <v>45883</v>
      </c>
      <c r="G1983" s="4">
        <v>20250813</v>
      </c>
      <c r="H1983" s="38" t="str">
        <f>VLOOKUP(B1983,CAJEROS!B:D,3,0)</f>
        <v>Dispensador</v>
      </c>
      <c r="I1983" s="34"/>
      <c r="J1983" s="38" t="str">
        <f>VLOOKUP(B1983,CAJEROS!B:E,4,0)</f>
        <v>SUC_AGUAC4</v>
      </c>
      <c r="K1983" t="s">
        <v>450</v>
      </c>
    </row>
    <row r="1984" spans="1:11">
      <c r="A1984" s="32">
        <v>297</v>
      </c>
      <c r="B1984" s="33">
        <v>5398</v>
      </c>
      <c r="C1984" s="3">
        <v>1090000</v>
      </c>
      <c r="D1984" s="3"/>
      <c r="E1984" s="7">
        <f t="shared" si="67"/>
        <v>1090000</v>
      </c>
      <c r="F1984" s="5">
        <v>45883</v>
      </c>
      <c r="G1984" s="4">
        <v>20250813</v>
      </c>
      <c r="H1984" s="38" t="str">
        <f>VLOOKUP(B1984,CAJEROS!B:D,3,0)</f>
        <v>Dispensador</v>
      </c>
      <c r="I1984" s="34"/>
      <c r="J1984" s="38" t="str">
        <f>VLOOKUP(B1984,CAJEROS!B:E,4,0)</f>
        <v>AGUACHICA2</v>
      </c>
      <c r="K1984" t="s">
        <v>450</v>
      </c>
    </row>
    <row r="1985" spans="1:11">
      <c r="A1985" s="32">
        <v>325</v>
      </c>
      <c r="B1985" s="33">
        <v>5574</v>
      </c>
      <c r="C1985" s="3">
        <v>990000</v>
      </c>
      <c r="D1985" s="3"/>
      <c r="E1985" s="7">
        <f t="shared" si="67"/>
        <v>990000</v>
      </c>
      <c r="F1985" s="5">
        <v>45883</v>
      </c>
      <c r="G1985" s="4">
        <v>20250813</v>
      </c>
      <c r="H1985" s="38" t="str">
        <f>VLOOKUP(B1985,CAJEROS!B:D,3,0)</f>
        <v>Dispensador</v>
      </c>
      <c r="I1985" s="34"/>
      <c r="J1985" s="38" t="str">
        <f>VLOOKUP(B1985,CAJEROS!B:E,4,0)</f>
        <v>SANTUARI1</v>
      </c>
      <c r="K1985" t="s">
        <v>450</v>
      </c>
    </row>
    <row r="1986" spans="1:11">
      <c r="A1986" s="32">
        <v>325</v>
      </c>
      <c r="B1986" s="33">
        <v>5575</v>
      </c>
      <c r="C1986" s="3">
        <v>6460000</v>
      </c>
      <c r="D1986" s="3">
        <v>5120000</v>
      </c>
      <c r="E1986" s="7">
        <f t="shared" si="67"/>
        <v>1340000</v>
      </c>
      <c r="F1986" s="5">
        <v>45883</v>
      </c>
      <c r="G1986" s="4">
        <v>20250813</v>
      </c>
      <c r="H1986" s="38" t="str">
        <f>VLOOKUP(B1986,CAJEROS!B:D,3,0)</f>
        <v>Dispensador</v>
      </c>
      <c r="I1986" s="34"/>
      <c r="J1986" s="38" t="str">
        <f>VLOOKUP(B1986,CAJEROS!B:E,4,0)</f>
        <v>SANTUARI2</v>
      </c>
      <c r="K1986" t="s">
        <v>450</v>
      </c>
    </row>
    <row r="1987" spans="1:11">
      <c r="A1987" s="32">
        <v>442</v>
      </c>
      <c r="B1987" s="33">
        <v>8886</v>
      </c>
      <c r="C1987" s="3">
        <v>1420000</v>
      </c>
      <c r="D1987" s="3"/>
      <c r="E1987" s="7">
        <f t="shared" si="67"/>
        <v>1420000</v>
      </c>
      <c r="F1987" s="5">
        <v>45883</v>
      </c>
      <c r="G1987" s="4">
        <v>20250813</v>
      </c>
      <c r="H1987" s="38" t="str">
        <f>VLOOKUP(B1987,CAJEROS!B:D,3,0)</f>
        <v>Dispensador</v>
      </c>
      <c r="I1987" s="34"/>
      <c r="J1987" s="38" t="str">
        <f>VLOOKUP(B1987,CAJEROS!B:E,4,0)</f>
        <v>VIVABQUILA4</v>
      </c>
      <c r="K1987" t="s">
        <v>450</v>
      </c>
    </row>
    <row r="1988" spans="1:11">
      <c r="A1988" s="32">
        <v>467</v>
      </c>
      <c r="B1988" s="33">
        <v>8911</v>
      </c>
      <c r="C1988" s="3">
        <v>250000</v>
      </c>
      <c r="D1988" s="3"/>
      <c r="E1988" s="7">
        <f t="shared" si="67"/>
        <v>250000</v>
      </c>
      <c r="F1988" s="5">
        <v>45883</v>
      </c>
      <c r="G1988" s="4">
        <v>20250813</v>
      </c>
      <c r="H1988" s="38" t="str">
        <f>VLOOKUP(B1988,CAJEROS!B:D,3,0)</f>
        <v>Dispensador</v>
      </c>
      <c r="I1988" s="34"/>
      <c r="J1988" s="38" t="str">
        <f>VLOOKUP(B1988,CAJEROS!B:E,4,0)</f>
        <v>HDIVERPLZ_1</v>
      </c>
      <c r="K1988" t="s">
        <v>450</v>
      </c>
    </row>
    <row r="1989" spans="1:11">
      <c r="A1989" s="32">
        <v>467</v>
      </c>
      <c r="B1989" s="33">
        <v>8912</v>
      </c>
      <c r="C1989" s="3">
        <v>2000000</v>
      </c>
      <c r="D1989" s="3"/>
      <c r="E1989" s="7">
        <f t="shared" si="67"/>
        <v>2000000</v>
      </c>
      <c r="F1989" s="5">
        <v>45883</v>
      </c>
      <c r="G1989" s="4">
        <v>20250813</v>
      </c>
      <c r="H1989" s="38" t="str">
        <f>VLOOKUP(B1989,CAJEROS!B:D,3,0)</f>
        <v>Dispensador</v>
      </c>
      <c r="I1989" s="34"/>
      <c r="J1989" s="38" t="str">
        <f>VLOOKUP(B1989,CAJEROS!B:E,4,0)</f>
        <v>HDIVERPLZ_2</v>
      </c>
      <c r="K1989" t="s">
        <v>450</v>
      </c>
    </row>
    <row r="1990" spans="1:11">
      <c r="A1990" s="32">
        <v>467</v>
      </c>
      <c r="B1990" s="33">
        <v>8916</v>
      </c>
      <c r="C1990" s="3">
        <v>880000</v>
      </c>
      <c r="D1990" s="3"/>
      <c r="E1990" s="7">
        <f t="shared" si="67"/>
        <v>880000</v>
      </c>
      <c r="F1990" s="5">
        <v>45883</v>
      </c>
      <c r="G1990" s="4">
        <v>20250813</v>
      </c>
      <c r="H1990" s="38" t="str">
        <f>VLOOKUP(B1990,CAJEROS!B:D,3,0)</f>
        <v>Dispensador</v>
      </c>
      <c r="I1990" s="34"/>
      <c r="J1990" s="38" t="str">
        <f>VLOOKUP(B1990,CAJEROS!B:E,4,0)</f>
        <v>HDIVERPLZ_6</v>
      </c>
      <c r="K1990" t="s">
        <v>450</v>
      </c>
    </row>
    <row r="1991" spans="1:11">
      <c r="A1991" s="32">
        <v>467</v>
      </c>
      <c r="B1991" s="33">
        <v>8917</v>
      </c>
      <c r="C1991" s="3">
        <v>1780000</v>
      </c>
      <c r="D1991" s="3"/>
      <c r="E1991" s="7">
        <f t="shared" si="67"/>
        <v>1780000</v>
      </c>
      <c r="F1991" s="5">
        <v>45883</v>
      </c>
      <c r="G1991" s="4">
        <v>20250813</v>
      </c>
      <c r="H1991" s="38" t="str">
        <f>VLOOKUP(B1991,CAJEROS!B:D,3,0)</f>
        <v>Dispensador</v>
      </c>
      <c r="I1991" s="34"/>
      <c r="J1991" s="38" t="str">
        <f>VLOOKUP(B1991,CAJEROS!B:E,4,0)</f>
        <v>HDIVERPLZ_7</v>
      </c>
      <c r="K1991" t="s">
        <v>450</v>
      </c>
    </row>
    <row r="1992" spans="1:11">
      <c r="A1992" s="32">
        <v>516</v>
      </c>
      <c r="B1992" s="33">
        <v>9726</v>
      </c>
      <c r="C1992" s="3">
        <v>1100000</v>
      </c>
      <c r="D1992" s="3"/>
      <c r="E1992" s="7">
        <f t="shared" si="67"/>
        <v>1100000</v>
      </c>
      <c r="F1992" s="5">
        <v>45883</v>
      </c>
      <c r="G1992" s="4">
        <v>20250813</v>
      </c>
      <c r="H1992" s="38" t="str">
        <f>VLOOKUP(B1992,CAJEROS!B:D,3,0)</f>
        <v>Dispensador</v>
      </c>
      <c r="I1992" s="34"/>
      <c r="J1992" s="38" t="str">
        <f>VLOOKUP(B1992,CAJEROS!B:E,4,0)</f>
        <v>SUCSTAMART1</v>
      </c>
      <c r="K1992" t="s">
        <v>450</v>
      </c>
    </row>
    <row r="1993" spans="1:11">
      <c r="A1993" s="32">
        <v>516</v>
      </c>
      <c r="B1993" s="33">
        <v>9727</v>
      </c>
      <c r="C1993" s="3">
        <v>40000</v>
      </c>
      <c r="D1993" s="3"/>
      <c r="E1993" s="7">
        <f t="shared" si="67"/>
        <v>40000</v>
      </c>
      <c r="F1993" s="5">
        <v>45883</v>
      </c>
      <c r="G1993" s="4">
        <v>20250813</v>
      </c>
      <c r="H1993" s="38" t="str">
        <f>VLOOKUP(B1993,CAJEROS!B:D,3,0)</f>
        <v>Dispensador</v>
      </c>
      <c r="I1993" s="34"/>
      <c r="J1993" s="38" t="str">
        <f>VLOOKUP(B1993,CAJEROS!B:E,4,0)</f>
        <v>SUCSTAMART2</v>
      </c>
      <c r="K1993" t="s">
        <v>450</v>
      </c>
    </row>
    <row r="1994" spans="1:11">
      <c r="A1994" s="32">
        <v>520</v>
      </c>
      <c r="B1994" s="33">
        <v>8281</v>
      </c>
      <c r="C1994" s="3">
        <v>1020000</v>
      </c>
      <c r="D1994" s="3">
        <v>250000</v>
      </c>
      <c r="E1994" s="7">
        <f t="shared" si="67"/>
        <v>770000</v>
      </c>
      <c r="F1994" s="5">
        <v>45883</v>
      </c>
      <c r="G1994" s="4">
        <v>20250813</v>
      </c>
      <c r="H1994" s="38" t="str">
        <f>VLOOKUP(B1994,CAJEROS!B:D,3,0)</f>
        <v>Dispensador</v>
      </c>
      <c r="I1994" s="34"/>
      <c r="J1994" s="38" t="str">
        <f>VLOOKUP(B1994,CAJEROS!B:E,4,0)</f>
        <v>SUC_AMAGA3</v>
      </c>
      <c r="K1994" t="s">
        <v>450</v>
      </c>
    </row>
    <row r="1995" spans="1:11">
      <c r="A1995" s="32">
        <v>681</v>
      </c>
      <c r="B1995" s="33">
        <v>8495</v>
      </c>
      <c r="C1995" s="3">
        <v>6610000</v>
      </c>
      <c r="D1995" s="3"/>
      <c r="E1995" s="7">
        <f t="shared" si="67"/>
        <v>6610000</v>
      </c>
      <c r="F1995" s="5">
        <v>45883</v>
      </c>
      <c r="G1995" s="4">
        <v>20250813</v>
      </c>
      <c r="H1995" s="38" t="str">
        <f>VLOOKUP(B1995,CAJEROS!B:D,3,0)</f>
        <v>Dispensador</v>
      </c>
      <c r="I1995" s="34"/>
      <c r="J1995" s="38" t="str">
        <f>VLOOKUP(B1995,CAJEROS!B:E,4,0)</f>
        <v>SUC_CERET4</v>
      </c>
      <c r="K1995" t="s">
        <v>450</v>
      </c>
    </row>
    <row r="1996" spans="1:11">
      <c r="A1996" s="32">
        <v>681</v>
      </c>
      <c r="B1996" s="33">
        <v>8496</v>
      </c>
      <c r="C1996" s="3">
        <v>10000</v>
      </c>
      <c r="D1996" s="3"/>
      <c r="E1996" s="7">
        <f t="shared" si="67"/>
        <v>10000</v>
      </c>
      <c r="F1996" s="5">
        <v>45883</v>
      </c>
      <c r="G1996" s="4">
        <v>20250813</v>
      </c>
      <c r="H1996" s="38" t="str">
        <f>VLOOKUP(B1996,CAJEROS!B:D,3,0)</f>
        <v>Dispensador</v>
      </c>
      <c r="I1996" s="34"/>
      <c r="J1996" s="38" t="str">
        <f>VLOOKUP(B1996,CAJEROS!B:E,4,0)</f>
        <v>SUC_CERET1</v>
      </c>
      <c r="K1996" t="s">
        <v>450</v>
      </c>
    </row>
    <row r="1997" spans="1:11">
      <c r="A1997" s="32">
        <v>705</v>
      </c>
      <c r="B1997" s="33">
        <v>4152</v>
      </c>
      <c r="C1997" s="3">
        <v>20000</v>
      </c>
      <c r="D1997" s="3"/>
      <c r="E1997" s="7">
        <f t="shared" si="67"/>
        <v>20000</v>
      </c>
      <c r="F1997" s="5">
        <v>45883</v>
      </c>
      <c r="G1997" s="4">
        <v>20250813</v>
      </c>
      <c r="H1997" s="38" t="str">
        <f>VLOOKUP(B1997,CAJEROS!B:D,3,0)</f>
        <v>Dispensador</v>
      </c>
      <c r="I1997" s="34"/>
      <c r="J1997" s="38" t="str">
        <f>VLOOKUP(B1997,CAJEROS!B:E,4,0)</f>
        <v>SUC_BAGRE2</v>
      </c>
      <c r="K1997" t="s">
        <v>450</v>
      </c>
    </row>
    <row r="1998" spans="1:11">
      <c r="A1998" s="32">
        <v>828</v>
      </c>
      <c r="B1998" s="33">
        <v>2235</v>
      </c>
      <c r="C1998" s="3">
        <v>370000</v>
      </c>
      <c r="D1998" s="3"/>
      <c r="E1998" s="7">
        <f t="shared" si="67"/>
        <v>370000</v>
      </c>
      <c r="F1998" s="5">
        <v>45883</v>
      </c>
      <c r="G1998" s="4">
        <v>20250813</v>
      </c>
      <c r="H1998" s="38" t="str">
        <f>VLOOKUP(B1998,CAJEROS!B:D,3,0)</f>
        <v>Dispensador</v>
      </c>
      <c r="I1998" s="34"/>
      <c r="J1998" s="38" t="str">
        <f>VLOOKUP(B1998,CAJEROS!B:E,4,0)</f>
        <v>SUC_SANJOS5</v>
      </c>
      <c r="K1998" t="s">
        <v>450</v>
      </c>
    </row>
    <row r="1999" spans="1:11">
      <c r="A1999" s="32">
        <v>828</v>
      </c>
      <c r="B1999" s="33">
        <v>3101</v>
      </c>
      <c r="C1999" s="3">
        <v>10320000</v>
      </c>
      <c r="D1999" s="3">
        <v>10020000</v>
      </c>
      <c r="E1999" s="7">
        <f t="shared" si="67"/>
        <v>300000</v>
      </c>
      <c r="F1999" s="5">
        <v>45883</v>
      </c>
      <c r="G1999" s="4">
        <v>20250813</v>
      </c>
      <c r="H1999" s="38" t="str">
        <f>VLOOKUP(B1999,CAJEROS!B:D,3,0)</f>
        <v>Dispensador</v>
      </c>
      <c r="I1999" s="34"/>
      <c r="J1999" s="38" t="str">
        <f>VLOOKUP(B1999,CAJEROS!B:E,4,0)</f>
        <v>SUC_SANJOS1</v>
      </c>
      <c r="K1999" t="s">
        <v>450</v>
      </c>
    </row>
    <row r="2000" spans="1:11">
      <c r="A2000" s="32">
        <v>828</v>
      </c>
      <c r="B2000" s="33">
        <v>3103</v>
      </c>
      <c r="C2000" s="3">
        <v>100000</v>
      </c>
      <c r="D2000" s="3"/>
      <c r="E2000" s="7">
        <f t="shared" si="67"/>
        <v>100000</v>
      </c>
      <c r="F2000" s="5">
        <v>45883</v>
      </c>
      <c r="G2000" s="4">
        <v>20250813</v>
      </c>
      <c r="H2000" s="38" t="str">
        <f>VLOOKUP(B2000,CAJEROS!B:D,3,0)</f>
        <v>Dispensador</v>
      </c>
      <c r="I2000" s="34"/>
      <c r="J2000" s="38" t="str">
        <f>VLOOKUP(B2000,CAJEROS!B:E,4,0)</f>
        <v>SUC_SANJOS2</v>
      </c>
      <c r="K2000" t="s">
        <v>450</v>
      </c>
    </row>
    <row r="2001" spans="1:11">
      <c r="A2001" s="32">
        <v>828</v>
      </c>
      <c r="B2001" s="33">
        <v>8331</v>
      </c>
      <c r="C2001" s="3">
        <v>200000</v>
      </c>
      <c r="D2001" s="3"/>
      <c r="E2001" s="7">
        <f t="shared" si="67"/>
        <v>200000</v>
      </c>
      <c r="F2001" s="5">
        <v>45883</v>
      </c>
      <c r="G2001" s="4">
        <v>20250813</v>
      </c>
      <c r="H2001" s="38" t="str">
        <f>VLOOKUP(B2001,CAJEROS!B:D,3,0)</f>
        <v>Dispensador</v>
      </c>
      <c r="I2001" s="34"/>
      <c r="J2001" s="38" t="str">
        <f>VLOOKUP(B2001,CAJEROS!B:E,4,0)</f>
        <v>SUC_SANJOS3</v>
      </c>
      <c r="K2001" t="s">
        <v>450</v>
      </c>
    </row>
    <row r="2002" spans="1:11">
      <c r="A2002" s="32">
        <v>884</v>
      </c>
      <c r="B2002" s="33">
        <v>3962</v>
      </c>
      <c r="C2002" s="3">
        <v>110000</v>
      </c>
      <c r="D2002" s="3"/>
      <c r="E2002" s="7">
        <f t="shared" ref="E2002:E2065" si="68">+C2002-D2002</f>
        <v>110000</v>
      </c>
      <c r="F2002" s="5">
        <v>45883</v>
      </c>
      <c r="G2002" s="4">
        <v>20250813</v>
      </c>
      <c r="H2002" s="38" t="str">
        <f>VLOOKUP(B2002,CAJEROS!B:D,3,0)</f>
        <v>Dispensador</v>
      </c>
      <c r="I2002" s="34"/>
      <c r="J2002" s="38" t="str">
        <f>VLOOKUP(B2002,CAJEROS!B:E,4,0)</f>
        <v>SUCSANMART1</v>
      </c>
      <c r="K2002" t="s">
        <v>450</v>
      </c>
    </row>
    <row r="2003" spans="1:11">
      <c r="A2003" s="32">
        <v>959</v>
      </c>
      <c r="B2003" s="33">
        <v>5577</v>
      </c>
      <c r="C2003" s="3">
        <v>700000</v>
      </c>
      <c r="D2003" s="3"/>
      <c r="E2003" s="7">
        <f t="shared" si="68"/>
        <v>700000</v>
      </c>
      <c r="F2003" s="5">
        <v>45883</v>
      </c>
      <c r="G2003" s="4">
        <v>20250813</v>
      </c>
      <c r="H2003" s="38" t="str">
        <f>VLOOKUP(B2003,CAJEROS!B:D,3,0)</f>
        <v>Dispensador</v>
      </c>
      <c r="I2003" s="34"/>
      <c r="J2003" s="38" t="str">
        <f>VLOOKUP(B2003,CAJEROS!B:E,4,0)</f>
        <v>TURBO2</v>
      </c>
      <c r="K2003" t="s">
        <v>450</v>
      </c>
    </row>
    <row r="2004" spans="1:11">
      <c r="A2004" s="32">
        <v>523</v>
      </c>
      <c r="B2004" s="33">
        <v>3997</v>
      </c>
      <c r="C2004" s="3">
        <v>800000</v>
      </c>
      <c r="D2004" s="3"/>
      <c r="E2004" s="7">
        <f t="shared" si="68"/>
        <v>800000</v>
      </c>
      <c r="F2004" s="5">
        <v>45883</v>
      </c>
      <c r="G2004" s="4">
        <v>20250813</v>
      </c>
      <c r="H2004" s="38" t="str">
        <f>VLOOKUP(B2004,CAJEROS!B:D,3,0)</f>
        <v>Dispensador</v>
      </c>
      <c r="I2004" s="34" t="s">
        <v>9</v>
      </c>
      <c r="J2004" s="38" t="str">
        <f>VLOOKUP(B2004,CAJEROS!B:E,4,0)</f>
        <v>SUC_OVALLE3</v>
      </c>
      <c r="K2004" t="s">
        <v>450</v>
      </c>
    </row>
    <row r="2005" spans="1:11">
      <c r="A2005" s="32">
        <v>536</v>
      </c>
      <c r="B2005" s="33">
        <v>5362</v>
      </c>
      <c r="C2005" s="3">
        <v>1220000</v>
      </c>
      <c r="D2005" s="3"/>
      <c r="E2005" s="7">
        <f t="shared" si="68"/>
        <v>1220000</v>
      </c>
      <c r="F2005" s="5">
        <v>45883</v>
      </c>
      <c r="G2005" s="4">
        <v>20250813</v>
      </c>
      <c r="H2005" s="38" t="str">
        <f>VLOOKUP(B2005,CAJEROS!B:D,3,0)</f>
        <v>Dispensador</v>
      </c>
      <c r="I2005" s="34" t="s">
        <v>9</v>
      </c>
      <c r="J2005" s="38" t="str">
        <f>VLOOKUP(B2005,CAJEROS!B:E,4,0)</f>
        <v>QUIBDO_2</v>
      </c>
      <c r="K2005" t="s">
        <v>450</v>
      </c>
    </row>
    <row r="2006" spans="1:11">
      <c r="A2006" s="32">
        <v>765</v>
      </c>
      <c r="B2006" s="33">
        <v>4998</v>
      </c>
      <c r="C2006" s="3">
        <v>100000</v>
      </c>
      <c r="D2006" s="3">
        <f>10000+10000</f>
        <v>20000</v>
      </c>
      <c r="E2006" s="7">
        <f t="shared" si="68"/>
        <v>80000</v>
      </c>
      <c r="F2006" s="5">
        <v>45883</v>
      </c>
      <c r="G2006" s="4">
        <v>20250813</v>
      </c>
      <c r="H2006" s="38" t="str">
        <f>VLOOKUP(B2006,CAJEROS!B:D,3,0)</f>
        <v>Dispensador</v>
      </c>
      <c r="I2006" s="34" t="s">
        <v>9</v>
      </c>
      <c r="J2006" s="38" t="str">
        <f>VLOOKUP(B2006,CAJEROS!B:E,4,0)</f>
        <v>SUC_BECERR1</v>
      </c>
      <c r="K2006" t="s">
        <v>450</v>
      </c>
    </row>
    <row r="2007" spans="1:11">
      <c r="A2007" s="32">
        <v>844</v>
      </c>
      <c r="B2007" s="33">
        <v>6157</v>
      </c>
      <c r="C2007" s="3">
        <v>100000</v>
      </c>
      <c r="D2007" s="3"/>
      <c r="E2007" s="7">
        <f t="shared" si="68"/>
        <v>100000</v>
      </c>
      <c r="F2007" s="5">
        <v>45883</v>
      </c>
      <c r="G2007" s="4">
        <v>20250813</v>
      </c>
      <c r="H2007" s="38" t="str">
        <f>VLOOKUP(B2007,CAJEROS!B:D,3,0)</f>
        <v>Dispensador</v>
      </c>
      <c r="I2007" s="34" t="s">
        <v>9</v>
      </c>
      <c r="J2007" s="38" t="str">
        <f>VLOOKUP(B2007,CAJEROS!B:E,4,0)</f>
        <v>SUCCCPRIMA3</v>
      </c>
      <c r="K2007" t="s">
        <v>450</v>
      </c>
    </row>
    <row r="2008" spans="1:11">
      <c r="A2008" s="32">
        <v>866</v>
      </c>
      <c r="B2008" s="33">
        <v>8661</v>
      </c>
      <c r="C2008" s="3">
        <v>20000</v>
      </c>
      <c r="D2008" s="3"/>
      <c r="E2008" s="7">
        <f t="shared" si="68"/>
        <v>20000</v>
      </c>
      <c r="F2008" s="5">
        <v>45883</v>
      </c>
      <c r="G2008" s="4">
        <v>20250813</v>
      </c>
      <c r="H2008" s="38" t="str">
        <f>VLOOKUP(B2008,CAJEROS!B:D,3,0)</f>
        <v>Dispensador</v>
      </c>
      <c r="I2008" s="34" t="s">
        <v>10</v>
      </c>
      <c r="J2008" s="38" t="str">
        <f>VLOOKUP(B2008,CAJEROS!B:E,4,0)</f>
        <v>SUC_FLORID1</v>
      </c>
      <c r="K2008" t="s">
        <v>450</v>
      </c>
    </row>
    <row r="2009" spans="1:11">
      <c r="A2009" s="32">
        <v>728</v>
      </c>
      <c r="B2009" s="33">
        <v>8584</v>
      </c>
      <c r="C2009" s="3">
        <v>20000</v>
      </c>
      <c r="D2009" s="3"/>
      <c r="E2009" s="7">
        <f t="shared" si="68"/>
        <v>20000</v>
      </c>
      <c r="F2009" s="5">
        <v>45883</v>
      </c>
      <c r="G2009" s="4">
        <v>20250813</v>
      </c>
      <c r="H2009" s="38" t="str">
        <f>VLOOKUP(B2009,CAJEROS!B:D,3,0)</f>
        <v>Dispensador</v>
      </c>
      <c r="I2009" s="34" t="s">
        <v>10</v>
      </c>
      <c r="J2009" s="38" t="str">
        <f>VLOOKUP(B2009,CAJEROS!B:E,4,0)</f>
        <v>SUCCARTAGO3</v>
      </c>
      <c r="K2009" t="s">
        <v>450</v>
      </c>
    </row>
    <row r="2010" spans="1:11">
      <c r="A2010" s="32">
        <v>138</v>
      </c>
      <c r="B2010" s="33">
        <v>5780</v>
      </c>
      <c r="C2010" s="3">
        <v>10000</v>
      </c>
      <c r="D2010" s="3"/>
      <c r="E2010" s="7">
        <f t="shared" si="68"/>
        <v>10000</v>
      </c>
      <c r="F2010" s="5">
        <v>45883</v>
      </c>
      <c r="G2010" s="4">
        <v>20250813</v>
      </c>
      <c r="H2010" s="38" t="str">
        <f>VLOOKUP(B2010,CAJEROS!B:D,3,0)</f>
        <v>Dispensador</v>
      </c>
      <c r="I2010" s="34" t="s">
        <v>10</v>
      </c>
      <c r="J2010" s="38" t="str">
        <f>VLOOKUP(B2010,CAJEROS!B:E,4,0)</f>
        <v>SUC_MOSQUE3</v>
      </c>
      <c r="K2010" t="s">
        <v>450</v>
      </c>
    </row>
    <row r="2011" spans="1:11">
      <c r="A2011" s="32">
        <v>831</v>
      </c>
      <c r="B2011" s="33">
        <v>4654</v>
      </c>
      <c r="C2011" s="3">
        <v>20000</v>
      </c>
      <c r="D2011" s="3"/>
      <c r="E2011" s="7">
        <f t="shared" si="68"/>
        <v>20000</v>
      </c>
      <c r="F2011" s="5">
        <v>45883</v>
      </c>
      <c r="G2011" s="4">
        <v>20250813</v>
      </c>
      <c r="H2011" s="38" t="str">
        <f>VLOOKUP(B2011,CAJEROS!B:D,3,0)</f>
        <v>Dispensador</v>
      </c>
      <c r="I2011" s="34" t="s">
        <v>10</v>
      </c>
      <c r="J2011" s="38" t="str">
        <f>VLOOKUP(B2011,CAJEROS!B:E,4,0)</f>
        <v>SUC_CAREPA3</v>
      </c>
      <c r="K2011" t="s">
        <v>450</v>
      </c>
    </row>
    <row r="2012" spans="1:11">
      <c r="A2012" s="32">
        <v>689</v>
      </c>
      <c r="B2012" s="33">
        <v>4549</v>
      </c>
      <c r="C2012" s="3">
        <v>20000</v>
      </c>
      <c r="D2012" s="3"/>
      <c r="E2012" s="7">
        <f t="shared" si="68"/>
        <v>20000</v>
      </c>
      <c r="F2012" s="5">
        <v>45883</v>
      </c>
      <c r="G2012" s="4">
        <v>20250813</v>
      </c>
      <c r="H2012" s="38" t="str">
        <f>VLOOKUP(B2012,CAJEROS!B:D,3,0)</f>
        <v>Dispensador</v>
      </c>
      <c r="I2012" s="34" t="s">
        <v>10</v>
      </c>
      <c r="J2012" s="38" t="str">
        <f>VLOOKUP(B2012,CAJEROS!B:E,4,0)</f>
        <v>METROP_BOG1</v>
      </c>
      <c r="K2012" t="s">
        <v>450</v>
      </c>
    </row>
    <row r="2013" spans="1:11">
      <c r="A2013" s="32">
        <v>866</v>
      </c>
      <c r="B2013" s="33">
        <v>467</v>
      </c>
      <c r="C2013" s="3">
        <v>10000</v>
      </c>
      <c r="D2013" s="3"/>
      <c r="E2013" s="7">
        <f t="shared" si="68"/>
        <v>10000</v>
      </c>
      <c r="F2013" s="5">
        <v>45883</v>
      </c>
      <c r="G2013" s="4">
        <v>20250813</v>
      </c>
      <c r="H2013" s="38" t="str">
        <f>VLOOKUP(B2013,CAJEROS!B:D,3,0)</f>
        <v>Dispensador</v>
      </c>
      <c r="I2013" s="34" t="s">
        <v>10</v>
      </c>
      <c r="J2013" s="38" t="str">
        <f>VLOOKUP(B2013,CAJEROS!B:E,4,0)</f>
        <v>OFCFLORIDA2</v>
      </c>
      <c r="K2013" t="s">
        <v>450</v>
      </c>
    </row>
    <row r="2014" spans="1:11">
      <c r="A2014" s="32">
        <v>795</v>
      </c>
      <c r="B2014" s="33">
        <v>1029</v>
      </c>
      <c r="C2014" s="3">
        <v>4026200</v>
      </c>
      <c r="D2014" s="3"/>
      <c r="E2014" s="7">
        <f t="shared" si="68"/>
        <v>4026200</v>
      </c>
      <c r="F2014" s="5">
        <v>45884</v>
      </c>
      <c r="G2014" s="4">
        <v>20250814</v>
      </c>
      <c r="H2014" s="38" t="str">
        <f>VLOOKUP(B2014,CAJEROS!B:D,3,0)</f>
        <v>Multifuncional</v>
      </c>
      <c r="I2014" s="34"/>
      <c r="J2014" s="38" t="str">
        <f>VLOOKUP(B2014,CAJEROS!B:E,4,0)</f>
        <v>MFSUCANVER3</v>
      </c>
      <c r="K2014" t="s">
        <v>450</v>
      </c>
    </row>
    <row r="2015" spans="1:11">
      <c r="A2015" s="32">
        <v>867</v>
      </c>
      <c r="B2015" s="33">
        <v>5043</v>
      </c>
      <c r="C2015" s="3">
        <v>781000</v>
      </c>
      <c r="D2015" s="3"/>
      <c r="E2015" s="7">
        <f t="shared" si="68"/>
        <v>781000</v>
      </c>
      <c r="F2015" s="5">
        <v>45884</v>
      </c>
      <c r="G2015" s="4">
        <v>20250814</v>
      </c>
      <c r="H2015" s="38" t="str">
        <f>VLOOKUP(B2015,CAJEROS!B:D,3,0)</f>
        <v>Multifuncional</v>
      </c>
      <c r="I2015" s="34"/>
      <c r="J2015" s="38" t="str">
        <f>VLOOKUP(B2015,CAJEROS!B:E,4,0)</f>
        <v>MF_UNARMENI</v>
      </c>
      <c r="K2015" t="s">
        <v>450</v>
      </c>
    </row>
    <row r="2016" spans="1:11">
      <c r="A2016" s="32">
        <v>318</v>
      </c>
      <c r="B2016" s="33">
        <v>5136</v>
      </c>
      <c r="C2016" s="3">
        <v>9800000</v>
      </c>
      <c r="D2016" s="3"/>
      <c r="E2016" s="7">
        <f t="shared" si="68"/>
        <v>9800000</v>
      </c>
      <c r="F2016" s="5">
        <v>45884</v>
      </c>
      <c r="G2016" s="4">
        <v>20250814</v>
      </c>
      <c r="H2016" s="38" t="str">
        <f>VLOOKUP(B2016,CAJEROS!B:D,3,0)</f>
        <v>Multifuncional</v>
      </c>
      <c r="I2016" s="34"/>
      <c r="J2016" s="38" t="str">
        <f>VLOOKUP(B2016,CAJEROS!B:E,4,0)</f>
        <v>MF_SUCOCANA</v>
      </c>
      <c r="K2016" t="s">
        <v>450</v>
      </c>
    </row>
    <row r="2017" spans="1:11">
      <c r="A2017" s="32">
        <v>279</v>
      </c>
      <c r="B2017" s="33">
        <v>5147</v>
      </c>
      <c r="C2017" s="3">
        <v>1648000</v>
      </c>
      <c r="D2017" s="3"/>
      <c r="E2017" s="7">
        <f t="shared" si="68"/>
        <v>1648000</v>
      </c>
      <c r="F2017" s="5">
        <v>45884</v>
      </c>
      <c r="G2017" s="4">
        <v>20250814</v>
      </c>
      <c r="H2017" s="38" t="str">
        <f>VLOOKUP(B2017,CAJEROS!B:D,3,0)</f>
        <v>Multifuncional</v>
      </c>
      <c r="I2017" s="34"/>
      <c r="J2017" s="38" t="str">
        <f>VLOOKUP(B2017,CAJEROS!B:E,4,0)</f>
        <v>MF_ITAGPARQ</v>
      </c>
      <c r="K2017" t="s">
        <v>450</v>
      </c>
    </row>
    <row r="2018" spans="1:11">
      <c r="A2018" s="32">
        <v>762</v>
      </c>
      <c r="B2018" s="33">
        <v>5181</v>
      </c>
      <c r="C2018" s="3">
        <v>7751500</v>
      </c>
      <c r="D2018" s="3">
        <v>270000</v>
      </c>
      <c r="E2018" s="7">
        <f t="shared" si="68"/>
        <v>7481500</v>
      </c>
      <c r="F2018" s="5">
        <v>45884</v>
      </c>
      <c r="G2018" s="4">
        <v>20250814</v>
      </c>
      <c r="H2018" s="38" t="str">
        <f>VLOOKUP(B2018,CAJEROS!B:D,3,0)</f>
        <v>Multifuncional</v>
      </c>
      <c r="I2018" s="34"/>
      <c r="J2018" s="38" t="str">
        <f>VLOOKUP(B2018,CAJEROS!B:E,4,0)</f>
        <v>MF_HERRADU1</v>
      </c>
      <c r="K2018" t="s">
        <v>450</v>
      </c>
    </row>
    <row r="2019" spans="1:11">
      <c r="A2019" s="32">
        <v>74</v>
      </c>
      <c r="B2019" s="33">
        <v>6215</v>
      </c>
      <c r="C2019" s="3">
        <v>16999000</v>
      </c>
      <c r="D2019" s="3">
        <v>3317000</v>
      </c>
      <c r="E2019" s="7">
        <f t="shared" si="68"/>
        <v>13682000</v>
      </c>
      <c r="F2019" s="5">
        <v>45884</v>
      </c>
      <c r="G2019" s="4">
        <v>20250814</v>
      </c>
      <c r="H2019" s="38" t="str">
        <f>VLOOKUP(B2019,CAJEROS!B:D,3,0)</f>
        <v>Multifuncional</v>
      </c>
      <c r="I2019" s="34"/>
      <c r="J2019" s="38" t="str">
        <f>VLOOKUP(B2019,CAJEROS!B:E,4,0)</f>
        <v>MF_PASTO</v>
      </c>
      <c r="K2019" t="s">
        <v>450</v>
      </c>
    </row>
    <row r="2020" spans="1:11">
      <c r="A2020" s="32">
        <v>317</v>
      </c>
      <c r="B2020" s="33">
        <v>6613</v>
      </c>
      <c r="C2020" s="3">
        <v>14105000</v>
      </c>
      <c r="D2020" s="3">
        <v>3475000</v>
      </c>
      <c r="E2020" s="7">
        <f t="shared" si="68"/>
        <v>10630000</v>
      </c>
      <c r="F2020" s="5">
        <v>45884</v>
      </c>
      <c r="G2020" s="4">
        <v>20250814</v>
      </c>
      <c r="H2020" s="38" t="str">
        <f>VLOOKUP(B2020,CAJEROS!B:D,3,0)</f>
        <v>Multifuncional</v>
      </c>
      <c r="I2020" s="34"/>
      <c r="J2020" s="38" t="str">
        <f>VLOOKUP(B2020,CAJEROS!B:E,4,0)</f>
        <v>MF_ARAUCA</v>
      </c>
      <c r="K2020" t="s">
        <v>450</v>
      </c>
    </row>
    <row r="2021" spans="1:11">
      <c r="A2021" s="32">
        <v>741</v>
      </c>
      <c r="B2021" s="33">
        <v>6843</v>
      </c>
      <c r="C2021" s="3">
        <v>7001000</v>
      </c>
      <c r="D2021" s="3">
        <v>2656000</v>
      </c>
      <c r="E2021" s="7">
        <f t="shared" si="68"/>
        <v>4345000</v>
      </c>
      <c r="F2021" s="5">
        <v>45884</v>
      </c>
      <c r="G2021" s="4">
        <v>20250814</v>
      </c>
      <c r="H2021" s="38" t="str">
        <f>VLOOKUP(B2021,CAJEROS!B:D,3,0)</f>
        <v>Multifuncional</v>
      </c>
      <c r="I2021" s="34"/>
      <c r="J2021" s="38" t="str">
        <f>VLOOKUP(B2021,CAJEROS!B:E,4,0)</f>
        <v>MFSUC_IDEO1</v>
      </c>
      <c r="K2021" t="s">
        <v>450</v>
      </c>
    </row>
    <row r="2022" spans="1:11">
      <c r="A2022" s="32">
        <v>385</v>
      </c>
      <c r="B2022" s="33">
        <v>7139</v>
      </c>
      <c r="C2022" s="3">
        <v>9812450</v>
      </c>
      <c r="D2022" s="3"/>
      <c r="E2022" s="7">
        <f t="shared" si="68"/>
        <v>9812450</v>
      </c>
      <c r="F2022" s="5">
        <v>45884</v>
      </c>
      <c r="G2022" s="4">
        <v>20250814</v>
      </c>
      <c r="H2022" s="38" t="str">
        <f>VLOOKUP(B2022,CAJEROS!B:D,3,0)</f>
        <v>Multifuncional</v>
      </c>
      <c r="I2022" s="34"/>
      <c r="J2022" s="38" t="str">
        <f>VLOOKUP(B2022,CAJEROS!B:E,4,0)</f>
        <v>MF_VILLETA</v>
      </c>
      <c r="K2022" t="s">
        <v>450</v>
      </c>
    </row>
    <row r="2023" spans="1:11">
      <c r="A2023" s="32">
        <v>318</v>
      </c>
      <c r="B2023" s="33">
        <v>7680</v>
      </c>
      <c r="C2023" s="3">
        <v>23270000</v>
      </c>
      <c r="D2023" s="3"/>
      <c r="E2023" s="7">
        <f t="shared" si="68"/>
        <v>23270000</v>
      </c>
      <c r="F2023" s="5">
        <v>45884</v>
      </c>
      <c r="G2023" s="4">
        <v>20250814</v>
      </c>
      <c r="H2023" s="38" t="str">
        <f>VLOOKUP(B2023,CAJEROS!B:D,3,0)</f>
        <v>Multifuncional</v>
      </c>
      <c r="I2023" s="34"/>
      <c r="J2023" s="38" t="str">
        <f>VLOOKUP(B2023,CAJEROS!B:E,4,0)</f>
        <v>MF_OCANA2</v>
      </c>
      <c r="K2023" t="s">
        <v>450</v>
      </c>
    </row>
    <row r="2024" spans="1:11">
      <c r="A2024" s="32">
        <v>7</v>
      </c>
      <c r="B2024" s="33">
        <v>7812</v>
      </c>
      <c r="C2024" s="3">
        <v>351500</v>
      </c>
      <c r="D2024" s="3"/>
      <c r="E2024" s="7">
        <f t="shared" si="68"/>
        <v>351500</v>
      </c>
      <c r="F2024" s="5">
        <v>45884</v>
      </c>
      <c r="G2024" s="4">
        <v>20250814</v>
      </c>
      <c r="H2024" s="38" t="str">
        <f>VLOOKUP(B2024,CAJEROS!B:D,3,0)</f>
        <v>Multifuncional</v>
      </c>
      <c r="I2024" s="34"/>
      <c r="J2024" s="38" t="str">
        <f>VLOOKUP(B2024,CAJEROS!B:E,4,0)</f>
        <v>MF_LOSMOLI3</v>
      </c>
      <c r="K2024" t="s">
        <v>450</v>
      </c>
    </row>
    <row r="2025" spans="1:11">
      <c r="A2025" s="32">
        <v>91</v>
      </c>
      <c r="B2025" s="33">
        <v>7943</v>
      </c>
      <c r="C2025" s="3">
        <v>2488900</v>
      </c>
      <c r="D2025" s="3"/>
      <c r="E2025" s="7">
        <f t="shared" si="68"/>
        <v>2488900</v>
      </c>
      <c r="F2025" s="5">
        <v>45884</v>
      </c>
      <c r="G2025" s="4">
        <v>20250814</v>
      </c>
      <c r="H2025" s="38" t="str">
        <f>VLOOKUP(B2025,CAJEROS!B:D,3,0)</f>
        <v>Multifuncional</v>
      </c>
      <c r="I2025" s="34"/>
      <c r="J2025" s="38" t="str">
        <f>VLOOKUP(B2025,CAJEROS!B:E,4,0)</f>
        <v>MF_MONTERI2</v>
      </c>
      <c r="K2025" t="s">
        <v>450</v>
      </c>
    </row>
    <row r="2026" spans="1:11">
      <c r="A2026" s="32">
        <v>693</v>
      </c>
      <c r="B2026" s="33">
        <v>7979</v>
      </c>
      <c r="C2026" s="3">
        <v>23095000</v>
      </c>
      <c r="D2026" s="3"/>
      <c r="E2026" s="7">
        <f t="shared" si="68"/>
        <v>23095000</v>
      </c>
      <c r="F2026" s="5">
        <v>45884</v>
      </c>
      <c r="G2026" s="4">
        <v>20250814</v>
      </c>
      <c r="H2026" s="38" t="str">
        <f>VLOOKUP(B2026,CAJEROS!B:D,3,0)</f>
        <v>Multifuncional</v>
      </c>
      <c r="I2026" s="34"/>
      <c r="J2026" s="38" t="str">
        <f>VLOOKUP(B2026,CAJEROS!B:E,4,0)</f>
        <v>MF_CCSNTAF3</v>
      </c>
      <c r="K2026" t="s">
        <v>450</v>
      </c>
    </row>
    <row r="2027" spans="1:11">
      <c r="A2027" s="32">
        <v>193</v>
      </c>
      <c r="B2027" s="33">
        <v>8537</v>
      </c>
      <c r="C2027" s="3">
        <v>2200</v>
      </c>
      <c r="D2027" s="3"/>
      <c r="E2027" s="7">
        <f t="shared" si="68"/>
        <v>2200</v>
      </c>
      <c r="F2027" s="5">
        <v>45884</v>
      </c>
      <c r="G2027" s="4">
        <v>20250814</v>
      </c>
      <c r="H2027" s="38" t="str">
        <f>VLOOKUP(B2027,CAJEROS!B:D,3,0)</f>
        <v>Multifuncional</v>
      </c>
      <c r="I2027" s="34"/>
      <c r="J2027" s="38" t="str">
        <f>VLOOKUP(B2027,CAJEROS!B:E,4,0)</f>
        <v>MF_HSUCFIC1</v>
      </c>
      <c r="K2027" t="s">
        <v>450</v>
      </c>
    </row>
    <row r="2028" spans="1:11">
      <c r="A2028" s="32">
        <v>728</v>
      </c>
      <c r="B2028" s="33">
        <v>8586</v>
      </c>
      <c r="C2028" s="3">
        <v>13900000</v>
      </c>
      <c r="D2028" s="3">
        <v>515000</v>
      </c>
      <c r="E2028" s="7">
        <f t="shared" si="68"/>
        <v>13385000</v>
      </c>
      <c r="F2028" s="5">
        <v>45884</v>
      </c>
      <c r="G2028" s="4">
        <v>20250814</v>
      </c>
      <c r="H2028" s="38" t="str">
        <f>VLOOKUP(B2028,CAJEROS!B:D,3,0)</f>
        <v>Multifuncional</v>
      </c>
      <c r="I2028" s="34"/>
      <c r="J2028" s="38" t="str">
        <f>VLOOKUP(B2028,CAJEROS!B:E,4,0)</f>
        <v>MF_SUCCART1</v>
      </c>
      <c r="K2028" t="s">
        <v>450</v>
      </c>
    </row>
    <row r="2029" spans="1:11">
      <c r="A2029" s="32">
        <v>78</v>
      </c>
      <c r="B2029" s="33">
        <v>8594</v>
      </c>
      <c r="C2029" s="3">
        <v>9449000</v>
      </c>
      <c r="D2029" s="3">
        <v>3548000</v>
      </c>
      <c r="E2029" s="7">
        <f t="shared" si="68"/>
        <v>5901000</v>
      </c>
      <c r="F2029" s="5">
        <v>45884</v>
      </c>
      <c r="G2029" s="4">
        <v>20250814</v>
      </c>
      <c r="H2029" s="38" t="str">
        <f>VLOOKUP(B2029,CAJEROS!B:D,3,0)</f>
        <v>Multifuncional</v>
      </c>
      <c r="I2029" s="34"/>
      <c r="J2029" s="38" t="str">
        <f>VLOOKUP(B2029,CAJEROS!B:E,4,0)</f>
        <v>MF_CACIQUE2</v>
      </c>
      <c r="K2029" t="s">
        <v>450</v>
      </c>
    </row>
    <row r="2030" spans="1:11">
      <c r="A2030" s="32">
        <v>348</v>
      </c>
      <c r="B2030" s="33">
        <v>9009</v>
      </c>
      <c r="C2030" s="3">
        <v>2568000</v>
      </c>
      <c r="D2030" s="3"/>
      <c r="E2030" s="7">
        <f t="shared" si="68"/>
        <v>2568000</v>
      </c>
      <c r="F2030" s="5">
        <v>45884</v>
      </c>
      <c r="G2030" s="4">
        <v>20250814</v>
      </c>
      <c r="H2030" s="38" t="str">
        <f>VLOOKUP(B2030,CAJEROS!B:D,3,0)</f>
        <v>Multifuncional</v>
      </c>
      <c r="I2030" s="34"/>
      <c r="J2030" s="38" t="str">
        <f>VLOOKUP(B2030,CAJEROS!B:E,4,0)</f>
        <v>MF_SANDRES2</v>
      </c>
      <c r="K2030" t="s">
        <v>450</v>
      </c>
    </row>
    <row r="2031" spans="1:11">
      <c r="A2031" s="32">
        <v>957</v>
      </c>
      <c r="B2031" s="33">
        <v>9513</v>
      </c>
      <c r="C2031" s="3">
        <v>14280000</v>
      </c>
      <c r="D2031" s="3">
        <f>4330000+901600</f>
        <v>5231600</v>
      </c>
      <c r="E2031" s="7">
        <f t="shared" si="68"/>
        <v>9048400</v>
      </c>
      <c r="F2031" s="5">
        <v>45884</v>
      </c>
      <c r="G2031" s="4">
        <v>20250814</v>
      </c>
      <c r="H2031" s="38" t="str">
        <f>VLOOKUP(B2031,CAJEROS!B:D,3,0)</f>
        <v>Multifuncional</v>
      </c>
      <c r="I2031" s="34"/>
      <c r="J2031" s="38" t="str">
        <f>VLOOKUP(B2031,CAJEROS!B:E,4,0)</f>
        <v>MFSUCPARAL2</v>
      </c>
      <c r="K2031" t="s">
        <v>450</v>
      </c>
    </row>
    <row r="2032" spans="1:11">
      <c r="A2032" s="32">
        <v>890</v>
      </c>
      <c r="B2032" s="33">
        <v>9584</v>
      </c>
      <c r="C2032" s="3">
        <v>4000000</v>
      </c>
      <c r="D2032" s="3">
        <v>3270000</v>
      </c>
      <c r="E2032" s="7">
        <f t="shared" si="68"/>
        <v>730000</v>
      </c>
      <c r="F2032" s="5">
        <v>45884</v>
      </c>
      <c r="G2032" s="4">
        <v>20250814</v>
      </c>
      <c r="H2032" s="38" t="str">
        <f>VLOOKUP(B2032,CAJEROS!B:D,3,0)</f>
        <v>Multifuncional</v>
      </c>
      <c r="I2032" s="34"/>
      <c r="J2032" s="38" t="str">
        <f>VLOOKUP(B2032,CAJEROS!B:E,4,0)</f>
        <v>MFSUCACACI1</v>
      </c>
      <c r="K2032" t="s">
        <v>450</v>
      </c>
    </row>
    <row r="2033" spans="1:11">
      <c r="A2033" s="32">
        <v>331</v>
      </c>
      <c r="B2033" s="33">
        <v>574</v>
      </c>
      <c r="C2033" s="3">
        <v>2282000</v>
      </c>
      <c r="D2033" s="3">
        <v>2280000</v>
      </c>
      <c r="E2033" s="7">
        <f t="shared" si="68"/>
        <v>2000</v>
      </c>
      <c r="F2033" s="5">
        <v>45884</v>
      </c>
      <c r="G2033" s="4">
        <v>20250814</v>
      </c>
      <c r="H2033" s="38" t="str">
        <f>VLOOKUP(B2033,CAJEROS!B:D,3,0)</f>
        <v>Multifuncional</v>
      </c>
      <c r="I2033" s="34" t="s">
        <v>9</v>
      </c>
      <c r="J2033" s="38" t="str">
        <f>VLOOKUP(B2033,CAJEROS!B:E,4,0)</f>
        <v>MF_SUCARKA1</v>
      </c>
      <c r="K2033" t="s">
        <v>450</v>
      </c>
    </row>
    <row r="2034" spans="1:11">
      <c r="A2034" s="32">
        <v>692</v>
      </c>
      <c r="B2034" s="33">
        <v>1515</v>
      </c>
      <c r="C2034" s="3">
        <v>1570000</v>
      </c>
      <c r="D2034" s="3">
        <v>1505500</v>
      </c>
      <c r="E2034" s="7">
        <f t="shared" si="68"/>
        <v>64500</v>
      </c>
      <c r="F2034" s="5">
        <v>45884</v>
      </c>
      <c r="G2034" s="4">
        <v>20250814</v>
      </c>
      <c r="H2034" s="38" t="str">
        <f>VLOOKUP(B2034,CAJEROS!B:D,3,0)</f>
        <v>Multifuncional</v>
      </c>
      <c r="I2034" s="34" t="s">
        <v>9</v>
      </c>
      <c r="J2034" s="38" t="str">
        <f>VLOOKUP(B2034,CAJEROS!B:E,4,0)</f>
        <v>MFSUCALTPR1</v>
      </c>
      <c r="K2034" t="s">
        <v>450</v>
      </c>
    </row>
    <row r="2035" spans="1:11">
      <c r="A2035" s="32">
        <v>692</v>
      </c>
      <c r="B2035" s="33">
        <v>1516</v>
      </c>
      <c r="C2035" s="3">
        <v>205450</v>
      </c>
      <c r="D2035" s="3">
        <v>200000</v>
      </c>
      <c r="E2035" s="7">
        <f t="shared" si="68"/>
        <v>5450</v>
      </c>
      <c r="F2035" s="5">
        <v>45884</v>
      </c>
      <c r="G2035" s="4">
        <v>20250814</v>
      </c>
      <c r="H2035" s="38" t="str">
        <f>VLOOKUP(B2035,CAJEROS!B:D,3,0)</f>
        <v>Multifuncional</v>
      </c>
      <c r="I2035" s="34" t="s">
        <v>9</v>
      </c>
      <c r="J2035" s="38" t="str">
        <f>VLOOKUP(B2035,CAJEROS!B:E,4,0)</f>
        <v>MFSUCALTPR2</v>
      </c>
      <c r="K2035" t="s">
        <v>450</v>
      </c>
    </row>
    <row r="2036" spans="1:11">
      <c r="A2036" s="32">
        <v>907</v>
      </c>
      <c r="B2036" s="33">
        <v>4830</v>
      </c>
      <c r="C2036" s="3">
        <v>1800000</v>
      </c>
      <c r="D2036" s="3">
        <v>950000</v>
      </c>
      <c r="E2036" s="7">
        <f t="shared" si="68"/>
        <v>850000</v>
      </c>
      <c r="F2036" s="5">
        <v>45884</v>
      </c>
      <c r="G2036" s="4">
        <v>20250814</v>
      </c>
      <c r="H2036" s="38" t="str">
        <f>VLOOKUP(B2036,CAJEROS!B:D,3,0)</f>
        <v>Multifuncional</v>
      </c>
      <c r="I2036" s="34" t="s">
        <v>9</v>
      </c>
      <c r="J2036" s="38" t="str">
        <f>VLOOKUP(B2036,CAJEROS!B:E,4,0)</f>
        <v>MF_FRONTER2</v>
      </c>
      <c r="K2036" t="s">
        <v>450</v>
      </c>
    </row>
    <row r="2037" spans="1:11">
      <c r="A2037" s="32">
        <v>81</v>
      </c>
      <c r="B2037" s="33">
        <v>5036</v>
      </c>
      <c r="C2037" s="3">
        <v>580000</v>
      </c>
      <c r="D2037" s="3">
        <v>575000</v>
      </c>
      <c r="E2037" s="7">
        <f t="shared" si="68"/>
        <v>5000</v>
      </c>
      <c r="F2037" s="5">
        <v>45884</v>
      </c>
      <c r="G2037" s="4">
        <v>20250814</v>
      </c>
      <c r="H2037" s="38" t="str">
        <f>VLOOKUP(B2037,CAJEROS!B:D,3,0)</f>
        <v>Multifuncional</v>
      </c>
      <c r="I2037" s="34" t="s">
        <v>9</v>
      </c>
      <c r="J2037" s="38" t="str">
        <f>VLOOKUP(B2037,CAJEROS!B:E,4,0)</f>
        <v>MF_AVKENNE</v>
      </c>
      <c r="K2037" t="s">
        <v>450</v>
      </c>
    </row>
    <row r="2038" spans="1:11">
      <c r="A2038" s="32">
        <v>682</v>
      </c>
      <c r="B2038" s="33">
        <v>5049</v>
      </c>
      <c r="C2038" s="3">
        <v>1315000</v>
      </c>
      <c r="D2038" s="3">
        <v>864700</v>
      </c>
      <c r="E2038" s="7">
        <f t="shared" si="68"/>
        <v>450300</v>
      </c>
      <c r="F2038" s="5">
        <v>45884</v>
      </c>
      <c r="G2038" s="4">
        <v>20250814</v>
      </c>
      <c r="H2038" s="38" t="str">
        <f>VLOOKUP(B2038,CAJEROS!B:D,3,0)</f>
        <v>Multifuncional</v>
      </c>
      <c r="I2038" s="34" t="s">
        <v>9</v>
      </c>
      <c r="J2038" s="38" t="str">
        <f>VLOOKUP(B2038,CAJEROS!B:E,4,0)</f>
        <v>MF_CCFONTA1</v>
      </c>
      <c r="K2038" t="s">
        <v>450</v>
      </c>
    </row>
    <row r="2039" spans="1:11">
      <c r="A2039" s="32">
        <v>115</v>
      </c>
      <c r="B2039" s="33">
        <v>5080</v>
      </c>
      <c r="C2039" s="3">
        <v>2510000</v>
      </c>
      <c r="D2039" s="3">
        <v>1591000</v>
      </c>
      <c r="E2039" s="7">
        <f t="shared" si="68"/>
        <v>919000</v>
      </c>
      <c r="F2039" s="5">
        <v>45884</v>
      </c>
      <c r="G2039" s="4">
        <v>20250814</v>
      </c>
      <c r="H2039" s="38" t="str">
        <f>VLOOKUP(B2039,CAJEROS!B:D,3,0)</f>
        <v>Multifuncional</v>
      </c>
      <c r="I2039" s="34" t="s">
        <v>9</v>
      </c>
      <c r="J2039" s="38" t="str">
        <f>VLOOKUP(B2039,CAJEROS!B:E,4,0)</f>
        <v>MF_CIPEREIR</v>
      </c>
      <c r="K2039" t="s">
        <v>450</v>
      </c>
    </row>
    <row r="2040" spans="1:11">
      <c r="A2040" s="32">
        <v>244</v>
      </c>
      <c r="B2040" s="33">
        <v>5129</v>
      </c>
      <c r="C2040" s="3">
        <v>175000</v>
      </c>
      <c r="D2040" s="3"/>
      <c r="E2040" s="7">
        <f t="shared" si="68"/>
        <v>175000</v>
      </c>
      <c r="F2040" s="5">
        <v>45884</v>
      </c>
      <c r="G2040" s="4">
        <v>20250814</v>
      </c>
      <c r="H2040" s="38" t="str">
        <f>VLOOKUP(B2040,CAJEROS!B:D,3,0)</f>
        <v>Multifuncional</v>
      </c>
      <c r="I2040" s="34" t="s">
        <v>9</v>
      </c>
      <c r="J2040" s="38" t="str">
        <f>VLOOKUP(B2040,CAJEROS!B:E,4,0)</f>
        <v>MF_TRIGALAN</v>
      </c>
      <c r="K2040" t="s">
        <v>450</v>
      </c>
    </row>
    <row r="2041" spans="1:11">
      <c r="A2041" s="32">
        <v>250</v>
      </c>
      <c r="B2041" s="33">
        <v>5197</v>
      </c>
      <c r="C2041" s="3">
        <v>810000</v>
      </c>
      <c r="D2041" s="3"/>
      <c r="E2041" s="7">
        <f t="shared" si="68"/>
        <v>810000</v>
      </c>
      <c r="F2041" s="5">
        <v>45884</v>
      </c>
      <c r="G2041" s="4">
        <v>20250814</v>
      </c>
      <c r="H2041" s="38" t="str">
        <f>VLOOKUP(B2041,CAJEROS!B:D,3,0)</f>
        <v>Multifuncional</v>
      </c>
      <c r="I2041" s="34" t="s">
        <v>9</v>
      </c>
      <c r="J2041" s="38" t="str">
        <f>VLOOKUP(B2041,CAJEROS!B:E,4,0)</f>
        <v>MF_MODELIA</v>
      </c>
      <c r="K2041" t="s">
        <v>450</v>
      </c>
    </row>
    <row r="2042" spans="1:11">
      <c r="A2042" s="32">
        <v>859</v>
      </c>
      <c r="B2042" s="33">
        <v>5207</v>
      </c>
      <c r="C2042" s="3">
        <v>1470000</v>
      </c>
      <c r="D2042" s="3"/>
      <c r="E2042" s="7">
        <f t="shared" si="68"/>
        <v>1470000</v>
      </c>
      <c r="F2042" s="5">
        <v>45884</v>
      </c>
      <c r="G2042" s="4">
        <v>20250814</v>
      </c>
      <c r="H2042" s="38" t="e">
        <f>VLOOKUP(B2042,CAJEROS!B:D,3,0)</f>
        <v>#N/A</v>
      </c>
      <c r="I2042" s="34" t="s">
        <v>9</v>
      </c>
      <c r="J2042" s="38" t="e">
        <f>VLOOKUP(B2042,CAJEROS!B:E,4,0)</f>
        <v>#N/A</v>
      </c>
      <c r="K2042" t="s">
        <v>450</v>
      </c>
    </row>
    <row r="2043" spans="1:11">
      <c r="A2043" s="32">
        <v>168</v>
      </c>
      <c r="B2043" s="33">
        <v>5224</v>
      </c>
      <c r="C2043" s="3">
        <v>1210000</v>
      </c>
      <c r="D2043" s="3">
        <v>810000</v>
      </c>
      <c r="E2043" s="7">
        <f t="shared" si="68"/>
        <v>400000</v>
      </c>
      <c r="F2043" s="5">
        <v>45884</v>
      </c>
      <c r="G2043" s="4">
        <v>20250814</v>
      </c>
      <c r="H2043" s="38" t="str">
        <f>VLOOKUP(B2043,CAJEROS!B:D,3,0)</f>
        <v>Multifuncional</v>
      </c>
      <c r="I2043" s="34" t="s">
        <v>9</v>
      </c>
      <c r="J2043" s="38" t="str">
        <f>VLOOKUP(B2043,CAJEROS!B:E,4,0)</f>
        <v>MF_TOBERIN</v>
      </c>
      <c r="K2043" t="s">
        <v>450</v>
      </c>
    </row>
    <row r="2044" spans="1:11">
      <c r="A2044" s="32">
        <v>79</v>
      </c>
      <c r="B2044" s="33">
        <v>6245</v>
      </c>
      <c r="C2044" s="3">
        <v>2491000</v>
      </c>
      <c r="D2044" s="3">
        <v>50000</v>
      </c>
      <c r="E2044" s="7">
        <f t="shared" si="68"/>
        <v>2441000</v>
      </c>
      <c r="F2044" s="5">
        <v>45884</v>
      </c>
      <c r="G2044" s="4">
        <v>20250814</v>
      </c>
      <c r="H2044" s="38" t="str">
        <f>VLOOKUP(B2044,CAJEROS!B:D,3,0)</f>
        <v>Multifuncional</v>
      </c>
      <c r="I2044" s="34" t="s">
        <v>9</v>
      </c>
      <c r="J2044" s="38" t="str">
        <f>VLOOKUP(B2044,CAJEROS!B:E,4,0)</f>
        <v>MF_LAQUINTA</v>
      </c>
      <c r="K2044" t="s">
        <v>450</v>
      </c>
    </row>
    <row r="2045" spans="1:11">
      <c r="A2045" s="32">
        <v>138</v>
      </c>
      <c r="B2045" s="33">
        <v>6628</v>
      </c>
      <c r="C2045" s="3">
        <v>378000</v>
      </c>
      <c r="D2045" s="3"/>
      <c r="E2045" s="7">
        <f t="shared" si="68"/>
        <v>378000</v>
      </c>
      <c r="F2045" s="5">
        <v>45884</v>
      </c>
      <c r="G2045" s="4">
        <v>20250814</v>
      </c>
      <c r="H2045" s="38" t="str">
        <f>VLOOKUP(B2045,CAJEROS!B:D,3,0)</f>
        <v>Multifuncional</v>
      </c>
      <c r="I2045" s="34" t="s">
        <v>9</v>
      </c>
      <c r="J2045" s="38" t="str">
        <f>VLOOKUP(B2045,CAJEROS!B:E,4,0)</f>
        <v>MF_MOSQUERA</v>
      </c>
      <c r="K2045" t="s">
        <v>450</v>
      </c>
    </row>
    <row r="2046" spans="1:11">
      <c r="A2046" s="32">
        <v>613</v>
      </c>
      <c r="B2046" s="33">
        <v>6713</v>
      </c>
      <c r="C2046" s="3">
        <v>430000</v>
      </c>
      <c r="D2046" s="3">
        <f>359000+70600+350</f>
        <v>429950</v>
      </c>
      <c r="E2046" s="7">
        <f t="shared" si="68"/>
        <v>50</v>
      </c>
      <c r="F2046" s="5">
        <v>45884</v>
      </c>
      <c r="G2046" s="4">
        <v>20250814</v>
      </c>
      <c r="H2046" s="38" t="str">
        <f>VLOOKUP(B2046,CAJEROS!B:D,3,0)</f>
        <v>Multifuncional</v>
      </c>
      <c r="I2046" s="34" t="s">
        <v>9</v>
      </c>
      <c r="J2046" s="38" t="str">
        <f>VLOOKUP(B2046,CAJEROS!B:E,4,0)</f>
        <v>MF_LAMERICA</v>
      </c>
      <c r="K2046" t="s">
        <v>450</v>
      </c>
    </row>
    <row r="2047" spans="1:11">
      <c r="A2047" s="32">
        <v>843</v>
      </c>
      <c r="B2047" s="33">
        <v>6716</v>
      </c>
      <c r="C2047" s="3">
        <v>2803000</v>
      </c>
      <c r="D2047" s="3">
        <v>1009600</v>
      </c>
      <c r="E2047" s="7">
        <f t="shared" si="68"/>
        <v>1793400</v>
      </c>
      <c r="F2047" s="5">
        <v>45884</v>
      </c>
      <c r="G2047" s="4">
        <v>20250814</v>
      </c>
      <c r="H2047" s="38" t="str">
        <f>VLOOKUP(B2047,CAJEROS!B:D,3,0)</f>
        <v>Multifuncional</v>
      </c>
      <c r="I2047" s="34" t="s">
        <v>9</v>
      </c>
      <c r="J2047" s="38" t="str">
        <f>VLOOKUP(B2047,CAJEROS!B:E,4,0)</f>
        <v>MF_CPBUENAV</v>
      </c>
      <c r="K2047" t="s">
        <v>450</v>
      </c>
    </row>
    <row r="2048" spans="1:11">
      <c r="A2048" s="32">
        <v>796</v>
      </c>
      <c r="B2048" s="33">
        <v>6911</v>
      </c>
      <c r="C2048" s="3">
        <v>41000</v>
      </c>
      <c r="D2048" s="3"/>
      <c r="E2048" s="7">
        <f t="shared" si="68"/>
        <v>41000</v>
      </c>
      <c r="F2048" s="5">
        <v>45884</v>
      </c>
      <c r="G2048" s="4">
        <v>20250814</v>
      </c>
      <c r="H2048" s="38" t="str">
        <f>VLOOKUP(B2048,CAJEROS!B:D,3,0)</f>
        <v>Multifuncional</v>
      </c>
      <c r="I2048" s="34" t="s">
        <v>9</v>
      </c>
      <c r="J2048" s="38" t="str">
        <f>VLOOKUP(B2048,CAJEROS!B:E,4,0)</f>
        <v>MF_GIRON</v>
      </c>
      <c r="K2048" t="s">
        <v>450</v>
      </c>
    </row>
    <row r="2049" spans="1:11">
      <c r="A2049" s="32">
        <v>549</v>
      </c>
      <c r="B2049" s="33">
        <v>7123</v>
      </c>
      <c r="C2049" s="3">
        <v>901900</v>
      </c>
      <c r="D2049" s="3"/>
      <c r="E2049" s="7">
        <f t="shared" si="68"/>
        <v>901900</v>
      </c>
      <c r="F2049" s="5">
        <v>45884</v>
      </c>
      <c r="G2049" s="4">
        <v>20250814</v>
      </c>
      <c r="H2049" s="38" t="str">
        <f>VLOOKUP(B2049,CAJEROS!B:D,3,0)</f>
        <v>Multifuncional</v>
      </c>
      <c r="I2049" s="34" t="s">
        <v>9</v>
      </c>
      <c r="J2049" s="38" t="str">
        <f>VLOOKUP(B2049,CAJEROS!B:E,4,0)</f>
        <v>MF_PLARIO2</v>
      </c>
      <c r="K2049" t="s">
        <v>450</v>
      </c>
    </row>
    <row r="2050" spans="1:11">
      <c r="A2050" s="32">
        <v>419</v>
      </c>
      <c r="B2050" s="33">
        <v>7980</v>
      </c>
      <c r="C2050" s="3">
        <v>940000</v>
      </c>
      <c r="D2050" s="3"/>
      <c r="E2050" s="7">
        <f t="shared" si="68"/>
        <v>940000</v>
      </c>
      <c r="F2050" s="5">
        <v>45884</v>
      </c>
      <c r="G2050" s="4">
        <v>20250814</v>
      </c>
      <c r="H2050" s="38" t="str">
        <f>VLOOKUP(B2050,CAJEROS!B:D,3,0)</f>
        <v>Multifuncional</v>
      </c>
      <c r="I2050" s="34" t="s">
        <v>9</v>
      </c>
      <c r="J2050" s="38" t="str">
        <f>VLOOKUP(B2050,CAJEROS!B:E,4,0)</f>
        <v>MF_CPUNBOG2</v>
      </c>
      <c r="K2050" t="s">
        <v>450</v>
      </c>
    </row>
    <row r="2051" spans="1:11">
      <c r="A2051" s="32">
        <v>453</v>
      </c>
      <c r="B2051" s="33">
        <v>8018</v>
      </c>
      <c r="C2051" s="3">
        <v>1610000</v>
      </c>
      <c r="D2051" s="3"/>
      <c r="E2051" s="7">
        <f t="shared" si="68"/>
        <v>1610000</v>
      </c>
      <c r="F2051" s="5">
        <v>45884</v>
      </c>
      <c r="G2051" s="4">
        <v>20250814</v>
      </c>
      <c r="H2051" s="38" t="str">
        <f>VLOOKUP(B2051,CAJEROS!B:D,3,0)</f>
        <v>Multifuncional</v>
      </c>
      <c r="I2051" s="34" t="s">
        <v>9</v>
      </c>
      <c r="J2051" s="38" t="str">
        <f>VLOOKUP(B2051,CAJEROS!B:E,4,0)</f>
        <v>MFSUCPITAL1</v>
      </c>
      <c r="K2051" t="s">
        <v>450</v>
      </c>
    </row>
    <row r="2052" spans="1:11">
      <c r="A2052" s="32">
        <v>541</v>
      </c>
      <c r="B2052" s="33">
        <v>8660</v>
      </c>
      <c r="C2052" s="3">
        <v>750000</v>
      </c>
      <c r="D2052" s="3">
        <v>494000</v>
      </c>
      <c r="E2052" s="7">
        <f t="shared" si="68"/>
        <v>256000</v>
      </c>
      <c r="F2052" s="5">
        <v>45884</v>
      </c>
      <c r="G2052" s="4">
        <v>20250814</v>
      </c>
      <c r="H2052" s="38" t="str">
        <f>VLOOKUP(B2052,CAJEROS!B:D,3,0)</f>
        <v>Multifuncional</v>
      </c>
      <c r="I2052" s="34" t="s">
        <v>9</v>
      </c>
      <c r="J2052" s="38" t="str">
        <f>VLOOKUP(B2052,CAJEROS!B:E,4,0)</f>
        <v>MF_SUCCALP2</v>
      </c>
      <c r="K2052" t="s">
        <v>450</v>
      </c>
    </row>
    <row r="2053" spans="1:11">
      <c r="A2053" s="32">
        <v>467</v>
      </c>
      <c r="B2053" s="33">
        <v>9051</v>
      </c>
      <c r="C2053" s="3">
        <v>2040000</v>
      </c>
      <c r="D2053" s="3">
        <f>1900000+90050</f>
        <v>1990050</v>
      </c>
      <c r="E2053" s="7">
        <f t="shared" si="68"/>
        <v>49950</v>
      </c>
      <c r="F2053" s="5">
        <v>45884</v>
      </c>
      <c r="G2053" s="4">
        <v>20250814</v>
      </c>
      <c r="H2053" s="38" t="str">
        <f>VLOOKUP(B2053,CAJEROS!B:D,3,0)</f>
        <v>Multifuncional</v>
      </c>
      <c r="I2053" s="34" t="s">
        <v>9</v>
      </c>
      <c r="J2053" s="38" t="str">
        <f>VLOOKUP(B2053,CAJEROS!B:E,4,0)</f>
        <v>MFHDVERPLZ1</v>
      </c>
      <c r="K2053" t="s">
        <v>450</v>
      </c>
    </row>
    <row r="2054" spans="1:11">
      <c r="A2054" s="32">
        <v>467</v>
      </c>
      <c r="B2054" s="33">
        <v>9052</v>
      </c>
      <c r="C2054" s="3">
        <v>100000</v>
      </c>
      <c r="D2054" s="3">
        <v>99800</v>
      </c>
      <c r="E2054" s="7">
        <f t="shared" si="68"/>
        <v>200</v>
      </c>
      <c r="F2054" s="5">
        <v>45884</v>
      </c>
      <c r="G2054" s="4">
        <v>20250814</v>
      </c>
      <c r="H2054" s="38" t="str">
        <f>VLOOKUP(B2054,CAJEROS!B:D,3,0)</f>
        <v>Multifuncional</v>
      </c>
      <c r="I2054" s="34" t="s">
        <v>9</v>
      </c>
      <c r="J2054" s="38" t="str">
        <f>VLOOKUP(B2054,CAJEROS!B:E,4,0)</f>
        <v>MFHDVERPLZ2</v>
      </c>
      <c r="K2054" t="s">
        <v>450</v>
      </c>
    </row>
    <row r="2055" spans="1:11">
      <c r="A2055" s="32">
        <v>551</v>
      </c>
      <c r="B2055" s="33">
        <v>9644</v>
      </c>
      <c r="C2055" s="3">
        <v>129950</v>
      </c>
      <c r="D2055" s="3"/>
      <c r="E2055" s="7">
        <f t="shared" si="68"/>
        <v>129950</v>
      </c>
      <c r="F2055" s="5">
        <v>45884</v>
      </c>
      <c r="G2055" s="4">
        <v>20250814</v>
      </c>
      <c r="H2055" s="38" t="str">
        <f>VLOOKUP(B2055,CAJEROS!B:D,3,0)</f>
        <v>Multifuncional</v>
      </c>
      <c r="I2055" s="34" t="s">
        <v>9</v>
      </c>
      <c r="J2055" s="38" t="str">
        <f>VLOOKUP(B2055,CAJEROS!B:E,4,0)</f>
        <v>MFSUCUNIME2</v>
      </c>
      <c r="K2055" t="s">
        <v>450</v>
      </c>
    </row>
    <row r="2056" spans="1:11">
      <c r="A2056" s="32">
        <v>7</v>
      </c>
      <c r="B2056" s="33">
        <v>5614</v>
      </c>
      <c r="C2056" s="3">
        <v>20000</v>
      </c>
      <c r="D2056" s="3"/>
      <c r="E2056" s="7">
        <f t="shared" si="68"/>
        <v>20000</v>
      </c>
      <c r="F2056" s="5">
        <v>45884</v>
      </c>
      <c r="G2056" s="4">
        <v>20250814</v>
      </c>
      <c r="H2056" s="38" t="str">
        <f>VLOOKUP(B2056,CAJEROS!B:D,3,0)</f>
        <v>Dispensador</v>
      </c>
      <c r="I2056" s="34"/>
      <c r="J2056" s="38" t="str">
        <f>VLOOKUP(B2056,CAJEROS!B:E,4,0)</f>
        <v>SUC_MOLIN3</v>
      </c>
      <c r="K2056" t="s">
        <v>450</v>
      </c>
    </row>
    <row r="2057" spans="1:11">
      <c r="A2057" s="32">
        <v>57</v>
      </c>
      <c r="B2057" s="33">
        <v>9931</v>
      </c>
      <c r="C2057" s="3">
        <v>20000</v>
      </c>
      <c r="D2057" s="3"/>
      <c r="E2057" s="7">
        <f t="shared" si="68"/>
        <v>20000</v>
      </c>
      <c r="F2057" s="5">
        <v>45884</v>
      </c>
      <c r="G2057" s="4">
        <v>20250814</v>
      </c>
      <c r="H2057" s="38" t="str">
        <f>VLOOKUP(B2057,CAJEROS!B:D,3,0)</f>
        <v>Dispensador</v>
      </c>
      <c r="I2057" s="34"/>
      <c r="J2057" s="38" t="str">
        <f>VLOOKUP(B2057,CAJEROS!B:E,4,0)</f>
        <v>SUC_VILLAO3</v>
      </c>
      <c r="K2057" t="s">
        <v>450</v>
      </c>
    </row>
    <row r="2058" spans="1:11">
      <c r="A2058" s="32">
        <v>186</v>
      </c>
      <c r="B2058" s="33">
        <v>6508</v>
      </c>
      <c r="C2058" s="3">
        <v>1470000</v>
      </c>
      <c r="D2058" s="3"/>
      <c r="E2058" s="7">
        <f t="shared" si="68"/>
        <v>1470000</v>
      </c>
      <c r="F2058" s="5">
        <v>45884</v>
      </c>
      <c r="G2058" s="4">
        <v>20250814</v>
      </c>
      <c r="H2058" s="38" t="str">
        <f>VLOOKUP(B2058,CAJEROS!B:D,3,0)</f>
        <v>Dispensador</v>
      </c>
      <c r="I2058" s="34"/>
      <c r="J2058" s="38" t="str">
        <f>VLOOKUP(B2058,CAJEROS!B:E,4,0)</f>
        <v>SUC_GALERI1</v>
      </c>
      <c r="K2058" t="s">
        <v>450</v>
      </c>
    </row>
    <row r="2059" spans="1:11">
      <c r="A2059" s="32">
        <v>186</v>
      </c>
      <c r="B2059" s="33">
        <v>6509</v>
      </c>
      <c r="C2059" s="3">
        <v>1520000</v>
      </c>
      <c r="D2059" s="3"/>
      <c r="E2059" s="7">
        <f t="shared" si="68"/>
        <v>1520000</v>
      </c>
      <c r="F2059" s="5">
        <v>45884</v>
      </c>
      <c r="G2059" s="4">
        <v>20250814</v>
      </c>
      <c r="H2059" s="38" t="str">
        <f>VLOOKUP(B2059,CAJEROS!B:D,3,0)</f>
        <v>Dispensador</v>
      </c>
      <c r="I2059" s="34"/>
      <c r="J2059" s="38" t="str">
        <f>VLOOKUP(B2059,CAJEROS!B:E,4,0)</f>
        <v>SUC_GALERI2</v>
      </c>
      <c r="K2059" t="s">
        <v>450</v>
      </c>
    </row>
    <row r="2060" spans="1:11">
      <c r="A2060" s="32">
        <v>186</v>
      </c>
      <c r="B2060" s="33">
        <v>6513</v>
      </c>
      <c r="C2060" s="3">
        <v>1000000</v>
      </c>
      <c r="D2060" s="3"/>
      <c r="E2060" s="7">
        <f t="shared" si="68"/>
        <v>1000000</v>
      </c>
      <c r="F2060" s="5">
        <v>45884</v>
      </c>
      <c r="G2060" s="4">
        <v>20250814</v>
      </c>
      <c r="H2060" s="38" t="str">
        <f>VLOOKUP(B2060,CAJEROS!B:D,3,0)</f>
        <v>Dispensador</v>
      </c>
      <c r="I2060" s="34"/>
      <c r="J2060" s="38" t="str">
        <f>VLOOKUP(B2060,CAJEROS!B:E,4,0)</f>
        <v>SUC_GALERI4</v>
      </c>
      <c r="K2060" t="s">
        <v>450</v>
      </c>
    </row>
    <row r="2061" spans="1:11">
      <c r="A2061" s="32">
        <v>193</v>
      </c>
      <c r="B2061" s="33">
        <v>8534</v>
      </c>
      <c r="C2061" s="3">
        <v>20000</v>
      </c>
      <c r="D2061" s="3"/>
      <c r="E2061" s="7">
        <f t="shared" si="68"/>
        <v>20000</v>
      </c>
      <c r="F2061" s="5">
        <v>45884</v>
      </c>
      <c r="G2061" s="4">
        <v>20250814</v>
      </c>
      <c r="H2061" s="38" t="str">
        <f>VLOOKUP(B2061,CAJEROS!B:D,3,0)</f>
        <v>Dispensador</v>
      </c>
      <c r="I2061" s="34"/>
      <c r="J2061" s="38" t="str">
        <f>VLOOKUP(B2061,CAJEROS!B:E,4,0)</f>
        <v>HALLSUCFIC4</v>
      </c>
      <c r="K2061" t="s">
        <v>450</v>
      </c>
    </row>
    <row r="2062" spans="1:11">
      <c r="A2062" s="32">
        <v>216</v>
      </c>
      <c r="B2062" s="33">
        <v>4434</v>
      </c>
      <c r="C2062" s="3">
        <v>310000</v>
      </c>
      <c r="D2062" s="3">
        <v>40000</v>
      </c>
      <c r="E2062" s="7">
        <f t="shared" si="68"/>
        <v>270000</v>
      </c>
      <c r="F2062" s="5">
        <v>45884</v>
      </c>
      <c r="G2062" s="4">
        <v>20250814</v>
      </c>
      <c r="H2062" s="38" t="str">
        <f>VLOOKUP(B2062,CAJEROS!B:D,3,0)</f>
        <v>Dispensador</v>
      </c>
      <c r="I2062" s="34"/>
      <c r="J2062" s="38" t="str">
        <f>VLOOKUP(B2062,CAJEROS!B:E,4,0)</f>
        <v>SUC_SABANA2</v>
      </c>
      <c r="K2062" t="s">
        <v>450</v>
      </c>
    </row>
    <row r="2063" spans="1:11">
      <c r="A2063" s="32">
        <v>216</v>
      </c>
      <c r="B2063" s="33">
        <v>8486</v>
      </c>
      <c r="C2063" s="3">
        <v>2000000</v>
      </c>
      <c r="D2063" s="3">
        <v>900000</v>
      </c>
      <c r="E2063" s="7">
        <f t="shared" si="68"/>
        <v>1100000</v>
      </c>
      <c r="F2063" s="5">
        <v>45884</v>
      </c>
      <c r="G2063" s="4">
        <v>20250814</v>
      </c>
      <c r="H2063" s="38" t="str">
        <f>VLOOKUP(B2063,CAJEROS!B:D,3,0)</f>
        <v>Dispensador</v>
      </c>
      <c r="I2063" s="34"/>
      <c r="J2063" s="38" t="str">
        <f>VLOOKUP(B2063,CAJEROS!B:E,4,0)</f>
        <v>SUC_SABANA3</v>
      </c>
      <c r="K2063" t="s">
        <v>450</v>
      </c>
    </row>
    <row r="2064" spans="1:11">
      <c r="A2064" s="32">
        <v>317</v>
      </c>
      <c r="B2064" s="33">
        <v>9730</v>
      </c>
      <c r="C2064" s="3">
        <v>1200000</v>
      </c>
      <c r="D2064" s="3"/>
      <c r="E2064" s="7">
        <f t="shared" si="68"/>
        <v>1200000</v>
      </c>
      <c r="F2064" s="5">
        <v>45884</v>
      </c>
      <c r="G2064" s="4">
        <v>20250814</v>
      </c>
      <c r="H2064" s="38" t="str">
        <f>VLOOKUP(B2064,CAJEROS!B:D,3,0)</f>
        <v>Dispensador</v>
      </c>
      <c r="I2064" s="34"/>
      <c r="J2064" s="38" t="str">
        <f>VLOOKUP(B2064,CAJEROS!B:E,4,0)</f>
        <v>SUCARAUCA_5</v>
      </c>
      <c r="K2064" t="s">
        <v>450</v>
      </c>
    </row>
    <row r="2065" spans="1:11">
      <c r="A2065" s="32">
        <v>329</v>
      </c>
      <c r="B2065" s="33">
        <v>3291</v>
      </c>
      <c r="C2065" s="3">
        <v>480000</v>
      </c>
      <c r="D2065" s="3">
        <v>50000</v>
      </c>
      <c r="E2065" s="7">
        <f t="shared" si="68"/>
        <v>430000</v>
      </c>
      <c r="F2065" s="5">
        <v>45884</v>
      </c>
      <c r="G2065" s="4">
        <v>20250814</v>
      </c>
      <c r="H2065" s="38" t="str">
        <f>VLOOKUP(B2065,CAJEROS!B:D,3,0)</f>
        <v>Dispensador</v>
      </c>
      <c r="I2065" s="34"/>
      <c r="J2065" s="38" t="str">
        <f>VLOOKUP(B2065,CAJEROS!B:E,4,0)</f>
        <v>VELEZ</v>
      </c>
      <c r="K2065" t="s">
        <v>450</v>
      </c>
    </row>
    <row r="2066" spans="1:11">
      <c r="A2066" s="32">
        <v>348</v>
      </c>
      <c r="B2066" s="33">
        <v>2990</v>
      </c>
      <c r="C2066" s="3">
        <v>50000</v>
      </c>
      <c r="D2066" s="3"/>
      <c r="E2066" s="7">
        <f t="shared" ref="E2066:E2129" si="69">+C2066-D2066</f>
        <v>50000</v>
      </c>
      <c r="F2066" s="5">
        <v>45884</v>
      </c>
      <c r="G2066" s="4">
        <v>20250814</v>
      </c>
      <c r="H2066" s="38" t="e">
        <f>VLOOKUP(B2066,CAJEROS!B:D,3,0)</f>
        <v>#N/A</v>
      </c>
      <c r="I2066" s="34"/>
      <c r="J2066" s="38" t="e">
        <f>VLOOKUP(B2066,CAJEROS!B:E,4,0)</f>
        <v>#N/A</v>
      </c>
      <c r="K2066" t="s">
        <v>450</v>
      </c>
    </row>
    <row r="2067" spans="1:11">
      <c r="A2067" s="32">
        <v>348</v>
      </c>
      <c r="B2067" s="33">
        <v>2991</v>
      </c>
      <c r="C2067" s="3">
        <v>1000000</v>
      </c>
      <c r="D2067" s="3"/>
      <c r="E2067" s="7">
        <f t="shared" si="69"/>
        <v>1000000</v>
      </c>
      <c r="F2067" s="5">
        <v>45884</v>
      </c>
      <c r="G2067" s="4">
        <v>20250814</v>
      </c>
      <c r="H2067" s="38" t="str">
        <f>VLOOKUP(B2067,CAJEROS!B:D,3,0)</f>
        <v>Dispensador</v>
      </c>
      <c r="I2067" s="34"/>
      <c r="J2067" s="38" t="str">
        <f>VLOOKUP(B2067,CAJEROS!B:E,4,0)</f>
        <v>SUCSANDRES4</v>
      </c>
      <c r="K2067" t="s">
        <v>450</v>
      </c>
    </row>
    <row r="2068" spans="1:11">
      <c r="A2068" s="32">
        <v>348</v>
      </c>
      <c r="B2068" s="33">
        <v>5649</v>
      </c>
      <c r="C2068" s="3">
        <v>700000</v>
      </c>
      <c r="D2068" s="3"/>
      <c r="E2068" s="7">
        <f t="shared" si="69"/>
        <v>700000</v>
      </c>
      <c r="F2068" s="5">
        <v>45884</v>
      </c>
      <c r="G2068" s="4">
        <v>20250814</v>
      </c>
      <c r="H2068" s="38" t="str">
        <f>VLOOKUP(B2068,CAJEROS!B:D,3,0)</f>
        <v>Dispensador</v>
      </c>
      <c r="I2068" s="34"/>
      <c r="J2068" s="38" t="str">
        <f>VLOOKUP(B2068,CAJEROS!B:E,4,0)</f>
        <v>SUCSANDRES5</v>
      </c>
      <c r="K2068" t="s">
        <v>450</v>
      </c>
    </row>
    <row r="2069" spans="1:11">
      <c r="A2069" s="32">
        <v>365</v>
      </c>
      <c r="B2069" s="33">
        <v>4632</v>
      </c>
      <c r="C2069" s="3">
        <v>40000</v>
      </c>
      <c r="D2069" s="3"/>
      <c r="E2069" s="7">
        <f t="shared" si="69"/>
        <v>40000</v>
      </c>
      <c r="F2069" s="5">
        <v>45884</v>
      </c>
      <c r="G2069" s="4">
        <v>20250814</v>
      </c>
      <c r="H2069" s="38" t="str">
        <f>VLOOKUP(B2069,CAJEROS!B:D,3,0)</f>
        <v>Dispensador</v>
      </c>
      <c r="I2069" s="34"/>
      <c r="J2069" s="38" t="str">
        <f>VLOOKUP(B2069,CAJEROS!B:E,4,0)</f>
        <v>SUC_AGUAZ3</v>
      </c>
      <c r="K2069" t="s">
        <v>450</v>
      </c>
    </row>
    <row r="2070" spans="1:11">
      <c r="A2070" s="32">
        <v>369</v>
      </c>
      <c r="B2070" s="33">
        <v>2735</v>
      </c>
      <c r="C2070" s="3">
        <v>450000</v>
      </c>
      <c r="D2070" s="3"/>
      <c r="E2070" s="7">
        <f t="shared" si="69"/>
        <v>450000</v>
      </c>
      <c r="F2070" s="5">
        <v>45884</v>
      </c>
      <c r="G2070" s="4">
        <v>20250814</v>
      </c>
      <c r="H2070" s="38" t="str">
        <f>VLOOKUP(B2070,CAJEROS!B:D,3,0)</f>
        <v>Dispensador</v>
      </c>
      <c r="I2070" s="34"/>
      <c r="J2070" s="38" t="str">
        <f>VLOOKUP(B2070,CAJEROS!B:E,4,0)</f>
        <v>SUC_TAURAME</v>
      </c>
      <c r="K2070" t="s">
        <v>450</v>
      </c>
    </row>
    <row r="2071" spans="1:11">
      <c r="A2071" s="32">
        <v>426</v>
      </c>
      <c r="B2071" s="33">
        <v>4260</v>
      </c>
      <c r="C2071" s="3">
        <v>500000</v>
      </c>
      <c r="D2071" s="3"/>
      <c r="E2071" s="7">
        <f t="shared" si="69"/>
        <v>500000</v>
      </c>
      <c r="F2071" s="5">
        <v>45884</v>
      </c>
      <c r="G2071" s="4">
        <v>20250814</v>
      </c>
      <c r="H2071" s="38" t="str">
        <f>VLOOKUP(B2071,CAJEROS!B:D,3,0)</f>
        <v>Dispensador</v>
      </c>
      <c r="I2071" s="34"/>
      <c r="J2071" s="38" t="str">
        <f>VLOOKUP(B2071,CAJEROS!B:E,4,0)</f>
        <v>PURIFICACI1</v>
      </c>
      <c r="K2071" t="s">
        <v>450</v>
      </c>
    </row>
    <row r="2072" spans="1:11">
      <c r="A2072" s="32">
        <v>517</v>
      </c>
      <c r="B2072" s="33">
        <v>3873</v>
      </c>
      <c r="C2072" s="3">
        <v>100000</v>
      </c>
      <c r="D2072" s="3"/>
      <c r="E2072" s="7">
        <f t="shared" si="69"/>
        <v>100000</v>
      </c>
      <c r="F2072" s="5">
        <v>45884</v>
      </c>
      <c r="G2072" s="4">
        <v>20250814</v>
      </c>
      <c r="H2072" s="38" t="str">
        <f>VLOOKUP(B2072,CAJEROS!B:D,3,0)</f>
        <v>Dispensador</v>
      </c>
      <c r="I2072" s="34"/>
      <c r="J2072" s="38" t="str">
        <f>VLOOKUP(B2072,CAJEROS!B:E,4,0)</f>
        <v>SUC_RODADE2</v>
      </c>
      <c r="K2072" t="s">
        <v>450</v>
      </c>
    </row>
    <row r="2073" spans="1:11">
      <c r="A2073" s="32">
        <v>523</v>
      </c>
      <c r="B2073" s="33">
        <v>3975</v>
      </c>
      <c r="C2073" s="3">
        <v>10000</v>
      </c>
      <c r="D2073" s="3"/>
      <c r="E2073" s="7">
        <f t="shared" si="69"/>
        <v>10000</v>
      </c>
      <c r="F2073" s="5">
        <v>45884</v>
      </c>
      <c r="G2073" s="4">
        <v>20250814</v>
      </c>
      <c r="H2073" s="38" t="str">
        <f>VLOOKUP(B2073,CAJEROS!B:D,3,0)</f>
        <v>Dispensador</v>
      </c>
      <c r="I2073" s="34"/>
      <c r="J2073" s="38" t="str">
        <f>VLOOKUP(B2073,CAJEROS!B:E,4,0)</f>
        <v>SUC_OVALLE2</v>
      </c>
      <c r="K2073" t="s">
        <v>450</v>
      </c>
    </row>
    <row r="2074" spans="1:11">
      <c r="A2074" s="32">
        <v>629</v>
      </c>
      <c r="B2074" s="33">
        <v>4571</v>
      </c>
      <c r="C2074" s="3">
        <v>180000</v>
      </c>
      <c r="D2074" s="3"/>
      <c r="E2074" s="7">
        <f t="shared" si="69"/>
        <v>180000</v>
      </c>
      <c r="F2074" s="5">
        <v>45884</v>
      </c>
      <c r="G2074" s="4">
        <v>20250814</v>
      </c>
      <c r="H2074" s="38" t="str">
        <f>VLOOKUP(B2074,CAJEROS!B:D,3,0)</f>
        <v>Dispensador</v>
      </c>
      <c r="I2074" s="34"/>
      <c r="J2074" s="38" t="str">
        <f>VLOOKUP(B2074,CAJEROS!B:E,4,0)</f>
        <v>SUC_YOPAL2</v>
      </c>
      <c r="K2074" t="s">
        <v>450</v>
      </c>
    </row>
    <row r="2075" spans="1:11">
      <c r="A2075" s="32">
        <v>642</v>
      </c>
      <c r="B2075" s="33">
        <v>1951</v>
      </c>
      <c r="C2075" s="3">
        <v>950000</v>
      </c>
      <c r="D2075" s="3"/>
      <c r="E2075" s="7">
        <f t="shared" si="69"/>
        <v>950000</v>
      </c>
      <c r="F2075" s="5">
        <v>45884</v>
      </c>
      <c r="G2075" s="4">
        <v>20250814</v>
      </c>
      <c r="H2075" s="38" t="str">
        <f>VLOOKUP(B2075,CAJEROS!B:D,3,0)</f>
        <v>Dispensador</v>
      </c>
      <c r="I2075" s="34"/>
      <c r="J2075" s="38" t="str">
        <f>VLOOKUP(B2075,CAJEROS!B:E,4,0)</f>
        <v>SANTAROSOS2</v>
      </c>
      <c r="K2075" t="s">
        <v>450</v>
      </c>
    </row>
    <row r="2076" spans="1:11">
      <c r="A2076" s="32">
        <v>677</v>
      </c>
      <c r="B2076" s="33">
        <v>6896</v>
      </c>
      <c r="C2076" s="3">
        <v>4260000</v>
      </c>
      <c r="D2076" s="3"/>
      <c r="E2076" s="7">
        <f t="shared" si="69"/>
        <v>4260000</v>
      </c>
      <c r="F2076" s="5">
        <v>45884</v>
      </c>
      <c r="G2076" s="4">
        <v>20250814</v>
      </c>
      <c r="H2076" s="38" t="str">
        <f>VLOOKUP(B2076,CAJEROS!B:D,3,0)</f>
        <v>Dispensador</v>
      </c>
      <c r="I2076" s="34"/>
      <c r="J2076" s="38" t="str">
        <f>VLOOKUP(B2076,CAJEROS!B:E,4,0)</f>
        <v>SUCPLZMERC2</v>
      </c>
      <c r="K2076" t="s">
        <v>450</v>
      </c>
    </row>
    <row r="2077" spans="1:11">
      <c r="A2077" s="32">
        <v>728</v>
      </c>
      <c r="B2077" s="33">
        <v>8582</v>
      </c>
      <c r="C2077" s="3">
        <v>1000000</v>
      </c>
      <c r="D2077" s="3"/>
      <c r="E2077" s="7">
        <f t="shared" si="69"/>
        <v>1000000</v>
      </c>
      <c r="F2077" s="5">
        <v>45884</v>
      </c>
      <c r="G2077" s="4">
        <v>20250814</v>
      </c>
      <c r="H2077" s="38" t="str">
        <f>VLOOKUP(B2077,CAJEROS!B:D,3,0)</f>
        <v>Dispensador</v>
      </c>
      <c r="I2077" s="34"/>
      <c r="J2077" s="38" t="str">
        <f>VLOOKUP(B2077,CAJEROS!B:E,4,0)</f>
        <v>SUCCARTAGO1</v>
      </c>
      <c r="K2077" t="s">
        <v>450</v>
      </c>
    </row>
    <row r="2078" spans="1:11">
      <c r="A2078" s="32">
        <v>728</v>
      </c>
      <c r="B2078" s="33">
        <v>8583</v>
      </c>
      <c r="C2078" s="3">
        <v>2620000</v>
      </c>
      <c r="D2078" s="3"/>
      <c r="E2078" s="7">
        <f t="shared" si="69"/>
        <v>2620000</v>
      </c>
      <c r="F2078" s="5">
        <v>45884</v>
      </c>
      <c r="G2078" s="4">
        <v>20250814</v>
      </c>
      <c r="H2078" s="38" t="str">
        <f>VLOOKUP(B2078,CAJEROS!B:D,3,0)</f>
        <v>Dispensador</v>
      </c>
      <c r="I2078" s="34"/>
      <c r="J2078" s="38" t="str">
        <f>VLOOKUP(B2078,CAJEROS!B:E,4,0)</f>
        <v>SUCCARTAGO2</v>
      </c>
      <c r="K2078" t="s">
        <v>450</v>
      </c>
    </row>
    <row r="2079" spans="1:11">
      <c r="A2079" s="32">
        <v>732</v>
      </c>
      <c r="B2079" s="33">
        <v>6966</v>
      </c>
      <c r="C2079" s="3">
        <v>250000</v>
      </c>
      <c r="D2079" s="3"/>
      <c r="E2079" s="7">
        <f t="shared" si="69"/>
        <v>250000</v>
      </c>
      <c r="F2079" s="5">
        <v>45884</v>
      </c>
      <c r="G2079" s="4">
        <v>20250814</v>
      </c>
      <c r="H2079" s="38" t="str">
        <f>VLOOKUP(B2079,CAJEROS!B:D,3,0)</f>
        <v>Dispensador</v>
      </c>
      <c r="I2079" s="34"/>
      <c r="J2079" s="38" t="str">
        <f>VLOOKUP(B2079,CAJEROS!B:E,4,0)</f>
        <v>ROLDANIL_2</v>
      </c>
      <c r="K2079" t="s">
        <v>450</v>
      </c>
    </row>
    <row r="2080" spans="1:11">
      <c r="A2080" s="32">
        <v>732</v>
      </c>
      <c r="B2080" s="33">
        <v>7258</v>
      </c>
      <c r="C2080" s="3">
        <v>100000</v>
      </c>
      <c r="D2080" s="3"/>
      <c r="E2080" s="7">
        <f t="shared" si="69"/>
        <v>100000</v>
      </c>
      <c r="F2080" s="5">
        <v>45884</v>
      </c>
      <c r="G2080" s="4">
        <v>20250814</v>
      </c>
      <c r="H2080" s="38" t="str">
        <f>VLOOKUP(B2080,CAJEROS!B:D,3,0)</f>
        <v>Dispensador</v>
      </c>
      <c r="I2080" s="34"/>
      <c r="J2080" s="38" t="str">
        <f>VLOOKUP(B2080,CAJEROS!B:E,4,0)</f>
        <v>ROLDANILLO1</v>
      </c>
      <c r="K2080" t="s">
        <v>450</v>
      </c>
    </row>
    <row r="2081" spans="1:11">
      <c r="A2081" s="32">
        <v>789</v>
      </c>
      <c r="B2081" s="33">
        <v>3145</v>
      </c>
      <c r="C2081" s="3">
        <v>50000</v>
      </c>
      <c r="D2081" s="3"/>
      <c r="E2081" s="7">
        <f t="shared" si="69"/>
        <v>50000</v>
      </c>
      <c r="F2081" s="5">
        <v>45884</v>
      </c>
      <c r="G2081" s="4">
        <v>20250814</v>
      </c>
      <c r="H2081" s="38" t="str">
        <f>VLOOKUP(B2081,CAJEROS!B:D,3,0)</f>
        <v>Dispensador</v>
      </c>
      <c r="I2081" s="34"/>
      <c r="J2081" s="38" t="str">
        <f>VLOOKUP(B2081,CAJEROS!B:E,4,0)</f>
        <v>MANGA_2</v>
      </c>
      <c r="K2081" t="s">
        <v>450</v>
      </c>
    </row>
    <row r="2082" spans="1:11">
      <c r="A2082" s="32">
        <v>793</v>
      </c>
      <c r="B2082" s="33">
        <v>8469</v>
      </c>
      <c r="C2082" s="3">
        <v>6900000</v>
      </c>
      <c r="D2082" s="3"/>
      <c r="E2082" s="7">
        <f t="shared" si="69"/>
        <v>6900000</v>
      </c>
      <c r="F2082" s="5">
        <v>45884</v>
      </c>
      <c r="G2082" s="4">
        <v>20250814</v>
      </c>
      <c r="H2082" s="38" t="str">
        <f>VLOOKUP(B2082,CAJEROS!B:D,3,0)</f>
        <v>Dispensador</v>
      </c>
      <c r="I2082" s="34"/>
      <c r="J2082" s="38" t="str">
        <f>VLOOKUP(B2082,CAJEROS!B:E,4,0)</f>
        <v>OFPROFESI_1</v>
      </c>
      <c r="K2082" t="s">
        <v>450</v>
      </c>
    </row>
    <row r="2083" spans="1:11">
      <c r="A2083" s="32">
        <v>831</v>
      </c>
      <c r="B2083" s="33">
        <v>3909</v>
      </c>
      <c r="C2083" s="3">
        <v>500000</v>
      </c>
      <c r="D2083" s="3"/>
      <c r="E2083" s="7">
        <f t="shared" si="69"/>
        <v>500000</v>
      </c>
      <c r="F2083" s="5">
        <v>45884</v>
      </c>
      <c r="G2083" s="4">
        <v>20250814</v>
      </c>
      <c r="H2083" s="38" t="str">
        <f>VLOOKUP(B2083,CAJEROS!B:D,3,0)</f>
        <v>Dispensador</v>
      </c>
      <c r="I2083" s="34"/>
      <c r="J2083" s="38" t="str">
        <f>VLOOKUP(B2083,CAJEROS!B:E,4,0)</f>
        <v>SUC_CAREPA1</v>
      </c>
      <c r="K2083" t="s">
        <v>450</v>
      </c>
    </row>
    <row r="2084" spans="1:11">
      <c r="A2084" s="32">
        <v>890</v>
      </c>
      <c r="B2084" s="33">
        <v>3897</v>
      </c>
      <c r="C2084" s="3">
        <v>30000</v>
      </c>
      <c r="D2084" s="3"/>
      <c r="E2084" s="7">
        <f t="shared" si="69"/>
        <v>30000</v>
      </c>
      <c r="F2084" s="5">
        <v>45884</v>
      </c>
      <c r="G2084" s="4">
        <v>20250814</v>
      </c>
      <c r="H2084" s="38" t="str">
        <f>VLOOKUP(B2084,CAJEROS!B:D,3,0)</f>
        <v>Dispensador</v>
      </c>
      <c r="I2084" s="34"/>
      <c r="J2084" s="38" t="str">
        <f>VLOOKUP(B2084,CAJEROS!B:E,4,0)</f>
        <v>SUC_ACACI2</v>
      </c>
      <c r="K2084" t="s">
        <v>450</v>
      </c>
    </row>
    <row r="2085" spans="1:11">
      <c r="A2085" s="32">
        <v>966</v>
      </c>
      <c r="B2085" s="33">
        <v>9942</v>
      </c>
      <c r="C2085" s="3">
        <v>30000</v>
      </c>
      <c r="D2085" s="3"/>
      <c r="E2085" s="7">
        <f t="shared" si="69"/>
        <v>30000</v>
      </c>
      <c r="F2085" s="5">
        <v>45884</v>
      </c>
      <c r="G2085" s="4">
        <v>20250814</v>
      </c>
      <c r="H2085" s="38" t="str">
        <f>VLOOKUP(B2085,CAJEROS!B:D,3,0)</f>
        <v>Dispensador</v>
      </c>
      <c r="I2085" s="34"/>
      <c r="J2085" s="38" t="str">
        <f>VLOOKUP(B2085,CAJEROS!B:E,4,0)</f>
        <v>HALLSUCMTE2</v>
      </c>
      <c r="K2085" t="s">
        <v>450</v>
      </c>
    </row>
    <row r="2086" spans="1:11">
      <c r="A2086" s="32">
        <v>467</v>
      </c>
      <c r="B2086" s="33">
        <v>8911</v>
      </c>
      <c r="C2086" s="3">
        <v>200000</v>
      </c>
      <c r="D2086" s="3"/>
      <c r="E2086" s="7">
        <f t="shared" si="69"/>
        <v>200000</v>
      </c>
      <c r="F2086" s="5">
        <v>45884</v>
      </c>
      <c r="G2086" s="4">
        <v>20250814</v>
      </c>
      <c r="H2086" s="38" t="str">
        <f>VLOOKUP(B2086,CAJEROS!B:D,3,0)</f>
        <v>Dispensador</v>
      </c>
      <c r="I2086" s="34" t="s">
        <v>9</v>
      </c>
      <c r="J2086" s="38" t="str">
        <f>VLOOKUP(B2086,CAJEROS!B:E,4,0)</f>
        <v>HDIVERPLZ_1</v>
      </c>
      <c r="K2086" t="s">
        <v>450</v>
      </c>
    </row>
    <row r="2087" spans="1:11">
      <c r="A2087" s="32">
        <v>467</v>
      </c>
      <c r="B2087" s="33">
        <v>8915</v>
      </c>
      <c r="C2087" s="3">
        <v>40000</v>
      </c>
      <c r="D2087" s="3"/>
      <c r="E2087" s="7">
        <f t="shared" si="69"/>
        <v>40000</v>
      </c>
      <c r="F2087" s="5">
        <v>45884</v>
      </c>
      <c r="G2087" s="4">
        <v>20250814</v>
      </c>
      <c r="H2087" s="38" t="str">
        <f>VLOOKUP(B2087,CAJEROS!B:D,3,0)</f>
        <v>Dispensador</v>
      </c>
      <c r="I2087" s="34" t="s">
        <v>9</v>
      </c>
      <c r="J2087" s="38" t="str">
        <f>VLOOKUP(B2087,CAJEROS!B:E,4,0)</f>
        <v>HDIVERPLZ_5</v>
      </c>
      <c r="K2087" t="s">
        <v>450</v>
      </c>
    </row>
    <row r="2088" spans="1:11">
      <c r="A2088" s="32">
        <v>748</v>
      </c>
      <c r="B2088" s="33">
        <v>4585</v>
      </c>
      <c r="C2088" s="3">
        <v>2290000</v>
      </c>
      <c r="D2088" s="3">
        <v>1990000</v>
      </c>
      <c r="E2088" s="7">
        <f t="shared" si="69"/>
        <v>300000</v>
      </c>
      <c r="F2088" s="5">
        <v>45884</v>
      </c>
      <c r="G2088" s="4">
        <v>20250814</v>
      </c>
      <c r="H2088" s="38" t="str">
        <f>VLOOKUP(B2088,CAJEROS!B:D,3,0)</f>
        <v>Dispensador</v>
      </c>
      <c r="I2088" s="34" t="s">
        <v>9</v>
      </c>
      <c r="J2088" s="38" t="str">
        <f>VLOOKUP(B2088,CAJEROS!B:E,4,0)</f>
        <v>SUC_MOMPOX2</v>
      </c>
      <c r="K2088" t="s">
        <v>450</v>
      </c>
    </row>
    <row r="2089" spans="1:11">
      <c r="A2089" s="32">
        <v>780</v>
      </c>
      <c r="B2089" s="33">
        <v>4715</v>
      </c>
      <c r="C2089" s="3">
        <v>200000</v>
      </c>
      <c r="D2089" s="3">
        <f>100000+30000</f>
        <v>130000</v>
      </c>
      <c r="E2089" s="7">
        <f t="shared" si="69"/>
        <v>70000</v>
      </c>
      <c r="F2089" s="5">
        <v>45884</v>
      </c>
      <c r="G2089" s="4">
        <v>20250814</v>
      </c>
      <c r="H2089" s="38" t="str">
        <f>VLOOKUP(B2089,CAJEROS!B:D,3,0)</f>
        <v>Dispensador</v>
      </c>
      <c r="I2089" s="34" t="s">
        <v>9</v>
      </c>
      <c r="J2089" s="38" t="str">
        <f>VLOOKUP(B2089,CAJEROS!B:E,4,0)</f>
        <v>SUCREALMIN3</v>
      </c>
      <c r="K2089" t="s">
        <v>450</v>
      </c>
    </row>
    <row r="2090" spans="1:11">
      <c r="A2090" s="32">
        <v>467</v>
      </c>
      <c r="B2090" s="33">
        <v>8916</v>
      </c>
      <c r="C2090" s="3">
        <v>20000</v>
      </c>
      <c r="D2090" s="3"/>
      <c r="E2090" s="7">
        <f t="shared" si="69"/>
        <v>20000</v>
      </c>
      <c r="F2090" s="5">
        <v>45884</v>
      </c>
      <c r="G2090" s="4">
        <v>20250814</v>
      </c>
      <c r="H2090" s="38" t="str">
        <f>VLOOKUP(B2090,CAJEROS!B:D,3,0)</f>
        <v>Dispensador</v>
      </c>
      <c r="I2090" s="34" t="s">
        <v>10</v>
      </c>
      <c r="J2090" s="38" t="str">
        <f>VLOOKUP(B2090,CAJEROS!B:E,4,0)</f>
        <v>HDIVERPLZ_6</v>
      </c>
      <c r="K2090" t="s">
        <v>450</v>
      </c>
    </row>
    <row r="2091" spans="1:11">
      <c r="A2091" s="32">
        <v>681</v>
      </c>
      <c r="B2091" s="33">
        <v>8496</v>
      </c>
      <c r="C2091" s="3">
        <v>10000</v>
      </c>
      <c r="D2091" s="3"/>
      <c r="E2091" s="7">
        <f t="shared" si="69"/>
        <v>10000</v>
      </c>
      <c r="F2091" s="5">
        <v>45884</v>
      </c>
      <c r="G2091" s="4">
        <v>20250814</v>
      </c>
      <c r="H2091" s="38" t="str">
        <f>VLOOKUP(B2091,CAJEROS!B:D,3,0)</f>
        <v>Dispensador</v>
      </c>
      <c r="I2091" s="34" t="s">
        <v>10</v>
      </c>
      <c r="J2091" s="38" t="str">
        <f>VLOOKUP(B2091,CAJEROS!B:E,4,0)</f>
        <v>SUC_CERET1</v>
      </c>
      <c r="K2091" t="s">
        <v>450</v>
      </c>
    </row>
    <row r="2092" spans="1:11">
      <c r="A2092" s="32">
        <v>782</v>
      </c>
      <c r="B2092" s="33">
        <v>9854</v>
      </c>
      <c r="C2092" s="3">
        <v>20000</v>
      </c>
      <c r="D2092" s="3"/>
      <c r="E2092" s="7">
        <f t="shared" si="69"/>
        <v>20000</v>
      </c>
      <c r="F2092" s="5">
        <v>45884</v>
      </c>
      <c r="G2092" s="4">
        <v>20250814</v>
      </c>
      <c r="H2092" s="38" t="str">
        <f>VLOOKUP(B2092,CAJEROS!B:D,3,0)</f>
        <v>Dispensador</v>
      </c>
      <c r="I2092" s="34" t="s">
        <v>10</v>
      </c>
      <c r="J2092" s="38" t="str">
        <f>VLOOKUP(B2092,CAJEROS!B:E,4,0)</f>
        <v>SUCSEVILLA1</v>
      </c>
      <c r="K2092" t="s">
        <v>450</v>
      </c>
    </row>
    <row r="2093" spans="1:11">
      <c r="A2093" s="32">
        <v>831</v>
      </c>
      <c r="B2093" s="33">
        <v>1014</v>
      </c>
      <c r="C2093" s="3">
        <v>20000</v>
      </c>
      <c r="D2093" s="3"/>
      <c r="E2093" s="7">
        <f t="shared" si="69"/>
        <v>20000</v>
      </c>
      <c r="F2093" s="5">
        <v>45884</v>
      </c>
      <c r="G2093" s="4">
        <v>20250814</v>
      </c>
      <c r="H2093" s="38" t="str">
        <f>VLOOKUP(B2093,CAJEROS!B:D,3,0)</f>
        <v>Dispensador</v>
      </c>
      <c r="I2093" s="34" t="s">
        <v>10</v>
      </c>
      <c r="J2093" s="38" t="str">
        <f>VLOOKUP(B2093,CAJEROS!B:E,4,0)</f>
        <v>SUC_CAREPA4</v>
      </c>
      <c r="K2093" t="s">
        <v>450</v>
      </c>
    </row>
    <row r="2094" spans="1:11">
      <c r="A2094" s="32">
        <v>346</v>
      </c>
      <c r="B2094" s="33">
        <v>3461</v>
      </c>
      <c r="C2094" s="3">
        <v>20000</v>
      </c>
      <c r="D2094" s="3"/>
      <c r="E2094" s="7">
        <f t="shared" si="69"/>
        <v>20000</v>
      </c>
      <c r="F2094" s="5">
        <v>45884</v>
      </c>
      <c r="G2094" s="4">
        <v>20250814</v>
      </c>
      <c r="H2094" s="38" t="str">
        <f>VLOOKUP(B2094,CAJEROS!B:D,3,0)</f>
        <v>Dispensador</v>
      </c>
      <c r="I2094" s="34"/>
      <c r="J2094" s="38" t="str">
        <f>VLOOKUP(B2094,CAJEROS!B:E,4,0)</f>
        <v>SUBACHOQUE</v>
      </c>
      <c r="K2094" t="s">
        <v>450</v>
      </c>
    </row>
    <row r="2095" spans="1:11">
      <c r="A2095" s="32">
        <v>185</v>
      </c>
      <c r="B2095" s="33">
        <v>405</v>
      </c>
      <c r="C2095" s="3">
        <v>50000</v>
      </c>
      <c r="D2095" s="3"/>
      <c r="E2095" s="7">
        <f t="shared" si="69"/>
        <v>50000</v>
      </c>
      <c r="F2095" s="5">
        <v>45888</v>
      </c>
      <c r="G2095" s="4">
        <v>20250815</v>
      </c>
      <c r="H2095" s="38" t="str">
        <f>VLOOKUP(B2095,CAJEROS!B:D,3,0)</f>
        <v>Dispensador</v>
      </c>
      <c r="I2095" s="34"/>
      <c r="J2095" s="38" t="str">
        <f>VLOOKUP(B2095,CAJEROS!B:E,4,0)</f>
        <v>SUCLLAGRPA1</v>
      </c>
      <c r="K2095" t="s">
        <v>450</v>
      </c>
    </row>
    <row r="2096" spans="1:11">
      <c r="A2096" s="32">
        <v>358</v>
      </c>
      <c r="B2096" s="33">
        <v>4499</v>
      </c>
      <c r="C2096" s="3">
        <v>100000</v>
      </c>
      <c r="D2096" s="3"/>
      <c r="E2096" s="7">
        <f t="shared" si="69"/>
        <v>100000</v>
      </c>
      <c r="F2096" s="5">
        <v>45888</v>
      </c>
      <c r="G2096" s="4">
        <v>20250815</v>
      </c>
      <c r="H2096" s="38" t="str">
        <f>VLOOKUP(B2096,CAJEROS!B:D,3,0)</f>
        <v>Dispensador</v>
      </c>
      <c r="I2096" s="34"/>
      <c r="J2096" s="38" t="str">
        <f>VLOOKUP(B2096,CAJEROS!B:E,4,0)</f>
        <v>SUC_SOGAMO1</v>
      </c>
      <c r="K2096" t="s">
        <v>450</v>
      </c>
    </row>
    <row r="2097" spans="1:11">
      <c r="A2097" s="32">
        <v>453</v>
      </c>
      <c r="B2097" s="33">
        <v>8012</v>
      </c>
      <c r="C2097" s="3">
        <v>40000</v>
      </c>
      <c r="D2097" s="3"/>
      <c r="E2097" s="7">
        <f t="shared" si="69"/>
        <v>40000</v>
      </c>
      <c r="F2097" s="5">
        <v>45888</v>
      </c>
      <c r="G2097" s="4">
        <v>20250815</v>
      </c>
      <c r="H2097" s="38" t="str">
        <f>VLOOKUP(B2097,CAJEROS!B:D,3,0)</f>
        <v>Dispensador</v>
      </c>
      <c r="I2097" s="34"/>
      <c r="J2097" s="38" t="str">
        <f>VLOOKUP(B2097,CAJEROS!B:E,4,0)</f>
        <v>SUCPITALTO1</v>
      </c>
      <c r="K2097" t="s">
        <v>450</v>
      </c>
    </row>
    <row r="2098" spans="1:11">
      <c r="A2098" s="32">
        <v>453</v>
      </c>
      <c r="B2098" s="33">
        <v>8013</v>
      </c>
      <c r="C2098" s="3">
        <v>1400000</v>
      </c>
      <c r="D2098" s="3"/>
      <c r="E2098" s="7">
        <f t="shared" si="69"/>
        <v>1400000</v>
      </c>
      <c r="F2098" s="5">
        <v>45888</v>
      </c>
      <c r="G2098" s="4">
        <v>20250815</v>
      </c>
      <c r="H2098" s="38" t="str">
        <f>VLOOKUP(B2098,CAJEROS!B:D,3,0)</f>
        <v>Dispensador</v>
      </c>
      <c r="I2098" s="34"/>
      <c r="J2098" s="38" t="str">
        <f>VLOOKUP(B2098,CAJEROS!B:E,4,0)</f>
        <v>SUCPITALTO2</v>
      </c>
      <c r="K2098" t="s">
        <v>450</v>
      </c>
    </row>
    <row r="2099" spans="1:11">
      <c r="A2099" s="32">
        <v>536</v>
      </c>
      <c r="B2099" s="33">
        <v>6915</v>
      </c>
      <c r="C2099" s="3">
        <v>190000</v>
      </c>
      <c r="D2099" s="3"/>
      <c r="E2099" s="7">
        <f t="shared" si="69"/>
        <v>190000</v>
      </c>
      <c r="F2099" s="5">
        <v>45888</v>
      </c>
      <c r="G2099" s="4">
        <v>20250815</v>
      </c>
      <c r="H2099" s="38" t="str">
        <f>VLOOKUP(B2099,CAJEROS!B:D,3,0)</f>
        <v>Dispensador</v>
      </c>
      <c r="I2099" s="34"/>
      <c r="J2099" s="38" t="str">
        <f>VLOOKUP(B2099,CAJEROS!B:E,4,0)</f>
        <v>SUC_QUIBDO7</v>
      </c>
      <c r="K2099" t="s">
        <v>450</v>
      </c>
    </row>
    <row r="2100" spans="1:11">
      <c r="A2100" s="32">
        <v>556</v>
      </c>
      <c r="B2100" s="33">
        <v>8336</v>
      </c>
      <c r="C2100" s="3">
        <v>30000</v>
      </c>
      <c r="D2100" s="3"/>
      <c r="E2100" s="7">
        <f t="shared" si="69"/>
        <v>30000</v>
      </c>
      <c r="F2100" s="5">
        <v>45888</v>
      </c>
      <c r="G2100" s="4">
        <v>20250815</v>
      </c>
      <c r="H2100" s="38" t="str">
        <f>VLOOKUP(B2100,CAJEROS!B:D,3,0)</f>
        <v>Dispensador</v>
      </c>
      <c r="I2100" s="34"/>
      <c r="J2100" s="38" t="str">
        <f>VLOOKUP(B2100,CAJEROS!B:E,4,0)</f>
        <v>SUCCARVIBO3</v>
      </c>
      <c r="K2100" t="s">
        <v>450</v>
      </c>
    </row>
    <row r="2101" spans="1:11">
      <c r="A2101" s="32">
        <v>629</v>
      </c>
      <c r="B2101" s="33">
        <v>4572</v>
      </c>
      <c r="C2101" s="3">
        <v>1000000</v>
      </c>
      <c r="D2101" s="3"/>
      <c r="E2101" s="7">
        <f t="shared" si="69"/>
        <v>1000000</v>
      </c>
      <c r="F2101" s="5">
        <v>45888</v>
      </c>
      <c r="G2101" s="4">
        <v>20250815</v>
      </c>
      <c r="H2101" s="38" t="str">
        <f>VLOOKUP(B2101,CAJEROS!B:D,3,0)</f>
        <v>Dispensador</v>
      </c>
      <c r="I2101" s="34"/>
      <c r="J2101" s="38" t="str">
        <f>VLOOKUP(B2101,CAJEROS!B:E,4,0)</f>
        <v>SUC_YOPAL3</v>
      </c>
      <c r="K2101" t="s">
        <v>450</v>
      </c>
    </row>
    <row r="2102" spans="1:11">
      <c r="A2102" s="32">
        <v>795</v>
      </c>
      <c r="B2102" s="33">
        <v>1023</v>
      </c>
      <c r="C2102" s="3">
        <v>50000</v>
      </c>
      <c r="D2102" s="3"/>
      <c r="E2102" s="7">
        <f t="shared" si="69"/>
        <v>50000</v>
      </c>
      <c r="F2102" s="5">
        <v>45888</v>
      </c>
      <c r="G2102" s="4">
        <v>20250815</v>
      </c>
      <c r="H2102" s="38" t="str">
        <f>VLOOKUP(B2102,CAJEROS!B:D,3,0)</f>
        <v>Dispensador</v>
      </c>
      <c r="I2102" s="34"/>
      <c r="J2102" s="38" t="str">
        <f>VLOOKUP(B2102,CAJEROS!B:E,4,0)</f>
        <v>SUCANAVERA3</v>
      </c>
      <c r="K2102" t="s">
        <v>450</v>
      </c>
    </row>
    <row r="2103" spans="1:11">
      <c r="A2103" s="32">
        <v>8</v>
      </c>
      <c r="B2103" s="33">
        <v>5656</v>
      </c>
      <c r="C2103" s="3">
        <v>1400000</v>
      </c>
      <c r="D2103" s="3"/>
      <c r="E2103" s="7">
        <f t="shared" si="69"/>
        <v>1400000</v>
      </c>
      <c r="F2103" s="5">
        <v>45888</v>
      </c>
      <c r="G2103" s="4">
        <v>20250818</v>
      </c>
      <c r="H2103" s="38" t="str">
        <f>VLOOKUP(B2103,CAJEROS!B:D,3,0)</f>
        <v>Dispensador</v>
      </c>
      <c r="I2103" s="34" t="s">
        <v>9</v>
      </c>
      <c r="J2103" s="38" t="str">
        <f>VLOOKUP(B2103,CAJEROS!B:E,4,0)</f>
        <v>SUC_LAPLAY2</v>
      </c>
      <c r="K2103" t="s">
        <v>450</v>
      </c>
    </row>
    <row r="2104" spans="1:11">
      <c r="A2104" s="32">
        <v>85</v>
      </c>
      <c r="B2104" s="33">
        <v>8972</v>
      </c>
      <c r="C2104" s="3">
        <v>200000</v>
      </c>
      <c r="D2104" s="3"/>
      <c r="E2104" s="7">
        <f t="shared" si="69"/>
        <v>200000</v>
      </c>
      <c r="F2104" s="5">
        <v>45888</v>
      </c>
      <c r="G2104" s="4">
        <v>20250818</v>
      </c>
      <c r="H2104" s="38" t="str">
        <f>VLOOKUP(B2104,CAJEROS!B:D,3,0)</f>
        <v>Dispensador</v>
      </c>
      <c r="I2104" s="34" t="s">
        <v>9</v>
      </c>
      <c r="J2104" s="38" t="str">
        <f>VLOOKUP(B2104,CAJEROS!B:E,4,0)</f>
        <v>SUCSERZUL_3</v>
      </c>
      <c r="K2104" t="s">
        <v>450</v>
      </c>
    </row>
    <row r="2105" spans="1:11">
      <c r="A2105" s="32">
        <v>91</v>
      </c>
      <c r="B2105" s="33">
        <v>8165</v>
      </c>
      <c r="C2105" s="3">
        <v>100000</v>
      </c>
      <c r="D2105" s="3"/>
      <c r="E2105" s="7">
        <f t="shared" si="69"/>
        <v>100000</v>
      </c>
      <c r="F2105" s="5">
        <v>45888</v>
      </c>
      <c r="G2105" s="4">
        <v>20250818</v>
      </c>
      <c r="H2105" s="38" t="str">
        <f>VLOOKUP(B2105,CAJEROS!B:D,3,0)</f>
        <v>Dispensador</v>
      </c>
      <c r="I2105" s="34" t="s">
        <v>9</v>
      </c>
      <c r="J2105" s="38" t="str">
        <f>VLOOKUP(B2105,CAJEROS!B:E,4,0)</f>
        <v>SUC_MONTER7</v>
      </c>
      <c r="K2105" t="s">
        <v>450</v>
      </c>
    </row>
    <row r="2106" spans="1:11">
      <c r="A2106" s="32">
        <v>162</v>
      </c>
      <c r="B2106" s="33">
        <v>5384</v>
      </c>
      <c r="C2106" s="3">
        <v>260000</v>
      </c>
      <c r="D2106" s="3"/>
      <c r="E2106" s="7">
        <f t="shared" si="69"/>
        <v>260000</v>
      </c>
      <c r="F2106" s="5">
        <v>45888</v>
      </c>
      <c r="G2106" s="4">
        <v>20250818</v>
      </c>
      <c r="H2106" s="38" t="str">
        <f>VLOOKUP(B2106,CAJEROS!B:D,3,0)</f>
        <v>Dispensador</v>
      </c>
      <c r="I2106" s="34" t="s">
        <v>9</v>
      </c>
      <c r="J2106" s="38" t="str">
        <f>VLOOKUP(B2106,CAJEROS!B:E,4,0)</f>
        <v>SAN_PEDRO2</v>
      </c>
      <c r="K2106" t="s">
        <v>450</v>
      </c>
    </row>
    <row r="2107" spans="1:11">
      <c r="A2107" s="32">
        <v>186</v>
      </c>
      <c r="B2107" s="33">
        <v>6513</v>
      </c>
      <c r="C2107" s="3">
        <v>250000</v>
      </c>
      <c r="D2107" s="3"/>
      <c r="E2107" s="7">
        <f t="shared" si="69"/>
        <v>250000</v>
      </c>
      <c r="F2107" s="5">
        <v>45888</v>
      </c>
      <c r="G2107" s="4">
        <v>20250818</v>
      </c>
      <c r="H2107" s="38" t="str">
        <f>VLOOKUP(B2107,CAJEROS!B:D,3,0)</f>
        <v>Dispensador</v>
      </c>
      <c r="I2107" s="34" t="s">
        <v>9</v>
      </c>
      <c r="J2107" s="38" t="str">
        <f>VLOOKUP(B2107,CAJEROS!B:E,4,0)</f>
        <v>SUC_GALERI4</v>
      </c>
      <c r="K2107" t="s">
        <v>450</v>
      </c>
    </row>
    <row r="2108" spans="1:11">
      <c r="A2108" s="32">
        <v>201</v>
      </c>
      <c r="B2108" s="33">
        <v>6919</v>
      </c>
      <c r="C2108" s="3">
        <v>290000</v>
      </c>
      <c r="D2108" s="3"/>
      <c r="E2108" s="7">
        <f t="shared" si="69"/>
        <v>290000</v>
      </c>
      <c r="F2108" s="5">
        <v>45888</v>
      </c>
      <c r="G2108" s="4">
        <v>20250818</v>
      </c>
      <c r="H2108" s="38" t="str">
        <f>VLOOKUP(B2108,CAJEROS!B:D,3,0)</f>
        <v>Dispensador</v>
      </c>
      <c r="I2108" s="34" t="s">
        <v>9</v>
      </c>
      <c r="J2108" s="38" t="str">
        <f>VLOOKUP(B2108,CAJEROS!B:E,4,0)</f>
        <v>SUC_USASTB4</v>
      </c>
      <c r="K2108" t="s">
        <v>450</v>
      </c>
    </row>
    <row r="2109" spans="1:11">
      <c r="A2109" s="32">
        <v>253</v>
      </c>
      <c r="B2109" s="33">
        <v>5892</v>
      </c>
      <c r="C2109" s="3">
        <v>40000</v>
      </c>
      <c r="D2109" s="3"/>
      <c r="E2109" s="7">
        <f t="shared" si="69"/>
        <v>40000</v>
      </c>
      <c r="F2109" s="5">
        <v>45888</v>
      </c>
      <c r="G2109" s="4">
        <v>20250818</v>
      </c>
      <c r="H2109" s="38" t="str">
        <f>VLOOKUP(B2109,CAJEROS!B:D,3,0)</f>
        <v>Dispensador</v>
      </c>
      <c r="I2109" s="34" t="s">
        <v>9</v>
      </c>
      <c r="J2109" s="38" t="str">
        <f>VLOOKUP(B2109,CAJEROS!B:E,4,0)</f>
        <v>SUC_PNORTE2</v>
      </c>
      <c r="K2109" t="s">
        <v>450</v>
      </c>
    </row>
    <row r="2110" spans="1:11">
      <c r="A2110" s="32">
        <v>306</v>
      </c>
      <c r="B2110" s="33">
        <v>3062</v>
      </c>
      <c r="C2110" s="3">
        <v>1000000</v>
      </c>
      <c r="D2110" s="3"/>
      <c r="E2110" s="7">
        <f t="shared" si="69"/>
        <v>1000000</v>
      </c>
      <c r="F2110" s="5">
        <v>45888</v>
      </c>
      <c r="G2110" s="4">
        <v>20250818</v>
      </c>
      <c r="H2110" s="38" t="str">
        <f>VLOOKUP(B2110,CAJEROS!B:D,3,0)</f>
        <v>Dispensador</v>
      </c>
      <c r="I2110" s="34" t="s">
        <v>9</v>
      </c>
      <c r="J2110" s="38" t="str">
        <f>VLOOKUP(B2110,CAJEROS!B:E,4,0)</f>
        <v>BBERMEJA_2</v>
      </c>
      <c r="K2110" t="s">
        <v>450</v>
      </c>
    </row>
    <row r="2111" spans="1:11">
      <c r="A2111" s="32">
        <v>322</v>
      </c>
      <c r="B2111" s="33">
        <v>2443</v>
      </c>
      <c r="C2111" s="3">
        <v>1620000</v>
      </c>
      <c r="D2111" s="3">
        <v>1420000</v>
      </c>
      <c r="E2111" s="7">
        <f t="shared" si="69"/>
        <v>200000</v>
      </c>
      <c r="F2111" s="5">
        <v>45888</v>
      </c>
      <c r="G2111" s="4">
        <v>20250818</v>
      </c>
      <c r="H2111" s="38" t="str">
        <f>VLOOKUP(B2111,CAJEROS!B:D,3,0)</f>
        <v>Dispensador</v>
      </c>
      <c r="I2111" s="34" t="s">
        <v>9</v>
      </c>
      <c r="J2111" s="38" t="str">
        <f>VLOOKUP(B2111,CAJEROS!B:E,4,0)</f>
        <v>SUCSANGIL3</v>
      </c>
      <c r="K2111" t="s">
        <v>450</v>
      </c>
    </row>
    <row r="2112" spans="1:11">
      <c r="A2112" s="32">
        <v>347</v>
      </c>
      <c r="B2112" s="33">
        <v>4782</v>
      </c>
      <c r="C2112" s="3">
        <v>500000</v>
      </c>
      <c r="D2112" s="3"/>
      <c r="E2112" s="7">
        <f t="shared" si="69"/>
        <v>500000</v>
      </c>
      <c r="F2112" s="5">
        <v>45888</v>
      </c>
      <c r="G2112" s="4">
        <v>20250818</v>
      </c>
      <c r="H2112" s="38" t="str">
        <f>VLOOKUP(B2112,CAJEROS!B:D,3,0)</f>
        <v>Dispensador</v>
      </c>
      <c r="I2112" s="34" t="s">
        <v>9</v>
      </c>
      <c r="J2112" s="38" t="str">
        <f>VLOOKUP(B2112,CAJEROS!B:E,4,0)</f>
        <v>SUC_MANRIQ1</v>
      </c>
      <c r="K2112" t="s">
        <v>450</v>
      </c>
    </row>
    <row r="2113" spans="1:11">
      <c r="A2113" s="32">
        <v>406</v>
      </c>
      <c r="B2113" s="33">
        <v>4578</v>
      </c>
      <c r="C2113" s="3">
        <v>500000</v>
      </c>
      <c r="D2113" s="3"/>
      <c r="E2113" s="7">
        <f t="shared" si="69"/>
        <v>500000</v>
      </c>
      <c r="F2113" s="5">
        <v>45888</v>
      </c>
      <c r="G2113" s="4">
        <v>20250818</v>
      </c>
      <c r="H2113" s="38" t="str">
        <f>VLOOKUP(B2113,CAJEROS!B:D,3,0)</f>
        <v>Dispensador</v>
      </c>
      <c r="I2113" s="34" t="s">
        <v>9</v>
      </c>
      <c r="J2113" s="38" t="str">
        <f>VLOOKUP(B2113,CAJEROS!B:E,4,0)</f>
        <v>SUC_EMPRES1</v>
      </c>
      <c r="K2113" t="s">
        <v>450</v>
      </c>
    </row>
    <row r="2114" spans="1:11">
      <c r="A2114" s="32">
        <v>503</v>
      </c>
      <c r="B2114" s="33">
        <v>5031</v>
      </c>
      <c r="C2114" s="3">
        <v>250000</v>
      </c>
      <c r="D2114" s="3"/>
      <c r="E2114" s="7">
        <f t="shared" si="69"/>
        <v>250000</v>
      </c>
      <c r="F2114" s="5">
        <v>45888</v>
      </c>
      <c r="G2114" s="4">
        <v>20250818</v>
      </c>
      <c r="H2114" s="38" t="str">
        <f>VLOOKUP(B2114,CAJEROS!B:D,3,0)</f>
        <v>Dispensador</v>
      </c>
      <c r="I2114" s="34" t="s">
        <v>9</v>
      </c>
      <c r="J2114" s="38" t="str">
        <f>VLOOKUP(B2114,CAJEROS!B:E,4,0)</f>
        <v>YARUMAL1</v>
      </c>
      <c r="K2114" t="s">
        <v>450</v>
      </c>
    </row>
    <row r="2115" spans="1:11">
      <c r="A2115" s="32">
        <v>584</v>
      </c>
      <c r="B2115" s="33">
        <v>6874</v>
      </c>
      <c r="C2115" s="3">
        <v>900000</v>
      </c>
      <c r="D2115" s="3">
        <v>510000</v>
      </c>
      <c r="E2115" s="7">
        <f t="shared" si="69"/>
        <v>390000</v>
      </c>
      <c r="F2115" s="5">
        <v>45888</v>
      </c>
      <c r="G2115" s="4">
        <v>20250818</v>
      </c>
      <c r="H2115" s="38" t="str">
        <f>VLOOKUP(B2115,CAJEROS!B:D,3,0)</f>
        <v>Dispensador</v>
      </c>
      <c r="I2115" s="34" t="s">
        <v>9</v>
      </c>
      <c r="J2115" s="38" t="str">
        <f>VLOOKUP(B2115,CAJEROS!B:E,4,0)</f>
        <v>HALLCHIGOR2</v>
      </c>
      <c r="K2115" t="s">
        <v>450</v>
      </c>
    </row>
    <row r="2116" spans="1:11">
      <c r="A2116" s="32">
        <v>658</v>
      </c>
      <c r="B2116" s="33">
        <v>6228</v>
      </c>
      <c r="C2116" s="3">
        <v>80000</v>
      </c>
      <c r="D2116" s="3"/>
      <c r="E2116" s="7">
        <f t="shared" si="69"/>
        <v>80000</v>
      </c>
      <c r="F2116" s="5">
        <v>45888</v>
      </c>
      <c r="G2116" s="4">
        <v>20250818</v>
      </c>
      <c r="H2116" s="38" t="str">
        <f>VLOOKUP(B2116,CAJEROS!B:D,3,0)</f>
        <v>Dispensador</v>
      </c>
      <c r="I2116" s="34" t="s">
        <v>9</v>
      </c>
      <c r="J2116" s="38" t="str">
        <f>VLOOKUP(B2116,CAJEROS!B:E,4,0)</f>
        <v>SUCBELLASU1</v>
      </c>
      <c r="K2116" t="s">
        <v>450</v>
      </c>
    </row>
    <row r="2117" spans="1:11">
      <c r="A2117" s="32">
        <v>677</v>
      </c>
      <c r="B2117" s="33">
        <v>5835</v>
      </c>
      <c r="C2117" s="3">
        <v>60000</v>
      </c>
      <c r="D2117" s="3"/>
      <c r="E2117" s="7">
        <f t="shared" si="69"/>
        <v>60000</v>
      </c>
      <c r="F2117" s="5">
        <v>45888</v>
      </c>
      <c r="G2117" s="4">
        <v>20250818</v>
      </c>
      <c r="H2117" s="38" t="str">
        <f>VLOOKUP(B2117,CAJEROS!B:D,3,0)</f>
        <v>Dispensador</v>
      </c>
      <c r="I2117" s="34" t="s">
        <v>9</v>
      </c>
      <c r="J2117" s="38" t="str">
        <f>VLOOKUP(B2117,CAJEROS!B:E,4,0)</f>
        <v>SUCPLZMERCA</v>
      </c>
      <c r="K2117" t="s">
        <v>450</v>
      </c>
    </row>
    <row r="2118" spans="1:11">
      <c r="A2118" s="32">
        <v>678</v>
      </c>
      <c r="B2118" s="33">
        <v>6016</v>
      </c>
      <c r="C2118" s="3">
        <v>120000</v>
      </c>
      <c r="D2118" s="3"/>
      <c r="E2118" s="7">
        <f t="shared" si="69"/>
        <v>120000</v>
      </c>
      <c r="F2118" s="5">
        <v>45888</v>
      </c>
      <c r="G2118" s="4">
        <v>20250818</v>
      </c>
      <c r="H2118" s="38" t="str">
        <f>VLOOKUP(B2118,CAJEROS!B:D,3,0)</f>
        <v>Dispensador</v>
      </c>
      <c r="I2118" s="34" t="s">
        <v>9</v>
      </c>
      <c r="J2118" s="38" t="str">
        <f>VLOOKUP(B2118,CAJEROS!B:E,4,0)</f>
        <v>PASEOCAST_7</v>
      </c>
      <c r="K2118" t="s">
        <v>450</v>
      </c>
    </row>
    <row r="2119" spans="1:11">
      <c r="A2119" s="32">
        <v>705</v>
      </c>
      <c r="B2119" s="33">
        <v>4151</v>
      </c>
      <c r="C2119" s="3">
        <v>270000</v>
      </c>
      <c r="D2119" s="3">
        <f>70000+190000</f>
        <v>260000</v>
      </c>
      <c r="E2119" s="7">
        <f t="shared" si="69"/>
        <v>10000</v>
      </c>
      <c r="F2119" s="5">
        <v>45888</v>
      </c>
      <c r="G2119" s="4">
        <v>20250818</v>
      </c>
      <c r="H2119" s="38" t="str">
        <f>VLOOKUP(B2119,CAJEROS!B:D,3,0)</f>
        <v>Dispensador</v>
      </c>
      <c r="I2119" s="34" t="s">
        <v>9</v>
      </c>
      <c r="J2119" s="38" t="str">
        <f>VLOOKUP(B2119,CAJEROS!B:E,4,0)</f>
        <v>SUC_BAGRE1</v>
      </c>
      <c r="K2119" t="s">
        <v>450</v>
      </c>
    </row>
    <row r="2120" spans="1:11">
      <c r="A2120" s="32">
        <v>709</v>
      </c>
      <c r="B2120" s="33">
        <v>3426</v>
      </c>
      <c r="C2120" s="3">
        <v>700000</v>
      </c>
      <c r="D2120" s="3">
        <v>680000</v>
      </c>
      <c r="E2120" s="7">
        <f t="shared" si="69"/>
        <v>20000</v>
      </c>
      <c r="F2120" s="5">
        <v>45888</v>
      </c>
      <c r="G2120" s="4">
        <v>20250818</v>
      </c>
      <c r="H2120" s="38" t="str">
        <f>VLOOKUP(B2120,CAJEROS!B:D,3,0)</f>
        <v>Dispensador</v>
      </c>
      <c r="I2120" s="34" t="s">
        <v>9</v>
      </c>
      <c r="J2120" s="38" t="str">
        <f>VLOOKUP(B2120,CAJEROS!B:E,4,0)</f>
        <v>ABREGO</v>
      </c>
      <c r="K2120" t="s">
        <v>450</v>
      </c>
    </row>
    <row r="2121" spans="1:11">
      <c r="A2121" s="32">
        <v>745</v>
      </c>
      <c r="B2121" s="33">
        <v>1471</v>
      </c>
      <c r="C2121" s="3">
        <v>700000</v>
      </c>
      <c r="D2121" s="3"/>
      <c r="E2121" s="7">
        <f t="shared" si="69"/>
        <v>700000</v>
      </c>
      <c r="F2121" s="5">
        <v>45888</v>
      </c>
      <c r="G2121" s="4">
        <v>20250818</v>
      </c>
      <c r="H2121" s="38" t="str">
        <f>VLOOKUP(B2121,CAJEROS!B:D,3,0)</f>
        <v>Dispensador</v>
      </c>
      <c r="I2121" s="34" t="s">
        <v>9</v>
      </c>
      <c r="J2121" s="38" t="str">
        <f>VLOOKUP(B2121,CAJEROS!B:E,4,0)</f>
        <v>SUCMALPLAZ1</v>
      </c>
      <c r="K2121" t="s">
        <v>450</v>
      </c>
    </row>
    <row r="2122" spans="1:11">
      <c r="A2122" s="32">
        <v>848</v>
      </c>
      <c r="B2122" s="33">
        <v>4740</v>
      </c>
      <c r="C2122" s="3">
        <v>680000</v>
      </c>
      <c r="D2122" s="3"/>
      <c r="E2122" s="7">
        <f t="shared" si="69"/>
        <v>680000</v>
      </c>
      <c r="F2122" s="5">
        <v>45888</v>
      </c>
      <c r="G2122" s="4">
        <v>20250818</v>
      </c>
      <c r="H2122" s="38" t="str">
        <f>VLOOKUP(B2122,CAJEROS!B:D,3,0)</f>
        <v>Dispensador</v>
      </c>
      <c r="I2122" s="34" t="s">
        <v>9</v>
      </c>
      <c r="J2122" s="38" t="str">
        <f>VLOOKUP(B2122,CAJEROS!B:E,4,0)</f>
        <v>PQECABAL_3</v>
      </c>
      <c r="K2122" t="s">
        <v>450</v>
      </c>
    </row>
    <row r="2123" spans="1:11">
      <c r="A2123" s="32">
        <v>864</v>
      </c>
      <c r="B2123" s="33">
        <v>5795</v>
      </c>
      <c r="C2123" s="3">
        <v>310000</v>
      </c>
      <c r="D2123" s="3">
        <v>220000</v>
      </c>
      <c r="E2123" s="7">
        <f t="shared" si="69"/>
        <v>90000</v>
      </c>
      <c r="F2123" s="5">
        <v>45888</v>
      </c>
      <c r="G2123" s="4">
        <v>20250818</v>
      </c>
      <c r="H2123" s="38" t="str">
        <f>VLOOKUP(B2123,CAJEROS!B:D,3,0)</f>
        <v>Dispensador</v>
      </c>
      <c r="I2123" s="34" t="s">
        <v>9</v>
      </c>
      <c r="J2123" s="38" t="str">
        <f>VLOOKUP(B2123,CAJEROS!B:E,4,0)</f>
        <v>SUC_PRADER1</v>
      </c>
      <c r="K2123" t="s">
        <v>450</v>
      </c>
    </row>
    <row r="2124" spans="1:11">
      <c r="A2124" s="32">
        <v>943</v>
      </c>
      <c r="B2124" s="33">
        <v>7348</v>
      </c>
      <c r="C2124" s="3">
        <v>50000</v>
      </c>
      <c r="D2124" s="3">
        <v>30000</v>
      </c>
      <c r="E2124" s="7">
        <f t="shared" si="69"/>
        <v>20000</v>
      </c>
      <c r="F2124" s="5">
        <v>45888</v>
      </c>
      <c r="G2124" s="4">
        <v>20250818</v>
      </c>
      <c r="H2124" s="38" t="str">
        <f>VLOOKUP(B2124,CAJEROS!B:D,3,0)</f>
        <v>Dispensador</v>
      </c>
      <c r="I2124" s="34" t="s">
        <v>9</v>
      </c>
      <c r="J2124" s="38" t="str">
        <f>VLOOKUP(B2124,CAJEROS!B:E,4,0)</f>
        <v>LETICIA_3</v>
      </c>
      <c r="K2124" t="s">
        <v>450</v>
      </c>
    </row>
    <row r="2125" spans="1:11">
      <c r="A2125" s="32">
        <v>78</v>
      </c>
      <c r="B2125" s="33">
        <v>8590</v>
      </c>
      <c r="C2125" s="3">
        <v>40000</v>
      </c>
      <c r="D2125" s="3"/>
      <c r="E2125" s="7">
        <f t="shared" si="69"/>
        <v>40000</v>
      </c>
      <c r="F2125" s="5">
        <v>45888</v>
      </c>
      <c r="G2125" s="4">
        <v>20250817</v>
      </c>
      <c r="H2125" s="38" t="str">
        <f>VLOOKUP(B2125,CAJEROS!B:D,3,0)</f>
        <v>Dispensador</v>
      </c>
      <c r="I2125" s="34" t="s">
        <v>9</v>
      </c>
      <c r="J2125" s="38" t="str">
        <f>VLOOKUP(B2125,CAJEROS!B:E,4,0)</f>
        <v>HALLCACIQ1</v>
      </c>
      <c r="K2125" t="s">
        <v>450</v>
      </c>
    </row>
    <row r="2126" spans="1:11">
      <c r="A2126" s="32">
        <v>466</v>
      </c>
      <c r="B2126" s="33">
        <v>6596</v>
      </c>
      <c r="C2126" s="3">
        <v>360000</v>
      </c>
      <c r="D2126" s="3">
        <v>60000</v>
      </c>
      <c r="E2126" s="7">
        <f t="shared" si="69"/>
        <v>300000</v>
      </c>
      <c r="F2126" s="5">
        <v>45888</v>
      </c>
      <c r="G2126" s="4">
        <v>20250817</v>
      </c>
      <c r="H2126" s="38" t="str">
        <f>VLOOKUP(B2126,CAJEROS!B:D,3,0)</f>
        <v>Dispensador</v>
      </c>
      <c r="I2126" s="34" t="s">
        <v>9</v>
      </c>
      <c r="J2126" s="38" t="str">
        <f>VLOOKUP(B2126,CAJEROS!B:E,4,0)</f>
        <v>SUC_FLOREN1</v>
      </c>
      <c r="K2126" t="s">
        <v>450</v>
      </c>
    </row>
    <row r="2127" spans="1:11">
      <c r="A2127" s="32">
        <v>601</v>
      </c>
      <c r="B2127" s="33">
        <v>6420</v>
      </c>
      <c r="C2127" s="3">
        <v>700000</v>
      </c>
      <c r="D2127" s="3"/>
      <c r="E2127" s="7">
        <f t="shared" si="69"/>
        <v>700000</v>
      </c>
      <c r="F2127" s="5">
        <v>45888</v>
      </c>
      <c r="G2127" s="4">
        <v>20250816</v>
      </c>
      <c r="H2127" s="38" t="str">
        <f>VLOOKUP(B2127,CAJEROS!B:D,3,0)</f>
        <v>Dispensador</v>
      </c>
      <c r="I2127" s="34" t="s">
        <v>9</v>
      </c>
      <c r="J2127" s="38" t="str">
        <f>VLOOKUP(B2127,CAJEROS!B:E,4,0)</f>
        <v>SUC_PQCOL2</v>
      </c>
      <c r="K2127" t="s">
        <v>450</v>
      </c>
    </row>
    <row r="2128" spans="1:11">
      <c r="A2128" s="32">
        <v>795</v>
      </c>
      <c r="B2128" s="33">
        <v>1028</v>
      </c>
      <c r="C2128" s="3">
        <v>1932300</v>
      </c>
      <c r="D2128" s="3">
        <v>400000</v>
      </c>
      <c r="E2128" s="7">
        <f t="shared" si="69"/>
        <v>1532300</v>
      </c>
      <c r="F2128" s="5">
        <v>45888</v>
      </c>
      <c r="G2128" s="4">
        <v>20250815</v>
      </c>
      <c r="H2128" s="38" t="str">
        <f>VLOOKUP(B2128,CAJEROS!B:D,3,0)</f>
        <v>Multifuncional</v>
      </c>
      <c r="I2128" s="34"/>
      <c r="J2128" s="38" t="str">
        <f>VLOOKUP(B2128,CAJEROS!B:E,4,0)</f>
        <v>MFSUCANVER2</v>
      </c>
      <c r="K2128" t="s">
        <v>450</v>
      </c>
    </row>
    <row r="2129" spans="1:11">
      <c r="A2129" s="32">
        <v>829</v>
      </c>
      <c r="B2129" s="33">
        <v>5137</v>
      </c>
      <c r="C2129" s="3">
        <v>8800000</v>
      </c>
      <c r="D2129" s="3">
        <v>7150000</v>
      </c>
      <c r="E2129" s="7">
        <f t="shared" si="69"/>
        <v>1650000</v>
      </c>
      <c r="F2129" s="5">
        <v>45888</v>
      </c>
      <c r="G2129" s="4">
        <v>20250815</v>
      </c>
      <c r="H2129" s="38" t="str">
        <f>VLOOKUP(B2129,CAJEROS!B:D,3,0)</f>
        <v>Multifuncional</v>
      </c>
      <c r="I2129" s="34"/>
      <c r="J2129" s="38" t="str">
        <f>VLOOKUP(B2129,CAJEROS!B:E,4,0)</f>
        <v>MF_UNICALI1</v>
      </c>
      <c r="K2129" t="s">
        <v>450</v>
      </c>
    </row>
    <row r="2130" spans="1:11">
      <c r="A2130" s="32">
        <v>77</v>
      </c>
      <c r="B2130" s="33">
        <v>5204</v>
      </c>
      <c r="C2130" s="3">
        <v>350000</v>
      </c>
      <c r="D2130" s="3"/>
      <c r="E2130" s="7">
        <f t="shared" ref="E2130:E2193" si="70">+C2130-D2130</f>
        <v>350000</v>
      </c>
      <c r="F2130" s="5">
        <v>45888</v>
      </c>
      <c r="G2130" s="4">
        <v>20250815</v>
      </c>
      <c r="H2130" s="38" t="str">
        <f>VLOOKUP(B2130,CAJEROS!B:D,3,0)</f>
        <v>Multifuncional</v>
      </c>
      <c r="I2130" s="34"/>
      <c r="J2130" s="38" t="str">
        <f>VLOOKUP(B2130,CAJEROS!B:E,4,0)</f>
        <v>MF_TEQENDMA</v>
      </c>
      <c r="K2130" t="s">
        <v>450</v>
      </c>
    </row>
    <row r="2131" spans="1:11">
      <c r="A2131" s="32">
        <v>793</v>
      </c>
      <c r="B2131" s="33">
        <v>5216</v>
      </c>
      <c r="C2131" s="3">
        <v>46600</v>
      </c>
      <c r="D2131" s="3"/>
      <c r="E2131" s="7">
        <f t="shared" si="70"/>
        <v>46600</v>
      </c>
      <c r="F2131" s="5">
        <v>45888</v>
      </c>
      <c r="G2131" s="4">
        <v>20250815</v>
      </c>
      <c r="H2131" s="38" t="str">
        <f>VLOOKUP(B2131,CAJEROS!B:D,3,0)</f>
        <v>Multifuncional</v>
      </c>
      <c r="I2131" s="34"/>
      <c r="J2131" s="38" t="str">
        <f>VLOOKUP(B2131,CAJEROS!B:E,4,0)</f>
        <v>MF_PROFENAL</v>
      </c>
      <c r="K2131" t="s">
        <v>450</v>
      </c>
    </row>
    <row r="2132" spans="1:11">
      <c r="A2132" s="32">
        <v>536</v>
      </c>
      <c r="B2132" s="33">
        <v>6927</v>
      </c>
      <c r="C2132" s="3">
        <v>19980000</v>
      </c>
      <c r="D2132" s="3">
        <v>12426000</v>
      </c>
      <c r="E2132" s="7">
        <f t="shared" si="70"/>
        <v>7554000</v>
      </c>
      <c r="F2132" s="5">
        <v>45888</v>
      </c>
      <c r="G2132" s="4">
        <v>20250815</v>
      </c>
      <c r="H2132" s="38" t="str">
        <f>VLOOKUP(B2132,CAJEROS!B:D,3,0)</f>
        <v>Multifuncional</v>
      </c>
      <c r="I2132" s="34"/>
      <c r="J2132" s="38" t="str">
        <f>VLOOKUP(B2132,CAJEROS!B:E,4,0)</f>
        <v>MF_QUIBDO</v>
      </c>
      <c r="K2132" t="s">
        <v>450</v>
      </c>
    </row>
    <row r="2133" spans="1:11">
      <c r="A2133" s="32">
        <v>609</v>
      </c>
      <c r="B2133" s="33">
        <v>7888</v>
      </c>
      <c r="C2133" s="3">
        <v>12141300</v>
      </c>
      <c r="D2133" s="3"/>
      <c r="E2133" s="7">
        <f t="shared" si="70"/>
        <v>12141300</v>
      </c>
      <c r="F2133" s="5">
        <v>45888</v>
      </c>
      <c r="G2133" s="4">
        <v>20250815</v>
      </c>
      <c r="H2133" s="38" t="str">
        <f>VLOOKUP(B2133,CAJEROS!B:D,3,0)</f>
        <v>Multifuncional</v>
      </c>
      <c r="I2133" s="34"/>
      <c r="J2133" s="38" t="str">
        <f>VLOOKUP(B2133,CAJEROS!B:E,4,0)</f>
        <v>MFSUCABAST2</v>
      </c>
      <c r="K2133" t="s">
        <v>450</v>
      </c>
    </row>
    <row r="2134" spans="1:11">
      <c r="A2134" s="32">
        <v>569</v>
      </c>
      <c r="B2134" s="33">
        <v>8129</v>
      </c>
      <c r="C2134" s="3">
        <v>1317000</v>
      </c>
      <c r="D2134" s="3">
        <v>55200</v>
      </c>
      <c r="E2134" s="7">
        <f t="shared" si="70"/>
        <v>1261800</v>
      </c>
      <c r="F2134" s="5">
        <v>45888</v>
      </c>
      <c r="G2134" s="4">
        <v>20250815</v>
      </c>
      <c r="H2134" s="38" t="str">
        <f>VLOOKUP(B2134,CAJEROS!B:D,3,0)</f>
        <v>Multifuncional</v>
      </c>
      <c r="I2134" s="34"/>
      <c r="J2134" s="38" t="str">
        <f>VLOOKUP(B2134,CAJEROS!B:E,4,0)</f>
        <v>MF_BUENMON2</v>
      </c>
      <c r="K2134" t="s">
        <v>450</v>
      </c>
    </row>
    <row r="2135" spans="1:11">
      <c r="A2135" s="32">
        <v>33</v>
      </c>
      <c r="B2135" s="33">
        <v>8861</v>
      </c>
      <c r="C2135" s="3">
        <v>1220000</v>
      </c>
      <c r="D2135" s="3"/>
      <c r="E2135" s="7">
        <f t="shared" si="70"/>
        <v>1220000</v>
      </c>
      <c r="F2135" s="5">
        <v>45888</v>
      </c>
      <c r="G2135" s="4">
        <v>20250815</v>
      </c>
      <c r="H2135" s="38" t="str">
        <f>VLOOKUP(B2135,CAJEROS!B:D,3,0)</f>
        <v>Multifuncional</v>
      </c>
      <c r="I2135" s="34"/>
      <c r="J2135" s="38" t="str">
        <f>VLOOKUP(B2135,CAJEROS!B:E,4,0)</f>
        <v>MF_SPOLCLU1</v>
      </c>
      <c r="K2135" t="s">
        <v>450</v>
      </c>
    </row>
    <row r="2136" spans="1:11">
      <c r="A2136" s="32">
        <v>536</v>
      </c>
      <c r="B2136" s="33">
        <v>8988</v>
      </c>
      <c r="C2136" s="3">
        <v>3250000</v>
      </c>
      <c r="D2136" s="3"/>
      <c r="E2136" s="7">
        <f t="shared" si="70"/>
        <v>3250000</v>
      </c>
      <c r="F2136" s="5">
        <v>45888</v>
      </c>
      <c r="G2136" s="4">
        <v>20250815</v>
      </c>
      <c r="H2136" s="38" t="str">
        <f>VLOOKUP(B2136,CAJEROS!B:D,3,0)</f>
        <v>Multifuncional</v>
      </c>
      <c r="I2136" s="34"/>
      <c r="J2136" s="38" t="str">
        <f>VLOOKUP(B2136,CAJEROS!B:E,4,0)</f>
        <v>MF_QUIBDO2</v>
      </c>
      <c r="K2136" t="s">
        <v>450</v>
      </c>
    </row>
    <row r="2137" spans="1:11">
      <c r="A2137" s="32">
        <v>229</v>
      </c>
      <c r="B2137" s="33">
        <v>9604</v>
      </c>
      <c r="C2137" s="3">
        <v>9600000</v>
      </c>
      <c r="D2137" s="3">
        <v>2040000</v>
      </c>
      <c r="E2137" s="7">
        <f t="shared" si="70"/>
        <v>7560000</v>
      </c>
      <c r="F2137" s="5">
        <v>45888</v>
      </c>
      <c r="G2137" s="4">
        <v>20250815</v>
      </c>
      <c r="H2137" s="38" t="str">
        <f>VLOOKUP(B2137,CAJEROS!B:D,3,0)</f>
        <v>Multifuncional</v>
      </c>
      <c r="I2137" s="34"/>
      <c r="J2137" s="38" t="str">
        <f>VLOOKUP(B2137,CAJEROS!B:E,4,0)</f>
        <v>MFSUCPASER1</v>
      </c>
      <c r="K2137" t="s">
        <v>450</v>
      </c>
    </row>
    <row r="2138" spans="1:11">
      <c r="A2138" s="32">
        <v>481</v>
      </c>
      <c r="B2138" s="33">
        <v>1010</v>
      </c>
      <c r="C2138" s="3">
        <v>2300000</v>
      </c>
      <c r="D2138" s="3">
        <f>550000+790000</f>
        <v>1340000</v>
      </c>
      <c r="E2138" s="7">
        <f t="shared" si="70"/>
        <v>960000</v>
      </c>
      <c r="F2138" s="5">
        <v>45888</v>
      </c>
      <c r="G2138" s="4">
        <v>20250818</v>
      </c>
      <c r="H2138" s="38" t="str">
        <f>VLOOKUP(B2138,CAJEROS!B:D,3,0)</f>
        <v>Multifuncional</v>
      </c>
      <c r="I2138" s="34" t="s">
        <v>9</v>
      </c>
      <c r="J2138" s="38" t="str">
        <f>VLOOKUP(B2138,CAJEROS!B:E,4,0)</f>
        <v>MF_SOLEDAD1</v>
      </c>
      <c r="K2138" t="s">
        <v>450</v>
      </c>
    </row>
    <row r="2139" spans="1:11">
      <c r="A2139" s="32">
        <v>795</v>
      </c>
      <c r="B2139" s="33">
        <v>1027</v>
      </c>
      <c r="C2139" s="3">
        <v>710300</v>
      </c>
      <c r="D2139" s="3"/>
      <c r="E2139" s="7">
        <f t="shared" si="70"/>
        <v>710300</v>
      </c>
      <c r="F2139" s="5">
        <v>45888</v>
      </c>
      <c r="G2139" s="4">
        <v>20250818</v>
      </c>
      <c r="H2139" s="38" t="str">
        <f>VLOOKUP(B2139,CAJEROS!B:D,3,0)</f>
        <v>Multifuncional</v>
      </c>
      <c r="I2139" s="34" t="s">
        <v>9</v>
      </c>
      <c r="J2139" s="38" t="str">
        <f>VLOOKUP(B2139,CAJEROS!B:E,4,0)</f>
        <v>MFSUCANVER1</v>
      </c>
      <c r="K2139" t="s">
        <v>450</v>
      </c>
    </row>
    <row r="2140" spans="1:11">
      <c r="A2140" s="32">
        <v>825</v>
      </c>
      <c r="B2140" s="33">
        <v>5023</v>
      </c>
      <c r="C2140" s="3">
        <v>496100</v>
      </c>
      <c r="D2140" s="3"/>
      <c r="E2140" s="7">
        <f t="shared" si="70"/>
        <v>496100</v>
      </c>
      <c r="F2140" s="5">
        <v>45888</v>
      </c>
      <c r="G2140" s="4">
        <v>20250818</v>
      </c>
      <c r="H2140" s="38" t="str">
        <f>VLOOKUP(B2140,CAJEROS!B:D,3,0)</f>
        <v>Multifuncional</v>
      </c>
      <c r="I2140" s="34" t="s">
        <v>9</v>
      </c>
      <c r="J2140" s="38" t="str">
        <f>VLOOKUP(B2140,CAJEROS!B:E,4,0)</f>
        <v>MF_ASTROCEN</v>
      </c>
      <c r="K2140" t="s">
        <v>450</v>
      </c>
    </row>
    <row r="2141" spans="1:11">
      <c r="A2141" s="32">
        <v>419</v>
      </c>
      <c r="B2141" s="33">
        <v>5077</v>
      </c>
      <c r="C2141" s="3">
        <v>1574000</v>
      </c>
      <c r="D2141" s="3">
        <v>2450</v>
      </c>
      <c r="E2141" s="7">
        <f t="shared" si="70"/>
        <v>1571550</v>
      </c>
      <c r="F2141" s="5">
        <v>45888</v>
      </c>
      <c r="G2141" s="4">
        <v>20250818</v>
      </c>
      <c r="H2141" s="38" t="str">
        <f>VLOOKUP(B2141,CAJEROS!B:D,3,0)</f>
        <v>Multifuncional</v>
      </c>
      <c r="I2141" s="34" t="s">
        <v>9</v>
      </c>
      <c r="J2141" s="38" t="str">
        <f>VLOOKUP(B2141,CAJEROS!B:E,4,0)</f>
        <v>MF_CPUNIBOG</v>
      </c>
      <c r="K2141" t="s">
        <v>450</v>
      </c>
    </row>
    <row r="2142" spans="1:11">
      <c r="A2142" s="32">
        <v>523</v>
      </c>
      <c r="B2142" s="33">
        <v>5082</v>
      </c>
      <c r="C2142" s="3">
        <v>2756050</v>
      </c>
      <c r="D2142" s="3">
        <f>2580000+150000</f>
        <v>2730000</v>
      </c>
      <c r="E2142" s="7">
        <f t="shared" si="70"/>
        <v>26050</v>
      </c>
      <c r="F2142" s="5">
        <v>45888</v>
      </c>
      <c r="G2142" s="4">
        <v>20250818</v>
      </c>
      <c r="H2142" s="38" t="str">
        <f>VLOOKUP(B2142,CAJEROS!B:D,3,0)</f>
        <v>Multifuncional</v>
      </c>
      <c r="I2142" s="34" t="s">
        <v>9</v>
      </c>
      <c r="J2142" s="38" t="str">
        <f>VLOOKUP(B2142,CAJEROS!B:E,4,0)</f>
        <v>MF_OVALLEDU</v>
      </c>
      <c r="K2142" t="s">
        <v>450</v>
      </c>
    </row>
    <row r="2143" spans="1:11">
      <c r="A2143" s="32">
        <v>318</v>
      </c>
      <c r="B2143" s="33">
        <v>5136</v>
      </c>
      <c r="C2143" s="3">
        <v>1168000</v>
      </c>
      <c r="D2143" s="3">
        <v>165500</v>
      </c>
      <c r="E2143" s="7">
        <f t="shared" si="70"/>
        <v>1002500</v>
      </c>
      <c r="F2143" s="5">
        <v>45888</v>
      </c>
      <c r="G2143" s="4">
        <v>20250818</v>
      </c>
      <c r="H2143" s="38" t="str">
        <f>VLOOKUP(B2143,CAJEROS!B:D,3,0)</f>
        <v>Multifuncional</v>
      </c>
      <c r="I2143" s="34" t="s">
        <v>9</v>
      </c>
      <c r="J2143" s="38" t="str">
        <f>VLOOKUP(B2143,CAJEROS!B:E,4,0)</f>
        <v>MF_SUCOCANA</v>
      </c>
      <c r="K2143" t="s">
        <v>450</v>
      </c>
    </row>
    <row r="2144" spans="1:11">
      <c r="A2144" s="32">
        <v>53</v>
      </c>
      <c r="B2144" s="33">
        <v>5141</v>
      </c>
      <c r="C2144" s="3">
        <v>1240000</v>
      </c>
      <c r="D2144" s="3"/>
      <c r="E2144" s="7">
        <f t="shared" si="70"/>
        <v>1240000</v>
      </c>
      <c r="F2144" s="5">
        <v>45888</v>
      </c>
      <c r="G2144" s="4">
        <v>20250818</v>
      </c>
      <c r="H2144" s="38" t="str">
        <f>VLOOKUP(B2144,CAJEROS!B:D,3,0)</f>
        <v>Multifuncional</v>
      </c>
      <c r="I2144" s="34" t="s">
        <v>9</v>
      </c>
      <c r="J2144" s="38" t="str">
        <f>VLOOKUP(B2144,CAJEROS!B:E,4,0)</f>
        <v>MF_CARRDECI</v>
      </c>
      <c r="K2144" t="s">
        <v>450</v>
      </c>
    </row>
    <row r="2145" spans="1:11">
      <c r="A2145" s="32">
        <v>91</v>
      </c>
      <c r="B2145" s="33">
        <v>5148</v>
      </c>
      <c r="C2145" s="3">
        <v>1530000</v>
      </c>
      <c r="D2145" s="3">
        <f>640000+130000+690000</f>
        <v>1460000</v>
      </c>
      <c r="E2145" s="7">
        <f t="shared" si="70"/>
        <v>70000</v>
      </c>
      <c r="F2145" s="5">
        <v>45888</v>
      </c>
      <c r="G2145" s="4">
        <v>20250818</v>
      </c>
      <c r="H2145" s="38" t="str">
        <f>VLOOKUP(B2145,CAJEROS!B:D,3,0)</f>
        <v>Multifuncional</v>
      </c>
      <c r="I2145" s="34" t="s">
        <v>9</v>
      </c>
      <c r="J2145" s="38" t="str">
        <f>VLOOKUP(B2145,CAJEROS!B:E,4,0)</f>
        <v>MF_MONTERIA</v>
      </c>
      <c r="K2145" t="s">
        <v>450</v>
      </c>
    </row>
    <row r="2146" spans="1:11">
      <c r="A2146" s="32">
        <v>859</v>
      </c>
      <c r="B2146" s="33">
        <v>5207</v>
      </c>
      <c r="C2146" s="3">
        <v>555000</v>
      </c>
      <c r="D2146" s="3"/>
      <c r="E2146" s="7">
        <f t="shared" si="70"/>
        <v>555000</v>
      </c>
      <c r="F2146" s="5">
        <v>45888</v>
      </c>
      <c r="G2146" s="4">
        <v>20250818</v>
      </c>
      <c r="H2146" s="38" t="e">
        <f>VLOOKUP(B2146,CAJEROS!B:D,3,0)</f>
        <v>#N/A</v>
      </c>
      <c r="I2146" s="34" t="s">
        <v>9</v>
      </c>
      <c r="J2146" s="38" t="e">
        <f>VLOOKUP(B2146,CAJEROS!B:E,4,0)</f>
        <v>#N/A</v>
      </c>
      <c r="K2146" t="s">
        <v>450</v>
      </c>
    </row>
    <row r="2147" spans="1:11">
      <c r="A2147" s="32">
        <v>941</v>
      </c>
      <c r="B2147" s="33">
        <v>5220</v>
      </c>
      <c r="C2147" s="3">
        <v>61000</v>
      </c>
      <c r="D2147" s="3"/>
      <c r="E2147" s="7">
        <f t="shared" si="70"/>
        <v>61000</v>
      </c>
      <c r="F2147" s="5">
        <v>45888</v>
      </c>
      <c r="G2147" s="4">
        <v>20250818</v>
      </c>
      <c r="H2147" s="38" t="str">
        <f>VLOOKUP(B2147,CAJEROS!B:D,3,0)</f>
        <v>Multifuncional</v>
      </c>
      <c r="I2147" s="34" t="s">
        <v>9</v>
      </c>
      <c r="J2147" s="38" t="str">
        <f>VLOOKUP(B2147,CAJEROS!B:E,4,0)</f>
        <v>MF_NEIVANVA</v>
      </c>
      <c r="K2147" t="s">
        <v>450</v>
      </c>
    </row>
    <row r="2148" spans="1:11">
      <c r="A2148" s="32">
        <v>78</v>
      </c>
      <c r="B2148" s="33">
        <v>6246</v>
      </c>
      <c r="C2148" s="3">
        <v>2870000</v>
      </c>
      <c r="D2148" s="3">
        <v>1830000</v>
      </c>
      <c r="E2148" s="7">
        <f t="shared" si="70"/>
        <v>1040000</v>
      </c>
      <c r="F2148" s="5">
        <v>45888</v>
      </c>
      <c r="G2148" s="4">
        <v>20250818</v>
      </c>
      <c r="H2148" s="38" t="str">
        <f>VLOOKUP(B2148,CAJEROS!B:D,3,0)</f>
        <v>Multifuncional</v>
      </c>
      <c r="I2148" s="34" t="s">
        <v>9</v>
      </c>
      <c r="J2148" s="38" t="str">
        <f>VLOOKUP(B2148,CAJEROS!B:E,4,0)</f>
        <v>MF_CACIQUE</v>
      </c>
      <c r="K2148" t="s">
        <v>450</v>
      </c>
    </row>
    <row r="2149" spans="1:11">
      <c r="A2149" s="32">
        <v>718</v>
      </c>
      <c r="B2149" s="33">
        <v>6248</v>
      </c>
      <c r="C2149" s="3">
        <v>2570000</v>
      </c>
      <c r="D2149" s="3">
        <v>2120000</v>
      </c>
      <c r="E2149" s="7">
        <f t="shared" si="70"/>
        <v>450000</v>
      </c>
      <c r="F2149" s="5">
        <v>45888</v>
      </c>
      <c r="G2149" s="4">
        <v>20250818</v>
      </c>
      <c r="H2149" s="38" t="str">
        <f>VLOOKUP(B2149,CAJEROS!B:D,3,0)</f>
        <v>Multifuncional</v>
      </c>
      <c r="I2149" s="34" t="s">
        <v>9</v>
      </c>
      <c r="J2149" s="38" t="str">
        <f>VLOOKUP(B2149,CAJEROS!B:E,4,0)</f>
        <v>MF_LAESTACI</v>
      </c>
      <c r="K2149" t="s">
        <v>450</v>
      </c>
    </row>
    <row r="2150" spans="1:11">
      <c r="A2150" s="32">
        <v>379</v>
      </c>
      <c r="B2150" s="33">
        <v>6465</v>
      </c>
      <c r="C2150" s="3">
        <v>680000</v>
      </c>
      <c r="D2150" s="3">
        <f>342500+79900</f>
        <v>422400</v>
      </c>
      <c r="E2150" s="7">
        <f t="shared" si="70"/>
        <v>257600</v>
      </c>
      <c r="F2150" s="5">
        <v>45888</v>
      </c>
      <c r="G2150" s="4">
        <v>20250818</v>
      </c>
      <c r="H2150" s="38" t="str">
        <f>VLOOKUP(B2150,CAJEROS!B:D,3,0)</f>
        <v>Multifuncional</v>
      </c>
      <c r="I2150" s="34" t="s">
        <v>9</v>
      </c>
      <c r="J2150" s="38" t="str">
        <f>VLOOKUP(B2150,CAJEROS!B:E,4,0)</f>
        <v>MF_SUCTESO1</v>
      </c>
      <c r="K2150" t="s">
        <v>450</v>
      </c>
    </row>
    <row r="2151" spans="1:11">
      <c r="A2151" s="32">
        <v>317</v>
      </c>
      <c r="B2151" s="33">
        <v>6613</v>
      </c>
      <c r="C2151" s="3">
        <v>1559000</v>
      </c>
      <c r="D2151" s="3">
        <f>760000+282000</f>
        <v>1042000</v>
      </c>
      <c r="E2151" s="7">
        <f t="shared" si="70"/>
        <v>517000</v>
      </c>
      <c r="F2151" s="5">
        <v>45888</v>
      </c>
      <c r="G2151" s="4">
        <v>20250818</v>
      </c>
      <c r="H2151" s="38" t="str">
        <f>VLOOKUP(B2151,CAJEROS!B:D,3,0)</f>
        <v>Multifuncional</v>
      </c>
      <c r="I2151" s="34" t="s">
        <v>9</v>
      </c>
      <c r="J2151" s="38" t="str">
        <f>VLOOKUP(B2151,CAJEROS!B:E,4,0)</f>
        <v>MF_ARAUCA</v>
      </c>
      <c r="K2151" t="s">
        <v>450</v>
      </c>
    </row>
    <row r="2152" spans="1:11">
      <c r="A2152" s="32">
        <v>741</v>
      </c>
      <c r="B2152" s="33">
        <v>6843</v>
      </c>
      <c r="C2152" s="3">
        <v>1310000</v>
      </c>
      <c r="D2152" s="3">
        <v>784000</v>
      </c>
      <c r="E2152" s="7">
        <f t="shared" si="70"/>
        <v>526000</v>
      </c>
      <c r="F2152" s="5">
        <v>45888</v>
      </c>
      <c r="G2152" s="4">
        <v>20250818</v>
      </c>
      <c r="H2152" s="38" t="str">
        <f>VLOOKUP(B2152,CAJEROS!B:D,3,0)</f>
        <v>Multifuncional</v>
      </c>
      <c r="I2152" s="34" t="s">
        <v>9</v>
      </c>
      <c r="J2152" s="38" t="str">
        <f>VLOOKUP(B2152,CAJEROS!B:E,4,0)</f>
        <v>MFSUC_IDEO1</v>
      </c>
      <c r="K2152" t="s">
        <v>450</v>
      </c>
    </row>
    <row r="2153" spans="1:11">
      <c r="A2153" s="32">
        <v>677</v>
      </c>
      <c r="B2153" s="33">
        <v>7124</v>
      </c>
      <c r="C2153" s="3">
        <v>2242550</v>
      </c>
      <c r="D2153" s="3">
        <f>215000+1954000</f>
        <v>2169000</v>
      </c>
      <c r="E2153" s="7">
        <f t="shared" si="70"/>
        <v>73550</v>
      </c>
      <c r="F2153" s="5">
        <v>45888</v>
      </c>
      <c r="G2153" s="4">
        <v>20250818</v>
      </c>
      <c r="H2153" s="38" t="str">
        <f>VLOOKUP(B2153,CAJEROS!B:D,3,0)</f>
        <v>Multifuncional</v>
      </c>
      <c r="I2153" s="34" t="s">
        <v>9</v>
      </c>
      <c r="J2153" s="38" t="str">
        <f>VLOOKUP(B2153,CAJEROS!B:E,4,0)</f>
        <v>MF_PLMERMON</v>
      </c>
      <c r="K2153" t="s">
        <v>450</v>
      </c>
    </row>
    <row r="2154" spans="1:11">
      <c r="A2154" s="32">
        <v>332</v>
      </c>
      <c r="B2154" s="33">
        <v>7569</v>
      </c>
      <c r="C2154" s="3">
        <v>2620000</v>
      </c>
      <c r="D2154" s="3">
        <f>2060000+120000+120000</f>
        <v>2300000</v>
      </c>
      <c r="E2154" s="7">
        <f t="shared" si="70"/>
        <v>320000</v>
      </c>
      <c r="F2154" s="5">
        <v>45888</v>
      </c>
      <c r="G2154" s="4">
        <v>20250818</v>
      </c>
      <c r="H2154" s="38" t="str">
        <f>VLOOKUP(B2154,CAJEROS!B:D,3,0)</f>
        <v>Multifuncional</v>
      </c>
      <c r="I2154" s="34" t="s">
        <v>9</v>
      </c>
      <c r="J2154" s="38" t="str">
        <f>VLOOKUP(B2154,CAJEROS!B:E,4,0)</f>
        <v>MF_ZIPAQUI2</v>
      </c>
      <c r="K2154" t="s">
        <v>450</v>
      </c>
    </row>
    <row r="2155" spans="1:11">
      <c r="A2155" s="32">
        <v>812</v>
      </c>
      <c r="B2155" s="33">
        <v>7613</v>
      </c>
      <c r="C2155" s="3">
        <v>1658000</v>
      </c>
      <c r="D2155" s="3"/>
      <c r="E2155" s="7">
        <f t="shared" si="70"/>
        <v>1658000</v>
      </c>
      <c r="F2155" s="5">
        <v>45888</v>
      </c>
      <c r="G2155" s="4">
        <v>20250818</v>
      </c>
      <c r="H2155" s="38" t="str">
        <f>VLOOKUP(B2155,CAJEROS!B:D,3,0)</f>
        <v>Multifuncional</v>
      </c>
      <c r="I2155" s="34" t="s">
        <v>9</v>
      </c>
      <c r="J2155" s="38" t="str">
        <f>VLOOKUP(B2155,CAJEROS!B:E,4,0)</f>
        <v>MF_CHPICHP2</v>
      </c>
      <c r="K2155" t="s">
        <v>450</v>
      </c>
    </row>
    <row r="2156" spans="1:11">
      <c r="A2156" s="32">
        <v>166</v>
      </c>
      <c r="B2156" s="33">
        <v>7939</v>
      </c>
      <c r="C2156" s="3">
        <v>3310000</v>
      </c>
      <c r="D2156" s="3">
        <v>1800000</v>
      </c>
      <c r="E2156" s="7">
        <f t="shared" si="70"/>
        <v>1510000</v>
      </c>
      <c r="F2156" s="5">
        <v>45888</v>
      </c>
      <c r="G2156" s="4">
        <v>20250818</v>
      </c>
      <c r="H2156" s="38" t="str">
        <f>VLOOKUP(B2156,CAJEROS!B:D,3,0)</f>
        <v>Multifuncional</v>
      </c>
      <c r="I2156" s="34" t="s">
        <v>9</v>
      </c>
      <c r="J2156" s="38" t="str">
        <f>VLOOKUP(B2156,CAJEROS!B:E,4,0)</f>
        <v>MF_ALDELSI1</v>
      </c>
      <c r="K2156" t="s">
        <v>450</v>
      </c>
    </row>
    <row r="2157" spans="1:11">
      <c r="A2157" s="32">
        <v>60</v>
      </c>
      <c r="B2157" s="33">
        <v>8728</v>
      </c>
      <c r="C2157" s="3">
        <v>2706000</v>
      </c>
      <c r="D2157" s="3">
        <f>413000+738000</f>
        <v>1151000</v>
      </c>
      <c r="E2157" s="7">
        <f t="shared" si="70"/>
        <v>1555000</v>
      </c>
      <c r="F2157" s="5">
        <v>45888</v>
      </c>
      <c r="G2157" s="4">
        <v>20250818</v>
      </c>
      <c r="H2157" s="38" t="str">
        <f>VLOOKUP(B2157,CAJEROS!B:D,3,0)</f>
        <v>Multifuncional</v>
      </c>
      <c r="I2157" s="34" t="s">
        <v>9</v>
      </c>
      <c r="J2157" s="38" t="str">
        <f>VLOOKUP(B2157,CAJEROS!B:E,4,0)</f>
        <v>MF_HCALIPR2</v>
      </c>
      <c r="K2157" t="s">
        <v>450</v>
      </c>
    </row>
    <row r="2158" spans="1:11">
      <c r="A2158" s="32">
        <v>442</v>
      </c>
      <c r="B2158" s="33">
        <v>8887</v>
      </c>
      <c r="C2158" s="3">
        <v>300000</v>
      </c>
      <c r="D2158" s="3"/>
      <c r="E2158" s="7">
        <f t="shared" si="70"/>
        <v>300000</v>
      </c>
      <c r="F2158" s="5">
        <v>45888</v>
      </c>
      <c r="G2158" s="4">
        <v>20250818</v>
      </c>
      <c r="H2158" s="38" t="str">
        <f>VLOOKUP(B2158,CAJEROS!B:D,3,0)</f>
        <v>Multifuncional</v>
      </c>
      <c r="I2158" s="34" t="s">
        <v>9</v>
      </c>
      <c r="J2158" s="38" t="str">
        <f>VLOOKUP(B2158,CAJEROS!B:E,4,0)</f>
        <v>MFVIVABQUI1</v>
      </c>
      <c r="K2158" t="s">
        <v>450</v>
      </c>
    </row>
    <row r="2159" spans="1:11">
      <c r="A2159" s="32">
        <v>721</v>
      </c>
      <c r="B2159" s="33">
        <v>8897</v>
      </c>
      <c r="C2159" s="3">
        <v>68000</v>
      </c>
      <c r="D2159" s="3"/>
      <c r="E2159" s="7">
        <f t="shared" si="70"/>
        <v>68000</v>
      </c>
      <c r="F2159" s="5">
        <v>45888</v>
      </c>
      <c r="G2159" s="4">
        <v>20250818</v>
      </c>
      <c r="H2159" s="38" t="str">
        <f>VLOOKUP(B2159,CAJEROS!B:D,3,0)</f>
        <v>Multifuncional</v>
      </c>
      <c r="I2159" s="34" t="s">
        <v>9</v>
      </c>
      <c r="J2159" s="38" t="str">
        <f>VLOOKUP(B2159,CAJEROS!B:E,4,0)</f>
        <v>MFSUCLAGO2</v>
      </c>
      <c r="K2159" t="s">
        <v>450</v>
      </c>
    </row>
    <row r="2160" spans="1:11">
      <c r="A2160" s="32">
        <v>20</v>
      </c>
      <c r="B2160" s="33">
        <v>8927</v>
      </c>
      <c r="C2160" s="3">
        <v>770000</v>
      </c>
      <c r="D2160" s="3"/>
      <c r="E2160" s="7">
        <f t="shared" si="70"/>
        <v>770000</v>
      </c>
      <c r="F2160" s="5">
        <v>45888</v>
      </c>
      <c r="G2160" s="4">
        <v>20250818</v>
      </c>
      <c r="H2160" s="38" t="str">
        <f>VLOOKUP(B2160,CAJEROS!B:D,3,0)</f>
        <v>Multifuncional</v>
      </c>
      <c r="I2160" s="34" t="s">
        <v>9</v>
      </c>
      <c r="J2160" s="38" t="str">
        <f>VLOOKUP(B2160,CAJEROS!B:E,4,0)</f>
        <v>MFSUCBUCMG2</v>
      </c>
      <c r="K2160" t="s">
        <v>450</v>
      </c>
    </row>
    <row r="2161" spans="1:11">
      <c r="A2161" s="32">
        <v>845</v>
      </c>
      <c r="B2161" s="33">
        <v>9232</v>
      </c>
      <c r="C2161" s="3">
        <v>270000</v>
      </c>
      <c r="D2161" s="3"/>
      <c r="E2161" s="7">
        <f t="shared" si="70"/>
        <v>270000</v>
      </c>
      <c r="F2161" s="5">
        <v>45888</v>
      </c>
      <c r="G2161" s="4">
        <v>20250818</v>
      </c>
      <c r="H2161" s="38" t="str">
        <f>VLOOKUP(B2161,CAJEROS!B:D,3,0)</f>
        <v>Multifuncional</v>
      </c>
      <c r="I2161" s="34" t="s">
        <v>9</v>
      </c>
      <c r="J2161" s="38" t="str">
        <f>VLOOKUP(B2161,CAJEROS!B:E,4,0)</f>
        <v>MFSUCLAPLT1</v>
      </c>
      <c r="K2161" t="s">
        <v>450</v>
      </c>
    </row>
    <row r="2162" spans="1:11">
      <c r="A2162" s="32">
        <v>890</v>
      </c>
      <c r="B2162" s="33">
        <v>9584</v>
      </c>
      <c r="C2162" s="3">
        <v>1165000</v>
      </c>
      <c r="D2162" s="3">
        <v>1160000</v>
      </c>
      <c r="E2162" s="7">
        <f t="shared" si="70"/>
        <v>5000</v>
      </c>
      <c r="F2162" s="5">
        <v>45888</v>
      </c>
      <c r="G2162" s="4">
        <v>20250818</v>
      </c>
      <c r="H2162" s="38" t="str">
        <f>VLOOKUP(B2162,CAJEROS!B:D,3,0)</f>
        <v>Multifuncional</v>
      </c>
      <c r="I2162" s="34" t="s">
        <v>9</v>
      </c>
      <c r="J2162" s="38" t="str">
        <f>VLOOKUP(B2162,CAJEROS!B:E,4,0)</f>
        <v>MFSUCACACI1</v>
      </c>
      <c r="K2162" t="s">
        <v>450</v>
      </c>
    </row>
    <row r="2163" spans="1:11">
      <c r="A2163" s="32">
        <v>68</v>
      </c>
      <c r="B2163" s="33">
        <v>4991</v>
      </c>
      <c r="C2163" s="3">
        <v>2050000</v>
      </c>
      <c r="D2163" s="3"/>
      <c r="E2163" s="7">
        <f t="shared" si="70"/>
        <v>2050000</v>
      </c>
      <c r="F2163" s="5">
        <v>45889</v>
      </c>
      <c r="G2163" s="4">
        <v>20250819</v>
      </c>
      <c r="H2163" s="38" t="str">
        <f>VLOOKUP(B2163,CAJEROS!B:D,3,0)</f>
        <v>Dispensador</v>
      </c>
      <c r="I2163" s="34"/>
      <c r="J2163" s="38" t="str">
        <f>VLOOKUP(B2163,CAJEROS!B:E,4,0)</f>
        <v>AUTO_IBAGU4</v>
      </c>
      <c r="K2163" t="s">
        <v>450</v>
      </c>
    </row>
    <row r="2164" spans="1:11">
      <c r="A2164" s="32">
        <v>101</v>
      </c>
      <c r="B2164" s="33">
        <v>4867</v>
      </c>
      <c r="C2164" s="3">
        <v>820000</v>
      </c>
      <c r="D2164" s="3"/>
      <c r="E2164" s="7">
        <f t="shared" si="70"/>
        <v>820000</v>
      </c>
      <c r="F2164" s="5">
        <v>45889</v>
      </c>
      <c r="G2164" s="4">
        <v>20250819</v>
      </c>
      <c r="H2164" s="38" t="str">
        <f>VLOOKUP(B2164,CAJEROS!B:D,3,0)</f>
        <v>Dispensador</v>
      </c>
      <c r="I2164" s="34"/>
      <c r="J2164" s="38" t="str">
        <f>VLOOKUP(B2164,CAJEROS!B:E,4,0)</f>
        <v>SUC_MDRIVE3</v>
      </c>
      <c r="K2164" t="s">
        <v>450</v>
      </c>
    </row>
    <row r="2165" spans="1:11">
      <c r="A2165" s="32">
        <v>305</v>
      </c>
      <c r="B2165" s="33">
        <v>4897</v>
      </c>
      <c r="C2165" s="3">
        <v>130000</v>
      </c>
      <c r="D2165" s="3"/>
      <c r="E2165" s="7">
        <f t="shared" si="70"/>
        <v>130000</v>
      </c>
      <c r="F2165" s="5">
        <v>45889</v>
      </c>
      <c r="G2165" s="4">
        <v>20250819</v>
      </c>
      <c r="H2165" s="38" t="str">
        <f>VLOOKUP(B2165,CAJEROS!B:D,3,0)</f>
        <v>Dispensador</v>
      </c>
      <c r="I2165" s="34"/>
      <c r="J2165" s="38" t="str">
        <f>VLOOKUP(B2165,CAJEROS!B:E,4,0)</f>
        <v>SUC_VILLAN3</v>
      </c>
      <c r="K2165" t="s">
        <v>450</v>
      </c>
    </row>
    <row r="2166" spans="1:11">
      <c r="A2166" s="32">
        <v>318</v>
      </c>
      <c r="B2166" s="33">
        <v>4635</v>
      </c>
      <c r="C2166" s="3">
        <v>180000</v>
      </c>
      <c r="D2166" s="3"/>
      <c r="E2166" s="7">
        <f t="shared" si="70"/>
        <v>180000</v>
      </c>
      <c r="F2166" s="5">
        <v>45889</v>
      </c>
      <c r="G2166" s="4">
        <v>20250819</v>
      </c>
      <c r="H2166" s="38" t="str">
        <f>VLOOKUP(B2166,CAJEROS!B:D,3,0)</f>
        <v>Dispensador</v>
      </c>
      <c r="I2166" s="34"/>
      <c r="J2166" s="38" t="str">
        <f>VLOOKUP(B2166,CAJEROS!B:E,4,0)</f>
        <v>SUC_OCANA3</v>
      </c>
      <c r="K2166" t="s">
        <v>450</v>
      </c>
    </row>
    <row r="2167" spans="1:11">
      <c r="A2167" s="32">
        <v>392</v>
      </c>
      <c r="B2167" s="33">
        <v>4793</v>
      </c>
      <c r="C2167" s="3">
        <v>2700000</v>
      </c>
      <c r="D2167" s="3"/>
      <c r="E2167" s="7">
        <f t="shared" si="70"/>
        <v>2700000</v>
      </c>
      <c r="F2167" s="5">
        <v>45889</v>
      </c>
      <c r="G2167" s="4">
        <v>20250819</v>
      </c>
      <c r="H2167" s="38" t="str">
        <f>VLOOKUP(B2167,CAJEROS!B:D,3,0)</f>
        <v>Dispensador</v>
      </c>
      <c r="I2167" s="34"/>
      <c r="J2167" s="38" t="str">
        <f>VLOOKUP(B2167,CAJEROS!B:E,4,0)</f>
        <v>LADORADA1</v>
      </c>
      <c r="K2167" t="s">
        <v>450</v>
      </c>
    </row>
    <row r="2168" spans="1:11">
      <c r="A2168" s="32">
        <v>427</v>
      </c>
      <c r="B2168" s="33">
        <v>4271</v>
      </c>
      <c r="C2168" s="3">
        <v>1000000</v>
      </c>
      <c r="D2168" s="3"/>
      <c r="E2168" s="7">
        <f t="shared" si="70"/>
        <v>1000000</v>
      </c>
      <c r="F2168" s="5">
        <v>45889</v>
      </c>
      <c r="G2168" s="4">
        <v>20250819</v>
      </c>
      <c r="H2168" s="38" t="str">
        <f>VLOOKUP(B2168,CAJEROS!B:D,3,0)</f>
        <v>Dispensador</v>
      </c>
      <c r="I2168" s="34"/>
      <c r="J2168" s="38" t="str">
        <f>VLOOKUP(B2168,CAJEROS!B:E,4,0)</f>
        <v>SALDANA</v>
      </c>
      <c r="K2168" t="s">
        <v>450</v>
      </c>
    </row>
    <row r="2169" spans="1:11">
      <c r="A2169" s="32">
        <v>459</v>
      </c>
      <c r="B2169" s="33">
        <v>4591</v>
      </c>
      <c r="C2169" s="3">
        <v>2720000</v>
      </c>
      <c r="D2169" s="3"/>
      <c r="E2169" s="7">
        <f t="shared" si="70"/>
        <v>2720000</v>
      </c>
      <c r="F2169" s="5">
        <v>45889</v>
      </c>
      <c r="G2169" s="4">
        <v>20250819</v>
      </c>
      <c r="H2169" s="38" t="str">
        <f>VLOOKUP(B2169,CAJEROS!B:D,3,0)</f>
        <v>Dispensador</v>
      </c>
      <c r="I2169" s="34"/>
      <c r="J2169" s="38" t="str">
        <f>VLOOKUP(B2169,CAJEROS!B:E,4,0)</f>
        <v>CAMPOALEGRE</v>
      </c>
      <c r="K2169" t="s">
        <v>450</v>
      </c>
    </row>
    <row r="2170" spans="1:11">
      <c r="A2170" s="32">
        <v>509</v>
      </c>
      <c r="B2170" s="33">
        <v>8778</v>
      </c>
      <c r="C2170" s="3">
        <v>1400000</v>
      </c>
      <c r="D2170" s="3"/>
      <c r="E2170" s="7">
        <f t="shared" si="70"/>
        <v>1400000</v>
      </c>
      <c r="F2170" s="5">
        <v>45889</v>
      </c>
      <c r="G2170" s="4">
        <v>20250819</v>
      </c>
      <c r="H2170" s="38" t="str">
        <f>VLOOKUP(B2170,CAJEROS!B:D,3,0)</f>
        <v>Dispensador</v>
      </c>
      <c r="I2170" s="34"/>
      <c r="J2170" s="38" t="str">
        <f>VLOOKUP(B2170,CAJEROS!B:E,4,0)</f>
        <v>SUCTURBA1</v>
      </c>
      <c r="K2170" t="s">
        <v>450</v>
      </c>
    </row>
    <row r="2171" spans="1:11">
      <c r="A2171" s="32">
        <v>554</v>
      </c>
      <c r="B2171" s="33">
        <v>8297</v>
      </c>
      <c r="C2171" s="3">
        <v>500000</v>
      </c>
      <c r="D2171" s="3"/>
      <c r="E2171" s="7">
        <f t="shared" si="70"/>
        <v>500000</v>
      </c>
      <c r="F2171" s="5">
        <v>45889</v>
      </c>
      <c r="G2171" s="4">
        <v>20250819</v>
      </c>
      <c r="H2171" s="38" t="str">
        <f>VLOOKUP(B2171,CAJEROS!B:D,3,0)</f>
        <v>Dispensador</v>
      </c>
      <c r="I2171" s="34"/>
      <c r="J2171" s="38" t="str">
        <f>VLOOKUP(B2171,CAJEROS!B:E,4,0)</f>
        <v>SUCBUEVIII2</v>
      </c>
      <c r="K2171" t="s">
        <v>450</v>
      </c>
    </row>
    <row r="2172" spans="1:11">
      <c r="A2172" s="32">
        <v>554</v>
      </c>
      <c r="B2172" s="33">
        <v>8298</v>
      </c>
      <c r="C2172" s="3">
        <v>1450000</v>
      </c>
      <c r="D2172" s="3"/>
      <c r="E2172" s="7">
        <f t="shared" si="70"/>
        <v>1450000</v>
      </c>
      <c r="F2172" s="5">
        <v>45889</v>
      </c>
      <c r="G2172" s="4">
        <v>20250819</v>
      </c>
      <c r="H2172" s="38" t="str">
        <f>VLOOKUP(B2172,CAJEROS!B:D,3,0)</f>
        <v>Dispensador</v>
      </c>
      <c r="I2172" s="34"/>
      <c r="J2172" s="38" t="str">
        <f>VLOOKUP(B2172,CAJEROS!B:E,4,0)</f>
        <v>SUCBUEVIII3</v>
      </c>
      <c r="K2172" t="s">
        <v>450</v>
      </c>
    </row>
    <row r="2173" spans="1:11">
      <c r="A2173" s="32">
        <v>682</v>
      </c>
      <c r="B2173" s="33">
        <v>5959</v>
      </c>
      <c r="C2173" s="3">
        <v>4950000</v>
      </c>
      <c r="D2173" s="3"/>
      <c r="E2173" s="7">
        <f t="shared" si="70"/>
        <v>4950000</v>
      </c>
      <c r="F2173" s="5">
        <v>45889</v>
      </c>
      <c r="G2173" s="4">
        <v>20250819</v>
      </c>
      <c r="H2173" s="38" t="str">
        <f>VLOOKUP(B2173,CAJEROS!B:D,3,0)</f>
        <v>Dispensador</v>
      </c>
      <c r="I2173" s="34"/>
      <c r="J2173" s="38" t="str">
        <f>VLOOKUP(B2173,CAJEROS!B:E,4,0)</f>
        <v>SUC_CCFONT1</v>
      </c>
      <c r="K2173" t="s">
        <v>450</v>
      </c>
    </row>
    <row r="2174" spans="1:11">
      <c r="A2174" s="32">
        <v>682</v>
      </c>
      <c r="B2174" s="33">
        <v>5960</v>
      </c>
      <c r="C2174" s="3">
        <v>2590000</v>
      </c>
      <c r="D2174" s="3"/>
      <c r="E2174" s="7">
        <f t="shared" si="70"/>
        <v>2590000</v>
      </c>
      <c r="F2174" s="5">
        <v>45889</v>
      </c>
      <c r="G2174" s="4">
        <v>20250819</v>
      </c>
      <c r="H2174" s="38" t="str">
        <f>VLOOKUP(B2174,CAJEROS!B:D,3,0)</f>
        <v>Dispensador</v>
      </c>
      <c r="I2174" s="34"/>
      <c r="J2174" s="38" t="str">
        <f>VLOOKUP(B2174,CAJEROS!B:E,4,0)</f>
        <v>SUC_CCFONT2</v>
      </c>
      <c r="K2174" t="s">
        <v>450</v>
      </c>
    </row>
    <row r="2175" spans="1:11">
      <c r="A2175" s="32">
        <v>708</v>
      </c>
      <c r="B2175" s="33">
        <v>5753</v>
      </c>
      <c r="C2175" s="3">
        <v>10000</v>
      </c>
      <c r="D2175" s="3"/>
      <c r="E2175" s="7">
        <f t="shared" si="70"/>
        <v>10000</v>
      </c>
      <c r="F2175" s="5">
        <v>45889</v>
      </c>
      <c r="G2175" s="4">
        <v>20250819</v>
      </c>
      <c r="H2175" s="38" t="str">
        <f>VLOOKUP(B2175,CAJEROS!B:D,3,0)</f>
        <v>Dispensador</v>
      </c>
      <c r="I2175" s="34"/>
      <c r="J2175" s="38" t="str">
        <f>VLOOKUP(B2175,CAJEROS!B:E,4,0)</f>
        <v>SUC_ANSER3</v>
      </c>
      <c r="K2175" t="s">
        <v>450</v>
      </c>
    </row>
    <row r="2176" spans="1:11">
      <c r="A2176" s="32">
        <v>721</v>
      </c>
      <c r="B2176" s="33">
        <v>8895</v>
      </c>
      <c r="C2176" s="3">
        <v>20000</v>
      </c>
      <c r="D2176" s="3"/>
      <c r="E2176" s="7">
        <f t="shared" si="70"/>
        <v>20000</v>
      </c>
      <c r="F2176" s="5">
        <v>45889</v>
      </c>
      <c r="G2176" s="4">
        <v>20250819</v>
      </c>
      <c r="H2176" s="38" t="str">
        <f>VLOOKUP(B2176,CAJEROS!B:D,3,0)</f>
        <v>Dispensador</v>
      </c>
      <c r="I2176" s="34"/>
      <c r="J2176" s="38" t="str">
        <f>VLOOKUP(B2176,CAJEROS!B:E,4,0)</f>
        <v>SUCHALLAGO5</v>
      </c>
      <c r="K2176" t="s">
        <v>450</v>
      </c>
    </row>
    <row r="2177" spans="1:11">
      <c r="A2177" s="32">
        <v>724</v>
      </c>
      <c r="B2177" s="33">
        <v>6894</v>
      </c>
      <c r="C2177" s="3">
        <v>50000</v>
      </c>
      <c r="D2177" s="3"/>
      <c r="E2177" s="7">
        <f t="shared" si="70"/>
        <v>50000</v>
      </c>
      <c r="F2177" s="5">
        <v>45889</v>
      </c>
      <c r="G2177" s="4">
        <v>20250819</v>
      </c>
      <c r="H2177" s="38" t="str">
        <f>VLOOKUP(B2177,CAJEROS!B:D,3,0)</f>
        <v>Dispensador</v>
      </c>
      <c r="I2177" s="34"/>
      <c r="J2177" s="38" t="str">
        <f>VLOOKUP(B2177,CAJEROS!B:E,4,0)</f>
        <v>SUC_FONSEC3</v>
      </c>
      <c r="K2177" t="s">
        <v>450</v>
      </c>
    </row>
    <row r="2178" spans="1:11">
      <c r="A2178" s="32">
        <v>739</v>
      </c>
      <c r="B2178" s="33">
        <v>3803</v>
      </c>
      <c r="C2178" s="3">
        <v>50000</v>
      </c>
      <c r="D2178" s="3"/>
      <c r="E2178" s="7">
        <f t="shared" si="70"/>
        <v>50000</v>
      </c>
      <c r="F2178" s="5">
        <v>45889</v>
      </c>
      <c r="G2178" s="4">
        <v>20250819</v>
      </c>
      <c r="H2178" s="38" t="str">
        <f>VLOOKUP(B2178,CAJEROS!B:D,3,0)</f>
        <v>Dispensador</v>
      </c>
      <c r="I2178" s="34"/>
      <c r="J2178" s="38" t="str">
        <f>VLOOKUP(B2178,CAJEROS!B:E,4,0)</f>
        <v>SUC_NECO2</v>
      </c>
      <c r="K2178" t="s">
        <v>450</v>
      </c>
    </row>
    <row r="2179" spans="1:11">
      <c r="A2179" s="32">
        <v>750</v>
      </c>
      <c r="B2179" s="33">
        <v>7483</v>
      </c>
      <c r="C2179" s="3">
        <v>100000</v>
      </c>
      <c r="D2179" s="3"/>
      <c r="E2179" s="7">
        <f t="shared" si="70"/>
        <v>100000</v>
      </c>
      <c r="F2179" s="5">
        <v>45889</v>
      </c>
      <c r="G2179" s="4">
        <v>20250819</v>
      </c>
      <c r="H2179" s="38" t="str">
        <f>VLOOKUP(B2179,CAJEROS!B:D,3,0)</f>
        <v>Dispensador</v>
      </c>
      <c r="I2179" s="34"/>
      <c r="J2179" s="38" t="str">
        <f>VLOOKUP(B2179,CAJEROS!B:E,4,0)</f>
        <v>AV_ROOSVEL3</v>
      </c>
      <c r="K2179" t="s">
        <v>450</v>
      </c>
    </row>
    <row r="2180" spans="1:11">
      <c r="A2180" s="32">
        <v>769</v>
      </c>
      <c r="B2180" s="33">
        <v>8676</v>
      </c>
      <c r="C2180" s="3">
        <v>700000</v>
      </c>
      <c r="D2180" s="3"/>
      <c r="E2180" s="7">
        <f t="shared" si="70"/>
        <v>700000</v>
      </c>
      <c r="F2180" s="5">
        <v>45889</v>
      </c>
      <c r="G2180" s="4">
        <v>20250819</v>
      </c>
      <c r="H2180" s="38" t="str">
        <f>VLOOKUP(B2180,CAJEROS!B:D,3,0)</f>
        <v>Dispensador</v>
      </c>
      <c r="I2180" s="34"/>
      <c r="J2180" s="38" t="str">
        <f>VLOOKUP(B2180,CAJEROS!B:E,4,0)</f>
        <v>SUCPORPRAD5</v>
      </c>
      <c r="K2180" t="s">
        <v>450</v>
      </c>
    </row>
    <row r="2181" spans="1:11">
      <c r="A2181" s="32">
        <v>789</v>
      </c>
      <c r="B2181" s="33">
        <v>5660</v>
      </c>
      <c r="C2181" s="3">
        <v>230000</v>
      </c>
      <c r="D2181" s="3"/>
      <c r="E2181" s="7">
        <f t="shared" si="70"/>
        <v>230000</v>
      </c>
      <c r="F2181" s="5">
        <v>45889</v>
      </c>
      <c r="G2181" s="4">
        <v>20250819</v>
      </c>
      <c r="H2181" s="38" t="str">
        <f>VLOOKUP(B2181,CAJEROS!B:D,3,0)</f>
        <v>Dispensador</v>
      </c>
      <c r="I2181" s="34"/>
      <c r="J2181" s="38" t="str">
        <f>VLOOKUP(B2181,CAJEROS!B:E,4,0)</f>
        <v>MANGA1</v>
      </c>
      <c r="K2181" t="s">
        <v>450</v>
      </c>
    </row>
    <row r="2182" spans="1:11">
      <c r="A2182" s="32">
        <v>859</v>
      </c>
      <c r="B2182" s="33">
        <v>5599</v>
      </c>
      <c r="C2182" s="3">
        <v>5400000</v>
      </c>
      <c r="D2182" s="3"/>
      <c r="E2182" s="7">
        <f t="shared" si="70"/>
        <v>5400000</v>
      </c>
      <c r="F2182" s="5">
        <v>45889</v>
      </c>
      <c r="G2182" s="4">
        <v>20250819</v>
      </c>
      <c r="H2182" s="38" t="e">
        <f>VLOOKUP(B2182,CAJEROS!B:D,3,0)</f>
        <v>#N/A</v>
      </c>
      <c r="I2182" s="34"/>
      <c r="J2182" s="38" t="e">
        <f>VLOOKUP(B2182,CAJEROS!B:E,4,0)</f>
        <v>#N/A</v>
      </c>
      <c r="K2182" t="s">
        <v>450</v>
      </c>
    </row>
    <row r="2183" spans="1:11">
      <c r="A2183" s="32">
        <v>915</v>
      </c>
      <c r="B2183" s="33">
        <v>8316</v>
      </c>
      <c r="C2183" s="3">
        <v>1200000</v>
      </c>
      <c r="D2183" s="3"/>
      <c r="E2183" s="7">
        <f t="shared" si="70"/>
        <v>1200000</v>
      </c>
      <c r="F2183" s="5">
        <v>45889</v>
      </c>
      <c r="G2183" s="4">
        <v>20250819</v>
      </c>
      <c r="H2183" s="38" t="str">
        <f>VLOOKUP(B2183,CAJEROS!B:D,3,0)</f>
        <v>Dispensador</v>
      </c>
      <c r="I2183" s="34"/>
      <c r="J2183" s="38" t="str">
        <f>VLOOKUP(B2183,CAJEROS!B:E,4,0)</f>
        <v>SUCBANLABB2</v>
      </c>
      <c r="K2183" t="s">
        <v>450</v>
      </c>
    </row>
    <row r="2184" spans="1:11">
      <c r="A2184" s="32">
        <v>38</v>
      </c>
      <c r="B2184" s="33">
        <v>6553</v>
      </c>
      <c r="C2184" s="3">
        <v>50000</v>
      </c>
      <c r="D2184" s="3"/>
      <c r="E2184" s="7">
        <f t="shared" si="70"/>
        <v>50000</v>
      </c>
      <c r="F2184" s="5">
        <v>45889</v>
      </c>
      <c r="G2184" s="4">
        <v>20250819</v>
      </c>
      <c r="H2184" s="38" t="str">
        <f>VLOOKUP(B2184,CAJEROS!B:D,3,0)</f>
        <v>Dispensador</v>
      </c>
      <c r="I2184" s="34" t="s">
        <v>9</v>
      </c>
      <c r="J2184" s="38" t="str">
        <f>VLOOKUP(B2184,CAJEROS!B:E,4,0)</f>
        <v>PAIPA1</v>
      </c>
      <c r="K2184" t="s">
        <v>450</v>
      </c>
    </row>
    <row r="2185" spans="1:11">
      <c r="A2185" s="32">
        <v>60</v>
      </c>
      <c r="B2185" s="33">
        <v>8724</v>
      </c>
      <c r="C2185" s="3">
        <v>300000</v>
      </c>
      <c r="D2185" s="3">
        <v>100000</v>
      </c>
      <c r="E2185" s="7">
        <f t="shared" si="70"/>
        <v>200000</v>
      </c>
      <c r="F2185" s="5">
        <v>45889</v>
      </c>
      <c r="G2185" s="4">
        <v>20250819</v>
      </c>
      <c r="H2185" s="38" t="str">
        <f>VLOOKUP(B2185,CAJEROS!B:D,3,0)</f>
        <v>Dispensador</v>
      </c>
      <c r="I2185" s="34" t="s">
        <v>9</v>
      </c>
      <c r="J2185" s="38" t="str">
        <f>VLOOKUP(B2185,CAJEROS!B:E,4,0)</f>
        <v>HALLCALIPR6</v>
      </c>
      <c r="K2185" t="s">
        <v>450</v>
      </c>
    </row>
    <row r="2186" spans="1:11">
      <c r="A2186" s="32">
        <v>64</v>
      </c>
      <c r="B2186" s="33">
        <v>6447</v>
      </c>
      <c r="C2186" s="3">
        <v>50000</v>
      </c>
      <c r="D2186" s="3"/>
      <c r="E2186" s="7">
        <f t="shared" si="70"/>
        <v>50000</v>
      </c>
      <c r="F2186" s="5">
        <v>45889</v>
      </c>
      <c r="G2186" s="4">
        <v>20250819</v>
      </c>
      <c r="H2186" s="38" t="str">
        <f>VLOOKUP(B2186,CAJEROS!B:D,3,0)</f>
        <v>Dispensador</v>
      </c>
      <c r="I2186" s="34" t="s">
        <v>9</v>
      </c>
      <c r="J2186" s="38" t="str">
        <f>VLOOKUP(B2186,CAJEROS!B:E,4,0)</f>
        <v>VIPASA_5_R</v>
      </c>
      <c r="K2186" t="s">
        <v>450</v>
      </c>
    </row>
    <row r="2187" spans="1:11">
      <c r="A2187" s="32">
        <v>96</v>
      </c>
      <c r="B2187" s="33">
        <v>1036</v>
      </c>
      <c r="C2187" s="3">
        <v>680000</v>
      </c>
      <c r="D2187" s="3"/>
      <c r="E2187" s="7">
        <f t="shared" si="70"/>
        <v>680000</v>
      </c>
      <c r="F2187" s="5">
        <v>45889</v>
      </c>
      <c r="G2187" s="4">
        <v>20250819</v>
      </c>
      <c r="H2187" s="38" t="str">
        <f>VLOOKUP(B2187,CAJEROS!B:D,3,0)</f>
        <v>Dispensador</v>
      </c>
      <c r="I2187" s="34" t="s">
        <v>9</v>
      </c>
      <c r="J2187" s="38" t="str">
        <f>VLOOKUP(B2187,CAJEROS!B:E,4,0)</f>
        <v>SUC_MAICAO2</v>
      </c>
      <c r="K2187" t="s">
        <v>450</v>
      </c>
    </row>
    <row r="2188" spans="1:11">
      <c r="A2188" s="32">
        <v>153</v>
      </c>
      <c r="B2188" s="33">
        <v>9882</v>
      </c>
      <c r="C2188" s="3">
        <v>1980000</v>
      </c>
      <c r="D2188" s="3"/>
      <c r="E2188" s="7">
        <f t="shared" si="70"/>
        <v>1980000</v>
      </c>
      <c r="F2188" s="5">
        <v>45889</v>
      </c>
      <c r="G2188" s="4">
        <v>20250819</v>
      </c>
      <c r="H2188" s="38" t="str">
        <f>VLOOKUP(B2188,CAJEROS!B:D,3,0)</f>
        <v>Dispensador</v>
      </c>
      <c r="I2188" s="34" t="s">
        <v>9</v>
      </c>
      <c r="J2188" s="38" t="str">
        <f>VLOOKUP(B2188,CAJEROS!B:E,4,0)</f>
        <v>EXITOIBAG_4</v>
      </c>
      <c r="K2188" t="s">
        <v>450</v>
      </c>
    </row>
    <row r="2189" spans="1:11">
      <c r="A2189" s="32">
        <v>178</v>
      </c>
      <c r="B2189" s="33">
        <v>1755</v>
      </c>
      <c r="C2189" s="3">
        <v>100000</v>
      </c>
      <c r="D2189" s="3"/>
      <c r="E2189" s="7">
        <f t="shared" si="70"/>
        <v>100000</v>
      </c>
      <c r="F2189" s="5">
        <v>45889</v>
      </c>
      <c r="G2189" s="4">
        <v>20250819</v>
      </c>
      <c r="H2189" s="38" t="str">
        <f>VLOOKUP(B2189,CAJEROS!B:D,3,0)</f>
        <v>Dispensador</v>
      </c>
      <c r="I2189" s="34" t="s">
        <v>9</v>
      </c>
      <c r="J2189" s="38" t="str">
        <f>VLOOKUP(B2189,CAJEROS!B:E,4,0)</f>
        <v>FULLFCIERO</v>
      </c>
      <c r="K2189" t="s">
        <v>450</v>
      </c>
    </row>
    <row r="2190" spans="1:11">
      <c r="A2190" s="32">
        <v>190</v>
      </c>
      <c r="B2190" s="33">
        <v>5557</v>
      </c>
      <c r="C2190" s="3">
        <v>5000000</v>
      </c>
      <c r="D2190" s="3">
        <v>4950000</v>
      </c>
      <c r="E2190" s="7">
        <f t="shared" si="70"/>
        <v>50000</v>
      </c>
      <c r="F2190" s="5">
        <v>45889</v>
      </c>
      <c r="G2190" s="4">
        <v>20250819</v>
      </c>
      <c r="H2190" s="38" t="str">
        <f>VLOOKUP(B2190,CAJEROS!B:D,3,0)</f>
        <v>Dispensador</v>
      </c>
      <c r="I2190" s="34" t="s">
        <v>9</v>
      </c>
      <c r="J2190" s="38" t="str">
        <f>VLOOKUP(B2190,CAJEROS!B:E,4,0)</f>
        <v>SANDONA1</v>
      </c>
      <c r="K2190" t="s">
        <v>450</v>
      </c>
    </row>
    <row r="2191" spans="1:11">
      <c r="A2191" s="32">
        <v>287</v>
      </c>
      <c r="B2191" s="33">
        <v>905</v>
      </c>
      <c r="C2191" s="3">
        <v>100000</v>
      </c>
      <c r="D2191" s="3"/>
      <c r="E2191" s="7">
        <f t="shared" si="70"/>
        <v>100000</v>
      </c>
      <c r="F2191" s="5">
        <v>45889</v>
      </c>
      <c r="G2191" s="4">
        <v>20250819</v>
      </c>
      <c r="H2191" s="38" t="str">
        <f>VLOOKUP(B2191,CAJEROS!B:D,3,0)</f>
        <v>Dispensador</v>
      </c>
      <c r="I2191" s="34" t="s">
        <v>9</v>
      </c>
      <c r="J2191" s="38" t="str">
        <f>VLOOKUP(B2191,CAJEROS!B:E,4,0)</f>
        <v>ABASTOBGA_1</v>
      </c>
      <c r="K2191" t="s">
        <v>450</v>
      </c>
    </row>
    <row r="2192" spans="1:11">
      <c r="A2192" s="32">
        <v>499</v>
      </c>
      <c r="B2192" s="33">
        <v>9809</v>
      </c>
      <c r="C2192" s="3">
        <v>110000</v>
      </c>
      <c r="D2192" s="3"/>
      <c r="E2192" s="7">
        <f t="shared" si="70"/>
        <v>110000</v>
      </c>
      <c r="F2192" s="5">
        <v>45889</v>
      </c>
      <c r="G2192" s="4">
        <v>20250819</v>
      </c>
      <c r="H2192" s="38" t="str">
        <f>VLOOKUP(B2192,CAJEROS!B:D,3,0)</f>
        <v>Dispensador</v>
      </c>
      <c r="I2192" s="34" t="s">
        <v>9</v>
      </c>
      <c r="J2192" s="38" t="str">
        <f>VLOOKUP(B2192,CAJEROS!B:E,4,0)</f>
        <v>SUCPARFAB11</v>
      </c>
      <c r="K2192" t="s">
        <v>450</v>
      </c>
    </row>
    <row r="2193" spans="1:11">
      <c r="A2193" s="32">
        <v>516</v>
      </c>
      <c r="B2193" s="33">
        <v>9728</v>
      </c>
      <c r="C2193" s="3">
        <v>40000</v>
      </c>
      <c r="D2193" s="3">
        <v>20000</v>
      </c>
      <c r="E2193" s="7">
        <f t="shared" si="70"/>
        <v>20000</v>
      </c>
      <c r="F2193" s="5">
        <v>45889</v>
      </c>
      <c r="G2193" s="4">
        <v>20250819</v>
      </c>
      <c r="H2193" s="38" t="str">
        <f>VLOOKUP(B2193,CAJEROS!B:D,3,0)</f>
        <v>Dispensador</v>
      </c>
      <c r="I2193" s="34" t="s">
        <v>9</v>
      </c>
      <c r="J2193" s="38" t="str">
        <f>VLOOKUP(B2193,CAJEROS!B:E,4,0)</f>
        <v>SUCSTAMART3</v>
      </c>
      <c r="K2193" t="s">
        <v>450</v>
      </c>
    </row>
    <row r="2194" spans="1:11">
      <c r="A2194" s="32">
        <v>536</v>
      </c>
      <c r="B2194" s="33">
        <v>4795</v>
      </c>
      <c r="C2194" s="3">
        <v>100000</v>
      </c>
      <c r="D2194" s="3"/>
      <c r="E2194" s="7">
        <f t="shared" ref="E2194:E2257" si="71">+C2194-D2194</f>
        <v>100000</v>
      </c>
      <c r="F2194" s="5">
        <v>45889</v>
      </c>
      <c r="G2194" s="4">
        <v>20250819</v>
      </c>
      <c r="H2194" s="38" t="str">
        <f>VLOOKUP(B2194,CAJEROS!B:D,3,0)</f>
        <v>Dispensador</v>
      </c>
      <c r="I2194" s="34" t="s">
        <v>9</v>
      </c>
      <c r="J2194" s="38" t="str">
        <f>VLOOKUP(B2194,CAJEROS!B:E,4,0)</f>
        <v>SUC_QUIBDO1</v>
      </c>
      <c r="K2194" t="s">
        <v>450</v>
      </c>
    </row>
    <row r="2195" spans="1:11">
      <c r="A2195" s="32">
        <v>567</v>
      </c>
      <c r="B2195" s="33">
        <v>2423</v>
      </c>
      <c r="C2195" s="3">
        <v>1280000</v>
      </c>
      <c r="D2195" s="3">
        <v>1140000</v>
      </c>
      <c r="E2195" s="7">
        <f t="shared" si="71"/>
        <v>140000</v>
      </c>
      <c r="F2195" s="5">
        <v>45889</v>
      </c>
      <c r="G2195" s="4">
        <v>20250819</v>
      </c>
      <c r="H2195" s="38" t="str">
        <f>VLOOKUP(B2195,CAJEROS!B:D,3,0)</f>
        <v>Dispensador</v>
      </c>
      <c r="I2195" s="34" t="s">
        <v>9</v>
      </c>
      <c r="J2195" s="38" t="str">
        <f>VLOOKUP(B2195,CAJEROS!B:E,4,0)</f>
        <v>VENECIA_1_R</v>
      </c>
      <c r="K2195" t="s">
        <v>450</v>
      </c>
    </row>
    <row r="2196" spans="1:11">
      <c r="A2196" s="32">
        <v>595</v>
      </c>
      <c r="B2196" s="33">
        <v>3697</v>
      </c>
      <c r="C2196" s="3">
        <v>50000</v>
      </c>
      <c r="D2196" s="3"/>
      <c r="E2196" s="7">
        <f t="shared" si="71"/>
        <v>50000</v>
      </c>
      <c r="F2196" s="5">
        <v>45889</v>
      </c>
      <c r="G2196" s="4">
        <v>20250819</v>
      </c>
      <c r="H2196" s="38" t="str">
        <f>VLOOKUP(B2196,CAJEROS!B:D,3,0)</f>
        <v>Dispensador</v>
      </c>
      <c r="I2196" s="34" t="s">
        <v>9</v>
      </c>
      <c r="J2196" s="38" t="str">
        <f>VLOOKUP(B2196,CAJEROS!B:E,4,0)</f>
        <v>SUC_BARAN1</v>
      </c>
      <c r="K2196" t="s">
        <v>450</v>
      </c>
    </row>
    <row r="2197" spans="1:11">
      <c r="A2197" s="32">
        <v>651</v>
      </c>
      <c r="B2197" s="33">
        <v>6511</v>
      </c>
      <c r="C2197" s="3">
        <v>2500000</v>
      </c>
      <c r="D2197" s="3"/>
      <c r="E2197" s="7">
        <f t="shared" si="71"/>
        <v>2500000</v>
      </c>
      <c r="F2197" s="5">
        <v>45889</v>
      </c>
      <c r="G2197" s="4">
        <v>20250819</v>
      </c>
      <c r="H2197" s="38" t="str">
        <f>VLOOKUP(B2197,CAJEROS!B:D,3,0)</f>
        <v>Dispensador</v>
      </c>
      <c r="I2197" s="34" t="s">
        <v>9</v>
      </c>
      <c r="J2197" s="38" t="str">
        <f>VLOOKUP(B2197,CAJEROS!B:E,4,0)</f>
        <v>BARBOSA</v>
      </c>
      <c r="K2197" t="s">
        <v>450</v>
      </c>
    </row>
    <row r="2198" spans="1:11">
      <c r="A2198" s="32">
        <v>764</v>
      </c>
      <c r="B2198" s="33">
        <v>6052</v>
      </c>
      <c r="C2198" s="3">
        <v>50000</v>
      </c>
      <c r="D2198" s="3"/>
      <c r="E2198" s="7">
        <f t="shared" si="71"/>
        <v>50000</v>
      </c>
      <c r="F2198" s="5">
        <v>45889</v>
      </c>
      <c r="G2198" s="4">
        <v>20250819</v>
      </c>
      <c r="H2198" s="38" t="str">
        <f>VLOOKUP(B2198,CAJEROS!B:D,3,0)</f>
        <v>Dispensador</v>
      </c>
      <c r="I2198" s="34" t="s">
        <v>9</v>
      </c>
      <c r="J2198" s="38" t="str">
        <f>VLOOKUP(B2198,CAJEROS!B:E,4,0)</f>
        <v>SUC_JAMUND4</v>
      </c>
      <c r="K2198" t="s">
        <v>450</v>
      </c>
    </row>
    <row r="2199" spans="1:11">
      <c r="A2199" s="32">
        <v>793</v>
      </c>
      <c r="B2199" s="33">
        <v>8469</v>
      </c>
      <c r="C2199" s="3">
        <v>2350000</v>
      </c>
      <c r="D2199" s="3"/>
      <c r="E2199" s="7">
        <f t="shared" si="71"/>
        <v>2350000</v>
      </c>
      <c r="F2199" s="5">
        <v>45889</v>
      </c>
      <c r="G2199" s="4">
        <v>20250819</v>
      </c>
      <c r="H2199" s="38" t="str">
        <f>VLOOKUP(B2199,CAJEROS!B:D,3,0)</f>
        <v>Dispensador</v>
      </c>
      <c r="I2199" s="34" t="s">
        <v>9</v>
      </c>
      <c r="J2199" s="38" t="str">
        <f>VLOOKUP(B2199,CAJEROS!B:E,4,0)</f>
        <v>OFPROFESI_1</v>
      </c>
      <c r="K2199" t="s">
        <v>450</v>
      </c>
    </row>
    <row r="2200" spans="1:11">
      <c r="A2200" s="32">
        <v>831</v>
      </c>
      <c r="B2200" s="33">
        <v>1014</v>
      </c>
      <c r="C2200" s="3">
        <v>650000</v>
      </c>
      <c r="D2200" s="3">
        <v>200000</v>
      </c>
      <c r="E2200" s="7">
        <f t="shared" si="71"/>
        <v>450000</v>
      </c>
      <c r="F2200" s="5">
        <v>45889</v>
      </c>
      <c r="G2200" s="4">
        <v>20250819</v>
      </c>
      <c r="H2200" s="38" t="s">
        <v>30</v>
      </c>
      <c r="I2200" s="34" t="s">
        <v>9</v>
      </c>
      <c r="J2200" s="38" t="str">
        <f>VLOOKUP(B2200,CAJEROS!B:E,4,0)</f>
        <v>SUC_CAREPA4</v>
      </c>
      <c r="K2200" t="s">
        <v>450</v>
      </c>
    </row>
    <row r="2201" spans="1:11">
      <c r="A2201" s="32">
        <v>882</v>
      </c>
      <c r="B2201" s="33">
        <v>3510</v>
      </c>
      <c r="C2201" s="3">
        <v>130000</v>
      </c>
      <c r="D2201" s="3"/>
      <c r="E2201" s="7">
        <f t="shared" si="71"/>
        <v>130000</v>
      </c>
      <c r="F2201" s="5">
        <v>45889</v>
      </c>
      <c r="G2201" s="4">
        <v>20250819</v>
      </c>
      <c r="H2201" s="38" t="str">
        <f>VLOOKUP(B2201,CAJEROS!B:D,3,0)</f>
        <v>Dispensador</v>
      </c>
      <c r="I2201" s="34" t="s">
        <v>9</v>
      </c>
      <c r="J2201" s="38" t="str">
        <f>VLOOKUP(B2201,CAJEROS!B:E,4,0)</f>
        <v>LIBERTADOR1</v>
      </c>
      <c r="K2201" t="s">
        <v>450</v>
      </c>
    </row>
    <row r="2202" spans="1:11">
      <c r="A2202" s="32">
        <v>108</v>
      </c>
      <c r="B2202" s="33">
        <v>2254</v>
      </c>
      <c r="C2202" s="3">
        <v>7484000</v>
      </c>
      <c r="D2202" s="3"/>
      <c r="E2202" s="7">
        <f t="shared" si="71"/>
        <v>7484000</v>
      </c>
      <c r="F2202" s="5">
        <v>45889</v>
      </c>
      <c r="G2202" s="4">
        <v>20250819</v>
      </c>
      <c r="H2202" s="38" t="str">
        <f>VLOOKUP(B2202,CAJEROS!B:D,3,0)</f>
        <v>Multifuncional</v>
      </c>
      <c r="I2202" s="34"/>
      <c r="J2202" s="38" t="str">
        <f>VLOOKUP(B2202,CAJEROS!B:E,4,0)</f>
        <v>MFSUCPAMER2</v>
      </c>
      <c r="K2202" t="s">
        <v>450</v>
      </c>
    </row>
    <row r="2203" spans="1:11">
      <c r="A2203" s="32">
        <v>789</v>
      </c>
      <c r="B2203" s="33">
        <v>5118</v>
      </c>
      <c r="C2203" s="3">
        <v>4198050</v>
      </c>
      <c r="D2203" s="3">
        <v>131000</v>
      </c>
      <c r="E2203" s="7">
        <f t="shared" si="71"/>
        <v>4067050</v>
      </c>
      <c r="F2203" s="5">
        <v>45889</v>
      </c>
      <c r="G2203" s="4">
        <v>20250819</v>
      </c>
      <c r="H2203" s="38" t="str">
        <f>VLOOKUP(B2203,CAJEROS!B:D,3,0)</f>
        <v>Multifuncional</v>
      </c>
      <c r="I2203" s="34"/>
      <c r="J2203" s="38" t="str">
        <f>VLOOKUP(B2203,CAJEROS!B:E,4,0)</f>
        <v>MF_MANGA</v>
      </c>
      <c r="K2203" t="s">
        <v>450</v>
      </c>
    </row>
    <row r="2204" spans="1:11">
      <c r="A2204" s="32">
        <v>366</v>
      </c>
      <c r="B2204" s="33">
        <v>5132</v>
      </c>
      <c r="C2204" s="3">
        <v>9511000</v>
      </c>
      <c r="D2204" s="3"/>
      <c r="E2204" s="7">
        <f t="shared" si="71"/>
        <v>9511000</v>
      </c>
      <c r="F2204" s="5">
        <v>45889</v>
      </c>
      <c r="G2204" s="4">
        <v>20250819</v>
      </c>
      <c r="H2204" s="38" t="str">
        <f>VLOOKUP(B2204,CAJEROS!B:D,3,0)</f>
        <v>Multifuncional</v>
      </c>
      <c r="I2204" s="34"/>
      <c r="J2204" s="38" t="str">
        <f>VLOOKUP(B2204,CAJEROS!B:E,4,0)</f>
        <v>MF_TERMTPTE</v>
      </c>
      <c r="K2204" t="s">
        <v>450</v>
      </c>
    </row>
    <row r="2205" spans="1:11">
      <c r="A2205" s="32">
        <v>859</v>
      </c>
      <c r="B2205" s="33">
        <v>5207</v>
      </c>
      <c r="C2205" s="3">
        <v>4812000</v>
      </c>
      <c r="D2205" s="3">
        <f>1496500+2835650</f>
        <v>4332150</v>
      </c>
      <c r="E2205" s="7">
        <f t="shared" si="71"/>
        <v>479850</v>
      </c>
      <c r="F2205" s="5">
        <v>45889</v>
      </c>
      <c r="G2205" s="4">
        <v>20250819</v>
      </c>
      <c r="H2205" s="38" t="e">
        <f>VLOOKUP(B2205,CAJEROS!B:D,3,0)</f>
        <v>#N/A</v>
      </c>
      <c r="I2205" s="34"/>
      <c r="J2205" s="38" t="e">
        <f>VLOOKUP(B2205,CAJEROS!B:E,4,0)</f>
        <v>#N/A</v>
      </c>
      <c r="K2205" t="s">
        <v>450</v>
      </c>
    </row>
    <row r="2206" spans="1:11">
      <c r="A2206" s="32">
        <v>688</v>
      </c>
      <c r="B2206" s="33">
        <v>6209</v>
      </c>
      <c r="C2206" s="3">
        <v>320000</v>
      </c>
      <c r="D2206" s="3">
        <v>2700</v>
      </c>
      <c r="E2206" s="7">
        <f t="shared" si="71"/>
        <v>317300</v>
      </c>
      <c r="F2206" s="5">
        <v>45889</v>
      </c>
      <c r="G2206" s="4">
        <v>20250819</v>
      </c>
      <c r="H2206" s="38" t="str">
        <f>VLOOKUP(B2206,CAJEROS!B:D,3,0)</f>
        <v>Multifuncional</v>
      </c>
      <c r="I2206" s="34"/>
      <c r="J2206" s="38" t="str">
        <f>VLOOKUP(B2206,CAJEROS!B:E,4,0)</f>
        <v>MF_CONTADOR</v>
      </c>
      <c r="K2206" t="s">
        <v>450</v>
      </c>
    </row>
    <row r="2207" spans="1:11">
      <c r="A2207" s="32">
        <v>352</v>
      </c>
      <c r="B2207" s="33">
        <v>6618</v>
      </c>
      <c r="C2207" s="3">
        <v>66000</v>
      </c>
      <c r="D2207" s="3"/>
      <c r="E2207" s="7">
        <f t="shared" si="71"/>
        <v>66000</v>
      </c>
      <c r="F2207" s="5">
        <v>45889</v>
      </c>
      <c r="G2207" s="4">
        <v>20250819</v>
      </c>
      <c r="H2207" s="38" t="str">
        <f>VLOOKUP(B2207,CAJEROS!B:D,3,0)</f>
        <v>Multifuncional</v>
      </c>
      <c r="I2207" s="34"/>
      <c r="J2207" s="38" t="str">
        <f>VLOOKUP(B2207,CAJEROS!B:E,4,0)</f>
        <v>MF_CHIQUINQ</v>
      </c>
      <c r="K2207" t="s">
        <v>450</v>
      </c>
    </row>
    <row r="2208" spans="1:11">
      <c r="A2208" s="32">
        <v>658</v>
      </c>
      <c r="B2208" s="33">
        <v>7074</v>
      </c>
      <c r="C2208" s="3">
        <v>3859100</v>
      </c>
      <c r="D2208" s="3">
        <f>550+904600</f>
        <v>905150</v>
      </c>
      <c r="E2208" s="7">
        <f t="shared" si="71"/>
        <v>2953950</v>
      </c>
      <c r="F2208" s="5">
        <v>45889</v>
      </c>
      <c r="G2208" s="4">
        <v>20250819</v>
      </c>
      <c r="H2208" s="38" t="str">
        <f>VLOOKUP(B2208,CAJEROS!B:D,3,0)</f>
        <v>Multifuncional</v>
      </c>
      <c r="I2208" s="34"/>
      <c r="J2208" s="38" t="str">
        <f>VLOOKUP(B2208,CAJEROS!B:E,4,0)</f>
        <v>MF_BELLASUI</v>
      </c>
      <c r="K2208" t="s">
        <v>450</v>
      </c>
    </row>
    <row r="2209" spans="1:11">
      <c r="A2209" s="32">
        <v>549</v>
      </c>
      <c r="B2209" s="33">
        <v>7123</v>
      </c>
      <c r="C2209" s="3">
        <v>180000</v>
      </c>
      <c r="D2209" s="3"/>
      <c r="E2209" s="7">
        <f t="shared" si="71"/>
        <v>180000</v>
      </c>
      <c r="F2209" s="5">
        <v>45889</v>
      </c>
      <c r="G2209" s="4">
        <v>20250819</v>
      </c>
      <c r="H2209" s="38" t="str">
        <f>VLOOKUP(B2209,CAJEROS!B:D,3,0)</f>
        <v>Multifuncional</v>
      </c>
      <c r="I2209" s="34"/>
      <c r="J2209" s="38" t="str">
        <f>VLOOKUP(B2209,CAJEROS!B:E,4,0)</f>
        <v>MF_PLARIO2</v>
      </c>
      <c r="K2209" t="s">
        <v>450</v>
      </c>
    </row>
    <row r="2210" spans="1:11">
      <c r="A2210" s="32">
        <v>554</v>
      </c>
      <c r="B2210" s="33">
        <v>8294</v>
      </c>
      <c r="C2210" s="3">
        <v>39150</v>
      </c>
      <c r="D2210" s="3"/>
      <c r="E2210" s="7">
        <f t="shared" si="71"/>
        <v>39150</v>
      </c>
      <c r="F2210" s="5">
        <v>45889</v>
      </c>
      <c r="G2210" s="4">
        <v>20250819</v>
      </c>
      <c r="H2210" s="38" t="str">
        <f>VLOOKUP(B2210,CAJEROS!B:D,3,0)</f>
        <v>Multifuncional</v>
      </c>
      <c r="I2210" s="34"/>
      <c r="J2210" s="38" t="str">
        <f>VLOOKUP(B2210,CAJEROS!B:E,4,0)</f>
        <v>MF_SBUVIII1</v>
      </c>
      <c r="K2210" t="s">
        <v>450</v>
      </c>
    </row>
    <row r="2211" spans="1:11">
      <c r="A2211" s="32">
        <v>554</v>
      </c>
      <c r="B2211" s="33">
        <v>8295</v>
      </c>
      <c r="C2211" s="3">
        <v>50000</v>
      </c>
      <c r="D2211" s="3"/>
      <c r="E2211" s="7">
        <f t="shared" si="71"/>
        <v>50000</v>
      </c>
      <c r="F2211" s="5">
        <v>45889</v>
      </c>
      <c r="G2211" s="4">
        <v>20250819</v>
      </c>
      <c r="H2211" s="38" t="str">
        <f>VLOOKUP(B2211,CAJEROS!B:D,3,0)</f>
        <v>Multifuncional</v>
      </c>
      <c r="I2211" s="34"/>
      <c r="J2211" s="38" t="str">
        <f>VLOOKUP(B2211,CAJEROS!B:E,4,0)</f>
        <v>MF_SBUVIII2</v>
      </c>
      <c r="K2211" t="s">
        <v>450</v>
      </c>
    </row>
    <row r="2212" spans="1:11">
      <c r="A2212" s="32">
        <v>193</v>
      </c>
      <c r="B2212" s="33">
        <v>8537</v>
      </c>
      <c r="C2212" s="3">
        <v>850</v>
      </c>
      <c r="D2212" s="3"/>
      <c r="E2212" s="7">
        <f t="shared" si="71"/>
        <v>850</v>
      </c>
      <c r="F2212" s="5">
        <v>45889</v>
      </c>
      <c r="G2212" s="4">
        <v>20250819</v>
      </c>
      <c r="H2212" s="38" t="str">
        <f>VLOOKUP(B2212,CAJEROS!B:D,3,0)</f>
        <v>Multifuncional</v>
      </c>
      <c r="I2212" s="34"/>
      <c r="J2212" s="38" t="str">
        <f>VLOOKUP(B2212,CAJEROS!B:E,4,0)</f>
        <v>MF_HSUCFIC1</v>
      </c>
      <c r="K2212" t="s">
        <v>450</v>
      </c>
    </row>
    <row r="2213" spans="1:11">
      <c r="A2213" s="32">
        <v>442</v>
      </c>
      <c r="B2213" s="33">
        <v>8887</v>
      </c>
      <c r="C2213" s="3">
        <v>5600000</v>
      </c>
      <c r="D2213" s="3"/>
      <c r="E2213" s="7">
        <f t="shared" si="71"/>
        <v>5600000</v>
      </c>
      <c r="F2213" s="5">
        <v>45889</v>
      </c>
      <c r="G2213" s="4">
        <v>20250819</v>
      </c>
      <c r="H2213" s="38" t="str">
        <f>VLOOKUP(B2213,CAJEROS!B:D,3,0)</f>
        <v>Multifuncional</v>
      </c>
      <c r="I2213" s="34"/>
      <c r="J2213" s="38" t="str">
        <f>VLOOKUP(B2213,CAJEROS!B:E,4,0)</f>
        <v>MFVIVABQUI1</v>
      </c>
      <c r="K2213" t="s">
        <v>450</v>
      </c>
    </row>
    <row r="2214" spans="1:11">
      <c r="A2214" s="32">
        <v>721</v>
      </c>
      <c r="B2214" s="33">
        <v>8896</v>
      </c>
      <c r="C2214" s="3">
        <v>6743900</v>
      </c>
      <c r="D2214" s="3">
        <v>1520000</v>
      </c>
      <c r="E2214" s="7">
        <f t="shared" si="71"/>
        <v>5223900</v>
      </c>
      <c r="F2214" s="5">
        <v>45889</v>
      </c>
      <c r="G2214" s="4">
        <v>20250819</v>
      </c>
      <c r="H2214" s="38" t="str">
        <f>VLOOKUP(B2214,CAJEROS!B:D,3,0)</f>
        <v>Multifuncional</v>
      </c>
      <c r="I2214" s="34"/>
      <c r="J2214" s="38" t="str">
        <f>VLOOKUP(B2214,CAJEROS!B:E,4,0)</f>
        <v>MFSUCLAGO1</v>
      </c>
      <c r="K2214" t="s">
        <v>450</v>
      </c>
    </row>
    <row r="2215" spans="1:11">
      <c r="A2215" s="32">
        <v>721</v>
      </c>
      <c r="B2215" s="33">
        <v>8897</v>
      </c>
      <c r="C2215" s="3">
        <v>4432000</v>
      </c>
      <c r="D2215" s="3">
        <f>900900+2850000</f>
        <v>3750900</v>
      </c>
      <c r="E2215" s="7">
        <f t="shared" si="71"/>
        <v>681100</v>
      </c>
      <c r="F2215" s="5">
        <v>45889</v>
      </c>
      <c r="G2215" s="4">
        <v>20250819</v>
      </c>
      <c r="H2215" s="38" t="str">
        <f>VLOOKUP(B2215,CAJEROS!B:D,3,0)</f>
        <v>Multifuncional</v>
      </c>
      <c r="I2215" s="34"/>
      <c r="J2215" s="38" t="str">
        <f>VLOOKUP(B2215,CAJEROS!B:E,4,0)</f>
        <v>MFSUCLAGO2</v>
      </c>
      <c r="K2215" t="s">
        <v>450</v>
      </c>
    </row>
    <row r="2216" spans="1:11">
      <c r="A2216" s="32">
        <v>481</v>
      </c>
      <c r="B2216" s="33">
        <v>1011</v>
      </c>
      <c r="C2216" s="3">
        <v>100000</v>
      </c>
      <c r="D2216" s="3"/>
      <c r="E2216" s="7">
        <f t="shared" si="71"/>
        <v>100000</v>
      </c>
      <c r="F2216" s="5">
        <v>45889</v>
      </c>
      <c r="G2216" s="4">
        <v>20250819</v>
      </c>
      <c r="H2216" s="38" t="str">
        <f>VLOOKUP(B2216,CAJEROS!B:D,3,0)</f>
        <v>Multifuncional</v>
      </c>
      <c r="I2216" s="34" t="s">
        <v>9</v>
      </c>
      <c r="J2216" s="38" t="str">
        <f>VLOOKUP(B2216,CAJEROS!B:E,4,0)</f>
        <v>MF_SOLEDAD2</v>
      </c>
      <c r="K2216" t="s">
        <v>450</v>
      </c>
    </row>
    <row r="2217" spans="1:11">
      <c r="A2217" s="32">
        <v>795</v>
      </c>
      <c r="B2217" s="33">
        <v>1028</v>
      </c>
      <c r="C2217" s="3">
        <v>1550000</v>
      </c>
      <c r="D2217" s="3"/>
      <c r="E2217" s="7">
        <f t="shared" si="71"/>
        <v>1550000</v>
      </c>
      <c r="F2217" s="5">
        <v>45889</v>
      </c>
      <c r="G2217" s="4">
        <v>20250819</v>
      </c>
      <c r="H2217" s="38" t="str">
        <f>VLOOKUP(B2217,CAJEROS!B:D,3,0)</f>
        <v>Multifuncional</v>
      </c>
      <c r="I2217" s="34" t="s">
        <v>9</v>
      </c>
      <c r="J2217" s="38" t="str">
        <f>VLOOKUP(B2217,CAJEROS!B:E,4,0)</f>
        <v>MFSUCANVER2</v>
      </c>
      <c r="K2217" t="s">
        <v>450</v>
      </c>
    </row>
    <row r="2218" spans="1:11">
      <c r="A2218" s="32">
        <v>745</v>
      </c>
      <c r="B2218" s="33">
        <v>1477</v>
      </c>
      <c r="C2218" s="3">
        <v>196000</v>
      </c>
      <c r="D2218" s="3"/>
      <c r="E2218" s="7">
        <f t="shared" si="71"/>
        <v>196000</v>
      </c>
      <c r="F2218" s="5">
        <v>45889</v>
      </c>
      <c r="G2218" s="4">
        <v>20250819</v>
      </c>
      <c r="H2218" s="38" t="str">
        <f>VLOOKUP(B2218,CAJEROS!B:D,3,0)</f>
        <v>Multifuncional</v>
      </c>
      <c r="I2218" s="34" t="s">
        <v>9</v>
      </c>
      <c r="J2218" s="38" t="str">
        <f>VLOOKUP(B2218,CAJEROS!B:E,4,0)</f>
        <v>MFSUCMALPZ2</v>
      </c>
      <c r="K2218" t="s">
        <v>450</v>
      </c>
    </row>
    <row r="2219" spans="1:11">
      <c r="A2219" s="32">
        <v>81</v>
      </c>
      <c r="B2219" s="33">
        <v>5036</v>
      </c>
      <c r="C2219" s="3">
        <v>2248750</v>
      </c>
      <c r="D2219" s="3">
        <f>1983750+160000</f>
        <v>2143750</v>
      </c>
      <c r="E2219" s="7">
        <f t="shared" si="71"/>
        <v>105000</v>
      </c>
      <c r="F2219" s="5">
        <v>45889</v>
      </c>
      <c r="G2219" s="4">
        <v>20250819</v>
      </c>
      <c r="H2219" s="38" t="str">
        <f>VLOOKUP(B2219,CAJEROS!B:D,3,0)</f>
        <v>Multifuncional</v>
      </c>
      <c r="I2219" s="34" t="s">
        <v>9</v>
      </c>
      <c r="J2219" s="38" t="str">
        <f>VLOOKUP(B2219,CAJEROS!B:E,4,0)</f>
        <v>MF_AVKENNE</v>
      </c>
      <c r="K2219" t="s">
        <v>450</v>
      </c>
    </row>
    <row r="2220" spans="1:11">
      <c r="A2220" s="32">
        <v>154</v>
      </c>
      <c r="B2220" s="33">
        <v>5041</v>
      </c>
      <c r="C2220" s="3">
        <v>1288000</v>
      </c>
      <c r="D2220" s="3">
        <v>940000</v>
      </c>
      <c r="E2220" s="7">
        <f t="shared" si="71"/>
        <v>348000</v>
      </c>
      <c r="F2220" s="5">
        <v>45889</v>
      </c>
      <c r="G2220" s="4">
        <v>20250819</v>
      </c>
      <c r="H2220" s="38" t="str">
        <f>VLOOKUP(B2220,CAJEROS!B:D,3,0)</f>
        <v>Multifuncional</v>
      </c>
      <c r="I2220" s="34" t="s">
        <v>9</v>
      </c>
      <c r="J2220" s="38" t="str">
        <f>VLOOKUP(B2220,CAJEROS!B:E,4,0)</f>
        <v>MF_CMAYOR</v>
      </c>
      <c r="K2220" t="s">
        <v>450</v>
      </c>
    </row>
    <row r="2221" spans="1:11">
      <c r="A2221" s="32">
        <v>7</v>
      </c>
      <c r="B2221" s="33">
        <v>5059</v>
      </c>
      <c r="C2221" s="3">
        <v>1098000</v>
      </c>
      <c r="D2221" s="3">
        <f>173000+535300</f>
        <v>708300</v>
      </c>
      <c r="E2221" s="7">
        <f t="shared" si="71"/>
        <v>389700</v>
      </c>
      <c r="F2221" s="5">
        <v>45889</v>
      </c>
      <c r="G2221" s="4">
        <v>20250819</v>
      </c>
      <c r="H2221" s="38" t="str">
        <f>VLOOKUP(B2221,CAJEROS!B:D,3,0)</f>
        <v>Multifuncional</v>
      </c>
      <c r="I2221" s="34" t="s">
        <v>9</v>
      </c>
      <c r="J2221" s="38" t="str">
        <f>VLOOKUP(B2221,CAJEROS!B:E,4,0)</f>
        <v>MF_LOSMOLI1</v>
      </c>
      <c r="K2221" t="s">
        <v>450</v>
      </c>
    </row>
    <row r="2222" spans="1:11">
      <c r="A2222" s="32">
        <v>24</v>
      </c>
      <c r="B2222" s="33">
        <v>5066</v>
      </c>
      <c r="C2222" s="3">
        <v>845000</v>
      </c>
      <c r="D2222" s="3">
        <v>35000</v>
      </c>
      <c r="E2222" s="7">
        <f t="shared" si="71"/>
        <v>810000</v>
      </c>
      <c r="F2222" s="5">
        <v>45889</v>
      </c>
      <c r="G2222" s="4">
        <v>20250819</v>
      </c>
      <c r="H2222" s="38" t="str">
        <f>VLOOKUP(B2222,CAJEROS!B:D,3,0)</f>
        <v>Multifuncional</v>
      </c>
      <c r="I2222" s="34" t="s">
        <v>9</v>
      </c>
      <c r="J2222" s="38" t="str">
        <f>VLOOKUP(B2222,CAJEROS!B:E,4,0)</f>
        <v>MF_RIONEGPA</v>
      </c>
      <c r="K2222" t="s">
        <v>450</v>
      </c>
    </row>
    <row r="2223" spans="1:11">
      <c r="A2223" s="32">
        <v>115</v>
      </c>
      <c r="B2223" s="33">
        <v>5080</v>
      </c>
      <c r="C2223" s="3">
        <v>2790000</v>
      </c>
      <c r="D2223" s="3">
        <v>2230000</v>
      </c>
      <c r="E2223" s="7">
        <f t="shared" si="71"/>
        <v>560000</v>
      </c>
      <c r="F2223" s="5">
        <v>45889</v>
      </c>
      <c r="G2223" s="4">
        <v>20250819</v>
      </c>
      <c r="H2223" s="38" t="str">
        <f>VLOOKUP(B2223,CAJEROS!B:D,3,0)</f>
        <v>Multifuncional</v>
      </c>
      <c r="I2223" s="34" t="s">
        <v>9</v>
      </c>
      <c r="J2223" s="38" t="str">
        <f>VLOOKUP(B2223,CAJEROS!B:E,4,0)</f>
        <v>MF_CIPEREIR</v>
      </c>
      <c r="K2223" t="s">
        <v>450</v>
      </c>
    </row>
    <row r="2224" spans="1:11">
      <c r="A2224" s="32">
        <v>53</v>
      </c>
      <c r="B2224" s="33">
        <v>5141</v>
      </c>
      <c r="C2224" s="3">
        <v>40000</v>
      </c>
      <c r="D2224" s="3"/>
      <c r="E2224" s="7">
        <f t="shared" si="71"/>
        <v>40000</v>
      </c>
      <c r="F2224" s="5">
        <v>45889</v>
      </c>
      <c r="G2224" s="4">
        <v>20250819</v>
      </c>
      <c r="H2224" s="38" t="str">
        <f>VLOOKUP(B2224,CAJEROS!B:D,3,0)</f>
        <v>Multifuncional</v>
      </c>
      <c r="I2224" s="34" t="s">
        <v>9</v>
      </c>
      <c r="J2224" s="38" t="str">
        <f>VLOOKUP(B2224,CAJEROS!B:E,4,0)</f>
        <v>MF_CARRDECI</v>
      </c>
      <c r="K2224" t="s">
        <v>450</v>
      </c>
    </row>
    <row r="2225" spans="1:11">
      <c r="A2225" s="32">
        <v>812</v>
      </c>
      <c r="B2225" s="33">
        <v>5144</v>
      </c>
      <c r="C2225" s="3">
        <v>2043500</v>
      </c>
      <c r="D2225" s="3">
        <v>746000</v>
      </c>
      <c r="E2225" s="7">
        <f t="shared" si="71"/>
        <v>1297500</v>
      </c>
      <c r="F2225" s="5">
        <v>45889</v>
      </c>
      <c r="G2225" s="4">
        <v>20250819</v>
      </c>
      <c r="H2225" s="38" t="str">
        <f>VLOOKUP(B2225,CAJEROS!B:D,3,0)</f>
        <v>Multifuncional</v>
      </c>
      <c r="I2225" s="34" t="s">
        <v>9</v>
      </c>
      <c r="J2225" s="38" t="str">
        <f>VLOOKUP(B2225,CAJEROS!B:E,4,0)</f>
        <v>MF_CHPICHPE</v>
      </c>
      <c r="K2225" t="s">
        <v>450</v>
      </c>
    </row>
    <row r="2226" spans="1:11">
      <c r="A2226" s="32">
        <v>363</v>
      </c>
      <c r="B2226" s="33">
        <v>5168</v>
      </c>
      <c r="C2226" s="3">
        <v>345100</v>
      </c>
      <c r="D2226" s="3"/>
      <c r="E2226" s="7">
        <f t="shared" si="71"/>
        <v>345100</v>
      </c>
      <c r="F2226" s="5">
        <v>45889</v>
      </c>
      <c r="G2226" s="4">
        <v>20250819</v>
      </c>
      <c r="H2226" s="38" t="str">
        <f>VLOOKUP(B2226,CAJEROS!B:D,3,0)</f>
        <v>Multifuncional</v>
      </c>
      <c r="I2226" s="34" t="s">
        <v>9</v>
      </c>
      <c r="J2226" s="38" t="str">
        <f>VLOOKUP(B2226,CAJEROS!B:E,4,0)</f>
        <v>MF_YOPAL</v>
      </c>
      <c r="K2226" t="s">
        <v>450</v>
      </c>
    </row>
    <row r="2227" spans="1:11">
      <c r="A2227" s="32">
        <v>432</v>
      </c>
      <c r="B2227" s="33">
        <v>5195</v>
      </c>
      <c r="C2227" s="3">
        <v>2170000</v>
      </c>
      <c r="D2227" s="3">
        <v>969000</v>
      </c>
      <c r="E2227" s="7">
        <f t="shared" si="71"/>
        <v>1201000</v>
      </c>
      <c r="F2227" s="5">
        <v>45889</v>
      </c>
      <c r="G2227" s="4">
        <v>20250819</v>
      </c>
      <c r="H2227" s="38" t="str">
        <f>VLOOKUP(B2227,CAJEROS!B:D,3,0)</f>
        <v>Multifuncional</v>
      </c>
      <c r="I2227" s="34" t="s">
        <v>9</v>
      </c>
      <c r="J2227" s="38" t="str">
        <f>VLOOKUP(B2227,CAJEROS!B:E,4,0)</f>
        <v>MF_TTEDLSU1</v>
      </c>
      <c r="K2227" t="s">
        <v>450</v>
      </c>
    </row>
    <row r="2228" spans="1:11">
      <c r="A2228" s="32">
        <v>455</v>
      </c>
      <c r="B2228" s="33">
        <v>5206</v>
      </c>
      <c r="C2228" s="3">
        <v>229950</v>
      </c>
      <c r="D2228" s="3">
        <v>220000</v>
      </c>
      <c r="E2228" s="7">
        <f t="shared" si="71"/>
        <v>9950</v>
      </c>
      <c r="F2228" s="5">
        <v>45889</v>
      </c>
      <c r="G2228" s="4">
        <v>20250819</v>
      </c>
      <c r="H2228" s="38" t="str">
        <f>VLOOKUP(B2228,CAJEROS!B:D,3,0)</f>
        <v>Multifuncional</v>
      </c>
      <c r="I2228" s="34" t="s">
        <v>9</v>
      </c>
      <c r="J2228" s="38" t="str">
        <f>VLOOKUP(B2228,CAJEROS!B:E,4,0)</f>
        <v>MF_CEIBAS1</v>
      </c>
      <c r="K2228" t="s">
        <v>450</v>
      </c>
    </row>
    <row r="2229" spans="1:11">
      <c r="A2229" s="32">
        <v>178</v>
      </c>
      <c r="B2229" s="33">
        <v>6218</v>
      </c>
      <c r="C2229" s="3">
        <v>355000</v>
      </c>
      <c r="D2229" s="3">
        <v>335000</v>
      </c>
      <c r="E2229" s="7">
        <f t="shared" si="71"/>
        <v>20000</v>
      </c>
      <c r="F2229" s="5">
        <v>45889</v>
      </c>
      <c r="G2229" s="4">
        <v>20250819</v>
      </c>
      <c r="H2229" s="38" t="str">
        <f>VLOOKUP(B2229,CAJEROS!B:D,3,0)</f>
        <v>Multifuncional</v>
      </c>
      <c r="I2229" s="34" t="s">
        <v>9</v>
      </c>
      <c r="J2229" s="38" t="str">
        <f>VLOOKUP(B2229,CAJEROS!B:E,4,0)</f>
        <v>MF_CFINANCI</v>
      </c>
      <c r="K2229" t="s">
        <v>450</v>
      </c>
    </row>
    <row r="2230" spans="1:11">
      <c r="A2230" s="32">
        <v>37</v>
      </c>
      <c r="B2230" s="33">
        <v>6406</v>
      </c>
      <c r="C2230" s="3">
        <v>200000</v>
      </c>
      <c r="D2230" s="3"/>
      <c r="E2230" s="7">
        <f t="shared" si="71"/>
        <v>200000</v>
      </c>
      <c r="F2230" s="5">
        <v>45889</v>
      </c>
      <c r="G2230" s="4">
        <v>20250819</v>
      </c>
      <c r="H2230" s="38" t="str">
        <f>VLOOKUP(B2230,CAJEROS!B:D,3,0)</f>
        <v>Multifuncional</v>
      </c>
      <c r="I2230" s="34" t="s">
        <v>9</v>
      </c>
      <c r="J2230" s="38" t="str">
        <f>VLOOKUP(B2230,CAJEROS!B:E,4,0)</f>
        <v>MF_CALLE11</v>
      </c>
      <c r="K2230" t="s">
        <v>450</v>
      </c>
    </row>
    <row r="2231" spans="1:11">
      <c r="A2231" s="32">
        <v>379</v>
      </c>
      <c r="B2231" s="33">
        <v>6465</v>
      </c>
      <c r="C2231" s="3">
        <v>2800000</v>
      </c>
      <c r="D2231" s="3">
        <v>2465000</v>
      </c>
      <c r="E2231" s="7">
        <f t="shared" si="71"/>
        <v>335000</v>
      </c>
      <c r="F2231" s="5">
        <v>45889</v>
      </c>
      <c r="G2231" s="4">
        <v>20250819</v>
      </c>
      <c r="H2231" s="38" t="str">
        <f>VLOOKUP(B2231,CAJEROS!B:D,3,0)</f>
        <v>Multifuncional</v>
      </c>
      <c r="I2231" s="34" t="s">
        <v>9</v>
      </c>
      <c r="J2231" s="38" t="str">
        <f>VLOOKUP(B2231,CAJEROS!B:E,4,0)</f>
        <v>MF_SUCTESO1</v>
      </c>
      <c r="K2231" t="s">
        <v>450</v>
      </c>
    </row>
    <row r="2232" spans="1:11">
      <c r="A2232" s="32">
        <v>556</v>
      </c>
      <c r="B2232" s="33">
        <v>8333</v>
      </c>
      <c r="C2232" s="3">
        <v>495000</v>
      </c>
      <c r="D2232" s="3"/>
      <c r="E2232" s="7">
        <f t="shared" si="71"/>
        <v>495000</v>
      </c>
      <c r="F2232" s="5">
        <v>45889</v>
      </c>
      <c r="G2232" s="4">
        <v>20250819</v>
      </c>
      <c r="H2232" s="38" t="str">
        <f>VLOOKUP(B2232,CAJEROS!B:D,3,0)</f>
        <v>Multifuncional</v>
      </c>
      <c r="I2232" s="34" t="s">
        <v>9</v>
      </c>
      <c r="J2232" s="38" t="str">
        <f>VLOOKUP(B2232,CAJEROS!B:E,4,0)</f>
        <v>MF_SCARVIB1</v>
      </c>
      <c r="K2232" t="s">
        <v>450</v>
      </c>
    </row>
    <row r="2233" spans="1:11">
      <c r="A2233" s="32">
        <v>15</v>
      </c>
      <c r="B2233" s="33">
        <v>8578</v>
      </c>
      <c r="C2233" s="3">
        <v>2710000</v>
      </c>
      <c r="D2233" s="3">
        <v>1720000</v>
      </c>
      <c r="E2233" s="7">
        <f t="shared" si="71"/>
        <v>990000</v>
      </c>
      <c r="F2233" s="5">
        <v>45889</v>
      </c>
      <c r="G2233" s="4">
        <v>20250819</v>
      </c>
      <c r="H2233" s="38" t="str">
        <f>VLOOKUP(B2233,CAJEROS!B:D,3,0)</f>
        <v>Multifuncional</v>
      </c>
      <c r="I2233" s="34" t="s">
        <v>9</v>
      </c>
      <c r="J2233" s="38" t="str">
        <f>VLOOKUP(B2233,CAJEROS!B:E,4,0)</f>
        <v>MF_HITAGUI3</v>
      </c>
      <c r="K2233" t="s">
        <v>450</v>
      </c>
    </row>
    <row r="2234" spans="1:11">
      <c r="A2234" s="32">
        <v>20</v>
      </c>
      <c r="B2234" s="33">
        <v>8927</v>
      </c>
      <c r="C2234" s="3">
        <v>255000</v>
      </c>
      <c r="D2234" s="3"/>
      <c r="E2234" s="7">
        <f t="shared" si="71"/>
        <v>255000</v>
      </c>
      <c r="F2234" s="5">
        <v>45889</v>
      </c>
      <c r="G2234" s="4">
        <v>20250819</v>
      </c>
      <c r="H2234" s="38" t="str">
        <f>VLOOKUP(B2234,CAJEROS!B:D,3,0)</f>
        <v>Multifuncional</v>
      </c>
      <c r="I2234" s="34" t="s">
        <v>9</v>
      </c>
      <c r="J2234" s="38" t="str">
        <f>VLOOKUP(B2234,CAJEROS!B:E,4,0)</f>
        <v>MFSUCBUCMG2</v>
      </c>
      <c r="K2234" t="s">
        <v>450</v>
      </c>
    </row>
    <row r="2235" spans="1:11">
      <c r="A2235" s="32">
        <v>348</v>
      </c>
      <c r="B2235" s="33">
        <v>9009</v>
      </c>
      <c r="C2235" s="3">
        <v>434000</v>
      </c>
      <c r="D2235" s="3"/>
      <c r="E2235" s="7">
        <f t="shared" si="71"/>
        <v>434000</v>
      </c>
      <c r="F2235" s="5">
        <v>45889</v>
      </c>
      <c r="G2235" s="4">
        <v>20250819</v>
      </c>
      <c r="H2235" s="38" t="str">
        <f>VLOOKUP(B2235,CAJEROS!B:D,3,0)</f>
        <v>Multifuncional</v>
      </c>
      <c r="I2235" s="34" t="s">
        <v>9</v>
      </c>
      <c r="J2235" s="38" t="str">
        <f>VLOOKUP(B2235,CAJEROS!B:E,4,0)</f>
        <v>MF_SANDRES2</v>
      </c>
      <c r="K2235" t="s">
        <v>450</v>
      </c>
    </row>
    <row r="2236" spans="1:11">
      <c r="A2236" s="32">
        <v>957</v>
      </c>
      <c r="B2236" s="33">
        <v>9513</v>
      </c>
      <c r="C2236" s="3">
        <v>1845000</v>
      </c>
      <c r="D2236" s="3"/>
      <c r="E2236" s="7">
        <f t="shared" si="71"/>
        <v>1845000</v>
      </c>
      <c r="F2236" s="5">
        <v>45889</v>
      </c>
      <c r="G2236" s="4">
        <v>20250819</v>
      </c>
      <c r="H2236" s="38" t="str">
        <f>VLOOKUP(B2236,CAJEROS!B:D,3,0)</f>
        <v>Multifuncional</v>
      </c>
      <c r="I2236" s="34" t="s">
        <v>9</v>
      </c>
      <c r="J2236" s="38" t="str">
        <f>VLOOKUP(B2236,CAJEROS!B:E,4,0)</f>
        <v>MFSUCPARAL2</v>
      </c>
      <c r="K2236" t="s">
        <v>450</v>
      </c>
    </row>
    <row r="2237" spans="1:11">
      <c r="A2237" s="32">
        <v>551</v>
      </c>
      <c r="B2237" s="33">
        <v>9644</v>
      </c>
      <c r="C2237" s="3">
        <v>70000</v>
      </c>
      <c r="D2237" s="3"/>
      <c r="E2237" s="7">
        <f t="shared" si="71"/>
        <v>70000</v>
      </c>
      <c r="F2237" s="5">
        <v>45889</v>
      </c>
      <c r="G2237" s="4">
        <v>20250819</v>
      </c>
      <c r="H2237" s="38" t="str">
        <f>VLOOKUP(B2237,CAJEROS!B:D,3,0)</f>
        <v>Multifuncional</v>
      </c>
      <c r="I2237" s="34" t="s">
        <v>9</v>
      </c>
      <c r="J2237" s="38" t="str">
        <f>VLOOKUP(B2237,CAJEROS!B:E,4,0)</f>
        <v>MFSUCUNIME2</v>
      </c>
      <c r="K2237" t="s">
        <v>450</v>
      </c>
    </row>
    <row r="2238" spans="1:11">
      <c r="A2238" s="32">
        <v>60</v>
      </c>
      <c r="B2238" s="33">
        <v>8726</v>
      </c>
      <c r="C2238" s="3">
        <v>20000</v>
      </c>
      <c r="D2238" s="3"/>
      <c r="E2238" s="7">
        <f t="shared" si="71"/>
        <v>20000</v>
      </c>
      <c r="F2238" s="5">
        <v>45889</v>
      </c>
      <c r="G2238" s="4">
        <v>20250819</v>
      </c>
      <c r="H2238" s="38" t="str">
        <f>VLOOKUP(B2238,CAJEROS!B:D,3,0)</f>
        <v>Dispensador</v>
      </c>
      <c r="I2238" s="34" t="s">
        <v>10</v>
      </c>
      <c r="J2238" s="38" t="str">
        <f>VLOOKUP(B2238,CAJEROS!B:E,4,0)</f>
        <v>HALLCALIPR8</v>
      </c>
      <c r="K2238" t="s">
        <v>450</v>
      </c>
    </row>
    <row r="2239" spans="1:11">
      <c r="A2239" s="32">
        <v>185</v>
      </c>
      <c r="B2239" s="33">
        <v>7959</v>
      </c>
      <c r="C2239" s="3">
        <v>10000</v>
      </c>
      <c r="D2239" s="3"/>
      <c r="E2239" s="7">
        <f t="shared" si="71"/>
        <v>10000</v>
      </c>
      <c r="F2239" s="5">
        <v>45889</v>
      </c>
      <c r="G2239" s="4">
        <v>20250819</v>
      </c>
      <c r="H2239" s="38" t="str">
        <f>VLOOKUP(B2239,CAJEROS!B:D,3,0)</f>
        <v>Dispensador</v>
      </c>
      <c r="I2239" s="34" t="s">
        <v>10</v>
      </c>
      <c r="J2239" s="38" t="str">
        <f>VLOOKUP(B2239,CAJEROS!B:E,4,0)</f>
        <v>SUCLLAGRPA3</v>
      </c>
      <c r="K2239" t="s">
        <v>450</v>
      </c>
    </row>
    <row r="2240" spans="1:11">
      <c r="A2240" s="32">
        <v>951</v>
      </c>
      <c r="B2240" s="33">
        <v>7776</v>
      </c>
      <c r="C2240" s="3">
        <v>20000</v>
      </c>
      <c r="D2240" s="3"/>
      <c r="E2240" s="7">
        <f t="shared" si="71"/>
        <v>20000</v>
      </c>
      <c r="F2240" s="5">
        <v>45889</v>
      </c>
      <c r="G2240" s="4">
        <v>20250819</v>
      </c>
      <c r="H2240" s="38" t="str">
        <f>VLOOKUP(B2240,CAJEROS!B:D,3,0)</f>
        <v>Dispensador</v>
      </c>
      <c r="I2240" s="34" t="s">
        <v>10</v>
      </c>
      <c r="J2240" s="38" t="str">
        <f>VLOOKUP(B2240,CAJEROS!B:E,4,0)</f>
        <v>AUTOBOSCO1</v>
      </c>
      <c r="K2240" t="s">
        <v>450</v>
      </c>
    </row>
    <row r="2241" spans="1:11">
      <c r="A2241" s="32">
        <v>466</v>
      </c>
      <c r="B2241" s="33">
        <v>6777</v>
      </c>
      <c r="C2241" s="3">
        <v>20000</v>
      </c>
      <c r="D2241" s="3"/>
      <c r="E2241" s="7">
        <f t="shared" si="71"/>
        <v>20000</v>
      </c>
      <c r="F2241" s="5">
        <v>45889</v>
      </c>
      <c r="G2241" s="4">
        <v>20250819</v>
      </c>
      <c r="H2241" s="38" t="str">
        <f>VLOOKUP(B2241,CAJEROS!B:D,3,0)</f>
        <v>Dispensador</v>
      </c>
      <c r="I2241" s="34" t="s">
        <v>10</v>
      </c>
      <c r="J2241" s="38" t="str">
        <f>VLOOKUP(B2241,CAJEROS!B:E,4,0)</f>
        <v>SUCFLOREN_2</v>
      </c>
      <c r="K2241" t="s">
        <v>450</v>
      </c>
    </row>
    <row r="2242" spans="1:11">
      <c r="A2242" s="32">
        <v>400</v>
      </c>
      <c r="B2242" s="33">
        <v>2939</v>
      </c>
      <c r="C2242" s="3">
        <v>10000</v>
      </c>
      <c r="D2242" s="3"/>
      <c r="E2242" s="7">
        <f t="shared" si="71"/>
        <v>10000</v>
      </c>
      <c r="F2242" s="5">
        <v>45889</v>
      </c>
      <c r="G2242" s="4">
        <v>20250819</v>
      </c>
      <c r="H2242" s="38" t="str">
        <f>VLOOKUP(B2242,CAJEROS!B:D,3,0)</f>
        <v>Dispensador</v>
      </c>
      <c r="I2242" s="34" t="s">
        <v>10</v>
      </c>
      <c r="J2242" s="38" t="str">
        <f>VLOOKUP(B2242,CAJEROS!B:E,4,0)</f>
        <v>STA_BARBARA</v>
      </c>
      <c r="K2242" t="s">
        <v>450</v>
      </c>
    </row>
    <row r="2243" spans="1:11">
      <c r="A2243" s="32">
        <v>828</v>
      </c>
      <c r="B2243" s="33">
        <v>2235</v>
      </c>
      <c r="C2243" s="3">
        <v>20000</v>
      </c>
      <c r="D2243" s="3"/>
      <c r="E2243" s="7">
        <f t="shared" si="71"/>
        <v>20000</v>
      </c>
      <c r="F2243" s="5">
        <v>45889</v>
      </c>
      <c r="G2243" s="4">
        <v>20250819</v>
      </c>
      <c r="H2243" s="38" t="str">
        <f>VLOOKUP(B2243,CAJEROS!B:D,3,0)</f>
        <v>Dispensador</v>
      </c>
      <c r="I2243" s="34" t="s">
        <v>10</v>
      </c>
      <c r="J2243" s="38" t="str">
        <f>VLOOKUP(B2243,CAJEROS!B:E,4,0)</f>
        <v>SUC_SANJOS5</v>
      </c>
      <c r="K2243" t="s">
        <v>450</v>
      </c>
    </row>
    <row r="2244" spans="1:11">
      <c r="A2244" s="32">
        <v>68</v>
      </c>
      <c r="B2244" s="33">
        <v>4979</v>
      </c>
      <c r="C2244" s="3">
        <v>8110000</v>
      </c>
      <c r="D2244" s="3"/>
      <c r="E2244" s="7">
        <f t="shared" si="71"/>
        <v>8110000</v>
      </c>
      <c r="F2244" s="5">
        <v>45890</v>
      </c>
      <c r="G2244" s="4">
        <v>20250820</v>
      </c>
      <c r="H2244" s="38" t="str">
        <f>VLOOKUP(B2244,CAJEROS!B:D,3,0)</f>
        <v>Dispensador</v>
      </c>
      <c r="I2244" s="34"/>
      <c r="J2244" s="38" t="str">
        <f>VLOOKUP(B2244,CAJEROS!B:E,4,0)</f>
        <v>AUTO_IBAGU1</v>
      </c>
      <c r="K2244" t="s">
        <v>450</v>
      </c>
    </row>
    <row r="2245" spans="1:11">
      <c r="A2245" s="32">
        <v>195</v>
      </c>
      <c r="B2245" s="33">
        <v>6392</v>
      </c>
      <c r="C2245" s="3">
        <v>100000</v>
      </c>
      <c r="D2245" s="3">
        <v>20000</v>
      </c>
      <c r="E2245" s="7">
        <f t="shared" si="71"/>
        <v>80000</v>
      </c>
      <c r="F2245" s="5">
        <v>45890</v>
      </c>
      <c r="G2245" s="4">
        <v>20250820</v>
      </c>
      <c r="H2245" s="38" t="str">
        <f>VLOOKUP(B2245,CAJEROS!B:D,3,0)</f>
        <v>Dispensador</v>
      </c>
      <c r="I2245" s="34"/>
      <c r="J2245" s="38" t="str">
        <f>VLOOKUP(B2245,CAJEROS!B:E,4,0)</f>
        <v>LAUNIONNAR2</v>
      </c>
      <c r="K2245" t="s">
        <v>450</v>
      </c>
    </row>
    <row r="2246" spans="1:11">
      <c r="A2246" s="32">
        <v>213</v>
      </c>
      <c r="B2246" s="33">
        <v>5594</v>
      </c>
      <c r="C2246" s="3">
        <v>40000</v>
      </c>
      <c r="D2246" s="3"/>
      <c r="E2246" s="7">
        <f t="shared" si="71"/>
        <v>40000</v>
      </c>
      <c r="F2246" s="5">
        <v>45890</v>
      </c>
      <c r="G2246" s="4">
        <v>20250820</v>
      </c>
      <c r="H2246" s="38" t="str">
        <f>VLOOKUP(B2246,CAJEROS!B:D,3,0)</f>
        <v>Dispensador</v>
      </c>
      <c r="I2246" s="34"/>
      <c r="J2246" s="38" t="str">
        <f>VLOOKUP(B2246,CAJEROS!B:E,4,0)</f>
        <v>CCMILPLAZA1</v>
      </c>
      <c r="K2246" t="s">
        <v>450</v>
      </c>
    </row>
    <row r="2247" spans="1:11">
      <c r="A2247" s="32">
        <v>254</v>
      </c>
      <c r="B2247" s="33">
        <v>9211</v>
      </c>
      <c r="C2247" s="3">
        <v>50000</v>
      </c>
      <c r="D2247" s="3"/>
      <c r="E2247" s="7">
        <f t="shared" si="71"/>
        <v>50000</v>
      </c>
      <c r="F2247" s="5">
        <v>45890</v>
      </c>
      <c r="G2247" s="4">
        <v>20250820</v>
      </c>
      <c r="H2247" s="38" t="str">
        <f>VLOOKUP(B2247,CAJEROS!B:D,3,0)</f>
        <v>Dispensador</v>
      </c>
      <c r="I2247" s="34"/>
      <c r="J2247" s="38" t="str">
        <f>VLOOKUP(B2247,CAJEROS!B:E,4,0)</f>
        <v>PTOBOYACA1</v>
      </c>
      <c r="K2247" t="s">
        <v>450</v>
      </c>
    </row>
    <row r="2248" spans="1:11">
      <c r="A2248" s="32">
        <v>306</v>
      </c>
      <c r="B2248" s="33">
        <v>3062</v>
      </c>
      <c r="C2248" s="3">
        <v>50000</v>
      </c>
      <c r="D2248" s="3"/>
      <c r="E2248" s="7">
        <f t="shared" si="71"/>
        <v>50000</v>
      </c>
      <c r="F2248" s="5">
        <v>45890</v>
      </c>
      <c r="G2248" s="4">
        <v>20250820</v>
      </c>
      <c r="H2248" s="38" t="str">
        <f>VLOOKUP(B2248,CAJEROS!B:D,3,0)</f>
        <v>Dispensador</v>
      </c>
      <c r="I2248" s="34"/>
      <c r="J2248" s="38" t="str">
        <f>VLOOKUP(B2248,CAJEROS!B:E,4,0)</f>
        <v>BBERMEJA_2</v>
      </c>
      <c r="K2248" t="s">
        <v>450</v>
      </c>
    </row>
    <row r="2249" spans="1:11">
      <c r="A2249" s="32">
        <v>330</v>
      </c>
      <c r="B2249" s="33">
        <v>4407</v>
      </c>
      <c r="C2249" s="3">
        <v>2250000</v>
      </c>
      <c r="D2249" s="3"/>
      <c r="E2249" s="7">
        <f t="shared" si="71"/>
        <v>2250000</v>
      </c>
      <c r="F2249" s="5">
        <v>45890</v>
      </c>
      <c r="G2249" s="4">
        <v>20250820</v>
      </c>
      <c r="H2249" s="38" t="str">
        <f>VLOOKUP(B2249,CAJEROS!B:D,3,0)</f>
        <v>Dispensador</v>
      </c>
      <c r="I2249" s="34"/>
      <c r="J2249" s="38" t="str">
        <f>VLOOKUP(B2249,CAJEROS!B:E,4,0)</f>
        <v>SUC_MALAMB2</v>
      </c>
      <c r="K2249" t="s">
        <v>450</v>
      </c>
    </row>
    <row r="2250" spans="1:11">
      <c r="A2250" s="32">
        <v>330</v>
      </c>
      <c r="B2250" s="33">
        <v>6747</v>
      </c>
      <c r="C2250" s="3">
        <v>800000</v>
      </c>
      <c r="D2250" s="3"/>
      <c r="E2250" s="7">
        <f t="shared" si="71"/>
        <v>800000</v>
      </c>
      <c r="F2250" s="5">
        <v>45890</v>
      </c>
      <c r="G2250" s="4">
        <v>20250820</v>
      </c>
      <c r="H2250" s="38" t="str">
        <f>VLOOKUP(B2250,CAJEROS!B:D,3,0)</f>
        <v>Dispensador</v>
      </c>
      <c r="I2250" s="34"/>
      <c r="J2250" s="38" t="str">
        <f>VLOOKUP(B2250,CAJEROS!B:E,4,0)</f>
        <v>SUC_MALAMB3</v>
      </c>
      <c r="K2250" t="s">
        <v>450</v>
      </c>
    </row>
    <row r="2251" spans="1:11">
      <c r="A2251" s="32">
        <v>371</v>
      </c>
      <c r="B2251" s="33">
        <v>3710</v>
      </c>
      <c r="C2251" s="3">
        <v>10000</v>
      </c>
      <c r="D2251" s="3"/>
      <c r="E2251" s="7">
        <f t="shared" si="71"/>
        <v>10000</v>
      </c>
      <c r="F2251" s="5">
        <v>45890</v>
      </c>
      <c r="G2251" s="4">
        <v>20250820</v>
      </c>
      <c r="H2251" s="38" t="str">
        <f>VLOOKUP(B2251,CAJEROS!B:D,3,0)</f>
        <v>Dispensador</v>
      </c>
      <c r="I2251" s="34"/>
      <c r="J2251" s="38" t="str">
        <f>VLOOKUP(B2251,CAJEROS!B:E,4,0)</f>
        <v>CAUCASIA</v>
      </c>
      <c r="K2251" t="s">
        <v>450</v>
      </c>
    </row>
    <row r="2252" spans="1:11">
      <c r="A2252" s="32">
        <v>377</v>
      </c>
      <c r="B2252" s="33">
        <v>1504</v>
      </c>
      <c r="C2252" s="3">
        <v>30000</v>
      </c>
      <c r="D2252" s="3"/>
      <c r="E2252" s="7">
        <f t="shared" si="71"/>
        <v>30000</v>
      </c>
      <c r="F2252" s="5">
        <v>45890</v>
      </c>
      <c r="G2252" s="4">
        <v>20250820</v>
      </c>
      <c r="H2252" s="38" t="str">
        <f>VLOOKUP(B2252,CAJEROS!B:D,3,0)</f>
        <v>Dispensador</v>
      </c>
      <c r="I2252" s="34"/>
      <c r="J2252" s="38" t="str">
        <f>VLOOKUP(B2252,CAJEROS!B:E,4,0)</f>
        <v>SUCCIALAVE1</v>
      </c>
      <c r="K2252" t="s">
        <v>450</v>
      </c>
    </row>
    <row r="2253" spans="1:11">
      <c r="A2253" s="32">
        <v>377</v>
      </c>
      <c r="B2253" s="33">
        <v>1505</v>
      </c>
      <c r="C2253" s="3">
        <v>40000</v>
      </c>
      <c r="D2253" s="3"/>
      <c r="E2253" s="7">
        <f t="shared" si="71"/>
        <v>40000</v>
      </c>
      <c r="F2253" s="5">
        <v>45890</v>
      </c>
      <c r="G2253" s="4">
        <v>20250820</v>
      </c>
      <c r="H2253" s="38" t="str">
        <f>VLOOKUP(B2253,CAJEROS!B:D,3,0)</f>
        <v>Dispensador</v>
      </c>
      <c r="I2253" s="34"/>
      <c r="J2253" s="38" t="str">
        <f>VLOOKUP(B2253,CAJEROS!B:E,4,0)</f>
        <v>SUCCIALAVE2</v>
      </c>
      <c r="K2253" t="s">
        <v>450</v>
      </c>
    </row>
    <row r="2254" spans="1:11">
      <c r="A2254" s="32">
        <v>377</v>
      </c>
      <c r="B2254" s="33">
        <v>1506</v>
      </c>
      <c r="C2254" s="3">
        <v>20000</v>
      </c>
      <c r="D2254" s="3"/>
      <c r="E2254" s="7">
        <f t="shared" si="71"/>
        <v>20000</v>
      </c>
      <c r="F2254" s="5">
        <v>45890</v>
      </c>
      <c r="G2254" s="4">
        <v>20250820</v>
      </c>
      <c r="H2254" s="38" t="str">
        <f>VLOOKUP(B2254,CAJEROS!B:D,3,0)</f>
        <v>Dispensador</v>
      </c>
      <c r="I2254" s="34"/>
      <c r="J2254" s="38" t="str">
        <f>VLOOKUP(B2254,CAJEROS!B:E,4,0)</f>
        <v>SUCCIALAVE3</v>
      </c>
      <c r="K2254" t="s">
        <v>450</v>
      </c>
    </row>
    <row r="2255" spans="1:11">
      <c r="A2255" s="32">
        <v>399</v>
      </c>
      <c r="B2255" s="33">
        <v>8441</v>
      </c>
      <c r="C2255" s="3">
        <v>20000</v>
      </c>
      <c r="D2255" s="3"/>
      <c r="E2255" s="7">
        <f t="shared" si="71"/>
        <v>20000</v>
      </c>
      <c r="F2255" s="5">
        <v>45890</v>
      </c>
      <c r="G2255" s="4">
        <v>20250820</v>
      </c>
      <c r="H2255" s="38" t="str">
        <f>VLOOKUP(B2255,CAJEROS!B:D,3,0)</f>
        <v>Dispensador</v>
      </c>
      <c r="I2255" s="34"/>
      <c r="J2255" s="38" t="str">
        <f>VLOOKUP(B2255,CAJEROS!B:E,4,0)</f>
        <v>SUCGIRARDO2</v>
      </c>
      <c r="K2255" t="s">
        <v>450</v>
      </c>
    </row>
    <row r="2256" spans="1:11">
      <c r="A2256" s="32">
        <v>422</v>
      </c>
      <c r="B2256" s="33">
        <v>4555</v>
      </c>
      <c r="C2256" s="3">
        <v>1250000</v>
      </c>
      <c r="D2256" s="3">
        <f>950000+50000</f>
        <v>1000000</v>
      </c>
      <c r="E2256" s="7">
        <f t="shared" si="71"/>
        <v>250000</v>
      </c>
      <c r="F2256" s="5">
        <v>45890</v>
      </c>
      <c r="G2256" s="4">
        <v>20250820</v>
      </c>
      <c r="H2256" s="38" t="str">
        <f>VLOOKUP(B2256,CAJEROS!B:D,3,0)</f>
        <v>Dispensador</v>
      </c>
      <c r="I2256" s="34"/>
      <c r="J2256" s="38" t="str">
        <f>VLOOKUP(B2256,CAJEROS!B:E,4,0)</f>
        <v>CHAPARRAL_2</v>
      </c>
      <c r="K2256" t="s">
        <v>450</v>
      </c>
    </row>
    <row r="2257" spans="1:11">
      <c r="A2257" s="32">
        <v>583</v>
      </c>
      <c r="B2257" s="33">
        <v>7632</v>
      </c>
      <c r="C2257" s="3">
        <v>100000</v>
      </c>
      <c r="D2257" s="3"/>
      <c r="E2257" s="7">
        <f t="shared" si="71"/>
        <v>100000</v>
      </c>
      <c r="F2257" s="5">
        <v>45890</v>
      </c>
      <c r="G2257" s="4">
        <v>20250820</v>
      </c>
      <c r="H2257" s="38" t="str">
        <f>VLOOKUP(B2257,CAJEROS!B:D,3,0)</f>
        <v>Dispensador</v>
      </c>
      <c r="I2257" s="34"/>
      <c r="J2257" s="38" t="str">
        <f>VLOOKUP(B2257,CAJEROS!B:E,4,0)</f>
        <v>SUCRIOSUCI2</v>
      </c>
      <c r="K2257" t="s">
        <v>450</v>
      </c>
    </row>
    <row r="2258" spans="1:11">
      <c r="A2258" s="32">
        <v>647</v>
      </c>
      <c r="B2258" s="33">
        <v>3863</v>
      </c>
      <c r="C2258" s="3">
        <v>30000</v>
      </c>
      <c r="D2258" s="3"/>
      <c r="E2258" s="7">
        <f t="shared" ref="E2258:E2321" si="72">+C2258-D2258</f>
        <v>30000</v>
      </c>
      <c r="F2258" s="5">
        <v>45890</v>
      </c>
      <c r="G2258" s="4">
        <v>20250820</v>
      </c>
      <c r="H2258" s="38" t="str">
        <f>VLOOKUP(B2258,CAJEROS!B:D,3,0)</f>
        <v>Dispensador</v>
      </c>
      <c r="I2258" s="34"/>
      <c r="J2258" s="38" t="str">
        <f>VLOOKUP(B2258,CAJEROS!B:E,4,0)</f>
        <v>SUC_MARINI2</v>
      </c>
      <c r="K2258" t="s">
        <v>450</v>
      </c>
    </row>
    <row r="2259" spans="1:11">
      <c r="A2259" s="32">
        <v>651</v>
      </c>
      <c r="B2259" s="33">
        <v>6511</v>
      </c>
      <c r="C2259" s="3">
        <v>2700000</v>
      </c>
      <c r="D2259" s="3"/>
      <c r="E2259" s="7">
        <f t="shared" si="72"/>
        <v>2700000</v>
      </c>
      <c r="F2259" s="5">
        <v>45890</v>
      </c>
      <c r="G2259" s="4">
        <v>20250820</v>
      </c>
      <c r="H2259" s="38" t="str">
        <f>VLOOKUP(B2259,CAJEROS!B:D,3,0)</f>
        <v>Dispensador</v>
      </c>
      <c r="I2259" s="34"/>
      <c r="J2259" s="38" t="str">
        <f>VLOOKUP(B2259,CAJEROS!B:E,4,0)</f>
        <v>BARBOSA</v>
      </c>
      <c r="K2259" t="s">
        <v>450</v>
      </c>
    </row>
    <row r="2260" spans="1:11">
      <c r="A2260" s="32">
        <v>677</v>
      </c>
      <c r="B2260" s="33">
        <v>5835</v>
      </c>
      <c r="C2260" s="3">
        <v>100000</v>
      </c>
      <c r="D2260" s="3"/>
      <c r="E2260" s="7">
        <f t="shared" si="72"/>
        <v>100000</v>
      </c>
      <c r="F2260" s="5">
        <v>45890</v>
      </c>
      <c r="G2260" s="4">
        <v>20250820</v>
      </c>
      <c r="H2260" s="38" t="str">
        <f>VLOOKUP(B2260,CAJEROS!B:D,3,0)</f>
        <v>Dispensador</v>
      </c>
      <c r="I2260" s="34"/>
      <c r="J2260" s="38" t="str">
        <f>VLOOKUP(B2260,CAJEROS!B:E,4,0)</f>
        <v>SUCPLZMERCA</v>
      </c>
      <c r="K2260" t="s">
        <v>450</v>
      </c>
    </row>
    <row r="2261" spans="1:11">
      <c r="A2261" s="32">
        <v>677</v>
      </c>
      <c r="B2261" s="33">
        <v>6896</v>
      </c>
      <c r="C2261" s="3">
        <v>700000</v>
      </c>
      <c r="D2261" s="3"/>
      <c r="E2261" s="7">
        <f t="shared" si="72"/>
        <v>700000</v>
      </c>
      <c r="F2261" s="5">
        <v>45890</v>
      </c>
      <c r="G2261" s="4">
        <v>20250820</v>
      </c>
      <c r="H2261" s="38" t="str">
        <f>VLOOKUP(B2261,CAJEROS!B:D,3,0)</f>
        <v>Dispensador</v>
      </c>
      <c r="I2261" s="34"/>
      <c r="J2261" s="38" t="str">
        <f>VLOOKUP(B2261,CAJEROS!B:E,4,0)</f>
        <v>SUCPLZMERC2</v>
      </c>
      <c r="K2261" t="s">
        <v>450</v>
      </c>
    </row>
    <row r="2262" spans="1:11">
      <c r="A2262" s="32">
        <v>915</v>
      </c>
      <c r="B2262" s="33">
        <v>8315</v>
      </c>
      <c r="C2262" s="3">
        <v>2250000</v>
      </c>
      <c r="D2262" s="3"/>
      <c r="E2262" s="7">
        <f t="shared" si="72"/>
        <v>2250000</v>
      </c>
      <c r="F2262" s="5">
        <v>45890</v>
      </c>
      <c r="G2262" s="4">
        <v>20250820</v>
      </c>
      <c r="H2262" s="38" t="str">
        <f>VLOOKUP(B2262,CAJEROS!B:D,3,0)</f>
        <v>Dispensador</v>
      </c>
      <c r="I2262" s="34"/>
      <c r="J2262" s="38" t="str">
        <f>VLOOKUP(B2262,CAJEROS!B:E,4,0)</f>
        <v>SUCBANLABB1</v>
      </c>
      <c r="K2262" t="s">
        <v>450</v>
      </c>
    </row>
    <row r="2263" spans="1:11">
      <c r="A2263" s="32">
        <v>68</v>
      </c>
      <c r="B2263" s="33">
        <v>4981</v>
      </c>
      <c r="C2263" s="3">
        <v>5880000</v>
      </c>
      <c r="D2263" s="3">
        <v>5000000</v>
      </c>
      <c r="E2263" s="7">
        <f t="shared" si="72"/>
        <v>880000</v>
      </c>
      <c r="F2263" s="5">
        <v>45890</v>
      </c>
      <c r="G2263" s="4">
        <v>20250820</v>
      </c>
      <c r="H2263" s="38" t="str">
        <f>VLOOKUP(B2263,CAJEROS!B:D,3,0)</f>
        <v>Dispensador</v>
      </c>
      <c r="I2263" s="34" t="s">
        <v>9</v>
      </c>
      <c r="J2263" s="38" t="str">
        <f>VLOOKUP(B2263,CAJEROS!B:E,4,0)</f>
        <v>AUTO_IBAGU3</v>
      </c>
      <c r="K2263" t="s">
        <v>450</v>
      </c>
    </row>
    <row r="2264" spans="1:11">
      <c r="A2264" s="32">
        <v>289</v>
      </c>
      <c r="B2264" s="33">
        <v>4593</v>
      </c>
      <c r="C2264" s="3">
        <v>130000</v>
      </c>
      <c r="D2264" s="3">
        <v>80000</v>
      </c>
      <c r="E2264" s="7">
        <f t="shared" si="72"/>
        <v>50000</v>
      </c>
      <c r="F2264" s="5">
        <v>45890</v>
      </c>
      <c r="G2264" s="4">
        <v>20250820</v>
      </c>
      <c r="H2264" s="38" t="str">
        <f>VLOOKUP(B2264,CAJEROS!B:D,3,0)</f>
        <v>Dispensador</v>
      </c>
      <c r="I2264" s="34" t="s">
        <v>9</v>
      </c>
      <c r="J2264" s="38" t="str">
        <f>VLOOKUP(B2264,CAJEROS!B:E,4,0)</f>
        <v>SUC_PGAIT3</v>
      </c>
      <c r="K2264" t="s">
        <v>450</v>
      </c>
    </row>
    <row r="2265" spans="1:11">
      <c r="A2265" s="32">
        <v>523</v>
      </c>
      <c r="B2265" s="33">
        <v>3997</v>
      </c>
      <c r="C2265" s="3">
        <v>3880000</v>
      </c>
      <c r="D2265" s="3"/>
      <c r="E2265" s="7">
        <f t="shared" si="72"/>
        <v>3880000</v>
      </c>
      <c r="F2265" s="5">
        <v>45890</v>
      </c>
      <c r="G2265" s="4">
        <v>20250820</v>
      </c>
      <c r="H2265" s="38" t="str">
        <f>VLOOKUP(B2265,CAJEROS!B:D,3,0)</f>
        <v>Dispensador</v>
      </c>
      <c r="I2265" s="34" t="s">
        <v>9</v>
      </c>
      <c r="J2265" s="38" t="str">
        <f>VLOOKUP(B2265,CAJEROS!B:E,4,0)</f>
        <v>SUC_OVALLE3</v>
      </c>
      <c r="K2265" t="s">
        <v>450</v>
      </c>
    </row>
    <row r="2266" spans="1:11">
      <c r="A2266" s="32">
        <v>688</v>
      </c>
      <c r="B2266" s="33">
        <v>4843</v>
      </c>
      <c r="C2266" s="3">
        <v>50000</v>
      </c>
      <c r="D2266" s="3"/>
      <c r="E2266" s="7">
        <f t="shared" si="72"/>
        <v>50000</v>
      </c>
      <c r="F2266" s="5">
        <v>45890</v>
      </c>
      <c r="G2266" s="4">
        <v>20250820</v>
      </c>
      <c r="H2266" s="38" t="str">
        <f>VLOOKUP(B2266,CAJEROS!B:D,3,0)</f>
        <v>Dispensador</v>
      </c>
      <c r="I2266" s="34" t="s">
        <v>9</v>
      </c>
      <c r="J2266" s="38" t="str">
        <f>VLOOKUP(B2266,CAJEROS!B:E,4,0)</f>
        <v>SUC_CONTAD2</v>
      </c>
      <c r="K2266" t="s">
        <v>450</v>
      </c>
    </row>
    <row r="2267" spans="1:11">
      <c r="A2267" s="32">
        <v>690</v>
      </c>
      <c r="B2267" s="33">
        <v>944</v>
      </c>
      <c r="C2267" s="3">
        <v>600000</v>
      </c>
      <c r="D2267" s="3">
        <v>400000</v>
      </c>
      <c r="E2267" s="7">
        <f t="shared" si="72"/>
        <v>200000</v>
      </c>
      <c r="F2267" s="5">
        <v>45890</v>
      </c>
      <c r="G2267" s="4">
        <v>20250820</v>
      </c>
      <c r="H2267" s="38" t="str">
        <f>VLOOKUP(B2267,CAJEROS!B:D,3,0)</f>
        <v>Dispensador</v>
      </c>
      <c r="I2267" s="34" t="s">
        <v>9</v>
      </c>
      <c r="J2267" s="38" t="str">
        <f>VLOOKUP(B2267,CAJEROS!B:E,4,0)</f>
        <v>HOTELTEQ1</v>
      </c>
      <c r="K2267" t="s">
        <v>450</v>
      </c>
    </row>
    <row r="2268" spans="1:11">
      <c r="A2268" s="32">
        <v>705</v>
      </c>
      <c r="B2268" s="33">
        <v>4151</v>
      </c>
      <c r="C2268" s="3">
        <v>300000</v>
      </c>
      <c r="D2268" s="3">
        <v>200000</v>
      </c>
      <c r="E2268" s="7">
        <f t="shared" si="72"/>
        <v>100000</v>
      </c>
      <c r="F2268" s="5">
        <v>45890</v>
      </c>
      <c r="G2268" s="4">
        <v>20250820</v>
      </c>
      <c r="H2268" s="38" t="str">
        <f>VLOOKUP(B2268,CAJEROS!B:D,3,0)</f>
        <v>Dispensador</v>
      </c>
      <c r="I2268" s="34" t="s">
        <v>9</v>
      </c>
      <c r="J2268" s="38" t="str">
        <f>VLOOKUP(B2268,CAJEROS!B:E,4,0)</f>
        <v>SUC_BAGRE1</v>
      </c>
      <c r="K2268" t="s">
        <v>450</v>
      </c>
    </row>
    <row r="2269" spans="1:11">
      <c r="A2269" s="32">
        <v>809</v>
      </c>
      <c r="B2269" s="33">
        <v>6400</v>
      </c>
      <c r="C2269" s="3">
        <v>100000</v>
      </c>
      <c r="D2269" s="3"/>
      <c r="E2269" s="7">
        <f t="shared" si="72"/>
        <v>100000</v>
      </c>
      <c r="F2269" s="5">
        <v>45890</v>
      </c>
      <c r="G2269" s="4">
        <v>20250820</v>
      </c>
      <c r="H2269" s="38" t="str">
        <f>VLOOKUP(B2269,CAJEROS!B:D,3,0)</f>
        <v>Dispensador</v>
      </c>
      <c r="I2269" s="34" t="s">
        <v>9</v>
      </c>
      <c r="J2269" s="38" t="str">
        <f>VLOOKUP(B2269,CAJEROS!B:E,4,0)</f>
        <v>SUCMIRANDA2</v>
      </c>
      <c r="K2269" t="s">
        <v>450</v>
      </c>
    </row>
    <row r="2270" spans="1:11">
      <c r="A2270" s="32">
        <v>844</v>
      </c>
      <c r="B2270" s="33">
        <v>6157</v>
      </c>
      <c r="C2270" s="3">
        <v>250000</v>
      </c>
      <c r="D2270" s="3">
        <v>120000</v>
      </c>
      <c r="E2270" s="7">
        <f t="shared" si="72"/>
        <v>130000</v>
      </c>
      <c r="F2270" s="5">
        <v>45890</v>
      </c>
      <c r="G2270" s="4">
        <v>20250820</v>
      </c>
      <c r="H2270" s="38" t="str">
        <f>VLOOKUP(B2270,CAJEROS!B:D,3,0)</f>
        <v>Dispensador</v>
      </c>
      <c r="I2270" s="34" t="s">
        <v>9</v>
      </c>
      <c r="J2270" s="38" t="str">
        <f>VLOOKUP(B2270,CAJEROS!B:E,4,0)</f>
        <v>SUCCCPRIMA3</v>
      </c>
      <c r="K2270" t="s">
        <v>450</v>
      </c>
    </row>
    <row r="2271" spans="1:11">
      <c r="A2271" s="32">
        <v>882</v>
      </c>
      <c r="B2271" s="33">
        <v>3510</v>
      </c>
      <c r="C2271" s="3">
        <v>200000</v>
      </c>
      <c r="D2271" s="3"/>
      <c r="E2271" s="7">
        <f t="shared" si="72"/>
        <v>200000</v>
      </c>
      <c r="F2271" s="5">
        <v>45890</v>
      </c>
      <c r="G2271" s="4">
        <v>20250820</v>
      </c>
      <c r="H2271" s="38" t="str">
        <f>VLOOKUP(B2271,CAJEROS!B:D,3,0)</f>
        <v>Dispensador</v>
      </c>
      <c r="I2271" s="34" t="s">
        <v>9</v>
      </c>
      <c r="J2271" s="38" t="str">
        <f>VLOOKUP(B2271,CAJEROS!B:E,4,0)</f>
        <v>LIBERTADOR1</v>
      </c>
      <c r="K2271" t="s">
        <v>450</v>
      </c>
    </row>
    <row r="2272" spans="1:11">
      <c r="A2272" s="32">
        <v>944</v>
      </c>
      <c r="B2272" s="33">
        <v>8357</v>
      </c>
      <c r="C2272" s="3">
        <v>1100000</v>
      </c>
      <c r="D2272" s="3"/>
      <c r="E2272" s="7">
        <f t="shared" si="72"/>
        <v>1100000</v>
      </c>
      <c r="F2272" s="5">
        <v>45890</v>
      </c>
      <c r="G2272" s="4">
        <v>20250820</v>
      </c>
      <c r="H2272" s="38" t="str">
        <f>VLOOKUP(B2272,CAJEROS!B:D,3,0)</f>
        <v>Dispensador</v>
      </c>
      <c r="I2272" s="34" t="s">
        <v>9</v>
      </c>
      <c r="J2272" s="38" t="str">
        <f>VLOOKUP(B2272,CAJEROS!B:E,4,0)</f>
        <v>SUCSANTABO3</v>
      </c>
      <c r="K2272" t="s">
        <v>450</v>
      </c>
    </row>
    <row r="2273" spans="1:11">
      <c r="A2273" s="32">
        <v>959</v>
      </c>
      <c r="B2273" s="33">
        <v>4498</v>
      </c>
      <c r="C2273" s="3">
        <v>100000</v>
      </c>
      <c r="D2273" s="3"/>
      <c r="E2273" s="7">
        <f t="shared" si="72"/>
        <v>100000</v>
      </c>
      <c r="F2273" s="5">
        <v>45890</v>
      </c>
      <c r="G2273" s="4">
        <v>20250820</v>
      </c>
      <c r="H2273" s="38" t="str">
        <f>VLOOKUP(B2273,CAJEROS!B:D,3,0)</f>
        <v>Dispensador</v>
      </c>
      <c r="I2273" s="34" t="s">
        <v>9</v>
      </c>
      <c r="J2273" s="38" t="str">
        <f>VLOOKUP(B2273,CAJEROS!B:E,4,0)</f>
        <v>SUC_TURBO1</v>
      </c>
      <c r="K2273" t="s">
        <v>450</v>
      </c>
    </row>
    <row r="2274" spans="1:11">
      <c r="A2274" s="32">
        <v>287</v>
      </c>
      <c r="B2274" s="33">
        <v>907</v>
      </c>
      <c r="C2274" s="3">
        <v>4265000</v>
      </c>
      <c r="D2274" s="3">
        <v>200000</v>
      </c>
      <c r="E2274" s="7">
        <f t="shared" si="72"/>
        <v>4065000</v>
      </c>
      <c r="F2274" s="5">
        <v>45890</v>
      </c>
      <c r="G2274" s="4">
        <v>20250820</v>
      </c>
      <c r="H2274" s="38" t="str">
        <f>VLOOKUP(B2274,CAJEROS!B:D,3,0)</f>
        <v>Multifuncional</v>
      </c>
      <c r="I2274" s="34"/>
      <c r="J2274" s="38" t="str">
        <f>VLOOKUP(B2274,CAJEROS!B:E,4,0)</f>
        <v>MFABASTOBGA</v>
      </c>
      <c r="K2274" t="s">
        <v>450</v>
      </c>
    </row>
    <row r="2275" spans="1:11">
      <c r="A2275" s="32">
        <v>377</v>
      </c>
      <c r="B2275" s="33">
        <v>1508</v>
      </c>
      <c r="C2275" s="3">
        <v>618000</v>
      </c>
      <c r="D2275" s="3">
        <v>429000</v>
      </c>
      <c r="E2275" s="7">
        <f t="shared" si="72"/>
        <v>189000</v>
      </c>
      <c r="F2275" s="5">
        <v>45890</v>
      </c>
      <c r="G2275" s="4">
        <v>20250820</v>
      </c>
      <c r="H2275" s="38" t="str">
        <f>VLOOKUP(B2275,CAJEROS!B:D,3,0)</f>
        <v>Multifuncional</v>
      </c>
      <c r="I2275" s="34"/>
      <c r="J2275" s="38" t="str">
        <f>VLOOKUP(B2275,CAJEROS!B:E,4,0)</f>
        <v>MFSUCCIAV1</v>
      </c>
      <c r="K2275" t="s">
        <v>450</v>
      </c>
    </row>
    <row r="2276" spans="1:11">
      <c r="A2276" s="32">
        <v>141</v>
      </c>
      <c r="B2276" s="33">
        <v>1541</v>
      </c>
      <c r="C2276" s="3">
        <v>5100</v>
      </c>
      <c r="D2276" s="3"/>
      <c r="E2276" s="7">
        <f t="shared" si="72"/>
        <v>5100</v>
      </c>
      <c r="F2276" s="5">
        <v>45890</v>
      </c>
      <c r="G2276" s="4">
        <v>20250820</v>
      </c>
      <c r="H2276" s="38" t="str">
        <f>VLOOKUP(B2276,CAJEROS!B:D,3,0)</f>
        <v>Multifuncional</v>
      </c>
      <c r="I2276" s="34"/>
      <c r="J2276" s="38" t="str">
        <f>VLOOKUP(B2276,CAJEROS!B:E,4,0)</f>
        <v>MFSUCMERCA1</v>
      </c>
      <c r="K2276" t="s">
        <v>450</v>
      </c>
    </row>
    <row r="2277" spans="1:11">
      <c r="A2277" s="32">
        <v>779</v>
      </c>
      <c r="B2277" s="33">
        <v>5013</v>
      </c>
      <c r="C2277" s="3">
        <v>36401000</v>
      </c>
      <c r="D2277" s="3">
        <v>3100000</v>
      </c>
      <c r="E2277" s="7">
        <f t="shared" si="72"/>
        <v>33301000</v>
      </c>
      <c r="F2277" s="5">
        <v>45890</v>
      </c>
      <c r="G2277" s="4">
        <v>20250820</v>
      </c>
      <c r="H2277" s="38" t="str">
        <f>VLOOKUP(B2277,CAJEROS!B:D,3,0)</f>
        <v>Multifuncional</v>
      </c>
      <c r="I2277" s="34"/>
      <c r="J2277" s="38" t="str">
        <f>VLOOKUP(B2277,CAJEROS!B:E,4,0)</f>
        <v>MF_BUENASM1</v>
      </c>
      <c r="K2277" t="s">
        <v>450</v>
      </c>
    </row>
    <row r="2278" spans="1:11">
      <c r="A2278" s="32">
        <v>167</v>
      </c>
      <c r="B2278" s="33">
        <v>5030</v>
      </c>
      <c r="C2278" s="3">
        <v>1200</v>
      </c>
      <c r="D2278" s="3"/>
      <c r="E2278" s="7">
        <f t="shared" si="72"/>
        <v>1200</v>
      </c>
      <c r="F2278" s="5">
        <v>45890</v>
      </c>
      <c r="G2278" s="4">
        <v>20250820</v>
      </c>
      <c r="H2278" s="38" t="str">
        <f>VLOOKUP(B2278,CAJEROS!B:D,3,0)</f>
        <v>Multifuncional</v>
      </c>
      <c r="I2278" s="34"/>
      <c r="J2278" s="38" t="str">
        <f>VLOOKUP(B2278,CAJEROS!B:E,4,0)</f>
        <v>MF_AVENID82</v>
      </c>
      <c r="K2278" t="s">
        <v>450</v>
      </c>
    </row>
    <row r="2279" spans="1:11">
      <c r="A2279" s="32">
        <v>824</v>
      </c>
      <c r="B2279" s="33">
        <v>5040</v>
      </c>
      <c r="C2279" s="3">
        <v>10109000</v>
      </c>
      <c r="D2279" s="3">
        <v>9950000</v>
      </c>
      <c r="E2279" s="7">
        <f t="shared" si="72"/>
        <v>159000</v>
      </c>
      <c r="F2279" s="5">
        <v>45890</v>
      </c>
      <c r="G2279" s="4">
        <v>20250820</v>
      </c>
      <c r="H2279" s="38" t="str">
        <f>VLOOKUP(B2279,CAJEROS!B:D,3,0)</f>
        <v>Multifuncional</v>
      </c>
      <c r="I2279" s="34"/>
      <c r="J2279" s="38" t="str">
        <f>VLOOKUP(B2279,CAJEROS!B:E,4,0)</f>
        <v>MF_VENPLAZA</v>
      </c>
      <c r="K2279" t="s">
        <v>450</v>
      </c>
    </row>
    <row r="2280" spans="1:11">
      <c r="A2280" s="32">
        <v>879</v>
      </c>
      <c r="B2280" s="33">
        <v>5045</v>
      </c>
      <c r="C2280" s="3">
        <v>14113000</v>
      </c>
      <c r="D2280" s="3"/>
      <c r="E2280" s="7">
        <f t="shared" si="72"/>
        <v>14113000</v>
      </c>
      <c r="F2280" s="5">
        <v>45890</v>
      </c>
      <c r="G2280" s="4">
        <v>20250820</v>
      </c>
      <c r="H2280" s="38" t="str">
        <f>VLOOKUP(B2280,CAJEROS!B:D,3,0)</f>
        <v>Multifuncional</v>
      </c>
      <c r="I2280" s="34"/>
      <c r="J2280" s="38" t="str">
        <f>VLOOKUP(B2280,CAJEROS!B:E,4,0)</f>
        <v>MF_UNPASTO</v>
      </c>
      <c r="K2280" t="s">
        <v>450</v>
      </c>
    </row>
    <row r="2281" spans="1:11">
      <c r="A2281" s="32">
        <v>419</v>
      </c>
      <c r="B2281" s="33">
        <v>5077</v>
      </c>
      <c r="C2281" s="3">
        <v>33420000</v>
      </c>
      <c r="D2281" s="3">
        <f>27034850+3370000</f>
        <v>30404850</v>
      </c>
      <c r="E2281" s="7">
        <f t="shared" si="72"/>
        <v>3015150</v>
      </c>
      <c r="F2281" s="5">
        <v>45890</v>
      </c>
      <c r="G2281" s="4">
        <v>20250820</v>
      </c>
      <c r="H2281" s="38" t="str">
        <f>VLOOKUP(B2281,CAJEROS!B:D,3,0)</f>
        <v>Multifuncional</v>
      </c>
      <c r="I2281" s="34"/>
      <c r="J2281" s="38" t="str">
        <f>VLOOKUP(B2281,CAJEROS!B:E,4,0)</f>
        <v>MF_CPUNIBOG</v>
      </c>
      <c r="K2281" t="s">
        <v>450</v>
      </c>
    </row>
    <row r="2282" spans="1:11">
      <c r="A2282" s="32">
        <v>265</v>
      </c>
      <c r="B2282" s="33">
        <v>5083</v>
      </c>
      <c r="C2282" s="3">
        <v>200000</v>
      </c>
      <c r="D2282" s="3"/>
      <c r="E2282" s="7">
        <f t="shared" si="72"/>
        <v>200000</v>
      </c>
      <c r="F2282" s="5">
        <v>45890</v>
      </c>
      <c r="G2282" s="4">
        <v>20250820</v>
      </c>
      <c r="H2282" s="38" t="str">
        <f>VLOOKUP(B2282,CAJEROS!B:D,3,0)</f>
        <v>Multifuncional</v>
      </c>
      <c r="I2282" s="34"/>
      <c r="J2282" s="38" t="str">
        <f>VLOOKUP(B2282,CAJEROS!B:E,4,0)</f>
        <v>MF_VALLELIL</v>
      </c>
      <c r="K2282" t="s">
        <v>450</v>
      </c>
    </row>
    <row r="2283" spans="1:11">
      <c r="A2283" s="32">
        <v>430</v>
      </c>
      <c r="B2283" s="33">
        <v>5104</v>
      </c>
      <c r="C2283" s="3">
        <v>6864000</v>
      </c>
      <c r="D2283" s="3"/>
      <c r="E2283" s="7">
        <f t="shared" si="72"/>
        <v>6864000</v>
      </c>
      <c r="F2283" s="5">
        <v>45890</v>
      </c>
      <c r="G2283" s="4">
        <v>20250820</v>
      </c>
      <c r="H2283" s="38" t="str">
        <f>VLOOKUP(B2283,CAJEROS!B:D,3,0)</f>
        <v>Multifuncional</v>
      </c>
      <c r="I2283" s="34"/>
      <c r="J2283" s="38" t="str">
        <f>VLOOKUP(B2283,CAJEROS!B:E,4,0)</f>
        <v>MF_ZONAROSA</v>
      </c>
      <c r="K2283" t="s">
        <v>450</v>
      </c>
    </row>
    <row r="2284" spans="1:11">
      <c r="A2284" s="32">
        <v>318</v>
      </c>
      <c r="B2284" s="33">
        <v>5136</v>
      </c>
      <c r="C2284" s="3">
        <v>3592000</v>
      </c>
      <c r="D2284" s="3">
        <v>450000</v>
      </c>
      <c r="E2284" s="7">
        <f t="shared" si="72"/>
        <v>3142000</v>
      </c>
      <c r="F2284" s="5">
        <v>45890</v>
      </c>
      <c r="G2284" s="4">
        <v>20250820</v>
      </c>
      <c r="H2284" s="38" t="str">
        <f>VLOOKUP(B2284,CAJEROS!B:D,3,0)</f>
        <v>Multifuncional</v>
      </c>
      <c r="I2284" s="34"/>
      <c r="J2284" s="38" t="str">
        <f>VLOOKUP(B2284,CAJEROS!B:E,4,0)</f>
        <v>MF_SUCOCANA</v>
      </c>
      <c r="K2284" t="s">
        <v>450</v>
      </c>
    </row>
    <row r="2285" spans="1:11">
      <c r="A2285" s="32">
        <v>40</v>
      </c>
      <c r="B2285" s="33">
        <v>5142</v>
      </c>
      <c r="C2285" s="3">
        <v>6356800</v>
      </c>
      <c r="D2285" s="3">
        <f>1270000+1000</f>
        <v>1271000</v>
      </c>
      <c r="E2285" s="7">
        <f t="shared" si="72"/>
        <v>5085800</v>
      </c>
      <c r="F2285" s="5">
        <v>45890</v>
      </c>
      <c r="G2285" s="4">
        <v>20250820</v>
      </c>
      <c r="H2285" s="38" t="str">
        <f>VLOOKUP(B2285,CAJEROS!B:D,3,0)</f>
        <v>Multifuncional</v>
      </c>
      <c r="I2285" s="34"/>
      <c r="J2285" s="38" t="str">
        <f>VLOOKUP(B2285,CAJEROS!B:E,4,0)</f>
        <v>MF_CENTRO93</v>
      </c>
      <c r="K2285" t="s">
        <v>450</v>
      </c>
    </row>
    <row r="2286" spans="1:11">
      <c r="A2286" s="32">
        <v>198</v>
      </c>
      <c r="B2286" s="33">
        <v>5179</v>
      </c>
      <c r="C2286" s="3">
        <v>3028800</v>
      </c>
      <c r="D2286" s="3">
        <v>636000</v>
      </c>
      <c r="E2286" s="7">
        <f t="shared" si="72"/>
        <v>2392800</v>
      </c>
      <c r="F2286" s="5">
        <v>45890</v>
      </c>
      <c r="G2286" s="4">
        <v>20250820</v>
      </c>
      <c r="H2286" s="38" t="str">
        <f>VLOOKUP(B2286,CAJEROS!B:D,3,0)</f>
        <v>Multifuncional</v>
      </c>
      <c r="I2286" s="34"/>
      <c r="J2286" s="38" t="str">
        <f>VLOOKUP(B2286,CAJEROS!B:E,4,0)</f>
        <v>MF_CENTSUBA</v>
      </c>
      <c r="K2286" t="s">
        <v>450</v>
      </c>
    </row>
    <row r="2287" spans="1:11">
      <c r="A2287" s="32">
        <v>16</v>
      </c>
      <c r="B2287" s="33">
        <v>5219</v>
      </c>
      <c r="C2287" s="3">
        <v>50500</v>
      </c>
      <c r="D2287" s="3"/>
      <c r="E2287" s="7">
        <f t="shared" si="72"/>
        <v>50500</v>
      </c>
      <c r="F2287" s="5">
        <v>45890</v>
      </c>
      <c r="G2287" s="4">
        <v>20250820</v>
      </c>
      <c r="H2287" s="38" t="str">
        <f>VLOOKUP(B2287,CAJEROS!B:D,3,0)</f>
        <v>Multifuncional</v>
      </c>
      <c r="I2287" s="34"/>
      <c r="J2287" s="38" t="str">
        <f>VLOOKUP(B2287,CAJEROS!B:E,4,0)</f>
        <v>MF_AEOLAYA</v>
      </c>
      <c r="K2287" t="s">
        <v>450</v>
      </c>
    </row>
    <row r="2288" spans="1:11">
      <c r="A2288" s="32">
        <v>868</v>
      </c>
      <c r="B2288" s="33">
        <v>6149</v>
      </c>
      <c r="C2288" s="3">
        <v>2570000</v>
      </c>
      <c r="D2288" s="3">
        <v>2530000</v>
      </c>
      <c r="E2288" s="7">
        <f t="shared" si="72"/>
        <v>40000</v>
      </c>
      <c r="F2288" s="5">
        <v>45890</v>
      </c>
      <c r="G2288" s="4">
        <v>20250820</v>
      </c>
      <c r="H2288" s="38" t="str">
        <f>VLOOKUP(B2288,CAJEROS!B:D,3,0)</f>
        <v>Multifuncional</v>
      </c>
      <c r="I2288" s="34"/>
      <c r="J2288" s="38" t="str">
        <f>VLOOKUP(B2288,CAJEROS!B:E,4,0)</f>
        <v>MF_POPAYAN1</v>
      </c>
      <c r="K2288" t="s">
        <v>450</v>
      </c>
    </row>
    <row r="2289" spans="1:11">
      <c r="A2289" s="32">
        <v>231</v>
      </c>
      <c r="B2289" s="33">
        <v>6243</v>
      </c>
      <c r="C2289" s="3">
        <v>10000</v>
      </c>
      <c r="D2289" s="3"/>
      <c r="E2289" s="7">
        <f t="shared" si="72"/>
        <v>10000</v>
      </c>
      <c r="F2289" s="5">
        <v>45890</v>
      </c>
      <c r="G2289" s="4">
        <v>20250820</v>
      </c>
      <c r="H2289" s="38" t="str">
        <f>VLOOKUP(B2289,CAJEROS!B:D,3,0)</f>
        <v>Multifuncional</v>
      </c>
      <c r="I2289" s="34"/>
      <c r="J2289" s="38" t="str">
        <f>VLOOKUP(B2289,CAJEROS!B:E,4,0)</f>
        <v>MF_RICAURTE</v>
      </c>
      <c r="K2289" t="s">
        <v>450</v>
      </c>
    </row>
    <row r="2290" spans="1:11">
      <c r="A2290" s="32">
        <v>337</v>
      </c>
      <c r="B2290" s="33">
        <v>6253</v>
      </c>
      <c r="C2290" s="3">
        <v>6954000</v>
      </c>
      <c r="D2290" s="3">
        <f>1200000+3980000</f>
        <v>5180000</v>
      </c>
      <c r="E2290" s="7">
        <f t="shared" si="72"/>
        <v>1774000</v>
      </c>
      <c r="F2290" s="5">
        <v>45890</v>
      </c>
      <c r="G2290" s="4">
        <v>20250820</v>
      </c>
      <c r="H2290" s="38" t="str">
        <f>VLOOKUP(B2290,CAJEROS!B:D,3,0)</f>
        <v>Multifuncional</v>
      </c>
      <c r="I2290" s="34"/>
      <c r="J2290" s="38" t="str">
        <f>VLOOKUP(B2290,CAJEROS!B:E,4,0)</f>
        <v>MF_CHIA</v>
      </c>
      <c r="K2290" t="s">
        <v>450</v>
      </c>
    </row>
    <row r="2291" spans="1:11">
      <c r="A2291" s="32">
        <v>601</v>
      </c>
      <c r="B2291" s="33">
        <v>6407</v>
      </c>
      <c r="C2291" s="3">
        <v>5270900</v>
      </c>
      <c r="D2291" s="3">
        <v>2700000</v>
      </c>
      <c r="E2291" s="7">
        <f t="shared" si="72"/>
        <v>2570900</v>
      </c>
      <c r="F2291" s="5">
        <v>45890</v>
      </c>
      <c r="G2291" s="4">
        <v>20250820</v>
      </c>
      <c r="H2291" s="38" t="str">
        <f>VLOOKUP(B2291,CAJEROS!B:D,3,0)</f>
        <v>Multifuncional</v>
      </c>
      <c r="I2291" s="34"/>
      <c r="J2291" s="38" t="str">
        <f>VLOOKUP(B2291,CAJEROS!B:E,4,0)</f>
        <v>MF_COLINACA</v>
      </c>
      <c r="K2291" t="s">
        <v>450</v>
      </c>
    </row>
    <row r="2292" spans="1:11">
      <c r="A2292" s="32">
        <v>894</v>
      </c>
      <c r="B2292" s="33">
        <v>6466</v>
      </c>
      <c r="C2292" s="3">
        <v>7583400</v>
      </c>
      <c r="D2292" s="3"/>
      <c r="E2292" s="7">
        <f t="shared" si="72"/>
        <v>7583400</v>
      </c>
      <c r="F2292" s="5">
        <v>45890</v>
      </c>
      <c r="G2292" s="4">
        <v>20250820</v>
      </c>
      <c r="H2292" s="38" t="str">
        <f>VLOOKUP(B2292,CAJEROS!B:D,3,0)</f>
        <v>Multifuncional</v>
      </c>
      <c r="I2292" s="34"/>
      <c r="J2292" s="38" t="str">
        <f>VLOOKUP(B2292,CAJEROS!B:E,4,0)</f>
        <v>MF_TUMACO</v>
      </c>
      <c r="K2292" t="s">
        <v>450</v>
      </c>
    </row>
    <row r="2293" spans="1:11">
      <c r="A2293" s="32">
        <v>202</v>
      </c>
      <c r="B2293" s="33">
        <v>6608</v>
      </c>
      <c r="C2293" s="3">
        <v>429650</v>
      </c>
      <c r="D2293" s="3"/>
      <c r="E2293" s="7">
        <f t="shared" si="72"/>
        <v>429650</v>
      </c>
      <c r="F2293" s="5">
        <v>45890</v>
      </c>
      <c r="G2293" s="4">
        <v>20250820</v>
      </c>
      <c r="H2293" s="38" t="str">
        <f>VLOOKUP(B2293,CAJEROS!B:D,3,0)</f>
        <v>Multifuncional</v>
      </c>
      <c r="I2293" s="34"/>
      <c r="J2293" s="38" t="str">
        <f>VLOOKUP(B2293,CAJEROS!B:E,4,0)</f>
        <v>MF_AVPEPESI</v>
      </c>
      <c r="K2293" t="s">
        <v>450</v>
      </c>
    </row>
    <row r="2294" spans="1:11">
      <c r="A2294" s="32">
        <v>371</v>
      </c>
      <c r="B2294" s="33">
        <v>6718</v>
      </c>
      <c r="C2294" s="3">
        <v>2988000</v>
      </c>
      <c r="D2294" s="3"/>
      <c r="E2294" s="7">
        <f t="shared" si="72"/>
        <v>2988000</v>
      </c>
      <c r="F2294" s="5">
        <v>45890</v>
      </c>
      <c r="G2294" s="4">
        <v>20250820</v>
      </c>
      <c r="H2294" s="38" t="str">
        <f>VLOOKUP(B2294,CAJEROS!B:D,3,0)</f>
        <v>Multifuncional</v>
      </c>
      <c r="I2294" s="34"/>
      <c r="J2294" s="38" t="str">
        <f>VLOOKUP(B2294,CAJEROS!B:E,4,0)</f>
        <v>MF_CAUCASIA</v>
      </c>
      <c r="K2294" t="s">
        <v>450</v>
      </c>
    </row>
    <row r="2295" spans="1:11">
      <c r="A2295" s="32">
        <v>96</v>
      </c>
      <c r="B2295" s="33">
        <v>6735</v>
      </c>
      <c r="C2295" s="3">
        <v>2962000</v>
      </c>
      <c r="D2295" s="3"/>
      <c r="E2295" s="7">
        <f t="shared" si="72"/>
        <v>2962000</v>
      </c>
      <c r="F2295" s="5">
        <v>45890</v>
      </c>
      <c r="G2295" s="4">
        <v>20250820</v>
      </c>
      <c r="H2295" s="38" t="str">
        <f>VLOOKUP(B2295,CAJEROS!B:D,3,0)</f>
        <v>Multifuncional</v>
      </c>
      <c r="I2295" s="34"/>
      <c r="J2295" s="38" t="str">
        <f>VLOOKUP(B2295,CAJEROS!B:E,4,0)</f>
        <v>MF_MAICAO</v>
      </c>
      <c r="K2295" t="s">
        <v>450</v>
      </c>
    </row>
    <row r="2296" spans="1:11">
      <c r="A2296" s="32">
        <v>651</v>
      </c>
      <c r="B2296" s="33">
        <v>7318</v>
      </c>
      <c r="C2296" s="3">
        <v>4371000</v>
      </c>
      <c r="D2296" s="3"/>
      <c r="E2296" s="7">
        <f t="shared" si="72"/>
        <v>4371000</v>
      </c>
      <c r="F2296" s="5">
        <v>45890</v>
      </c>
      <c r="G2296" s="4">
        <v>20250820</v>
      </c>
      <c r="H2296" s="38" t="str">
        <f>VLOOKUP(B2296,CAJEROS!B:D,3,0)</f>
        <v>Multifuncional</v>
      </c>
      <c r="I2296" s="34"/>
      <c r="J2296" s="38" t="str">
        <f>VLOOKUP(B2296,CAJEROS!B:E,4,0)</f>
        <v>MF_BARBOSA2</v>
      </c>
      <c r="K2296" t="s">
        <v>450</v>
      </c>
    </row>
    <row r="2297" spans="1:11">
      <c r="A2297" s="32">
        <v>41</v>
      </c>
      <c r="B2297" s="33">
        <v>7341</v>
      </c>
      <c r="C2297" s="3">
        <v>1745000</v>
      </c>
      <c r="D2297" s="3">
        <f>95000+76000</f>
        <v>171000</v>
      </c>
      <c r="E2297" s="7">
        <f t="shared" si="72"/>
        <v>1574000</v>
      </c>
      <c r="F2297" s="5">
        <v>45890</v>
      </c>
      <c r="G2297" s="4">
        <v>20250820</v>
      </c>
      <c r="H2297" s="38" t="str">
        <f>VLOOKUP(B2297,CAJEROS!B:D,3,0)</f>
        <v>Multifuncional</v>
      </c>
      <c r="I2297" s="34"/>
      <c r="J2297" s="38" t="str">
        <f>VLOOKUP(B2297,CAJEROS!B:E,4,0)</f>
        <v>MF_PLZESPAN</v>
      </c>
      <c r="K2297" t="s">
        <v>450</v>
      </c>
    </row>
    <row r="2298" spans="1:11">
      <c r="A2298" s="32">
        <v>812</v>
      </c>
      <c r="B2298" s="33">
        <v>7613</v>
      </c>
      <c r="C2298" s="3">
        <v>6124000</v>
      </c>
      <c r="D2298" s="3">
        <v>1667800</v>
      </c>
      <c r="E2298" s="7">
        <f t="shared" si="72"/>
        <v>4456200</v>
      </c>
      <c r="F2298" s="5">
        <v>45890</v>
      </c>
      <c r="G2298" s="4">
        <v>20250820</v>
      </c>
      <c r="H2298" s="38" t="str">
        <f>VLOOKUP(B2298,CAJEROS!B:D,3,0)</f>
        <v>Multifuncional</v>
      </c>
      <c r="I2298" s="34"/>
      <c r="J2298" s="38" t="str">
        <f>VLOOKUP(B2298,CAJEROS!B:E,4,0)</f>
        <v>MF_CHPICHP2</v>
      </c>
      <c r="K2298" t="s">
        <v>450</v>
      </c>
    </row>
    <row r="2299" spans="1:11">
      <c r="A2299" s="32">
        <v>812</v>
      </c>
      <c r="B2299" s="33">
        <v>7614</v>
      </c>
      <c r="C2299" s="3">
        <v>364550</v>
      </c>
      <c r="D2299" s="3">
        <v>350850</v>
      </c>
      <c r="E2299" s="7">
        <f t="shared" si="72"/>
        <v>13700</v>
      </c>
      <c r="F2299" s="5">
        <v>45890</v>
      </c>
      <c r="G2299" s="4">
        <v>20250820</v>
      </c>
      <c r="H2299" s="38" t="str">
        <f>VLOOKUP(B2299,CAJEROS!B:D,3,0)</f>
        <v>Multifuncional</v>
      </c>
      <c r="I2299" s="34"/>
      <c r="J2299" s="38" t="str">
        <f>VLOOKUP(B2299,CAJEROS!B:E,4,0)</f>
        <v>MF_CHPICHP3</v>
      </c>
      <c r="K2299" t="s">
        <v>450</v>
      </c>
    </row>
    <row r="2300" spans="1:11">
      <c r="A2300" s="32">
        <v>318</v>
      </c>
      <c r="B2300" s="33">
        <v>7680</v>
      </c>
      <c r="C2300" s="3">
        <v>13540000</v>
      </c>
      <c r="D2300" s="3">
        <v>110000</v>
      </c>
      <c r="E2300" s="7">
        <f t="shared" si="72"/>
        <v>13430000</v>
      </c>
      <c r="F2300" s="5">
        <v>45890</v>
      </c>
      <c r="G2300" s="4">
        <v>20250820</v>
      </c>
      <c r="H2300" s="38" t="str">
        <f>VLOOKUP(B2300,CAJEROS!B:D,3,0)</f>
        <v>Multifuncional</v>
      </c>
      <c r="I2300" s="34"/>
      <c r="J2300" s="38" t="str">
        <f>VLOOKUP(B2300,CAJEROS!B:E,4,0)</f>
        <v>MF_OCANA2</v>
      </c>
      <c r="K2300" t="s">
        <v>450</v>
      </c>
    </row>
    <row r="2301" spans="1:11">
      <c r="A2301" s="32">
        <v>556</v>
      </c>
      <c r="B2301" s="33">
        <v>8333</v>
      </c>
      <c r="C2301" s="3">
        <v>335000</v>
      </c>
      <c r="D2301" s="3"/>
      <c r="E2301" s="7">
        <f t="shared" si="72"/>
        <v>335000</v>
      </c>
      <c r="F2301" s="5">
        <v>45890</v>
      </c>
      <c r="G2301" s="4">
        <v>20250820</v>
      </c>
      <c r="H2301" s="38" t="str">
        <f>VLOOKUP(B2301,CAJEROS!B:D,3,0)</f>
        <v>Multifuncional</v>
      </c>
      <c r="I2301" s="34"/>
      <c r="J2301" s="38" t="str">
        <f>VLOOKUP(B2301,CAJEROS!B:E,4,0)</f>
        <v>MF_SCARVIB1</v>
      </c>
      <c r="K2301" t="s">
        <v>450</v>
      </c>
    </row>
    <row r="2302" spans="1:11">
      <c r="A2302" s="32">
        <v>779</v>
      </c>
      <c r="B2302" s="33">
        <v>8684</v>
      </c>
      <c r="C2302" s="3">
        <v>17239750</v>
      </c>
      <c r="D2302" s="3">
        <f>350+85950</f>
        <v>86300</v>
      </c>
      <c r="E2302" s="7">
        <f t="shared" si="72"/>
        <v>17153450</v>
      </c>
      <c r="F2302" s="5">
        <v>45890</v>
      </c>
      <c r="G2302" s="4">
        <v>20250820</v>
      </c>
      <c r="H2302" s="38" t="str">
        <f>VLOOKUP(B2302,CAJEROS!B:D,3,0)</f>
        <v>Multifuncional</v>
      </c>
      <c r="I2302" s="34"/>
      <c r="J2302" s="38" t="str">
        <f>VLOOKUP(B2302,CAJEROS!B:E,4,0)</f>
        <v>MF_BUENVSM2</v>
      </c>
      <c r="K2302" t="s">
        <v>450</v>
      </c>
    </row>
    <row r="2303" spans="1:11">
      <c r="A2303" s="32">
        <v>31</v>
      </c>
      <c r="B2303" s="33">
        <v>8737</v>
      </c>
      <c r="C2303" s="3">
        <v>6740000</v>
      </c>
      <c r="D2303" s="3">
        <v>1150000</v>
      </c>
      <c r="E2303" s="7">
        <f t="shared" si="72"/>
        <v>5590000</v>
      </c>
      <c r="F2303" s="5">
        <v>45890</v>
      </c>
      <c r="G2303" s="4">
        <v>20250820</v>
      </c>
      <c r="H2303" s="38" t="str">
        <f>VLOOKUP(B2303,CAJEROS!B:D,3,0)</f>
        <v>Multifuncional</v>
      </c>
      <c r="I2303" s="34"/>
      <c r="J2303" s="38" t="str">
        <f>VLOOKUP(B2303,CAJEROS!B:E,4,0)</f>
        <v>MF_SUCEINT1</v>
      </c>
      <c r="K2303" t="s">
        <v>450</v>
      </c>
    </row>
    <row r="2304" spans="1:11">
      <c r="A2304" s="32">
        <v>442</v>
      </c>
      <c r="B2304" s="33">
        <v>8888</v>
      </c>
      <c r="C2304" s="3">
        <v>26500</v>
      </c>
      <c r="D2304" s="3"/>
      <c r="E2304" s="7">
        <f t="shared" si="72"/>
        <v>26500</v>
      </c>
      <c r="F2304" s="5">
        <v>45890</v>
      </c>
      <c r="G2304" s="4">
        <v>20250820</v>
      </c>
      <c r="H2304" s="38" t="str">
        <f>VLOOKUP(B2304,CAJEROS!B:D,3,0)</f>
        <v>Multifuncional</v>
      </c>
      <c r="I2304" s="34"/>
      <c r="J2304" s="38" t="str">
        <f>VLOOKUP(B2304,CAJEROS!B:E,4,0)</f>
        <v>MFVIVABQUI2</v>
      </c>
      <c r="K2304" t="s">
        <v>450</v>
      </c>
    </row>
    <row r="2305" spans="1:11">
      <c r="A2305" s="32">
        <v>849</v>
      </c>
      <c r="B2305" s="33">
        <v>9724</v>
      </c>
      <c r="C2305" s="3">
        <v>30660000</v>
      </c>
      <c r="D2305" s="3">
        <v>3050000</v>
      </c>
      <c r="E2305" s="7">
        <f t="shared" si="72"/>
        <v>27610000</v>
      </c>
      <c r="F2305" s="5">
        <v>45890</v>
      </c>
      <c r="G2305" s="4">
        <v>20250820</v>
      </c>
      <c r="H2305" s="38" t="str">
        <f>VLOOKUP(B2305,CAJEROS!B:D,3,0)</f>
        <v>Multifuncional</v>
      </c>
      <c r="I2305" s="34"/>
      <c r="J2305" s="38" t="str">
        <f>VLOOKUP(B2305,CAJEROS!B:E,4,0)</f>
        <v>MF_SUNIVIL1</v>
      </c>
      <c r="K2305" t="s">
        <v>450</v>
      </c>
    </row>
    <row r="2306" spans="1:11">
      <c r="A2306" s="32">
        <v>849</v>
      </c>
      <c r="B2306" s="33">
        <v>9725</v>
      </c>
      <c r="C2306" s="3">
        <v>25675000</v>
      </c>
      <c r="D2306" s="3">
        <f>400000+22778000</f>
        <v>23178000</v>
      </c>
      <c r="E2306" s="7">
        <f t="shared" si="72"/>
        <v>2497000</v>
      </c>
      <c r="F2306" s="5">
        <v>45890</v>
      </c>
      <c r="G2306" s="4">
        <v>20250820</v>
      </c>
      <c r="H2306" s="38" t="str">
        <f>VLOOKUP(B2306,CAJEROS!B:D,3,0)</f>
        <v>Multifuncional</v>
      </c>
      <c r="I2306" s="34"/>
      <c r="J2306" s="38" t="str">
        <f>VLOOKUP(B2306,CAJEROS!B:E,4,0)</f>
        <v>MF_SUNIVIL2</v>
      </c>
      <c r="K2306" t="s">
        <v>450</v>
      </c>
    </row>
    <row r="2307" spans="1:11">
      <c r="A2307" s="32">
        <v>499</v>
      </c>
      <c r="B2307" s="33">
        <v>9810</v>
      </c>
      <c r="C2307" s="3">
        <v>3795000</v>
      </c>
      <c r="D2307" s="3">
        <v>2510000</v>
      </c>
      <c r="E2307" s="7">
        <f t="shared" si="72"/>
        <v>1285000</v>
      </c>
      <c r="F2307" s="5">
        <v>45890</v>
      </c>
      <c r="G2307" s="4">
        <v>20250820</v>
      </c>
      <c r="H2307" s="38" t="str">
        <f>VLOOKUP(B2307,CAJEROS!B:D,3,0)</f>
        <v>Multifuncional</v>
      </c>
      <c r="I2307" s="34"/>
      <c r="J2307" s="38" t="str">
        <f>VLOOKUP(B2307,CAJEROS!B:E,4,0)</f>
        <v>MF_SUCPARF1</v>
      </c>
      <c r="K2307" t="s">
        <v>450</v>
      </c>
    </row>
    <row r="2308" spans="1:11">
      <c r="A2308" s="32">
        <v>481</v>
      </c>
      <c r="B2308" s="33">
        <v>1011</v>
      </c>
      <c r="C2308" s="3">
        <v>1400000</v>
      </c>
      <c r="D2308" s="3">
        <v>1310000</v>
      </c>
      <c r="E2308" s="7">
        <f t="shared" si="72"/>
        <v>90000</v>
      </c>
      <c r="F2308" s="5">
        <v>45890</v>
      </c>
      <c r="G2308" s="4">
        <v>20250820</v>
      </c>
      <c r="H2308" s="38" t="str">
        <f>VLOOKUP(B2308,CAJEROS!B:D,3,0)</f>
        <v>Multifuncional</v>
      </c>
      <c r="I2308" s="34" t="s">
        <v>9</v>
      </c>
      <c r="J2308" s="38" t="str">
        <f>VLOOKUP(B2308,CAJEROS!B:E,4,0)</f>
        <v>MF_SOLEDAD2</v>
      </c>
      <c r="K2308" t="s">
        <v>450</v>
      </c>
    </row>
    <row r="2309" spans="1:11">
      <c r="A2309" s="32">
        <v>795</v>
      </c>
      <c r="B2309" s="33">
        <v>1027</v>
      </c>
      <c r="C2309" s="3">
        <v>299650</v>
      </c>
      <c r="D2309" s="3">
        <f>100000+165050</f>
        <v>265050</v>
      </c>
      <c r="E2309" s="7">
        <f t="shared" si="72"/>
        <v>34600</v>
      </c>
      <c r="F2309" s="5">
        <v>45890</v>
      </c>
      <c r="G2309" s="4">
        <v>20250820</v>
      </c>
      <c r="H2309" s="38" t="str">
        <f>VLOOKUP(B2309,CAJEROS!B:D,3,0)</f>
        <v>Multifuncional</v>
      </c>
      <c r="I2309" s="34" t="s">
        <v>9</v>
      </c>
      <c r="J2309" s="38" t="str">
        <f>VLOOKUP(B2309,CAJEROS!B:E,4,0)</f>
        <v>MFSUCANVER1</v>
      </c>
      <c r="K2309" t="s">
        <v>450</v>
      </c>
    </row>
    <row r="2310" spans="1:11">
      <c r="A2310" s="32">
        <v>795</v>
      </c>
      <c r="B2310" s="33">
        <v>1028</v>
      </c>
      <c r="C2310" s="3">
        <v>170000</v>
      </c>
      <c r="D2310" s="3">
        <v>150000</v>
      </c>
      <c r="E2310" s="7">
        <f t="shared" si="72"/>
        <v>20000</v>
      </c>
      <c r="F2310" s="5">
        <v>45890</v>
      </c>
      <c r="G2310" s="4">
        <v>20250820</v>
      </c>
      <c r="H2310" s="38" t="str">
        <f>VLOOKUP(B2310,CAJEROS!B:D,3,0)</f>
        <v>Multifuncional</v>
      </c>
      <c r="I2310" s="34" t="s">
        <v>9</v>
      </c>
      <c r="J2310" s="38" t="str">
        <f>VLOOKUP(B2310,CAJEROS!B:E,4,0)</f>
        <v>MFSUCANVER2</v>
      </c>
      <c r="K2310" t="s">
        <v>450</v>
      </c>
    </row>
    <row r="2311" spans="1:11">
      <c r="A2311" s="32">
        <v>825</v>
      </c>
      <c r="B2311" s="33">
        <v>5023</v>
      </c>
      <c r="C2311" s="3">
        <v>2430100</v>
      </c>
      <c r="D2311" s="3">
        <v>2420000</v>
      </c>
      <c r="E2311" s="7">
        <f t="shared" si="72"/>
        <v>10100</v>
      </c>
      <c r="F2311" s="5">
        <v>45890</v>
      </c>
      <c r="G2311" s="4">
        <v>20250820</v>
      </c>
      <c r="H2311" s="38" t="str">
        <f>VLOOKUP(B2311,CAJEROS!B:D,3,0)</f>
        <v>Multifuncional</v>
      </c>
      <c r="I2311" s="34" t="s">
        <v>9</v>
      </c>
      <c r="J2311" s="38" t="str">
        <f>VLOOKUP(B2311,CAJEROS!B:E,4,0)</f>
        <v>MF_ASTROCEN</v>
      </c>
      <c r="K2311" t="s">
        <v>450</v>
      </c>
    </row>
    <row r="2312" spans="1:11">
      <c r="A2312" s="32">
        <v>867</v>
      </c>
      <c r="B2312" s="33">
        <v>5043</v>
      </c>
      <c r="C2312" s="3">
        <v>631000</v>
      </c>
      <c r="D2312" s="3">
        <v>531000</v>
      </c>
      <c r="E2312" s="7">
        <f t="shared" si="72"/>
        <v>100000</v>
      </c>
      <c r="F2312" s="5">
        <v>45890</v>
      </c>
      <c r="G2312" s="4">
        <v>20250820</v>
      </c>
      <c r="H2312" s="38" t="str">
        <f>VLOOKUP(B2312,CAJEROS!B:D,3,0)</f>
        <v>Multifuncional</v>
      </c>
      <c r="I2312" s="34" t="s">
        <v>9</v>
      </c>
      <c r="J2312" s="38" t="str">
        <f>VLOOKUP(B2312,CAJEROS!B:E,4,0)</f>
        <v>MF_UNARMENI</v>
      </c>
      <c r="K2312" t="s">
        <v>450</v>
      </c>
    </row>
    <row r="2313" spans="1:11">
      <c r="A2313" s="32">
        <v>517</v>
      </c>
      <c r="B2313" s="33">
        <v>5053</v>
      </c>
      <c r="C2313" s="3">
        <v>1760000</v>
      </c>
      <c r="D2313" s="3">
        <v>1650000</v>
      </c>
      <c r="E2313" s="7">
        <f t="shared" si="72"/>
        <v>110000</v>
      </c>
      <c r="F2313" s="5">
        <v>45890</v>
      </c>
      <c r="G2313" s="4">
        <v>20250820</v>
      </c>
      <c r="H2313" s="38" t="str">
        <f>VLOOKUP(B2313,CAJEROS!B:D,3,0)</f>
        <v>Multifuncional</v>
      </c>
      <c r="I2313" s="34" t="s">
        <v>9</v>
      </c>
      <c r="J2313" s="38" t="str">
        <f>VLOOKUP(B2313,CAJEROS!B:E,4,0)</f>
        <v>MF_RODADERO</v>
      </c>
      <c r="K2313" t="s">
        <v>450</v>
      </c>
    </row>
    <row r="2314" spans="1:11">
      <c r="A2314" s="32">
        <v>101</v>
      </c>
      <c r="B2314" s="33">
        <v>5128</v>
      </c>
      <c r="C2314" s="3">
        <v>2620000</v>
      </c>
      <c r="D2314" s="3">
        <f>170000+1160000+1230000</f>
        <v>2560000</v>
      </c>
      <c r="E2314" s="7">
        <f t="shared" si="72"/>
        <v>60000</v>
      </c>
      <c r="F2314" s="5">
        <v>45890</v>
      </c>
      <c r="G2314" s="4">
        <v>20250820</v>
      </c>
      <c r="H2314" s="38" t="str">
        <f>VLOOKUP(B2314,CAJEROS!B:D,3,0)</f>
        <v>Multifuncional</v>
      </c>
      <c r="I2314" s="34" t="s">
        <v>9</v>
      </c>
      <c r="J2314" s="38" t="str">
        <f>VLOOKUP(B2314,CAJEROS!B:E,4,0)</f>
        <v>MF_MULTDRIV</v>
      </c>
      <c r="K2314" t="s">
        <v>450</v>
      </c>
    </row>
    <row r="2315" spans="1:11">
      <c r="A2315" s="32">
        <v>762</v>
      </c>
      <c r="B2315" s="33">
        <v>5181</v>
      </c>
      <c r="C2315" s="3">
        <v>750000</v>
      </c>
      <c r="D2315" s="3"/>
      <c r="E2315" s="7">
        <f t="shared" si="72"/>
        <v>750000</v>
      </c>
      <c r="F2315" s="5">
        <v>45890</v>
      </c>
      <c r="G2315" s="4">
        <v>20250820</v>
      </c>
      <c r="H2315" s="38" t="str">
        <f>VLOOKUP(B2315,CAJEROS!B:D,3,0)</f>
        <v>Multifuncional</v>
      </c>
      <c r="I2315" s="34" t="s">
        <v>9</v>
      </c>
      <c r="J2315" s="38" t="str">
        <f>VLOOKUP(B2315,CAJEROS!B:E,4,0)</f>
        <v>MF_HERRADU1</v>
      </c>
      <c r="K2315" t="s">
        <v>450</v>
      </c>
    </row>
    <row r="2316" spans="1:11">
      <c r="A2316" s="32">
        <v>820</v>
      </c>
      <c r="B2316" s="33">
        <v>6174</v>
      </c>
      <c r="C2316" s="3">
        <v>1300200</v>
      </c>
      <c r="D2316" s="3">
        <v>1299700</v>
      </c>
      <c r="E2316" s="7">
        <f t="shared" si="72"/>
        <v>500</v>
      </c>
      <c r="F2316" s="5">
        <v>45890</v>
      </c>
      <c r="G2316" s="4">
        <v>20250820</v>
      </c>
      <c r="H2316" s="38" t="str">
        <f>VLOOKUP(B2316,CAJEROS!B:D,3,0)</f>
        <v>Multifuncional</v>
      </c>
      <c r="I2316" s="34" t="s">
        <v>9</v>
      </c>
      <c r="J2316" s="38" t="str">
        <f>VLOOKUP(B2316,CAJEROS!B:E,4,0)</f>
        <v>MF_AVCERO</v>
      </c>
      <c r="K2316" t="s">
        <v>450</v>
      </c>
    </row>
    <row r="2317" spans="1:11">
      <c r="A2317" s="32">
        <v>379</v>
      </c>
      <c r="B2317" s="33">
        <v>6465</v>
      </c>
      <c r="C2317" s="3">
        <v>2083750</v>
      </c>
      <c r="D2317" s="3"/>
      <c r="E2317" s="7">
        <f t="shared" si="72"/>
        <v>2083750</v>
      </c>
      <c r="F2317" s="5">
        <v>45890</v>
      </c>
      <c r="G2317" s="4">
        <v>20250820</v>
      </c>
      <c r="H2317" s="38" t="str">
        <f>VLOOKUP(B2317,CAJEROS!B:D,3,0)</f>
        <v>Multifuncional</v>
      </c>
      <c r="I2317" s="34" t="s">
        <v>9</v>
      </c>
      <c r="J2317" s="38" t="str">
        <f>VLOOKUP(B2317,CAJEROS!B:E,4,0)</f>
        <v>MF_SUCTESO1</v>
      </c>
      <c r="K2317" t="s">
        <v>450</v>
      </c>
    </row>
    <row r="2318" spans="1:11">
      <c r="A2318" s="32">
        <v>60</v>
      </c>
      <c r="B2318" s="33">
        <v>8728</v>
      </c>
      <c r="C2318" s="3">
        <v>481000</v>
      </c>
      <c r="D2318" s="3">
        <v>295000</v>
      </c>
      <c r="E2318" s="7">
        <f t="shared" si="72"/>
        <v>186000</v>
      </c>
      <c r="F2318" s="5">
        <v>45890</v>
      </c>
      <c r="G2318" s="4">
        <v>20250820</v>
      </c>
      <c r="H2318" s="38" t="str">
        <f>VLOOKUP(B2318,CAJEROS!B:D,3,0)</f>
        <v>Multifuncional</v>
      </c>
      <c r="I2318" s="34" t="s">
        <v>9</v>
      </c>
      <c r="J2318" s="38" t="str">
        <f>VLOOKUP(B2318,CAJEROS!B:E,4,0)</f>
        <v>MF_HCALIPR2</v>
      </c>
      <c r="K2318" t="s">
        <v>450</v>
      </c>
    </row>
    <row r="2319" spans="1:11">
      <c r="A2319" s="32">
        <v>20</v>
      </c>
      <c r="B2319" s="33">
        <v>8927</v>
      </c>
      <c r="C2319" s="3">
        <v>775000</v>
      </c>
      <c r="D2319" s="3">
        <v>250000</v>
      </c>
      <c r="E2319" s="7">
        <f t="shared" si="72"/>
        <v>525000</v>
      </c>
      <c r="F2319" s="5">
        <v>45890</v>
      </c>
      <c r="G2319" s="4">
        <v>20250820</v>
      </c>
      <c r="H2319" s="38" t="str">
        <f>VLOOKUP(B2319,CAJEROS!B:D,3,0)</f>
        <v>Multifuncional</v>
      </c>
      <c r="I2319" s="34" t="s">
        <v>9</v>
      </c>
      <c r="J2319" s="38" t="str">
        <f>VLOOKUP(B2319,CAJEROS!B:E,4,0)</f>
        <v>MFSUCBUCMG2</v>
      </c>
      <c r="K2319" t="s">
        <v>450</v>
      </c>
    </row>
    <row r="2320" spans="1:11">
      <c r="A2320" s="32">
        <v>957</v>
      </c>
      <c r="B2320" s="33">
        <v>9513</v>
      </c>
      <c r="C2320" s="3">
        <v>200000</v>
      </c>
      <c r="D2320" s="3"/>
      <c r="E2320" s="7">
        <f t="shared" si="72"/>
        <v>200000</v>
      </c>
      <c r="F2320" s="5">
        <v>45890</v>
      </c>
      <c r="G2320" s="4">
        <v>20250820</v>
      </c>
      <c r="H2320" s="38" t="str">
        <f>VLOOKUP(B2320,CAJEROS!B:D,3,0)</f>
        <v>Multifuncional</v>
      </c>
      <c r="I2320" s="34" t="s">
        <v>9</v>
      </c>
      <c r="J2320" s="38" t="str">
        <f>VLOOKUP(B2320,CAJEROS!B:E,4,0)</f>
        <v>MFSUCPARAL2</v>
      </c>
      <c r="K2320" t="s">
        <v>450</v>
      </c>
    </row>
    <row r="2321" spans="1:11">
      <c r="A2321" s="32">
        <v>264</v>
      </c>
      <c r="B2321" s="33">
        <v>9906</v>
      </c>
      <c r="C2321" s="3">
        <v>405000</v>
      </c>
      <c r="D2321" s="3">
        <v>400000</v>
      </c>
      <c r="E2321" s="7">
        <f t="shared" si="72"/>
        <v>5000</v>
      </c>
      <c r="F2321" s="5">
        <v>45890</v>
      </c>
      <c r="G2321" s="4">
        <v>20250820</v>
      </c>
      <c r="H2321" s="38" t="str">
        <f>VLOOKUP(B2321,CAJEROS!B:D,3,0)</f>
        <v>Multifuncional</v>
      </c>
      <c r="I2321" s="34" t="s">
        <v>9</v>
      </c>
      <c r="J2321" s="38" t="str">
        <f>VLOOKUP(B2321,CAJEROS!B:E,4,0)</f>
        <v>MFSUCFUSAG1</v>
      </c>
      <c r="K2321" t="s">
        <v>450</v>
      </c>
    </row>
    <row r="2322" spans="1:11">
      <c r="A2322" s="32">
        <v>477</v>
      </c>
      <c r="B2322" s="33">
        <v>6251</v>
      </c>
      <c r="C2322" s="3">
        <v>929000</v>
      </c>
      <c r="D2322" s="3"/>
      <c r="E2322" s="7">
        <f t="shared" ref="E2322:E2385" si="73">+C2322-D2322</f>
        <v>929000</v>
      </c>
      <c r="F2322" s="5">
        <v>45890</v>
      </c>
      <c r="G2322" s="4">
        <v>20250820</v>
      </c>
      <c r="H2322" s="38" t="str">
        <f>VLOOKUP(B2322,CAJEROS!B:D,3,0)</f>
        <v>Multifuncional</v>
      </c>
      <c r="I2322" s="34" t="s">
        <v>453</v>
      </c>
      <c r="J2322" s="38" t="str">
        <f>VLOOKUP(B2322,CAJEROS!B:E,4,0)</f>
        <v>MF_GRANCENT</v>
      </c>
      <c r="K2322" t="s">
        <v>450</v>
      </c>
    </row>
    <row r="2323" spans="1:11">
      <c r="A2323" s="32">
        <v>743</v>
      </c>
      <c r="B2323" s="33">
        <v>5697</v>
      </c>
      <c r="C2323" s="3">
        <v>20000</v>
      </c>
      <c r="D2323" s="3"/>
      <c r="E2323" s="7">
        <f t="shared" si="73"/>
        <v>20000</v>
      </c>
      <c r="F2323" s="5">
        <v>45890</v>
      </c>
      <c r="G2323" s="4">
        <v>20250820</v>
      </c>
      <c r="H2323" s="38" t="str">
        <f>VLOOKUP(B2323,CAJEROS!B:D,3,0)</f>
        <v>Dispensador</v>
      </c>
      <c r="I2323" s="34" t="s">
        <v>10</v>
      </c>
      <c r="J2323" s="38" t="str">
        <f>VLOOKUP(B2323,CAJEROS!B:E,4,0)</f>
        <v>SUC_NORTHP3</v>
      </c>
      <c r="K2323" t="s">
        <v>450</v>
      </c>
    </row>
    <row r="2324" spans="1:11">
      <c r="A2324" s="32">
        <v>325</v>
      </c>
      <c r="B2324" s="33">
        <v>5575</v>
      </c>
      <c r="C2324" s="3">
        <v>10000</v>
      </c>
      <c r="D2324" s="3"/>
      <c r="E2324" s="7">
        <f t="shared" si="73"/>
        <v>10000</v>
      </c>
      <c r="F2324" s="5">
        <v>45890</v>
      </c>
      <c r="G2324" s="4">
        <v>20250820</v>
      </c>
      <c r="H2324" s="38" t="str">
        <f>VLOOKUP(B2324,CAJEROS!B:D,3,0)</f>
        <v>Dispensador</v>
      </c>
      <c r="I2324" s="34" t="s">
        <v>10</v>
      </c>
      <c r="J2324" s="38" t="str">
        <f>VLOOKUP(B2324,CAJEROS!B:E,4,0)</f>
        <v>SANTUARI2</v>
      </c>
      <c r="K2324" t="s">
        <v>450</v>
      </c>
    </row>
    <row r="2325" spans="1:11">
      <c r="A2325" s="32">
        <v>476</v>
      </c>
      <c r="B2325" s="33">
        <v>5573</v>
      </c>
      <c r="C2325" s="3">
        <v>20000</v>
      </c>
      <c r="D2325" s="3"/>
      <c r="E2325" s="7">
        <f t="shared" si="73"/>
        <v>20000</v>
      </c>
      <c r="F2325" s="5">
        <v>45890</v>
      </c>
      <c r="G2325" s="4">
        <v>20250820</v>
      </c>
      <c r="H2325" s="38" t="str">
        <f>VLOOKUP(B2325,CAJEROS!B:D,3,0)</f>
        <v>Dispensador</v>
      </c>
      <c r="I2325" s="34" t="s">
        <v>10</v>
      </c>
      <c r="J2325" s="38" t="str">
        <f>VLOOKUP(B2325,CAJEROS!B:E,4,0)</f>
        <v>SUC_PAMPLO1</v>
      </c>
      <c r="K2325" t="s">
        <v>450</v>
      </c>
    </row>
    <row r="2326" spans="1:11">
      <c r="A2326" s="32">
        <v>358</v>
      </c>
      <c r="B2326" s="33">
        <v>4499</v>
      </c>
      <c r="C2326" s="3">
        <v>20000</v>
      </c>
      <c r="D2326" s="3"/>
      <c r="E2326" s="7">
        <f t="shared" si="73"/>
        <v>20000</v>
      </c>
      <c r="F2326" s="5">
        <v>45890</v>
      </c>
      <c r="G2326" s="4">
        <v>20250820</v>
      </c>
      <c r="H2326" s="38" t="str">
        <f>VLOOKUP(B2326,CAJEROS!B:D,3,0)</f>
        <v>Dispensador</v>
      </c>
      <c r="I2326" s="34" t="s">
        <v>10</v>
      </c>
      <c r="J2326" s="38" t="str">
        <f>VLOOKUP(B2326,CAJEROS!B:E,4,0)</f>
        <v>SUC_SOGAMO1</v>
      </c>
      <c r="K2326" t="s">
        <v>450</v>
      </c>
    </row>
    <row r="2327" spans="1:11">
      <c r="A2327" s="32">
        <v>848</v>
      </c>
      <c r="B2327" s="33">
        <v>4740</v>
      </c>
      <c r="C2327" s="3">
        <v>20000</v>
      </c>
      <c r="D2327" s="3"/>
      <c r="E2327" s="7">
        <f t="shared" si="73"/>
        <v>20000</v>
      </c>
      <c r="F2327" s="5">
        <v>45890</v>
      </c>
      <c r="G2327" s="4">
        <v>20250820</v>
      </c>
      <c r="H2327" s="38" t="str">
        <f>VLOOKUP(B2327,CAJEROS!B:D,3,0)</f>
        <v>Dispensador</v>
      </c>
      <c r="I2327" s="34" t="s">
        <v>10</v>
      </c>
      <c r="J2327" s="38" t="str">
        <f>VLOOKUP(B2327,CAJEROS!B:E,4,0)</f>
        <v>PQECABAL_3</v>
      </c>
      <c r="K2327" t="s">
        <v>450</v>
      </c>
    </row>
    <row r="2328" spans="1:11">
      <c r="A2328" s="32">
        <v>693</v>
      </c>
      <c r="B2328" s="33">
        <v>7979</v>
      </c>
      <c r="C2328" s="3">
        <v>5000</v>
      </c>
      <c r="D2328" s="3"/>
      <c r="E2328" s="7">
        <f t="shared" si="73"/>
        <v>5000</v>
      </c>
      <c r="F2328" s="5">
        <v>45890</v>
      </c>
      <c r="G2328" s="4">
        <v>20250820</v>
      </c>
      <c r="H2328" s="38" t="str">
        <f>VLOOKUP(B2328,CAJEROS!B:D,3,0)</f>
        <v>Multifuncional</v>
      </c>
      <c r="I2328" s="34" t="s">
        <v>10</v>
      </c>
      <c r="J2328" s="38" t="str">
        <f>VLOOKUP(B2328,CAJEROS!B:E,4,0)</f>
        <v>MF_CCSNTAF3</v>
      </c>
      <c r="K2328" t="s">
        <v>450</v>
      </c>
    </row>
    <row r="2329" spans="1:11" ht="0.6" customHeight="1">
      <c r="A2329" s="32">
        <v>941</v>
      </c>
      <c r="B2329" s="33">
        <v>5220</v>
      </c>
      <c r="C2329" s="3">
        <v>750000</v>
      </c>
      <c r="D2329" s="3"/>
      <c r="E2329" s="7">
        <f t="shared" si="73"/>
        <v>750000</v>
      </c>
      <c r="F2329" s="5">
        <v>45889</v>
      </c>
      <c r="G2329" s="4">
        <v>20250820</v>
      </c>
      <c r="H2329" s="38" t="str">
        <f>VLOOKUP(B2329,CAJEROS!B:D,3,0)</f>
        <v>Multifuncional</v>
      </c>
      <c r="I2329" s="34" t="s">
        <v>454</v>
      </c>
      <c r="J2329" s="38" t="str">
        <f>VLOOKUP(B2329,CAJEROS!B:E,4,0)</f>
        <v>MF_NEIVANVA</v>
      </c>
      <c r="K2329" t="s">
        <v>450</v>
      </c>
    </row>
    <row r="2330" spans="1:11">
      <c r="A2330" s="32">
        <v>745</v>
      </c>
      <c r="B2330" s="33">
        <v>1477</v>
      </c>
      <c r="C2330" s="3">
        <v>10300000</v>
      </c>
      <c r="D2330" s="3">
        <v>3195000</v>
      </c>
      <c r="E2330" s="7">
        <f t="shared" si="73"/>
        <v>7105000</v>
      </c>
      <c r="F2330" s="5">
        <v>45891</v>
      </c>
      <c r="G2330" s="4">
        <v>20250821</v>
      </c>
      <c r="H2330" s="38" t="str">
        <f>VLOOKUP(B2330,CAJEROS!B:D,3,0)</f>
        <v>Multifuncional</v>
      </c>
      <c r="I2330" s="34"/>
      <c r="J2330" s="38" t="str">
        <f>VLOOKUP(B2330,CAJEROS!B:E,4,0)</f>
        <v>MFSUCMALPZ2</v>
      </c>
      <c r="K2330" t="s">
        <v>450</v>
      </c>
    </row>
    <row r="2331" spans="1:11">
      <c r="A2331" s="32">
        <v>692</v>
      </c>
      <c r="B2331" s="33">
        <v>1516</v>
      </c>
      <c r="C2331" s="3">
        <v>10100050</v>
      </c>
      <c r="D2331" s="3"/>
      <c r="E2331" s="7">
        <f t="shared" si="73"/>
        <v>10100050</v>
      </c>
      <c r="F2331" s="5">
        <v>45891</v>
      </c>
      <c r="G2331" s="4">
        <v>20250821</v>
      </c>
      <c r="H2331" s="38" t="str">
        <f>VLOOKUP(B2331,CAJEROS!B:D,3,0)</f>
        <v>Multifuncional</v>
      </c>
      <c r="I2331" s="34"/>
      <c r="J2331" s="38" t="str">
        <f>VLOOKUP(B2331,CAJEROS!B:E,4,0)</f>
        <v>MFSUCALTPR2</v>
      </c>
      <c r="K2331" t="s">
        <v>450</v>
      </c>
    </row>
    <row r="2332" spans="1:11">
      <c r="A2332" s="32">
        <v>769</v>
      </c>
      <c r="B2332" s="33">
        <v>5051</v>
      </c>
      <c r="C2332" s="3">
        <v>24763000</v>
      </c>
      <c r="D2332" s="3">
        <v>289300</v>
      </c>
      <c r="E2332" s="7">
        <f t="shared" si="73"/>
        <v>24473700</v>
      </c>
      <c r="F2332" s="5">
        <v>45891</v>
      </c>
      <c r="G2332" s="4">
        <v>20250821</v>
      </c>
      <c r="H2332" s="38" t="str">
        <f>VLOOKUP(B2332,CAJEROS!B:D,3,0)</f>
        <v>Multifuncional</v>
      </c>
      <c r="I2332" s="34"/>
      <c r="J2332" s="38" t="str">
        <f>VLOOKUP(B2332,CAJEROS!B:E,4,0)</f>
        <v>MF_SUCPPRA2</v>
      </c>
      <c r="K2332" t="s">
        <v>450</v>
      </c>
    </row>
    <row r="2333" spans="1:11">
      <c r="A2333" s="32">
        <v>927</v>
      </c>
      <c r="B2333" s="33">
        <v>5143</v>
      </c>
      <c r="C2333" s="3">
        <v>29369000</v>
      </c>
      <c r="D2333" s="3"/>
      <c r="E2333" s="7">
        <f t="shared" si="73"/>
        <v>29369000</v>
      </c>
      <c r="F2333" s="5">
        <v>45891</v>
      </c>
      <c r="G2333" s="4">
        <v>20250821</v>
      </c>
      <c r="H2333" s="38" t="str">
        <f>VLOOKUP(B2333,CAJEROS!B:D,3,0)</f>
        <v>Multifuncional</v>
      </c>
      <c r="I2333" s="34"/>
      <c r="J2333" s="38" t="str">
        <f>VLOOKUP(B2333,CAJEROS!B:E,4,0)</f>
        <v>MF_SUCMOCOA</v>
      </c>
      <c r="K2333" t="s">
        <v>450</v>
      </c>
    </row>
    <row r="2334" spans="1:11">
      <c r="A2334" s="32">
        <v>351</v>
      </c>
      <c r="B2334" s="33">
        <v>6182</v>
      </c>
      <c r="C2334" s="3">
        <v>50</v>
      </c>
      <c r="D2334" s="3"/>
      <c r="E2334" s="7">
        <f t="shared" si="73"/>
        <v>50</v>
      </c>
      <c r="F2334" s="5">
        <v>45891</v>
      </c>
      <c r="G2334" s="4">
        <v>20250821</v>
      </c>
      <c r="H2334" s="38" t="str">
        <f>VLOOKUP(B2334,CAJEROS!B:D,3,0)</f>
        <v>Multifuncional</v>
      </c>
      <c r="I2334" s="34"/>
      <c r="J2334" s="38" t="str">
        <f>VLOOKUP(B2334,CAJEROS!B:E,4,0)</f>
        <v>MF_PUNTORIE</v>
      </c>
      <c r="K2334" t="s">
        <v>450</v>
      </c>
    </row>
    <row r="2335" spans="1:11">
      <c r="A2335" s="32">
        <v>379</v>
      </c>
      <c r="B2335" s="33">
        <v>6465</v>
      </c>
      <c r="C2335" s="3">
        <v>480000</v>
      </c>
      <c r="D2335" s="3"/>
      <c r="E2335" s="7">
        <f t="shared" si="73"/>
        <v>480000</v>
      </c>
      <c r="F2335" s="5">
        <v>45891</v>
      </c>
      <c r="G2335" s="4">
        <v>20250821</v>
      </c>
      <c r="H2335" s="38" t="str">
        <f>VLOOKUP(B2335,CAJEROS!B:D,3,0)</f>
        <v>Multifuncional</v>
      </c>
      <c r="I2335" s="34"/>
      <c r="J2335" s="38" t="str">
        <f>VLOOKUP(B2335,CAJEROS!B:E,4,0)</f>
        <v>MF_SUCTESO1</v>
      </c>
      <c r="K2335" t="s">
        <v>450</v>
      </c>
    </row>
    <row r="2336" spans="1:11">
      <c r="A2336" s="32">
        <v>389</v>
      </c>
      <c r="B2336" s="33">
        <v>7327</v>
      </c>
      <c r="C2336" s="3">
        <v>2230000</v>
      </c>
      <c r="D2336" s="3"/>
      <c r="E2336" s="7">
        <f t="shared" si="73"/>
        <v>2230000</v>
      </c>
      <c r="F2336" s="5">
        <v>45891</v>
      </c>
      <c r="G2336" s="4">
        <v>20250821</v>
      </c>
      <c r="H2336" s="38" t="str">
        <f>VLOOKUP(B2336,CAJEROS!B:D,3,0)</f>
        <v>Multifuncional</v>
      </c>
      <c r="I2336" s="34"/>
      <c r="J2336" s="38" t="str">
        <f>VLOOKUP(B2336,CAJEROS!B:E,4,0)</f>
        <v>MF_MARIQUIT</v>
      </c>
      <c r="K2336" t="s">
        <v>450</v>
      </c>
    </row>
    <row r="2337" spans="1:11">
      <c r="A2337" s="32">
        <v>848</v>
      </c>
      <c r="B2337" s="33">
        <v>7374</v>
      </c>
      <c r="C2337" s="3">
        <v>766000</v>
      </c>
      <c r="D2337" s="3"/>
      <c r="E2337" s="7">
        <f t="shared" si="73"/>
        <v>766000</v>
      </c>
      <c r="F2337" s="5">
        <v>45891</v>
      </c>
      <c r="G2337" s="4">
        <v>20250821</v>
      </c>
      <c r="H2337" s="38" t="str">
        <f>VLOOKUP(B2337,CAJEROS!B:D,3,0)</f>
        <v>Multifuncional</v>
      </c>
      <c r="I2337" s="34"/>
      <c r="J2337" s="38" t="str">
        <f>VLOOKUP(B2337,CAJEROS!B:E,4,0)</f>
        <v>MF_BUGA</v>
      </c>
      <c r="K2337" t="s">
        <v>450</v>
      </c>
    </row>
    <row r="2338" spans="1:11">
      <c r="A2338" s="32">
        <v>172</v>
      </c>
      <c r="B2338" s="33">
        <v>7429</v>
      </c>
      <c r="C2338" s="3">
        <v>5452000</v>
      </c>
      <c r="D2338" s="3"/>
      <c r="E2338" s="7">
        <f t="shared" si="73"/>
        <v>5452000</v>
      </c>
      <c r="F2338" s="5">
        <v>45891</v>
      </c>
      <c r="G2338" s="4">
        <v>20250821</v>
      </c>
      <c r="H2338" s="38" t="str">
        <f>VLOOKUP(B2338,CAJEROS!B:D,3,0)</f>
        <v>Multifuncional</v>
      </c>
      <c r="I2338" s="34"/>
      <c r="J2338" s="38" t="str">
        <f>VLOOKUP(B2338,CAJEROS!B:E,4,0)</f>
        <v>MF_TELEPORT</v>
      </c>
      <c r="K2338" t="s">
        <v>450</v>
      </c>
    </row>
    <row r="2339" spans="1:11">
      <c r="A2339" s="32">
        <v>166</v>
      </c>
      <c r="B2339" s="33">
        <v>7939</v>
      </c>
      <c r="C2339" s="3">
        <v>1770000</v>
      </c>
      <c r="D2339" s="3"/>
      <c r="E2339" s="7">
        <f t="shared" si="73"/>
        <v>1770000</v>
      </c>
      <c r="F2339" s="5">
        <v>45891</v>
      </c>
      <c r="G2339" s="4">
        <v>20250821</v>
      </c>
      <c r="H2339" s="38" t="str">
        <f>VLOOKUP(B2339,CAJEROS!B:D,3,0)</f>
        <v>Multifuncional</v>
      </c>
      <c r="I2339" s="34"/>
      <c r="J2339" s="38" t="str">
        <f>VLOOKUP(B2339,CAJEROS!B:E,4,0)</f>
        <v>MF_ALDELSI1</v>
      </c>
      <c r="K2339" t="s">
        <v>450</v>
      </c>
    </row>
    <row r="2340" spans="1:11">
      <c r="A2340" s="32">
        <v>166</v>
      </c>
      <c r="B2340" s="33">
        <v>7940</v>
      </c>
      <c r="C2340" s="3">
        <v>4163800</v>
      </c>
      <c r="D2340" s="3">
        <f>390000+2151000</f>
        <v>2541000</v>
      </c>
      <c r="E2340" s="7">
        <f t="shared" si="73"/>
        <v>1622800</v>
      </c>
      <c r="F2340" s="5">
        <v>45891</v>
      </c>
      <c r="G2340" s="4">
        <v>20250821</v>
      </c>
      <c r="H2340" s="38" t="str">
        <f>VLOOKUP(B2340,CAJEROS!B:D,3,0)</f>
        <v>Multifuncional</v>
      </c>
      <c r="I2340" s="34"/>
      <c r="J2340" s="38" t="str">
        <f>VLOOKUP(B2340,CAJEROS!B:E,4,0)</f>
        <v>MF_ALDELS22</v>
      </c>
      <c r="K2340" t="s">
        <v>450</v>
      </c>
    </row>
    <row r="2341" spans="1:11">
      <c r="A2341" s="32">
        <v>33</v>
      </c>
      <c r="B2341" s="33">
        <v>8861</v>
      </c>
      <c r="C2341" s="3">
        <v>3700000</v>
      </c>
      <c r="D2341" s="3">
        <v>5000</v>
      </c>
      <c r="E2341" s="7">
        <f t="shared" si="73"/>
        <v>3695000</v>
      </c>
      <c r="F2341" s="5">
        <v>45891</v>
      </c>
      <c r="G2341" s="4">
        <v>20250821</v>
      </c>
      <c r="H2341" s="38" t="str">
        <f>VLOOKUP(B2341,CAJEROS!B:D,3,0)</f>
        <v>Multifuncional</v>
      </c>
      <c r="I2341" s="34"/>
      <c r="J2341" s="38" t="str">
        <f>VLOOKUP(B2341,CAJEROS!B:E,4,0)</f>
        <v>MF_SPOLCLU1</v>
      </c>
      <c r="K2341" t="s">
        <v>450</v>
      </c>
    </row>
    <row r="2342" spans="1:11">
      <c r="A2342" s="32">
        <v>890</v>
      </c>
      <c r="B2342" s="33">
        <v>9584</v>
      </c>
      <c r="C2342" s="3">
        <v>22005000</v>
      </c>
      <c r="D2342" s="3"/>
      <c r="E2342" s="7">
        <f t="shared" si="73"/>
        <v>22005000</v>
      </c>
      <c r="F2342" s="5">
        <v>45891</v>
      </c>
      <c r="G2342" s="4">
        <v>20250821</v>
      </c>
      <c r="H2342" s="38" t="str">
        <f>VLOOKUP(B2342,CAJEROS!B:D,3,0)</f>
        <v>Multifuncional</v>
      </c>
      <c r="I2342" s="34"/>
      <c r="J2342" s="38" t="str">
        <f>VLOOKUP(B2342,CAJEROS!B:E,4,0)</f>
        <v>MFSUCACACI1</v>
      </c>
      <c r="K2342" t="s">
        <v>450</v>
      </c>
    </row>
    <row r="2343" spans="1:11">
      <c r="A2343" s="32">
        <v>481</v>
      </c>
      <c r="B2343" s="33">
        <v>1010</v>
      </c>
      <c r="C2343" s="3">
        <v>2990000</v>
      </c>
      <c r="D2343" s="3">
        <v>2840000</v>
      </c>
      <c r="E2343" s="7">
        <f t="shared" si="73"/>
        <v>150000</v>
      </c>
      <c r="F2343" s="5">
        <v>45891</v>
      </c>
      <c r="G2343" s="4">
        <v>20250821</v>
      </c>
      <c r="H2343" s="38" t="str">
        <f>VLOOKUP(B2343,CAJEROS!B:D,3,0)</f>
        <v>Multifuncional</v>
      </c>
      <c r="I2343" s="34" t="s">
        <v>9</v>
      </c>
      <c r="J2343" s="38" t="str">
        <f>VLOOKUP(B2343,CAJEROS!B:E,4,0)</f>
        <v>MF_SOLEDAD1</v>
      </c>
      <c r="K2343" t="s">
        <v>450</v>
      </c>
    </row>
    <row r="2344" spans="1:11">
      <c r="A2344" s="32">
        <v>795</v>
      </c>
      <c r="B2344" s="33">
        <v>1027</v>
      </c>
      <c r="C2344" s="3">
        <v>1030000</v>
      </c>
      <c r="D2344" s="3">
        <v>960000</v>
      </c>
      <c r="E2344" s="7">
        <f t="shared" si="73"/>
        <v>70000</v>
      </c>
      <c r="F2344" s="5">
        <v>45891</v>
      </c>
      <c r="G2344" s="4">
        <v>20250821</v>
      </c>
      <c r="H2344" s="38" t="str">
        <f>VLOOKUP(B2344,CAJEROS!B:D,3,0)</f>
        <v>Multifuncional</v>
      </c>
      <c r="I2344" s="34" t="s">
        <v>9</v>
      </c>
      <c r="J2344" s="38" t="str">
        <f>VLOOKUP(B2344,CAJEROS!B:E,4,0)</f>
        <v>MFSUCANVER1</v>
      </c>
      <c r="K2344" t="s">
        <v>450</v>
      </c>
    </row>
    <row r="2345" spans="1:11">
      <c r="A2345" s="32">
        <v>167</v>
      </c>
      <c r="B2345" s="33">
        <v>5030</v>
      </c>
      <c r="C2345" s="3">
        <v>127400</v>
      </c>
      <c r="D2345" s="3">
        <v>119500</v>
      </c>
      <c r="E2345" s="7">
        <f t="shared" si="73"/>
        <v>7900</v>
      </c>
      <c r="F2345" s="5">
        <v>45891</v>
      </c>
      <c r="G2345" s="4">
        <v>20250821</v>
      </c>
      <c r="H2345" s="38" t="str">
        <f>VLOOKUP(B2345,CAJEROS!B:D,3,0)</f>
        <v>Multifuncional</v>
      </c>
      <c r="I2345" s="34" t="s">
        <v>9</v>
      </c>
      <c r="J2345" s="38" t="str">
        <f>VLOOKUP(B2345,CAJEROS!B:E,4,0)</f>
        <v>MF_AVENID82</v>
      </c>
      <c r="K2345" t="s">
        <v>450</v>
      </c>
    </row>
    <row r="2346" spans="1:11">
      <c r="A2346" s="32">
        <v>154</v>
      </c>
      <c r="B2346" s="33">
        <v>5041</v>
      </c>
      <c r="C2346" s="3">
        <v>590000</v>
      </c>
      <c r="D2346" s="3"/>
      <c r="E2346" s="7">
        <f t="shared" si="73"/>
        <v>590000</v>
      </c>
      <c r="F2346" s="5">
        <v>45891</v>
      </c>
      <c r="G2346" s="4">
        <v>20250821</v>
      </c>
      <c r="H2346" s="38" t="str">
        <f>VLOOKUP(B2346,CAJEROS!B:D,3,0)</f>
        <v>Multifuncional</v>
      </c>
      <c r="I2346" s="34" t="s">
        <v>9</v>
      </c>
      <c r="J2346" s="38" t="str">
        <f>VLOOKUP(B2346,CAJEROS!B:E,4,0)</f>
        <v>MF_CMAYOR</v>
      </c>
      <c r="K2346" t="s">
        <v>450</v>
      </c>
    </row>
    <row r="2347" spans="1:11">
      <c r="A2347" s="32">
        <v>70</v>
      </c>
      <c r="B2347" s="33">
        <v>5164</v>
      </c>
      <c r="C2347" s="3">
        <v>2570000</v>
      </c>
      <c r="D2347" s="3">
        <f>2308800+260000</f>
        <v>2568800</v>
      </c>
      <c r="E2347" s="7">
        <f t="shared" si="73"/>
        <v>1200</v>
      </c>
      <c r="F2347" s="5">
        <v>45891</v>
      </c>
      <c r="G2347" s="4">
        <v>20250821</v>
      </c>
      <c r="H2347" s="38" t="str">
        <f>VLOOKUP(B2347,CAJEROS!B:D,3,0)</f>
        <v>Multifuncional</v>
      </c>
      <c r="I2347" s="34" t="s">
        <v>9</v>
      </c>
      <c r="J2347" s="38" t="str">
        <f>VLOOKUP(B2347,CAJEROS!B:E,4,0)</f>
        <v>MF_MANIZALE</v>
      </c>
      <c r="K2347" t="s">
        <v>450</v>
      </c>
    </row>
    <row r="2348" spans="1:11">
      <c r="A2348" s="32">
        <v>541</v>
      </c>
      <c r="B2348" s="33">
        <v>5185</v>
      </c>
      <c r="C2348" s="3">
        <v>1295900</v>
      </c>
      <c r="D2348" s="3"/>
      <c r="E2348" s="7">
        <f t="shared" si="73"/>
        <v>1295900</v>
      </c>
      <c r="F2348" s="5">
        <v>45891</v>
      </c>
      <c r="G2348" s="4">
        <v>20250821</v>
      </c>
      <c r="H2348" s="38" t="str">
        <f>VLOOKUP(B2348,CAJEROS!B:D,3,0)</f>
        <v>Multifuncional</v>
      </c>
      <c r="I2348" s="34" t="s">
        <v>9</v>
      </c>
      <c r="J2348" s="38" t="str">
        <f>VLOOKUP(B2348,CAJEROS!B:E,4,0)</f>
        <v>MF_PARQCALD</v>
      </c>
      <c r="K2348" t="s">
        <v>450</v>
      </c>
    </row>
    <row r="2349" spans="1:11">
      <c r="A2349" s="32">
        <v>383</v>
      </c>
      <c r="B2349" s="33">
        <v>5194</v>
      </c>
      <c r="C2349" s="3">
        <v>380000</v>
      </c>
      <c r="D2349" s="3"/>
      <c r="E2349" s="7">
        <f t="shared" si="73"/>
        <v>380000</v>
      </c>
      <c r="F2349" s="5">
        <v>45891</v>
      </c>
      <c r="G2349" s="4">
        <v>20250821</v>
      </c>
      <c r="H2349" s="38" t="str">
        <f>VLOOKUP(B2349,CAJEROS!B:D,3,0)</f>
        <v>Multifuncional</v>
      </c>
      <c r="I2349" s="34" t="s">
        <v>9</v>
      </c>
      <c r="J2349" s="38" t="str">
        <f>VLOOKUP(B2349,CAJEROS!B:E,4,0)</f>
        <v>MF_MADRID</v>
      </c>
      <c r="K2349" t="s">
        <v>450</v>
      </c>
    </row>
    <row r="2350" spans="1:11">
      <c r="A2350" s="32">
        <v>78</v>
      </c>
      <c r="B2350" s="33">
        <v>6246</v>
      </c>
      <c r="C2350" s="3">
        <v>80000</v>
      </c>
      <c r="D2350" s="3">
        <v>70000</v>
      </c>
      <c r="E2350" s="7">
        <f t="shared" si="73"/>
        <v>10000</v>
      </c>
      <c r="F2350" s="5">
        <v>45891</v>
      </c>
      <c r="G2350" s="4">
        <v>20250821</v>
      </c>
      <c r="H2350" s="38" t="str">
        <f>VLOOKUP(B2350,CAJEROS!B:D,3,0)</f>
        <v>Multifuncional</v>
      </c>
      <c r="I2350" s="34" t="s">
        <v>9</v>
      </c>
      <c r="J2350" s="38" t="str">
        <f>VLOOKUP(B2350,CAJEROS!B:E,4,0)</f>
        <v>MF_CACIQUE</v>
      </c>
      <c r="K2350" t="s">
        <v>450</v>
      </c>
    </row>
    <row r="2351" spans="1:11">
      <c r="A2351" s="32">
        <v>718</v>
      </c>
      <c r="B2351" s="33">
        <v>6248</v>
      </c>
      <c r="C2351" s="3">
        <v>1140000</v>
      </c>
      <c r="D2351" s="3"/>
      <c r="E2351" s="7">
        <f t="shared" si="73"/>
        <v>1140000</v>
      </c>
      <c r="F2351" s="5">
        <v>45891</v>
      </c>
      <c r="G2351" s="4">
        <v>20250821</v>
      </c>
      <c r="H2351" s="38" t="str">
        <f>VLOOKUP(B2351,CAJEROS!B:D,3,0)</f>
        <v>Multifuncional</v>
      </c>
      <c r="I2351" s="34" t="s">
        <v>9</v>
      </c>
      <c r="J2351" s="38" t="str">
        <f>VLOOKUP(B2351,CAJEROS!B:E,4,0)</f>
        <v>MF_LAESTACI</v>
      </c>
      <c r="K2351" t="s">
        <v>450</v>
      </c>
    </row>
    <row r="2352" spans="1:11">
      <c r="A2352" s="32">
        <v>601</v>
      </c>
      <c r="B2352" s="33">
        <v>6407</v>
      </c>
      <c r="C2352" s="3">
        <v>1492000</v>
      </c>
      <c r="D2352" s="3"/>
      <c r="E2352" s="7">
        <f t="shared" si="73"/>
        <v>1492000</v>
      </c>
      <c r="F2352" s="5">
        <v>45891</v>
      </c>
      <c r="G2352" s="4">
        <v>20250821</v>
      </c>
      <c r="H2352" s="38" t="str">
        <f>VLOOKUP(B2352,CAJEROS!B:D,3,0)</f>
        <v>Multifuncional</v>
      </c>
      <c r="I2352" s="34" t="s">
        <v>9</v>
      </c>
      <c r="J2352" s="38" t="str">
        <f>VLOOKUP(B2352,CAJEROS!B:E,4,0)</f>
        <v>MF_COLINACA</v>
      </c>
      <c r="K2352" t="s">
        <v>450</v>
      </c>
    </row>
    <row r="2353" spans="1:11">
      <c r="A2353" s="32">
        <v>317</v>
      </c>
      <c r="B2353" s="33">
        <v>6613</v>
      </c>
      <c r="C2353" s="3">
        <v>1798000</v>
      </c>
      <c r="D2353" s="3"/>
      <c r="E2353" s="7">
        <f t="shared" si="73"/>
        <v>1798000</v>
      </c>
      <c r="F2353" s="5">
        <v>45891</v>
      </c>
      <c r="G2353" s="4">
        <v>20250821</v>
      </c>
      <c r="H2353" s="38" t="str">
        <f>VLOOKUP(B2353,CAJEROS!B:D,3,0)</f>
        <v>Multifuncional</v>
      </c>
      <c r="I2353" s="34" t="s">
        <v>9</v>
      </c>
      <c r="J2353" s="38" t="str">
        <f>VLOOKUP(B2353,CAJEROS!B:E,4,0)</f>
        <v>MF_ARAUCA</v>
      </c>
      <c r="K2353" t="s">
        <v>450</v>
      </c>
    </row>
    <row r="2354" spans="1:11">
      <c r="A2354" s="32">
        <v>728</v>
      </c>
      <c r="B2354" s="33">
        <v>8586</v>
      </c>
      <c r="C2354" s="3">
        <v>300000</v>
      </c>
      <c r="D2354" s="3">
        <v>294000</v>
      </c>
      <c r="E2354" s="7">
        <f t="shared" si="73"/>
        <v>6000</v>
      </c>
      <c r="F2354" s="5">
        <v>45891</v>
      </c>
      <c r="G2354" s="4">
        <v>20250821</v>
      </c>
      <c r="H2354" s="38" t="str">
        <f>VLOOKUP(B2354,CAJEROS!B:D,3,0)</f>
        <v>Multifuncional</v>
      </c>
      <c r="I2354" s="34" t="s">
        <v>9</v>
      </c>
      <c r="J2354" s="38" t="str">
        <f>VLOOKUP(B2354,CAJEROS!B:E,4,0)</f>
        <v>MF_SUCCART1</v>
      </c>
      <c r="K2354" t="s">
        <v>450</v>
      </c>
    </row>
    <row r="2355" spans="1:11">
      <c r="A2355" s="32">
        <v>728</v>
      </c>
      <c r="B2355" s="33">
        <v>8587</v>
      </c>
      <c r="C2355" s="3">
        <v>2940000</v>
      </c>
      <c r="D2355" s="3">
        <v>2938000</v>
      </c>
      <c r="E2355" s="7">
        <f t="shared" si="73"/>
        <v>2000</v>
      </c>
      <c r="F2355" s="5">
        <v>45891</v>
      </c>
      <c r="G2355" s="4">
        <v>20250821</v>
      </c>
      <c r="H2355" s="38" t="str">
        <f>VLOOKUP(B2355,CAJEROS!B:D,3,0)</f>
        <v>Multifuncional</v>
      </c>
      <c r="I2355" s="34" t="s">
        <v>9</v>
      </c>
      <c r="J2355" s="38" t="str">
        <f>VLOOKUP(B2355,CAJEROS!B:E,4,0)</f>
        <v>MF_SUCCART2</v>
      </c>
      <c r="K2355" t="s">
        <v>450</v>
      </c>
    </row>
    <row r="2356" spans="1:11">
      <c r="A2356" s="32">
        <v>4</v>
      </c>
      <c r="B2356" s="33">
        <v>8631</v>
      </c>
      <c r="C2356" s="3">
        <v>600000</v>
      </c>
      <c r="D2356" s="3">
        <v>369400</v>
      </c>
      <c r="E2356" s="7">
        <f t="shared" si="73"/>
        <v>230600</v>
      </c>
      <c r="F2356" s="5">
        <v>45891</v>
      </c>
      <c r="G2356" s="4">
        <v>20250821</v>
      </c>
      <c r="H2356" s="38" t="str">
        <f>VLOOKUP(B2356,CAJEROS!B:D,3,0)</f>
        <v>Multifuncional</v>
      </c>
      <c r="I2356" s="34" t="s">
        <v>9</v>
      </c>
      <c r="J2356" s="38" t="str">
        <f>VLOOKUP(B2356,CAJEROS!B:E,4,0)</f>
        <v>MF_SUCLAUR2</v>
      </c>
      <c r="K2356" t="s">
        <v>450</v>
      </c>
    </row>
    <row r="2357" spans="1:11">
      <c r="A2357" s="32">
        <v>779</v>
      </c>
      <c r="B2357" s="33">
        <v>8685</v>
      </c>
      <c r="C2357" s="3">
        <v>130250</v>
      </c>
      <c r="D2357" s="3">
        <v>130000</v>
      </c>
      <c r="E2357" s="7">
        <f t="shared" si="73"/>
        <v>250</v>
      </c>
      <c r="F2357" s="5">
        <v>45891</v>
      </c>
      <c r="G2357" s="4">
        <v>20250821</v>
      </c>
      <c r="H2357" s="38" t="str">
        <f>VLOOKUP(B2357,CAJEROS!B:D,3,0)</f>
        <v>Multifuncional</v>
      </c>
      <c r="I2357" s="34" t="s">
        <v>9</v>
      </c>
      <c r="J2357" s="38" t="str">
        <f>VLOOKUP(B2357,CAJEROS!B:E,4,0)</f>
        <v>MF_BUENVSM3</v>
      </c>
      <c r="K2357" t="s">
        <v>450</v>
      </c>
    </row>
    <row r="2358" spans="1:11">
      <c r="A2358" s="32">
        <v>348</v>
      </c>
      <c r="B2358" s="33">
        <v>9009</v>
      </c>
      <c r="C2358" s="3">
        <v>643000</v>
      </c>
      <c r="D2358" s="3"/>
      <c r="E2358" s="7">
        <f t="shared" si="73"/>
        <v>643000</v>
      </c>
      <c r="F2358" s="5">
        <v>45891</v>
      </c>
      <c r="G2358" s="4">
        <v>20250821</v>
      </c>
      <c r="H2358" s="38" t="str">
        <f>VLOOKUP(B2358,CAJEROS!B:D,3,0)</f>
        <v>Multifuncional</v>
      </c>
      <c r="I2358" s="34" t="s">
        <v>9</v>
      </c>
      <c r="J2358" s="38" t="str">
        <f>VLOOKUP(B2358,CAJEROS!B:E,4,0)</f>
        <v>MF_SANDRES2</v>
      </c>
      <c r="K2358" t="s">
        <v>450</v>
      </c>
    </row>
    <row r="2359" spans="1:11">
      <c r="A2359" s="32">
        <v>57</v>
      </c>
      <c r="B2359" s="33">
        <v>9963</v>
      </c>
      <c r="C2359" s="3">
        <v>505000</v>
      </c>
      <c r="D2359" s="3"/>
      <c r="E2359" s="7">
        <f t="shared" si="73"/>
        <v>505000</v>
      </c>
      <c r="F2359" s="5">
        <v>45891</v>
      </c>
      <c r="G2359" s="4">
        <v>20250821</v>
      </c>
      <c r="H2359" s="38" t="str">
        <f>VLOOKUP(B2359,CAJEROS!B:D,3,0)</f>
        <v>Multifuncional</v>
      </c>
      <c r="I2359" s="34" t="s">
        <v>9</v>
      </c>
      <c r="J2359" s="38" t="str">
        <f>VLOOKUP(B2359,CAJEROS!B:E,4,0)</f>
        <v>MF_VILLAVI1</v>
      </c>
      <c r="K2359" t="s">
        <v>450</v>
      </c>
    </row>
    <row r="2360" spans="1:11">
      <c r="A2360" s="32">
        <v>24</v>
      </c>
      <c r="B2360" s="33">
        <v>5292</v>
      </c>
      <c r="C2360" s="3">
        <v>630000</v>
      </c>
      <c r="D2360" s="3"/>
      <c r="E2360" s="7">
        <f t="shared" si="73"/>
        <v>630000</v>
      </c>
      <c r="F2360" s="5">
        <v>45891</v>
      </c>
      <c r="G2360" s="4">
        <v>20250821</v>
      </c>
      <c r="H2360" s="38" t="str">
        <f>VLOOKUP(B2360,CAJEROS!B:D,3,0)</f>
        <v>Dispensador</v>
      </c>
      <c r="I2360" s="34"/>
      <c r="J2360" s="38" t="str">
        <f>VLOOKUP(B2360,CAJEROS!B:E,4,0)</f>
        <v>SUC_RIONEG4</v>
      </c>
      <c r="K2360" t="s">
        <v>450</v>
      </c>
    </row>
    <row r="2361" spans="1:11">
      <c r="A2361" s="32">
        <v>24</v>
      </c>
      <c r="B2361" s="33">
        <v>5293</v>
      </c>
      <c r="C2361" s="3">
        <v>1700000</v>
      </c>
      <c r="D2361" s="3"/>
      <c r="E2361" s="7">
        <f t="shared" si="73"/>
        <v>1700000</v>
      </c>
      <c r="F2361" s="5">
        <v>45891</v>
      </c>
      <c r="G2361" s="4">
        <v>20250821</v>
      </c>
      <c r="H2361" s="38" t="str">
        <f>VLOOKUP(B2361,CAJEROS!B:D,3,0)</f>
        <v>Dispensador</v>
      </c>
      <c r="I2361" s="34"/>
      <c r="J2361" s="38" t="str">
        <f>VLOOKUP(B2361,CAJEROS!B:E,4,0)</f>
        <v>SUC_RIONEG5</v>
      </c>
      <c r="K2361" t="s">
        <v>450</v>
      </c>
    </row>
    <row r="2362" spans="1:11">
      <c r="A2362" s="32">
        <v>289</v>
      </c>
      <c r="B2362" s="33">
        <v>8874</v>
      </c>
      <c r="C2362" s="3">
        <v>10000</v>
      </c>
      <c r="D2362" s="3"/>
      <c r="E2362" s="7">
        <f t="shared" si="73"/>
        <v>10000</v>
      </c>
      <c r="F2362" s="5">
        <v>45891</v>
      </c>
      <c r="G2362" s="4">
        <v>20250821</v>
      </c>
      <c r="H2362" s="38" t="str">
        <f>VLOOKUP(B2362,CAJEROS!B:D,3,0)</f>
        <v>Dispensador</v>
      </c>
      <c r="I2362" s="34"/>
      <c r="J2362" s="38" t="str">
        <f>VLOOKUP(B2362,CAJEROS!B:E,4,0)</f>
        <v>PUERTO_GAI5</v>
      </c>
      <c r="K2362" t="s">
        <v>450</v>
      </c>
    </row>
    <row r="2363" spans="1:11">
      <c r="A2363" s="32">
        <v>379</v>
      </c>
      <c r="B2363" s="33">
        <v>8468</v>
      </c>
      <c r="C2363" s="3">
        <v>1150000</v>
      </c>
      <c r="D2363" s="3"/>
      <c r="E2363" s="7">
        <f t="shared" si="73"/>
        <v>1150000</v>
      </c>
      <c r="F2363" s="5">
        <v>45891</v>
      </c>
      <c r="G2363" s="4">
        <v>20250821</v>
      </c>
      <c r="H2363" s="38" t="str">
        <f>VLOOKUP(B2363,CAJEROS!B:D,3,0)</f>
        <v>Dispensador</v>
      </c>
      <c r="I2363" s="34"/>
      <c r="J2363" s="38" t="str">
        <f>VLOOKUP(B2363,CAJEROS!B:E,4,0)</f>
        <v>SUCTESORO_1</v>
      </c>
      <c r="K2363" t="s">
        <v>450</v>
      </c>
    </row>
    <row r="2364" spans="1:11">
      <c r="A2364" s="32">
        <v>584</v>
      </c>
      <c r="B2364" s="33">
        <v>5570</v>
      </c>
      <c r="C2364" s="3">
        <v>2600000</v>
      </c>
      <c r="D2364" s="3"/>
      <c r="E2364" s="7">
        <f t="shared" si="73"/>
        <v>2600000</v>
      </c>
      <c r="F2364" s="5">
        <v>45891</v>
      </c>
      <c r="G2364" s="4">
        <v>20250821</v>
      </c>
      <c r="H2364" s="38" t="str">
        <f>VLOOKUP(B2364,CAJEROS!B:D,3,0)</f>
        <v>Dispensador</v>
      </c>
      <c r="I2364" s="34"/>
      <c r="J2364" s="38" t="str">
        <f>VLOOKUP(B2364,CAJEROS!B:E,4,0)</f>
        <v>HALLCHIGOR1</v>
      </c>
      <c r="K2364" t="s">
        <v>450</v>
      </c>
    </row>
    <row r="2365" spans="1:11">
      <c r="A2365" s="32">
        <v>745</v>
      </c>
      <c r="B2365" s="33">
        <v>1473</v>
      </c>
      <c r="C2365" s="3">
        <v>50000</v>
      </c>
      <c r="D2365" s="3"/>
      <c r="E2365" s="7">
        <f t="shared" si="73"/>
        <v>50000</v>
      </c>
      <c r="F2365" s="5">
        <v>45891</v>
      </c>
      <c r="G2365" s="4">
        <v>20250821</v>
      </c>
      <c r="H2365" s="38" t="str">
        <f>VLOOKUP(B2365,CAJEROS!B:D,3,0)</f>
        <v>Dispensador</v>
      </c>
      <c r="I2365" s="34"/>
      <c r="J2365" s="38" t="str">
        <f>VLOOKUP(B2365,CAJEROS!B:E,4,0)</f>
        <v>SUCMALPLAZ3</v>
      </c>
      <c r="K2365" t="s">
        <v>450</v>
      </c>
    </row>
    <row r="2366" spans="1:11">
      <c r="A2366" s="32">
        <v>769</v>
      </c>
      <c r="B2366" s="33">
        <v>8675</v>
      </c>
      <c r="C2366" s="3">
        <v>250000</v>
      </c>
      <c r="D2366" s="3"/>
      <c r="E2366" s="7">
        <f t="shared" si="73"/>
        <v>250000</v>
      </c>
      <c r="F2366" s="5">
        <v>45891</v>
      </c>
      <c r="G2366" s="4">
        <v>20250821</v>
      </c>
      <c r="H2366" s="38" t="str">
        <f>VLOOKUP(B2366,CAJEROS!B:D,3,0)</f>
        <v>Dispensador</v>
      </c>
      <c r="I2366" s="34"/>
      <c r="J2366" s="38" t="str">
        <f>VLOOKUP(B2366,CAJEROS!B:E,4,0)</f>
        <v>SUCPORPRAD4</v>
      </c>
      <c r="K2366" t="s">
        <v>450</v>
      </c>
    </row>
    <row r="2367" spans="1:11">
      <c r="A2367" s="32">
        <v>769</v>
      </c>
      <c r="B2367" s="33">
        <v>8677</v>
      </c>
      <c r="C2367" s="3">
        <v>150000</v>
      </c>
      <c r="D2367" s="3"/>
      <c r="E2367" s="7">
        <f t="shared" si="73"/>
        <v>150000</v>
      </c>
      <c r="F2367" s="5">
        <v>45891</v>
      </c>
      <c r="G2367" s="4">
        <v>20250821</v>
      </c>
      <c r="H2367" s="38" t="str">
        <f>VLOOKUP(B2367,CAJEROS!B:D,3,0)</f>
        <v>Dispensador</v>
      </c>
      <c r="I2367" s="34"/>
      <c r="J2367" s="38" t="str">
        <f>VLOOKUP(B2367,CAJEROS!B:E,4,0)</f>
        <v>SUCPORPRAD6</v>
      </c>
      <c r="K2367" t="s">
        <v>450</v>
      </c>
    </row>
    <row r="2368" spans="1:11">
      <c r="A2368" s="32">
        <v>795</v>
      </c>
      <c r="B2368" s="33">
        <v>1021</v>
      </c>
      <c r="C2368" s="3">
        <v>370000</v>
      </c>
      <c r="D2368" s="3"/>
      <c r="E2368" s="7">
        <f t="shared" si="73"/>
        <v>370000</v>
      </c>
      <c r="F2368" s="5">
        <v>45891</v>
      </c>
      <c r="G2368" s="4">
        <v>20250821</v>
      </c>
      <c r="H2368" s="38" t="str">
        <f>VLOOKUP(B2368,CAJEROS!B:D,3,0)</f>
        <v>Dispensador</v>
      </c>
      <c r="I2368" s="34"/>
      <c r="J2368" s="38" t="str">
        <f>VLOOKUP(B2368,CAJEROS!B:E,4,0)</f>
        <v>SUCANAVERA1</v>
      </c>
      <c r="K2368" t="s">
        <v>450</v>
      </c>
    </row>
    <row r="2369" spans="1:11">
      <c r="A2369" s="32">
        <v>153</v>
      </c>
      <c r="B2369" s="33">
        <v>9881</v>
      </c>
      <c r="C2369" s="3">
        <v>100000</v>
      </c>
      <c r="D2369" s="3"/>
      <c r="E2369" s="7">
        <f t="shared" si="73"/>
        <v>100000</v>
      </c>
      <c r="F2369" s="5">
        <v>45891</v>
      </c>
      <c r="G2369" s="4">
        <v>20250821</v>
      </c>
      <c r="H2369" s="38" t="str">
        <f>VLOOKUP(B2369,CAJEROS!B:D,3,0)</f>
        <v>Dispensador</v>
      </c>
      <c r="I2369" s="34" t="s">
        <v>9</v>
      </c>
      <c r="J2369" s="38" t="str">
        <f>VLOOKUP(B2369,CAJEROS!B:E,4,0)</f>
        <v>EXITOIBAG_3</v>
      </c>
      <c r="K2369" t="s">
        <v>450</v>
      </c>
    </row>
    <row r="2370" spans="1:11">
      <c r="A2370" s="32">
        <v>422</v>
      </c>
      <c r="B2370" s="33">
        <v>4221</v>
      </c>
      <c r="C2370" s="3">
        <v>2000000</v>
      </c>
      <c r="D2370" s="3">
        <v>1950000</v>
      </c>
      <c r="E2370" s="7">
        <f t="shared" si="73"/>
        <v>50000</v>
      </c>
      <c r="F2370" s="5">
        <v>45891</v>
      </c>
      <c r="G2370" s="4">
        <v>20250821</v>
      </c>
      <c r="H2370" s="38" t="str">
        <f>VLOOKUP(B2370,CAJEROS!B:D,3,0)</f>
        <v>Dispensador</v>
      </c>
      <c r="I2370" s="34" t="s">
        <v>9</v>
      </c>
      <c r="J2370" s="38" t="str">
        <f>VLOOKUP(B2370,CAJEROS!B:E,4,0)</f>
        <v>CHAPARRAL</v>
      </c>
      <c r="K2370" t="s">
        <v>450</v>
      </c>
    </row>
    <row r="2371" spans="1:11">
      <c r="A2371" s="32">
        <v>512</v>
      </c>
      <c r="B2371" s="33">
        <v>4718</v>
      </c>
      <c r="C2371" s="3">
        <v>80000</v>
      </c>
      <c r="D2371" s="3">
        <v>10000</v>
      </c>
      <c r="E2371" s="7">
        <f t="shared" si="73"/>
        <v>70000</v>
      </c>
      <c r="F2371" s="5">
        <v>45891</v>
      </c>
      <c r="G2371" s="4">
        <v>20250821</v>
      </c>
      <c r="H2371" s="38" t="str">
        <f>VLOOKUP(B2371,CAJEROS!B:D,3,0)</f>
        <v>Dispensador</v>
      </c>
      <c r="I2371" s="34" t="s">
        <v>9</v>
      </c>
      <c r="J2371" s="38" t="str">
        <f>VLOOKUP(B2371,CAJEROS!B:E,4,0)</f>
        <v>SUC_PLATO3</v>
      </c>
      <c r="K2371" t="s">
        <v>450</v>
      </c>
    </row>
    <row r="2372" spans="1:11">
      <c r="A2372" s="32">
        <v>882</v>
      </c>
      <c r="B2372" s="33">
        <v>3510</v>
      </c>
      <c r="C2372" s="3">
        <v>450000</v>
      </c>
      <c r="D2372" s="3"/>
      <c r="E2372" s="7">
        <f t="shared" si="73"/>
        <v>450000</v>
      </c>
      <c r="F2372" s="5">
        <v>45891</v>
      </c>
      <c r="G2372" s="4">
        <v>20250821</v>
      </c>
      <c r="H2372" s="38" t="str">
        <f>VLOOKUP(B2372,CAJEROS!B:D,3,0)</f>
        <v>Dispensador</v>
      </c>
      <c r="I2372" s="34" t="s">
        <v>9</v>
      </c>
      <c r="J2372" s="38" t="str">
        <f>VLOOKUP(B2372,CAJEROS!B:E,4,0)</f>
        <v>LIBERTADOR1</v>
      </c>
      <c r="K2372" t="s">
        <v>450</v>
      </c>
    </row>
    <row r="2373" spans="1:11">
      <c r="A2373" s="32">
        <v>927</v>
      </c>
      <c r="B2373" s="33">
        <v>5750</v>
      </c>
      <c r="C2373" s="3">
        <v>100000</v>
      </c>
      <c r="D2373" s="3"/>
      <c r="E2373" s="7">
        <f t="shared" si="73"/>
        <v>100000</v>
      </c>
      <c r="F2373" s="5">
        <v>45891</v>
      </c>
      <c r="G2373" s="4">
        <v>20250821</v>
      </c>
      <c r="H2373" s="38" t="str">
        <f>VLOOKUP(B2373,CAJEROS!B:D,3,0)</f>
        <v>Dispensador</v>
      </c>
      <c r="I2373" s="34" t="s">
        <v>9</v>
      </c>
      <c r="J2373" s="38" t="str">
        <f>VLOOKUP(B2373,CAJEROS!B:E,4,0)</f>
        <v>SUC_MOCOA2</v>
      </c>
      <c r="K2373" t="s">
        <v>450</v>
      </c>
    </row>
    <row r="2374" spans="1:11">
      <c r="A2374" s="32">
        <v>73</v>
      </c>
      <c r="B2374" s="33">
        <v>5108</v>
      </c>
      <c r="C2374" s="3">
        <v>10000</v>
      </c>
      <c r="D2374" s="3"/>
      <c r="E2374" s="7">
        <f t="shared" si="73"/>
        <v>10000</v>
      </c>
      <c r="F2374" s="5">
        <v>45891</v>
      </c>
      <c r="G2374" s="4">
        <v>20250821</v>
      </c>
      <c r="H2374" s="38" t="str">
        <f>VLOOKUP(B2374,CAJEROS!B:D,3,0)</f>
        <v>Multifuncional</v>
      </c>
      <c r="I2374" s="34" t="s">
        <v>10</v>
      </c>
      <c r="J2374" s="38" t="str">
        <f>VLOOKUP(B2374,CAJEROS!B:E,4,0)</f>
        <v>MF_PEREIRA</v>
      </c>
      <c r="K2374" t="s">
        <v>450</v>
      </c>
    </row>
    <row r="2375" spans="1:11">
      <c r="A2375" s="32">
        <v>261</v>
      </c>
      <c r="B2375" s="33">
        <v>8475</v>
      </c>
      <c r="C2375" s="3">
        <v>10000</v>
      </c>
      <c r="D2375" s="3"/>
      <c r="E2375" s="7">
        <f t="shared" si="73"/>
        <v>10000</v>
      </c>
      <c r="F2375" s="5">
        <v>45891</v>
      </c>
      <c r="G2375" s="4">
        <v>20250821</v>
      </c>
      <c r="H2375" s="38" t="str">
        <f>VLOOKUP(B2375,CAJEROS!B:D,3,0)</f>
        <v>Dispensador</v>
      </c>
      <c r="I2375" s="34" t="s">
        <v>10</v>
      </c>
      <c r="J2375" s="38" t="str">
        <f>VLOOKUP(B2375,CAJEROS!B:E,4,0)</f>
        <v>SUCAMPA1</v>
      </c>
      <c r="K2375" t="s">
        <v>450</v>
      </c>
    </row>
    <row r="2376" spans="1:11">
      <c r="A2376" s="32">
        <v>163</v>
      </c>
      <c r="B2376" s="33">
        <v>5554</v>
      </c>
      <c r="C2376" s="3">
        <v>10000</v>
      </c>
      <c r="D2376" s="3"/>
      <c r="E2376" s="7">
        <f t="shared" si="73"/>
        <v>10000</v>
      </c>
      <c r="F2376" s="5">
        <v>45891</v>
      </c>
      <c r="G2376" s="4">
        <v>20250821</v>
      </c>
      <c r="H2376" s="38" t="str">
        <f>VLOOKUP(B2376,CAJEROS!B:D,3,0)</f>
        <v>Dispensador</v>
      </c>
      <c r="I2376" s="34" t="s">
        <v>10</v>
      </c>
      <c r="J2376" s="38" t="str">
        <f>VLOOKUP(B2376,CAJEROS!B:E,4,0)</f>
        <v>PTO_BERRIO2</v>
      </c>
      <c r="K2376" t="s">
        <v>450</v>
      </c>
    </row>
    <row r="2377" spans="1:11">
      <c r="A2377" s="32">
        <v>111</v>
      </c>
      <c r="B2377" s="33">
        <v>3654</v>
      </c>
      <c r="C2377" s="3">
        <v>1250000</v>
      </c>
      <c r="D2377" s="3"/>
      <c r="E2377" s="7">
        <f t="shared" si="73"/>
        <v>1250000</v>
      </c>
      <c r="F2377" s="5">
        <v>45894</v>
      </c>
      <c r="G2377" s="4">
        <v>20250822</v>
      </c>
      <c r="H2377" s="38" t="str">
        <f>VLOOKUP(B2377,CAJEROS!B:D,3,0)</f>
        <v>Dispensador</v>
      </c>
      <c r="I2377" s="34"/>
      <c r="J2377" s="38" t="str">
        <f>VLOOKUP(B2377,CAJEROS!B:E,4,0)</f>
        <v>SUC_COROZ2</v>
      </c>
      <c r="K2377" t="s">
        <v>450</v>
      </c>
    </row>
    <row r="2378" spans="1:11">
      <c r="A2378" s="32">
        <v>253</v>
      </c>
      <c r="B2378" s="33">
        <v>5891</v>
      </c>
      <c r="C2378" s="3">
        <v>400000</v>
      </c>
      <c r="D2378" s="3"/>
      <c r="E2378" s="7">
        <f t="shared" si="73"/>
        <v>400000</v>
      </c>
      <c r="F2378" s="5">
        <v>45894</v>
      </c>
      <c r="G2378" s="4">
        <v>20250822</v>
      </c>
      <c r="H2378" s="38" t="str">
        <f>VLOOKUP(B2378,CAJEROS!B:D,3,0)</f>
        <v>Dispensador</v>
      </c>
      <c r="I2378" s="34"/>
      <c r="J2378" s="38" t="str">
        <f>VLOOKUP(B2378,CAJEROS!B:E,4,0)</f>
        <v>SUC_PNORTE1</v>
      </c>
      <c r="K2378" t="s">
        <v>450</v>
      </c>
    </row>
    <row r="2379" spans="1:11">
      <c r="A2379" s="32">
        <v>329</v>
      </c>
      <c r="B2379" s="33">
        <v>3291</v>
      </c>
      <c r="C2379" s="3">
        <v>150000</v>
      </c>
      <c r="D2379" s="3">
        <v>100000</v>
      </c>
      <c r="E2379" s="7">
        <f t="shared" si="73"/>
        <v>50000</v>
      </c>
      <c r="F2379" s="5">
        <v>45894</v>
      </c>
      <c r="G2379" s="4">
        <v>20250822</v>
      </c>
      <c r="H2379" s="38" t="str">
        <f>VLOOKUP(B2379,CAJEROS!B:D,3,0)</f>
        <v>Dispensador</v>
      </c>
      <c r="I2379" s="34"/>
      <c r="J2379" s="38" t="str">
        <f>VLOOKUP(B2379,CAJEROS!B:E,4,0)</f>
        <v>VELEZ</v>
      </c>
      <c r="K2379" t="s">
        <v>450</v>
      </c>
    </row>
    <row r="2380" spans="1:11">
      <c r="A2380" s="32">
        <v>951</v>
      </c>
      <c r="B2380" s="33">
        <v>7810</v>
      </c>
      <c r="C2380" s="3">
        <v>160000</v>
      </c>
      <c r="D2380" s="3"/>
      <c r="E2380" s="7">
        <f t="shared" si="73"/>
        <v>160000</v>
      </c>
      <c r="F2380" s="5">
        <v>45894</v>
      </c>
      <c r="G2380" s="4">
        <v>20250822</v>
      </c>
      <c r="H2380" s="38" t="str">
        <f>VLOOKUP(B2380,CAJEROS!B:D,3,0)</f>
        <v>Dispensador</v>
      </c>
      <c r="I2380" s="34"/>
      <c r="J2380" s="38" t="str">
        <f>VLOOKUP(B2380,CAJEROS!B:E,4,0)</f>
        <v>AUTOBOSC_3</v>
      </c>
      <c r="K2380" t="s">
        <v>450</v>
      </c>
    </row>
    <row r="2381" spans="1:11">
      <c r="A2381" s="32">
        <v>60</v>
      </c>
      <c r="B2381" s="33">
        <v>8722</v>
      </c>
      <c r="C2381" s="3">
        <v>150000</v>
      </c>
      <c r="D2381" s="3"/>
      <c r="E2381" s="7">
        <f t="shared" si="73"/>
        <v>150000</v>
      </c>
      <c r="F2381" s="5">
        <v>45894</v>
      </c>
      <c r="G2381" s="4">
        <v>20250824</v>
      </c>
      <c r="H2381" s="38" t="str">
        <f>VLOOKUP(B2381,CAJEROS!B:D,3,0)</f>
        <v>Dispensador</v>
      </c>
      <c r="I2381" s="34" t="s">
        <v>9</v>
      </c>
      <c r="J2381" s="38" t="str">
        <f>VLOOKUP(B2381,CAJEROS!B:E,4,0)</f>
        <v>HALLCALIPR4</v>
      </c>
      <c r="K2381" t="s">
        <v>450</v>
      </c>
    </row>
    <row r="2382" spans="1:11">
      <c r="A2382" s="32">
        <v>334</v>
      </c>
      <c r="B2382" s="33">
        <v>8802</v>
      </c>
      <c r="C2382" s="3">
        <v>110000</v>
      </c>
      <c r="D2382" s="3"/>
      <c r="E2382" s="7">
        <f t="shared" si="73"/>
        <v>110000</v>
      </c>
      <c r="F2382" s="5">
        <v>45894</v>
      </c>
      <c r="G2382" s="4">
        <v>20250824</v>
      </c>
      <c r="H2382" s="38" t="str">
        <f>VLOOKUP(B2382,CAJEROS!B:D,3,0)</f>
        <v>Dispensador</v>
      </c>
      <c r="I2382" s="34" t="s">
        <v>9</v>
      </c>
      <c r="J2382" s="38" t="str">
        <f>VLOOKUP(B2382,CAJEROS!B:E,4,0)</f>
        <v>SUCPENOL_2</v>
      </c>
      <c r="K2382" t="s">
        <v>450</v>
      </c>
    </row>
    <row r="2383" spans="1:11">
      <c r="A2383" s="32">
        <v>799</v>
      </c>
      <c r="B2383" s="33">
        <v>8186</v>
      </c>
      <c r="C2383" s="3">
        <v>1000000</v>
      </c>
      <c r="D2383" s="3">
        <v>80000</v>
      </c>
      <c r="E2383" s="7">
        <f t="shared" si="73"/>
        <v>920000</v>
      </c>
      <c r="F2383" s="5">
        <v>45894</v>
      </c>
      <c r="G2383" s="4">
        <v>20250824</v>
      </c>
      <c r="H2383" s="38" t="str">
        <f>VLOOKUP(B2383,CAJEROS!B:D,3,0)</f>
        <v>Dispensador</v>
      </c>
      <c r="I2383" s="34" t="s">
        <v>9</v>
      </c>
      <c r="J2383" s="38" t="str">
        <f>VLOOKUP(B2383,CAJEROS!B:E,4,0)</f>
        <v>SUC_FLORBL3</v>
      </c>
      <c r="K2383" t="s">
        <v>450</v>
      </c>
    </row>
    <row r="2384" spans="1:11">
      <c r="A2384" s="32">
        <v>849</v>
      </c>
      <c r="B2384" s="33">
        <v>9721</v>
      </c>
      <c r="C2384" s="3">
        <v>200000</v>
      </c>
      <c r="D2384" s="3">
        <v>190000</v>
      </c>
      <c r="E2384" s="7">
        <f t="shared" si="73"/>
        <v>10000</v>
      </c>
      <c r="F2384" s="5">
        <v>45894</v>
      </c>
      <c r="G2384" s="4">
        <v>20250824</v>
      </c>
      <c r="H2384" s="38" t="str">
        <f>VLOOKUP(B2384,CAJEROS!B:D,3,0)</f>
        <v>Dispensador</v>
      </c>
      <c r="I2384" s="34" t="s">
        <v>9</v>
      </c>
      <c r="J2384" s="38" t="str">
        <f>VLOOKUP(B2384,CAJEROS!B:E,4,0)</f>
        <v>SUCUNIVILL2</v>
      </c>
      <c r="K2384" t="s">
        <v>450</v>
      </c>
    </row>
    <row r="2385" spans="1:11">
      <c r="A2385" s="32">
        <v>882</v>
      </c>
      <c r="B2385" s="33">
        <v>3510</v>
      </c>
      <c r="C2385" s="3">
        <v>140000</v>
      </c>
      <c r="D2385" s="3"/>
      <c r="E2385" s="7">
        <f t="shared" si="73"/>
        <v>140000</v>
      </c>
      <c r="F2385" s="5">
        <v>45894</v>
      </c>
      <c r="G2385" s="4">
        <v>20250824</v>
      </c>
      <c r="H2385" s="38" t="str">
        <f>VLOOKUP(B2385,CAJEROS!B:D,3,0)</f>
        <v>Dispensador</v>
      </c>
      <c r="I2385" s="34" t="s">
        <v>9</v>
      </c>
      <c r="J2385" s="38" t="str">
        <f>VLOOKUP(B2385,CAJEROS!B:E,4,0)</f>
        <v>LIBERTADOR1</v>
      </c>
      <c r="K2385" t="s">
        <v>450</v>
      </c>
    </row>
    <row r="2386" spans="1:11">
      <c r="A2386" s="32">
        <v>916</v>
      </c>
      <c r="B2386" s="33">
        <v>5345</v>
      </c>
      <c r="C2386" s="3">
        <v>180000</v>
      </c>
      <c r="D2386" s="3"/>
      <c r="E2386" s="7">
        <f t="shared" ref="E2386:E2449" si="74">+C2386-D2386</f>
        <v>180000</v>
      </c>
      <c r="F2386" s="5">
        <v>45894</v>
      </c>
      <c r="G2386" s="4">
        <v>20250824</v>
      </c>
      <c r="H2386" s="38" t="str">
        <f>VLOOKUP(B2386,CAJEROS!B:D,3,0)</f>
        <v>Dispensador</v>
      </c>
      <c r="I2386" s="34" t="s">
        <v>9</v>
      </c>
      <c r="J2386" s="38" t="str">
        <f>VLOOKUP(B2386,CAJEROS!B:E,4,0)</f>
        <v>SUC_OCEANM1</v>
      </c>
      <c r="K2386" t="s">
        <v>450</v>
      </c>
    </row>
    <row r="2387" spans="1:11">
      <c r="A2387" s="32">
        <v>358</v>
      </c>
      <c r="B2387" s="33">
        <v>5149</v>
      </c>
      <c r="C2387" s="3">
        <v>7800000</v>
      </c>
      <c r="D2387" s="3">
        <v>2630000</v>
      </c>
      <c r="E2387" s="7">
        <f t="shared" si="74"/>
        <v>5170000</v>
      </c>
      <c r="F2387" s="5">
        <v>45894</v>
      </c>
      <c r="G2387" s="4">
        <v>20250822</v>
      </c>
      <c r="H2387" s="38" t="str">
        <f>VLOOKUP(B2387,CAJEROS!B:D,3,0)</f>
        <v>Multifuncional</v>
      </c>
      <c r="I2387" s="34"/>
      <c r="J2387" s="38" t="str">
        <f>VLOOKUP(B2387,CAJEROS!B:E,4,0)</f>
        <v>MF_SOGAMOSO</v>
      </c>
      <c r="K2387" t="s">
        <v>450</v>
      </c>
    </row>
    <row r="2388" spans="1:11">
      <c r="A2388" s="32">
        <v>698</v>
      </c>
      <c r="B2388" s="33">
        <v>5187</v>
      </c>
      <c r="C2388" s="3">
        <v>20000</v>
      </c>
      <c r="D2388" s="3"/>
      <c r="E2388" s="7">
        <f t="shared" si="74"/>
        <v>20000</v>
      </c>
      <c r="F2388" s="5">
        <v>45894</v>
      </c>
      <c r="G2388" s="4">
        <v>20250822</v>
      </c>
      <c r="H2388" s="38" t="str">
        <f>VLOOKUP(B2388,CAJEROS!B:D,3,0)</f>
        <v>Multifuncional</v>
      </c>
      <c r="I2388" s="34"/>
      <c r="J2388" s="38" t="str">
        <f>VLOOKUP(B2388,CAJEROS!B:E,4,0)</f>
        <v>MF_SCLLE79</v>
      </c>
      <c r="K2388" t="s">
        <v>450</v>
      </c>
    </row>
    <row r="2389" spans="1:11">
      <c r="A2389" s="32">
        <v>894</v>
      </c>
      <c r="B2389" s="33">
        <v>6466</v>
      </c>
      <c r="C2389" s="3">
        <v>3740050</v>
      </c>
      <c r="D2389" s="3"/>
      <c r="E2389" s="7">
        <f t="shared" si="74"/>
        <v>3740050</v>
      </c>
      <c r="F2389" s="5">
        <v>45894</v>
      </c>
      <c r="G2389" s="4">
        <v>20250822</v>
      </c>
      <c r="H2389" s="38" t="str">
        <f>VLOOKUP(B2389,CAJEROS!B:D,3,0)</f>
        <v>Multifuncional</v>
      </c>
      <c r="I2389" s="34"/>
      <c r="J2389" s="38" t="str">
        <f>VLOOKUP(B2389,CAJEROS!B:E,4,0)</f>
        <v>MF_TUMACO</v>
      </c>
      <c r="K2389" t="s">
        <v>450</v>
      </c>
    </row>
    <row r="2390" spans="1:11">
      <c r="A2390" s="32">
        <v>138</v>
      </c>
      <c r="B2390" s="33">
        <v>6628</v>
      </c>
      <c r="C2390" s="3">
        <v>1140000</v>
      </c>
      <c r="D2390" s="3"/>
      <c r="E2390" s="7">
        <f t="shared" si="74"/>
        <v>1140000</v>
      </c>
      <c r="F2390" s="5">
        <v>45894</v>
      </c>
      <c r="G2390" s="4">
        <v>20250822</v>
      </c>
      <c r="H2390" s="38" t="str">
        <f>VLOOKUP(B2390,CAJEROS!B:D,3,0)</f>
        <v>Multifuncional</v>
      </c>
      <c r="I2390" s="34"/>
      <c r="J2390" s="38" t="str">
        <f>VLOOKUP(B2390,CAJEROS!B:E,4,0)</f>
        <v>MF_MOSQUERA</v>
      </c>
      <c r="K2390" t="s">
        <v>450</v>
      </c>
    </row>
    <row r="2391" spans="1:11">
      <c r="A2391" s="32">
        <v>651</v>
      </c>
      <c r="B2391" s="33">
        <v>7318</v>
      </c>
      <c r="C2391" s="3">
        <v>1760000</v>
      </c>
      <c r="D2391" s="3"/>
      <c r="E2391" s="7">
        <f t="shared" si="74"/>
        <v>1760000</v>
      </c>
      <c r="F2391" s="5">
        <v>45894</v>
      </c>
      <c r="G2391" s="4">
        <v>20250822</v>
      </c>
      <c r="H2391" s="38" t="str">
        <f>VLOOKUP(B2391,CAJEROS!B:D,3,0)</f>
        <v>Multifuncional</v>
      </c>
      <c r="I2391" s="34"/>
      <c r="J2391" s="38" t="str">
        <f>VLOOKUP(B2391,CAJEROS!B:E,4,0)</f>
        <v>MF_BARBOSA2</v>
      </c>
      <c r="K2391" t="s">
        <v>450</v>
      </c>
    </row>
    <row r="2392" spans="1:11">
      <c r="A2392" s="32">
        <v>389</v>
      </c>
      <c r="B2392" s="33">
        <v>7327</v>
      </c>
      <c r="C2392" s="3">
        <v>5000000</v>
      </c>
      <c r="D2392" s="3"/>
      <c r="E2392" s="7">
        <f t="shared" si="74"/>
        <v>5000000</v>
      </c>
      <c r="F2392" s="5">
        <v>45894</v>
      </c>
      <c r="G2392" s="4">
        <v>20250822</v>
      </c>
      <c r="H2392" s="38" t="str">
        <f>VLOOKUP(B2392,CAJEROS!B:D,3,0)</f>
        <v>Multifuncional</v>
      </c>
      <c r="I2392" s="34"/>
      <c r="J2392" s="38" t="str">
        <f>VLOOKUP(B2392,CAJEROS!B:E,4,0)</f>
        <v>MF_MARIQUIT</v>
      </c>
      <c r="K2392" t="s">
        <v>450</v>
      </c>
    </row>
    <row r="2393" spans="1:11">
      <c r="A2393" s="32">
        <v>225</v>
      </c>
      <c r="B2393" s="33">
        <v>8868</v>
      </c>
      <c r="C2393" s="3">
        <v>11880000</v>
      </c>
      <c r="D2393" s="3"/>
      <c r="E2393" s="7">
        <f t="shared" si="74"/>
        <v>11880000</v>
      </c>
      <c r="F2393" s="5">
        <v>45894</v>
      </c>
      <c r="G2393" s="4">
        <v>20250822</v>
      </c>
      <c r="H2393" s="38" t="str">
        <f>VLOOKUP(B2393,CAJEROS!B:D,3,0)</f>
        <v>Multifuncional</v>
      </c>
      <c r="I2393" s="34"/>
      <c r="J2393" s="38" t="str">
        <f>VLOOKUP(B2393,CAJEROS!B:E,4,0)</f>
        <v>MF_SMPLNQS1</v>
      </c>
      <c r="K2393" t="s">
        <v>450</v>
      </c>
    </row>
    <row r="2394" spans="1:11">
      <c r="A2394" s="32">
        <v>331</v>
      </c>
      <c r="B2394" s="33">
        <v>574</v>
      </c>
      <c r="C2394" s="3">
        <v>1380000</v>
      </c>
      <c r="D2394" s="3">
        <f>420000+404000</f>
        <v>824000</v>
      </c>
      <c r="E2394" s="7">
        <f t="shared" si="74"/>
        <v>556000</v>
      </c>
      <c r="F2394" s="5">
        <v>45894</v>
      </c>
      <c r="G2394" s="4">
        <v>20250824</v>
      </c>
      <c r="H2394" s="38" t="str">
        <f>VLOOKUP(B2394,CAJEROS!B:D,3,0)</f>
        <v>Multifuncional</v>
      </c>
      <c r="I2394" s="34" t="s">
        <v>9</v>
      </c>
      <c r="J2394" s="38" t="str">
        <f>VLOOKUP(B2394,CAJEROS!B:E,4,0)</f>
        <v>MF_SUCARKA1</v>
      </c>
      <c r="K2394" t="s">
        <v>450</v>
      </c>
    </row>
    <row r="2395" spans="1:11">
      <c r="A2395" s="32">
        <v>795</v>
      </c>
      <c r="B2395" s="33">
        <v>1028</v>
      </c>
      <c r="C2395" s="3">
        <v>280000</v>
      </c>
      <c r="D2395" s="3">
        <v>170000</v>
      </c>
      <c r="E2395" s="7">
        <f t="shared" si="74"/>
        <v>110000</v>
      </c>
      <c r="F2395" s="5">
        <v>45894</v>
      </c>
      <c r="G2395" s="4">
        <v>20250824</v>
      </c>
      <c r="H2395" s="38" t="str">
        <f>VLOOKUP(B2395,CAJEROS!B:D,3,0)</f>
        <v>Multifuncional</v>
      </c>
      <c r="I2395" s="34" t="s">
        <v>9</v>
      </c>
      <c r="J2395" s="38" t="str">
        <f>VLOOKUP(B2395,CAJEROS!B:E,4,0)</f>
        <v>MFSUCANVER2</v>
      </c>
      <c r="K2395" t="s">
        <v>450</v>
      </c>
    </row>
    <row r="2396" spans="1:11">
      <c r="A2396" s="32">
        <v>377</v>
      </c>
      <c r="B2396" s="33">
        <v>1508</v>
      </c>
      <c r="C2396" s="3">
        <v>23000</v>
      </c>
      <c r="D2396" s="3"/>
      <c r="E2396" s="7">
        <f t="shared" si="74"/>
        <v>23000</v>
      </c>
      <c r="F2396" s="5">
        <v>45894</v>
      </c>
      <c r="G2396" s="4">
        <v>20250824</v>
      </c>
      <c r="H2396" s="38" t="str">
        <f>VLOOKUP(B2396,CAJEROS!B:D,3,0)</f>
        <v>Multifuncional</v>
      </c>
      <c r="I2396" s="34" t="s">
        <v>9</v>
      </c>
      <c r="J2396" s="38" t="str">
        <f>VLOOKUP(B2396,CAJEROS!B:E,4,0)</f>
        <v>MFSUCCIAV1</v>
      </c>
      <c r="K2396" t="s">
        <v>450</v>
      </c>
    </row>
    <row r="2397" spans="1:11">
      <c r="A2397" s="32">
        <v>692</v>
      </c>
      <c r="B2397" s="33">
        <v>1515</v>
      </c>
      <c r="C2397" s="3">
        <v>900000</v>
      </c>
      <c r="D2397" s="3">
        <f>830000+69000</f>
        <v>899000</v>
      </c>
      <c r="E2397" s="7">
        <f t="shared" si="74"/>
        <v>1000</v>
      </c>
      <c r="F2397" s="5">
        <v>45894</v>
      </c>
      <c r="G2397" s="4">
        <v>20250824</v>
      </c>
      <c r="H2397" s="38" t="str">
        <f>VLOOKUP(B2397,CAJEROS!B:D,3,0)</f>
        <v>Multifuncional</v>
      </c>
      <c r="I2397" s="34" t="s">
        <v>9</v>
      </c>
      <c r="J2397" s="38" t="str">
        <f>VLOOKUP(B2397,CAJEROS!B:E,4,0)</f>
        <v>MFSUCALTPR1</v>
      </c>
      <c r="K2397" t="s">
        <v>450</v>
      </c>
    </row>
    <row r="2398" spans="1:11">
      <c r="A2398" s="32">
        <v>779</v>
      </c>
      <c r="B2398" s="33">
        <v>5013</v>
      </c>
      <c r="C2398" s="3">
        <v>1604000</v>
      </c>
      <c r="D2398" s="3"/>
      <c r="E2398" s="7">
        <f t="shared" si="74"/>
        <v>1604000</v>
      </c>
      <c r="F2398" s="5">
        <v>45894</v>
      </c>
      <c r="G2398" s="4">
        <v>20250824</v>
      </c>
      <c r="H2398" s="38" t="str">
        <f>VLOOKUP(B2398,CAJEROS!B:D,3,0)</f>
        <v>Multifuncional</v>
      </c>
      <c r="I2398" s="34" t="s">
        <v>9</v>
      </c>
      <c r="J2398" s="38" t="str">
        <f>VLOOKUP(B2398,CAJEROS!B:E,4,0)</f>
        <v>MF_BUENASM1</v>
      </c>
      <c r="K2398" t="s">
        <v>450</v>
      </c>
    </row>
    <row r="2399" spans="1:11">
      <c r="A2399" s="32">
        <v>24</v>
      </c>
      <c r="B2399" s="33">
        <v>5066</v>
      </c>
      <c r="C2399" s="3">
        <v>310100</v>
      </c>
      <c r="D2399" s="3">
        <v>310000</v>
      </c>
      <c r="E2399" s="7">
        <f t="shared" si="74"/>
        <v>100</v>
      </c>
      <c r="F2399" s="5">
        <v>45894</v>
      </c>
      <c r="G2399" s="4">
        <v>20250824</v>
      </c>
      <c r="H2399" s="38" t="str">
        <f>VLOOKUP(B2399,CAJEROS!B:D,3,0)</f>
        <v>Multifuncional</v>
      </c>
      <c r="I2399" s="34" t="s">
        <v>9</v>
      </c>
      <c r="J2399" s="38" t="str">
        <f>VLOOKUP(B2399,CAJEROS!B:E,4,0)</f>
        <v>MF_RIONEGPA</v>
      </c>
      <c r="K2399" t="s">
        <v>450</v>
      </c>
    </row>
    <row r="2400" spans="1:11">
      <c r="A2400" s="32">
        <v>937</v>
      </c>
      <c r="B2400" s="33">
        <v>5115</v>
      </c>
      <c r="C2400" s="3">
        <v>1050000</v>
      </c>
      <c r="D2400" s="3">
        <f>220000+380000</f>
        <v>600000</v>
      </c>
      <c r="E2400" s="7">
        <f t="shared" si="74"/>
        <v>450000</v>
      </c>
      <c r="F2400" s="5">
        <v>45894</v>
      </c>
      <c r="G2400" s="4">
        <v>20250824</v>
      </c>
      <c r="H2400" s="38" t="str">
        <f>VLOOKUP(B2400,CAJEROS!B:D,3,0)</f>
        <v>Multifuncional</v>
      </c>
      <c r="I2400" s="34" t="s">
        <v>9</v>
      </c>
      <c r="J2400" s="38" t="str">
        <f>VLOOKUP(B2400,CAJEROS!B:E,4,0)</f>
        <v>MFSUCMODEL1</v>
      </c>
      <c r="K2400" t="s">
        <v>450</v>
      </c>
    </row>
    <row r="2401" spans="1:11">
      <c r="A2401" s="32">
        <v>750</v>
      </c>
      <c r="B2401" s="33">
        <v>5157</v>
      </c>
      <c r="C2401" s="3">
        <v>1563000</v>
      </c>
      <c r="D2401" s="3">
        <v>1371950</v>
      </c>
      <c r="E2401" s="7">
        <f t="shared" si="74"/>
        <v>191050</v>
      </c>
      <c r="F2401" s="5">
        <v>45894</v>
      </c>
      <c r="G2401" s="4">
        <v>20250824</v>
      </c>
      <c r="H2401" s="38" t="str">
        <f>VLOOKUP(B2401,CAJEROS!B:D,3,0)</f>
        <v>Multifuncional</v>
      </c>
      <c r="I2401" s="34" t="s">
        <v>9</v>
      </c>
      <c r="J2401" s="38" t="str">
        <f>VLOOKUP(B2401,CAJEROS!B:E,4,0)</f>
        <v>MF_AVROOSVL</v>
      </c>
      <c r="K2401" t="s">
        <v>450</v>
      </c>
    </row>
    <row r="2402" spans="1:11">
      <c r="A2402" s="32">
        <v>383</v>
      </c>
      <c r="B2402" s="33">
        <v>5194</v>
      </c>
      <c r="C2402" s="3">
        <v>2550000</v>
      </c>
      <c r="D2402" s="3">
        <v>2430000</v>
      </c>
      <c r="E2402" s="7">
        <f t="shared" si="74"/>
        <v>120000</v>
      </c>
      <c r="F2402" s="5">
        <v>45894</v>
      </c>
      <c r="G2402" s="4">
        <v>20250824</v>
      </c>
      <c r="H2402" s="38" t="str">
        <f>VLOOKUP(B2402,CAJEROS!B:D,3,0)</f>
        <v>Multifuncional</v>
      </c>
      <c r="I2402" s="34" t="s">
        <v>9</v>
      </c>
      <c r="J2402" s="38" t="str">
        <f>VLOOKUP(B2402,CAJEROS!B:E,4,0)</f>
        <v>MF_MADRID</v>
      </c>
      <c r="K2402" t="s">
        <v>450</v>
      </c>
    </row>
    <row r="2403" spans="1:11">
      <c r="A2403" s="32">
        <v>432</v>
      </c>
      <c r="B2403" s="33">
        <v>5195</v>
      </c>
      <c r="C2403" s="3">
        <v>2006800</v>
      </c>
      <c r="D2403" s="3">
        <v>950000</v>
      </c>
      <c r="E2403" s="7">
        <f t="shared" si="74"/>
        <v>1056800</v>
      </c>
      <c r="F2403" s="5">
        <v>45894</v>
      </c>
      <c r="G2403" s="4">
        <v>20250824</v>
      </c>
      <c r="H2403" s="38" t="str">
        <f>VLOOKUP(B2403,CAJEROS!B:D,3,0)</f>
        <v>Multifuncional</v>
      </c>
      <c r="I2403" s="34" t="s">
        <v>9</v>
      </c>
      <c r="J2403" s="38" t="str">
        <f>VLOOKUP(B2403,CAJEROS!B:E,4,0)</f>
        <v>MF_TTEDLSU1</v>
      </c>
      <c r="K2403" t="s">
        <v>450</v>
      </c>
    </row>
    <row r="2404" spans="1:11">
      <c r="A2404" s="32">
        <v>718</v>
      </c>
      <c r="B2404" s="33">
        <v>6248</v>
      </c>
      <c r="C2404" s="3">
        <v>90000</v>
      </c>
      <c r="D2404" s="3"/>
      <c r="E2404" s="7">
        <f t="shared" si="74"/>
        <v>90000</v>
      </c>
      <c r="F2404" s="5">
        <v>45894</v>
      </c>
      <c r="G2404" s="4">
        <v>20250824</v>
      </c>
      <c r="H2404" s="38" t="str">
        <f>VLOOKUP(B2404,CAJEROS!B:D,3,0)</f>
        <v>Multifuncional</v>
      </c>
      <c r="I2404" s="34" t="s">
        <v>9</v>
      </c>
      <c r="J2404" s="38" t="str">
        <f>VLOOKUP(B2404,CAJEROS!B:E,4,0)</f>
        <v>MF_LAESTACI</v>
      </c>
      <c r="K2404" t="s">
        <v>450</v>
      </c>
    </row>
    <row r="2405" spans="1:11">
      <c r="A2405" s="32">
        <v>601</v>
      </c>
      <c r="B2405" s="33">
        <v>6407</v>
      </c>
      <c r="C2405" s="3">
        <v>250000</v>
      </c>
      <c r="D2405" s="3"/>
      <c r="E2405" s="7">
        <f t="shared" si="74"/>
        <v>250000</v>
      </c>
      <c r="F2405" s="5">
        <v>45894</v>
      </c>
      <c r="G2405" s="4">
        <v>20250824</v>
      </c>
      <c r="H2405" s="38" t="str">
        <f>VLOOKUP(B2405,CAJEROS!B:D,3,0)</f>
        <v>Multifuncional</v>
      </c>
      <c r="I2405" s="34" t="s">
        <v>9</v>
      </c>
      <c r="J2405" s="38" t="str">
        <f>VLOOKUP(B2405,CAJEROS!B:E,4,0)</f>
        <v>MF_COLINACA</v>
      </c>
      <c r="K2405" t="s">
        <v>450</v>
      </c>
    </row>
    <row r="2406" spans="1:11">
      <c r="A2406" s="32">
        <v>741</v>
      </c>
      <c r="B2406" s="33">
        <v>6843</v>
      </c>
      <c r="C2406" s="3">
        <v>1289000</v>
      </c>
      <c r="D2406" s="3">
        <f>710000+397000</f>
        <v>1107000</v>
      </c>
      <c r="E2406" s="7">
        <f t="shared" si="74"/>
        <v>182000</v>
      </c>
      <c r="F2406" s="5">
        <v>45894</v>
      </c>
      <c r="G2406" s="4">
        <v>20250824</v>
      </c>
      <c r="H2406" s="38" t="str">
        <f>VLOOKUP(B2406,CAJEROS!B:D,3,0)</f>
        <v>Multifuncional</v>
      </c>
      <c r="I2406" s="34" t="s">
        <v>9</v>
      </c>
      <c r="J2406" s="38" t="str">
        <f>VLOOKUP(B2406,CAJEROS!B:E,4,0)</f>
        <v>MFSUC_IDEO1</v>
      </c>
      <c r="K2406" t="s">
        <v>450</v>
      </c>
    </row>
    <row r="2407" spans="1:11">
      <c r="A2407" s="32">
        <v>166</v>
      </c>
      <c r="B2407" s="33">
        <v>7939</v>
      </c>
      <c r="C2407" s="3">
        <v>2955000</v>
      </c>
      <c r="D2407" s="3">
        <f>370000+970000+1350000</f>
        <v>2690000</v>
      </c>
      <c r="E2407" s="7">
        <f t="shared" si="74"/>
        <v>265000</v>
      </c>
      <c r="F2407" s="5">
        <v>45894</v>
      </c>
      <c r="G2407" s="4">
        <v>20250824</v>
      </c>
      <c r="H2407" s="38" t="str">
        <f>VLOOKUP(B2407,CAJEROS!B:D,3,0)</f>
        <v>Multifuncional</v>
      </c>
      <c r="I2407" s="34" t="s">
        <v>9</v>
      </c>
      <c r="J2407" s="38" t="str">
        <f>VLOOKUP(B2407,CAJEROS!B:E,4,0)</f>
        <v>MF_ALDELSI1</v>
      </c>
      <c r="K2407" t="s">
        <v>450</v>
      </c>
    </row>
    <row r="2408" spans="1:11">
      <c r="A2408" s="32">
        <v>15</v>
      </c>
      <c r="B2408" s="33">
        <v>8578</v>
      </c>
      <c r="C2408" s="3">
        <v>2506000</v>
      </c>
      <c r="D2408" s="3">
        <v>2381000</v>
      </c>
      <c r="E2408" s="7">
        <f t="shared" si="74"/>
        <v>125000</v>
      </c>
      <c r="F2408" s="5">
        <v>45894</v>
      </c>
      <c r="G2408" s="4">
        <v>20250824</v>
      </c>
      <c r="H2408" s="38" t="str">
        <f>VLOOKUP(B2408,CAJEROS!B:D,3,0)</f>
        <v>Multifuncional</v>
      </c>
      <c r="I2408" s="34" t="s">
        <v>9</v>
      </c>
      <c r="J2408" s="38" t="str">
        <f>VLOOKUP(B2408,CAJEROS!B:E,4,0)</f>
        <v>MF_HITAGUI3</v>
      </c>
      <c r="K2408" t="s">
        <v>450</v>
      </c>
    </row>
    <row r="2409" spans="1:11">
      <c r="A2409" s="32">
        <v>457</v>
      </c>
      <c r="B2409" s="33">
        <v>9004</v>
      </c>
      <c r="C2409" s="3">
        <v>995000</v>
      </c>
      <c r="D2409" s="3">
        <v>25000</v>
      </c>
      <c r="E2409" s="7">
        <f t="shared" si="74"/>
        <v>970000</v>
      </c>
      <c r="F2409" s="5">
        <v>45894</v>
      </c>
      <c r="G2409" s="4">
        <v>20250824</v>
      </c>
      <c r="H2409" s="38" t="str">
        <f>VLOOKUP(B2409,CAJEROS!B:D,3,0)</f>
        <v>Multifuncional</v>
      </c>
      <c r="I2409" s="34" t="s">
        <v>9</v>
      </c>
      <c r="J2409" s="38" t="str">
        <f>VLOOKUP(B2409,CAJEROS!B:E,4,0)</f>
        <v>MF_SSANPED1</v>
      </c>
      <c r="K2409" t="s">
        <v>450</v>
      </c>
    </row>
    <row r="2410" spans="1:11">
      <c r="A2410" s="32">
        <v>890</v>
      </c>
      <c r="B2410" s="33">
        <v>9584</v>
      </c>
      <c r="C2410" s="3">
        <v>122000</v>
      </c>
      <c r="D2410" s="3"/>
      <c r="E2410" s="7">
        <f t="shared" si="74"/>
        <v>122000</v>
      </c>
      <c r="F2410" s="5">
        <v>45894</v>
      </c>
      <c r="G2410" s="4">
        <v>20250824</v>
      </c>
      <c r="H2410" s="38" t="str">
        <f>VLOOKUP(B2410,CAJEROS!B:D,3,0)</f>
        <v>Multifuncional</v>
      </c>
      <c r="I2410" s="34" t="s">
        <v>9</v>
      </c>
      <c r="J2410" s="38" t="str">
        <f>VLOOKUP(B2410,CAJEROS!B:E,4,0)</f>
        <v>MFSUCACACI1</v>
      </c>
      <c r="K2410" t="s">
        <v>450</v>
      </c>
    </row>
    <row r="2411" spans="1:11">
      <c r="A2411" s="32">
        <v>876</v>
      </c>
      <c r="B2411" s="33">
        <v>9682</v>
      </c>
      <c r="C2411" s="3">
        <v>156000</v>
      </c>
      <c r="D2411" s="3"/>
      <c r="E2411" s="7">
        <f t="shared" si="74"/>
        <v>156000</v>
      </c>
      <c r="F2411" s="5">
        <v>45894</v>
      </c>
      <c r="G2411" s="4">
        <v>20250824</v>
      </c>
      <c r="H2411" s="38" t="str">
        <f>VLOOKUP(B2411,CAJEROS!B:D,3,0)</f>
        <v>Multifuncional</v>
      </c>
      <c r="I2411" s="34" t="s">
        <v>9</v>
      </c>
      <c r="J2411" s="38" t="str">
        <f>VLOOKUP(B2411,CAJEROS!B:E,4,0)</f>
        <v>MF_VILCAM1</v>
      </c>
      <c r="K2411" t="s">
        <v>450</v>
      </c>
    </row>
    <row r="2412" spans="1:11">
      <c r="A2412" s="32">
        <v>849</v>
      </c>
      <c r="B2412" s="33">
        <v>9724</v>
      </c>
      <c r="C2412" s="3">
        <v>220000</v>
      </c>
      <c r="D2412" s="3"/>
      <c r="E2412" s="7">
        <f t="shared" si="74"/>
        <v>220000</v>
      </c>
      <c r="F2412" s="5">
        <v>45894</v>
      </c>
      <c r="G2412" s="4">
        <v>20250824</v>
      </c>
      <c r="H2412" s="38" t="str">
        <f>VLOOKUP(B2412,CAJEROS!B:D,3,0)</f>
        <v>Multifuncional</v>
      </c>
      <c r="I2412" s="34" t="s">
        <v>9</v>
      </c>
      <c r="J2412" s="38" t="str">
        <f>VLOOKUP(B2412,CAJEROS!B:E,4,0)</f>
        <v>MF_SUNIVIL1</v>
      </c>
      <c r="K2412" t="s">
        <v>450</v>
      </c>
    </row>
    <row r="2413" spans="1:11">
      <c r="A2413" s="32">
        <v>777</v>
      </c>
      <c r="B2413" s="33">
        <v>4868</v>
      </c>
      <c r="C2413" s="3">
        <v>3844250</v>
      </c>
      <c r="D2413" s="3">
        <v>857800</v>
      </c>
      <c r="E2413" s="7">
        <f t="shared" si="74"/>
        <v>2986450</v>
      </c>
      <c r="F2413" s="5">
        <v>45895</v>
      </c>
      <c r="G2413" s="4">
        <v>20250825</v>
      </c>
      <c r="H2413" s="38" t="str">
        <f>VLOOKUP(B2413,CAJEROS!B:D,3,0)</f>
        <v>Multifuncional</v>
      </c>
      <c r="I2413" s="34"/>
      <c r="J2413" s="38" t="str">
        <f>VLOOKUP(B2413,CAJEROS!B:E,4,0)</f>
        <v>MFPWASHING2</v>
      </c>
      <c r="K2413" t="s">
        <v>450</v>
      </c>
    </row>
    <row r="2414" spans="1:11">
      <c r="A2414" s="32">
        <v>53</v>
      </c>
      <c r="B2414" s="33">
        <v>5141</v>
      </c>
      <c r="C2414" s="3">
        <v>5990000</v>
      </c>
      <c r="D2414" s="3"/>
      <c r="E2414" s="7">
        <f t="shared" si="74"/>
        <v>5990000</v>
      </c>
      <c r="F2414" s="5">
        <v>45895</v>
      </c>
      <c r="G2414" s="4">
        <v>20250825</v>
      </c>
      <c r="H2414" s="38" t="str">
        <f>VLOOKUP(B2414,CAJEROS!B:D,3,0)</f>
        <v>Multifuncional</v>
      </c>
      <c r="I2414" s="34"/>
      <c r="J2414" s="38" t="str">
        <f>VLOOKUP(B2414,CAJEROS!B:E,4,0)</f>
        <v>MF_CARRDECI</v>
      </c>
      <c r="K2414" t="s">
        <v>450</v>
      </c>
    </row>
    <row r="2415" spans="1:11">
      <c r="A2415" s="32">
        <v>279</v>
      </c>
      <c r="B2415" s="33">
        <v>5147</v>
      </c>
      <c r="C2415" s="3">
        <v>509000</v>
      </c>
      <c r="D2415" s="3"/>
      <c r="E2415" s="7">
        <f t="shared" si="74"/>
        <v>509000</v>
      </c>
      <c r="F2415" s="5">
        <v>45895</v>
      </c>
      <c r="G2415" s="4">
        <v>20250825</v>
      </c>
      <c r="H2415" s="38" t="str">
        <f>VLOOKUP(B2415,CAJEROS!B:D,3,0)</f>
        <v>Multifuncional</v>
      </c>
      <c r="I2415" s="34"/>
      <c r="J2415" s="38" t="str">
        <f>VLOOKUP(B2415,CAJEROS!B:E,4,0)</f>
        <v>MF_ITAGPARQ</v>
      </c>
      <c r="K2415" t="s">
        <v>450</v>
      </c>
    </row>
    <row r="2416" spans="1:11">
      <c r="A2416" s="32">
        <v>363</v>
      </c>
      <c r="B2416" s="33">
        <v>5168</v>
      </c>
      <c r="C2416" s="3">
        <v>4500050</v>
      </c>
      <c r="D2416" s="3">
        <v>660000</v>
      </c>
      <c r="E2416" s="7">
        <f t="shared" si="74"/>
        <v>3840050</v>
      </c>
      <c r="F2416" s="5">
        <v>45895</v>
      </c>
      <c r="G2416" s="4">
        <v>20250822</v>
      </c>
      <c r="H2416" s="38" t="str">
        <f>VLOOKUP(B2416,CAJEROS!B:D,3,0)</f>
        <v>Multifuncional</v>
      </c>
      <c r="I2416" s="34"/>
      <c r="J2416" s="38" t="str">
        <f>VLOOKUP(B2416,CAJEROS!B:E,4,0)</f>
        <v>MF_YOPAL</v>
      </c>
      <c r="K2416" t="s">
        <v>450</v>
      </c>
    </row>
    <row r="2417" spans="1:11">
      <c r="A2417" s="32">
        <v>716</v>
      </c>
      <c r="B2417" s="33">
        <v>5192</v>
      </c>
      <c r="C2417" s="3">
        <v>38000</v>
      </c>
      <c r="D2417" s="3"/>
      <c r="E2417" s="7">
        <f t="shared" si="74"/>
        <v>38000</v>
      </c>
      <c r="F2417" s="5">
        <v>45895</v>
      </c>
      <c r="G2417" s="4">
        <v>20250825</v>
      </c>
      <c r="H2417" s="38" t="str">
        <f>VLOOKUP(B2417,CAJEROS!B:D,3,0)</f>
        <v>Multifuncional</v>
      </c>
      <c r="I2417" s="34"/>
      <c r="J2417" s="38" t="str">
        <f>VLOOKUP(B2417,CAJEROS!B:E,4,0)</f>
        <v>MF_AVCGORDS</v>
      </c>
      <c r="K2417" t="s">
        <v>450</v>
      </c>
    </row>
    <row r="2418" spans="1:11">
      <c r="A2418" s="32">
        <v>869</v>
      </c>
      <c r="B2418" s="33">
        <v>6199</v>
      </c>
      <c r="C2418" s="3">
        <v>2300700</v>
      </c>
      <c r="D2418" s="3"/>
      <c r="E2418" s="7">
        <f t="shared" si="74"/>
        <v>2300700</v>
      </c>
      <c r="F2418" s="5">
        <v>45895</v>
      </c>
      <c r="G2418" s="4">
        <v>20250825</v>
      </c>
      <c r="H2418" s="38" t="e">
        <f>VLOOKUP(B2418,CAJEROS!B:D,3,0)</f>
        <v>#N/A</v>
      </c>
      <c r="I2418" s="34"/>
      <c r="J2418" s="38" t="e">
        <f>VLOOKUP(B2418,CAJEROS!B:E,4,0)</f>
        <v>#N/A</v>
      </c>
      <c r="K2418" t="s">
        <v>450</v>
      </c>
    </row>
    <row r="2419" spans="1:11">
      <c r="A2419" s="32">
        <v>888</v>
      </c>
      <c r="B2419" s="33">
        <v>6818</v>
      </c>
      <c r="C2419" s="3">
        <v>2000</v>
      </c>
      <c r="D2419" s="3"/>
      <c r="E2419" s="7">
        <f t="shared" si="74"/>
        <v>2000</v>
      </c>
      <c r="F2419" s="5">
        <v>45895</v>
      </c>
      <c r="G2419" s="4">
        <v>20250825</v>
      </c>
      <c r="H2419" s="38" t="str">
        <f>VLOOKUP(B2419,CAJEROS!B:D,3,0)</f>
        <v>Multifuncional</v>
      </c>
      <c r="I2419" s="34"/>
      <c r="J2419" s="38" t="str">
        <f>VLOOKUP(B2419,CAJEROS!B:E,4,0)</f>
        <v>MF_IPIALES</v>
      </c>
      <c r="K2419" t="s">
        <v>450</v>
      </c>
    </row>
    <row r="2420" spans="1:11">
      <c r="A2420" s="32">
        <v>93</v>
      </c>
      <c r="B2420" s="33">
        <v>7126</v>
      </c>
      <c r="C2420" s="3">
        <v>7410000</v>
      </c>
      <c r="D2420" s="3"/>
      <c r="E2420" s="7">
        <f t="shared" si="74"/>
        <v>7410000</v>
      </c>
      <c r="F2420" s="5">
        <v>45895</v>
      </c>
      <c r="G2420" s="4">
        <v>20250825</v>
      </c>
      <c r="H2420" s="38" t="str">
        <f>VLOOKUP(B2420,CAJEROS!B:D,3,0)</f>
        <v>Multifuncional</v>
      </c>
      <c r="I2420" s="34"/>
      <c r="J2420" s="38" t="str">
        <f>VLOOKUP(B2420,CAJEROS!B:E,4,0)</f>
        <v>MF_SAHAGUN</v>
      </c>
      <c r="K2420" t="s">
        <v>450</v>
      </c>
    </row>
    <row r="2421" spans="1:11">
      <c r="A2421" s="32">
        <v>476</v>
      </c>
      <c r="B2421" s="33">
        <v>7759</v>
      </c>
      <c r="C2421" s="3">
        <v>7140700</v>
      </c>
      <c r="D2421" s="3">
        <v>16000</v>
      </c>
      <c r="E2421" s="7">
        <f t="shared" si="74"/>
        <v>7124700</v>
      </c>
      <c r="F2421" s="5">
        <v>45895</v>
      </c>
      <c r="G2421" s="4">
        <v>20250825</v>
      </c>
      <c r="H2421" s="38" t="str">
        <f>VLOOKUP(B2421,CAJEROS!B:D,3,0)</f>
        <v>Multifuncional</v>
      </c>
      <c r="I2421" s="34"/>
      <c r="J2421" s="38" t="str">
        <f>VLOOKUP(B2421,CAJEROS!B:E,4,0)</f>
        <v>MF_PAMPLONA</v>
      </c>
      <c r="K2421" t="s">
        <v>450</v>
      </c>
    </row>
    <row r="2422" spans="1:11">
      <c r="A2422" s="32">
        <v>890</v>
      </c>
      <c r="B2422" s="33">
        <v>9584</v>
      </c>
      <c r="C2422" s="3">
        <v>2080000</v>
      </c>
      <c r="D2422" s="3"/>
      <c r="E2422" s="7">
        <f t="shared" si="74"/>
        <v>2080000</v>
      </c>
      <c r="F2422" s="5">
        <v>45895</v>
      </c>
      <c r="G2422" s="4">
        <v>20250825</v>
      </c>
      <c r="H2422" s="38" t="str">
        <f>VLOOKUP(B2422,CAJEROS!B:D,3,0)</f>
        <v>Multifuncional</v>
      </c>
      <c r="I2422" s="34"/>
      <c r="J2422" s="38" t="str">
        <f>VLOOKUP(B2422,CAJEROS!B:E,4,0)</f>
        <v>MFSUCACACI1</v>
      </c>
      <c r="K2422" t="s">
        <v>450</v>
      </c>
    </row>
    <row r="2423" spans="1:11">
      <c r="A2423" s="32">
        <v>481</v>
      </c>
      <c r="B2423" s="33">
        <v>1010</v>
      </c>
      <c r="C2423" s="3">
        <v>90000</v>
      </c>
      <c r="D2423" s="3"/>
      <c r="E2423" s="7">
        <f t="shared" si="74"/>
        <v>90000</v>
      </c>
      <c r="F2423" s="5">
        <v>45895</v>
      </c>
      <c r="G2423" s="4">
        <v>20250825</v>
      </c>
      <c r="H2423" s="38" t="str">
        <f>VLOOKUP(B2423,CAJEROS!B:D,3,0)</f>
        <v>Multifuncional</v>
      </c>
      <c r="I2423" s="34" t="s">
        <v>9</v>
      </c>
      <c r="J2423" s="38" t="str">
        <f>VLOOKUP(B2423,CAJEROS!B:E,4,0)</f>
        <v>MF_SOLEDAD1</v>
      </c>
      <c r="K2423" t="s">
        <v>450</v>
      </c>
    </row>
    <row r="2424" spans="1:11">
      <c r="A2424" s="32">
        <v>377</v>
      </c>
      <c r="B2424" s="33">
        <v>1508</v>
      </c>
      <c r="C2424" s="3">
        <v>68000</v>
      </c>
      <c r="D2424" s="3"/>
      <c r="E2424" s="7">
        <f t="shared" si="74"/>
        <v>68000</v>
      </c>
      <c r="F2424" s="5">
        <v>45895</v>
      </c>
      <c r="G2424" s="4">
        <v>20250825</v>
      </c>
      <c r="H2424" s="38" t="str">
        <f>VLOOKUP(B2424,CAJEROS!B:D,3,0)</f>
        <v>Multifuncional</v>
      </c>
      <c r="I2424" s="34" t="s">
        <v>9</v>
      </c>
      <c r="J2424" s="38" t="str">
        <f>VLOOKUP(B2424,CAJEROS!B:E,4,0)</f>
        <v>MFSUCCIAV1</v>
      </c>
      <c r="K2424" t="s">
        <v>450</v>
      </c>
    </row>
    <row r="2425" spans="1:11">
      <c r="A2425" s="32">
        <v>777</v>
      </c>
      <c r="B2425" s="33">
        <v>5009</v>
      </c>
      <c r="C2425" s="3">
        <v>203000</v>
      </c>
      <c r="D2425" s="3">
        <v>185000</v>
      </c>
      <c r="E2425" s="7">
        <f t="shared" si="74"/>
        <v>18000</v>
      </c>
      <c r="F2425" s="5">
        <v>45895</v>
      </c>
      <c r="G2425" s="4">
        <v>20250825</v>
      </c>
      <c r="H2425" s="38" t="str">
        <f>VLOOKUP(B2425,CAJEROS!B:D,3,0)</f>
        <v>Multifuncional</v>
      </c>
      <c r="I2425" s="34" t="s">
        <v>9</v>
      </c>
      <c r="J2425" s="38" t="str">
        <f>VLOOKUP(B2425,CAJEROS!B:E,4,0)</f>
        <v>MF_PWASHING</v>
      </c>
      <c r="K2425" t="s">
        <v>450</v>
      </c>
    </row>
    <row r="2426" spans="1:11">
      <c r="A2426" s="32">
        <v>623</v>
      </c>
      <c r="B2426" s="33">
        <v>5047</v>
      </c>
      <c r="C2426" s="3">
        <v>1627000</v>
      </c>
      <c r="D2426" s="3">
        <f>1120000+465000</f>
        <v>1585000</v>
      </c>
      <c r="E2426" s="7">
        <f t="shared" si="74"/>
        <v>42000</v>
      </c>
      <c r="F2426" s="5">
        <v>45895</v>
      </c>
      <c r="G2426" s="4">
        <v>20250825</v>
      </c>
      <c r="H2426" s="38" t="str">
        <f>VLOOKUP(B2426,CAJEROS!B:D,3,0)</f>
        <v>Multifuncional</v>
      </c>
      <c r="I2426" s="34" t="s">
        <v>9</v>
      </c>
      <c r="J2426" s="38" t="str">
        <f>VLOOKUP(B2426,CAJEROS!B:E,4,0)</f>
        <v>MF_FMANIZAL</v>
      </c>
      <c r="K2426" t="s">
        <v>450</v>
      </c>
    </row>
    <row r="2427" spans="1:11">
      <c r="A2427" s="32">
        <v>656</v>
      </c>
      <c r="B2427" s="33">
        <v>5103</v>
      </c>
      <c r="C2427" s="3">
        <v>2284000</v>
      </c>
      <c r="D2427" s="3">
        <f>180000+60000</f>
        <v>240000</v>
      </c>
      <c r="E2427" s="7">
        <f t="shared" si="74"/>
        <v>2044000</v>
      </c>
      <c r="F2427" s="5">
        <v>45895</v>
      </c>
      <c r="G2427" s="4">
        <v>20250825</v>
      </c>
      <c r="H2427" s="38" t="str">
        <f>VLOOKUP(B2427,CAJEROS!B:D,3,0)</f>
        <v>Multifuncional</v>
      </c>
      <c r="I2427" s="34" t="s">
        <v>9</v>
      </c>
      <c r="J2427" s="38" t="str">
        <f>VLOOKUP(B2427,CAJEROS!B:E,4,0)</f>
        <v>MF_MAYPLAZA</v>
      </c>
      <c r="K2427" t="s">
        <v>450</v>
      </c>
    </row>
    <row r="2428" spans="1:11">
      <c r="A2428" s="32">
        <v>698</v>
      </c>
      <c r="B2428" s="33">
        <v>5187</v>
      </c>
      <c r="C2428" s="3">
        <v>400000</v>
      </c>
      <c r="D2428" s="3"/>
      <c r="E2428" s="7">
        <f t="shared" si="74"/>
        <v>400000</v>
      </c>
      <c r="F2428" s="5">
        <v>45895</v>
      </c>
      <c r="G2428" s="4">
        <v>20250825</v>
      </c>
      <c r="H2428" s="38" t="str">
        <f>VLOOKUP(B2428,CAJEROS!B:D,3,0)</f>
        <v>Multifuncional</v>
      </c>
      <c r="I2428" s="34" t="s">
        <v>9</v>
      </c>
      <c r="J2428" s="38" t="str">
        <f>VLOOKUP(B2428,CAJEROS!B:E,4,0)</f>
        <v>MF_SCLLE79</v>
      </c>
      <c r="K2428" t="s">
        <v>450</v>
      </c>
    </row>
    <row r="2429" spans="1:11">
      <c r="A2429" s="32">
        <v>250</v>
      </c>
      <c r="B2429" s="33">
        <v>5197</v>
      </c>
      <c r="C2429" s="3">
        <v>826900</v>
      </c>
      <c r="D2429" s="3">
        <f>388000+274300</f>
        <v>662300</v>
      </c>
      <c r="E2429" s="7">
        <f t="shared" si="74"/>
        <v>164600</v>
      </c>
      <c r="F2429" s="5">
        <v>45895</v>
      </c>
      <c r="G2429" s="4">
        <v>20250825</v>
      </c>
      <c r="H2429" s="38" t="str">
        <f>VLOOKUP(B2429,CAJEROS!B:D,3,0)</f>
        <v>Multifuncional</v>
      </c>
      <c r="I2429" s="34" t="s">
        <v>9</v>
      </c>
      <c r="J2429" s="38" t="str">
        <f>VLOOKUP(B2429,CAJEROS!B:E,4,0)</f>
        <v>MF_MODELIA</v>
      </c>
      <c r="K2429" t="s">
        <v>450</v>
      </c>
    </row>
    <row r="2430" spans="1:11">
      <c r="A2430" s="32">
        <v>455</v>
      </c>
      <c r="B2430" s="33">
        <v>5206</v>
      </c>
      <c r="C2430" s="3">
        <v>1130000</v>
      </c>
      <c r="D2430" s="3">
        <f>500000+620000</f>
        <v>1120000</v>
      </c>
      <c r="E2430" s="7">
        <f t="shared" si="74"/>
        <v>10000</v>
      </c>
      <c r="F2430" s="5">
        <v>45895</v>
      </c>
      <c r="G2430" s="4">
        <v>20250825</v>
      </c>
      <c r="H2430" s="38" t="str">
        <f>VLOOKUP(B2430,CAJEROS!B:D,3,0)</f>
        <v>Multifuncional</v>
      </c>
      <c r="I2430" s="34" t="s">
        <v>9</v>
      </c>
      <c r="J2430" s="38" t="str">
        <f>VLOOKUP(B2430,CAJEROS!B:E,4,0)</f>
        <v>MF_CEIBAS1</v>
      </c>
      <c r="K2430" t="s">
        <v>450</v>
      </c>
    </row>
    <row r="2431" spans="1:11">
      <c r="A2431" s="32">
        <v>78</v>
      </c>
      <c r="B2431" s="33">
        <v>6246</v>
      </c>
      <c r="C2431" s="3">
        <v>850000</v>
      </c>
      <c r="D2431" s="3"/>
      <c r="E2431" s="7">
        <f t="shared" si="74"/>
        <v>850000</v>
      </c>
      <c r="F2431" s="5">
        <v>45895</v>
      </c>
      <c r="G2431" s="4">
        <v>20250825</v>
      </c>
      <c r="H2431" s="38" t="str">
        <f>VLOOKUP(B2431,CAJEROS!B:D,3,0)</f>
        <v>Multifuncional</v>
      </c>
      <c r="I2431" s="34" t="s">
        <v>9</v>
      </c>
      <c r="J2431" s="38" t="str">
        <f>VLOOKUP(B2431,CAJEROS!B:E,4,0)</f>
        <v>MF_CACIQUE</v>
      </c>
      <c r="K2431" t="s">
        <v>450</v>
      </c>
    </row>
    <row r="2432" spans="1:11">
      <c r="A2432" s="32">
        <v>477</v>
      </c>
      <c r="B2432" s="33">
        <v>6251</v>
      </c>
      <c r="C2432" s="3">
        <v>2700000</v>
      </c>
      <c r="D2432" s="3"/>
      <c r="E2432" s="7">
        <f t="shared" si="74"/>
        <v>2700000</v>
      </c>
      <c r="F2432" s="5">
        <v>45895</v>
      </c>
      <c r="G2432" s="4">
        <v>20250825</v>
      </c>
      <c r="H2432" s="38" t="str">
        <f>VLOOKUP(B2432,CAJEROS!B:D,3,0)</f>
        <v>Multifuncional</v>
      </c>
      <c r="I2432" s="34" t="s">
        <v>9</v>
      </c>
      <c r="J2432" s="38" t="str">
        <f>VLOOKUP(B2432,CAJEROS!B:E,4,0)</f>
        <v>MF_GRANCENT</v>
      </c>
      <c r="K2432" t="s">
        <v>450</v>
      </c>
    </row>
    <row r="2433" spans="1:11">
      <c r="A2433" s="32">
        <v>601</v>
      </c>
      <c r="B2433" s="33">
        <v>6407</v>
      </c>
      <c r="C2433" s="3">
        <v>1015000</v>
      </c>
      <c r="D2433" s="3"/>
      <c r="E2433" s="7">
        <f t="shared" si="74"/>
        <v>1015000</v>
      </c>
      <c r="F2433" s="5">
        <v>45895</v>
      </c>
      <c r="G2433" s="4">
        <v>20250825</v>
      </c>
      <c r="H2433" s="38" t="str">
        <f>VLOOKUP(B2433,CAJEROS!B:D,3,0)</f>
        <v>Multifuncional</v>
      </c>
      <c r="I2433" s="34" t="s">
        <v>9</v>
      </c>
      <c r="J2433" s="38" t="str">
        <f>VLOOKUP(B2433,CAJEROS!B:E,4,0)</f>
        <v>MF_COLINACA</v>
      </c>
      <c r="K2433" t="s">
        <v>450</v>
      </c>
    </row>
    <row r="2434" spans="1:11">
      <c r="A2434" s="32">
        <v>379</v>
      </c>
      <c r="B2434" s="33">
        <v>6465</v>
      </c>
      <c r="C2434" s="3">
        <v>2503000</v>
      </c>
      <c r="D2434" s="3">
        <v>2400000</v>
      </c>
      <c r="E2434" s="7">
        <f t="shared" si="74"/>
        <v>103000</v>
      </c>
      <c r="F2434" s="5">
        <v>45895</v>
      </c>
      <c r="G2434" s="4">
        <v>20250825</v>
      </c>
      <c r="H2434" s="38" t="str">
        <f>VLOOKUP(B2434,CAJEROS!B:D,3,0)</f>
        <v>Multifuncional</v>
      </c>
      <c r="I2434" s="34" t="s">
        <v>9</v>
      </c>
      <c r="J2434" s="38" t="str">
        <f>VLOOKUP(B2434,CAJEROS!B:E,4,0)</f>
        <v>MF_SUCTESO1</v>
      </c>
      <c r="K2434" t="s">
        <v>450</v>
      </c>
    </row>
    <row r="2435" spans="1:11">
      <c r="A2435" s="32">
        <v>721</v>
      </c>
      <c r="B2435" s="33">
        <v>8896</v>
      </c>
      <c r="C2435" s="3">
        <v>175000</v>
      </c>
      <c r="D2435" s="3"/>
      <c r="E2435" s="7">
        <f t="shared" si="74"/>
        <v>175000</v>
      </c>
      <c r="F2435" s="5">
        <v>45895</v>
      </c>
      <c r="G2435" s="4">
        <v>20250825</v>
      </c>
      <c r="H2435" s="38" t="str">
        <f>VLOOKUP(B2435,CAJEROS!B:D,3,0)</f>
        <v>Multifuncional</v>
      </c>
      <c r="I2435" s="34" t="s">
        <v>9</v>
      </c>
      <c r="J2435" s="38" t="str">
        <f>VLOOKUP(B2435,CAJEROS!B:E,4,0)</f>
        <v>MFSUCLAGO1</v>
      </c>
      <c r="K2435" t="s">
        <v>450</v>
      </c>
    </row>
    <row r="2436" spans="1:11">
      <c r="A2436" s="32">
        <v>457</v>
      </c>
      <c r="B2436" s="33">
        <v>9004</v>
      </c>
      <c r="C2436" s="3">
        <v>510000</v>
      </c>
      <c r="D2436" s="3"/>
      <c r="E2436" s="7">
        <f t="shared" si="74"/>
        <v>510000</v>
      </c>
      <c r="F2436" s="5">
        <v>45895</v>
      </c>
      <c r="G2436" s="4">
        <v>20250825</v>
      </c>
      <c r="H2436" s="38" t="str">
        <f>VLOOKUP(B2436,CAJEROS!B:D,3,0)</f>
        <v>Multifuncional</v>
      </c>
      <c r="I2436" s="34" t="s">
        <v>9</v>
      </c>
      <c r="J2436" s="38" t="str">
        <f>VLOOKUP(B2436,CAJEROS!B:E,4,0)</f>
        <v>MF_SSANPED1</v>
      </c>
      <c r="K2436" t="s">
        <v>450</v>
      </c>
    </row>
    <row r="2437" spans="1:11">
      <c r="A2437" s="32">
        <v>876</v>
      </c>
      <c r="B2437" s="33">
        <v>9682</v>
      </c>
      <c r="C2437" s="3">
        <v>2070000</v>
      </c>
      <c r="D2437" s="3">
        <v>1700000</v>
      </c>
      <c r="E2437" s="7">
        <f t="shared" si="74"/>
        <v>370000</v>
      </c>
      <c r="F2437" s="5">
        <v>45895</v>
      </c>
      <c r="G2437" s="4">
        <v>20250825</v>
      </c>
      <c r="H2437" s="38" t="str">
        <f>VLOOKUP(B2437,CAJEROS!B:D,3,0)</f>
        <v>Multifuncional</v>
      </c>
      <c r="I2437" s="34" t="s">
        <v>9</v>
      </c>
      <c r="J2437" s="38" t="str">
        <f>VLOOKUP(B2437,CAJEROS!B:E,4,0)</f>
        <v>MF_VILCAM1</v>
      </c>
      <c r="K2437" t="s">
        <v>450</v>
      </c>
    </row>
    <row r="2438" spans="1:11">
      <c r="A2438" s="32">
        <v>849</v>
      </c>
      <c r="B2438" s="33">
        <v>9724</v>
      </c>
      <c r="C2438" s="3">
        <v>1580000</v>
      </c>
      <c r="D2438" s="3">
        <f>1190000+330000</f>
        <v>1520000</v>
      </c>
      <c r="E2438" s="7">
        <f t="shared" si="74"/>
        <v>60000</v>
      </c>
      <c r="F2438" s="5">
        <v>45895</v>
      </c>
      <c r="G2438" s="4">
        <v>20250825</v>
      </c>
      <c r="H2438" s="38" t="str">
        <f>VLOOKUP(B2438,CAJEROS!B:D,3,0)</f>
        <v>Multifuncional</v>
      </c>
      <c r="I2438" s="34" t="s">
        <v>9</v>
      </c>
      <c r="J2438" s="38" t="str">
        <f>VLOOKUP(B2438,CAJEROS!B:E,4,0)</f>
        <v>MF_SUNIVIL1</v>
      </c>
      <c r="K2438" t="s">
        <v>450</v>
      </c>
    </row>
    <row r="2439" spans="1:11">
      <c r="A2439" s="32">
        <v>554</v>
      </c>
      <c r="B2439" s="33">
        <v>8298</v>
      </c>
      <c r="C2439" s="3">
        <v>750000</v>
      </c>
      <c r="D2439" s="3"/>
      <c r="E2439" s="7">
        <f t="shared" si="74"/>
        <v>750000</v>
      </c>
      <c r="F2439" s="5">
        <v>45895</v>
      </c>
      <c r="G2439" s="4">
        <v>20250825</v>
      </c>
      <c r="H2439" s="38" t="str">
        <f>VLOOKUP(B2439,CAJEROS!B:D,3,0)</f>
        <v>Dispensador</v>
      </c>
      <c r="I2439" s="34"/>
      <c r="J2439" s="38" t="str">
        <f>VLOOKUP(B2439,CAJEROS!B:E,4,0)</f>
        <v>SUCBUEVIII3</v>
      </c>
      <c r="K2439" t="s">
        <v>450</v>
      </c>
    </row>
    <row r="2440" spans="1:11">
      <c r="A2440" s="32">
        <v>793</v>
      </c>
      <c r="B2440" s="33">
        <v>8469</v>
      </c>
      <c r="C2440" s="3">
        <v>1900000</v>
      </c>
      <c r="D2440" s="3"/>
      <c r="E2440" s="7">
        <f t="shared" si="74"/>
        <v>1900000</v>
      </c>
      <c r="F2440" s="5">
        <v>45895</v>
      </c>
      <c r="G2440" s="4">
        <v>20250825</v>
      </c>
      <c r="H2440" s="38" t="str">
        <f>VLOOKUP(B2440,CAJEROS!B:D,3,0)</f>
        <v>Dispensador</v>
      </c>
      <c r="I2440" s="34"/>
      <c r="J2440" s="38" t="str">
        <f>VLOOKUP(B2440,CAJEROS!B:E,4,0)</f>
        <v>OFPROFESI_1</v>
      </c>
      <c r="K2440" t="s">
        <v>450</v>
      </c>
    </row>
    <row r="2441" spans="1:11">
      <c r="A2441" s="32">
        <v>831</v>
      </c>
      <c r="B2441" s="33">
        <v>4654</v>
      </c>
      <c r="C2441" s="3">
        <v>20000</v>
      </c>
      <c r="D2441" s="3"/>
      <c r="E2441" s="7">
        <f t="shared" si="74"/>
        <v>20000</v>
      </c>
      <c r="F2441" s="5">
        <v>45895</v>
      </c>
      <c r="G2441" s="4">
        <v>20250825</v>
      </c>
      <c r="H2441" s="38" t="str">
        <f>VLOOKUP(B2441,CAJEROS!B:D,3,0)</f>
        <v>Dispensador</v>
      </c>
      <c r="I2441" s="34"/>
      <c r="J2441" s="38" t="str">
        <f>VLOOKUP(B2441,CAJEROS!B:E,4,0)</f>
        <v>SUC_CAREPA3</v>
      </c>
      <c r="K2441" t="s">
        <v>450</v>
      </c>
    </row>
    <row r="2442" spans="1:11">
      <c r="A2442" s="32">
        <v>848</v>
      </c>
      <c r="B2442" s="33">
        <v>4740</v>
      </c>
      <c r="C2442" s="3">
        <v>430000</v>
      </c>
      <c r="D2442" s="3"/>
      <c r="E2442" s="7">
        <f t="shared" si="74"/>
        <v>430000</v>
      </c>
      <c r="F2442" s="5">
        <v>45895</v>
      </c>
      <c r="G2442" s="4">
        <v>20250825</v>
      </c>
      <c r="H2442" s="38" t="str">
        <f>VLOOKUP(B2442,CAJEROS!B:D,3,0)</f>
        <v>Dispensador</v>
      </c>
      <c r="I2442" s="34"/>
      <c r="J2442" s="38" t="str">
        <f>VLOOKUP(B2442,CAJEROS!B:E,4,0)</f>
        <v>PQECABAL_3</v>
      </c>
      <c r="K2442" t="s">
        <v>450</v>
      </c>
    </row>
    <row r="2443" spans="1:11">
      <c r="A2443" s="32">
        <v>85</v>
      </c>
      <c r="B2443" s="33">
        <v>8973</v>
      </c>
      <c r="C2443" s="3">
        <v>260000</v>
      </c>
      <c r="D2443" s="3">
        <f>48700+185550</f>
        <v>234250</v>
      </c>
      <c r="E2443" s="7">
        <f t="shared" si="74"/>
        <v>25750</v>
      </c>
      <c r="F2443" s="5">
        <v>45895</v>
      </c>
      <c r="G2443" s="4">
        <v>20250825</v>
      </c>
      <c r="H2443" s="38" t="str">
        <f>VLOOKUP(B2443,CAJEROS!B:D,3,0)</f>
        <v>Dispensador</v>
      </c>
      <c r="I2443" s="34" t="s">
        <v>9</v>
      </c>
      <c r="J2443" s="38" t="str">
        <f>VLOOKUP(B2443,CAJEROS!B:E,4,0)</f>
        <v>SUCSERZUL_4</v>
      </c>
      <c r="K2443" t="s">
        <v>450</v>
      </c>
    </row>
    <row r="2444" spans="1:11">
      <c r="A2444" s="32">
        <v>367</v>
      </c>
      <c r="B2444" s="33">
        <v>2222</v>
      </c>
      <c r="C2444" s="3">
        <v>2000000</v>
      </c>
      <c r="D2444" s="3"/>
      <c r="E2444" s="7">
        <f t="shared" si="74"/>
        <v>2000000</v>
      </c>
      <c r="F2444" s="5">
        <v>45895</v>
      </c>
      <c r="G2444" s="4">
        <v>20250825</v>
      </c>
      <c r="H2444" s="38" t="str">
        <f>VLOOKUP(B2444,CAJEROS!B:D,3,0)</f>
        <v>Dispensador</v>
      </c>
      <c r="I2444" s="34" t="s">
        <v>9</v>
      </c>
      <c r="J2444" s="38" t="str">
        <f>VLOOKUP(B2444,CAJEROS!B:E,4,0)</f>
        <v>OFGRANAME_1</v>
      </c>
      <c r="K2444" t="s">
        <v>450</v>
      </c>
    </row>
    <row r="2445" spans="1:11">
      <c r="A2445" s="32">
        <v>631</v>
      </c>
      <c r="B2445" s="33">
        <v>2615</v>
      </c>
      <c r="C2445" s="3">
        <v>1200000</v>
      </c>
      <c r="D2445" s="3"/>
      <c r="E2445" s="7">
        <f t="shared" si="74"/>
        <v>1200000</v>
      </c>
      <c r="F2445" s="5">
        <v>45895</v>
      </c>
      <c r="G2445" s="4">
        <v>20250825</v>
      </c>
      <c r="H2445" s="38" t="str">
        <f>VLOOKUP(B2445,CAJEROS!B:D,3,0)</f>
        <v>Dispensador</v>
      </c>
      <c r="I2445" s="34" t="s">
        <v>9</v>
      </c>
      <c r="J2445" s="38" t="str">
        <f>VLOOKUP(B2445,CAJEROS!B:E,4,0)</f>
        <v>SUCURIBIA_1</v>
      </c>
      <c r="K2445" t="s">
        <v>450</v>
      </c>
    </row>
    <row r="2446" spans="1:11">
      <c r="A2446" s="32">
        <v>708</v>
      </c>
      <c r="B2446" s="33">
        <v>5753</v>
      </c>
      <c r="C2446" s="3">
        <v>1000000</v>
      </c>
      <c r="D2446" s="3"/>
      <c r="E2446" s="7">
        <f t="shared" si="74"/>
        <v>1000000</v>
      </c>
      <c r="F2446" s="5">
        <v>45895</v>
      </c>
      <c r="G2446" s="4">
        <v>20250825</v>
      </c>
      <c r="H2446" s="38" t="str">
        <f>VLOOKUP(B2446,CAJEROS!B:D,3,0)</f>
        <v>Dispensador</v>
      </c>
      <c r="I2446" s="34" t="s">
        <v>9</v>
      </c>
      <c r="J2446" s="38" t="str">
        <f>VLOOKUP(B2446,CAJEROS!B:E,4,0)</f>
        <v>SUC_ANSER3</v>
      </c>
      <c r="K2446" t="s">
        <v>450</v>
      </c>
    </row>
    <row r="2447" spans="1:11">
      <c r="A2447" s="32">
        <v>721</v>
      </c>
      <c r="B2447" s="33">
        <v>8893</v>
      </c>
      <c r="C2447" s="3">
        <v>500000</v>
      </c>
      <c r="D2447" s="3"/>
      <c r="E2447" s="7">
        <f t="shared" si="74"/>
        <v>500000</v>
      </c>
      <c r="F2447" s="5">
        <v>45895</v>
      </c>
      <c r="G2447" s="4">
        <v>20250825</v>
      </c>
      <c r="H2447" s="38" t="str">
        <f>VLOOKUP(B2447,CAJEROS!B:D,3,0)</f>
        <v>Dispensador</v>
      </c>
      <c r="I2447" s="34" t="s">
        <v>9</v>
      </c>
      <c r="J2447" s="38" t="str">
        <f>VLOOKUP(B2447,CAJEROS!B:E,4,0)</f>
        <v>SUCHALLAGO3</v>
      </c>
      <c r="K2447" t="s">
        <v>450</v>
      </c>
    </row>
    <row r="2448" spans="1:11">
      <c r="A2448" s="32">
        <v>730</v>
      </c>
      <c r="B2448" s="33">
        <v>7262</v>
      </c>
      <c r="C2448" s="3">
        <v>1000000</v>
      </c>
      <c r="D2448" s="3"/>
      <c r="E2448" s="7">
        <f t="shared" si="74"/>
        <v>1000000</v>
      </c>
      <c r="F2448" s="5">
        <v>45895</v>
      </c>
      <c r="G2448" s="4">
        <v>20250825</v>
      </c>
      <c r="H2448" s="38" t="str">
        <f>VLOOKUP(B2448,CAJEROS!B:D,3,0)</f>
        <v>Dispensador</v>
      </c>
      <c r="I2448" s="34" t="s">
        <v>9</v>
      </c>
      <c r="J2448" s="38" t="str">
        <f>VLOOKUP(B2448,CAJEROS!B:E,4,0)</f>
        <v>SUC_LAMES1</v>
      </c>
      <c r="K2448" t="s">
        <v>450</v>
      </c>
    </row>
    <row r="2449" spans="1:11">
      <c r="A2449" s="32">
        <v>882</v>
      </c>
      <c r="B2449" s="33">
        <v>3510</v>
      </c>
      <c r="C2449" s="3">
        <v>100000</v>
      </c>
      <c r="D2449" s="3"/>
      <c r="E2449" s="7">
        <f t="shared" si="74"/>
        <v>100000</v>
      </c>
      <c r="F2449" s="5">
        <v>45895</v>
      </c>
      <c r="G2449" s="4">
        <v>20250825</v>
      </c>
      <c r="H2449" s="38" t="str">
        <f>VLOOKUP(B2449,CAJEROS!B:D,3,0)</f>
        <v>Dispensador</v>
      </c>
      <c r="I2449" s="34" t="s">
        <v>9</v>
      </c>
      <c r="J2449" s="38" t="str">
        <f>VLOOKUP(B2449,CAJEROS!B:E,4,0)</f>
        <v>LIBERTADOR1</v>
      </c>
      <c r="K2449" t="s">
        <v>450</v>
      </c>
    </row>
    <row r="2450" spans="1:11">
      <c r="A2450" s="32">
        <v>337</v>
      </c>
      <c r="B2450" s="33">
        <v>6253</v>
      </c>
      <c r="C2450" s="3">
        <v>90000</v>
      </c>
      <c r="D2450" s="3"/>
      <c r="E2450" s="7">
        <f t="shared" ref="E2450:E2513" si="75">+C2450-D2450</f>
        <v>90000</v>
      </c>
      <c r="F2450" s="5">
        <v>45895</v>
      </c>
      <c r="G2450" s="4">
        <v>20250825</v>
      </c>
      <c r="H2450" s="38" t="str">
        <f>VLOOKUP(B2450,CAJEROS!B:D,3,0)</f>
        <v>Multifuncional</v>
      </c>
      <c r="I2450" s="34" t="s">
        <v>454</v>
      </c>
      <c r="J2450" s="38" t="str">
        <f>VLOOKUP(B2450,CAJEROS!B:E,4,0)</f>
        <v>MF_CHIA</v>
      </c>
      <c r="K2450" t="s">
        <v>450</v>
      </c>
    </row>
    <row r="2451" spans="1:11">
      <c r="A2451" s="32">
        <v>523</v>
      </c>
      <c r="B2451" s="33">
        <v>5082</v>
      </c>
      <c r="C2451" s="3">
        <v>19000</v>
      </c>
      <c r="D2451" s="3"/>
      <c r="E2451" s="7">
        <f t="shared" si="75"/>
        <v>19000</v>
      </c>
      <c r="F2451" s="5">
        <v>45895</v>
      </c>
      <c r="G2451" s="4">
        <v>20250825</v>
      </c>
      <c r="H2451" s="38" t="str">
        <f>VLOOKUP(B2451,CAJEROS!B:D,3,0)</f>
        <v>Multifuncional</v>
      </c>
      <c r="I2451" s="34" t="s">
        <v>10</v>
      </c>
      <c r="J2451" s="38" t="str">
        <f>VLOOKUP(B2451,CAJEROS!B:E,4,0)</f>
        <v>MF_OVALLEDU</v>
      </c>
      <c r="K2451" t="s">
        <v>450</v>
      </c>
    </row>
    <row r="2452" spans="1:11">
      <c r="A2452" s="32">
        <v>141</v>
      </c>
      <c r="B2452" s="33">
        <v>1541</v>
      </c>
      <c r="C2452" s="3">
        <v>4900</v>
      </c>
      <c r="D2452" s="3"/>
      <c r="E2452" s="7">
        <f t="shared" si="75"/>
        <v>4900</v>
      </c>
      <c r="F2452" s="5">
        <v>45895</v>
      </c>
      <c r="G2452" s="4">
        <v>20250825</v>
      </c>
      <c r="H2452" s="38" t="str">
        <f>VLOOKUP(B2452,CAJEROS!B:D,3,0)</f>
        <v>Multifuncional</v>
      </c>
      <c r="I2452" s="34" t="s">
        <v>10</v>
      </c>
      <c r="J2452" s="38" t="str">
        <f>VLOOKUP(B2452,CAJEROS!B:E,4,0)</f>
        <v>MFSUCMERCA1</v>
      </c>
      <c r="K2452" t="s">
        <v>450</v>
      </c>
    </row>
    <row r="2453" spans="1:11">
      <c r="A2453" s="32">
        <v>516</v>
      </c>
      <c r="B2453" s="33">
        <v>9727</v>
      </c>
      <c r="C2453" s="3">
        <v>20000</v>
      </c>
      <c r="D2453" s="3"/>
      <c r="E2453" s="7">
        <f t="shared" si="75"/>
        <v>20000</v>
      </c>
      <c r="F2453" s="5">
        <v>45895</v>
      </c>
      <c r="G2453" s="4">
        <v>20250825</v>
      </c>
      <c r="H2453" s="38" t="str">
        <f>VLOOKUP(B2453,CAJEROS!B:D,3,0)</f>
        <v>Dispensador</v>
      </c>
      <c r="I2453" s="34" t="s">
        <v>10</v>
      </c>
      <c r="J2453" s="38" t="str">
        <f>VLOOKUP(B2453,CAJEROS!B:E,4,0)</f>
        <v>SUCSTAMART2</v>
      </c>
      <c r="K2453" t="s">
        <v>450</v>
      </c>
    </row>
    <row r="2454" spans="1:11">
      <c r="A2454" s="32">
        <v>541</v>
      </c>
      <c r="B2454" s="33">
        <v>8659</v>
      </c>
      <c r="C2454" s="3">
        <v>20000</v>
      </c>
      <c r="D2454" s="3"/>
      <c r="E2454" s="7">
        <f t="shared" si="75"/>
        <v>20000</v>
      </c>
      <c r="F2454" s="5">
        <v>45895</v>
      </c>
      <c r="G2454" s="4">
        <v>20250825</v>
      </c>
      <c r="H2454" s="38" t="str">
        <f>VLOOKUP(B2454,CAJEROS!B:D,3,0)</f>
        <v>Dispensador</v>
      </c>
      <c r="I2454" s="34" t="s">
        <v>10</v>
      </c>
      <c r="J2454" s="38" t="str">
        <f>VLOOKUP(B2454,CAJEROS!B:E,4,0)</f>
        <v>SUCCALDAS10</v>
      </c>
      <c r="K2454" t="s">
        <v>450</v>
      </c>
    </row>
    <row r="2455" spans="1:11">
      <c r="A2455" s="32">
        <v>178</v>
      </c>
      <c r="B2455" s="33">
        <v>6218</v>
      </c>
      <c r="C2455" s="3">
        <v>14700</v>
      </c>
      <c r="D2455" s="3"/>
      <c r="E2455" s="7">
        <f t="shared" si="75"/>
        <v>14700</v>
      </c>
      <c r="F2455" s="5">
        <v>45895</v>
      </c>
      <c r="G2455" s="4">
        <v>20250825</v>
      </c>
      <c r="H2455" s="38" t="str">
        <f>VLOOKUP(B2455,CAJEROS!B:D,3,0)</f>
        <v>Multifuncional</v>
      </c>
      <c r="I2455" s="34" t="s">
        <v>10</v>
      </c>
      <c r="J2455" s="38" t="str">
        <f>VLOOKUP(B2455,CAJEROS!B:E,4,0)</f>
        <v>MF_CFINANCI</v>
      </c>
      <c r="K2455" t="s">
        <v>450</v>
      </c>
    </row>
    <row r="2456" spans="1:11">
      <c r="A2456" s="32">
        <v>343</v>
      </c>
      <c r="B2456" s="33">
        <v>7955</v>
      </c>
      <c r="C2456" s="3">
        <v>20000</v>
      </c>
      <c r="D2456" s="3"/>
      <c r="E2456" s="7">
        <f t="shared" si="75"/>
        <v>20000</v>
      </c>
      <c r="F2456" s="5">
        <v>45895</v>
      </c>
      <c r="G2456" s="4">
        <v>20250825</v>
      </c>
      <c r="H2456" s="38" t="str">
        <f>VLOOKUP(B2456,CAJEROS!B:D,3,0)</f>
        <v>Dispensador</v>
      </c>
      <c r="I2456" s="34" t="s">
        <v>10</v>
      </c>
      <c r="J2456" s="38" t="str">
        <f>VLOOKUP(B2456,CAJEROS!B:E,4,0)</f>
        <v>SUCTABIO2</v>
      </c>
      <c r="K2456" t="s">
        <v>450</v>
      </c>
    </row>
    <row r="2457" spans="1:11">
      <c r="A2457" s="32">
        <v>186</v>
      </c>
      <c r="B2457" s="33">
        <v>6509</v>
      </c>
      <c r="C2457" s="3">
        <v>20000</v>
      </c>
      <c r="D2457" s="3"/>
      <c r="E2457" s="7">
        <f t="shared" si="75"/>
        <v>20000</v>
      </c>
      <c r="F2457" s="5">
        <v>45895</v>
      </c>
      <c r="G2457" s="4">
        <v>20250825</v>
      </c>
      <c r="H2457" s="38" t="str">
        <f>VLOOKUP(B2457,CAJEROS!B:D,3,0)</f>
        <v>Dispensador</v>
      </c>
      <c r="I2457" s="34" t="s">
        <v>10</v>
      </c>
      <c r="J2457" s="38" t="str">
        <f>VLOOKUP(B2457,CAJEROS!B:E,4,0)</f>
        <v>SUC_GALERI2</v>
      </c>
      <c r="K2457" t="s">
        <v>450</v>
      </c>
    </row>
    <row r="2458" spans="1:11">
      <c r="A2458" s="32">
        <v>733</v>
      </c>
      <c r="B2458" s="33">
        <v>5337</v>
      </c>
      <c r="C2458" s="3">
        <v>20000</v>
      </c>
      <c r="D2458" s="3"/>
      <c r="E2458" s="7">
        <f t="shared" si="75"/>
        <v>20000</v>
      </c>
      <c r="F2458" s="5">
        <v>45895</v>
      </c>
      <c r="G2458" s="4">
        <v>20250825</v>
      </c>
      <c r="H2458" s="38" t="str">
        <f>VLOOKUP(B2458,CAJEROS!B:D,3,0)</f>
        <v>Dispensador</v>
      </c>
      <c r="I2458" s="34" t="s">
        <v>10</v>
      </c>
      <c r="J2458" s="38" t="str">
        <f>VLOOKUP(B2458,CAJEROS!B:E,4,0)</f>
        <v>LAUNIONVAL1</v>
      </c>
      <c r="K2458" t="s">
        <v>450</v>
      </c>
    </row>
    <row r="2459" spans="1:11">
      <c r="A2459" s="32">
        <v>336</v>
      </c>
      <c r="B2459" s="33">
        <v>4149</v>
      </c>
      <c r="C2459" s="3">
        <v>20000</v>
      </c>
      <c r="D2459" s="3"/>
      <c r="E2459" s="7">
        <f t="shared" si="75"/>
        <v>20000</v>
      </c>
      <c r="F2459" s="5">
        <v>45895</v>
      </c>
      <c r="G2459" s="4">
        <v>20250825</v>
      </c>
      <c r="H2459" s="38" t="str">
        <f>VLOOKUP(B2459,CAJEROS!B:D,3,0)</f>
        <v>Dispensador</v>
      </c>
      <c r="I2459" s="34" t="s">
        <v>10</v>
      </c>
      <c r="J2459" s="38" t="str">
        <f>VLOOKUP(B2459,CAJEROS!B:E,4,0)</f>
        <v>SUC_SESQUI2</v>
      </c>
      <c r="K2459" t="s">
        <v>450</v>
      </c>
    </row>
    <row r="2460" spans="1:11">
      <c r="A2460" s="32">
        <v>799</v>
      </c>
      <c r="B2460" s="33">
        <v>8185</v>
      </c>
      <c r="C2460" s="3">
        <v>20000</v>
      </c>
      <c r="D2460" s="3"/>
      <c r="E2460" s="7">
        <f t="shared" si="75"/>
        <v>20000</v>
      </c>
      <c r="F2460" s="5">
        <v>45895</v>
      </c>
      <c r="G2460" s="4">
        <v>20250825</v>
      </c>
      <c r="H2460" s="38" t="str">
        <f>VLOOKUP(B2460,CAJEROS!B:D,3,0)</f>
        <v>Dispensador</v>
      </c>
      <c r="I2460" s="34" t="s">
        <v>10</v>
      </c>
      <c r="J2460" s="38" t="str">
        <f>VLOOKUP(B2460,CAJEROS!B:E,4,0)</f>
        <v>SUC_FLORBL2</v>
      </c>
      <c r="K2460" t="s">
        <v>450</v>
      </c>
    </row>
    <row r="2461" spans="1:11">
      <c r="A2461" s="32">
        <v>796</v>
      </c>
      <c r="B2461" s="33">
        <v>6911</v>
      </c>
      <c r="C2461" s="3">
        <v>11000</v>
      </c>
      <c r="D2461" s="3"/>
      <c r="E2461" s="7">
        <f t="shared" si="75"/>
        <v>11000</v>
      </c>
      <c r="F2461" s="5">
        <v>45895</v>
      </c>
      <c r="G2461" s="4">
        <v>20250825</v>
      </c>
      <c r="H2461" s="38" t="str">
        <f>VLOOKUP(B2461,CAJEROS!B:D,3,0)</f>
        <v>Multifuncional</v>
      </c>
      <c r="I2461" s="34" t="s">
        <v>10</v>
      </c>
      <c r="J2461" s="38" t="str">
        <f>VLOOKUP(B2461,CAJEROS!B:E,4,0)</f>
        <v>MF_GIRON</v>
      </c>
      <c r="K2461" t="s">
        <v>450</v>
      </c>
    </row>
    <row r="2462" spans="1:11">
      <c r="A2462" s="32">
        <v>70</v>
      </c>
      <c r="B2462" s="33">
        <v>4729</v>
      </c>
      <c r="C2462" s="3">
        <v>100000</v>
      </c>
      <c r="D2462" s="3"/>
      <c r="E2462" s="7">
        <f t="shared" si="75"/>
        <v>100000</v>
      </c>
      <c r="F2462" s="5">
        <v>45896</v>
      </c>
      <c r="G2462" s="4">
        <v>20250826</v>
      </c>
      <c r="H2462" s="38" t="str">
        <f>VLOOKUP(B2462,CAJEROS!B:D,3,0)</f>
        <v>Dispensador</v>
      </c>
      <c r="I2462" s="34"/>
      <c r="J2462" s="38" t="str">
        <f>VLOOKUP(B2462,CAJEROS!B:E,4,0)</f>
        <v>PPMANIZLES4</v>
      </c>
      <c r="K2462" t="s">
        <v>450</v>
      </c>
    </row>
    <row r="2463" spans="1:11">
      <c r="A2463" s="32">
        <v>60</v>
      </c>
      <c r="B2463" s="33">
        <v>8724</v>
      </c>
      <c r="C2463" s="3">
        <v>200000</v>
      </c>
      <c r="D2463" s="3"/>
      <c r="E2463" s="7">
        <f t="shared" si="75"/>
        <v>200000</v>
      </c>
      <c r="F2463" s="5">
        <v>45896</v>
      </c>
      <c r="G2463" s="4">
        <v>20250826</v>
      </c>
      <c r="H2463" s="38" t="str">
        <f>VLOOKUP(B2463,CAJEROS!B:D,3,0)</f>
        <v>Dispensador</v>
      </c>
      <c r="I2463" s="34" t="s">
        <v>9</v>
      </c>
      <c r="J2463" s="38" t="str">
        <f>VLOOKUP(B2463,CAJEROS!B:E,4,0)</f>
        <v>HALLCALIPR6</v>
      </c>
      <c r="K2463" t="s">
        <v>450</v>
      </c>
    </row>
    <row r="2464" spans="1:11">
      <c r="A2464" s="32">
        <v>163</v>
      </c>
      <c r="B2464" s="33">
        <v>4130</v>
      </c>
      <c r="C2464" s="3">
        <v>40000</v>
      </c>
      <c r="D2464" s="3">
        <v>20000</v>
      </c>
      <c r="E2464" s="7">
        <f t="shared" si="75"/>
        <v>20000</v>
      </c>
      <c r="F2464" s="5">
        <v>45896</v>
      </c>
      <c r="G2464" s="4">
        <v>20250826</v>
      </c>
      <c r="H2464" s="38" t="str">
        <f>VLOOKUP(B2464,CAJEROS!B:D,3,0)</f>
        <v>Dispensador</v>
      </c>
      <c r="I2464" s="34" t="s">
        <v>9</v>
      </c>
      <c r="J2464" s="38" t="str">
        <f>VLOOKUP(B2464,CAJEROS!B:E,4,0)</f>
        <v>SUC_PUERBE3</v>
      </c>
      <c r="K2464" t="s">
        <v>450</v>
      </c>
    </row>
    <row r="2465" spans="1:11">
      <c r="A2465" s="32">
        <v>195</v>
      </c>
      <c r="B2465" s="33">
        <v>1950</v>
      </c>
      <c r="C2465" s="3">
        <v>50000</v>
      </c>
      <c r="D2465" s="3"/>
      <c r="E2465" s="7">
        <f t="shared" si="75"/>
        <v>50000</v>
      </c>
      <c r="F2465" s="5">
        <v>45896</v>
      </c>
      <c r="G2465" s="4">
        <v>20250826</v>
      </c>
      <c r="H2465" s="38" t="str">
        <f>VLOOKUP(B2465,CAJEROS!B:D,3,0)</f>
        <v>Dispensador</v>
      </c>
      <c r="I2465" s="34" t="s">
        <v>9</v>
      </c>
      <c r="J2465" s="38" t="str">
        <f>VLOOKUP(B2465,CAJEROS!B:E,4,0)</f>
        <v>LAUNIONNARI</v>
      </c>
      <c r="K2465" t="s">
        <v>450</v>
      </c>
    </row>
    <row r="2466" spans="1:11">
      <c r="A2466" s="32">
        <v>250</v>
      </c>
      <c r="B2466" s="33">
        <v>5389</v>
      </c>
      <c r="C2466" s="3">
        <v>700000</v>
      </c>
      <c r="D2466" s="3"/>
      <c r="E2466" s="7">
        <f t="shared" si="75"/>
        <v>700000</v>
      </c>
      <c r="F2466" s="5">
        <v>45896</v>
      </c>
      <c r="G2466" s="4">
        <v>20250826</v>
      </c>
      <c r="H2466" s="38" t="str">
        <f>VLOOKUP(B2466,CAJEROS!B:D,3,0)</f>
        <v>Dispensador</v>
      </c>
      <c r="I2466" s="34" t="s">
        <v>9</v>
      </c>
      <c r="J2466" s="38" t="str">
        <f>VLOOKUP(B2466,CAJEROS!B:E,4,0)</f>
        <v>SUCMODE4</v>
      </c>
      <c r="K2466" t="s">
        <v>450</v>
      </c>
    </row>
    <row r="2467" spans="1:11">
      <c r="A2467" s="32">
        <v>291</v>
      </c>
      <c r="B2467" s="33">
        <v>8188</v>
      </c>
      <c r="C2467" s="3">
        <v>70000</v>
      </c>
      <c r="D2467" s="3"/>
      <c r="E2467" s="7">
        <f t="shared" si="75"/>
        <v>70000</v>
      </c>
      <c r="F2467" s="5">
        <v>45896</v>
      </c>
      <c r="G2467" s="4">
        <v>20250826</v>
      </c>
      <c r="H2467" s="38" t="str">
        <f>VLOOKUP(B2467,CAJEROS!B:D,3,0)</f>
        <v>Dispensador</v>
      </c>
      <c r="I2467" s="34" t="s">
        <v>9</v>
      </c>
      <c r="J2467" s="38" t="str">
        <f>VLOOKUP(B2467,CAJEROS!B:E,4,0)</f>
        <v>SUCPALMAS3</v>
      </c>
      <c r="K2467" t="s">
        <v>450</v>
      </c>
    </row>
    <row r="2468" spans="1:11">
      <c r="A2468" s="32">
        <v>360</v>
      </c>
      <c r="B2468" s="33">
        <v>2856</v>
      </c>
      <c r="C2468" s="3">
        <v>100000</v>
      </c>
      <c r="D2468" s="3"/>
      <c r="E2468" s="7">
        <f t="shared" si="75"/>
        <v>100000</v>
      </c>
      <c r="F2468" s="5">
        <v>45896</v>
      </c>
      <c r="G2468" s="4">
        <v>20250826</v>
      </c>
      <c r="H2468" s="38" t="str">
        <f>VLOOKUP(B2468,CAJEROS!B:D,3,0)</f>
        <v>Dispensador</v>
      </c>
      <c r="I2468" s="34" t="s">
        <v>9</v>
      </c>
      <c r="J2468" s="38" t="str">
        <f>VLOOKUP(B2468,CAJEROS!B:E,4,0)</f>
        <v>_ESTADIO_2_</v>
      </c>
      <c r="K2468" t="s">
        <v>450</v>
      </c>
    </row>
    <row r="2469" spans="1:11">
      <c r="A2469" s="32">
        <v>516</v>
      </c>
      <c r="B2469" s="33">
        <v>9728</v>
      </c>
      <c r="C2469" s="3">
        <v>720000</v>
      </c>
      <c r="D2469" s="3">
        <v>250000</v>
      </c>
      <c r="E2469" s="7">
        <f t="shared" si="75"/>
        <v>470000</v>
      </c>
      <c r="F2469" s="5">
        <v>45896</v>
      </c>
      <c r="G2469" s="4">
        <v>20250826</v>
      </c>
      <c r="H2469" s="38" t="str">
        <f>VLOOKUP(B2469,CAJEROS!B:D,3,0)</f>
        <v>Dispensador</v>
      </c>
      <c r="I2469" s="34" t="s">
        <v>9</v>
      </c>
      <c r="J2469" s="38" t="str">
        <f>VLOOKUP(B2469,CAJEROS!B:E,4,0)</f>
        <v>SUCSTAMART3</v>
      </c>
      <c r="K2469" t="s">
        <v>450</v>
      </c>
    </row>
    <row r="2470" spans="1:11">
      <c r="A2470" s="32">
        <v>591</v>
      </c>
      <c r="B2470" s="33">
        <v>7833</v>
      </c>
      <c r="C2470" s="3">
        <v>2100000</v>
      </c>
      <c r="D2470" s="3">
        <f>20000+20000+1000000</f>
        <v>1040000</v>
      </c>
      <c r="E2470" s="7">
        <f t="shared" si="75"/>
        <v>1060000</v>
      </c>
      <c r="F2470" s="5">
        <v>45896</v>
      </c>
      <c r="G2470" s="4">
        <v>20250826</v>
      </c>
      <c r="H2470" s="38" t="str">
        <f>VLOOKUP(B2470,CAJEROS!B:D,3,0)</f>
        <v>Dispensador</v>
      </c>
      <c r="I2470" s="34" t="s">
        <v>9</v>
      </c>
      <c r="J2470" s="38" t="str">
        <f>VLOOKUP(B2470,CAJEROS!B:E,4,0)</f>
        <v>SAMACA_1</v>
      </c>
      <c r="K2470" t="s">
        <v>450</v>
      </c>
    </row>
    <row r="2471" spans="1:11">
      <c r="A2471" s="32">
        <v>517</v>
      </c>
      <c r="B2471" s="33">
        <v>5053</v>
      </c>
      <c r="C2471" s="3">
        <v>3240000</v>
      </c>
      <c r="D2471" s="3"/>
      <c r="E2471" s="7">
        <f t="shared" si="75"/>
        <v>3240000</v>
      </c>
      <c r="F2471" s="5">
        <v>45896</v>
      </c>
      <c r="G2471" s="4">
        <v>20250826</v>
      </c>
      <c r="H2471" s="38" t="str">
        <f>VLOOKUP(B2471,CAJEROS!B:D,3,0)</f>
        <v>Multifuncional</v>
      </c>
      <c r="I2471" s="34"/>
      <c r="J2471" s="38" t="str">
        <f>VLOOKUP(B2471,CAJEROS!B:E,4,0)</f>
        <v>MF_RODADERO</v>
      </c>
      <c r="K2471" t="s">
        <v>450</v>
      </c>
    </row>
    <row r="2472" spans="1:11">
      <c r="A2472" s="32">
        <v>333</v>
      </c>
      <c r="B2472" s="33">
        <v>5076</v>
      </c>
      <c r="C2472" s="3">
        <v>10087000</v>
      </c>
      <c r="D2472" s="3"/>
      <c r="E2472" s="7">
        <f t="shared" si="75"/>
        <v>10087000</v>
      </c>
      <c r="F2472" s="5">
        <v>45896</v>
      </c>
      <c r="G2472" s="4">
        <v>20250826</v>
      </c>
      <c r="H2472" s="38" t="str">
        <f>VLOOKUP(B2472,CAJEROS!B:D,3,0)</f>
        <v>Multifuncional</v>
      </c>
      <c r="I2472" s="34"/>
      <c r="J2472" s="38" t="str">
        <f>VLOOKUP(B2472,CAJEROS!B:E,4,0)</f>
        <v>MF_AVESMARI</v>
      </c>
      <c r="K2472" t="s">
        <v>450</v>
      </c>
    </row>
    <row r="2473" spans="1:11">
      <c r="A2473" s="32">
        <v>265</v>
      </c>
      <c r="B2473" s="33">
        <v>5083</v>
      </c>
      <c r="C2473" s="3">
        <v>56000</v>
      </c>
      <c r="D2473" s="3"/>
      <c r="E2473" s="7">
        <f t="shared" si="75"/>
        <v>56000</v>
      </c>
      <c r="F2473" s="5">
        <v>45896</v>
      </c>
      <c r="G2473" s="4">
        <v>20250826</v>
      </c>
      <c r="H2473" s="38" t="str">
        <f>VLOOKUP(B2473,CAJEROS!B:D,3,0)</f>
        <v>Multifuncional</v>
      </c>
      <c r="I2473" s="34"/>
      <c r="J2473" s="38" t="str">
        <f>VLOOKUP(B2473,CAJEROS!B:E,4,0)</f>
        <v>MF_VALLELIL</v>
      </c>
      <c r="K2473" t="s">
        <v>450</v>
      </c>
    </row>
    <row r="2474" spans="1:11">
      <c r="A2474" s="32">
        <v>197</v>
      </c>
      <c r="B2474" s="33">
        <v>5084</v>
      </c>
      <c r="C2474" s="3">
        <v>48755000</v>
      </c>
      <c r="D2474" s="3"/>
      <c r="E2474" s="7">
        <f t="shared" si="75"/>
        <v>48755000</v>
      </c>
      <c r="F2474" s="5">
        <v>45896</v>
      </c>
      <c r="G2474" s="4">
        <v>20250825</v>
      </c>
      <c r="H2474" s="38" t="str">
        <f>VLOOKUP(B2474,CAJEROS!B:D,3,0)</f>
        <v>Multifuncional</v>
      </c>
      <c r="I2474" s="34"/>
      <c r="J2474" s="38" t="str">
        <f>VLOOKUP(B2474,CAJEROS!B:E,4,0)</f>
        <v>MF_GUATAPUR</v>
      </c>
      <c r="K2474" t="s">
        <v>450</v>
      </c>
    </row>
    <row r="2475" spans="1:11">
      <c r="A2475" s="32">
        <v>76</v>
      </c>
      <c r="B2475" s="33">
        <v>5126</v>
      </c>
      <c r="C2475" s="3">
        <v>10050000</v>
      </c>
      <c r="D2475" s="3">
        <f>1450000+50000</f>
        <v>1500000</v>
      </c>
      <c r="E2475" s="7">
        <f t="shared" si="75"/>
        <v>8550000</v>
      </c>
      <c r="F2475" s="5">
        <v>45896</v>
      </c>
      <c r="G2475" s="4">
        <v>20250826</v>
      </c>
      <c r="H2475" s="38" t="str">
        <f>VLOOKUP(B2475,CAJEROS!B:D,3,0)</f>
        <v>Multifuncional</v>
      </c>
      <c r="I2475" s="34"/>
      <c r="J2475" s="38" t="str">
        <f>VLOOKUP(B2475,CAJEROS!B:E,4,0)</f>
        <v>MF_NEIVA</v>
      </c>
      <c r="K2475" t="s">
        <v>450</v>
      </c>
    </row>
    <row r="2476" spans="1:11">
      <c r="A2476" s="32">
        <v>16</v>
      </c>
      <c r="B2476" s="33">
        <v>5219</v>
      </c>
      <c r="C2476" s="3">
        <v>1356000</v>
      </c>
      <c r="D2476" s="3"/>
      <c r="E2476" s="7">
        <f t="shared" si="75"/>
        <v>1356000</v>
      </c>
      <c r="F2476" s="5">
        <v>45896</v>
      </c>
      <c r="G2476" s="4">
        <v>20250826</v>
      </c>
      <c r="H2476" s="38" t="str">
        <f>VLOOKUP(B2476,CAJEROS!B:D,3,0)</f>
        <v>Multifuncional</v>
      </c>
      <c r="I2476" s="34"/>
      <c r="J2476" s="38" t="str">
        <f>VLOOKUP(B2476,CAJEROS!B:E,4,0)</f>
        <v>MF_AEOLAYA</v>
      </c>
      <c r="K2476" t="s">
        <v>450</v>
      </c>
    </row>
    <row r="2477" spans="1:11">
      <c r="A2477" s="32">
        <v>123</v>
      </c>
      <c r="B2477" s="33">
        <v>7134</v>
      </c>
      <c r="C2477" s="3">
        <v>12758000</v>
      </c>
      <c r="D2477" s="3">
        <v>614050</v>
      </c>
      <c r="E2477" s="7">
        <f t="shared" si="75"/>
        <v>12143950</v>
      </c>
      <c r="F2477" s="5">
        <v>45896</v>
      </c>
      <c r="G2477" s="4">
        <v>20250826</v>
      </c>
      <c r="H2477" s="38" t="str">
        <f>VLOOKUP(B2477,CAJEROS!B:D,3,0)</f>
        <v>Multifuncional</v>
      </c>
      <c r="I2477" s="34"/>
      <c r="J2477" s="38" t="str">
        <f>VLOOKUP(B2477,CAJEROS!B:E,4,0)</f>
        <v>MF_CPRIONE2</v>
      </c>
      <c r="K2477" t="s">
        <v>450</v>
      </c>
    </row>
    <row r="2478" spans="1:11">
      <c r="A2478" s="32">
        <v>944</v>
      </c>
      <c r="B2478" s="33">
        <v>8354</v>
      </c>
      <c r="C2478" s="3">
        <v>95000</v>
      </c>
      <c r="D2478" s="3"/>
      <c r="E2478" s="7">
        <f t="shared" si="75"/>
        <v>95000</v>
      </c>
      <c r="F2478" s="5">
        <v>45896</v>
      </c>
      <c r="G2478" s="4">
        <v>20250826</v>
      </c>
      <c r="H2478" s="38" t="str">
        <f>VLOOKUP(B2478,CAJEROS!B:D,3,0)</f>
        <v>Multifuncional</v>
      </c>
      <c r="I2478" s="34"/>
      <c r="J2478" s="38" t="str">
        <f>VLOOKUP(B2478,CAJEROS!B:E,4,0)</f>
        <v>MF_SANTABO2</v>
      </c>
      <c r="K2478" t="s">
        <v>450</v>
      </c>
    </row>
    <row r="2479" spans="1:11">
      <c r="A2479" s="32">
        <v>769</v>
      </c>
      <c r="B2479" s="33">
        <v>8679</v>
      </c>
      <c r="C2479" s="3">
        <v>1670100</v>
      </c>
      <c r="D2479" s="3">
        <v>624650</v>
      </c>
      <c r="E2479" s="7">
        <f t="shared" si="75"/>
        <v>1045450</v>
      </c>
      <c r="F2479" s="5">
        <v>45896</v>
      </c>
      <c r="G2479" s="4">
        <v>20250826</v>
      </c>
      <c r="H2479" s="38" t="str">
        <f>VLOOKUP(B2479,CAJEROS!B:D,3,0)</f>
        <v>Multifuncional</v>
      </c>
      <c r="I2479" s="34"/>
      <c r="J2479" s="38" t="str">
        <f>VLOOKUP(B2479,CAJEROS!B:E,4,0)</f>
        <v>MF_SUCPPRA1</v>
      </c>
      <c r="K2479" t="s">
        <v>450</v>
      </c>
    </row>
    <row r="2480" spans="1:11">
      <c r="A2480" s="32">
        <v>890</v>
      </c>
      <c r="B2480" s="33">
        <v>9584</v>
      </c>
      <c r="C2480" s="3">
        <v>5100000</v>
      </c>
      <c r="D2480" s="3"/>
      <c r="E2480" s="7">
        <f t="shared" si="75"/>
        <v>5100000</v>
      </c>
      <c r="F2480" s="5">
        <v>45896</v>
      </c>
      <c r="G2480" s="4">
        <v>20250826</v>
      </c>
      <c r="H2480" s="38" t="str">
        <f>VLOOKUP(B2480,CAJEROS!B:D,3,0)</f>
        <v>Multifuncional</v>
      </c>
      <c r="I2480" s="34"/>
      <c r="J2480" s="38" t="str">
        <f>VLOOKUP(B2480,CAJEROS!B:E,4,0)</f>
        <v>MFSUCACACI1</v>
      </c>
      <c r="K2480" t="s">
        <v>450</v>
      </c>
    </row>
    <row r="2481" spans="1:11">
      <c r="A2481" s="32">
        <v>229</v>
      </c>
      <c r="B2481" s="33">
        <v>9604</v>
      </c>
      <c r="C2481" s="3">
        <v>3890000</v>
      </c>
      <c r="D2481" s="3"/>
      <c r="E2481" s="7">
        <f t="shared" si="75"/>
        <v>3890000</v>
      </c>
      <c r="F2481" s="5">
        <v>45896</v>
      </c>
      <c r="G2481" s="4">
        <v>20250826</v>
      </c>
      <c r="H2481" s="38" t="str">
        <f>VLOOKUP(B2481,CAJEROS!B:D,3,0)</f>
        <v>Multifuncional</v>
      </c>
      <c r="I2481" s="34"/>
      <c r="J2481" s="38" t="str">
        <f>VLOOKUP(B2481,CAJEROS!B:E,4,0)</f>
        <v>MFSUCPASER1</v>
      </c>
      <c r="K2481" t="s">
        <v>450</v>
      </c>
    </row>
    <row r="2482" spans="1:11">
      <c r="A2482" s="32">
        <v>795</v>
      </c>
      <c r="B2482" s="33">
        <v>1027</v>
      </c>
      <c r="C2482" s="3">
        <v>200950</v>
      </c>
      <c r="D2482" s="3">
        <v>200000</v>
      </c>
      <c r="E2482" s="7">
        <f t="shared" si="75"/>
        <v>950</v>
      </c>
      <c r="F2482" s="5">
        <v>45896</v>
      </c>
      <c r="G2482" s="4">
        <v>20250826</v>
      </c>
      <c r="H2482" s="38" t="str">
        <f>VLOOKUP(B2482,CAJEROS!B:D,3,0)</f>
        <v>Multifuncional</v>
      </c>
      <c r="I2482" s="34" t="s">
        <v>9</v>
      </c>
      <c r="J2482" s="38" t="str">
        <f>VLOOKUP(B2482,CAJEROS!B:E,4,0)</f>
        <v>MFSUCANVER1</v>
      </c>
      <c r="K2482" t="s">
        <v>450</v>
      </c>
    </row>
    <row r="2483" spans="1:11">
      <c r="A2483" s="32">
        <v>395</v>
      </c>
      <c r="B2483" s="33">
        <v>1528</v>
      </c>
      <c r="C2483" s="3">
        <v>2040000</v>
      </c>
      <c r="D2483" s="3">
        <f>530000+118000+575000</f>
        <v>1223000</v>
      </c>
      <c r="E2483" s="7">
        <f t="shared" si="75"/>
        <v>817000</v>
      </c>
      <c r="F2483" s="5">
        <v>45896</v>
      </c>
      <c r="G2483" s="4">
        <v>20250826</v>
      </c>
      <c r="H2483" s="38" t="str">
        <f>VLOOKUP(B2483,CAJEROS!B:D,3,0)</f>
        <v>Multifuncional</v>
      </c>
      <c r="I2483" s="34" t="s">
        <v>9</v>
      </c>
      <c r="J2483" s="38" t="str">
        <f>VLOOKUP(B2483,CAJEROS!B:E,4,0)</f>
        <v>SUCMFVIVCI1</v>
      </c>
      <c r="K2483" t="s">
        <v>450</v>
      </c>
    </row>
    <row r="2484" spans="1:11">
      <c r="A2484" s="32">
        <v>523</v>
      </c>
      <c r="B2484" s="33">
        <v>5082</v>
      </c>
      <c r="C2484" s="3">
        <v>335000</v>
      </c>
      <c r="D2484" s="3">
        <f>75000+80000</f>
        <v>155000</v>
      </c>
      <c r="E2484" s="7">
        <f t="shared" si="75"/>
        <v>180000</v>
      </c>
      <c r="F2484" s="5">
        <v>45896</v>
      </c>
      <c r="G2484" s="4">
        <v>20250826</v>
      </c>
      <c r="H2484" s="38" t="str">
        <f>VLOOKUP(B2484,CAJEROS!B:D,3,0)</f>
        <v>Multifuncional</v>
      </c>
      <c r="I2484" s="34" t="s">
        <v>9</v>
      </c>
      <c r="J2484" s="38" t="str">
        <f>VLOOKUP(B2484,CAJEROS!B:E,4,0)</f>
        <v>MF_OVALLEDU</v>
      </c>
      <c r="K2484" t="s">
        <v>450</v>
      </c>
    </row>
    <row r="2485" spans="1:11">
      <c r="A2485" s="32">
        <v>366</v>
      </c>
      <c r="B2485" s="33">
        <v>5132</v>
      </c>
      <c r="C2485" s="3">
        <v>590000</v>
      </c>
      <c r="D2485" s="3">
        <v>541000</v>
      </c>
      <c r="E2485" s="7">
        <f t="shared" si="75"/>
        <v>49000</v>
      </c>
      <c r="F2485" s="5">
        <v>45896</v>
      </c>
      <c r="G2485" s="4">
        <v>20250826</v>
      </c>
      <c r="H2485" s="38" t="str">
        <f>VLOOKUP(B2485,CAJEROS!B:D,3,0)</f>
        <v>Multifuncional</v>
      </c>
      <c r="I2485" s="34" t="s">
        <v>9</v>
      </c>
      <c r="J2485" s="38" t="str">
        <f>VLOOKUP(B2485,CAJEROS!B:E,4,0)</f>
        <v>MF_TERMTPTE</v>
      </c>
      <c r="K2485" t="s">
        <v>450</v>
      </c>
    </row>
    <row r="2486" spans="1:11">
      <c r="A2486" s="32">
        <v>358</v>
      </c>
      <c r="B2486" s="33">
        <v>5149</v>
      </c>
      <c r="C2486" s="3">
        <v>1700000</v>
      </c>
      <c r="D2486" s="3"/>
      <c r="E2486" s="7">
        <f t="shared" si="75"/>
        <v>1700000</v>
      </c>
      <c r="F2486" s="5">
        <v>45896</v>
      </c>
      <c r="G2486" s="4">
        <v>20250826</v>
      </c>
      <c r="H2486" s="38" t="str">
        <f>VLOOKUP(B2486,CAJEROS!B:D,3,0)</f>
        <v>Multifuncional</v>
      </c>
      <c r="I2486" s="34" t="s">
        <v>9</v>
      </c>
      <c r="J2486" s="38" t="str">
        <f>VLOOKUP(B2486,CAJEROS!B:E,4,0)</f>
        <v>MF_SOGAMOSO</v>
      </c>
      <c r="K2486" t="s">
        <v>450</v>
      </c>
    </row>
    <row r="2487" spans="1:11">
      <c r="A2487" s="32">
        <v>258</v>
      </c>
      <c r="B2487" s="33">
        <v>5155</v>
      </c>
      <c r="C2487" s="3">
        <v>1910000</v>
      </c>
      <c r="D2487" s="3">
        <f>640000+600000+410950</f>
        <v>1650950</v>
      </c>
      <c r="E2487" s="7">
        <f t="shared" si="75"/>
        <v>259050</v>
      </c>
      <c r="F2487" s="5">
        <v>45896</v>
      </c>
      <c r="G2487" s="4">
        <v>20250826</v>
      </c>
      <c r="H2487" s="38" t="str">
        <f>VLOOKUP(B2487,CAJEROS!B:D,3,0)</f>
        <v>Multifuncional</v>
      </c>
      <c r="I2487" s="34" t="s">
        <v>9</v>
      </c>
      <c r="J2487" s="38" t="str">
        <f>VLOOKUP(B2487,CAJEROS!B:E,4,0)</f>
        <v>MF_TUNJA</v>
      </c>
      <c r="K2487" t="s">
        <v>450</v>
      </c>
    </row>
    <row r="2488" spans="1:11">
      <c r="A2488" s="32">
        <v>388</v>
      </c>
      <c r="B2488" s="33">
        <v>5169</v>
      </c>
      <c r="C2488" s="3">
        <v>2470700</v>
      </c>
      <c r="D2488" s="3">
        <v>2230000</v>
      </c>
      <c r="E2488" s="7">
        <f t="shared" si="75"/>
        <v>240700</v>
      </c>
      <c r="F2488" s="5">
        <v>45896</v>
      </c>
      <c r="G2488" s="4">
        <v>20250826</v>
      </c>
      <c r="H2488" s="38" t="str">
        <f>VLOOKUP(B2488,CAJEROS!B:D,3,0)</f>
        <v>Multifuncional</v>
      </c>
      <c r="I2488" s="34" t="s">
        <v>9</v>
      </c>
      <c r="J2488" s="38" t="str">
        <f>VLOOKUP(B2488,CAJEROS!B:E,4,0)</f>
        <v>MF_SUCHAYU1</v>
      </c>
      <c r="K2488" t="s">
        <v>450</v>
      </c>
    </row>
    <row r="2489" spans="1:11">
      <c r="A2489" s="32">
        <v>816</v>
      </c>
      <c r="B2489" s="33">
        <v>5205</v>
      </c>
      <c r="C2489" s="3">
        <v>100000</v>
      </c>
      <c r="D2489" s="3">
        <v>94600</v>
      </c>
      <c r="E2489" s="7">
        <f t="shared" si="75"/>
        <v>5400</v>
      </c>
      <c r="F2489" s="5">
        <v>45896</v>
      </c>
      <c r="G2489" s="4">
        <v>20250826</v>
      </c>
      <c r="H2489" s="38" t="str">
        <f>VLOOKUP(B2489,CAJEROS!B:D,3,0)</f>
        <v>Multifuncional</v>
      </c>
      <c r="I2489" s="34" t="s">
        <v>9</v>
      </c>
      <c r="J2489" s="38" t="str">
        <f>VLOOKUP(B2489,CAJEROS!B:E,4,0)</f>
        <v>MF_SUCLLE10</v>
      </c>
      <c r="K2489" t="s">
        <v>450</v>
      </c>
    </row>
    <row r="2490" spans="1:11">
      <c r="A2490" s="32">
        <v>454</v>
      </c>
      <c r="B2490" s="33">
        <v>5231</v>
      </c>
      <c r="C2490" s="3">
        <v>2550000</v>
      </c>
      <c r="D2490" s="3">
        <v>1450000</v>
      </c>
      <c r="E2490" s="7">
        <f t="shared" si="75"/>
        <v>1100000</v>
      </c>
      <c r="F2490" s="5">
        <v>45896</v>
      </c>
      <c r="G2490" s="4">
        <v>20250826</v>
      </c>
      <c r="H2490" s="38" t="str">
        <f>VLOOKUP(B2490,CAJEROS!B:D,3,0)</f>
        <v>Multifuncional</v>
      </c>
      <c r="I2490" s="34" t="s">
        <v>9</v>
      </c>
      <c r="J2490" s="38" t="str">
        <f>VLOOKUP(B2490,CAJEROS!B:E,4,0)</f>
        <v>MF_5TAVENID</v>
      </c>
      <c r="K2490" t="s">
        <v>450</v>
      </c>
    </row>
    <row r="2491" spans="1:11">
      <c r="A2491" s="32">
        <v>625</v>
      </c>
      <c r="B2491" s="33">
        <v>6096</v>
      </c>
      <c r="C2491" s="3">
        <v>570000</v>
      </c>
      <c r="D2491" s="3">
        <f>500000+30000</f>
        <v>530000</v>
      </c>
      <c r="E2491" s="7">
        <f t="shared" si="75"/>
        <v>40000</v>
      </c>
      <c r="F2491" s="5">
        <v>45896</v>
      </c>
      <c r="G2491" s="4">
        <v>20250826</v>
      </c>
      <c r="H2491" s="38" t="str">
        <f>VLOOKUP(B2491,CAJEROS!B:D,3,0)</f>
        <v>Multifuncional</v>
      </c>
      <c r="I2491" s="34" t="s">
        <v>9</v>
      </c>
      <c r="J2491" s="38" t="str">
        <f>VLOOKUP(B2491,CAJEROS!B:E,4,0)</f>
        <v>MF_BTRISTE</v>
      </c>
      <c r="K2491" t="s">
        <v>450</v>
      </c>
    </row>
    <row r="2492" spans="1:11">
      <c r="A2492" s="32">
        <v>79</v>
      </c>
      <c r="B2492" s="33">
        <v>6245</v>
      </c>
      <c r="C2492" s="3">
        <v>410000</v>
      </c>
      <c r="D2492" s="3">
        <v>120000</v>
      </c>
      <c r="E2492" s="7">
        <f t="shared" si="75"/>
        <v>290000</v>
      </c>
      <c r="F2492" s="5">
        <v>45896</v>
      </c>
      <c r="G2492" s="4">
        <v>20250826</v>
      </c>
      <c r="H2492" s="38" t="str">
        <f>VLOOKUP(B2492,CAJEROS!B:D,3,0)</f>
        <v>Multifuncional</v>
      </c>
      <c r="I2492" s="34" t="s">
        <v>9</v>
      </c>
      <c r="J2492" s="38" t="str">
        <f>VLOOKUP(B2492,CAJEROS!B:E,4,0)</f>
        <v>MF_LAQUINTA</v>
      </c>
      <c r="K2492" t="s">
        <v>450</v>
      </c>
    </row>
    <row r="2493" spans="1:11">
      <c r="A2493" s="32">
        <v>843</v>
      </c>
      <c r="B2493" s="33">
        <v>6716</v>
      </c>
      <c r="C2493" s="3">
        <v>2960000</v>
      </c>
      <c r="D2493" s="3"/>
      <c r="E2493" s="7">
        <f t="shared" si="75"/>
        <v>2960000</v>
      </c>
      <c r="F2493" s="5">
        <v>45896</v>
      </c>
      <c r="G2493" s="4">
        <v>20250826</v>
      </c>
      <c r="H2493" s="38" t="str">
        <f>VLOOKUP(B2493,CAJEROS!B:D,3,0)</f>
        <v>Multifuncional</v>
      </c>
      <c r="I2493" s="34" t="s">
        <v>9</v>
      </c>
      <c r="J2493" s="38" t="str">
        <f>VLOOKUP(B2493,CAJEROS!B:E,4,0)</f>
        <v>MF_CPBUENAV</v>
      </c>
      <c r="K2493" t="s">
        <v>450</v>
      </c>
    </row>
    <row r="2494" spans="1:11">
      <c r="A2494" s="32">
        <v>93</v>
      </c>
      <c r="B2494" s="33">
        <v>7126</v>
      </c>
      <c r="C2494" s="3">
        <v>1537000</v>
      </c>
      <c r="D2494" s="3"/>
      <c r="E2494" s="7">
        <f t="shared" si="75"/>
        <v>1537000</v>
      </c>
      <c r="F2494" s="5">
        <v>45896</v>
      </c>
      <c r="G2494" s="4">
        <v>20250826</v>
      </c>
      <c r="H2494" s="38" t="str">
        <f>VLOOKUP(B2494,CAJEROS!B:D,3,0)</f>
        <v>Multifuncional</v>
      </c>
      <c r="I2494" s="34" t="s">
        <v>9</v>
      </c>
      <c r="J2494" s="38" t="str">
        <f>VLOOKUP(B2494,CAJEROS!B:E,4,0)</f>
        <v>MF_SAHAGUN</v>
      </c>
      <c r="K2494" t="s">
        <v>450</v>
      </c>
    </row>
    <row r="2495" spans="1:11">
      <c r="A2495" s="32">
        <v>318</v>
      </c>
      <c r="B2495" s="33">
        <v>7680</v>
      </c>
      <c r="C2495" s="3">
        <v>1372000</v>
      </c>
      <c r="D2495" s="3"/>
      <c r="E2495" s="7">
        <f t="shared" si="75"/>
        <v>1372000</v>
      </c>
      <c r="F2495" s="5">
        <v>45896</v>
      </c>
      <c r="G2495" s="4">
        <v>20250826</v>
      </c>
      <c r="H2495" s="38" t="str">
        <f>VLOOKUP(B2495,CAJEROS!B:D,3,0)</f>
        <v>Multifuncional</v>
      </c>
      <c r="I2495" s="34" t="s">
        <v>9</v>
      </c>
      <c r="J2495" s="38" t="str">
        <f>VLOOKUP(B2495,CAJEROS!B:E,4,0)</f>
        <v>MF_OCANA2</v>
      </c>
      <c r="K2495" t="s">
        <v>450</v>
      </c>
    </row>
    <row r="2496" spans="1:11">
      <c r="A2496" s="32">
        <v>15</v>
      </c>
      <c r="B2496" s="33">
        <v>8578</v>
      </c>
      <c r="C2496" s="3">
        <v>1190000</v>
      </c>
      <c r="D2496" s="3"/>
      <c r="E2496" s="7">
        <f t="shared" si="75"/>
        <v>1190000</v>
      </c>
      <c r="F2496" s="5">
        <v>45896</v>
      </c>
      <c r="G2496" s="4">
        <v>20250826</v>
      </c>
      <c r="H2496" s="38" t="str">
        <f>VLOOKUP(B2496,CAJEROS!B:D,3,0)</f>
        <v>Multifuncional</v>
      </c>
      <c r="I2496" s="34" t="s">
        <v>9</v>
      </c>
      <c r="J2496" s="38" t="str">
        <f>VLOOKUP(B2496,CAJEROS!B:E,4,0)</f>
        <v>MF_HITAGUI3</v>
      </c>
      <c r="K2496" t="s">
        <v>450</v>
      </c>
    </row>
    <row r="2497" spans="1:11">
      <c r="A2497" s="32">
        <v>457</v>
      </c>
      <c r="B2497" s="33">
        <v>9004</v>
      </c>
      <c r="C2497" s="3">
        <v>1290000</v>
      </c>
      <c r="D2497" s="3"/>
      <c r="E2497" s="7">
        <f t="shared" si="75"/>
        <v>1290000</v>
      </c>
      <c r="F2497" s="5">
        <v>45896</v>
      </c>
      <c r="G2497" s="4">
        <v>20250826</v>
      </c>
      <c r="H2497" s="38" t="str">
        <f>VLOOKUP(B2497,CAJEROS!B:D,3,0)</f>
        <v>Multifuncional</v>
      </c>
      <c r="I2497" s="34" t="s">
        <v>9</v>
      </c>
      <c r="J2497" s="38" t="str">
        <f>VLOOKUP(B2497,CAJEROS!B:E,4,0)</f>
        <v>MF_SSANPED1</v>
      </c>
      <c r="K2497" t="s">
        <v>450</v>
      </c>
    </row>
    <row r="2498" spans="1:11">
      <c r="A2498" s="32">
        <v>482</v>
      </c>
      <c r="B2498" s="33">
        <v>8620</v>
      </c>
      <c r="C2498" s="3">
        <v>20000</v>
      </c>
      <c r="D2498" s="3"/>
      <c r="E2498" s="7">
        <f t="shared" si="75"/>
        <v>20000</v>
      </c>
      <c r="F2498" s="5">
        <v>45896</v>
      </c>
      <c r="G2498" s="4">
        <v>20250826</v>
      </c>
      <c r="H2498" s="38" t="str">
        <f>VLOOKUP(B2498,CAJEROS!B:D,3,0)</f>
        <v>Dispensador</v>
      </c>
      <c r="I2498" s="34" t="s">
        <v>10</v>
      </c>
      <c r="J2498" s="38" t="str">
        <f>VLOOKUP(B2498,CAJEROS!B:E,4,0)</f>
        <v>SUC_CIENAG1</v>
      </c>
      <c r="K2498" t="s">
        <v>450</v>
      </c>
    </row>
    <row r="2499" spans="1:11">
      <c r="A2499" s="32">
        <v>332</v>
      </c>
      <c r="B2499" s="33">
        <v>7569</v>
      </c>
      <c r="C2499" s="3">
        <v>20000</v>
      </c>
      <c r="D2499" s="3"/>
      <c r="E2499" s="7">
        <f t="shared" si="75"/>
        <v>20000</v>
      </c>
      <c r="F2499" s="5">
        <v>45896</v>
      </c>
      <c r="G2499" s="4">
        <v>20250826</v>
      </c>
      <c r="H2499" s="38" t="str">
        <f>VLOOKUP(B2499,CAJEROS!B:D,3,0)</f>
        <v>Multifuncional</v>
      </c>
      <c r="I2499" s="34" t="s">
        <v>10</v>
      </c>
      <c r="J2499" s="38" t="str">
        <f>VLOOKUP(B2499,CAJEROS!B:E,4,0)</f>
        <v>MF_ZIPAQUI2</v>
      </c>
      <c r="K2499" t="s">
        <v>450</v>
      </c>
    </row>
    <row r="2500" spans="1:11">
      <c r="A2500" s="32">
        <v>359</v>
      </c>
      <c r="B2500" s="33">
        <v>4650</v>
      </c>
      <c r="C2500" s="3">
        <v>900000</v>
      </c>
      <c r="D2500" s="3"/>
      <c r="E2500" s="7">
        <f t="shared" si="75"/>
        <v>900000</v>
      </c>
      <c r="F2500" s="5">
        <v>45897</v>
      </c>
      <c r="G2500" s="4">
        <v>20250827</v>
      </c>
      <c r="H2500" s="38" t="str">
        <f>VLOOKUP(B2500,CAJEROS!B:D,3,0)</f>
        <v>Dispensador</v>
      </c>
      <c r="I2500" s="34"/>
      <c r="J2500" s="38" t="str">
        <f>VLOOKUP(B2500,CAJEROS!B:E,4,0)</f>
        <v>SUC_COVEN1</v>
      </c>
      <c r="K2500" t="s">
        <v>450</v>
      </c>
    </row>
    <row r="2501" spans="1:11">
      <c r="A2501" s="32">
        <v>392</v>
      </c>
      <c r="B2501" s="33">
        <v>4793</v>
      </c>
      <c r="C2501" s="3">
        <v>100000</v>
      </c>
      <c r="D2501" s="3">
        <v>40000</v>
      </c>
      <c r="E2501" s="7">
        <f t="shared" si="75"/>
        <v>60000</v>
      </c>
      <c r="F2501" s="5">
        <v>45897</v>
      </c>
      <c r="G2501" s="4">
        <v>20250827</v>
      </c>
      <c r="H2501" s="38" t="str">
        <f>VLOOKUP(B2501,CAJEROS!B:D,3,0)</f>
        <v>Dispensador</v>
      </c>
      <c r="I2501" s="34"/>
      <c r="J2501" s="38" t="str">
        <f>VLOOKUP(B2501,CAJEROS!B:E,4,0)</f>
        <v>LADORADA1</v>
      </c>
      <c r="K2501" t="s">
        <v>450</v>
      </c>
    </row>
    <row r="2502" spans="1:11">
      <c r="A2502" s="32">
        <v>398</v>
      </c>
      <c r="B2502" s="33">
        <v>9562</v>
      </c>
      <c r="C2502" s="3">
        <v>100000</v>
      </c>
      <c r="D2502" s="3"/>
      <c r="E2502" s="7">
        <f t="shared" si="75"/>
        <v>100000</v>
      </c>
      <c r="F2502" s="5">
        <v>45897</v>
      </c>
      <c r="G2502" s="4">
        <v>20250827</v>
      </c>
      <c r="H2502" s="38" t="str">
        <f>VLOOKUP(B2502,CAJEROS!B:D,3,0)</f>
        <v>Dispensador</v>
      </c>
      <c r="I2502" s="34"/>
      <c r="J2502" s="38" t="str">
        <f>VLOOKUP(B2502,CAJEROS!B:E,4,0)</f>
        <v>SUC_CHINU2</v>
      </c>
      <c r="K2502" t="s">
        <v>450</v>
      </c>
    </row>
    <row r="2503" spans="1:11">
      <c r="A2503" s="32">
        <v>451</v>
      </c>
      <c r="B2503" s="33">
        <v>3799</v>
      </c>
      <c r="C2503" s="3">
        <v>50000</v>
      </c>
      <c r="D2503" s="3"/>
      <c r="E2503" s="7">
        <f t="shared" si="75"/>
        <v>50000</v>
      </c>
      <c r="F2503" s="5">
        <v>45897</v>
      </c>
      <c r="G2503" s="4">
        <v>20250827</v>
      </c>
      <c r="H2503" s="38" t="str">
        <f>VLOOKUP(B2503,CAJEROS!B:D,3,0)</f>
        <v>Dispensador</v>
      </c>
      <c r="I2503" s="34"/>
      <c r="J2503" s="38" t="str">
        <f>VLOOKUP(B2503,CAJEROS!B:E,4,0)</f>
        <v>SUC_PASIS1</v>
      </c>
      <c r="K2503" t="s">
        <v>450</v>
      </c>
    </row>
    <row r="2504" spans="1:11">
      <c r="A2504" s="32">
        <v>486</v>
      </c>
      <c r="B2504" s="33">
        <v>5748</v>
      </c>
      <c r="C2504" s="3">
        <v>2700000</v>
      </c>
      <c r="D2504" s="3"/>
      <c r="E2504" s="7">
        <f t="shared" si="75"/>
        <v>2700000</v>
      </c>
      <c r="F2504" s="5">
        <v>45897</v>
      </c>
      <c r="G2504" s="4">
        <v>20250827</v>
      </c>
      <c r="H2504" s="38" t="str">
        <f>VLOOKUP(B2504,CAJEROS!B:D,3,0)</f>
        <v>Dispensador</v>
      </c>
      <c r="I2504" s="34"/>
      <c r="J2504" s="38" t="str">
        <f>VLOOKUP(B2504,CAJEROS!B:E,4,0)</f>
        <v>SUC_SNICOL3</v>
      </c>
      <c r="K2504" t="s">
        <v>450</v>
      </c>
    </row>
    <row r="2505" spans="1:11">
      <c r="A2505" s="32">
        <v>765</v>
      </c>
      <c r="B2505" s="33">
        <v>310</v>
      </c>
      <c r="C2505" s="3">
        <v>2740000</v>
      </c>
      <c r="D2505" s="3"/>
      <c r="E2505" s="7">
        <f t="shared" si="75"/>
        <v>2740000</v>
      </c>
      <c r="F2505" s="5">
        <v>45897</v>
      </c>
      <c r="G2505" s="4">
        <v>20250827</v>
      </c>
      <c r="H2505" s="38" t="s">
        <v>30</v>
      </c>
      <c r="I2505" s="34"/>
      <c r="J2505" s="38" t="str">
        <f>VLOOKUP(B2505,CAJEROS!B:E,4,0)</f>
        <v>SUC_BECERR2</v>
      </c>
      <c r="K2505" t="s">
        <v>450</v>
      </c>
    </row>
    <row r="2506" spans="1:11">
      <c r="A2506" s="32">
        <v>178</v>
      </c>
      <c r="B2506" s="33">
        <v>1755</v>
      </c>
      <c r="C2506" s="3">
        <v>40000</v>
      </c>
      <c r="D2506" s="3">
        <v>20000</v>
      </c>
      <c r="E2506" s="7">
        <f t="shared" si="75"/>
        <v>20000</v>
      </c>
      <c r="F2506" s="5">
        <v>45897</v>
      </c>
      <c r="G2506" s="4">
        <v>20250827</v>
      </c>
      <c r="H2506" s="38" t="str">
        <f>VLOOKUP(B2506,CAJEROS!B:D,3,0)</f>
        <v>Dispensador</v>
      </c>
      <c r="I2506" s="34" t="s">
        <v>9</v>
      </c>
      <c r="J2506" s="38" t="str">
        <f>VLOOKUP(B2506,CAJEROS!B:E,4,0)</f>
        <v>FULLFCIERO</v>
      </c>
      <c r="K2506" t="s">
        <v>450</v>
      </c>
    </row>
    <row r="2507" spans="1:11">
      <c r="A2507" s="32">
        <v>190</v>
      </c>
      <c r="B2507" s="33">
        <v>5557</v>
      </c>
      <c r="C2507" s="3">
        <v>200000</v>
      </c>
      <c r="D2507" s="3"/>
      <c r="E2507" s="7">
        <f t="shared" si="75"/>
        <v>200000</v>
      </c>
      <c r="F2507" s="5">
        <v>45897</v>
      </c>
      <c r="G2507" s="4">
        <v>20250827</v>
      </c>
      <c r="H2507" s="38" t="str">
        <f>VLOOKUP(B2507,CAJEROS!B:D,3,0)</f>
        <v>Dispensador</v>
      </c>
      <c r="I2507" s="34" t="s">
        <v>9</v>
      </c>
      <c r="J2507" s="38" t="str">
        <f>VLOOKUP(B2507,CAJEROS!B:E,4,0)</f>
        <v>SANDONA1</v>
      </c>
      <c r="K2507" t="s">
        <v>450</v>
      </c>
    </row>
    <row r="2508" spans="1:11">
      <c r="A2508" s="32">
        <v>291</v>
      </c>
      <c r="B2508" s="33">
        <v>2911</v>
      </c>
      <c r="C2508" s="3">
        <v>780000</v>
      </c>
      <c r="D2508" s="3"/>
      <c r="E2508" s="7">
        <f t="shared" si="75"/>
        <v>780000</v>
      </c>
      <c r="F2508" s="5">
        <v>45897</v>
      </c>
      <c r="G2508" s="4">
        <v>20250827</v>
      </c>
      <c r="H2508" s="38" t="str">
        <f>VLOOKUP(B2508,CAJEROS!B:D,3,0)</f>
        <v>Dispensador</v>
      </c>
      <c r="I2508" s="34" t="s">
        <v>9</v>
      </c>
      <c r="J2508" s="38" t="str">
        <f>VLOOKUP(B2508,CAJEROS!B:E,4,0)</f>
        <v>BGA_CAB_2</v>
      </c>
      <c r="K2508" t="s">
        <v>450</v>
      </c>
    </row>
    <row r="2509" spans="1:11">
      <c r="A2509" s="32">
        <v>392</v>
      </c>
      <c r="B2509" s="33">
        <v>4890</v>
      </c>
      <c r="C2509" s="3">
        <v>50000</v>
      </c>
      <c r="D2509" s="3"/>
      <c r="E2509" s="7">
        <f t="shared" si="75"/>
        <v>50000</v>
      </c>
      <c r="F2509" s="5">
        <v>45897</v>
      </c>
      <c r="G2509" s="4">
        <v>20250827</v>
      </c>
      <c r="H2509" s="38" t="str">
        <f>VLOOKUP(B2509,CAJEROS!B:D,3,0)</f>
        <v>Dispensador</v>
      </c>
      <c r="I2509" s="34" t="s">
        <v>9</v>
      </c>
      <c r="J2509" s="38" t="str">
        <f>VLOOKUP(B2509,CAJEROS!B:E,4,0)</f>
        <v>LADORADA3</v>
      </c>
      <c r="K2509" t="s">
        <v>450</v>
      </c>
    </row>
    <row r="2510" spans="1:11">
      <c r="A2510" s="32">
        <v>536</v>
      </c>
      <c r="B2510" s="33">
        <v>4795</v>
      </c>
      <c r="C2510" s="3">
        <v>300000</v>
      </c>
      <c r="D2510" s="3">
        <v>110000</v>
      </c>
      <c r="E2510" s="7">
        <f t="shared" si="75"/>
        <v>190000</v>
      </c>
      <c r="F2510" s="5">
        <v>45897</v>
      </c>
      <c r="G2510" s="4">
        <v>20250827</v>
      </c>
      <c r="H2510" s="38" t="str">
        <f>VLOOKUP(B2510,CAJEROS!B:D,3,0)</f>
        <v>Dispensador</v>
      </c>
      <c r="I2510" s="34" t="s">
        <v>9</v>
      </c>
      <c r="J2510" s="38" t="str">
        <f>VLOOKUP(B2510,CAJEROS!B:E,4,0)</f>
        <v>SUC_QUIBDO1</v>
      </c>
      <c r="K2510" t="s">
        <v>450</v>
      </c>
    </row>
    <row r="2511" spans="1:11">
      <c r="A2511" s="32">
        <v>583</v>
      </c>
      <c r="B2511" s="33">
        <v>5691</v>
      </c>
      <c r="C2511" s="3">
        <v>40000</v>
      </c>
      <c r="D2511" s="3"/>
      <c r="E2511" s="7">
        <f t="shared" si="75"/>
        <v>40000</v>
      </c>
      <c r="F2511" s="5">
        <v>45897</v>
      </c>
      <c r="G2511" s="4">
        <v>20250827</v>
      </c>
      <c r="H2511" s="38" t="str">
        <f>VLOOKUP(B2511,CAJEROS!B:D,3,0)</f>
        <v>Dispensador</v>
      </c>
      <c r="I2511" s="34" t="s">
        <v>9</v>
      </c>
      <c r="J2511" s="38" t="str">
        <f>VLOOKUP(B2511,CAJEROS!B:E,4,0)</f>
        <v>SUCRIOSUCI1</v>
      </c>
      <c r="K2511" t="s">
        <v>450</v>
      </c>
    </row>
    <row r="2512" spans="1:11">
      <c r="A2512" s="32">
        <v>631</v>
      </c>
      <c r="B2512" s="33">
        <v>2615</v>
      </c>
      <c r="C2512" s="3">
        <v>1200000</v>
      </c>
      <c r="D2512" s="3">
        <v>1180000</v>
      </c>
      <c r="E2512" s="7">
        <f t="shared" si="75"/>
        <v>20000</v>
      </c>
      <c r="F2512" s="5">
        <v>45897</v>
      </c>
      <c r="G2512" s="4">
        <v>20250827</v>
      </c>
      <c r="H2512" s="38" t="str">
        <f>VLOOKUP(B2512,CAJEROS!B:D,3,0)</f>
        <v>Dispensador</v>
      </c>
      <c r="I2512" s="34" t="s">
        <v>9</v>
      </c>
      <c r="J2512" s="38" t="str">
        <f>VLOOKUP(B2512,CAJEROS!B:E,4,0)</f>
        <v>SUCURIBIA_1</v>
      </c>
      <c r="K2512" t="s">
        <v>450</v>
      </c>
    </row>
    <row r="2513" spans="1:11">
      <c r="A2513" s="32">
        <v>764</v>
      </c>
      <c r="B2513" s="33">
        <v>6052</v>
      </c>
      <c r="C2513" s="3">
        <v>50000</v>
      </c>
      <c r="D2513" s="3"/>
      <c r="E2513" s="7">
        <f t="shared" si="75"/>
        <v>50000</v>
      </c>
      <c r="F2513" s="5">
        <v>45897</v>
      </c>
      <c r="G2513" s="4">
        <v>20250827</v>
      </c>
      <c r="H2513" s="38" t="str">
        <f>VLOOKUP(B2513,CAJEROS!B:D,3,0)</f>
        <v>Dispensador</v>
      </c>
      <c r="I2513" s="34" t="s">
        <v>9</v>
      </c>
      <c r="J2513" s="38" t="str">
        <f>VLOOKUP(B2513,CAJEROS!B:E,4,0)</f>
        <v>SUC_JAMUND4</v>
      </c>
      <c r="K2513" t="s">
        <v>450</v>
      </c>
    </row>
    <row r="2514" spans="1:11">
      <c r="A2514" s="32">
        <v>848</v>
      </c>
      <c r="B2514" s="33">
        <v>4740</v>
      </c>
      <c r="C2514" s="3">
        <v>8400000</v>
      </c>
      <c r="D2514" s="3"/>
      <c r="E2514" s="7">
        <f t="shared" ref="E2514:E2577" si="76">+C2514-D2514</f>
        <v>8400000</v>
      </c>
      <c r="F2514" s="5">
        <v>45897</v>
      </c>
      <c r="G2514" s="4">
        <v>20250827</v>
      </c>
      <c r="H2514" s="38" t="str">
        <f>VLOOKUP(B2514,CAJEROS!B:D,3,0)</f>
        <v>Dispensador</v>
      </c>
      <c r="I2514" s="34" t="s">
        <v>9</v>
      </c>
      <c r="J2514" s="38" t="str">
        <f>VLOOKUP(B2514,CAJEROS!B:E,4,0)</f>
        <v>PQECABAL_3</v>
      </c>
      <c r="K2514" t="s">
        <v>450</v>
      </c>
    </row>
    <row r="2515" spans="1:11">
      <c r="A2515" s="32">
        <v>8</v>
      </c>
      <c r="B2515" s="33">
        <v>5079</v>
      </c>
      <c r="C2515" s="3">
        <v>50</v>
      </c>
      <c r="D2515" s="3"/>
      <c r="E2515" s="7">
        <f t="shared" si="76"/>
        <v>50</v>
      </c>
      <c r="F2515" s="5">
        <v>45897</v>
      </c>
      <c r="G2515" s="4">
        <v>20250827</v>
      </c>
      <c r="H2515" s="38" t="str">
        <f>VLOOKUP(B2515,CAJEROS!B:D,3,0)</f>
        <v>Multifuncional</v>
      </c>
      <c r="I2515" s="34"/>
      <c r="J2515" s="38" t="str">
        <f>VLOOKUP(B2515,CAJEROS!B:E,4,0)</f>
        <v>MF_LAPLAYA</v>
      </c>
      <c r="K2515" t="s">
        <v>450</v>
      </c>
    </row>
    <row r="2516" spans="1:11">
      <c r="A2516" s="32">
        <v>486</v>
      </c>
      <c r="B2516" s="33">
        <v>5081</v>
      </c>
      <c r="C2516" s="3">
        <v>9305000</v>
      </c>
      <c r="D2516" s="3">
        <v>3520000</v>
      </c>
      <c r="E2516" s="7">
        <f t="shared" si="76"/>
        <v>5785000</v>
      </c>
      <c r="F2516" s="5">
        <v>45897</v>
      </c>
      <c r="G2516" s="4">
        <v>20250827</v>
      </c>
      <c r="H2516" s="38" t="str">
        <f>VLOOKUP(B2516,CAJEROS!B:D,3,0)</f>
        <v>Multifuncional</v>
      </c>
      <c r="I2516" s="34"/>
      <c r="J2516" s="38" t="str">
        <f>VLOOKUP(B2516,CAJEROS!B:E,4,0)</f>
        <v>MF_SANNIBA1</v>
      </c>
      <c r="K2516" t="s">
        <v>450</v>
      </c>
    </row>
    <row r="2517" spans="1:11">
      <c r="A2517" s="32">
        <v>68</v>
      </c>
      <c r="B2517" s="33">
        <v>5135</v>
      </c>
      <c r="C2517" s="3">
        <v>95400</v>
      </c>
      <c r="D2517" s="3"/>
      <c r="E2517" s="7">
        <f t="shared" si="76"/>
        <v>95400</v>
      </c>
      <c r="F2517" s="5">
        <v>45897</v>
      </c>
      <c r="G2517" s="4">
        <v>20250827</v>
      </c>
      <c r="H2517" s="38" t="str">
        <f>VLOOKUP(B2517,CAJEROS!B:D,3,0)</f>
        <v>Multifuncional</v>
      </c>
      <c r="I2517" s="34"/>
      <c r="J2517" s="38" t="str">
        <f>VLOOKUP(B2517,CAJEROS!B:E,4,0)</f>
        <v>MF_IBAGUE</v>
      </c>
      <c r="K2517" t="s">
        <v>450</v>
      </c>
    </row>
    <row r="2518" spans="1:11">
      <c r="A2518" s="32">
        <v>698</v>
      </c>
      <c r="B2518" s="33">
        <v>5187</v>
      </c>
      <c r="C2518" s="3">
        <v>50</v>
      </c>
      <c r="D2518" s="3"/>
      <c r="E2518" s="7">
        <f t="shared" si="76"/>
        <v>50</v>
      </c>
      <c r="F2518" s="5">
        <v>45897</v>
      </c>
      <c r="G2518" s="4">
        <v>20250827</v>
      </c>
      <c r="H2518" s="38" t="str">
        <f>VLOOKUP(B2518,CAJEROS!B:D,3,0)</f>
        <v>Multifuncional</v>
      </c>
      <c r="I2518" s="34"/>
      <c r="J2518" s="38" t="str">
        <f>VLOOKUP(B2518,CAJEROS!B:E,4,0)</f>
        <v>MF_SCLLE79</v>
      </c>
      <c r="K2518" t="s">
        <v>450</v>
      </c>
    </row>
    <row r="2519" spans="1:11">
      <c r="A2519" s="32">
        <v>606</v>
      </c>
      <c r="B2519" s="33">
        <v>5201</v>
      </c>
      <c r="C2519" s="3">
        <v>3850000</v>
      </c>
      <c r="D2519" s="3">
        <v>3637000</v>
      </c>
      <c r="E2519" s="7">
        <f t="shared" si="76"/>
        <v>213000</v>
      </c>
      <c r="F2519" s="5">
        <v>45897</v>
      </c>
      <c r="G2519" s="4">
        <v>20250827</v>
      </c>
      <c r="H2519" s="38" t="str">
        <f>VLOOKUP(B2519,CAJEROS!B:D,3,0)</f>
        <v>Multifuncional</v>
      </c>
      <c r="I2519" s="34"/>
      <c r="J2519" s="38" t="str">
        <f>VLOOKUP(B2519,CAJEROS!B:E,4,0)</f>
        <v>MF_UNITUNJA</v>
      </c>
      <c r="K2519" t="s">
        <v>450</v>
      </c>
    </row>
    <row r="2520" spans="1:11">
      <c r="A2520" s="32">
        <v>820</v>
      </c>
      <c r="B2520" s="33">
        <v>6174</v>
      </c>
      <c r="C2520" s="3">
        <v>300</v>
      </c>
      <c r="D2520" s="3"/>
      <c r="E2520" s="7">
        <f t="shared" si="76"/>
        <v>300</v>
      </c>
      <c r="F2520" s="5">
        <v>45897</v>
      </c>
      <c r="G2520" s="4">
        <v>20250827</v>
      </c>
      <c r="H2520" s="38" t="str">
        <f>VLOOKUP(B2520,CAJEROS!B:D,3,0)</f>
        <v>Multifuncional</v>
      </c>
      <c r="I2520" s="34"/>
      <c r="J2520" s="38" t="str">
        <f>VLOOKUP(B2520,CAJEROS!B:E,4,0)</f>
        <v>MF_AVCERO</v>
      </c>
      <c r="K2520" t="s">
        <v>450</v>
      </c>
    </row>
    <row r="2521" spans="1:11">
      <c r="A2521" s="32">
        <v>233</v>
      </c>
      <c r="B2521" s="33">
        <v>7212</v>
      </c>
      <c r="C2521" s="3">
        <v>600000</v>
      </c>
      <c r="D2521" s="3"/>
      <c r="E2521" s="7">
        <f t="shared" si="76"/>
        <v>600000</v>
      </c>
      <c r="F2521" s="5">
        <v>45897</v>
      </c>
      <c r="G2521" s="4">
        <v>20250827</v>
      </c>
      <c r="H2521" s="38" t="str">
        <f>VLOOKUP(B2521,CAJEROS!B:D,3,0)</f>
        <v>Multifuncional</v>
      </c>
      <c r="I2521" s="34"/>
      <c r="J2521" s="38" t="str">
        <f>VLOOKUP(B2521,CAJEROS!B:E,4,0)</f>
        <v>MF_BARRIRPO</v>
      </c>
      <c r="K2521" t="s">
        <v>450</v>
      </c>
    </row>
    <row r="2522" spans="1:11">
      <c r="A2522" s="32">
        <v>331</v>
      </c>
      <c r="B2522" s="33">
        <v>574</v>
      </c>
      <c r="C2522" s="3">
        <v>2120000</v>
      </c>
      <c r="D2522" s="3"/>
      <c r="E2522" s="7">
        <f t="shared" si="76"/>
        <v>2120000</v>
      </c>
      <c r="F2522" s="5">
        <v>45897</v>
      </c>
      <c r="G2522" s="4">
        <v>20250827</v>
      </c>
      <c r="H2522" s="38" t="str">
        <f>VLOOKUP(B2522,CAJEROS!B:D,3,0)</f>
        <v>Multifuncional</v>
      </c>
      <c r="I2522" s="34" t="s">
        <v>9</v>
      </c>
      <c r="J2522" s="38" t="str">
        <f>VLOOKUP(B2522,CAJEROS!B:E,4,0)</f>
        <v>MF_SUCARKA1</v>
      </c>
      <c r="K2522" t="s">
        <v>450</v>
      </c>
    </row>
    <row r="2523" spans="1:11">
      <c r="A2523" s="32">
        <v>517</v>
      </c>
      <c r="B2523" s="33">
        <v>5053</v>
      </c>
      <c r="C2523" s="3">
        <v>620000</v>
      </c>
      <c r="D2523" s="3"/>
      <c r="E2523" s="7">
        <f t="shared" si="76"/>
        <v>620000</v>
      </c>
      <c r="F2523" s="5">
        <v>45897</v>
      </c>
      <c r="G2523" s="4">
        <v>20250827</v>
      </c>
      <c r="H2523" s="38" t="str">
        <f>VLOOKUP(B2523,CAJEROS!B:D,3,0)</f>
        <v>Multifuncional</v>
      </c>
      <c r="I2523" s="34" t="s">
        <v>9</v>
      </c>
      <c r="J2523" s="38" t="str">
        <f>VLOOKUP(B2523,CAJEROS!B:E,4,0)</f>
        <v>MF_RODADERO</v>
      </c>
      <c r="K2523" t="s">
        <v>450</v>
      </c>
    </row>
    <row r="2524" spans="1:11">
      <c r="A2524" s="32">
        <v>781</v>
      </c>
      <c r="B2524" s="33">
        <v>5057</v>
      </c>
      <c r="C2524" s="3">
        <v>405000</v>
      </c>
      <c r="D2524" s="3"/>
      <c r="E2524" s="7">
        <f t="shared" si="76"/>
        <v>405000</v>
      </c>
      <c r="F2524" s="5">
        <v>45897</v>
      </c>
      <c r="G2524" s="4">
        <v>20250827</v>
      </c>
      <c r="H2524" s="38" t="str">
        <f>VLOOKUP(B2524,CAJEROS!B:D,3,0)</f>
        <v>Multifuncional</v>
      </c>
      <c r="I2524" s="34" t="s">
        <v>9</v>
      </c>
      <c r="J2524" s="38" t="str">
        <f>VLOOKUP(B2524,CAJEROS!B:E,4,0)</f>
        <v>MF_PRPLAZA</v>
      </c>
      <c r="K2524" t="s">
        <v>450</v>
      </c>
    </row>
    <row r="2525" spans="1:11">
      <c r="A2525" s="32">
        <v>24</v>
      </c>
      <c r="B2525" s="33">
        <v>5066</v>
      </c>
      <c r="C2525" s="3">
        <v>600000</v>
      </c>
      <c r="D2525" s="3"/>
      <c r="E2525" s="7">
        <f t="shared" si="76"/>
        <v>600000</v>
      </c>
      <c r="F2525" s="5">
        <v>45897</v>
      </c>
      <c r="G2525" s="4">
        <v>20250827</v>
      </c>
      <c r="H2525" s="38" t="str">
        <f>VLOOKUP(B2525,CAJEROS!B:D,3,0)</f>
        <v>Multifuncional</v>
      </c>
      <c r="I2525" s="34" t="s">
        <v>9</v>
      </c>
      <c r="J2525" s="38" t="str">
        <f>VLOOKUP(B2525,CAJEROS!B:E,4,0)</f>
        <v>MF_RIONEGPA</v>
      </c>
      <c r="K2525" t="s">
        <v>450</v>
      </c>
    </row>
    <row r="2526" spans="1:11">
      <c r="A2526" s="32">
        <v>430</v>
      </c>
      <c r="B2526" s="33">
        <v>5104</v>
      </c>
      <c r="C2526" s="3">
        <v>938950</v>
      </c>
      <c r="D2526" s="3">
        <v>520950</v>
      </c>
      <c r="E2526" s="7">
        <f t="shared" si="76"/>
        <v>418000</v>
      </c>
      <c r="F2526" s="5">
        <v>45897</v>
      </c>
      <c r="G2526" s="4">
        <v>20250827</v>
      </c>
      <c r="H2526" s="38" t="str">
        <f>VLOOKUP(B2526,CAJEROS!B:D,3,0)</f>
        <v>Multifuncional</v>
      </c>
      <c r="I2526" s="34" t="s">
        <v>9</v>
      </c>
      <c r="J2526" s="38" t="str">
        <f>VLOOKUP(B2526,CAJEROS!B:E,4,0)</f>
        <v>MF_ZONAROSA</v>
      </c>
      <c r="K2526" t="s">
        <v>450</v>
      </c>
    </row>
    <row r="2527" spans="1:11">
      <c r="A2527" s="32">
        <v>358</v>
      </c>
      <c r="B2527" s="33">
        <v>5149</v>
      </c>
      <c r="C2527" s="3">
        <v>800000</v>
      </c>
      <c r="D2527" s="3"/>
      <c r="E2527" s="7">
        <f t="shared" si="76"/>
        <v>800000</v>
      </c>
      <c r="F2527" s="5">
        <v>45897</v>
      </c>
      <c r="G2527" s="4">
        <v>20250827</v>
      </c>
      <c r="H2527" s="38" t="str">
        <f>VLOOKUP(B2527,CAJEROS!B:D,3,0)</f>
        <v>Multifuncional</v>
      </c>
      <c r="I2527" s="34" t="s">
        <v>9</v>
      </c>
      <c r="J2527" s="38" t="str">
        <f>VLOOKUP(B2527,CAJEROS!B:E,4,0)</f>
        <v>MF_SOGAMOSO</v>
      </c>
      <c r="K2527" t="s">
        <v>450</v>
      </c>
    </row>
    <row r="2528" spans="1:11">
      <c r="A2528" s="32">
        <v>388</v>
      </c>
      <c r="B2528" s="33">
        <v>5169</v>
      </c>
      <c r="C2528" s="3">
        <v>400000</v>
      </c>
      <c r="D2528" s="3"/>
      <c r="E2528" s="7">
        <f t="shared" si="76"/>
        <v>400000</v>
      </c>
      <c r="F2528" s="5">
        <v>45897</v>
      </c>
      <c r="G2528" s="4">
        <v>20250827</v>
      </c>
      <c r="H2528" s="38" t="str">
        <f>VLOOKUP(B2528,CAJEROS!B:D,3,0)</f>
        <v>Multifuncional</v>
      </c>
      <c r="I2528" s="34" t="s">
        <v>9</v>
      </c>
      <c r="J2528" s="38" t="str">
        <f>VLOOKUP(B2528,CAJEROS!B:E,4,0)</f>
        <v>MF_SUCHAYU1</v>
      </c>
      <c r="K2528" t="s">
        <v>450</v>
      </c>
    </row>
    <row r="2529" spans="1:11">
      <c r="A2529" s="32">
        <v>477</v>
      </c>
      <c r="B2529" s="33">
        <v>6251</v>
      </c>
      <c r="C2529" s="3">
        <v>220000</v>
      </c>
      <c r="D2529" s="3"/>
      <c r="E2529" s="7">
        <f t="shared" si="76"/>
        <v>220000</v>
      </c>
      <c r="F2529" s="5">
        <v>45897</v>
      </c>
      <c r="G2529" s="4">
        <v>20250827</v>
      </c>
      <c r="H2529" s="38" t="str">
        <f>VLOOKUP(B2529,CAJEROS!B:D,3,0)</f>
        <v>Multifuncional</v>
      </c>
      <c r="I2529" s="34" t="s">
        <v>9</v>
      </c>
      <c r="J2529" s="38" t="str">
        <f>VLOOKUP(B2529,CAJEROS!B:E,4,0)</f>
        <v>MF_GRANCENT</v>
      </c>
      <c r="K2529" t="s">
        <v>450</v>
      </c>
    </row>
    <row r="2530" spans="1:11">
      <c r="A2530" s="32">
        <v>317</v>
      </c>
      <c r="B2530" s="33">
        <v>6613</v>
      </c>
      <c r="C2530" s="3">
        <v>1249200</v>
      </c>
      <c r="D2530" s="3">
        <v>1095000</v>
      </c>
      <c r="E2530" s="7">
        <f t="shared" si="76"/>
        <v>154200</v>
      </c>
      <c r="F2530" s="5">
        <v>45897</v>
      </c>
      <c r="G2530" s="4">
        <v>20250827</v>
      </c>
      <c r="H2530" s="38" t="str">
        <f>VLOOKUP(B2530,CAJEROS!B:D,3,0)</f>
        <v>Multifuncional</v>
      </c>
      <c r="I2530" s="34" t="s">
        <v>9</v>
      </c>
      <c r="J2530" s="38" t="str">
        <f>VLOOKUP(B2530,CAJEROS!B:E,4,0)</f>
        <v>MF_ARAUCA</v>
      </c>
      <c r="K2530" t="s">
        <v>450</v>
      </c>
    </row>
    <row r="2531" spans="1:11">
      <c r="A2531" s="32">
        <v>843</v>
      </c>
      <c r="B2531" s="33">
        <v>6716</v>
      </c>
      <c r="C2531" s="3">
        <v>2739000</v>
      </c>
      <c r="D2531" s="3">
        <v>1524000</v>
      </c>
      <c r="E2531" s="7">
        <f t="shared" si="76"/>
        <v>1215000</v>
      </c>
      <c r="F2531" s="5">
        <v>45897</v>
      </c>
      <c r="G2531" s="4">
        <v>20250827</v>
      </c>
      <c r="H2531" s="38" t="str">
        <f>VLOOKUP(B2531,CAJEROS!B:D,3,0)</f>
        <v>Multifuncional</v>
      </c>
      <c r="I2531" s="34" t="s">
        <v>9</v>
      </c>
      <c r="J2531" s="38" t="str">
        <f>VLOOKUP(B2531,CAJEROS!B:E,4,0)</f>
        <v>MF_CPBUENAV</v>
      </c>
      <c r="K2531" t="s">
        <v>450</v>
      </c>
    </row>
    <row r="2532" spans="1:11">
      <c r="A2532" s="32">
        <v>31</v>
      </c>
      <c r="B2532" s="33">
        <v>8737</v>
      </c>
      <c r="C2532" s="3">
        <v>140000</v>
      </c>
      <c r="D2532" s="3">
        <v>45000</v>
      </c>
      <c r="E2532" s="7">
        <f t="shared" si="76"/>
        <v>95000</v>
      </c>
      <c r="F2532" s="5">
        <v>45897</v>
      </c>
      <c r="G2532" s="4">
        <v>20250827</v>
      </c>
      <c r="H2532" s="38" t="str">
        <f>VLOOKUP(B2532,CAJEROS!B:D,3,0)</f>
        <v>Multifuncional</v>
      </c>
      <c r="I2532" s="34" t="s">
        <v>9</v>
      </c>
      <c r="J2532" s="38" t="str">
        <f>VLOOKUP(B2532,CAJEROS!B:E,4,0)</f>
        <v>MF_SUCEINT1</v>
      </c>
      <c r="K2532" t="s">
        <v>450</v>
      </c>
    </row>
    <row r="2533" spans="1:11">
      <c r="A2533" s="32">
        <v>551</v>
      </c>
      <c r="B2533" s="33">
        <v>9644</v>
      </c>
      <c r="C2533" s="3">
        <v>340000</v>
      </c>
      <c r="D2533" s="3">
        <v>59950</v>
      </c>
      <c r="E2533" s="7">
        <f t="shared" si="76"/>
        <v>280050</v>
      </c>
      <c r="F2533" s="5">
        <v>45897</v>
      </c>
      <c r="G2533" s="4">
        <v>20250827</v>
      </c>
      <c r="H2533" s="38" t="str">
        <f>VLOOKUP(B2533,CAJEROS!B:D,3,0)</f>
        <v>Multifuncional</v>
      </c>
      <c r="I2533" s="34" t="s">
        <v>9</v>
      </c>
      <c r="J2533" s="38" t="str">
        <f>VLOOKUP(B2533,CAJEROS!B:E,4,0)</f>
        <v>MFSUCUNIME2</v>
      </c>
      <c r="K2533" t="s">
        <v>450</v>
      </c>
    </row>
    <row r="2534" spans="1:11">
      <c r="A2534" s="32">
        <v>709</v>
      </c>
      <c r="B2534" s="33">
        <v>3426</v>
      </c>
      <c r="C2534" s="3">
        <v>10000</v>
      </c>
      <c r="D2534" s="3"/>
      <c r="E2534" s="7">
        <f t="shared" si="76"/>
        <v>10000</v>
      </c>
      <c r="F2534" s="5">
        <v>45897</v>
      </c>
      <c r="G2534" s="4">
        <v>20250827</v>
      </c>
      <c r="H2534" s="38" t="str">
        <f>VLOOKUP(B2534,CAJEROS!B:D,3,0)</f>
        <v>Dispensador</v>
      </c>
      <c r="I2534" s="34" t="s">
        <v>10</v>
      </c>
      <c r="J2534" s="38" t="str">
        <f>VLOOKUP(B2534,CAJEROS!B:E,4,0)</f>
        <v>ABREGO</v>
      </c>
      <c r="K2534" t="s">
        <v>450</v>
      </c>
    </row>
    <row r="2535" spans="1:11">
      <c r="A2535" s="32">
        <v>111</v>
      </c>
      <c r="B2535" s="33">
        <v>3654</v>
      </c>
      <c r="C2535" s="3">
        <v>10000</v>
      </c>
      <c r="D2535" s="3"/>
      <c r="E2535" s="7">
        <f t="shared" si="76"/>
        <v>10000</v>
      </c>
      <c r="F2535" s="5">
        <v>45897</v>
      </c>
      <c r="G2535" s="4">
        <v>20250827</v>
      </c>
      <c r="H2535" s="38" t="str">
        <f>VLOOKUP(B2535,CAJEROS!B:D,3,0)</f>
        <v>Dispensador</v>
      </c>
      <c r="I2535" s="34" t="s">
        <v>10</v>
      </c>
      <c r="J2535" s="38" t="str">
        <f>VLOOKUP(B2535,CAJEROS!B:E,4,0)</f>
        <v>SUC_COROZ2</v>
      </c>
      <c r="K2535" t="s">
        <v>450</v>
      </c>
    </row>
    <row r="2536" spans="1:11">
      <c r="A2536" s="32">
        <v>385</v>
      </c>
      <c r="B2536" s="33">
        <v>3694</v>
      </c>
      <c r="C2536" s="3">
        <v>20000</v>
      </c>
      <c r="D2536" s="3"/>
      <c r="E2536" s="7">
        <f t="shared" si="76"/>
        <v>20000</v>
      </c>
      <c r="F2536" s="5">
        <v>45897</v>
      </c>
      <c r="G2536" s="4">
        <v>20250827</v>
      </c>
      <c r="H2536" s="38" t="str">
        <f>VLOOKUP(B2536,CAJEROS!B:D,3,0)</f>
        <v>Dispensador</v>
      </c>
      <c r="I2536" s="34" t="s">
        <v>10</v>
      </c>
      <c r="J2536" s="38" t="str">
        <f>VLOOKUP(B2536,CAJEROS!B:E,4,0)</f>
        <v>SUC_VILLET3</v>
      </c>
      <c r="K2536" t="s">
        <v>450</v>
      </c>
    </row>
    <row r="2537" spans="1:11">
      <c r="A2537" s="32">
        <v>638</v>
      </c>
      <c r="B2537" s="33">
        <v>4486</v>
      </c>
      <c r="C2537" s="3">
        <v>20000</v>
      </c>
      <c r="D2537" s="3"/>
      <c r="E2537" s="7">
        <f t="shared" si="76"/>
        <v>20000</v>
      </c>
      <c r="F2537" s="5">
        <v>45897</v>
      </c>
      <c r="G2537" s="4">
        <v>20250827</v>
      </c>
      <c r="H2537" s="38" t="str">
        <f>VLOOKUP(B2537,CAJEROS!B:D,3,0)</f>
        <v>Dispensador</v>
      </c>
      <c r="I2537" s="34" t="s">
        <v>10</v>
      </c>
      <c r="J2537" s="38" t="str">
        <f>VLOOKUP(B2537,CAJEROS!B:E,4,0)</f>
        <v>CRPM_OCCI1</v>
      </c>
      <c r="K2537" t="s">
        <v>450</v>
      </c>
    </row>
    <row r="2538" spans="1:11">
      <c r="A2538" s="32">
        <v>358</v>
      </c>
      <c r="B2538" s="33">
        <v>4499</v>
      </c>
      <c r="C2538" s="3">
        <v>10000</v>
      </c>
      <c r="D2538" s="3"/>
      <c r="E2538" s="7">
        <f t="shared" si="76"/>
        <v>10000</v>
      </c>
      <c r="F2538" s="5">
        <v>45897</v>
      </c>
      <c r="G2538" s="4">
        <v>20250827</v>
      </c>
      <c r="H2538" s="38" t="str">
        <f>VLOOKUP(B2538,CAJEROS!B:D,3,0)</f>
        <v>Dispensador</v>
      </c>
      <c r="I2538" s="34" t="s">
        <v>10</v>
      </c>
      <c r="J2538" s="38" t="str">
        <f>VLOOKUP(B2538,CAJEROS!B:E,4,0)</f>
        <v>SUC_SOGAMO1</v>
      </c>
      <c r="K2538" t="s">
        <v>450</v>
      </c>
    </row>
    <row r="2539" spans="1:11">
      <c r="A2539" s="32">
        <v>789</v>
      </c>
      <c r="B2539" s="33">
        <v>5661</v>
      </c>
      <c r="C2539" s="3">
        <v>20000</v>
      </c>
      <c r="D2539" s="3"/>
      <c r="E2539" s="7">
        <f t="shared" si="76"/>
        <v>20000</v>
      </c>
      <c r="F2539" s="5">
        <v>45897</v>
      </c>
      <c r="G2539" s="4">
        <v>20250827</v>
      </c>
      <c r="H2539" s="38" t="str">
        <f>VLOOKUP(B2539,CAJEROS!B:D,3,0)</f>
        <v>Dispensador</v>
      </c>
      <c r="I2539" s="34" t="s">
        <v>10</v>
      </c>
      <c r="J2539" s="38" t="str">
        <f>VLOOKUP(B2539,CAJEROS!B:E,4,0)</f>
        <v>MANGA3</v>
      </c>
      <c r="K2539" t="s">
        <v>450</v>
      </c>
    </row>
    <row r="2540" spans="1:11">
      <c r="A2540" s="32">
        <v>492</v>
      </c>
      <c r="B2540" s="33">
        <v>6238</v>
      </c>
      <c r="C2540" s="3">
        <v>10000</v>
      </c>
      <c r="D2540" s="3"/>
      <c r="E2540" s="7">
        <f t="shared" si="76"/>
        <v>10000</v>
      </c>
      <c r="F2540" s="5">
        <v>45897</v>
      </c>
      <c r="G2540" s="4">
        <v>20250827</v>
      </c>
      <c r="H2540" s="38" t="str">
        <f>VLOOKUP(B2540,CAJEROS!B:D,3,0)</f>
        <v>Dispensador</v>
      </c>
      <c r="I2540" s="34" t="s">
        <v>10</v>
      </c>
      <c r="J2540" s="38" t="str">
        <f>VLOOKUP(B2540,CAJEROS!B:E,4,0)</f>
        <v>SUCGARAGOA</v>
      </c>
      <c r="K2540" t="s">
        <v>450</v>
      </c>
    </row>
    <row r="2541" spans="1:11">
      <c r="A2541" s="32">
        <v>38</v>
      </c>
      <c r="B2541" s="33">
        <v>6553</v>
      </c>
      <c r="C2541" s="3">
        <v>20000</v>
      </c>
      <c r="D2541" s="3"/>
      <c r="E2541" s="7">
        <f t="shared" si="76"/>
        <v>20000</v>
      </c>
      <c r="F2541" s="5">
        <v>45897</v>
      </c>
      <c r="G2541" s="4">
        <v>20250827</v>
      </c>
      <c r="H2541" s="38" t="str">
        <f>VLOOKUP(B2541,CAJEROS!B:D,3,0)</f>
        <v>Dispensador</v>
      </c>
      <c r="I2541" s="34" t="s">
        <v>10</v>
      </c>
      <c r="J2541" s="38" t="str">
        <f>VLOOKUP(B2541,CAJEROS!B:E,4,0)</f>
        <v>PAIPA1</v>
      </c>
      <c r="K2541" t="s">
        <v>450</v>
      </c>
    </row>
    <row r="2542" spans="1:11">
      <c r="A2542" s="32">
        <v>541</v>
      </c>
      <c r="B2542" s="33">
        <v>8659</v>
      </c>
      <c r="C2542" s="3">
        <v>20000</v>
      </c>
      <c r="D2542" s="3"/>
      <c r="E2542" s="7">
        <f t="shared" si="76"/>
        <v>20000</v>
      </c>
      <c r="F2542" s="5">
        <v>45897</v>
      </c>
      <c r="G2542" s="4">
        <v>20250827</v>
      </c>
      <c r="H2542" s="38" t="str">
        <f>VLOOKUP(B2542,CAJEROS!B:D,3,0)</f>
        <v>Dispensador</v>
      </c>
      <c r="I2542" s="34" t="s">
        <v>10</v>
      </c>
      <c r="J2542" s="38" t="str">
        <f>VLOOKUP(B2542,CAJEROS!B:E,4,0)</f>
        <v>SUCCALDAS10</v>
      </c>
      <c r="K2542" t="s">
        <v>450</v>
      </c>
    </row>
    <row r="2543" spans="1:11">
      <c r="A2543" s="32">
        <v>85</v>
      </c>
      <c r="B2543" s="33">
        <v>8973</v>
      </c>
      <c r="C2543" s="3">
        <v>10000</v>
      </c>
      <c r="D2543" s="3"/>
      <c r="E2543" s="7">
        <f t="shared" si="76"/>
        <v>10000</v>
      </c>
      <c r="F2543" s="5">
        <v>45897</v>
      </c>
      <c r="G2543" s="4">
        <v>20250827</v>
      </c>
      <c r="H2543" s="38" t="str">
        <f>VLOOKUP(B2543,CAJEROS!B:D,3,0)</f>
        <v>Dispensador</v>
      </c>
      <c r="I2543" s="34" t="s">
        <v>10</v>
      </c>
      <c r="J2543" s="38" t="str">
        <f>VLOOKUP(B2543,CAJEROS!B:E,4,0)</f>
        <v>SUCSERZUL_4</v>
      </c>
      <c r="K2543" t="s">
        <v>450</v>
      </c>
    </row>
    <row r="2544" spans="1:11">
      <c r="A2544" s="32">
        <v>186</v>
      </c>
      <c r="B2544" s="33">
        <v>6510</v>
      </c>
      <c r="C2544" s="3">
        <v>350000</v>
      </c>
      <c r="D2544" s="3"/>
      <c r="E2544" s="7">
        <f t="shared" si="76"/>
        <v>350000</v>
      </c>
      <c r="F2544" s="5">
        <v>45898</v>
      </c>
      <c r="G2544" s="4">
        <v>20250828</v>
      </c>
      <c r="H2544" s="38" t="str">
        <f>VLOOKUP(B2544,CAJEROS!B:D,3,0)</f>
        <v>Dispensador</v>
      </c>
      <c r="I2544" s="34"/>
      <c r="J2544" s="38" t="str">
        <f>VLOOKUP(B2544,CAJEROS!B:E,4,0)</f>
        <v>SUC_GALERI3</v>
      </c>
      <c r="K2544" t="s">
        <v>450</v>
      </c>
    </row>
    <row r="2545" spans="1:11">
      <c r="A2545" s="32">
        <v>404</v>
      </c>
      <c r="B2545" s="33">
        <v>5873</v>
      </c>
      <c r="C2545" s="3">
        <v>180000</v>
      </c>
      <c r="D2545" s="3">
        <v>100000</v>
      </c>
      <c r="E2545" s="7">
        <f t="shared" si="76"/>
        <v>80000</v>
      </c>
      <c r="F2545" s="5">
        <v>45898</v>
      </c>
      <c r="G2545" s="4">
        <v>20250828</v>
      </c>
      <c r="H2545" s="38" t="str">
        <f>VLOOKUP(B2545,CAJEROS!B:D,3,0)</f>
        <v>Dispensador</v>
      </c>
      <c r="I2545" s="34"/>
      <c r="J2545" s="38" t="str">
        <f>VLOOKUP(B2545,CAJEROS!B:E,4,0)</f>
        <v>JARDIN_2</v>
      </c>
      <c r="K2545" t="s">
        <v>450</v>
      </c>
    </row>
    <row r="2546" spans="1:11">
      <c r="A2546" s="32">
        <v>687</v>
      </c>
      <c r="B2546" s="33">
        <v>8513</v>
      </c>
      <c r="C2546" s="3">
        <v>50000</v>
      </c>
      <c r="D2546" s="3"/>
      <c r="E2546" s="7">
        <f t="shared" si="76"/>
        <v>50000</v>
      </c>
      <c r="F2546" s="5">
        <v>45898</v>
      </c>
      <c r="G2546" s="4">
        <v>20250828</v>
      </c>
      <c r="H2546" s="38" t="str">
        <f>VLOOKUP(B2546,CAJEROS!B:D,3,0)</f>
        <v>Dispensador</v>
      </c>
      <c r="I2546" s="34"/>
      <c r="J2546" s="38" t="str">
        <f>VLOOKUP(B2546,CAJEROS!B:E,4,0)</f>
        <v>SUC_PLANE3</v>
      </c>
      <c r="K2546" t="s">
        <v>450</v>
      </c>
    </row>
    <row r="2547" spans="1:11">
      <c r="A2547" s="32">
        <v>733</v>
      </c>
      <c r="B2547" s="33">
        <v>5337</v>
      </c>
      <c r="C2547" s="3">
        <v>3800000</v>
      </c>
      <c r="D2547" s="3"/>
      <c r="E2547" s="7">
        <f t="shared" si="76"/>
        <v>3800000</v>
      </c>
      <c r="F2547" s="5">
        <v>45898</v>
      </c>
      <c r="G2547" s="4">
        <v>20250828</v>
      </c>
      <c r="H2547" s="38" t="str">
        <f>VLOOKUP(B2547,CAJEROS!B:D,3,0)</f>
        <v>Dispensador</v>
      </c>
      <c r="I2547" s="34"/>
      <c r="J2547" s="38" t="str">
        <f>VLOOKUP(B2547,CAJEROS!B:E,4,0)</f>
        <v>LAUNIONVAL1</v>
      </c>
      <c r="K2547" t="s">
        <v>450</v>
      </c>
    </row>
    <row r="2548" spans="1:11">
      <c r="A2548" s="32">
        <v>764</v>
      </c>
      <c r="B2548" s="33">
        <v>4307</v>
      </c>
      <c r="C2548" s="3">
        <v>950000</v>
      </c>
      <c r="D2548" s="3"/>
      <c r="E2548" s="7">
        <f t="shared" si="76"/>
        <v>950000</v>
      </c>
      <c r="F2548" s="5">
        <v>45898</v>
      </c>
      <c r="G2548" s="4">
        <v>20250828</v>
      </c>
      <c r="H2548" s="38" t="str">
        <f>VLOOKUP(B2548,CAJEROS!B:D,3,0)</f>
        <v>Dispensador</v>
      </c>
      <c r="I2548" s="34"/>
      <c r="J2548" s="38" t="str">
        <f>VLOOKUP(B2548,CAJEROS!B:E,4,0)</f>
        <v>SUC_JAMUN1</v>
      </c>
      <c r="K2548" t="s">
        <v>450</v>
      </c>
    </row>
    <row r="2549" spans="1:11">
      <c r="A2549" s="32">
        <v>523</v>
      </c>
      <c r="B2549" s="33">
        <v>3997</v>
      </c>
      <c r="C2549" s="3">
        <v>500000</v>
      </c>
      <c r="D2549" s="3"/>
      <c r="E2549" s="7">
        <f t="shared" si="76"/>
        <v>500000</v>
      </c>
      <c r="F2549" s="5">
        <v>45898</v>
      </c>
      <c r="G2549" s="4">
        <v>20250828</v>
      </c>
      <c r="H2549" s="38" t="str">
        <f>VLOOKUP(B2549,CAJEROS!B:D,3,0)</f>
        <v>Dispensador</v>
      </c>
      <c r="I2549" s="34" t="s">
        <v>9</v>
      </c>
      <c r="J2549" s="38" t="str">
        <f>VLOOKUP(B2549,CAJEROS!B:E,4,0)</f>
        <v>SUC_OVALLE3</v>
      </c>
      <c r="K2549" t="s">
        <v>450</v>
      </c>
    </row>
    <row r="2550" spans="1:11">
      <c r="A2550" s="32">
        <v>536</v>
      </c>
      <c r="B2550" s="33">
        <v>8993</v>
      </c>
      <c r="C2550" s="3">
        <v>60000</v>
      </c>
      <c r="D2550" s="3">
        <v>20000</v>
      </c>
      <c r="E2550" s="7">
        <f t="shared" si="76"/>
        <v>40000</v>
      </c>
      <c r="F2550" s="5">
        <v>45898</v>
      </c>
      <c r="G2550" s="4">
        <v>20250828</v>
      </c>
      <c r="H2550" s="38" t="str">
        <f>VLOOKUP(B2550,CAJEROS!B:D,3,0)</f>
        <v>Dispensador</v>
      </c>
      <c r="I2550" s="34" t="s">
        <v>9</v>
      </c>
      <c r="J2550" s="38" t="str">
        <f>VLOOKUP(B2550,CAJEROS!B:E,4,0)</f>
        <v>SUC_QUIBDO8</v>
      </c>
      <c r="K2550" t="s">
        <v>450</v>
      </c>
    </row>
    <row r="2551" spans="1:11">
      <c r="A2551" s="32">
        <v>631</v>
      </c>
      <c r="B2551" s="33">
        <v>2795</v>
      </c>
      <c r="C2551" s="3">
        <v>700000</v>
      </c>
      <c r="D2551" s="3">
        <v>530000</v>
      </c>
      <c r="E2551" s="7">
        <f t="shared" si="76"/>
        <v>170000</v>
      </c>
      <c r="F2551" s="5">
        <v>45898</v>
      </c>
      <c r="G2551" s="4">
        <v>20250828</v>
      </c>
      <c r="H2551" s="38" t="str">
        <f>VLOOKUP(B2551,CAJEROS!B:D,3,0)</f>
        <v>Dispensador</v>
      </c>
      <c r="I2551" s="34" t="s">
        <v>9</v>
      </c>
      <c r="J2551" s="38" t="str">
        <f>VLOOKUP(B2551,CAJEROS!B:E,4,0)</f>
        <v>SUCURIBIA_5</v>
      </c>
      <c r="K2551" t="s">
        <v>450</v>
      </c>
    </row>
    <row r="2552" spans="1:11">
      <c r="A2552" s="32">
        <v>848</v>
      </c>
      <c r="B2552" s="33">
        <v>4740</v>
      </c>
      <c r="C2552" s="3">
        <v>2040000</v>
      </c>
      <c r="D2552" s="3"/>
      <c r="E2552" s="7">
        <f t="shared" si="76"/>
        <v>2040000</v>
      </c>
      <c r="F2552" s="5">
        <v>45898</v>
      </c>
      <c r="G2552" s="4">
        <v>20250828</v>
      </c>
      <c r="H2552" s="38" t="str">
        <f>VLOOKUP(B2552,CAJEROS!B:D,3,0)</f>
        <v>Dispensador</v>
      </c>
      <c r="I2552" s="34" t="s">
        <v>9</v>
      </c>
      <c r="J2552" s="38" t="str">
        <f>VLOOKUP(B2552,CAJEROS!B:E,4,0)</f>
        <v>PQECABAL_3</v>
      </c>
      <c r="K2552" t="s">
        <v>450</v>
      </c>
    </row>
    <row r="2553" spans="1:11">
      <c r="A2553" s="32">
        <v>331</v>
      </c>
      <c r="B2553" s="33">
        <v>575</v>
      </c>
      <c r="C2553" s="3">
        <v>4448250</v>
      </c>
      <c r="D2553" s="3"/>
      <c r="E2553" s="7">
        <f t="shared" si="76"/>
        <v>4448250</v>
      </c>
      <c r="F2553" s="5">
        <v>45898</v>
      </c>
      <c r="G2553" s="4">
        <v>20250828</v>
      </c>
      <c r="H2553" s="38" t="str">
        <f>VLOOKUP(B2553,CAJEROS!B:D,3,0)</f>
        <v>Multifuncional</v>
      </c>
      <c r="I2553" s="34"/>
      <c r="J2553" s="38" t="str">
        <f>VLOOKUP(B2553,CAJEROS!B:E,4,0)</f>
        <v>MF_SUCARKA2</v>
      </c>
      <c r="K2553" t="s">
        <v>450</v>
      </c>
    </row>
    <row r="2554" spans="1:11">
      <c r="A2554" s="32">
        <v>812</v>
      </c>
      <c r="B2554" s="33">
        <v>5144</v>
      </c>
      <c r="C2554" s="3">
        <v>11357600</v>
      </c>
      <c r="D2554" s="3">
        <v>4100000</v>
      </c>
      <c r="E2554" s="7">
        <f t="shared" si="76"/>
        <v>7257600</v>
      </c>
      <c r="F2554" s="5">
        <v>45898</v>
      </c>
      <c r="G2554" s="4">
        <v>20250828</v>
      </c>
      <c r="H2554" s="38" t="str">
        <f>VLOOKUP(B2554,CAJEROS!B:D,3,0)</f>
        <v>Multifuncional</v>
      </c>
      <c r="I2554" s="34"/>
      <c r="J2554" s="38" t="str">
        <f>VLOOKUP(B2554,CAJEROS!B:E,4,0)</f>
        <v>MF_CHPICHPE</v>
      </c>
      <c r="K2554" t="s">
        <v>450</v>
      </c>
    </row>
    <row r="2555" spans="1:11">
      <c r="A2555" s="32">
        <v>756</v>
      </c>
      <c r="B2555" s="33">
        <v>5183</v>
      </c>
      <c r="C2555" s="3">
        <v>877000</v>
      </c>
      <c r="D2555" s="3">
        <v>597500</v>
      </c>
      <c r="E2555" s="7">
        <f t="shared" si="76"/>
        <v>279500</v>
      </c>
      <c r="F2555" s="5">
        <v>45898</v>
      </c>
      <c r="G2555" s="4">
        <v>20250828</v>
      </c>
      <c r="H2555" s="38" t="str">
        <f>VLOOKUP(B2555,CAJEROS!B:D,3,0)</f>
        <v>Multifuncional</v>
      </c>
      <c r="I2555" s="34"/>
      <c r="J2555" s="38" t="str">
        <f>VLOOKUP(B2555,CAJEROS!B:E,4,0)</f>
        <v>MF_ARMNORTE</v>
      </c>
      <c r="K2555" t="s">
        <v>450</v>
      </c>
    </row>
    <row r="2556" spans="1:11">
      <c r="A2556" s="32">
        <v>383</v>
      </c>
      <c r="B2556" s="33">
        <v>5194</v>
      </c>
      <c r="C2556" s="3">
        <v>2900600</v>
      </c>
      <c r="D2556" s="3">
        <v>2900000</v>
      </c>
      <c r="E2556" s="7">
        <f t="shared" si="76"/>
        <v>600</v>
      </c>
      <c r="F2556" s="5">
        <v>45898</v>
      </c>
      <c r="G2556" s="4">
        <v>20250828</v>
      </c>
      <c r="H2556" s="38" t="str">
        <f>VLOOKUP(B2556,CAJEROS!B:D,3,0)</f>
        <v>Multifuncional</v>
      </c>
      <c r="I2556" s="34"/>
      <c r="J2556" s="38" t="str">
        <f>VLOOKUP(B2556,CAJEROS!B:E,4,0)</f>
        <v>MF_MADRID</v>
      </c>
      <c r="K2556" t="s">
        <v>450</v>
      </c>
    </row>
    <row r="2557" spans="1:11">
      <c r="A2557" s="32">
        <v>178</v>
      </c>
      <c r="B2557" s="33">
        <v>6218</v>
      </c>
      <c r="C2557" s="3">
        <v>7850000</v>
      </c>
      <c r="D2557" s="3"/>
      <c r="E2557" s="7">
        <f t="shared" si="76"/>
        <v>7850000</v>
      </c>
      <c r="F2557" s="5">
        <v>45898</v>
      </c>
      <c r="G2557" s="4">
        <v>20250828</v>
      </c>
      <c r="H2557" s="38" t="str">
        <f>VLOOKUP(B2557,CAJEROS!B:D,3,0)</f>
        <v>Multifuncional</v>
      </c>
      <c r="I2557" s="34"/>
      <c r="J2557" s="38" t="str">
        <f>VLOOKUP(B2557,CAJEROS!B:E,4,0)</f>
        <v>MF_CFINANCI</v>
      </c>
      <c r="K2557" t="s">
        <v>450</v>
      </c>
    </row>
    <row r="2558" spans="1:11">
      <c r="A2558" s="32">
        <v>231</v>
      </c>
      <c r="B2558" s="33">
        <v>6243</v>
      </c>
      <c r="C2558" s="3">
        <v>9600000</v>
      </c>
      <c r="D2558" s="3"/>
      <c r="E2558" s="7">
        <f t="shared" si="76"/>
        <v>9600000</v>
      </c>
      <c r="F2558" s="5">
        <v>45898</v>
      </c>
      <c r="G2558" s="4">
        <v>20250828</v>
      </c>
      <c r="H2558" s="38" t="str">
        <f>VLOOKUP(B2558,CAJEROS!B:D,3,0)</f>
        <v>Multifuncional</v>
      </c>
      <c r="I2558" s="34"/>
      <c r="J2558" s="38" t="str">
        <f>VLOOKUP(B2558,CAJEROS!B:E,4,0)</f>
        <v>MF_RICAURTE</v>
      </c>
      <c r="K2558" t="s">
        <v>450</v>
      </c>
    </row>
    <row r="2559" spans="1:11">
      <c r="A2559" s="32">
        <v>337</v>
      </c>
      <c r="B2559" s="33">
        <v>6253</v>
      </c>
      <c r="C2559" s="3">
        <v>10000</v>
      </c>
      <c r="D2559" s="3"/>
      <c r="E2559" s="7">
        <f t="shared" si="76"/>
        <v>10000</v>
      </c>
      <c r="F2559" s="5">
        <v>45898</v>
      </c>
      <c r="G2559" s="4">
        <v>20250828</v>
      </c>
      <c r="H2559" s="38" t="str">
        <f>VLOOKUP(B2559,CAJEROS!B:D,3,0)</f>
        <v>Multifuncional</v>
      </c>
      <c r="I2559" s="34"/>
      <c r="J2559" s="38" t="str">
        <f>VLOOKUP(B2559,CAJEROS!B:E,4,0)</f>
        <v>MF_CHIA</v>
      </c>
      <c r="K2559" t="s">
        <v>450</v>
      </c>
    </row>
    <row r="2560" spans="1:11">
      <c r="A2560" s="32">
        <v>651</v>
      </c>
      <c r="B2560" s="33">
        <v>7318</v>
      </c>
      <c r="C2560" s="3">
        <v>1881000</v>
      </c>
      <c r="D2560" s="3"/>
      <c r="E2560" s="7">
        <f t="shared" si="76"/>
        <v>1881000</v>
      </c>
      <c r="F2560" s="5">
        <v>45898</v>
      </c>
      <c r="G2560" s="4">
        <v>20250828</v>
      </c>
      <c r="H2560" s="38" t="str">
        <f>VLOOKUP(B2560,CAJEROS!B:D,3,0)</f>
        <v>Multifuncional</v>
      </c>
      <c r="I2560" s="34"/>
      <c r="J2560" s="38" t="str">
        <f>VLOOKUP(B2560,CAJEROS!B:E,4,0)</f>
        <v>MF_BARBOSA2</v>
      </c>
      <c r="K2560" t="s">
        <v>450</v>
      </c>
    </row>
    <row r="2561" spans="1:11">
      <c r="A2561" s="32">
        <v>41</v>
      </c>
      <c r="B2561" s="33">
        <v>7341</v>
      </c>
      <c r="C2561" s="3">
        <v>114000</v>
      </c>
      <c r="D2561" s="3">
        <f>69000+40000</f>
        <v>109000</v>
      </c>
      <c r="E2561" s="7">
        <f t="shared" si="76"/>
        <v>5000</v>
      </c>
      <c r="F2561" s="5">
        <v>45898</v>
      </c>
      <c r="G2561" s="4">
        <v>20250828</v>
      </c>
      <c r="H2561" s="38" t="str">
        <f>VLOOKUP(B2561,CAJEROS!B:D,3,0)</f>
        <v>Multifuncional</v>
      </c>
      <c r="I2561" s="34"/>
      <c r="J2561" s="38" t="str">
        <f>VLOOKUP(B2561,CAJEROS!B:E,4,0)</f>
        <v>MF_PLZESPAN</v>
      </c>
      <c r="K2561" t="s">
        <v>450</v>
      </c>
    </row>
    <row r="2562" spans="1:11">
      <c r="A2562" s="32">
        <v>779</v>
      </c>
      <c r="B2562" s="33">
        <v>8685</v>
      </c>
      <c r="C2562" s="3">
        <v>22124500</v>
      </c>
      <c r="D2562" s="3">
        <f>425000+2370000</f>
        <v>2795000</v>
      </c>
      <c r="E2562" s="7">
        <f t="shared" si="76"/>
        <v>19329500</v>
      </c>
      <c r="F2562" s="5">
        <v>45898</v>
      </c>
      <c r="G2562" s="4">
        <v>20250828</v>
      </c>
      <c r="H2562" s="38" t="str">
        <f>VLOOKUP(B2562,CAJEROS!B:D,3,0)</f>
        <v>Multifuncional</v>
      </c>
      <c r="I2562" s="34"/>
      <c r="J2562" s="38" t="str">
        <f>VLOOKUP(B2562,CAJEROS!B:E,4,0)</f>
        <v>MF_BUENVSM3</v>
      </c>
      <c r="K2562" t="s">
        <v>450</v>
      </c>
    </row>
    <row r="2563" spans="1:11">
      <c r="A2563" s="32">
        <v>499</v>
      </c>
      <c r="B2563" s="33">
        <v>9810</v>
      </c>
      <c r="C2563" s="3">
        <v>8451400</v>
      </c>
      <c r="D2563" s="3"/>
      <c r="E2563" s="7">
        <f t="shared" si="76"/>
        <v>8451400</v>
      </c>
      <c r="F2563" s="5">
        <v>45898</v>
      </c>
      <c r="G2563" s="4">
        <v>20250828</v>
      </c>
      <c r="H2563" s="38" t="str">
        <f>VLOOKUP(B2563,CAJEROS!B:D,3,0)</f>
        <v>Multifuncional</v>
      </c>
      <c r="I2563" s="34"/>
      <c r="J2563" s="38" t="str">
        <f>VLOOKUP(B2563,CAJEROS!B:E,4,0)</f>
        <v>MF_SUCPARF1</v>
      </c>
      <c r="K2563" t="s">
        <v>450</v>
      </c>
    </row>
    <row r="2564" spans="1:11">
      <c r="A2564" s="32">
        <v>287</v>
      </c>
      <c r="B2564" s="33">
        <v>907</v>
      </c>
      <c r="C2564" s="3">
        <v>1930000</v>
      </c>
      <c r="D2564" s="3">
        <v>930000</v>
      </c>
      <c r="E2564" s="7">
        <f t="shared" si="76"/>
        <v>1000000</v>
      </c>
      <c r="F2564" s="5">
        <v>45898</v>
      </c>
      <c r="G2564" s="4">
        <v>20250828</v>
      </c>
      <c r="H2564" s="38" t="str">
        <f>VLOOKUP(B2564,CAJEROS!B:D,3,0)</f>
        <v>Multifuncional</v>
      </c>
      <c r="I2564" s="34" t="s">
        <v>9</v>
      </c>
      <c r="J2564" s="38" t="str">
        <f>VLOOKUP(B2564,CAJEROS!B:E,4,0)</f>
        <v>MFABASTOBGA</v>
      </c>
      <c r="K2564" t="s">
        <v>450</v>
      </c>
    </row>
    <row r="2565" spans="1:11">
      <c r="A2565" s="32">
        <v>795</v>
      </c>
      <c r="B2565" s="33">
        <v>1029</v>
      </c>
      <c r="C2565" s="3">
        <v>1851350</v>
      </c>
      <c r="D2565" s="3">
        <v>1815000</v>
      </c>
      <c r="E2565" s="7">
        <f t="shared" si="76"/>
        <v>36350</v>
      </c>
      <c r="F2565" s="5">
        <v>45898</v>
      </c>
      <c r="G2565" s="4">
        <v>20250828</v>
      </c>
      <c r="H2565" s="38" t="str">
        <f>VLOOKUP(B2565,CAJEROS!B:D,3,0)</f>
        <v>Multifuncional</v>
      </c>
      <c r="I2565" s="34" t="s">
        <v>9</v>
      </c>
      <c r="J2565" s="38" t="str">
        <f>VLOOKUP(B2565,CAJEROS!B:E,4,0)</f>
        <v>MFSUCANVER3</v>
      </c>
      <c r="K2565" t="s">
        <v>450</v>
      </c>
    </row>
    <row r="2566" spans="1:11">
      <c r="A2566" s="32">
        <v>395</v>
      </c>
      <c r="B2566" s="33">
        <v>1529</v>
      </c>
      <c r="C2566" s="3">
        <v>1740000</v>
      </c>
      <c r="D2566" s="3">
        <v>1540000</v>
      </c>
      <c r="E2566" s="7">
        <f t="shared" si="76"/>
        <v>200000</v>
      </c>
      <c r="F2566" s="5">
        <v>45898</v>
      </c>
      <c r="G2566" s="4">
        <v>20250828</v>
      </c>
      <c r="H2566" s="38" t="str">
        <f>VLOOKUP(B2566,CAJEROS!B:D,3,0)</f>
        <v>Multifuncional</v>
      </c>
      <c r="I2566" s="34" t="s">
        <v>9</v>
      </c>
      <c r="J2566" s="38" t="str">
        <f>VLOOKUP(B2566,CAJEROS!B:E,4,0)</f>
        <v>SUCMFVIVCI2</v>
      </c>
      <c r="K2566" t="s">
        <v>450</v>
      </c>
    </row>
    <row r="2567" spans="1:11">
      <c r="A2567" s="32">
        <v>824</v>
      </c>
      <c r="B2567" s="33">
        <v>5040</v>
      </c>
      <c r="C2567" s="3">
        <v>400000</v>
      </c>
      <c r="D2567" s="3">
        <v>180000</v>
      </c>
      <c r="E2567" s="7">
        <f t="shared" si="76"/>
        <v>220000</v>
      </c>
      <c r="F2567" s="5">
        <v>45898</v>
      </c>
      <c r="G2567" s="4">
        <v>20250828</v>
      </c>
      <c r="H2567" s="38" t="str">
        <f>VLOOKUP(B2567,CAJEROS!B:D,3,0)</f>
        <v>Multifuncional</v>
      </c>
      <c r="I2567" s="34" t="s">
        <v>9</v>
      </c>
      <c r="J2567" s="38" t="str">
        <f>VLOOKUP(B2567,CAJEROS!B:E,4,0)</f>
        <v>MF_VENPLAZA</v>
      </c>
      <c r="K2567" t="s">
        <v>450</v>
      </c>
    </row>
    <row r="2568" spans="1:11">
      <c r="A2568" s="32">
        <v>867</v>
      </c>
      <c r="B2568" s="33">
        <v>5043</v>
      </c>
      <c r="C2568" s="3">
        <v>1454400</v>
      </c>
      <c r="D2568" s="3">
        <v>1451000</v>
      </c>
      <c r="E2568" s="7">
        <f t="shared" si="76"/>
        <v>3400</v>
      </c>
      <c r="F2568" s="5">
        <v>45898</v>
      </c>
      <c r="G2568" s="4">
        <v>20250828</v>
      </c>
      <c r="H2568" s="38" t="str">
        <f>VLOOKUP(B2568,CAJEROS!B:D,3,0)</f>
        <v>Multifuncional</v>
      </c>
      <c r="I2568" s="34" t="s">
        <v>9</v>
      </c>
      <c r="J2568" s="38" t="str">
        <f>VLOOKUP(B2568,CAJEROS!B:E,4,0)</f>
        <v>MF_UNARMENI</v>
      </c>
      <c r="K2568" t="s">
        <v>450</v>
      </c>
    </row>
    <row r="2569" spans="1:11">
      <c r="A2569" s="32">
        <v>517</v>
      </c>
      <c r="B2569" s="33">
        <v>5053</v>
      </c>
      <c r="C2569" s="3">
        <v>1800000</v>
      </c>
      <c r="D2569" s="3"/>
      <c r="E2569" s="7">
        <f t="shared" si="76"/>
        <v>1800000</v>
      </c>
      <c r="F2569" s="5">
        <v>45898</v>
      </c>
      <c r="G2569" s="4">
        <v>20250828</v>
      </c>
      <c r="H2569" s="38" t="str">
        <f>VLOOKUP(B2569,CAJEROS!B:D,3,0)</f>
        <v>Multifuncional</v>
      </c>
      <c r="I2569" s="34" t="s">
        <v>9</v>
      </c>
      <c r="J2569" s="38" t="str">
        <f>VLOOKUP(B2569,CAJEROS!B:E,4,0)</f>
        <v>MF_RODADERO</v>
      </c>
      <c r="K2569" t="s">
        <v>450</v>
      </c>
    </row>
    <row r="2570" spans="1:11">
      <c r="A2570" s="32">
        <v>24</v>
      </c>
      <c r="B2570" s="33">
        <v>5066</v>
      </c>
      <c r="C2570" s="3">
        <v>745000</v>
      </c>
      <c r="D2570" s="3"/>
      <c r="E2570" s="7">
        <f t="shared" si="76"/>
        <v>745000</v>
      </c>
      <c r="F2570" s="5">
        <v>45898</v>
      </c>
      <c r="G2570" s="4">
        <v>20250828</v>
      </c>
      <c r="H2570" s="38" t="str">
        <f>VLOOKUP(B2570,CAJEROS!B:D,3,0)</f>
        <v>Multifuncional</v>
      </c>
      <c r="I2570" s="34" t="s">
        <v>9</v>
      </c>
      <c r="J2570" s="38" t="str">
        <f>VLOOKUP(B2570,CAJEROS!B:E,4,0)</f>
        <v>MF_RIONEGPA</v>
      </c>
      <c r="K2570" t="s">
        <v>450</v>
      </c>
    </row>
    <row r="2571" spans="1:11">
      <c r="A2571" s="32">
        <v>265</v>
      </c>
      <c r="B2571" s="33">
        <v>5083</v>
      </c>
      <c r="C2571" s="3">
        <v>70000</v>
      </c>
      <c r="D2571" s="3"/>
      <c r="E2571" s="7">
        <f t="shared" si="76"/>
        <v>70000</v>
      </c>
      <c r="F2571" s="5">
        <v>45898</v>
      </c>
      <c r="G2571" s="4">
        <v>20250828</v>
      </c>
      <c r="H2571" s="38" t="str">
        <f>VLOOKUP(B2571,CAJEROS!B:D,3,0)</f>
        <v>Multifuncional</v>
      </c>
      <c r="I2571" s="34" t="s">
        <v>9</v>
      </c>
      <c r="J2571" s="38" t="str">
        <f>VLOOKUP(B2571,CAJEROS!B:E,4,0)</f>
        <v>MF_VALLELIL</v>
      </c>
      <c r="K2571" t="s">
        <v>450</v>
      </c>
    </row>
    <row r="2572" spans="1:11">
      <c r="A2572" s="32">
        <v>300</v>
      </c>
      <c r="B2572" s="33">
        <v>5139</v>
      </c>
      <c r="C2572" s="3">
        <v>1360000</v>
      </c>
      <c r="D2572" s="3">
        <v>1340000</v>
      </c>
      <c r="E2572" s="7">
        <f t="shared" si="76"/>
        <v>20000</v>
      </c>
      <c r="F2572" s="5">
        <v>45898</v>
      </c>
      <c r="G2572" s="4">
        <v>20250828</v>
      </c>
      <c r="H2572" s="38" t="str">
        <f>VLOOKUP(B2572,CAJEROS!B:D,3,0)</f>
        <v>Multifuncional</v>
      </c>
      <c r="I2572" s="34" t="s">
        <v>9</v>
      </c>
      <c r="J2572" s="38" t="str">
        <f>VLOOKUP(B2572,CAJEROS!B:E,4,0)</f>
        <v>MF_AUTOP98</v>
      </c>
      <c r="K2572" t="s">
        <v>450</v>
      </c>
    </row>
    <row r="2573" spans="1:11">
      <c r="A2573" s="32">
        <v>363</v>
      </c>
      <c r="B2573" s="33">
        <v>5168</v>
      </c>
      <c r="C2573" s="3">
        <v>1740000</v>
      </c>
      <c r="D2573" s="3">
        <v>1695000</v>
      </c>
      <c r="E2573" s="7">
        <f t="shared" si="76"/>
        <v>45000</v>
      </c>
      <c r="F2573" s="5">
        <v>45898</v>
      </c>
      <c r="G2573" s="4">
        <v>20250828</v>
      </c>
      <c r="H2573" s="38" t="str">
        <f>VLOOKUP(B2573,CAJEROS!B:D,3,0)</f>
        <v>Multifuncional</v>
      </c>
      <c r="I2573" s="34" t="s">
        <v>9</v>
      </c>
      <c r="J2573" s="38" t="str">
        <f>VLOOKUP(B2573,CAJEROS!B:E,4,0)</f>
        <v>MF_YOPAL</v>
      </c>
      <c r="K2573" t="s">
        <v>450</v>
      </c>
    </row>
    <row r="2574" spans="1:11">
      <c r="A2574" s="32">
        <v>388</v>
      </c>
      <c r="B2574" s="33">
        <v>5169</v>
      </c>
      <c r="C2574" s="3">
        <v>110000</v>
      </c>
      <c r="D2574" s="3"/>
      <c r="E2574" s="7">
        <f t="shared" si="76"/>
        <v>110000</v>
      </c>
      <c r="F2574" s="5">
        <v>45898</v>
      </c>
      <c r="G2574" s="4">
        <v>20250828</v>
      </c>
      <c r="H2574" s="38" t="str">
        <f>VLOOKUP(B2574,CAJEROS!B:D,3,0)</f>
        <v>Multifuncional</v>
      </c>
      <c r="I2574" s="34" t="s">
        <v>9</v>
      </c>
      <c r="J2574" s="38" t="str">
        <f>VLOOKUP(B2574,CAJEROS!B:E,4,0)</f>
        <v>MF_SUCHAYU1</v>
      </c>
      <c r="K2574" t="s">
        <v>450</v>
      </c>
    </row>
    <row r="2575" spans="1:11">
      <c r="A2575" s="32">
        <v>606</v>
      </c>
      <c r="B2575" s="33">
        <v>5201</v>
      </c>
      <c r="C2575" s="3">
        <v>2450000</v>
      </c>
      <c r="D2575" s="3">
        <f>1640000+715000</f>
        <v>2355000</v>
      </c>
      <c r="E2575" s="7">
        <f t="shared" si="76"/>
        <v>95000</v>
      </c>
      <c r="F2575" s="5">
        <v>45898</v>
      </c>
      <c r="G2575" s="4">
        <v>20250828</v>
      </c>
      <c r="H2575" s="38" t="str">
        <f>VLOOKUP(B2575,CAJEROS!B:D,3,0)</f>
        <v>Multifuncional</v>
      </c>
      <c r="I2575" s="34" t="s">
        <v>9</v>
      </c>
      <c r="J2575" s="38" t="str">
        <f>VLOOKUP(B2575,CAJEROS!B:E,4,0)</f>
        <v>MF_UNITUNJA</v>
      </c>
      <c r="K2575" t="s">
        <v>450</v>
      </c>
    </row>
    <row r="2576" spans="1:11">
      <c r="A2576" s="32">
        <v>793</v>
      </c>
      <c r="B2576" s="33">
        <v>5216</v>
      </c>
      <c r="C2576" s="3">
        <v>411000</v>
      </c>
      <c r="D2576" s="3"/>
      <c r="E2576" s="7">
        <f t="shared" si="76"/>
        <v>411000</v>
      </c>
      <c r="F2576" s="5">
        <v>45898</v>
      </c>
      <c r="G2576" s="4">
        <v>20250828</v>
      </c>
      <c r="H2576" s="38" t="str">
        <f>VLOOKUP(B2576,CAJEROS!B:D,3,0)</f>
        <v>Multifuncional</v>
      </c>
      <c r="I2576" s="34" t="s">
        <v>9</v>
      </c>
      <c r="J2576" s="38" t="str">
        <f>VLOOKUP(B2576,CAJEROS!B:E,4,0)</f>
        <v>MF_PROFENAL</v>
      </c>
      <c r="K2576" t="s">
        <v>450</v>
      </c>
    </row>
    <row r="2577" spans="1:11">
      <c r="A2577" s="32">
        <v>844</v>
      </c>
      <c r="B2577" s="33">
        <v>6169</v>
      </c>
      <c r="C2577" s="3">
        <v>195000</v>
      </c>
      <c r="D2577" s="3">
        <v>185050</v>
      </c>
      <c r="E2577" s="7">
        <f t="shared" si="76"/>
        <v>9950</v>
      </c>
      <c r="F2577" s="5">
        <v>45898</v>
      </c>
      <c r="G2577" s="4">
        <v>20250828</v>
      </c>
      <c r="H2577" s="38" t="str">
        <f>VLOOKUP(B2577,CAJEROS!B:D,3,0)</f>
        <v>Multifuncional</v>
      </c>
      <c r="I2577" s="34" t="s">
        <v>9</v>
      </c>
      <c r="J2577" s="38" t="str">
        <f>VLOOKUP(B2577,CAJEROS!B:E,4,0)</f>
        <v>MF_PRIMAVRA</v>
      </c>
      <c r="K2577" t="s">
        <v>450</v>
      </c>
    </row>
    <row r="2578" spans="1:11">
      <c r="A2578" s="32">
        <v>79</v>
      </c>
      <c r="B2578" s="33">
        <v>6245</v>
      </c>
      <c r="C2578" s="3">
        <v>2410000</v>
      </c>
      <c r="D2578" s="3">
        <v>1919800</v>
      </c>
      <c r="E2578" s="7">
        <f t="shared" ref="E2578:E2625" si="77">+C2578-D2578</f>
        <v>490200</v>
      </c>
      <c r="F2578" s="5">
        <v>45898</v>
      </c>
      <c r="G2578" s="4">
        <v>20250828</v>
      </c>
      <c r="H2578" s="38" t="str">
        <f>VLOOKUP(B2578,CAJEROS!B:D,3,0)</f>
        <v>Multifuncional</v>
      </c>
      <c r="I2578" s="34" t="s">
        <v>9</v>
      </c>
      <c r="J2578" s="38" t="str">
        <f>VLOOKUP(B2578,CAJEROS!B:E,4,0)</f>
        <v>MF_LAQUINTA</v>
      </c>
      <c r="K2578" t="s">
        <v>450</v>
      </c>
    </row>
    <row r="2579" spans="1:11">
      <c r="A2579" s="32">
        <v>718</v>
      </c>
      <c r="B2579" s="33">
        <v>6248</v>
      </c>
      <c r="C2579" s="3">
        <v>2420000</v>
      </c>
      <c r="D2579" s="3"/>
      <c r="E2579" s="7">
        <f t="shared" si="77"/>
        <v>2420000</v>
      </c>
      <c r="F2579" s="5">
        <v>45898</v>
      </c>
      <c r="G2579" s="4">
        <v>20250828</v>
      </c>
      <c r="H2579" s="38" t="str">
        <f>VLOOKUP(B2579,CAJEROS!B:D,3,0)</f>
        <v>Multifuncional</v>
      </c>
      <c r="I2579" s="34" t="s">
        <v>9</v>
      </c>
      <c r="J2579" s="38" t="str">
        <f>VLOOKUP(B2579,CAJEROS!B:E,4,0)</f>
        <v>MF_LAESTACI</v>
      </c>
      <c r="K2579" t="s">
        <v>450</v>
      </c>
    </row>
    <row r="2580" spans="1:11">
      <c r="A2580" s="32">
        <v>477</v>
      </c>
      <c r="B2580" s="33">
        <v>6251</v>
      </c>
      <c r="C2580" s="3">
        <v>1840000</v>
      </c>
      <c r="D2580" s="3"/>
      <c r="E2580" s="7">
        <f t="shared" si="77"/>
        <v>1840000</v>
      </c>
      <c r="F2580" s="5">
        <v>45898</v>
      </c>
      <c r="G2580" s="4">
        <v>20250828</v>
      </c>
      <c r="H2580" s="38" t="str">
        <f>VLOOKUP(B2580,CAJEROS!B:D,3,0)</f>
        <v>Multifuncional</v>
      </c>
      <c r="I2580" s="34" t="s">
        <v>9</v>
      </c>
      <c r="J2580" s="38" t="str">
        <f>VLOOKUP(B2580,CAJEROS!B:E,4,0)</f>
        <v>MF_GRANCENT</v>
      </c>
      <c r="K2580" t="s">
        <v>450</v>
      </c>
    </row>
    <row r="2581" spans="1:11">
      <c r="A2581" s="32">
        <v>613</v>
      </c>
      <c r="B2581" s="33">
        <v>6713</v>
      </c>
      <c r="C2581" s="3">
        <v>510000</v>
      </c>
      <c r="D2581" s="3">
        <f>427600+75000</f>
        <v>502600</v>
      </c>
      <c r="E2581" s="7">
        <f t="shared" si="77"/>
        <v>7400</v>
      </c>
      <c r="F2581" s="5">
        <v>45898</v>
      </c>
      <c r="G2581" s="4">
        <v>20250828</v>
      </c>
      <c r="H2581" s="38" t="str">
        <f>VLOOKUP(B2581,CAJEROS!B:D,3,0)</f>
        <v>Multifuncional</v>
      </c>
      <c r="I2581" s="34" t="s">
        <v>9</v>
      </c>
      <c r="J2581" s="38" t="str">
        <f>VLOOKUP(B2581,CAJEROS!B:E,4,0)</f>
        <v>MF_LAMERICA</v>
      </c>
      <c r="K2581" t="s">
        <v>450</v>
      </c>
    </row>
    <row r="2582" spans="1:11">
      <c r="A2582" s="32">
        <v>318</v>
      </c>
      <c r="B2582" s="33">
        <v>7680</v>
      </c>
      <c r="C2582" s="3">
        <v>566000</v>
      </c>
      <c r="D2582" s="3"/>
      <c r="E2582" s="7">
        <f t="shared" si="77"/>
        <v>566000</v>
      </c>
      <c r="F2582" s="5">
        <v>45898</v>
      </c>
      <c r="G2582" s="4">
        <v>20250828</v>
      </c>
      <c r="H2582" s="38" t="str">
        <f>VLOOKUP(B2582,CAJEROS!B:D,3,0)</f>
        <v>Multifuncional</v>
      </c>
      <c r="I2582" s="34" t="s">
        <v>9</v>
      </c>
      <c r="J2582" s="38" t="str">
        <f>VLOOKUP(B2582,CAJEROS!B:E,4,0)</f>
        <v>MF_OCANA2</v>
      </c>
      <c r="K2582" t="s">
        <v>450</v>
      </c>
    </row>
    <row r="2583" spans="1:11">
      <c r="A2583" s="32">
        <v>7</v>
      </c>
      <c r="B2583" s="33">
        <v>7812</v>
      </c>
      <c r="C2583" s="3">
        <v>927150</v>
      </c>
      <c r="D2583" s="3">
        <v>437150</v>
      </c>
      <c r="E2583" s="7">
        <f t="shared" si="77"/>
        <v>490000</v>
      </c>
      <c r="F2583" s="5">
        <v>45898</v>
      </c>
      <c r="G2583" s="4">
        <v>20250828</v>
      </c>
      <c r="H2583" s="38" t="str">
        <f>VLOOKUP(B2583,CAJEROS!B:D,3,0)</f>
        <v>Multifuncional</v>
      </c>
      <c r="I2583" s="34" t="s">
        <v>9</v>
      </c>
      <c r="J2583" s="38" t="str">
        <f>VLOOKUP(B2583,CAJEROS!B:E,4,0)</f>
        <v>MF_LOSMOLI3</v>
      </c>
      <c r="K2583" t="s">
        <v>450</v>
      </c>
    </row>
    <row r="2584" spans="1:11">
      <c r="A2584" s="32">
        <v>554</v>
      </c>
      <c r="B2584" s="33">
        <v>8294</v>
      </c>
      <c r="C2584" s="3">
        <v>1832000</v>
      </c>
      <c r="D2584" s="3">
        <v>1816000</v>
      </c>
      <c r="E2584" s="7">
        <f t="shared" si="77"/>
        <v>16000</v>
      </c>
      <c r="F2584" s="5">
        <v>45898</v>
      </c>
      <c r="G2584" s="4">
        <v>20250828</v>
      </c>
      <c r="H2584" s="38" t="str">
        <f>VLOOKUP(B2584,CAJEROS!B:D,3,0)</f>
        <v>Multifuncional</v>
      </c>
      <c r="I2584" s="34" t="s">
        <v>9</v>
      </c>
      <c r="J2584" s="38" t="str">
        <f>VLOOKUP(B2584,CAJEROS!B:E,4,0)</f>
        <v>MF_SBUVIII1</v>
      </c>
      <c r="K2584" t="s">
        <v>450</v>
      </c>
    </row>
    <row r="2585" spans="1:11">
      <c r="A2585" s="32">
        <v>15</v>
      </c>
      <c r="B2585" s="33">
        <v>8578</v>
      </c>
      <c r="C2585" s="3">
        <v>2990000</v>
      </c>
      <c r="D2585" s="3">
        <f>1065000+1665000</f>
        <v>2730000</v>
      </c>
      <c r="E2585" s="7">
        <f t="shared" si="77"/>
        <v>260000</v>
      </c>
      <c r="F2585" s="5">
        <v>45898</v>
      </c>
      <c r="G2585" s="4">
        <v>20250828</v>
      </c>
      <c r="H2585" s="38" t="str">
        <f>VLOOKUP(B2585,CAJEROS!B:D,3,0)</f>
        <v>Multifuncional</v>
      </c>
      <c r="I2585" s="34" t="s">
        <v>9</v>
      </c>
      <c r="J2585" s="38" t="str">
        <f>VLOOKUP(B2585,CAJEROS!B:E,4,0)</f>
        <v>MF_HITAGUI3</v>
      </c>
      <c r="K2585" t="s">
        <v>450</v>
      </c>
    </row>
    <row r="2586" spans="1:11">
      <c r="A2586" s="32">
        <v>721</v>
      </c>
      <c r="B2586" s="33">
        <v>8896</v>
      </c>
      <c r="C2586" s="3">
        <v>3010000</v>
      </c>
      <c r="D2586" s="3">
        <v>1945000</v>
      </c>
      <c r="E2586" s="7">
        <f t="shared" si="77"/>
        <v>1065000</v>
      </c>
      <c r="F2586" s="5">
        <v>45898</v>
      </c>
      <c r="G2586" s="4">
        <v>20250828</v>
      </c>
      <c r="H2586" s="38" t="str">
        <f>VLOOKUP(B2586,CAJEROS!B:D,3,0)</f>
        <v>Multifuncional</v>
      </c>
      <c r="I2586" s="34" t="s">
        <v>9</v>
      </c>
      <c r="J2586" s="38" t="str">
        <f>VLOOKUP(B2586,CAJEROS!B:E,4,0)</f>
        <v>MFSUCLAGO1</v>
      </c>
      <c r="K2586" t="s">
        <v>450</v>
      </c>
    </row>
    <row r="2587" spans="1:11">
      <c r="A2587" s="32">
        <v>890</v>
      </c>
      <c r="B2587" s="33">
        <v>9584</v>
      </c>
      <c r="C2587" s="3">
        <v>2637800</v>
      </c>
      <c r="D2587" s="3">
        <f>100000+2431000</f>
        <v>2531000</v>
      </c>
      <c r="E2587" s="7">
        <f t="shared" si="77"/>
        <v>106800</v>
      </c>
      <c r="F2587" s="5">
        <v>45898</v>
      </c>
      <c r="G2587" s="4">
        <v>20250828</v>
      </c>
      <c r="H2587" s="38" t="str">
        <f>VLOOKUP(B2587,CAJEROS!B:D,3,0)</f>
        <v>Multifuncional</v>
      </c>
      <c r="I2587" s="34" t="s">
        <v>9</v>
      </c>
      <c r="J2587" s="38" t="str">
        <f>VLOOKUP(B2587,CAJEROS!B:E,4,0)</f>
        <v>MFSUCACACI1</v>
      </c>
      <c r="K2587" t="s">
        <v>450</v>
      </c>
    </row>
    <row r="2588" spans="1:11">
      <c r="A2588" s="32">
        <v>849</v>
      </c>
      <c r="B2588" s="33">
        <v>9724</v>
      </c>
      <c r="C2588" s="3">
        <v>1890000</v>
      </c>
      <c r="D2588" s="3"/>
      <c r="E2588" s="7">
        <f t="shared" si="77"/>
        <v>1890000</v>
      </c>
      <c r="F2588" s="5">
        <v>45898</v>
      </c>
      <c r="G2588" s="4">
        <v>20250828</v>
      </c>
      <c r="H2588" s="38" t="str">
        <f>VLOOKUP(B2588,CAJEROS!B:D,3,0)</f>
        <v>Multifuncional</v>
      </c>
      <c r="I2588" s="34" t="s">
        <v>9</v>
      </c>
      <c r="J2588" s="38" t="str">
        <f>VLOOKUP(B2588,CAJEROS!B:E,4,0)</f>
        <v>MF_SUNIVIL1</v>
      </c>
      <c r="K2588" t="s">
        <v>450</v>
      </c>
    </row>
    <row r="2589" spans="1:11">
      <c r="A2589" s="32">
        <v>57</v>
      </c>
      <c r="B2589" s="33">
        <v>9963</v>
      </c>
      <c r="C2589" s="3">
        <v>2052100</v>
      </c>
      <c r="D2589" s="3">
        <v>729000</v>
      </c>
      <c r="E2589" s="7">
        <f t="shared" si="77"/>
        <v>1323100</v>
      </c>
      <c r="F2589" s="5">
        <v>45898</v>
      </c>
      <c r="G2589" s="4">
        <v>20250828</v>
      </c>
      <c r="H2589" s="38" t="str">
        <f>VLOOKUP(B2589,CAJEROS!B:D,3,0)</f>
        <v>Multifuncional</v>
      </c>
      <c r="I2589" s="34" t="s">
        <v>9</v>
      </c>
      <c r="J2589" s="38" t="str">
        <f>VLOOKUP(B2589,CAJEROS!B:E,4,0)</f>
        <v>MF_VILLAVI1</v>
      </c>
      <c r="K2589" t="s">
        <v>450</v>
      </c>
    </row>
    <row r="2590" spans="1:11">
      <c r="A2590" s="32">
        <v>553</v>
      </c>
      <c r="B2590" s="33">
        <v>6707</v>
      </c>
      <c r="C2590" s="3">
        <v>20000</v>
      </c>
      <c r="D2590" s="3"/>
      <c r="E2590" s="7">
        <f t="shared" si="77"/>
        <v>20000</v>
      </c>
      <c r="F2590" s="5">
        <v>45898</v>
      </c>
      <c r="G2590" s="4">
        <v>20250828</v>
      </c>
      <c r="H2590" s="38" t="str">
        <f>VLOOKUP(B2590,CAJEROS!B:D,3,0)</f>
        <v>Dispensador</v>
      </c>
      <c r="I2590" s="34" t="s">
        <v>10</v>
      </c>
      <c r="J2590" s="38" t="str">
        <f>VLOOKUP(B2590,CAJEROS!B:E,4,0)</f>
        <v>COPACABAN_4</v>
      </c>
      <c r="K2590" t="s">
        <v>450</v>
      </c>
    </row>
    <row r="2591" spans="1:11">
      <c r="A2591" s="32">
        <v>186</v>
      </c>
      <c r="B2591" s="33">
        <v>6513</v>
      </c>
      <c r="C2591" s="3">
        <v>20000</v>
      </c>
      <c r="D2591" s="3">
        <v>10000</v>
      </c>
      <c r="E2591" s="7">
        <f t="shared" si="77"/>
        <v>10000</v>
      </c>
      <c r="F2591" s="5">
        <v>45898</v>
      </c>
      <c r="G2591" s="4">
        <v>20250828</v>
      </c>
      <c r="H2591" s="38" t="str">
        <f>VLOOKUP(B2591,CAJEROS!B:D,3,0)</f>
        <v>Dispensador</v>
      </c>
      <c r="I2591" s="34" t="s">
        <v>10</v>
      </c>
      <c r="J2591" s="38" t="str">
        <f>VLOOKUP(B2591,CAJEROS!B:E,4,0)</f>
        <v>SUC_GALERI4</v>
      </c>
      <c r="K2591" t="s">
        <v>450</v>
      </c>
    </row>
    <row r="2592" spans="1:11">
      <c r="A2592" s="32">
        <v>64</v>
      </c>
      <c r="B2592" s="33">
        <v>6447</v>
      </c>
      <c r="C2592" s="3">
        <v>10000</v>
      </c>
      <c r="D2592" s="3"/>
      <c r="E2592" s="7">
        <f t="shared" si="77"/>
        <v>10000</v>
      </c>
      <c r="F2592" s="5">
        <v>45898</v>
      </c>
      <c r="G2592" s="4">
        <v>20250828</v>
      </c>
      <c r="H2592" s="38" t="str">
        <f>VLOOKUP(B2592,CAJEROS!B:D,3,0)</f>
        <v>Dispensador</v>
      </c>
      <c r="I2592" s="34" t="s">
        <v>10</v>
      </c>
      <c r="J2592" s="38" t="str">
        <f>VLOOKUP(B2592,CAJEROS!B:E,4,0)</f>
        <v>VIPASA_5_R</v>
      </c>
      <c r="K2592" t="s">
        <v>450</v>
      </c>
    </row>
    <row r="2593" spans="1:11">
      <c r="A2593" s="32">
        <v>658</v>
      </c>
      <c r="B2593" s="33">
        <v>6228</v>
      </c>
      <c r="C2593" s="3">
        <v>20000</v>
      </c>
      <c r="D2593" s="3">
        <v>10000</v>
      </c>
      <c r="E2593" s="7">
        <f t="shared" si="77"/>
        <v>10000</v>
      </c>
      <c r="F2593" s="5">
        <v>45898</v>
      </c>
      <c r="G2593" s="4">
        <v>20250828</v>
      </c>
      <c r="H2593" s="38" t="str">
        <f>VLOOKUP(B2593,CAJEROS!B:D,3,0)</f>
        <v>Dispensador</v>
      </c>
      <c r="I2593" s="34" t="s">
        <v>10</v>
      </c>
      <c r="J2593" s="38" t="str">
        <f>VLOOKUP(B2593,CAJEROS!B:E,4,0)</f>
        <v>SUCBELLASU1</v>
      </c>
      <c r="K2593" t="s">
        <v>450</v>
      </c>
    </row>
    <row r="2594" spans="1:11">
      <c r="A2594" s="32">
        <v>569</v>
      </c>
      <c r="B2594" s="33">
        <v>4575</v>
      </c>
      <c r="C2594" s="3">
        <v>20000</v>
      </c>
      <c r="D2594" s="3"/>
      <c r="E2594" s="7">
        <f t="shared" si="77"/>
        <v>20000</v>
      </c>
      <c r="F2594" s="5">
        <v>45898</v>
      </c>
      <c r="G2594" s="4">
        <v>20250828</v>
      </c>
      <c r="H2594" s="38" t="str">
        <f>VLOOKUP(B2594,CAJEROS!B:D,3,0)</f>
        <v>Dispensador</v>
      </c>
      <c r="I2594" s="34" t="s">
        <v>10</v>
      </c>
      <c r="J2594" s="38" t="str">
        <f>VLOOKUP(B2594,CAJEROS!B:E,4,0)</f>
        <v>SUC_BUENAM1</v>
      </c>
      <c r="K2594" t="s">
        <v>450</v>
      </c>
    </row>
    <row r="2595" spans="1:11">
      <c r="A2595" s="32">
        <v>840</v>
      </c>
      <c r="B2595" s="33">
        <v>4248</v>
      </c>
      <c r="C2595" s="3">
        <v>20000</v>
      </c>
      <c r="D2595" s="3"/>
      <c r="E2595" s="7">
        <f t="shared" si="77"/>
        <v>20000</v>
      </c>
      <c r="F2595" s="5">
        <v>45898</v>
      </c>
      <c r="G2595" s="4">
        <v>20250828</v>
      </c>
      <c r="H2595" s="38" t="str">
        <f>VLOOKUP(B2595,CAJEROS!B:D,3,0)</f>
        <v>Dispensador</v>
      </c>
      <c r="I2595" s="34" t="s">
        <v>10</v>
      </c>
      <c r="J2595" s="38" t="str">
        <f>VLOOKUP(B2595,CAJEROS!B:E,4,0)</f>
        <v>SUC_PAZARI1</v>
      </c>
      <c r="K2595" t="s">
        <v>450</v>
      </c>
    </row>
    <row r="2596" spans="1:11">
      <c r="A2596" s="32">
        <v>647</v>
      </c>
      <c r="B2596" s="33">
        <v>3863</v>
      </c>
      <c r="C2596" s="3">
        <v>20000</v>
      </c>
      <c r="D2596" s="3"/>
      <c r="E2596" s="7">
        <f t="shared" si="77"/>
        <v>20000</v>
      </c>
      <c r="F2596" s="5">
        <v>45898</v>
      </c>
      <c r="G2596" s="4">
        <v>20250828</v>
      </c>
      <c r="H2596" s="38" t="str">
        <f>VLOOKUP(B2596,CAJEROS!B:D,3,0)</f>
        <v>Dispensador</v>
      </c>
      <c r="I2596" s="34" t="s">
        <v>10</v>
      </c>
      <c r="J2596" s="38" t="str">
        <f>VLOOKUP(B2596,CAJEROS!B:E,4,0)</f>
        <v>SUC_MARINI2</v>
      </c>
      <c r="K2596" t="s">
        <v>450</v>
      </c>
    </row>
    <row r="2597" spans="1:11">
      <c r="A2597" s="32">
        <v>828</v>
      </c>
      <c r="B2597" s="33">
        <v>3103</v>
      </c>
      <c r="C2597" s="3">
        <v>20000</v>
      </c>
      <c r="D2597" s="3"/>
      <c r="E2597" s="7">
        <f t="shared" si="77"/>
        <v>20000</v>
      </c>
      <c r="F2597" s="5">
        <v>45898</v>
      </c>
      <c r="G2597" s="4">
        <v>20250828</v>
      </c>
      <c r="H2597" s="38" t="str">
        <f>VLOOKUP(B2597,CAJEROS!B:D,3,0)</f>
        <v>Dispensador</v>
      </c>
      <c r="I2597" s="34" t="s">
        <v>10</v>
      </c>
      <c r="J2597" s="38" t="str">
        <f>VLOOKUP(B2597,CAJEROS!B:E,4,0)</f>
        <v>SUC_SANJOS2</v>
      </c>
      <c r="K2597" t="s">
        <v>450</v>
      </c>
    </row>
    <row r="2598" spans="1:11">
      <c r="A2598" s="32">
        <v>567</v>
      </c>
      <c r="B2598" s="33">
        <v>2423</v>
      </c>
      <c r="C2598" s="3">
        <v>20000</v>
      </c>
      <c r="D2598" s="3"/>
      <c r="E2598" s="7">
        <f t="shared" si="77"/>
        <v>20000</v>
      </c>
      <c r="F2598" s="5">
        <v>45898</v>
      </c>
      <c r="G2598" s="4">
        <v>20250828</v>
      </c>
      <c r="H2598" s="38" t="str">
        <f>VLOOKUP(B2598,CAJEROS!B:D,3,0)</f>
        <v>Dispensador</v>
      </c>
      <c r="I2598" s="34" t="s">
        <v>10</v>
      </c>
      <c r="J2598" s="38" t="str">
        <f>VLOOKUP(B2598,CAJEROS!B:E,4,0)</f>
        <v>VENECIA_1_R</v>
      </c>
      <c r="K2598" t="s">
        <v>450</v>
      </c>
    </row>
    <row r="2599" spans="1:11">
      <c r="A2599" s="32">
        <v>831</v>
      </c>
      <c r="B2599" s="33">
        <v>1014</v>
      </c>
      <c r="C2599" s="3">
        <v>20000</v>
      </c>
      <c r="D2599" s="3"/>
      <c r="E2599" s="7">
        <f t="shared" si="77"/>
        <v>20000</v>
      </c>
      <c r="F2599" s="5">
        <v>45898</v>
      </c>
      <c r="G2599" s="4">
        <v>20250828</v>
      </c>
      <c r="H2599" s="38" t="str">
        <f>VLOOKUP(B2599,CAJEROS!B:D,3,0)</f>
        <v>Dispensador</v>
      </c>
      <c r="I2599" s="34" t="s">
        <v>10</v>
      </c>
      <c r="J2599" s="38" t="str">
        <f>VLOOKUP(B2599,CAJEROS!B:E,4,0)</f>
        <v>SUC_CAREPA4</v>
      </c>
      <c r="K2599" t="s">
        <v>450</v>
      </c>
    </row>
    <row r="2600" spans="1:11">
      <c r="A2600" s="32">
        <v>337</v>
      </c>
      <c r="B2600" s="33">
        <v>6253</v>
      </c>
      <c r="C2600" s="3">
        <v>1300000</v>
      </c>
      <c r="D2600" s="3"/>
      <c r="E2600" s="7">
        <f t="shared" si="77"/>
        <v>1300000</v>
      </c>
      <c r="F2600" s="5">
        <v>45897</v>
      </c>
      <c r="G2600" s="4">
        <v>20250808</v>
      </c>
      <c r="H2600" s="38" t="str">
        <f>VLOOKUP(B2600,CAJEROS!B:D,3,0)</f>
        <v>Multifuncional</v>
      </c>
      <c r="I2600" s="34" t="s">
        <v>454</v>
      </c>
      <c r="J2600" s="38" t="str">
        <f>VLOOKUP(B2600,CAJEROS!B:E,4,0)</f>
        <v>MF_CHIA</v>
      </c>
      <c r="K2600" t="s">
        <v>450</v>
      </c>
    </row>
    <row r="2601" spans="1:11">
      <c r="A2601" s="32">
        <v>481</v>
      </c>
      <c r="B2601" s="33">
        <v>1010</v>
      </c>
      <c r="C2601" s="3">
        <v>14860000</v>
      </c>
      <c r="D2601" s="3">
        <f>1920000+1600000</f>
        <v>3520000</v>
      </c>
      <c r="E2601" s="7">
        <f t="shared" si="77"/>
        <v>11340000</v>
      </c>
      <c r="F2601" s="5">
        <v>45900</v>
      </c>
      <c r="G2601" s="4">
        <v>20250829</v>
      </c>
      <c r="H2601" s="38" t="str">
        <f>VLOOKUP(B2601,CAJEROS!B:D,3,0)</f>
        <v>Multifuncional</v>
      </c>
      <c r="I2601" s="34"/>
      <c r="J2601" s="38" t="str">
        <f>VLOOKUP(B2601,CAJEROS!B:E,4,0)</f>
        <v>MF_SOLEDAD1</v>
      </c>
      <c r="K2601" t="s">
        <v>450</v>
      </c>
    </row>
    <row r="2602" spans="1:11">
      <c r="A2602" s="32">
        <v>682</v>
      </c>
      <c r="B2602" s="33">
        <v>5049</v>
      </c>
      <c r="C2602" s="3">
        <v>300</v>
      </c>
      <c r="D2602" s="3"/>
      <c r="E2602" s="7">
        <f t="shared" si="77"/>
        <v>300</v>
      </c>
      <c r="F2602" s="5">
        <v>45900</v>
      </c>
      <c r="G2602" s="4">
        <v>20250829</v>
      </c>
      <c r="H2602" s="38" t="str">
        <f>VLOOKUP(B2602,CAJEROS!B:D,3,0)</f>
        <v>Multifuncional</v>
      </c>
      <c r="I2602" s="34"/>
      <c r="J2602" s="38" t="str">
        <f>VLOOKUP(B2602,CAJEROS!B:E,4,0)</f>
        <v>MF_CCFONTA1</v>
      </c>
      <c r="K2602" t="s">
        <v>450</v>
      </c>
    </row>
    <row r="2603" spans="1:11">
      <c r="A2603" s="32">
        <v>244</v>
      </c>
      <c r="B2603" s="33">
        <v>5129</v>
      </c>
      <c r="C2603" s="3">
        <v>12665000</v>
      </c>
      <c r="D2603" s="3">
        <v>8830050</v>
      </c>
      <c r="E2603" s="7">
        <f t="shared" si="77"/>
        <v>3834950</v>
      </c>
      <c r="F2603" s="5">
        <v>45900</v>
      </c>
      <c r="G2603" s="4">
        <v>20250829</v>
      </c>
      <c r="H2603" s="38" t="str">
        <f>VLOOKUP(B2603,CAJEROS!B:D,3,0)</f>
        <v>Multifuncional</v>
      </c>
      <c r="I2603" s="34"/>
      <c r="J2603" s="38" t="str">
        <f>VLOOKUP(B2603,CAJEROS!B:E,4,0)</f>
        <v>MF_TRIGALAN</v>
      </c>
      <c r="K2603" t="s">
        <v>450</v>
      </c>
    </row>
    <row r="2604" spans="1:11">
      <c r="A2604" s="32">
        <v>762</v>
      </c>
      <c r="B2604" s="33">
        <v>5181</v>
      </c>
      <c r="C2604" s="3">
        <v>5905000</v>
      </c>
      <c r="D2604" s="3">
        <v>4745000</v>
      </c>
      <c r="E2604" s="7">
        <f t="shared" si="77"/>
        <v>1160000</v>
      </c>
      <c r="F2604" s="5">
        <v>45900</v>
      </c>
      <c r="G2604" s="4">
        <v>20250829</v>
      </c>
      <c r="H2604" s="38" t="str">
        <f>VLOOKUP(B2604,CAJEROS!B:D,3,0)</f>
        <v>Multifuncional</v>
      </c>
      <c r="I2604" s="34"/>
      <c r="J2604" s="38" t="str">
        <f>VLOOKUP(B2604,CAJEROS!B:E,4,0)</f>
        <v>MF_HERRADU1</v>
      </c>
      <c r="K2604" t="s">
        <v>450</v>
      </c>
    </row>
    <row r="2605" spans="1:11">
      <c r="A2605" s="32">
        <v>77</v>
      </c>
      <c r="B2605" s="33">
        <v>5204</v>
      </c>
      <c r="C2605" s="3">
        <v>9800</v>
      </c>
      <c r="D2605" s="3"/>
      <c r="E2605" s="7">
        <f t="shared" si="77"/>
        <v>9800</v>
      </c>
      <c r="F2605" s="5">
        <v>45900</v>
      </c>
      <c r="G2605" s="4">
        <v>20250829</v>
      </c>
      <c r="H2605" s="38" t="str">
        <f>VLOOKUP(B2605,CAJEROS!B:D,3,0)</f>
        <v>Multifuncional</v>
      </c>
      <c r="I2605" s="34"/>
      <c r="J2605" s="38" t="str">
        <f>VLOOKUP(B2605,CAJEROS!B:E,4,0)</f>
        <v>MF_TEQENDMA</v>
      </c>
      <c r="K2605" t="s">
        <v>450</v>
      </c>
    </row>
    <row r="2606" spans="1:11">
      <c r="A2606" s="32">
        <v>869</v>
      </c>
      <c r="B2606" s="33">
        <v>6199</v>
      </c>
      <c r="C2606" s="3">
        <v>342300</v>
      </c>
      <c r="D2606" s="3">
        <v>263000</v>
      </c>
      <c r="E2606" s="7">
        <f t="shared" si="77"/>
        <v>79300</v>
      </c>
      <c r="F2606" s="5">
        <v>45900</v>
      </c>
      <c r="G2606" s="4">
        <v>20250829</v>
      </c>
      <c r="H2606" s="38" t="e">
        <f>VLOOKUP(B2606,CAJEROS!B:D,3,0)</f>
        <v>#N/A</v>
      </c>
      <c r="I2606" s="34"/>
      <c r="J2606" s="38" t="e">
        <f>VLOOKUP(B2606,CAJEROS!B:E,4,0)</f>
        <v>#N/A</v>
      </c>
      <c r="K2606" t="s">
        <v>450</v>
      </c>
    </row>
    <row r="2607" spans="1:11">
      <c r="A2607" s="32">
        <v>389</v>
      </c>
      <c r="B2607" s="33">
        <v>7327</v>
      </c>
      <c r="C2607" s="3">
        <v>3200000</v>
      </c>
      <c r="D2607" s="3"/>
      <c r="E2607" s="7">
        <f t="shared" si="77"/>
        <v>3200000</v>
      </c>
      <c r="F2607" s="5">
        <v>45900</v>
      </c>
      <c r="G2607" s="4">
        <v>20250829</v>
      </c>
      <c r="H2607" s="38" t="str">
        <f>VLOOKUP(B2607,CAJEROS!B:D,3,0)</f>
        <v>Multifuncional</v>
      </c>
      <c r="I2607" s="34"/>
      <c r="J2607" s="38" t="str">
        <f>VLOOKUP(B2607,CAJEROS!B:E,4,0)</f>
        <v>MF_MARIQUIT</v>
      </c>
      <c r="K2607" t="s">
        <v>450</v>
      </c>
    </row>
    <row r="2608" spans="1:11">
      <c r="A2608" s="32">
        <v>495</v>
      </c>
      <c r="B2608" s="33">
        <v>8482</v>
      </c>
      <c r="C2608" s="3">
        <v>1439000</v>
      </c>
      <c r="D2608" s="3"/>
      <c r="E2608" s="7">
        <f t="shared" si="77"/>
        <v>1439000</v>
      </c>
      <c r="F2608" s="5">
        <v>45900</v>
      </c>
      <c r="G2608" s="4">
        <v>20250829</v>
      </c>
      <c r="H2608" s="38" t="str">
        <f>VLOOKUP(B2608,CAJEROS!B:D,3,0)</f>
        <v>Multifuncional</v>
      </c>
      <c r="I2608" s="34"/>
      <c r="J2608" s="38" t="str">
        <f>VLOOKUP(B2608,CAJEROS!B:E,4,0)</f>
        <v>MF_SUCBOSQ1</v>
      </c>
      <c r="K2608" t="s">
        <v>450</v>
      </c>
    </row>
    <row r="2609" spans="1:11">
      <c r="A2609" s="32">
        <v>769</v>
      </c>
      <c r="B2609" s="33">
        <v>8679</v>
      </c>
      <c r="C2609" s="3">
        <v>5000000</v>
      </c>
      <c r="D2609" s="3">
        <v>1400000</v>
      </c>
      <c r="E2609" s="7">
        <f t="shared" si="77"/>
        <v>3600000</v>
      </c>
      <c r="F2609" s="5">
        <v>45900</v>
      </c>
      <c r="G2609" s="4">
        <v>20250829</v>
      </c>
      <c r="H2609" s="38" t="str">
        <f>VLOOKUP(B2609,CAJEROS!B:D,3,0)</f>
        <v>Multifuncional</v>
      </c>
      <c r="I2609" s="34"/>
      <c r="J2609" s="38" t="str">
        <f>VLOOKUP(B2609,CAJEROS!B:E,4,0)</f>
        <v>MF_SUCPPRA1</v>
      </c>
      <c r="K2609" t="s">
        <v>450</v>
      </c>
    </row>
    <row r="2610" spans="1:11">
      <c r="A2610" s="32">
        <v>225</v>
      </c>
      <c r="B2610" s="33">
        <v>8868</v>
      </c>
      <c r="C2610" s="3">
        <v>15765000</v>
      </c>
      <c r="D2610" s="3"/>
      <c r="E2610" s="7">
        <f t="shared" si="77"/>
        <v>15765000</v>
      </c>
      <c r="F2610" s="5">
        <v>45900</v>
      </c>
      <c r="G2610" s="4">
        <v>20250829</v>
      </c>
      <c r="H2610" s="38" t="str">
        <f>VLOOKUP(B2610,CAJEROS!B:D,3,0)</f>
        <v>Multifuncional</v>
      </c>
      <c r="I2610" s="34"/>
      <c r="J2610" s="38" t="str">
        <f>VLOOKUP(B2610,CAJEROS!B:E,4,0)</f>
        <v>MF_SMPLNQS1</v>
      </c>
      <c r="K2610" t="s">
        <v>450</v>
      </c>
    </row>
    <row r="2611" spans="1:11">
      <c r="A2611" s="32">
        <v>229</v>
      </c>
      <c r="B2611" s="33">
        <v>9605</v>
      </c>
      <c r="C2611" s="3">
        <v>20000000</v>
      </c>
      <c r="D2611" s="3"/>
      <c r="E2611" s="7">
        <f t="shared" si="77"/>
        <v>20000000</v>
      </c>
      <c r="F2611" s="5">
        <v>45900</v>
      </c>
      <c r="G2611" s="4">
        <v>20250829</v>
      </c>
      <c r="H2611" s="38" t="str">
        <f>VLOOKUP(B2611,CAJEROS!B:D,3,0)</f>
        <v>Multifuncional</v>
      </c>
      <c r="I2611" s="34"/>
      <c r="J2611" s="38" t="str">
        <f>VLOOKUP(B2611,CAJEROS!B:E,4,0)</f>
        <v>MFSUCPASER2</v>
      </c>
      <c r="K2611" t="s">
        <v>450</v>
      </c>
    </row>
    <row r="2612" spans="1:11">
      <c r="A2612" s="32">
        <v>38</v>
      </c>
      <c r="B2612" s="33">
        <v>6553</v>
      </c>
      <c r="C2612" s="3">
        <v>20000</v>
      </c>
      <c r="D2612" s="3"/>
      <c r="E2612" s="7">
        <f t="shared" si="77"/>
        <v>20000</v>
      </c>
      <c r="F2612" s="5">
        <v>45900</v>
      </c>
      <c r="G2612" s="4">
        <v>20250829</v>
      </c>
      <c r="H2612" s="38" t="str">
        <f>VLOOKUP(B2612,CAJEROS!B:D,3,0)</f>
        <v>Dispensador</v>
      </c>
      <c r="I2612" s="34"/>
      <c r="J2612" s="38" t="str">
        <f>VLOOKUP(B2612,CAJEROS!B:E,4,0)</f>
        <v>PAIPA1</v>
      </c>
      <c r="K2612" t="s">
        <v>450</v>
      </c>
    </row>
    <row r="2613" spans="1:11">
      <c r="A2613" s="32">
        <v>68</v>
      </c>
      <c r="B2613" s="33">
        <v>4981</v>
      </c>
      <c r="C2613" s="3">
        <v>200000</v>
      </c>
      <c r="D2613" s="3"/>
      <c r="E2613" s="7">
        <f t="shared" si="77"/>
        <v>200000</v>
      </c>
      <c r="F2613" s="5">
        <v>45900</v>
      </c>
      <c r="G2613" s="4">
        <v>20250829</v>
      </c>
      <c r="H2613" s="38" t="str">
        <f>VLOOKUP(B2613,CAJEROS!B:D,3,0)</f>
        <v>Dispensador</v>
      </c>
      <c r="I2613" s="34"/>
      <c r="J2613" s="38" t="str">
        <f>VLOOKUP(B2613,CAJEROS!B:E,4,0)</f>
        <v>AUTO_IBAGU3</v>
      </c>
      <c r="K2613" t="s">
        <v>450</v>
      </c>
    </row>
    <row r="2614" spans="1:11">
      <c r="A2614" s="32">
        <v>77</v>
      </c>
      <c r="B2614" s="33">
        <v>4853</v>
      </c>
      <c r="C2614" s="3">
        <v>50000</v>
      </c>
      <c r="D2614" s="3"/>
      <c r="E2614" s="7">
        <f t="shared" si="77"/>
        <v>50000</v>
      </c>
      <c r="F2614" s="5">
        <v>45900</v>
      </c>
      <c r="G2614" s="4">
        <v>20250829</v>
      </c>
      <c r="H2614" s="38" t="str">
        <f>VLOOKUP(B2614,CAJEROS!B:D,3,0)</f>
        <v>Dispensador</v>
      </c>
      <c r="I2614" s="34"/>
      <c r="J2614" s="38" t="str">
        <f>VLOOKUP(B2614,CAJEROS!B:E,4,0)</f>
        <v>SUC_TEQUEN1</v>
      </c>
      <c r="K2614" t="s">
        <v>450</v>
      </c>
    </row>
    <row r="2615" spans="1:11">
      <c r="A2615" s="32">
        <v>166</v>
      </c>
      <c r="B2615" s="33">
        <v>7927</v>
      </c>
      <c r="C2615" s="3">
        <v>1700000</v>
      </c>
      <c r="D2615" s="3"/>
      <c r="E2615" s="7">
        <f t="shared" si="77"/>
        <v>1700000</v>
      </c>
      <c r="F2615" s="5">
        <v>45900</v>
      </c>
      <c r="G2615" s="4">
        <v>20250829</v>
      </c>
      <c r="H2615" s="38" t="str">
        <f>VLOOKUP(B2615,CAJEROS!B:D,3,0)</f>
        <v>Dispensador</v>
      </c>
      <c r="I2615" s="34"/>
      <c r="J2615" s="38" t="str">
        <f>VLOOKUP(B2615,CAJEROS!B:E,4,0)</f>
        <v>SUCALMSIN1</v>
      </c>
      <c r="K2615" t="s">
        <v>450</v>
      </c>
    </row>
    <row r="2616" spans="1:11">
      <c r="A2616" s="32">
        <v>481</v>
      </c>
      <c r="B2616" s="33">
        <v>1007</v>
      </c>
      <c r="C2616" s="3">
        <v>4500000</v>
      </c>
      <c r="D2616" s="3"/>
      <c r="E2616" s="7">
        <f t="shared" si="77"/>
        <v>4500000</v>
      </c>
      <c r="F2616" s="5">
        <v>45900</v>
      </c>
      <c r="G2616" s="4">
        <v>20250829</v>
      </c>
      <c r="H2616" s="38" t="str">
        <f>VLOOKUP(B2616,CAJEROS!B:D,3,0)</f>
        <v>Dispensador</v>
      </c>
      <c r="I2616" s="34"/>
      <c r="J2616" s="38" t="str">
        <f>VLOOKUP(B2616,CAJEROS!B:E,4,0)</f>
        <v>SUC_SOLEDA3</v>
      </c>
      <c r="K2616" t="s">
        <v>450</v>
      </c>
    </row>
    <row r="2617" spans="1:11">
      <c r="A2617" s="32">
        <v>520</v>
      </c>
      <c r="B2617" s="33">
        <v>4471</v>
      </c>
      <c r="C2617" s="3">
        <v>1050000</v>
      </c>
      <c r="D2617" s="3"/>
      <c r="E2617" s="7">
        <f t="shared" si="77"/>
        <v>1050000</v>
      </c>
      <c r="F2617" s="5">
        <v>45900</v>
      </c>
      <c r="G2617" s="4">
        <v>20250829</v>
      </c>
      <c r="H2617" s="38" t="str">
        <f>VLOOKUP(B2617,CAJEROS!B:D,3,0)</f>
        <v>Dispensador</v>
      </c>
      <c r="I2617" s="34"/>
      <c r="J2617" s="38" t="str">
        <f>VLOOKUP(B2617,CAJEROS!B:E,4,0)</f>
        <v>SUC_AMAGA2</v>
      </c>
      <c r="K2617" t="s">
        <v>450</v>
      </c>
    </row>
    <row r="2618" spans="1:11">
      <c r="A2618" s="32">
        <v>678</v>
      </c>
      <c r="B2618" s="33">
        <v>6014</v>
      </c>
      <c r="C2618" s="3">
        <v>15500000</v>
      </c>
      <c r="D2618" s="3"/>
      <c r="E2618" s="7">
        <f t="shared" si="77"/>
        <v>15500000</v>
      </c>
      <c r="F2618" s="5">
        <v>45900</v>
      </c>
      <c r="G2618" s="4">
        <v>20250829</v>
      </c>
      <c r="H2618" s="38" t="str">
        <f>VLOOKUP(B2618,CAJEROS!B:D,3,0)</f>
        <v>Dispensador</v>
      </c>
      <c r="I2618" s="34"/>
      <c r="J2618" s="38" t="str">
        <f>VLOOKUP(B2618,CAJEROS!B:E,4,0)</f>
        <v>PASEOCAST_5</v>
      </c>
      <c r="K2618" t="s">
        <v>450</v>
      </c>
    </row>
    <row r="2619" spans="1:11">
      <c r="A2619" s="32">
        <v>682</v>
      </c>
      <c r="B2619" s="33">
        <v>5959</v>
      </c>
      <c r="C2619" s="3">
        <v>100000</v>
      </c>
      <c r="D2619" s="3"/>
      <c r="E2619" s="7">
        <f t="shared" si="77"/>
        <v>100000</v>
      </c>
      <c r="F2619" s="5">
        <v>45900</v>
      </c>
      <c r="G2619" s="4">
        <v>20250829</v>
      </c>
      <c r="H2619" s="38" t="str">
        <f>VLOOKUP(B2619,CAJEROS!B:D,3,0)</f>
        <v>Dispensador</v>
      </c>
      <c r="I2619" s="34"/>
      <c r="J2619" s="38" t="str">
        <f>VLOOKUP(B2619,CAJEROS!B:E,4,0)</f>
        <v>SUC_CCFONT1</v>
      </c>
      <c r="K2619" t="s">
        <v>450</v>
      </c>
    </row>
    <row r="2620" spans="1:11">
      <c r="A2620" s="32">
        <v>682</v>
      </c>
      <c r="B2620" s="33">
        <v>5960</v>
      </c>
      <c r="C2620" s="3">
        <v>100000</v>
      </c>
      <c r="D2620" s="3"/>
      <c r="E2620" s="7">
        <f t="shared" si="77"/>
        <v>100000</v>
      </c>
      <c r="F2620" s="5">
        <v>45900</v>
      </c>
      <c r="G2620" s="4">
        <v>20250829</v>
      </c>
      <c r="H2620" s="38" t="str">
        <f>VLOOKUP(B2620,CAJEROS!B:D,3,0)</f>
        <v>Dispensador</v>
      </c>
      <c r="I2620" s="34"/>
      <c r="J2620" s="38" t="str">
        <f>VLOOKUP(B2620,CAJEROS!B:E,4,0)</f>
        <v>SUC_CCFONT2</v>
      </c>
      <c r="K2620" t="s">
        <v>450</v>
      </c>
    </row>
    <row r="2621" spans="1:11">
      <c r="A2621" s="32">
        <v>842</v>
      </c>
      <c r="B2621" s="33">
        <v>1645</v>
      </c>
      <c r="C2621" s="3">
        <v>100000</v>
      </c>
      <c r="D2621" s="3">
        <v>50000</v>
      </c>
      <c r="E2621" s="7">
        <f t="shared" si="77"/>
        <v>50000</v>
      </c>
      <c r="F2621" s="5">
        <v>45900</v>
      </c>
      <c r="G2621" s="4">
        <v>20250829</v>
      </c>
      <c r="H2621" s="38" t="str">
        <f>VLOOKUP(B2621,CAJEROS!B:D,3,0)</f>
        <v>Dispensador</v>
      </c>
      <c r="I2621" s="34"/>
      <c r="J2621" s="38" t="str">
        <f>VLOOKUP(B2621,CAJEROS!B:E,4,0)</f>
        <v>BVENTURA_1</v>
      </c>
      <c r="K2621" t="s">
        <v>450</v>
      </c>
    </row>
    <row r="2622" spans="1:11">
      <c r="A2622" s="32">
        <v>842</v>
      </c>
      <c r="B2622" s="33">
        <v>1646</v>
      </c>
      <c r="C2622" s="3">
        <v>2700000</v>
      </c>
      <c r="D2622" s="3"/>
      <c r="E2622" s="7">
        <f t="shared" si="77"/>
        <v>2700000</v>
      </c>
      <c r="F2622" s="5">
        <v>45900</v>
      </c>
      <c r="G2622" s="4">
        <v>20250829</v>
      </c>
      <c r="H2622" s="38" t="str">
        <f>VLOOKUP(B2622,CAJEROS!B:D,3,0)</f>
        <v>Dispensador</v>
      </c>
      <c r="I2622" s="34"/>
      <c r="J2622" s="38" t="str">
        <f>VLOOKUP(B2622,CAJEROS!B:E,4,0)</f>
        <v>BVENTURA_2</v>
      </c>
      <c r="K2622" t="s">
        <v>450</v>
      </c>
    </row>
    <row r="2623" spans="1:11">
      <c r="A2623" s="32">
        <v>863</v>
      </c>
      <c r="B2623" s="33">
        <v>3488</v>
      </c>
      <c r="C2623" s="3">
        <v>70000</v>
      </c>
      <c r="D2623" s="3"/>
      <c r="E2623" s="7">
        <f t="shared" si="77"/>
        <v>70000</v>
      </c>
      <c r="F2623" s="5">
        <v>45900</v>
      </c>
      <c r="G2623" s="4">
        <v>20250829</v>
      </c>
      <c r="H2623" s="38" t="str">
        <f>VLOOKUP(B2623,CAJEROS!B:D,3,0)</f>
        <v>Dispensador</v>
      </c>
      <c r="I2623" s="34"/>
      <c r="J2623" s="38" t="str">
        <f>VLOOKUP(B2623,CAJEROS!B:E,4,0)</f>
        <v>LOSPATIOS</v>
      </c>
      <c r="K2623" t="s">
        <v>450</v>
      </c>
    </row>
    <row r="2624" spans="1:11">
      <c r="A2624" s="32">
        <v>951</v>
      </c>
      <c r="B2624" s="33">
        <v>7777</v>
      </c>
      <c r="C2624" s="3">
        <v>100000</v>
      </c>
      <c r="D2624" s="3"/>
      <c r="E2624" s="7">
        <f t="shared" si="77"/>
        <v>100000</v>
      </c>
      <c r="F2624" s="5">
        <v>45900</v>
      </c>
      <c r="G2624" s="4">
        <v>20250829</v>
      </c>
      <c r="H2624" s="38" t="str">
        <f>VLOOKUP(B2624,CAJEROS!B:D,3,0)</f>
        <v>Dispensador</v>
      </c>
      <c r="I2624" s="34"/>
      <c r="J2624" s="38" t="str">
        <f>VLOOKUP(B2624,CAJEROS!B:E,4,0)</f>
        <v>AUTOBOSCO2</v>
      </c>
      <c r="K2624" t="s">
        <v>450</v>
      </c>
    </row>
    <row r="2625" spans="1:11">
      <c r="A2625" s="32">
        <v>795</v>
      </c>
      <c r="B2625" s="33">
        <v>1027</v>
      </c>
      <c r="C2625" s="3">
        <v>200000</v>
      </c>
      <c r="D2625" s="3"/>
      <c r="E2625" s="7">
        <f t="shared" si="77"/>
        <v>200000</v>
      </c>
      <c r="F2625" s="5">
        <v>45900</v>
      </c>
      <c r="G2625" s="4">
        <v>20250829</v>
      </c>
      <c r="H2625" s="38" t="str">
        <f>VLOOKUP(B2625,CAJEROS!B:D,3,0)</f>
        <v>Multifuncional</v>
      </c>
      <c r="I2625" s="34" t="s">
        <v>454</v>
      </c>
      <c r="J2625" s="38" t="str">
        <f>VLOOKUP(B2625,CAJEROS!B:E,4,0)</f>
        <v>MFSUCANVER1</v>
      </c>
      <c r="K2625" t="s">
        <v>450</v>
      </c>
    </row>
    <row r="2626" spans="1:11">
      <c r="A2626" s="32">
        <v>705</v>
      </c>
      <c r="B2626" s="33">
        <v>4152</v>
      </c>
      <c r="C2626" s="3">
        <v>200000</v>
      </c>
      <c r="D2626" s="3">
        <v>200000</v>
      </c>
      <c r="E2626" s="7">
        <v>0</v>
      </c>
      <c r="F2626" s="5">
        <v>45916</v>
      </c>
      <c r="G2626" s="4">
        <v>20250915</v>
      </c>
      <c r="H2626" s="38" t="s">
        <v>30</v>
      </c>
      <c r="I2626" s="34" t="s">
        <v>9</v>
      </c>
      <c r="J2626" s="38" t="s">
        <v>266</v>
      </c>
    </row>
    <row r="2627" spans="1:11">
      <c r="A2627" s="32">
        <v>705</v>
      </c>
      <c r="B2627" s="33">
        <v>4152</v>
      </c>
      <c r="C2627" s="3">
        <v>900000</v>
      </c>
      <c r="D2627" s="3">
        <v>900000</v>
      </c>
      <c r="E2627" s="7">
        <v>0</v>
      </c>
      <c r="F2627" s="5">
        <v>45918</v>
      </c>
      <c r="G2627" s="4">
        <v>20250917</v>
      </c>
      <c r="H2627" s="38" t="s">
        <v>30</v>
      </c>
      <c r="I2627" s="34" t="s">
        <v>9</v>
      </c>
      <c r="J2627" s="38" t="s">
        <v>266</v>
      </c>
    </row>
    <row r="2628" spans="1:11">
      <c r="A2628" s="32">
        <v>392</v>
      </c>
      <c r="B2628" s="33">
        <v>5064</v>
      </c>
      <c r="C2628" s="3">
        <v>3789900</v>
      </c>
      <c r="D2628" s="3">
        <v>3789900</v>
      </c>
      <c r="E2628" s="7">
        <v>0</v>
      </c>
      <c r="F2628" s="5">
        <v>45919</v>
      </c>
      <c r="G2628" s="4">
        <v>20250918</v>
      </c>
      <c r="H2628" s="38" t="s">
        <v>24</v>
      </c>
      <c r="I2628" s="34" t="s">
        <v>9</v>
      </c>
      <c r="J2628" s="38" t="s">
        <v>212</v>
      </c>
    </row>
    <row r="2629" spans="1:11">
      <c r="A2629" s="32">
        <v>337</v>
      </c>
      <c r="B2629" s="33">
        <v>6253</v>
      </c>
      <c r="C2629" s="3">
        <v>1360000</v>
      </c>
      <c r="D2629" s="3">
        <v>1360000</v>
      </c>
      <c r="E2629" s="7">
        <v>0</v>
      </c>
      <c r="F2629" s="5">
        <v>45919</v>
      </c>
      <c r="G2629" s="4">
        <v>20250918</v>
      </c>
      <c r="H2629" s="38" t="s">
        <v>24</v>
      </c>
      <c r="I2629" s="34" t="s">
        <v>9</v>
      </c>
      <c r="J2629" s="38" t="s">
        <v>352</v>
      </c>
    </row>
    <row r="2630" spans="1:11">
      <c r="A2630" s="32">
        <v>392</v>
      </c>
      <c r="B2630" s="33">
        <v>5064</v>
      </c>
      <c r="C2630" s="3">
        <v>3860000</v>
      </c>
      <c r="D2630" s="3">
        <v>3860000</v>
      </c>
      <c r="E2630" s="7">
        <v>0</v>
      </c>
      <c r="F2630" s="5">
        <v>45922</v>
      </c>
      <c r="G2630" s="4">
        <v>20250921</v>
      </c>
      <c r="H2630" s="38" t="s">
        <v>24</v>
      </c>
      <c r="I2630" s="34" t="s">
        <v>9</v>
      </c>
      <c r="J2630" s="38" t="s">
        <v>212</v>
      </c>
    </row>
    <row r="2631" spans="1:11">
      <c r="A2631" s="32">
        <v>674</v>
      </c>
      <c r="B2631" s="33">
        <v>5200</v>
      </c>
      <c r="C2631" s="3">
        <v>1510000</v>
      </c>
      <c r="D2631" s="3">
        <v>1510000</v>
      </c>
      <c r="E2631" s="7">
        <v>0</v>
      </c>
      <c r="F2631" s="5">
        <v>45924</v>
      </c>
      <c r="G2631" s="4">
        <v>20250923</v>
      </c>
      <c r="H2631" s="38" t="s">
        <v>24</v>
      </c>
      <c r="I2631" s="34" t="s">
        <v>9</v>
      </c>
      <c r="J2631" s="38" t="s">
        <v>93</v>
      </c>
    </row>
    <row r="2632" spans="1:11">
      <c r="A2632" s="32">
        <v>705</v>
      </c>
      <c r="B2632" s="33">
        <v>4152</v>
      </c>
      <c r="C2632" s="3">
        <v>100000</v>
      </c>
      <c r="D2632" s="3">
        <v>100000</v>
      </c>
      <c r="E2632" s="7">
        <v>0</v>
      </c>
      <c r="F2632" s="5">
        <v>45925</v>
      </c>
      <c r="G2632" s="4">
        <v>20250924</v>
      </c>
      <c r="H2632" s="38" t="s">
        <v>30</v>
      </c>
      <c r="I2632" s="34" t="s">
        <v>9</v>
      </c>
      <c r="J2632" s="38" t="s">
        <v>266</v>
      </c>
    </row>
    <row r="2633" spans="1:11">
      <c r="A2633" s="32">
        <v>520</v>
      </c>
      <c r="B2633" s="33">
        <v>4470</v>
      </c>
      <c r="C2633" s="3">
        <v>10000</v>
      </c>
      <c r="D2633" s="3">
        <v>10000</v>
      </c>
      <c r="E2633" s="7">
        <v>0</v>
      </c>
      <c r="F2633" s="5">
        <v>45918</v>
      </c>
      <c r="G2633" s="4">
        <v>20250917</v>
      </c>
      <c r="H2633" s="38" t="s">
        <v>30</v>
      </c>
      <c r="I2633" s="34" t="s">
        <v>10</v>
      </c>
      <c r="J2633" s="38" t="s">
        <v>115</v>
      </c>
    </row>
    <row r="2634" spans="1:11">
      <c r="A2634" s="32">
        <v>634</v>
      </c>
      <c r="B2634" s="33">
        <v>5087</v>
      </c>
      <c r="C2634" s="3">
        <v>1705200</v>
      </c>
      <c r="D2634" s="3">
        <v>1705200</v>
      </c>
      <c r="E2634" s="7">
        <v>0</v>
      </c>
      <c r="F2634" s="5">
        <v>45919</v>
      </c>
      <c r="G2634" s="4">
        <v>20250918</v>
      </c>
      <c r="H2634" s="38" t="s">
        <v>24</v>
      </c>
      <c r="I2634" s="34" t="s">
        <v>9</v>
      </c>
      <c r="J2634" s="38" t="s">
        <v>183</v>
      </c>
    </row>
    <row r="2635" spans="1:11">
      <c r="A2635" s="32">
        <v>609</v>
      </c>
      <c r="B2635" s="33">
        <v>7875</v>
      </c>
      <c r="C2635" s="3">
        <v>560000</v>
      </c>
      <c r="D2635" s="3">
        <v>560000</v>
      </c>
      <c r="E2635" s="7">
        <v>0</v>
      </c>
      <c r="F2635" s="5">
        <v>45922</v>
      </c>
      <c r="G2635" s="4">
        <v>20250921</v>
      </c>
      <c r="H2635" s="38" t="s">
        <v>24</v>
      </c>
      <c r="I2635" s="34" t="s">
        <v>9</v>
      </c>
      <c r="J2635" s="38" t="s">
        <v>416</v>
      </c>
    </row>
    <row r="2636" spans="1:11">
      <c r="A2636" s="32">
        <v>609</v>
      </c>
      <c r="B2636" s="33">
        <v>7888</v>
      </c>
      <c r="C2636" s="3">
        <v>270000</v>
      </c>
      <c r="D2636" s="3">
        <v>270000</v>
      </c>
      <c r="E2636" s="7">
        <v>0</v>
      </c>
      <c r="F2636" s="5">
        <v>45922</v>
      </c>
      <c r="G2636" s="4">
        <v>20250921</v>
      </c>
      <c r="H2636" s="38" t="s">
        <v>24</v>
      </c>
      <c r="I2636" s="34" t="s">
        <v>9</v>
      </c>
      <c r="J2636" s="38" t="s">
        <v>252</v>
      </c>
    </row>
    <row r="2637" spans="1:11">
      <c r="A2637" s="32">
        <v>634</v>
      </c>
      <c r="B2637" s="33">
        <v>5087</v>
      </c>
      <c r="C2637" s="3">
        <v>2760000</v>
      </c>
      <c r="D2637" s="3">
        <v>2760000</v>
      </c>
      <c r="E2637" s="7">
        <v>0</v>
      </c>
      <c r="F2637" s="5">
        <v>45923</v>
      </c>
      <c r="G2637" s="4">
        <v>20250922</v>
      </c>
      <c r="H2637" s="38" t="s">
        <v>24</v>
      </c>
      <c r="I2637" s="34" t="s">
        <v>9</v>
      </c>
      <c r="J2637" s="38" t="s">
        <v>183</v>
      </c>
    </row>
    <row r="2638" spans="1:11">
      <c r="A2638" s="32">
        <v>609</v>
      </c>
      <c r="B2638" s="33">
        <v>7888</v>
      </c>
      <c r="C2638" s="3">
        <v>100000</v>
      </c>
      <c r="D2638" s="3">
        <v>100000</v>
      </c>
      <c r="E2638" s="7">
        <v>0</v>
      </c>
      <c r="F2638" s="5">
        <v>45923</v>
      </c>
      <c r="G2638" s="4">
        <v>20250922</v>
      </c>
      <c r="H2638" s="38" t="s">
        <v>24</v>
      </c>
      <c r="I2638" s="34" t="s">
        <v>9</v>
      </c>
      <c r="J2638" s="38" t="s">
        <v>252</v>
      </c>
    </row>
    <row r="2639" spans="1:11">
      <c r="A2639" s="32">
        <v>652</v>
      </c>
      <c r="B2639" s="33">
        <v>5070</v>
      </c>
      <c r="C2639" s="3">
        <v>2590000</v>
      </c>
      <c r="D2639" s="3">
        <v>2590000</v>
      </c>
      <c r="E2639" s="7">
        <v>0</v>
      </c>
      <c r="F2639" s="5">
        <v>45924</v>
      </c>
      <c r="G2639" s="4">
        <v>20250923</v>
      </c>
      <c r="H2639" s="38" t="s">
        <v>24</v>
      </c>
      <c r="I2639" s="34" t="s">
        <v>9</v>
      </c>
      <c r="J2639" s="38" t="s">
        <v>201</v>
      </c>
    </row>
    <row r="2640" spans="1:11">
      <c r="A2640" s="32">
        <v>609</v>
      </c>
      <c r="B2640" s="33">
        <v>7888</v>
      </c>
      <c r="C2640" s="3">
        <v>1980000</v>
      </c>
      <c r="D2640" s="3">
        <v>1980000</v>
      </c>
      <c r="E2640" s="7">
        <v>0</v>
      </c>
      <c r="F2640" s="5">
        <v>45924</v>
      </c>
      <c r="G2640" s="4">
        <v>20250923</v>
      </c>
      <c r="H2640" s="38" t="s">
        <v>24</v>
      </c>
      <c r="I2640" s="34" t="s">
        <v>9</v>
      </c>
      <c r="J2640" s="38" t="s">
        <v>252</v>
      </c>
    </row>
    <row r="2641" spans="1:10">
      <c r="A2641" s="32">
        <v>634</v>
      </c>
      <c r="B2641" s="33">
        <v>5087</v>
      </c>
      <c r="C2641" s="3">
        <v>1680000</v>
      </c>
      <c r="D2641" s="3">
        <v>1680000</v>
      </c>
      <c r="E2641" s="7">
        <v>0</v>
      </c>
      <c r="F2641" s="5">
        <v>45924</v>
      </c>
      <c r="G2641" s="4">
        <v>20250923</v>
      </c>
      <c r="H2641" s="38" t="s">
        <v>24</v>
      </c>
      <c r="I2641" s="34" t="s">
        <v>9</v>
      </c>
      <c r="J2641" s="38" t="s">
        <v>183</v>
      </c>
    </row>
    <row r="2642" spans="1:10">
      <c r="A2642" s="32">
        <v>609</v>
      </c>
      <c r="B2642" s="33">
        <v>7875</v>
      </c>
      <c r="C2642" s="3">
        <v>230000</v>
      </c>
      <c r="D2642" s="3">
        <v>230000</v>
      </c>
      <c r="E2642" s="7">
        <v>0</v>
      </c>
      <c r="F2642" s="5">
        <v>45924</v>
      </c>
      <c r="G2642" s="4">
        <v>20250923</v>
      </c>
      <c r="H2642" s="38" t="s">
        <v>24</v>
      </c>
      <c r="I2642" s="34" t="s">
        <v>9</v>
      </c>
      <c r="J2642" s="38" t="s">
        <v>416</v>
      </c>
    </row>
    <row r="2643" spans="1:10">
      <c r="A2643" s="32">
        <v>229</v>
      </c>
      <c r="B2643" s="33">
        <v>9605</v>
      </c>
      <c r="C2643" s="3">
        <v>3830000</v>
      </c>
      <c r="D2643" s="3">
        <v>3830000</v>
      </c>
      <c r="E2643" s="7">
        <v>0</v>
      </c>
      <c r="F2643" s="5">
        <v>45925</v>
      </c>
      <c r="G2643" s="4">
        <v>20250924</v>
      </c>
      <c r="H2643" s="38" t="s">
        <v>24</v>
      </c>
      <c r="I2643" s="34" t="s">
        <v>9</v>
      </c>
      <c r="J2643" s="38" t="s">
        <v>153</v>
      </c>
    </row>
    <row r="2644" spans="1:10">
      <c r="A2644" s="32">
        <v>609</v>
      </c>
      <c r="B2644" s="33">
        <v>7875</v>
      </c>
      <c r="C2644" s="3">
        <v>1990000</v>
      </c>
      <c r="D2644" s="3">
        <v>1990000</v>
      </c>
      <c r="E2644" s="7">
        <v>0</v>
      </c>
      <c r="F2644" s="5">
        <v>45925</v>
      </c>
      <c r="G2644" s="4">
        <v>20250924</v>
      </c>
      <c r="H2644" s="38" t="s">
        <v>24</v>
      </c>
      <c r="I2644" s="34" t="s">
        <v>9</v>
      </c>
      <c r="J2644" s="38" t="s">
        <v>416</v>
      </c>
    </row>
    <row r="2645" spans="1:10">
      <c r="A2645" s="32">
        <v>229</v>
      </c>
      <c r="B2645" s="33">
        <v>9604</v>
      </c>
      <c r="C2645" s="3">
        <v>1060000</v>
      </c>
      <c r="D2645" s="3">
        <v>1060000</v>
      </c>
      <c r="E2645" s="7">
        <v>0</v>
      </c>
      <c r="F2645" s="5">
        <v>45925</v>
      </c>
      <c r="G2645" s="4">
        <v>20250924</v>
      </c>
      <c r="H2645" s="38" t="s">
        <v>24</v>
      </c>
      <c r="I2645" s="34" t="s">
        <v>9</v>
      </c>
      <c r="J2645" s="38" t="s">
        <v>384</v>
      </c>
    </row>
    <row r="2646" spans="1:10">
      <c r="A2646" s="32">
        <v>888</v>
      </c>
      <c r="B2646" s="33">
        <v>6818</v>
      </c>
      <c r="C2646" s="3">
        <v>500000</v>
      </c>
      <c r="D2646" s="3">
        <v>500000</v>
      </c>
      <c r="E2646" s="7">
        <v>0</v>
      </c>
      <c r="F2646" s="5">
        <v>45925</v>
      </c>
      <c r="G2646" s="4">
        <v>20250924</v>
      </c>
      <c r="H2646" s="38" t="s">
        <v>24</v>
      </c>
      <c r="I2646" s="34" t="s">
        <v>9</v>
      </c>
      <c r="J2646" s="38" t="s">
        <v>321</v>
      </c>
    </row>
    <row r="2647" spans="1:10">
      <c r="A2647" s="32">
        <v>730</v>
      </c>
      <c r="B2647" s="33">
        <v>7263</v>
      </c>
      <c r="C2647" s="3">
        <v>8000000</v>
      </c>
      <c r="D2647" s="3">
        <v>8000000</v>
      </c>
      <c r="E2647" s="7">
        <v>0</v>
      </c>
      <c r="F2647" s="5">
        <v>45925</v>
      </c>
      <c r="G2647" s="4">
        <v>20250924</v>
      </c>
      <c r="H2647" s="38" t="s">
        <v>30</v>
      </c>
      <c r="I2647" s="34" t="s">
        <v>9</v>
      </c>
      <c r="J2647" s="38" t="s">
        <v>455</v>
      </c>
    </row>
    <row r="2648" spans="1:10">
      <c r="A2648" s="32">
        <v>888</v>
      </c>
      <c r="B2648" s="33">
        <v>6818</v>
      </c>
      <c r="C2648" s="3">
        <v>3060000</v>
      </c>
      <c r="D2648" s="3">
        <v>3060000</v>
      </c>
      <c r="E2648" s="7">
        <v>0</v>
      </c>
      <c r="F2648" s="5">
        <v>45926</v>
      </c>
      <c r="G2648" s="4">
        <v>20250925</v>
      </c>
      <c r="H2648" s="38" t="s">
        <v>24</v>
      </c>
      <c r="I2648" s="34" t="s">
        <v>9</v>
      </c>
      <c r="J2648" s="38" t="s">
        <v>321</v>
      </c>
    </row>
    <row r="2649" spans="1:10">
      <c r="A2649" s="32">
        <v>229</v>
      </c>
      <c r="B2649" s="33">
        <v>9604</v>
      </c>
      <c r="C2649" s="3">
        <v>150000</v>
      </c>
      <c r="D2649" s="3">
        <v>150000</v>
      </c>
      <c r="E2649" s="7">
        <v>0</v>
      </c>
      <c r="F2649" s="5">
        <v>45926</v>
      </c>
      <c r="G2649" s="4">
        <v>20250925</v>
      </c>
      <c r="H2649" s="38" t="s">
        <v>24</v>
      </c>
      <c r="I2649" s="34" t="s">
        <v>9</v>
      </c>
      <c r="J2649" s="38" t="s">
        <v>384</v>
      </c>
    </row>
    <row r="2650" spans="1:10">
      <c r="A2650" s="32">
        <v>453</v>
      </c>
      <c r="B2650" s="33">
        <v>8018</v>
      </c>
      <c r="C2650" s="3">
        <v>2988050</v>
      </c>
      <c r="D2650" s="3">
        <v>2988050</v>
      </c>
      <c r="E2650" s="7">
        <v>0</v>
      </c>
      <c r="F2650" s="5">
        <v>45908</v>
      </c>
      <c r="G2650" s="4">
        <v>20250905</v>
      </c>
      <c r="H2650" s="38" t="s">
        <v>24</v>
      </c>
      <c r="I2650" s="34"/>
      <c r="J2650" s="38" t="s">
        <v>456</v>
      </c>
    </row>
    <row r="2651" spans="1:10">
      <c r="A2651" s="32">
        <v>453</v>
      </c>
      <c r="B2651" s="33">
        <v>8018</v>
      </c>
      <c r="C2651" s="3">
        <v>442000</v>
      </c>
      <c r="D2651" s="3">
        <v>442000</v>
      </c>
      <c r="E2651" s="7">
        <v>0</v>
      </c>
      <c r="F2651" s="5">
        <v>45911</v>
      </c>
      <c r="G2651" s="4">
        <v>20250910</v>
      </c>
      <c r="H2651" s="38" t="s">
        <v>24</v>
      </c>
      <c r="I2651" s="34" t="s">
        <v>9</v>
      </c>
      <c r="J2651" s="38" t="s">
        <v>456</v>
      </c>
    </row>
    <row r="2652" spans="1:10">
      <c r="A2652" s="32">
        <v>453</v>
      </c>
      <c r="B2652" s="33">
        <v>8018</v>
      </c>
      <c r="C2652" s="3">
        <v>3170000</v>
      </c>
      <c r="D2652" s="3">
        <v>3170000</v>
      </c>
      <c r="E2652" s="7">
        <v>0</v>
      </c>
      <c r="F2652" s="5">
        <v>45912</v>
      </c>
      <c r="G2652" s="4">
        <v>20250911</v>
      </c>
      <c r="H2652" s="38" t="s">
        <v>24</v>
      </c>
      <c r="I2652" s="34" t="s">
        <v>9</v>
      </c>
      <c r="J2652" s="38" t="s">
        <v>456</v>
      </c>
    </row>
    <row r="2653" spans="1:10">
      <c r="A2653" s="32">
        <v>681</v>
      </c>
      <c r="B2653" s="33">
        <v>8420</v>
      </c>
      <c r="C2653" s="3">
        <v>500000</v>
      </c>
      <c r="D2653" s="3">
        <v>500000</v>
      </c>
      <c r="E2653" s="7">
        <v>0</v>
      </c>
      <c r="F2653" s="5">
        <v>45912</v>
      </c>
      <c r="G2653" s="4">
        <v>20250911</v>
      </c>
      <c r="H2653" s="38" t="s">
        <v>30</v>
      </c>
      <c r="I2653" s="34" t="s">
        <v>9</v>
      </c>
      <c r="J2653" s="38" t="s">
        <v>117</v>
      </c>
    </row>
    <row r="2654" spans="1:10">
      <c r="A2654" s="32">
        <v>682</v>
      </c>
      <c r="B2654" s="33">
        <v>5049</v>
      </c>
      <c r="C2654" s="3">
        <v>3950000</v>
      </c>
      <c r="D2654" s="3">
        <v>3950000</v>
      </c>
      <c r="E2654" s="7">
        <v>0</v>
      </c>
      <c r="F2654" s="5">
        <v>45917</v>
      </c>
      <c r="G2654" s="4">
        <v>20250916</v>
      </c>
      <c r="H2654" s="38" t="s">
        <v>24</v>
      </c>
      <c r="I2654" s="34" t="s">
        <v>9</v>
      </c>
      <c r="J2654" s="38" t="s">
        <v>163</v>
      </c>
    </row>
    <row r="2655" spans="1:10">
      <c r="A2655" s="32">
        <v>682</v>
      </c>
      <c r="B2655" s="33">
        <v>5049</v>
      </c>
      <c r="C2655" s="3">
        <v>3600000</v>
      </c>
      <c r="D2655" s="3">
        <v>3600000</v>
      </c>
      <c r="E2655" s="7">
        <v>0</v>
      </c>
      <c r="F2655" s="5">
        <v>45918</v>
      </c>
      <c r="G2655" s="4">
        <v>20250917</v>
      </c>
      <c r="H2655" s="38" t="s">
        <v>24</v>
      </c>
      <c r="I2655" s="34" t="s">
        <v>9</v>
      </c>
      <c r="J2655" s="38" t="s">
        <v>163</v>
      </c>
    </row>
    <row r="2656" spans="1:10">
      <c r="A2656" s="32">
        <v>61</v>
      </c>
      <c r="B2656" s="33">
        <v>788</v>
      </c>
      <c r="C2656" s="3">
        <v>2340000</v>
      </c>
      <c r="D2656" s="3">
        <v>2340000</v>
      </c>
      <c r="E2656" s="7">
        <v>0</v>
      </c>
      <c r="F2656" s="5">
        <v>45919</v>
      </c>
      <c r="G2656" s="4">
        <v>20250918</v>
      </c>
      <c r="H2656" s="38" t="s">
        <v>24</v>
      </c>
      <c r="I2656" s="34" t="s">
        <v>9</v>
      </c>
      <c r="J2656" s="38" t="s">
        <v>25</v>
      </c>
    </row>
    <row r="2657" spans="1:10">
      <c r="A2657" s="32">
        <v>732</v>
      </c>
      <c r="B2657" s="33">
        <v>6966</v>
      </c>
      <c r="C2657" s="3">
        <v>320000</v>
      </c>
      <c r="D2657" s="3">
        <v>320000</v>
      </c>
      <c r="E2657" s="7">
        <v>0</v>
      </c>
      <c r="F2657" s="5">
        <v>45923</v>
      </c>
      <c r="G2657" s="4">
        <v>20250922</v>
      </c>
      <c r="H2657" s="38" t="s">
        <v>30</v>
      </c>
      <c r="I2657" s="34" t="s">
        <v>9</v>
      </c>
      <c r="J2657" s="38" t="s">
        <v>290</v>
      </c>
    </row>
    <row r="2658" spans="1:10">
      <c r="A2658" s="32">
        <v>331</v>
      </c>
      <c r="B2658" s="33">
        <v>574</v>
      </c>
      <c r="C2658" s="3">
        <v>2765000</v>
      </c>
      <c r="D2658" s="3">
        <v>2765000</v>
      </c>
      <c r="E2658" s="7">
        <v>0</v>
      </c>
      <c r="F2658" s="5">
        <v>45923</v>
      </c>
      <c r="G2658" s="4">
        <v>20250922</v>
      </c>
      <c r="H2658" s="38" t="s">
        <v>24</v>
      </c>
      <c r="I2658" s="34" t="s">
        <v>9</v>
      </c>
      <c r="J2658" s="38" t="s">
        <v>457</v>
      </c>
    </row>
    <row r="2659" spans="1:10">
      <c r="A2659" s="32">
        <v>732</v>
      </c>
      <c r="B2659" s="33">
        <v>6966</v>
      </c>
      <c r="C2659" s="3">
        <v>100000</v>
      </c>
      <c r="D2659" s="3">
        <v>100000</v>
      </c>
      <c r="E2659" s="7">
        <v>0</v>
      </c>
      <c r="F2659" s="5">
        <v>45924</v>
      </c>
      <c r="G2659" s="4">
        <v>20250923</v>
      </c>
      <c r="H2659" s="38" t="s">
        <v>30</v>
      </c>
      <c r="I2659" s="34" t="s">
        <v>9</v>
      </c>
      <c r="J2659" s="38" t="s">
        <v>290</v>
      </c>
    </row>
    <row r="2660" spans="1:10">
      <c r="A2660" s="32">
        <v>61</v>
      </c>
      <c r="B2660" s="33">
        <v>788</v>
      </c>
      <c r="C2660" s="3">
        <v>250000</v>
      </c>
      <c r="D2660" s="3">
        <v>250000</v>
      </c>
      <c r="E2660" s="7">
        <v>0</v>
      </c>
      <c r="F2660" s="5">
        <v>45924</v>
      </c>
      <c r="G2660" s="4">
        <v>20250923</v>
      </c>
      <c r="H2660" s="38" t="s">
        <v>24</v>
      </c>
      <c r="I2660" s="34" t="s">
        <v>9</v>
      </c>
      <c r="J2660" s="38" t="s">
        <v>25</v>
      </c>
    </row>
    <row r="2661" spans="1:10">
      <c r="A2661" s="32">
        <v>60</v>
      </c>
      <c r="B2661" s="33">
        <v>8727</v>
      </c>
      <c r="C2661" s="3">
        <v>300000</v>
      </c>
      <c r="D2661" s="3">
        <v>300000</v>
      </c>
      <c r="E2661" s="7">
        <v>0</v>
      </c>
      <c r="F2661" s="5">
        <v>45925</v>
      </c>
      <c r="G2661" s="4">
        <v>20250924</v>
      </c>
      <c r="H2661" s="38" t="s">
        <v>24</v>
      </c>
      <c r="I2661" s="34" t="s">
        <v>9</v>
      </c>
      <c r="J2661" s="38" t="s">
        <v>458</v>
      </c>
    </row>
    <row r="2662" spans="1:10">
      <c r="A2662" s="32">
        <v>61</v>
      </c>
      <c r="B2662" s="33">
        <v>788</v>
      </c>
      <c r="C2662" s="3">
        <v>2040000</v>
      </c>
      <c r="D2662" s="3">
        <v>2040000</v>
      </c>
      <c r="E2662" s="7">
        <v>0</v>
      </c>
      <c r="F2662" s="5">
        <v>45926</v>
      </c>
      <c r="G2662" s="4">
        <v>20250925</v>
      </c>
      <c r="H2662" s="38" t="s">
        <v>24</v>
      </c>
      <c r="I2662" s="34" t="s">
        <v>9</v>
      </c>
      <c r="J2662" s="38" t="s">
        <v>25</v>
      </c>
    </row>
    <row r="2663" spans="1:10">
      <c r="A2663" s="32">
        <v>32</v>
      </c>
      <c r="B2663" s="33">
        <v>5027</v>
      </c>
      <c r="C2663" s="3">
        <v>100000</v>
      </c>
      <c r="D2663" s="3">
        <v>100000</v>
      </c>
      <c r="E2663" s="7">
        <v>0</v>
      </c>
      <c r="F2663" s="5">
        <v>45926</v>
      </c>
      <c r="G2663" s="4">
        <v>20250925</v>
      </c>
      <c r="H2663" s="38" t="s">
        <v>24</v>
      </c>
      <c r="I2663" s="34" t="s">
        <v>9</v>
      </c>
      <c r="J2663" s="38" t="s">
        <v>280</v>
      </c>
    </row>
    <row r="2664" spans="1:10">
      <c r="A2664" s="32">
        <v>1</v>
      </c>
      <c r="B2664" s="33">
        <v>5000</v>
      </c>
      <c r="C2664" s="3">
        <v>50000</v>
      </c>
      <c r="D2664" s="3">
        <v>50000</v>
      </c>
      <c r="E2664" s="7">
        <v>0</v>
      </c>
      <c r="F2664" s="5">
        <v>45926</v>
      </c>
      <c r="G2664" s="4">
        <v>20250925</v>
      </c>
      <c r="H2664" s="38" t="s">
        <v>24</v>
      </c>
      <c r="I2664" s="34" t="s">
        <v>9</v>
      </c>
      <c r="J2664" s="38" t="s">
        <v>243</v>
      </c>
    </row>
    <row r="2665" spans="1:10">
      <c r="A2665" s="32">
        <v>765</v>
      </c>
      <c r="B2665" s="33">
        <v>4998</v>
      </c>
      <c r="C2665" s="3">
        <v>10000</v>
      </c>
      <c r="D2665" s="3">
        <v>10000</v>
      </c>
      <c r="E2665" s="7">
        <v>0</v>
      </c>
      <c r="F2665" s="5">
        <v>45926</v>
      </c>
      <c r="G2665" s="4">
        <v>20250925</v>
      </c>
      <c r="H2665" s="38" t="s">
        <v>30</v>
      </c>
      <c r="I2665" s="34" t="s">
        <v>10</v>
      </c>
      <c r="J2665" s="38" t="s">
        <v>268</v>
      </c>
    </row>
    <row r="2666" spans="1:10">
      <c r="A2666" s="32">
        <v>300</v>
      </c>
      <c r="B2666" s="33">
        <v>5139</v>
      </c>
      <c r="C2666" s="3">
        <v>1200000</v>
      </c>
      <c r="D2666" s="3">
        <v>1200000</v>
      </c>
      <c r="E2666" s="7">
        <v>0</v>
      </c>
      <c r="F2666" s="5">
        <v>45929</v>
      </c>
      <c r="G2666" s="4">
        <v>20250928</v>
      </c>
      <c r="H2666" s="38" t="s">
        <v>24</v>
      </c>
      <c r="I2666" s="34" t="s">
        <v>9</v>
      </c>
      <c r="J2666" s="38" t="s">
        <v>51</v>
      </c>
    </row>
    <row r="2667" spans="1:10">
      <c r="A2667" s="32">
        <v>332</v>
      </c>
      <c r="B2667" s="33">
        <v>7569</v>
      </c>
      <c r="C2667" s="3">
        <v>110000</v>
      </c>
      <c r="D2667" s="3">
        <v>110000</v>
      </c>
      <c r="E2667" s="7">
        <v>0</v>
      </c>
      <c r="F2667" s="5">
        <v>45929</v>
      </c>
      <c r="G2667" s="4">
        <v>20250928</v>
      </c>
      <c r="H2667" s="38" t="s">
        <v>24</v>
      </c>
      <c r="I2667" s="34" t="s">
        <v>9</v>
      </c>
      <c r="J2667" s="38" t="s">
        <v>351</v>
      </c>
    </row>
    <row r="2668" spans="1:10">
      <c r="A2668" s="32">
        <v>187</v>
      </c>
      <c r="B2668" s="33">
        <v>5485</v>
      </c>
      <c r="C2668" s="3">
        <v>2350000</v>
      </c>
      <c r="D2668" s="3">
        <v>2350000</v>
      </c>
      <c r="E2668" s="7">
        <v>0</v>
      </c>
      <c r="F2668" s="5">
        <v>45929</v>
      </c>
      <c r="G2668" s="4">
        <v>20250928</v>
      </c>
      <c r="H2668" s="38" t="s">
        <v>30</v>
      </c>
      <c r="I2668" s="34" t="s">
        <v>9</v>
      </c>
      <c r="J2668" s="38" t="s">
        <v>191</v>
      </c>
    </row>
    <row r="2669" spans="1:10">
      <c r="A2669" s="32">
        <v>909</v>
      </c>
      <c r="B2669" s="33">
        <v>6641</v>
      </c>
      <c r="C2669" s="3">
        <v>6820000</v>
      </c>
      <c r="D2669" s="3">
        <v>6820000</v>
      </c>
      <c r="E2669" s="7">
        <v>0</v>
      </c>
      <c r="F2669" s="5">
        <v>45922</v>
      </c>
      <c r="G2669" s="4">
        <v>20250921</v>
      </c>
      <c r="H2669" s="38" t="s">
        <v>30</v>
      </c>
      <c r="I2669" s="34" t="s">
        <v>9</v>
      </c>
      <c r="J2669" s="38" t="s">
        <v>239</v>
      </c>
    </row>
    <row r="2670" spans="1:10">
      <c r="A2670" s="32">
        <v>861</v>
      </c>
      <c r="B2670" s="33">
        <v>5958</v>
      </c>
      <c r="C2670" s="3">
        <v>350000</v>
      </c>
      <c r="D2670" s="3">
        <v>350000</v>
      </c>
      <c r="E2670" s="7">
        <v>0</v>
      </c>
      <c r="F2670" s="5">
        <v>45923</v>
      </c>
      <c r="G2670" s="4">
        <v>20250922</v>
      </c>
      <c r="H2670" s="38" t="s">
        <v>30</v>
      </c>
      <c r="I2670" s="34" t="s">
        <v>9</v>
      </c>
      <c r="J2670" s="38" t="s">
        <v>136</v>
      </c>
    </row>
    <row r="2671" spans="1:10">
      <c r="A2671" s="32">
        <v>909</v>
      </c>
      <c r="B2671" s="33">
        <v>6641</v>
      </c>
      <c r="C2671" s="3">
        <v>17900000</v>
      </c>
      <c r="D2671" s="3">
        <v>17900000</v>
      </c>
      <c r="E2671" s="7">
        <v>0</v>
      </c>
      <c r="F2671" s="5">
        <v>45925</v>
      </c>
      <c r="G2671" s="4">
        <v>20250924</v>
      </c>
      <c r="H2671" s="38" t="s">
        <v>30</v>
      </c>
      <c r="I2671" s="34" t="s">
        <v>9</v>
      </c>
      <c r="J2671" s="38" t="s">
        <v>239</v>
      </c>
    </row>
    <row r="2672" spans="1:10">
      <c r="A2672" s="32">
        <v>231</v>
      </c>
      <c r="B2672" s="33">
        <v>6243</v>
      </c>
      <c r="C2672" s="3">
        <v>13000</v>
      </c>
      <c r="D2672" s="3">
        <v>13000</v>
      </c>
      <c r="E2672" s="7">
        <f t="shared" ref="E2672" si="78">+C2672-D2672</f>
        <v>0</v>
      </c>
      <c r="F2672" s="5">
        <v>45925</v>
      </c>
      <c r="G2672" s="4">
        <v>20250924</v>
      </c>
      <c r="H2672" s="38" t="str">
        <f>VLOOKUP(B2672,CAJEROS!B:D,3,0)</f>
        <v>Multifuncional</v>
      </c>
      <c r="I2672" s="34" t="s">
        <v>10</v>
      </c>
      <c r="J2672" s="38" t="str">
        <f>VLOOKUP(B2672,CAJEROS!B:E,4,0)</f>
        <v>MF_RICAURTE</v>
      </c>
    </row>
    <row r="2673" spans="1:10">
      <c r="A2673" s="32">
        <v>166</v>
      </c>
      <c r="B2673" s="33">
        <v>7940</v>
      </c>
      <c r="C2673" s="3">
        <v>710000</v>
      </c>
      <c r="D2673" s="3">
        <v>710000</v>
      </c>
      <c r="E2673" s="7">
        <v>0</v>
      </c>
      <c r="F2673" s="5">
        <v>45916</v>
      </c>
      <c r="G2673" s="4">
        <v>20250915</v>
      </c>
      <c r="H2673" s="38" t="s">
        <v>24</v>
      </c>
      <c r="I2673" s="34" t="s">
        <v>9</v>
      </c>
      <c r="J2673" s="38" t="s">
        <v>55</v>
      </c>
    </row>
    <row r="2674" spans="1:10">
      <c r="A2674" s="32">
        <v>946</v>
      </c>
      <c r="B2674" s="33">
        <v>5225</v>
      </c>
      <c r="C2674" s="3">
        <v>3680000</v>
      </c>
      <c r="D2674" s="3">
        <v>3680000</v>
      </c>
      <c r="E2674" s="7">
        <v>0</v>
      </c>
      <c r="F2674" s="5">
        <v>45923</v>
      </c>
      <c r="G2674" s="4">
        <v>20250922</v>
      </c>
      <c r="H2674" s="38" t="s">
        <v>24</v>
      </c>
      <c r="I2674" s="34" t="s">
        <v>9</v>
      </c>
      <c r="J2674" s="38" t="s">
        <v>459</v>
      </c>
    </row>
    <row r="2675" spans="1:10">
      <c r="A2675" s="32">
        <v>915</v>
      </c>
      <c r="B2675" s="33">
        <v>8313</v>
      </c>
      <c r="C2675" s="3">
        <v>1330000</v>
      </c>
      <c r="D2675" s="3">
        <v>1330000</v>
      </c>
      <c r="E2675" s="7">
        <v>0</v>
      </c>
      <c r="F2675" s="5">
        <v>45923</v>
      </c>
      <c r="G2675" s="4">
        <v>20250922</v>
      </c>
      <c r="H2675" s="38" t="s">
        <v>24</v>
      </c>
      <c r="I2675" s="34" t="s">
        <v>9</v>
      </c>
      <c r="J2675" s="38" t="s">
        <v>27</v>
      </c>
    </row>
    <row r="2676" spans="1:10">
      <c r="A2676" s="32">
        <v>467</v>
      </c>
      <c r="B2676" s="33">
        <v>9051</v>
      </c>
      <c r="C2676" s="3">
        <v>40000</v>
      </c>
      <c r="D2676" s="3">
        <v>40000</v>
      </c>
      <c r="E2676" s="7">
        <v>0</v>
      </c>
      <c r="F2676" s="5">
        <v>45924</v>
      </c>
      <c r="G2676" s="4">
        <v>20250923</v>
      </c>
      <c r="H2676" s="38" t="s">
        <v>24</v>
      </c>
      <c r="I2676" s="34" t="s">
        <v>9</v>
      </c>
      <c r="J2676" s="38" t="s">
        <v>314</v>
      </c>
    </row>
    <row r="2677" spans="1:10">
      <c r="A2677" s="32">
        <v>467</v>
      </c>
      <c r="B2677" s="33">
        <v>9051</v>
      </c>
      <c r="C2677" s="3">
        <v>210000</v>
      </c>
      <c r="D2677" s="3">
        <v>210000</v>
      </c>
      <c r="E2677" s="7">
        <v>0</v>
      </c>
      <c r="F2677" s="5">
        <v>45925</v>
      </c>
      <c r="G2677" s="4">
        <v>20250924</v>
      </c>
      <c r="H2677" s="38" t="s">
        <v>24</v>
      </c>
      <c r="I2677" s="34" t="s">
        <v>9</v>
      </c>
      <c r="J2677" s="38" t="s">
        <v>314</v>
      </c>
    </row>
    <row r="2678" spans="1:10">
      <c r="A2678" s="32">
        <v>8</v>
      </c>
      <c r="B2678" s="33">
        <v>7272</v>
      </c>
      <c r="C2678" s="3">
        <v>2810600</v>
      </c>
      <c r="D2678" s="3">
        <v>2810600</v>
      </c>
      <c r="E2678" s="7">
        <v>0</v>
      </c>
      <c r="F2678" s="5">
        <v>45926</v>
      </c>
      <c r="G2678" s="4">
        <v>20250925</v>
      </c>
      <c r="H2678" s="38" t="s">
        <v>24</v>
      </c>
      <c r="I2678" s="34" t="s">
        <v>9</v>
      </c>
      <c r="J2678" s="38" t="s">
        <v>373</v>
      </c>
    </row>
    <row r="2679" spans="1:10">
      <c r="A2679" s="32">
        <v>467</v>
      </c>
      <c r="B2679" s="33">
        <v>9051</v>
      </c>
      <c r="C2679" s="3">
        <v>2600000</v>
      </c>
      <c r="D2679" s="3">
        <v>2600000</v>
      </c>
      <c r="E2679" s="7">
        <v>0</v>
      </c>
      <c r="F2679" s="5">
        <v>45926</v>
      </c>
      <c r="G2679" s="4">
        <v>20250925</v>
      </c>
      <c r="H2679" s="38" t="s">
        <v>24</v>
      </c>
      <c r="I2679" s="34" t="s">
        <v>9</v>
      </c>
      <c r="J2679" s="38" t="s">
        <v>314</v>
      </c>
    </row>
    <row r="2680" spans="1:10">
      <c r="A2680" s="32">
        <v>915</v>
      </c>
      <c r="B2680" s="33">
        <v>8313</v>
      </c>
      <c r="C2680" s="3">
        <v>220000</v>
      </c>
      <c r="D2680" s="3">
        <v>220000</v>
      </c>
      <c r="E2680" s="7">
        <v>0</v>
      </c>
      <c r="F2680" s="5">
        <v>45926</v>
      </c>
      <c r="G2680" s="4">
        <v>20250925</v>
      </c>
      <c r="H2680" s="38" t="s">
        <v>24</v>
      </c>
      <c r="I2680" s="34" t="s">
        <v>9</v>
      </c>
      <c r="J2680" s="38" t="s">
        <v>27</v>
      </c>
    </row>
    <row r="2681" spans="1:10">
      <c r="A2681" s="32">
        <v>395</v>
      </c>
      <c r="B2681" s="33">
        <v>1528</v>
      </c>
      <c r="C2681" s="3">
        <v>470000</v>
      </c>
      <c r="D2681" s="3">
        <v>470000</v>
      </c>
      <c r="E2681" s="7">
        <v>0</v>
      </c>
      <c r="F2681" s="5">
        <v>45929</v>
      </c>
      <c r="G2681" s="4">
        <v>20250928</v>
      </c>
      <c r="H2681" s="38" t="s">
        <v>24</v>
      </c>
      <c r="I2681" s="34" t="s">
        <v>9</v>
      </c>
      <c r="J2681" s="38" t="s">
        <v>211</v>
      </c>
    </row>
    <row r="2682" spans="1:10">
      <c r="A2682" s="32">
        <v>944</v>
      </c>
      <c r="B2682" s="33">
        <v>8355</v>
      </c>
      <c r="C2682" s="3">
        <v>400000</v>
      </c>
      <c r="D2682" s="3">
        <v>400000</v>
      </c>
      <c r="E2682" s="7">
        <v>0</v>
      </c>
      <c r="F2682" s="5">
        <v>45929</v>
      </c>
      <c r="G2682" s="4">
        <v>20250928</v>
      </c>
      <c r="H2682" s="38" t="s">
        <v>30</v>
      </c>
      <c r="I2682" s="34" t="s">
        <v>9</v>
      </c>
      <c r="J2682" s="38" t="s">
        <v>283</v>
      </c>
    </row>
    <row r="2683" spans="1:10">
      <c r="A2683" s="32">
        <v>229</v>
      </c>
      <c r="B2683" s="33">
        <v>9604</v>
      </c>
      <c r="C2683" s="3">
        <v>3740000</v>
      </c>
      <c r="D2683" s="3">
        <v>3740000</v>
      </c>
      <c r="E2683" s="7">
        <v>0</v>
      </c>
      <c r="F2683" s="5">
        <v>45930</v>
      </c>
      <c r="G2683" s="4">
        <v>20250929</v>
      </c>
      <c r="H2683" s="38" t="s">
        <v>24</v>
      </c>
      <c r="I2683" s="34" t="s">
        <v>9</v>
      </c>
      <c r="J2683" s="38" t="s">
        <v>384</v>
      </c>
    </row>
    <row r="2684" spans="1:10">
      <c r="A2684" s="32">
        <v>467</v>
      </c>
      <c r="B2684" s="33">
        <v>9051</v>
      </c>
      <c r="C2684" s="3">
        <v>1290000</v>
      </c>
      <c r="D2684" s="3">
        <v>1290000</v>
      </c>
      <c r="E2684" s="7">
        <v>0</v>
      </c>
      <c r="F2684" s="5">
        <v>45930</v>
      </c>
      <c r="G2684" s="4">
        <v>20250929</v>
      </c>
      <c r="H2684" s="38" t="s">
        <v>24</v>
      </c>
      <c r="I2684" s="34" t="s">
        <v>9</v>
      </c>
      <c r="J2684" s="38" t="s">
        <v>314</v>
      </c>
    </row>
    <row r="2685" spans="1:10">
      <c r="A2685" s="32">
        <v>395</v>
      </c>
      <c r="B2685" s="33">
        <v>1528</v>
      </c>
      <c r="C2685" s="3">
        <v>1230000</v>
      </c>
      <c r="D2685" s="3">
        <v>1230000</v>
      </c>
      <c r="E2685" s="7">
        <v>0</v>
      </c>
      <c r="F2685" s="5">
        <v>45930</v>
      </c>
      <c r="G2685" s="4">
        <v>20250929</v>
      </c>
      <c r="H2685" s="38" t="s">
        <v>24</v>
      </c>
      <c r="I2685" s="34" t="s">
        <v>9</v>
      </c>
      <c r="J2685" s="38" t="s">
        <v>211</v>
      </c>
    </row>
    <row r="2686" spans="1:10">
      <c r="A2686" s="32">
        <v>395</v>
      </c>
      <c r="B2686" s="33">
        <v>1529</v>
      </c>
      <c r="C2686" s="3">
        <v>340000</v>
      </c>
      <c r="D2686" s="3">
        <v>340000</v>
      </c>
      <c r="E2686" s="7">
        <v>0</v>
      </c>
      <c r="F2686" s="5">
        <v>45930</v>
      </c>
      <c r="G2686" s="4">
        <v>20250929</v>
      </c>
      <c r="H2686" s="38" t="s">
        <v>24</v>
      </c>
      <c r="I2686" s="34" t="s">
        <v>9</v>
      </c>
      <c r="J2686" s="38" t="s">
        <v>318</v>
      </c>
    </row>
    <row r="2687" spans="1:10">
      <c r="A2687" s="32">
        <v>946</v>
      </c>
      <c r="B2687" s="33">
        <v>5225</v>
      </c>
      <c r="C2687" s="3">
        <v>1150000</v>
      </c>
      <c r="D2687" s="3">
        <v>1150000</v>
      </c>
      <c r="E2687" s="7">
        <v>0</v>
      </c>
      <c r="F2687" s="5">
        <v>45911</v>
      </c>
      <c r="G2687" s="4">
        <v>20250910</v>
      </c>
      <c r="H2687" s="38" t="s">
        <v>24</v>
      </c>
      <c r="I2687" s="34" t="s">
        <v>9</v>
      </c>
      <c r="J2687" s="38" t="s">
        <v>459</v>
      </c>
    </row>
    <row r="2688" spans="1:10">
      <c r="A2688" s="32">
        <v>96</v>
      </c>
      <c r="B2688" s="33">
        <v>4257</v>
      </c>
      <c r="C2688" s="3">
        <v>440000</v>
      </c>
      <c r="D2688" s="3">
        <v>440000</v>
      </c>
      <c r="E2688" s="7">
        <v>0</v>
      </c>
      <c r="F2688" s="5">
        <v>45916</v>
      </c>
      <c r="G2688" s="4">
        <v>20250915</v>
      </c>
      <c r="H2688" s="38" t="s">
        <v>30</v>
      </c>
      <c r="I2688" s="34" t="s">
        <v>9</v>
      </c>
      <c r="J2688" s="38" t="s">
        <v>197</v>
      </c>
    </row>
    <row r="2689" spans="1:10">
      <c r="A2689" s="32">
        <v>392</v>
      </c>
      <c r="B2689" s="33">
        <v>4793</v>
      </c>
      <c r="C2689" s="3">
        <v>10000</v>
      </c>
      <c r="D2689" s="3">
        <v>10000</v>
      </c>
      <c r="E2689" s="7">
        <v>0</v>
      </c>
      <c r="F2689" s="5">
        <v>45917</v>
      </c>
      <c r="G2689" s="4">
        <v>20250916</v>
      </c>
      <c r="H2689" s="38" t="s">
        <v>30</v>
      </c>
      <c r="I2689" s="34" t="s">
        <v>10</v>
      </c>
      <c r="J2689" s="38" t="s">
        <v>460</v>
      </c>
    </row>
    <row r="2690" spans="1:10">
      <c r="A2690" s="32">
        <v>292</v>
      </c>
      <c r="B2690" s="33">
        <v>5116</v>
      </c>
      <c r="C2690" s="3">
        <v>1110000</v>
      </c>
      <c r="D2690" s="3">
        <v>1110000</v>
      </c>
      <c r="E2690" s="7">
        <v>0</v>
      </c>
      <c r="F2690" s="5">
        <v>45918</v>
      </c>
      <c r="G2690" s="4">
        <v>20250917</v>
      </c>
      <c r="H2690" s="38" t="s">
        <v>24</v>
      </c>
      <c r="I2690" s="34" t="s">
        <v>9</v>
      </c>
      <c r="J2690" s="38" t="s">
        <v>372</v>
      </c>
    </row>
    <row r="2691" spans="1:10">
      <c r="A2691" s="32">
        <v>96</v>
      </c>
      <c r="B2691" s="33">
        <v>4257</v>
      </c>
      <c r="C2691" s="3">
        <v>1630000</v>
      </c>
      <c r="D2691" s="3">
        <v>1630000</v>
      </c>
      <c r="E2691" s="7">
        <v>0</v>
      </c>
      <c r="F2691" s="5">
        <v>45919</v>
      </c>
      <c r="G2691" s="4">
        <v>20250918</v>
      </c>
      <c r="H2691" s="38" t="s">
        <v>30</v>
      </c>
      <c r="I2691" s="34" t="s">
        <v>9</v>
      </c>
      <c r="J2691" s="38" t="s">
        <v>197</v>
      </c>
    </row>
    <row r="2692" spans="1:10">
      <c r="A2692" s="32">
        <v>254</v>
      </c>
      <c r="B2692" s="33">
        <v>9211</v>
      </c>
      <c r="C2692" s="3">
        <v>100000</v>
      </c>
      <c r="D2692" s="3">
        <v>100000</v>
      </c>
      <c r="E2692" s="7">
        <v>0</v>
      </c>
      <c r="F2692" s="5">
        <v>45919</v>
      </c>
      <c r="G2692" s="4">
        <v>20250918</v>
      </c>
      <c r="H2692" s="38" t="s">
        <v>30</v>
      </c>
      <c r="I2692" s="34" t="s">
        <v>9</v>
      </c>
      <c r="J2692" s="38" t="s">
        <v>461</v>
      </c>
    </row>
    <row r="2693" spans="1:10">
      <c r="A2693" s="32">
        <v>413</v>
      </c>
      <c r="B2693" s="33">
        <v>499</v>
      </c>
      <c r="C2693" s="3">
        <v>5510000</v>
      </c>
      <c r="D2693" s="3">
        <v>5510000</v>
      </c>
      <c r="E2693" s="7">
        <v>0</v>
      </c>
      <c r="F2693" s="5">
        <v>45922</v>
      </c>
      <c r="G2693" s="4">
        <v>20250921</v>
      </c>
      <c r="H2693" s="38" t="s">
        <v>30</v>
      </c>
      <c r="I2693" s="34" t="s">
        <v>9</v>
      </c>
      <c r="J2693" s="38" t="s">
        <v>462</v>
      </c>
    </row>
    <row r="2694" spans="1:10">
      <c r="A2694" s="32">
        <v>946</v>
      </c>
      <c r="B2694" s="33">
        <v>5225</v>
      </c>
      <c r="C2694" s="3">
        <v>2450000</v>
      </c>
      <c r="D2694" s="3">
        <v>2450000</v>
      </c>
      <c r="E2694" s="7">
        <v>0</v>
      </c>
      <c r="F2694" s="5">
        <v>45922</v>
      </c>
      <c r="G2694" s="4">
        <v>20250921</v>
      </c>
      <c r="H2694" s="38" t="s">
        <v>24</v>
      </c>
      <c r="I2694" s="34" t="s">
        <v>9</v>
      </c>
      <c r="J2694" s="38" t="s">
        <v>459</v>
      </c>
    </row>
    <row r="2695" spans="1:10">
      <c r="A2695" s="32">
        <v>799</v>
      </c>
      <c r="B2695" s="33">
        <v>8186</v>
      </c>
      <c r="C2695" s="3">
        <v>200000</v>
      </c>
      <c r="D2695" s="3">
        <v>200000</v>
      </c>
      <c r="E2695" s="7">
        <v>0</v>
      </c>
      <c r="F2695" s="5">
        <v>45923</v>
      </c>
      <c r="G2695" s="4">
        <v>20250922</v>
      </c>
      <c r="H2695" s="38" t="s">
        <v>30</v>
      </c>
      <c r="I2695" s="34" t="s">
        <v>9</v>
      </c>
      <c r="J2695" s="38" t="s">
        <v>463</v>
      </c>
    </row>
    <row r="2696" spans="1:10">
      <c r="A2696" s="32">
        <v>392</v>
      </c>
      <c r="B2696" s="33">
        <v>4793</v>
      </c>
      <c r="C2696" s="3">
        <v>140000</v>
      </c>
      <c r="D2696" s="3">
        <v>140000</v>
      </c>
      <c r="E2696" s="7">
        <v>0</v>
      </c>
      <c r="F2696" s="5">
        <v>45924</v>
      </c>
      <c r="G2696" s="4">
        <v>20250923</v>
      </c>
      <c r="H2696" s="38" t="s">
        <v>30</v>
      </c>
      <c r="I2696" s="34"/>
      <c r="J2696" s="38" t="s">
        <v>460</v>
      </c>
    </row>
    <row r="2697" spans="1:10">
      <c r="A2697" s="32">
        <v>799</v>
      </c>
      <c r="B2697" s="33">
        <v>8184</v>
      </c>
      <c r="C2697" s="3">
        <v>100000</v>
      </c>
      <c r="D2697" s="3">
        <v>100000</v>
      </c>
      <c r="E2697" s="7">
        <v>0</v>
      </c>
      <c r="F2697" s="5">
        <v>45924</v>
      </c>
      <c r="G2697" s="4">
        <v>20250923</v>
      </c>
      <c r="H2697" s="38" t="s">
        <v>30</v>
      </c>
      <c r="I2697" s="34" t="s">
        <v>9</v>
      </c>
      <c r="J2697" s="38" t="s">
        <v>69</v>
      </c>
    </row>
    <row r="2698" spans="1:10">
      <c r="A2698" s="32">
        <v>799</v>
      </c>
      <c r="B2698" s="33">
        <v>8186</v>
      </c>
      <c r="C2698" s="3">
        <v>100000</v>
      </c>
      <c r="D2698" s="3">
        <v>100000</v>
      </c>
      <c r="E2698" s="7">
        <v>0</v>
      </c>
      <c r="F2698" s="5">
        <v>45924</v>
      </c>
      <c r="G2698" s="4">
        <v>20250923</v>
      </c>
      <c r="H2698" s="38" t="s">
        <v>30</v>
      </c>
      <c r="I2698" s="34" t="s">
        <v>9</v>
      </c>
      <c r="J2698" s="38" t="s">
        <v>463</v>
      </c>
    </row>
    <row r="2699" spans="1:10">
      <c r="A2699" s="32">
        <v>692</v>
      </c>
      <c r="B2699" s="33">
        <v>1515</v>
      </c>
      <c r="C2699" s="3">
        <v>2310000</v>
      </c>
      <c r="D2699" s="3">
        <v>2310000</v>
      </c>
      <c r="E2699" s="7">
        <v>0</v>
      </c>
      <c r="F2699" s="5">
        <v>45925</v>
      </c>
      <c r="G2699" s="4">
        <v>20250924</v>
      </c>
      <c r="H2699" s="38" t="s">
        <v>24</v>
      </c>
      <c r="I2699" s="34" t="s">
        <v>9</v>
      </c>
      <c r="J2699" s="38" t="s">
        <v>108</v>
      </c>
    </row>
    <row r="2700" spans="1:10">
      <c r="A2700" s="32">
        <v>799</v>
      </c>
      <c r="B2700" s="33">
        <v>8184</v>
      </c>
      <c r="C2700" s="3">
        <v>5000000</v>
      </c>
      <c r="D2700" s="3">
        <v>5000000</v>
      </c>
      <c r="E2700" s="7">
        <v>0</v>
      </c>
      <c r="F2700" s="5">
        <v>45925</v>
      </c>
      <c r="G2700" s="4">
        <v>20250924</v>
      </c>
      <c r="H2700" s="38" t="s">
        <v>30</v>
      </c>
      <c r="I2700" s="34" t="s">
        <v>9</v>
      </c>
      <c r="J2700" s="38" t="s">
        <v>69</v>
      </c>
    </row>
    <row r="2701" spans="1:10">
      <c r="A2701" s="32">
        <v>601</v>
      </c>
      <c r="B2701" s="33">
        <v>6423</v>
      </c>
      <c r="C2701" s="3">
        <v>3290000</v>
      </c>
      <c r="D2701" s="3">
        <v>3290000</v>
      </c>
      <c r="E2701" s="7">
        <v>0</v>
      </c>
      <c r="F2701" s="5">
        <v>45926</v>
      </c>
      <c r="G2701" s="4">
        <v>20250925</v>
      </c>
      <c r="H2701" s="38" t="s">
        <v>30</v>
      </c>
      <c r="I2701" s="34" t="s">
        <v>9</v>
      </c>
      <c r="J2701" s="38" t="s">
        <v>464</v>
      </c>
    </row>
    <row r="2702" spans="1:10">
      <c r="A2702" s="32">
        <v>789</v>
      </c>
      <c r="B2702" s="33">
        <v>3145</v>
      </c>
      <c r="C2702" s="3">
        <v>5000000</v>
      </c>
      <c r="D2702" s="3">
        <v>5000000</v>
      </c>
      <c r="E2702" s="7">
        <v>0</v>
      </c>
      <c r="F2702" s="5">
        <v>45926</v>
      </c>
      <c r="G2702" s="4">
        <v>20250925</v>
      </c>
      <c r="H2702" s="38" t="s">
        <v>30</v>
      </c>
      <c r="I2702" s="34" t="s">
        <v>9</v>
      </c>
      <c r="J2702" s="38" t="s">
        <v>465</v>
      </c>
    </row>
    <row r="2703" spans="1:10">
      <c r="A2703" s="32">
        <v>413</v>
      </c>
      <c r="B2703" s="33">
        <v>4636</v>
      </c>
      <c r="C2703" s="3">
        <v>11380000</v>
      </c>
      <c r="D2703" s="3">
        <v>11380000</v>
      </c>
      <c r="E2703" s="7">
        <v>0</v>
      </c>
      <c r="F2703" s="5">
        <v>45929</v>
      </c>
      <c r="G2703" s="4">
        <v>20250926</v>
      </c>
      <c r="H2703" s="38" t="s">
        <v>30</v>
      </c>
      <c r="I2703" s="34"/>
      <c r="J2703" s="38" t="s">
        <v>466</v>
      </c>
    </row>
    <row r="2704" spans="1:10">
      <c r="A2704" s="32">
        <v>764</v>
      </c>
      <c r="B2704" s="33">
        <v>4990</v>
      </c>
      <c r="C2704" s="3">
        <v>1000000</v>
      </c>
      <c r="D2704" s="3">
        <v>1000000</v>
      </c>
      <c r="E2704" s="7">
        <v>0</v>
      </c>
      <c r="F2704" s="5">
        <v>45929</v>
      </c>
      <c r="G2704" s="4">
        <v>20250928</v>
      </c>
      <c r="H2704" s="38" t="s">
        <v>30</v>
      </c>
      <c r="I2704" s="34" t="s">
        <v>9</v>
      </c>
      <c r="J2704" s="38" t="s">
        <v>467</v>
      </c>
    </row>
    <row r="2705" spans="1:10">
      <c r="A2705" s="32">
        <v>193</v>
      </c>
      <c r="B2705" s="33">
        <v>8534</v>
      </c>
      <c r="C2705" s="3">
        <v>100000</v>
      </c>
      <c r="D2705" s="3">
        <v>100000</v>
      </c>
      <c r="E2705" s="7">
        <v>0</v>
      </c>
      <c r="F2705" s="5">
        <v>45929</v>
      </c>
      <c r="G2705" s="4">
        <v>20250926</v>
      </c>
      <c r="H2705" s="38" t="s">
        <v>30</v>
      </c>
      <c r="I2705" s="34" t="s">
        <v>9</v>
      </c>
      <c r="J2705" s="38" t="s">
        <v>468</v>
      </c>
    </row>
    <row r="2706" spans="1:10">
      <c r="A2706" s="32">
        <v>253</v>
      </c>
      <c r="B2706" s="33">
        <v>5891</v>
      </c>
      <c r="C2706" s="3">
        <v>930000</v>
      </c>
      <c r="D2706" s="3">
        <v>930000</v>
      </c>
      <c r="E2706" s="7">
        <v>0</v>
      </c>
      <c r="F2706" s="5">
        <v>45930</v>
      </c>
      <c r="G2706" s="4">
        <v>20250929</v>
      </c>
      <c r="H2706" s="38" t="s">
        <v>30</v>
      </c>
      <c r="I2706" s="34"/>
      <c r="J2706" s="38" t="s">
        <v>307</v>
      </c>
    </row>
    <row r="2707" spans="1:10">
      <c r="A2707" s="32">
        <v>253</v>
      </c>
      <c r="B2707" s="33">
        <v>5892</v>
      </c>
      <c r="C2707" s="3">
        <v>2720000</v>
      </c>
      <c r="D2707" s="3">
        <v>2720000</v>
      </c>
      <c r="E2707" s="7">
        <v>0</v>
      </c>
      <c r="F2707" s="5">
        <v>45930</v>
      </c>
      <c r="G2707" s="4">
        <v>20250929</v>
      </c>
      <c r="H2707" s="38" t="s">
        <v>30</v>
      </c>
      <c r="I2707" s="34"/>
      <c r="J2707" s="38" t="s">
        <v>469</v>
      </c>
    </row>
    <row r="2708" spans="1:10">
      <c r="A2708" s="32">
        <v>422</v>
      </c>
      <c r="B2708" s="33">
        <v>4555</v>
      </c>
      <c r="C2708" s="3">
        <v>7250000</v>
      </c>
      <c r="D2708" s="3">
        <v>7250000</v>
      </c>
      <c r="E2708" s="7">
        <v>0</v>
      </c>
      <c r="F2708" s="5">
        <v>45930</v>
      </c>
      <c r="G2708" s="4">
        <v>20250929</v>
      </c>
      <c r="H2708" s="38" t="s">
        <v>30</v>
      </c>
      <c r="I2708" s="34" t="s">
        <v>9</v>
      </c>
      <c r="J2708" s="38" t="s">
        <v>138</v>
      </c>
    </row>
    <row r="2709" spans="1:10">
      <c r="A2709" s="32">
        <v>473</v>
      </c>
      <c r="B2709" s="33">
        <v>3441</v>
      </c>
      <c r="C2709" s="3">
        <v>9800000</v>
      </c>
      <c r="D2709" s="3">
        <v>9800000</v>
      </c>
      <c r="E2709" s="7">
        <v>0</v>
      </c>
      <c r="F2709" s="5">
        <v>45930</v>
      </c>
      <c r="G2709" s="4">
        <v>20250929</v>
      </c>
      <c r="H2709" s="38" t="s">
        <v>30</v>
      </c>
      <c r="I2709" s="34" t="s">
        <v>9</v>
      </c>
      <c r="J2709" s="38" t="s">
        <v>470</v>
      </c>
    </row>
    <row r="2710" spans="1:10">
      <c r="A2710" s="32">
        <v>892</v>
      </c>
      <c r="B2710" s="33">
        <v>8921</v>
      </c>
      <c r="C2710" s="3">
        <v>100000</v>
      </c>
      <c r="D2710" s="3">
        <v>100000</v>
      </c>
      <c r="E2710" s="7">
        <v>0</v>
      </c>
      <c r="F2710" s="5">
        <v>45930</v>
      </c>
      <c r="G2710" s="4">
        <v>20250929</v>
      </c>
      <c r="H2710" s="38" t="s">
        <v>30</v>
      </c>
      <c r="I2710" s="34" t="s">
        <v>9</v>
      </c>
      <c r="J2710" s="38" t="s">
        <v>471</v>
      </c>
    </row>
    <row r="2711" spans="1:10">
      <c r="A2711" s="32">
        <v>623</v>
      </c>
      <c r="B2711" s="33">
        <v>5047</v>
      </c>
      <c r="C2711" s="3">
        <v>2073000</v>
      </c>
      <c r="D2711" s="3">
        <v>2073000</v>
      </c>
      <c r="E2711" s="7">
        <v>0</v>
      </c>
      <c r="F2711" s="5">
        <v>45930</v>
      </c>
      <c r="G2711" s="4">
        <v>20250929</v>
      </c>
      <c r="H2711" s="38" t="s">
        <v>24</v>
      </c>
      <c r="I2711" s="34" t="s">
        <v>9</v>
      </c>
      <c r="J2711" s="38" t="s">
        <v>26</v>
      </c>
    </row>
    <row r="2712" spans="1:10">
      <c r="A2712" s="32">
        <v>186</v>
      </c>
      <c r="B2712" s="33">
        <v>6514</v>
      </c>
      <c r="C2712" s="3">
        <v>10000</v>
      </c>
      <c r="D2712" s="3">
        <v>10000</v>
      </c>
      <c r="E2712" s="7">
        <v>0</v>
      </c>
      <c r="F2712" s="5">
        <v>45925</v>
      </c>
      <c r="G2712" s="4">
        <v>20250924</v>
      </c>
      <c r="H2712" s="38" t="s">
        <v>30</v>
      </c>
      <c r="I2712" s="34" t="s">
        <v>10</v>
      </c>
      <c r="J2712" s="38" t="s">
        <v>139</v>
      </c>
    </row>
    <row r="2713" spans="1:10">
      <c r="A2713" s="32">
        <v>473</v>
      </c>
      <c r="B2713" s="33">
        <v>3442</v>
      </c>
      <c r="C2713" s="3">
        <v>500000</v>
      </c>
      <c r="D2713" s="3">
        <v>500000</v>
      </c>
      <c r="E2713" s="7">
        <v>0</v>
      </c>
      <c r="F2713" s="5">
        <v>45908</v>
      </c>
      <c r="G2713" s="4">
        <v>20250907</v>
      </c>
      <c r="H2713" s="38" t="s">
        <v>30</v>
      </c>
      <c r="I2713" s="34" t="s">
        <v>9</v>
      </c>
      <c r="J2713" s="38" t="s">
        <v>472</v>
      </c>
    </row>
    <row r="2714" spans="1:10">
      <c r="A2714" s="32">
        <v>606</v>
      </c>
      <c r="B2714" s="33">
        <v>5201</v>
      </c>
      <c r="C2714" s="3">
        <v>1270000</v>
      </c>
      <c r="D2714" s="3">
        <v>1270000</v>
      </c>
      <c r="E2714" s="7">
        <v>0</v>
      </c>
      <c r="F2714" s="5">
        <v>45916</v>
      </c>
      <c r="G2714" s="4">
        <v>20250915</v>
      </c>
      <c r="H2714" s="38" t="s">
        <v>24</v>
      </c>
      <c r="I2714" s="34" t="s">
        <v>9</v>
      </c>
      <c r="J2714" s="38" t="s">
        <v>247</v>
      </c>
    </row>
    <row r="2715" spans="1:10">
      <c r="A2715" s="32">
        <v>318</v>
      </c>
      <c r="B2715" s="33">
        <v>5349</v>
      </c>
      <c r="C2715" s="3">
        <v>20000</v>
      </c>
      <c r="D2715" s="3">
        <v>20000</v>
      </c>
      <c r="E2715" s="7">
        <v>0</v>
      </c>
      <c r="F2715" s="5">
        <v>45916</v>
      </c>
      <c r="G2715" s="4">
        <v>20250915</v>
      </c>
      <c r="H2715" s="38" t="s">
        <v>30</v>
      </c>
      <c r="I2715" s="34" t="s">
        <v>10</v>
      </c>
      <c r="J2715" s="38" t="s">
        <v>209</v>
      </c>
    </row>
    <row r="2716" spans="1:10">
      <c r="A2716" s="32">
        <v>829</v>
      </c>
      <c r="B2716" s="33">
        <v>5137</v>
      </c>
      <c r="C2716" s="3">
        <v>1620000</v>
      </c>
      <c r="D2716" s="3">
        <v>1620000</v>
      </c>
      <c r="E2716" s="7">
        <v>0</v>
      </c>
      <c r="F2716" s="5">
        <v>45919</v>
      </c>
      <c r="G2716" s="4">
        <v>20250918</v>
      </c>
      <c r="H2716" s="38" t="s">
        <v>24</v>
      </c>
      <c r="I2716" s="34" t="s">
        <v>9</v>
      </c>
      <c r="J2716" s="38" t="s">
        <v>50</v>
      </c>
    </row>
    <row r="2717" spans="1:10">
      <c r="A2717" s="32">
        <v>799</v>
      </c>
      <c r="B2717" s="33">
        <v>8185</v>
      </c>
      <c r="C2717" s="3">
        <v>100000</v>
      </c>
      <c r="D2717" s="3">
        <v>100000</v>
      </c>
      <c r="E2717" s="7">
        <v>0</v>
      </c>
      <c r="F2717" s="5">
        <v>45922</v>
      </c>
      <c r="G2717" s="4">
        <v>20250921</v>
      </c>
      <c r="H2717" s="38" t="s">
        <v>30</v>
      </c>
      <c r="I2717" s="34" t="s">
        <v>9</v>
      </c>
      <c r="J2717" s="38" t="s">
        <v>101</v>
      </c>
    </row>
    <row r="2718" spans="1:10">
      <c r="A2718" s="32">
        <v>864</v>
      </c>
      <c r="B2718" s="33">
        <v>5377</v>
      </c>
      <c r="C2718" s="3">
        <v>100000</v>
      </c>
      <c r="D2718" s="3">
        <v>100000</v>
      </c>
      <c r="E2718" s="7">
        <v>0</v>
      </c>
      <c r="F2718" s="5">
        <v>45922</v>
      </c>
      <c r="G2718" s="4">
        <v>20250921</v>
      </c>
      <c r="H2718" s="38" t="s">
        <v>30</v>
      </c>
      <c r="I2718" s="34" t="s">
        <v>9</v>
      </c>
      <c r="J2718" s="38" t="s">
        <v>167</v>
      </c>
    </row>
    <row r="2719" spans="1:10">
      <c r="A2719" s="32">
        <v>864</v>
      </c>
      <c r="B2719" s="33">
        <v>5795</v>
      </c>
      <c r="C2719" s="3">
        <v>200000</v>
      </c>
      <c r="D2719" s="3">
        <v>200000</v>
      </c>
      <c r="E2719" s="7">
        <v>0</v>
      </c>
      <c r="F2719" s="5">
        <v>45922</v>
      </c>
      <c r="G2719" s="4">
        <v>20250921</v>
      </c>
      <c r="H2719" s="38" t="s">
        <v>30</v>
      </c>
      <c r="I2719" s="34" t="s">
        <v>9</v>
      </c>
      <c r="J2719" s="38" t="s">
        <v>80</v>
      </c>
    </row>
    <row r="2720" spans="1:10">
      <c r="A2720" s="32">
        <v>866</v>
      </c>
      <c r="B2720" s="33">
        <v>8662</v>
      </c>
      <c r="C2720" s="3">
        <v>2140000</v>
      </c>
      <c r="D2720" s="3">
        <v>2140000</v>
      </c>
      <c r="E2720" s="7">
        <v>0</v>
      </c>
      <c r="F2720" s="5">
        <v>45923</v>
      </c>
      <c r="G2720" s="4">
        <v>20250922</v>
      </c>
      <c r="H2720" s="38" t="s">
        <v>24</v>
      </c>
      <c r="I2720" s="34" t="s">
        <v>9</v>
      </c>
      <c r="J2720" s="38" t="s">
        <v>131</v>
      </c>
    </row>
    <row r="2721" spans="1:10">
      <c r="A2721" s="32">
        <v>232</v>
      </c>
      <c r="B2721" s="33">
        <v>4062</v>
      </c>
      <c r="C2721" s="3">
        <v>30000</v>
      </c>
      <c r="D2721" s="3">
        <v>30000</v>
      </c>
      <c r="E2721" s="7">
        <v>0</v>
      </c>
      <c r="F2721" s="5">
        <v>45924</v>
      </c>
      <c r="G2721" s="4">
        <v>20250923</v>
      </c>
      <c r="H2721" s="38" t="s">
        <v>30</v>
      </c>
      <c r="I2721" s="34" t="s">
        <v>9</v>
      </c>
      <c r="J2721" s="38" t="s">
        <v>473</v>
      </c>
    </row>
    <row r="2722" spans="1:10">
      <c r="A2722" s="32">
        <v>606</v>
      </c>
      <c r="B2722" s="33">
        <v>5201</v>
      </c>
      <c r="C2722" s="3">
        <v>1530000</v>
      </c>
      <c r="D2722" s="3">
        <v>1530000</v>
      </c>
      <c r="E2722" s="7">
        <v>0</v>
      </c>
      <c r="F2722" s="5">
        <v>45924</v>
      </c>
      <c r="G2722" s="4">
        <v>20250923</v>
      </c>
      <c r="H2722" s="38" t="s">
        <v>24</v>
      </c>
      <c r="I2722" s="34" t="s">
        <v>9</v>
      </c>
      <c r="J2722" s="38" t="s">
        <v>247</v>
      </c>
    </row>
    <row r="2723" spans="1:10">
      <c r="A2723" s="32">
        <v>829</v>
      </c>
      <c r="B2723" s="33">
        <v>5137</v>
      </c>
      <c r="C2723" s="3">
        <v>1030000</v>
      </c>
      <c r="D2723" s="3">
        <v>1030000</v>
      </c>
      <c r="E2723" s="7">
        <v>0</v>
      </c>
      <c r="F2723" s="5">
        <v>45924</v>
      </c>
      <c r="G2723" s="4">
        <v>20250923</v>
      </c>
      <c r="H2723" s="38" t="s">
        <v>24</v>
      </c>
      <c r="I2723" s="34" t="s">
        <v>9</v>
      </c>
      <c r="J2723" s="38" t="s">
        <v>50</v>
      </c>
    </row>
    <row r="2724" spans="1:10">
      <c r="A2724" s="32">
        <v>866</v>
      </c>
      <c r="B2724" s="33">
        <v>8662</v>
      </c>
      <c r="C2724" s="3">
        <v>3270000</v>
      </c>
      <c r="D2724" s="3">
        <v>3270000</v>
      </c>
      <c r="E2724" s="7">
        <v>0</v>
      </c>
      <c r="F2724" s="5">
        <v>45925</v>
      </c>
      <c r="G2724" s="4">
        <v>20250924</v>
      </c>
      <c r="H2724" s="38" t="s">
        <v>24</v>
      </c>
      <c r="I2724" s="34" t="s">
        <v>9</v>
      </c>
      <c r="J2724" s="38" t="s">
        <v>131</v>
      </c>
    </row>
    <row r="2725" spans="1:10">
      <c r="A2725" s="32">
        <v>348</v>
      </c>
      <c r="B2725" s="33">
        <v>192</v>
      </c>
      <c r="C2725" s="3">
        <v>615000</v>
      </c>
      <c r="D2725" s="3">
        <v>615000</v>
      </c>
      <c r="E2725" s="7">
        <v>0</v>
      </c>
      <c r="F2725" s="5">
        <v>45925</v>
      </c>
      <c r="G2725" s="4">
        <v>20250924</v>
      </c>
      <c r="H2725" s="38" t="e">
        <v>#N/A</v>
      </c>
      <c r="I2725" s="34" t="s">
        <v>9</v>
      </c>
      <c r="J2725" s="38" t="e">
        <v>#N/A</v>
      </c>
    </row>
    <row r="2726" spans="1:10">
      <c r="A2726" s="32">
        <v>332</v>
      </c>
      <c r="B2726" s="33">
        <v>7569</v>
      </c>
      <c r="C2726" s="3">
        <v>40000</v>
      </c>
      <c r="D2726" s="3">
        <v>40000</v>
      </c>
      <c r="E2726" s="7">
        <v>0</v>
      </c>
      <c r="F2726" s="5">
        <v>45925</v>
      </c>
      <c r="G2726" s="4">
        <v>20250924</v>
      </c>
      <c r="H2726" s="38" t="s">
        <v>24</v>
      </c>
      <c r="I2726" s="34" t="s">
        <v>9</v>
      </c>
      <c r="J2726" s="38" t="s">
        <v>351</v>
      </c>
    </row>
    <row r="2727" spans="1:10">
      <c r="A2727" s="32">
        <v>232</v>
      </c>
      <c r="B2727" s="33">
        <v>4062</v>
      </c>
      <c r="C2727" s="3">
        <v>120000</v>
      </c>
      <c r="D2727" s="3">
        <v>120000</v>
      </c>
      <c r="E2727" s="7">
        <v>0</v>
      </c>
      <c r="F2727" s="5">
        <v>45925</v>
      </c>
      <c r="G2727" s="4">
        <v>20250924</v>
      </c>
      <c r="H2727" s="38" t="s">
        <v>30</v>
      </c>
      <c r="I2727" s="34" t="s">
        <v>9</v>
      </c>
      <c r="J2727" s="38" t="s">
        <v>473</v>
      </c>
    </row>
    <row r="2728" spans="1:10">
      <c r="A2728" s="32">
        <v>799</v>
      </c>
      <c r="B2728" s="33">
        <v>8185</v>
      </c>
      <c r="C2728" s="3">
        <v>100000</v>
      </c>
      <c r="D2728" s="3">
        <v>100000</v>
      </c>
      <c r="E2728" s="7">
        <v>0</v>
      </c>
      <c r="F2728" s="5">
        <v>45925</v>
      </c>
      <c r="G2728" s="4">
        <v>20250924</v>
      </c>
      <c r="H2728" s="38" t="s">
        <v>30</v>
      </c>
      <c r="I2728" s="34" t="s">
        <v>9</v>
      </c>
      <c r="J2728" s="38" t="s">
        <v>101</v>
      </c>
    </row>
    <row r="2729" spans="1:10">
      <c r="A2729" s="32">
        <v>864</v>
      </c>
      <c r="B2729" s="33">
        <v>5377</v>
      </c>
      <c r="C2729" s="3">
        <v>100000</v>
      </c>
      <c r="D2729" s="3">
        <v>100000</v>
      </c>
      <c r="E2729" s="7">
        <v>0</v>
      </c>
      <c r="F2729" s="5">
        <v>45925</v>
      </c>
      <c r="G2729" s="4">
        <v>20250924</v>
      </c>
      <c r="H2729" s="38" t="s">
        <v>30</v>
      </c>
      <c r="I2729" s="34" t="s">
        <v>9</v>
      </c>
      <c r="J2729" s="38" t="s">
        <v>167</v>
      </c>
    </row>
    <row r="2730" spans="1:10">
      <c r="A2730" s="32">
        <v>864</v>
      </c>
      <c r="B2730" s="33">
        <v>5377</v>
      </c>
      <c r="C2730" s="3">
        <v>100000</v>
      </c>
      <c r="D2730" s="3">
        <v>100000</v>
      </c>
      <c r="E2730" s="7">
        <v>0</v>
      </c>
      <c r="F2730" s="5">
        <v>45926</v>
      </c>
      <c r="G2730" s="4">
        <v>20250925</v>
      </c>
      <c r="H2730" s="38" t="s">
        <v>30</v>
      </c>
      <c r="I2730" s="34" t="s">
        <v>9</v>
      </c>
      <c r="J2730" s="38" t="s">
        <v>167</v>
      </c>
    </row>
    <row r="2731" spans="1:10">
      <c r="A2731" s="32">
        <v>864</v>
      </c>
      <c r="B2731" s="33">
        <v>5795</v>
      </c>
      <c r="C2731" s="3">
        <v>200000</v>
      </c>
      <c r="D2731" s="3">
        <v>200000</v>
      </c>
      <c r="E2731" s="7">
        <v>0</v>
      </c>
      <c r="F2731" s="5">
        <v>45926</v>
      </c>
      <c r="G2731" s="4">
        <v>20250925</v>
      </c>
      <c r="H2731" s="38" t="s">
        <v>30</v>
      </c>
      <c r="I2731" s="34" t="s">
        <v>9</v>
      </c>
      <c r="J2731" s="38" t="s">
        <v>80</v>
      </c>
    </row>
    <row r="2732" spans="1:10">
      <c r="A2732" s="32">
        <v>348</v>
      </c>
      <c r="B2732" s="33">
        <v>192</v>
      </c>
      <c r="C2732" s="3">
        <v>170000</v>
      </c>
      <c r="D2732" s="3">
        <v>170000</v>
      </c>
      <c r="E2732" s="7">
        <v>0</v>
      </c>
      <c r="F2732" s="5">
        <v>45926</v>
      </c>
      <c r="G2732" s="4">
        <v>20250925</v>
      </c>
      <c r="H2732" s="38" t="e">
        <v>#N/A</v>
      </c>
      <c r="I2732" s="34" t="s">
        <v>9</v>
      </c>
      <c r="J2732" s="38" t="e">
        <v>#N/A</v>
      </c>
    </row>
    <row r="2733" spans="1:10">
      <c r="A2733" s="32">
        <v>681</v>
      </c>
      <c r="B2733" s="33">
        <v>8496</v>
      </c>
      <c r="C2733" s="3">
        <v>2700000</v>
      </c>
      <c r="D2733" s="3">
        <v>2700000</v>
      </c>
      <c r="E2733" s="7">
        <v>0</v>
      </c>
      <c r="F2733" s="5">
        <v>45929</v>
      </c>
      <c r="G2733" s="4">
        <v>20250928</v>
      </c>
      <c r="H2733" s="38" t="s">
        <v>30</v>
      </c>
      <c r="I2733" s="34" t="s">
        <v>9</v>
      </c>
      <c r="J2733" s="38" t="s">
        <v>474</v>
      </c>
    </row>
    <row r="2734" spans="1:10">
      <c r="A2734" s="32">
        <v>864</v>
      </c>
      <c r="B2734" s="33">
        <v>5377</v>
      </c>
      <c r="C2734" s="3">
        <v>2700000</v>
      </c>
      <c r="D2734" s="3">
        <v>2700000</v>
      </c>
      <c r="E2734" s="7">
        <v>0</v>
      </c>
      <c r="F2734" s="5">
        <v>45929</v>
      </c>
      <c r="G2734" s="4">
        <v>20250928</v>
      </c>
      <c r="H2734" s="38" t="s">
        <v>30</v>
      </c>
      <c r="I2734" s="34" t="s">
        <v>9</v>
      </c>
      <c r="J2734" s="38" t="s">
        <v>167</v>
      </c>
    </row>
    <row r="2735" spans="1:10">
      <c r="A2735" s="32">
        <v>864</v>
      </c>
      <c r="B2735" s="33">
        <v>5795</v>
      </c>
      <c r="C2735" s="3">
        <v>70000</v>
      </c>
      <c r="D2735" s="3">
        <v>70000</v>
      </c>
      <c r="E2735" s="7">
        <v>0</v>
      </c>
      <c r="F2735" s="5">
        <v>45929</v>
      </c>
      <c r="G2735" s="4">
        <v>20250928</v>
      </c>
      <c r="H2735" s="38" t="s">
        <v>30</v>
      </c>
      <c r="I2735" s="34" t="s">
        <v>9</v>
      </c>
      <c r="J2735" s="38" t="s">
        <v>80</v>
      </c>
    </row>
    <row r="2736" spans="1:10">
      <c r="A2736" s="32">
        <v>348</v>
      </c>
      <c r="B2736" s="33">
        <v>192</v>
      </c>
      <c r="C2736" s="3">
        <v>7346000</v>
      </c>
      <c r="D2736" s="3">
        <v>7346000</v>
      </c>
      <c r="E2736" s="7">
        <v>0</v>
      </c>
      <c r="F2736" s="5">
        <v>45930</v>
      </c>
      <c r="G2736" s="4">
        <v>20250930</v>
      </c>
      <c r="H2736" s="38" t="e">
        <v>#N/A</v>
      </c>
      <c r="I2736" s="34" t="s">
        <v>475</v>
      </c>
      <c r="J2736" s="38" t="e">
        <v>#N/A</v>
      </c>
    </row>
    <row r="2737" spans="1:10">
      <c r="A2737" s="32">
        <v>232</v>
      </c>
      <c r="B2737" s="33">
        <v>4062</v>
      </c>
      <c r="C2737" s="3">
        <v>800000</v>
      </c>
      <c r="D2737" s="3">
        <v>800000</v>
      </c>
      <c r="E2737" s="7">
        <v>0</v>
      </c>
      <c r="F2737" s="5">
        <v>45932</v>
      </c>
      <c r="G2737" s="4">
        <v>20251001</v>
      </c>
      <c r="H2737" s="38" t="s">
        <v>30</v>
      </c>
      <c r="I2737" s="34" t="s">
        <v>9</v>
      </c>
      <c r="J2737" s="38" t="s">
        <v>473</v>
      </c>
    </row>
    <row r="2738" spans="1:10">
      <c r="A2738" s="32">
        <v>864</v>
      </c>
      <c r="B2738" s="33">
        <v>5377</v>
      </c>
      <c r="C2738" s="3">
        <v>300000</v>
      </c>
      <c r="D2738" s="3">
        <v>300000</v>
      </c>
      <c r="E2738" s="7">
        <v>0</v>
      </c>
      <c r="F2738" s="5">
        <v>45932</v>
      </c>
      <c r="G2738" s="4">
        <v>20251001</v>
      </c>
      <c r="H2738" s="38" t="s">
        <v>30</v>
      </c>
      <c r="I2738" s="34" t="s">
        <v>9</v>
      </c>
      <c r="J2738" s="38" t="s">
        <v>167</v>
      </c>
    </row>
    <row r="2739" spans="1:10">
      <c r="A2739" s="32">
        <v>721</v>
      </c>
      <c r="B2739" s="33">
        <v>8897</v>
      </c>
      <c r="C2739" s="3">
        <v>429000</v>
      </c>
      <c r="D2739" s="3">
        <v>429000</v>
      </c>
      <c r="E2739" s="7">
        <v>0</v>
      </c>
      <c r="F2739" s="5">
        <v>45932</v>
      </c>
      <c r="G2739" s="4">
        <v>20251001</v>
      </c>
      <c r="H2739" s="38" t="s">
        <v>24</v>
      </c>
      <c r="I2739" s="34" t="s">
        <v>9</v>
      </c>
      <c r="J2739" s="38" t="s">
        <v>476</v>
      </c>
    </row>
    <row r="2740" spans="1:10">
      <c r="A2740" s="32">
        <v>1</v>
      </c>
      <c r="B2740" s="33">
        <v>5000</v>
      </c>
      <c r="C2740" s="3">
        <v>230000</v>
      </c>
      <c r="D2740" s="3">
        <v>230000</v>
      </c>
      <c r="E2740" s="7">
        <v>0</v>
      </c>
      <c r="F2740" s="5">
        <v>45932</v>
      </c>
      <c r="G2740" s="4">
        <v>20251001</v>
      </c>
      <c r="H2740" s="38" t="s">
        <v>24</v>
      </c>
      <c r="I2740" s="34" t="s">
        <v>9</v>
      </c>
      <c r="J2740" s="38" t="s">
        <v>243</v>
      </c>
    </row>
    <row r="2741" spans="1:10">
      <c r="A2741" s="32">
        <v>810</v>
      </c>
      <c r="B2741" s="33">
        <v>8204</v>
      </c>
      <c r="C2741" s="3">
        <v>157950</v>
      </c>
      <c r="D2741" s="3">
        <v>157950</v>
      </c>
      <c r="E2741" s="7">
        <v>0</v>
      </c>
      <c r="F2741" s="5">
        <v>45932</v>
      </c>
      <c r="G2741" s="4">
        <v>20251001</v>
      </c>
      <c r="H2741" s="38" t="s">
        <v>24</v>
      </c>
      <c r="I2741" s="34" t="s">
        <v>9</v>
      </c>
      <c r="J2741" s="38" t="s">
        <v>360</v>
      </c>
    </row>
    <row r="2742" spans="1:10">
      <c r="A2742" s="32">
        <v>40</v>
      </c>
      <c r="B2742" s="33">
        <v>5142</v>
      </c>
      <c r="C2742" s="3">
        <v>60000</v>
      </c>
      <c r="D2742" s="3">
        <v>60000</v>
      </c>
      <c r="E2742" s="7">
        <v>0</v>
      </c>
      <c r="F2742" s="5">
        <v>45932</v>
      </c>
      <c r="G2742" s="4">
        <v>20251001</v>
      </c>
      <c r="H2742" s="38" t="s">
        <v>24</v>
      </c>
      <c r="I2742" s="34" t="s">
        <v>9</v>
      </c>
      <c r="J2742" s="38" t="s">
        <v>477</v>
      </c>
    </row>
    <row r="2743" spans="1:10">
      <c r="A2743" s="32">
        <v>73</v>
      </c>
      <c r="B2743" s="33">
        <v>5108</v>
      </c>
      <c r="C2743" s="3">
        <v>50000</v>
      </c>
      <c r="D2743" s="3">
        <v>50000</v>
      </c>
      <c r="E2743" s="7">
        <v>0</v>
      </c>
      <c r="F2743" s="5">
        <v>45932</v>
      </c>
      <c r="G2743" s="4">
        <v>20251001</v>
      </c>
      <c r="H2743" s="38" t="s">
        <v>24</v>
      </c>
      <c r="I2743" s="34" t="s">
        <v>9</v>
      </c>
      <c r="J2743" s="38" t="s">
        <v>478</v>
      </c>
    </row>
    <row r="2744" spans="1:10">
      <c r="A2744" s="32">
        <v>894</v>
      </c>
      <c r="B2744" s="33">
        <v>6466</v>
      </c>
      <c r="C2744" s="3">
        <v>2550000</v>
      </c>
      <c r="D2744" s="3">
        <v>2550000</v>
      </c>
      <c r="E2744" s="7">
        <v>0</v>
      </c>
      <c r="F2744" s="5">
        <v>45902</v>
      </c>
      <c r="G2744" s="4">
        <v>20250901</v>
      </c>
      <c r="H2744" s="38" t="s">
        <v>24</v>
      </c>
      <c r="I2744" s="34"/>
      <c r="J2744" s="38" t="s">
        <v>420</v>
      </c>
    </row>
    <row r="2745" spans="1:10">
      <c r="A2745" s="32">
        <v>832</v>
      </c>
      <c r="B2745" s="33">
        <v>4768</v>
      </c>
      <c r="C2745" s="3">
        <v>3730000</v>
      </c>
      <c r="D2745" s="3">
        <v>3730000</v>
      </c>
      <c r="E2745" s="7">
        <v>0</v>
      </c>
      <c r="F2745" s="5">
        <v>45911</v>
      </c>
      <c r="G2745" s="4">
        <v>20250910</v>
      </c>
      <c r="H2745" s="38" t="s">
        <v>30</v>
      </c>
      <c r="I2745" s="34" t="s">
        <v>9</v>
      </c>
      <c r="J2745" s="38" t="s">
        <v>207</v>
      </c>
    </row>
    <row r="2746" spans="1:10">
      <c r="A2746" s="32">
        <v>297</v>
      </c>
      <c r="B2746" s="33">
        <v>5398</v>
      </c>
      <c r="C2746" s="3">
        <v>20000</v>
      </c>
      <c r="D2746" s="3">
        <v>20000</v>
      </c>
      <c r="E2746" s="7">
        <v>0</v>
      </c>
      <c r="F2746" s="5">
        <v>45917</v>
      </c>
      <c r="G2746" s="4">
        <v>20250916</v>
      </c>
      <c r="H2746" s="38" t="s">
        <v>30</v>
      </c>
      <c r="I2746" s="34" t="s">
        <v>10</v>
      </c>
      <c r="J2746" s="38" t="s">
        <v>312</v>
      </c>
    </row>
    <row r="2747" spans="1:10">
      <c r="A2747" s="32">
        <v>297</v>
      </c>
      <c r="B2747" s="33">
        <v>5398</v>
      </c>
      <c r="C2747" s="3">
        <v>80000</v>
      </c>
      <c r="D2747" s="3">
        <v>80000</v>
      </c>
      <c r="E2747" s="7">
        <v>0</v>
      </c>
      <c r="F2747" s="5">
        <v>45918</v>
      </c>
      <c r="G2747" s="4">
        <v>20250917</v>
      </c>
      <c r="H2747" s="38" t="s">
        <v>30</v>
      </c>
      <c r="I2747" s="34" t="s">
        <v>9</v>
      </c>
      <c r="J2747" s="38" t="s">
        <v>312</v>
      </c>
    </row>
    <row r="2748" spans="1:10">
      <c r="A2748" s="32">
        <v>728</v>
      </c>
      <c r="B2748" s="33">
        <v>8586</v>
      </c>
      <c r="C2748" s="3">
        <v>2325000</v>
      </c>
      <c r="D2748" s="3">
        <v>2325000</v>
      </c>
      <c r="E2748" s="7">
        <v>0</v>
      </c>
      <c r="F2748" s="5">
        <v>45919</v>
      </c>
      <c r="G2748" s="4">
        <v>20250918</v>
      </c>
      <c r="H2748" s="38" t="s">
        <v>24</v>
      </c>
      <c r="I2748" s="34" t="s">
        <v>9</v>
      </c>
      <c r="J2748" s="38" t="s">
        <v>479</v>
      </c>
    </row>
    <row r="2749" spans="1:10">
      <c r="A2749" s="32">
        <v>541</v>
      </c>
      <c r="B2749" s="33">
        <v>8660</v>
      </c>
      <c r="C2749" s="3">
        <v>1005000</v>
      </c>
      <c r="D2749" s="3">
        <v>1005000</v>
      </c>
      <c r="E2749" s="7">
        <v>0</v>
      </c>
      <c r="F2749" s="5">
        <v>45919</v>
      </c>
      <c r="G2749" s="4">
        <v>20250918</v>
      </c>
      <c r="H2749" s="38" t="s">
        <v>24</v>
      </c>
      <c r="I2749" s="34" t="s">
        <v>9</v>
      </c>
      <c r="J2749" s="38" t="s">
        <v>291</v>
      </c>
    </row>
    <row r="2750" spans="1:10">
      <c r="A2750" s="32">
        <v>832</v>
      </c>
      <c r="B2750" s="33">
        <v>4768</v>
      </c>
      <c r="C2750" s="3">
        <v>4670000</v>
      </c>
      <c r="D2750" s="3">
        <v>4670000</v>
      </c>
      <c r="E2750" s="7">
        <v>0</v>
      </c>
      <c r="F2750" s="5">
        <v>45919</v>
      </c>
      <c r="G2750" s="4">
        <v>20250918</v>
      </c>
      <c r="H2750" s="38" t="s">
        <v>30</v>
      </c>
      <c r="I2750" s="34" t="s">
        <v>9</v>
      </c>
      <c r="J2750" s="38" t="s">
        <v>207</v>
      </c>
    </row>
    <row r="2751" spans="1:10">
      <c r="A2751" s="32">
        <v>96</v>
      </c>
      <c r="B2751" s="33">
        <v>4257</v>
      </c>
      <c r="C2751" s="3">
        <v>300000</v>
      </c>
      <c r="D2751" s="3">
        <v>300000</v>
      </c>
      <c r="E2751" s="7">
        <v>0</v>
      </c>
      <c r="F2751" s="5">
        <v>45922</v>
      </c>
      <c r="G2751" s="4">
        <v>20250921</v>
      </c>
      <c r="H2751" s="38" t="s">
        <v>30</v>
      </c>
      <c r="I2751" s="34" t="s">
        <v>9</v>
      </c>
      <c r="J2751" s="38" t="s">
        <v>197</v>
      </c>
    </row>
    <row r="2752" spans="1:10">
      <c r="A2752" s="32">
        <v>297</v>
      </c>
      <c r="B2752" s="33">
        <v>5398</v>
      </c>
      <c r="C2752" s="3">
        <v>530000</v>
      </c>
      <c r="D2752" s="3">
        <v>530000</v>
      </c>
      <c r="E2752" s="7">
        <v>0</v>
      </c>
      <c r="F2752" s="5">
        <v>45922</v>
      </c>
      <c r="G2752" s="4">
        <v>20250921</v>
      </c>
      <c r="H2752" s="38" t="s">
        <v>30</v>
      </c>
      <c r="I2752" s="34" t="s">
        <v>9</v>
      </c>
      <c r="J2752" s="38" t="s">
        <v>312</v>
      </c>
    </row>
    <row r="2753" spans="1:10">
      <c r="A2753" s="32">
        <v>728</v>
      </c>
      <c r="B2753" s="33">
        <v>8586</v>
      </c>
      <c r="C2753" s="3">
        <v>2730000</v>
      </c>
      <c r="D2753" s="3">
        <v>2730000</v>
      </c>
      <c r="E2753" s="7">
        <v>0</v>
      </c>
      <c r="F2753" s="5">
        <v>45922</v>
      </c>
      <c r="G2753" s="4">
        <v>20250921</v>
      </c>
      <c r="H2753" s="38" t="s">
        <v>24</v>
      </c>
      <c r="I2753" s="34" t="s">
        <v>9</v>
      </c>
      <c r="J2753" s="38" t="s">
        <v>479</v>
      </c>
    </row>
    <row r="2754" spans="1:10">
      <c r="A2754" s="32">
        <v>541</v>
      </c>
      <c r="B2754" s="33">
        <v>8660</v>
      </c>
      <c r="C2754" s="3">
        <v>1180000</v>
      </c>
      <c r="D2754" s="3">
        <v>1180000</v>
      </c>
      <c r="E2754" s="7">
        <v>0</v>
      </c>
      <c r="F2754" s="5">
        <v>45922</v>
      </c>
      <c r="G2754" s="4">
        <v>20250921</v>
      </c>
      <c r="H2754" s="38" t="s">
        <v>24</v>
      </c>
      <c r="I2754" s="34" t="s">
        <v>9</v>
      </c>
      <c r="J2754" s="38" t="s">
        <v>291</v>
      </c>
    </row>
    <row r="2755" spans="1:10">
      <c r="A2755" s="32">
        <v>567</v>
      </c>
      <c r="B2755" s="33">
        <v>4521</v>
      </c>
      <c r="C2755" s="3">
        <v>7650000</v>
      </c>
      <c r="D2755" s="3">
        <v>7650000</v>
      </c>
      <c r="E2755" s="7">
        <v>0</v>
      </c>
      <c r="F2755" s="5">
        <v>45923</v>
      </c>
      <c r="G2755" s="4">
        <v>20250922</v>
      </c>
      <c r="H2755" s="38" t="s">
        <v>30</v>
      </c>
      <c r="I2755" s="34" t="s">
        <v>9</v>
      </c>
      <c r="J2755" s="38" t="s">
        <v>120</v>
      </c>
    </row>
    <row r="2756" spans="1:10">
      <c r="A2756" s="32">
        <v>541</v>
      </c>
      <c r="B2756" s="33">
        <v>8660</v>
      </c>
      <c r="C2756" s="3">
        <v>1700000</v>
      </c>
      <c r="D2756" s="3">
        <v>1700000</v>
      </c>
      <c r="E2756" s="7">
        <v>0</v>
      </c>
      <c r="F2756" s="5">
        <v>45923</v>
      </c>
      <c r="G2756" s="4">
        <v>20250922</v>
      </c>
      <c r="H2756" s="38" t="s">
        <v>24</v>
      </c>
      <c r="I2756" s="34" t="s">
        <v>9</v>
      </c>
      <c r="J2756" s="38" t="s">
        <v>291</v>
      </c>
    </row>
    <row r="2757" spans="1:10">
      <c r="A2757" s="32">
        <v>957</v>
      </c>
      <c r="B2757" s="33">
        <v>9512</v>
      </c>
      <c r="C2757" s="3">
        <v>1240000</v>
      </c>
      <c r="D2757" s="3">
        <v>1240000</v>
      </c>
      <c r="E2757" s="7">
        <v>0</v>
      </c>
      <c r="F2757" s="5">
        <v>45923</v>
      </c>
      <c r="G2757" s="4">
        <v>20250922</v>
      </c>
      <c r="H2757" s="38" t="s">
        <v>24</v>
      </c>
      <c r="I2757" s="34" t="s">
        <v>9</v>
      </c>
      <c r="J2757" s="38" t="s">
        <v>297</v>
      </c>
    </row>
    <row r="2758" spans="1:10">
      <c r="A2758" s="32">
        <v>81</v>
      </c>
      <c r="B2758" s="33">
        <v>5036</v>
      </c>
      <c r="C2758" s="3">
        <v>280000</v>
      </c>
      <c r="D2758" s="3">
        <v>280000</v>
      </c>
      <c r="E2758" s="7">
        <v>0</v>
      </c>
      <c r="F2758" s="5">
        <v>45923</v>
      </c>
      <c r="G2758" s="4">
        <v>20250922</v>
      </c>
      <c r="H2758" s="38" t="s">
        <v>24</v>
      </c>
      <c r="I2758" s="34" t="s">
        <v>9</v>
      </c>
      <c r="J2758" s="38" t="s">
        <v>419</v>
      </c>
    </row>
    <row r="2759" spans="1:10">
      <c r="A2759" s="32">
        <v>6</v>
      </c>
      <c r="B2759" s="33">
        <v>5001</v>
      </c>
      <c r="C2759" s="3">
        <v>360000</v>
      </c>
      <c r="D2759" s="3">
        <v>360000</v>
      </c>
      <c r="E2759" s="7">
        <v>0</v>
      </c>
      <c r="F2759" s="5">
        <v>45922</v>
      </c>
      <c r="G2759" s="4">
        <v>20250919</v>
      </c>
      <c r="H2759" s="38" t="s">
        <v>24</v>
      </c>
      <c r="I2759" s="34"/>
      <c r="J2759" s="38" t="s">
        <v>281</v>
      </c>
    </row>
    <row r="2760" spans="1:10">
      <c r="A2760" s="32">
        <v>297</v>
      </c>
      <c r="B2760" s="33">
        <v>5398</v>
      </c>
      <c r="C2760" s="3">
        <v>250000</v>
      </c>
      <c r="D2760" s="3">
        <v>250000</v>
      </c>
      <c r="E2760" s="7">
        <v>0</v>
      </c>
      <c r="F2760" s="5">
        <v>45924</v>
      </c>
      <c r="G2760" s="4">
        <v>20250923</v>
      </c>
      <c r="H2760" s="38" t="s">
        <v>30</v>
      </c>
      <c r="I2760" s="34" t="s">
        <v>9</v>
      </c>
      <c r="J2760" s="38" t="s">
        <v>312</v>
      </c>
    </row>
    <row r="2761" spans="1:10">
      <c r="A2761" s="32">
        <v>419</v>
      </c>
      <c r="B2761" s="33">
        <v>5077</v>
      </c>
      <c r="C2761" s="3">
        <v>2680000</v>
      </c>
      <c r="D2761" s="3">
        <v>2680000</v>
      </c>
      <c r="E2761" s="7">
        <v>0</v>
      </c>
      <c r="F2761" s="5">
        <v>45924</v>
      </c>
      <c r="G2761" s="4">
        <v>20250923</v>
      </c>
      <c r="H2761" s="38" t="s">
        <v>24</v>
      </c>
      <c r="I2761" s="34" t="s">
        <v>9</v>
      </c>
      <c r="J2761" s="38" t="s">
        <v>422</v>
      </c>
    </row>
    <row r="2762" spans="1:10">
      <c r="A2762" s="32">
        <v>957</v>
      </c>
      <c r="B2762" s="33">
        <v>9512</v>
      </c>
      <c r="C2762" s="3">
        <v>1430000</v>
      </c>
      <c r="D2762" s="3">
        <v>1430000</v>
      </c>
      <c r="E2762" s="7">
        <v>0</v>
      </c>
      <c r="F2762" s="5">
        <v>45924</v>
      </c>
      <c r="G2762" s="4">
        <v>20250923</v>
      </c>
      <c r="H2762" s="38" t="s">
        <v>24</v>
      </c>
      <c r="I2762" s="34" t="s">
        <v>9</v>
      </c>
      <c r="J2762" s="38" t="s">
        <v>297</v>
      </c>
    </row>
    <row r="2763" spans="1:10">
      <c r="A2763" s="32">
        <v>6</v>
      </c>
      <c r="B2763" s="33">
        <v>5001</v>
      </c>
      <c r="C2763" s="3">
        <v>100000</v>
      </c>
      <c r="D2763" s="3">
        <v>100000</v>
      </c>
      <c r="E2763" s="7">
        <v>0</v>
      </c>
      <c r="F2763" s="5">
        <v>45923</v>
      </c>
      <c r="G2763" s="4">
        <v>20250923</v>
      </c>
      <c r="H2763" s="38" t="s">
        <v>24</v>
      </c>
      <c r="I2763" s="34"/>
      <c r="J2763" s="38" t="s">
        <v>281</v>
      </c>
    </row>
    <row r="2764" spans="1:10">
      <c r="A2764" s="32">
        <v>261</v>
      </c>
      <c r="B2764" s="33">
        <v>5048</v>
      </c>
      <c r="C2764" s="3">
        <v>3820000</v>
      </c>
      <c r="D2764" s="3">
        <v>3820000</v>
      </c>
      <c r="E2764" s="7">
        <v>0</v>
      </c>
      <c r="F2764" s="5">
        <v>45926</v>
      </c>
      <c r="G2764" s="4">
        <v>20250925</v>
      </c>
      <c r="H2764" s="38" t="s">
        <v>24</v>
      </c>
      <c r="I2764" s="34" t="s">
        <v>9</v>
      </c>
      <c r="J2764" s="38" t="s">
        <v>355</v>
      </c>
    </row>
    <row r="2765" spans="1:10">
      <c r="A2765" s="32">
        <v>81</v>
      </c>
      <c r="B2765" s="33">
        <v>5036</v>
      </c>
      <c r="C2765" s="3">
        <v>1880000</v>
      </c>
      <c r="D2765" s="3">
        <v>1880000</v>
      </c>
      <c r="E2765" s="7">
        <v>0</v>
      </c>
      <c r="F2765" s="5">
        <v>45926</v>
      </c>
      <c r="G2765" s="4">
        <v>20250925</v>
      </c>
      <c r="H2765" s="38" t="s">
        <v>24</v>
      </c>
      <c r="I2765" s="34" t="s">
        <v>9</v>
      </c>
      <c r="J2765" s="38" t="s">
        <v>419</v>
      </c>
    </row>
    <row r="2766" spans="1:10">
      <c r="A2766" s="32">
        <v>322</v>
      </c>
      <c r="B2766" s="33">
        <v>2444</v>
      </c>
      <c r="C2766" s="3">
        <v>730000</v>
      </c>
      <c r="D2766" s="3">
        <v>730000</v>
      </c>
      <c r="E2766" s="7">
        <v>0</v>
      </c>
      <c r="F2766" s="5">
        <v>45926</v>
      </c>
      <c r="G2766" s="4">
        <v>20250925</v>
      </c>
      <c r="H2766" s="38" t="s">
        <v>24</v>
      </c>
      <c r="I2766" s="34" t="s">
        <v>9</v>
      </c>
      <c r="J2766" s="38" t="s">
        <v>109</v>
      </c>
    </row>
    <row r="2767" spans="1:10">
      <c r="A2767" s="32">
        <v>6</v>
      </c>
      <c r="B2767" s="33">
        <v>5001</v>
      </c>
      <c r="C2767" s="3">
        <v>480000</v>
      </c>
      <c r="D2767" s="3">
        <v>480000</v>
      </c>
      <c r="E2767" s="7">
        <v>0</v>
      </c>
      <c r="F2767" s="5">
        <v>45926</v>
      </c>
      <c r="G2767" s="4">
        <v>20250925</v>
      </c>
      <c r="H2767" s="38" t="s">
        <v>24</v>
      </c>
      <c r="I2767" s="34" t="s">
        <v>9</v>
      </c>
      <c r="J2767" s="38" t="s">
        <v>281</v>
      </c>
    </row>
    <row r="2768" spans="1:10">
      <c r="A2768" s="32">
        <v>957</v>
      </c>
      <c r="B2768" s="33">
        <v>9512</v>
      </c>
      <c r="C2768" s="3">
        <v>1160000</v>
      </c>
      <c r="D2768" s="3">
        <v>1160000</v>
      </c>
      <c r="E2768" s="7">
        <v>0</v>
      </c>
      <c r="F2768" s="5">
        <v>45929</v>
      </c>
      <c r="G2768" s="4">
        <v>20250928</v>
      </c>
      <c r="H2768" s="38" t="s">
        <v>24</v>
      </c>
      <c r="I2768" s="34" t="s">
        <v>9</v>
      </c>
      <c r="J2768" s="38" t="s">
        <v>297</v>
      </c>
    </row>
    <row r="2769" spans="1:10">
      <c r="A2769" s="32">
        <v>229</v>
      </c>
      <c r="B2769" s="33">
        <v>8957</v>
      </c>
      <c r="C2769" s="3">
        <v>90000</v>
      </c>
      <c r="D2769" s="3">
        <v>90000</v>
      </c>
      <c r="E2769" s="7">
        <v>0</v>
      </c>
      <c r="F2769" s="5">
        <v>45929</v>
      </c>
      <c r="G2769" s="4">
        <v>20250928</v>
      </c>
      <c r="H2769" s="38" t="s">
        <v>30</v>
      </c>
      <c r="I2769" s="34" t="s">
        <v>9</v>
      </c>
      <c r="J2769" s="38" t="s">
        <v>71</v>
      </c>
    </row>
    <row r="2770" spans="1:10">
      <c r="A2770" s="32">
        <v>567</v>
      </c>
      <c r="B2770" s="33">
        <v>4521</v>
      </c>
      <c r="C2770" s="3">
        <v>8800000</v>
      </c>
      <c r="D2770" s="3">
        <v>8800000</v>
      </c>
      <c r="E2770" s="7">
        <v>0</v>
      </c>
      <c r="F2770" s="5">
        <v>45930</v>
      </c>
      <c r="G2770" s="4">
        <v>20250929</v>
      </c>
      <c r="H2770" s="38" t="s">
        <v>30</v>
      </c>
      <c r="I2770" s="34" t="s">
        <v>9</v>
      </c>
      <c r="J2770" s="38" t="s">
        <v>120</v>
      </c>
    </row>
    <row r="2771" spans="1:10">
      <c r="A2771" s="32">
        <v>861</v>
      </c>
      <c r="B2771" s="33">
        <v>5957</v>
      </c>
      <c r="C2771" s="3">
        <v>2650000</v>
      </c>
      <c r="D2771" s="3">
        <v>2650000</v>
      </c>
      <c r="E2771" s="7">
        <v>0</v>
      </c>
      <c r="F2771" s="5">
        <v>45930</v>
      </c>
      <c r="G2771" s="4">
        <v>20250929</v>
      </c>
      <c r="H2771" s="38" t="s">
        <v>30</v>
      </c>
      <c r="I2771" s="34" t="s">
        <v>9</v>
      </c>
      <c r="J2771" s="38" t="s">
        <v>135</v>
      </c>
    </row>
    <row r="2772" spans="1:10">
      <c r="A2772" s="32">
        <v>861</v>
      </c>
      <c r="B2772" s="33">
        <v>5958</v>
      </c>
      <c r="C2772" s="3">
        <v>1700000</v>
      </c>
      <c r="D2772" s="3">
        <v>1700000</v>
      </c>
      <c r="E2772" s="7">
        <v>0</v>
      </c>
      <c r="F2772" s="5">
        <v>45930</v>
      </c>
      <c r="G2772" s="4">
        <v>20250929</v>
      </c>
      <c r="H2772" s="38" t="s">
        <v>30</v>
      </c>
      <c r="I2772" s="34" t="s">
        <v>9</v>
      </c>
      <c r="J2772" s="38" t="s">
        <v>136</v>
      </c>
    </row>
    <row r="2773" spans="1:10">
      <c r="A2773" s="32">
        <v>322</v>
      </c>
      <c r="B2773" s="33">
        <v>2444</v>
      </c>
      <c r="C2773" s="3">
        <v>1850000</v>
      </c>
      <c r="D2773" s="3">
        <v>1850000</v>
      </c>
      <c r="E2773" s="7">
        <v>0</v>
      </c>
      <c r="F2773" s="5">
        <v>45930</v>
      </c>
      <c r="G2773" s="4">
        <v>20250929</v>
      </c>
      <c r="H2773" s="38" t="s">
        <v>24</v>
      </c>
      <c r="I2773" s="34" t="s">
        <v>9</v>
      </c>
      <c r="J2773" s="38" t="s">
        <v>109</v>
      </c>
    </row>
    <row r="2774" spans="1:10">
      <c r="A2774" s="32">
        <v>419</v>
      </c>
      <c r="B2774" s="33">
        <v>5077</v>
      </c>
      <c r="C2774" s="3">
        <v>1370100</v>
      </c>
      <c r="D2774" s="3">
        <v>1370100</v>
      </c>
      <c r="E2774" s="7">
        <v>0</v>
      </c>
      <c r="F2774" s="5">
        <v>45930</v>
      </c>
      <c r="G2774" s="4">
        <v>20250929</v>
      </c>
      <c r="H2774" s="38" t="s">
        <v>24</v>
      </c>
      <c r="I2774" s="34" t="s">
        <v>9</v>
      </c>
      <c r="J2774" s="38" t="s">
        <v>422</v>
      </c>
    </row>
    <row r="2775" spans="1:10">
      <c r="A2775" s="32">
        <v>728</v>
      </c>
      <c r="B2775" s="33">
        <v>8586</v>
      </c>
      <c r="C2775" s="3">
        <v>1365000</v>
      </c>
      <c r="D2775" s="3">
        <v>1365000</v>
      </c>
      <c r="E2775" s="7">
        <v>0</v>
      </c>
      <c r="F2775" s="5">
        <v>45930</v>
      </c>
      <c r="G2775" s="4">
        <v>20250929</v>
      </c>
      <c r="H2775" s="38" t="s">
        <v>24</v>
      </c>
      <c r="I2775" s="34" t="s">
        <v>9</v>
      </c>
      <c r="J2775" s="38" t="s">
        <v>479</v>
      </c>
    </row>
    <row r="2776" spans="1:10">
      <c r="A2776" s="32">
        <v>297</v>
      </c>
      <c r="B2776" s="33">
        <v>5398</v>
      </c>
      <c r="C2776" s="3">
        <v>10000</v>
      </c>
      <c r="D2776" s="3">
        <v>10000</v>
      </c>
      <c r="E2776" s="7">
        <v>0</v>
      </c>
      <c r="F2776" s="5">
        <v>45930</v>
      </c>
      <c r="G2776" s="4">
        <v>20250929</v>
      </c>
      <c r="H2776" s="38" t="s">
        <v>30</v>
      </c>
      <c r="I2776" s="34" t="s">
        <v>10</v>
      </c>
      <c r="J2776" s="38" t="s">
        <v>312</v>
      </c>
    </row>
    <row r="2777" spans="1:10">
      <c r="A2777" s="32">
        <v>229</v>
      </c>
      <c r="B2777" s="33">
        <v>8957</v>
      </c>
      <c r="C2777" s="3">
        <v>900000</v>
      </c>
      <c r="D2777" s="3">
        <v>900000</v>
      </c>
      <c r="E2777" s="7">
        <v>0</v>
      </c>
      <c r="F2777" s="5">
        <v>45932</v>
      </c>
      <c r="G2777" s="4">
        <v>20251001</v>
      </c>
      <c r="H2777" s="38" t="s">
        <v>30</v>
      </c>
      <c r="I2777" s="34" t="s">
        <v>9</v>
      </c>
      <c r="J2777" s="38" t="s">
        <v>71</v>
      </c>
    </row>
    <row r="2778" spans="1:10">
      <c r="A2778" s="32">
        <v>297</v>
      </c>
      <c r="B2778" s="33">
        <v>5398</v>
      </c>
      <c r="C2778" s="3">
        <v>60000</v>
      </c>
      <c r="D2778" s="3">
        <v>60000</v>
      </c>
      <c r="E2778" s="7">
        <v>0</v>
      </c>
      <c r="F2778" s="5">
        <v>45932</v>
      </c>
      <c r="G2778" s="4">
        <v>20251001</v>
      </c>
      <c r="H2778" s="38" t="s">
        <v>30</v>
      </c>
      <c r="I2778" s="34" t="s">
        <v>9</v>
      </c>
      <c r="J2778" s="38" t="s">
        <v>312</v>
      </c>
    </row>
    <row r="2779" spans="1:10">
      <c r="A2779" s="32">
        <v>775</v>
      </c>
      <c r="B2779" s="33">
        <v>6986</v>
      </c>
      <c r="C2779" s="3">
        <v>50000</v>
      </c>
      <c r="D2779" s="3">
        <v>50000</v>
      </c>
      <c r="E2779" s="7">
        <v>0</v>
      </c>
      <c r="F2779" s="5">
        <v>45932</v>
      </c>
      <c r="G2779" s="4">
        <v>20251001</v>
      </c>
      <c r="H2779" s="38" t="s">
        <v>30</v>
      </c>
      <c r="I2779" s="34" t="s">
        <v>9</v>
      </c>
      <c r="J2779" s="38" t="s">
        <v>106</v>
      </c>
    </row>
    <row r="2780" spans="1:10">
      <c r="A2780" s="32">
        <v>300</v>
      </c>
      <c r="B2780" s="33">
        <v>5139</v>
      </c>
      <c r="C2780" s="3">
        <v>3150000</v>
      </c>
      <c r="D2780" s="3">
        <v>3150000</v>
      </c>
      <c r="E2780" s="7">
        <v>0</v>
      </c>
      <c r="F2780" s="5">
        <v>45932</v>
      </c>
      <c r="G2780" s="4">
        <v>20251001</v>
      </c>
      <c r="H2780" s="38" t="s">
        <v>24</v>
      </c>
      <c r="I2780" s="34" t="s">
        <v>9</v>
      </c>
      <c r="J2780" s="38" t="s">
        <v>51</v>
      </c>
    </row>
    <row r="2781" spans="1:10">
      <c r="A2781" s="32">
        <v>455</v>
      </c>
      <c r="B2781" s="33">
        <v>5206</v>
      </c>
      <c r="C2781" s="3">
        <v>1790000</v>
      </c>
      <c r="D2781" s="3">
        <v>1790000</v>
      </c>
      <c r="E2781" s="7">
        <v>0</v>
      </c>
      <c r="F2781" s="5">
        <v>45933</v>
      </c>
      <c r="G2781" s="4">
        <v>20251002</v>
      </c>
      <c r="H2781" s="38" t="s">
        <v>24</v>
      </c>
      <c r="I2781" s="34" t="s">
        <v>9</v>
      </c>
      <c r="J2781" s="38" t="s">
        <v>94</v>
      </c>
    </row>
    <row r="2782" spans="1:10">
      <c r="A2782" s="32">
        <v>261</v>
      </c>
      <c r="B2782" s="33">
        <v>5048</v>
      </c>
      <c r="C2782" s="3">
        <v>310000</v>
      </c>
      <c r="D2782" s="3">
        <v>310000</v>
      </c>
      <c r="E2782" s="7">
        <v>0</v>
      </c>
      <c r="F2782" s="5">
        <v>45933</v>
      </c>
      <c r="G2782" s="4">
        <v>20251002</v>
      </c>
      <c r="H2782" s="38" t="s">
        <v>24</v>
      </c>
      <c r="I2782" s="34" t="s">
        <v>9</v>
      </c>
      <c r="J2782" s="38" t="s">
        <v>355</v>
      </c>
    </row>
    <row r="2783" spans="1:10">
      <c r="A2783" s="32">
        <v>60</v>
      </c>
      <c r="B2783" s="33">
        <v>8727</v>
      </c>
      <c r="C2783" s="3">
        <v>50000</v>
      </c>
      <c r="D2783" s="3">
        <v>50000</v>
      </c>
      <c r="E2783" s="7">
        <v>0</v>
      </c>
      <c r="F2783" s="5">
        <v>45933</v>
      </c>
      <c r="G2783" s="4">
        <v>20251002</v>
      </c>
      <c r="H2783" s="38" t="s">
        <v>24</v>
      </c>
      <c r="I2783" s="34" t="s">
        <v>9</v>
      </c>
      <c r="J2783" s="38" t="s">
        <v>458</v>
      </c>
    </row>
    <row r="2784" spans="1:10">
      <c r="A2784" s="32">
        <v>756</v>
      </c>
      <c r="B2784" s="33">
        <v>5183</v>
      </c>
      <c r="C2784" s="3">
        <v>2713000</v>
      </c>
      <c r="D2784" s="3">
        <v>2713000</v>
      </c>
      <c r="E2784" s="7">
        <v>0</v>
      </c>
      <c r="F2784" s="5">
        <v>45902</v>
      </c>
      <c r="G2784" s="4">
        <v>20250901</v>
      </c>
      <c r="H2784" s="38" t="s">
        <v>24</v>
      </c>
      <c r="I2784" s="34" t="s">
        <v>9</v>
      </c>
      <c r="J2784" s="38" t="s">
        <v>295</v>
      </c>
    </row>
    <row r="2785" spans="1:10">
      <c r="A2785" s="32">
        <v>769</v>
      </c>
      <c r="B2785" s="33">
        <v>8679</v>
      </c>
      <c r="C2785" s="3">
        <v>1440000</v>
      </c>
      <c r="D2785" s="3">
        <v>1440000</v>
      </c>
      <c r="E2785" s="7">
        <v>0</v>
      </c>
      <c r="F2785" s="5">
        <v>45903</v>
      </c>
      <c r="G2785" s="4">
        <v>20250902</v>
      </c>
      <c r="H2785" s="38" t="s">
        <v>24</v>
      </c>
      <c r="I2785" s="34" t="s">
        <v>9</v>
      </c>
      <c r="J2785" s="38" t="s">
        <v>480</v>
      </c>
    </row>
    <row r="2786" spans="1:10">
      <c r="A2786" s="32">
        <v>743</v>
      </c>
      <c r="B2786" s="33">
        <v>5106</v>
      </c>
      <c r="C2786" s="3">
        <v>37700</v>
      </c>
      <c r="D2786" s="3">
        <v>37700</v>
      </c>
      <c r="E2786" s="7">
        <v>0</v>
      </c>
      <c r="F2786" s="5">
        <v>45911</v>
      </c>
      <c r="G2786" s="4">
        <v>20250910</v>
      </c>
      <c r="H2786" s="38" t="s">
        <v>24</v>
      </c>
      <c r="I2786" s="34"/>
      <c r="J2786" s="38" t="s">
        <v>319</v>
      </c>
    </row>
    <row r="2787" spans="1:10">
      <c r="A2787" s="32">
        <v>743</v>
      </c>
      <c r="B2787" s="33">
        <v>5106</v>
      </c>
      <c r="C2787" s="3">
        <v>1632000</v>
      </c>
      <c r="D2787" s="3">
        <v>1632000</v>
      </c>
      <c r="E2787" s="7">
        <v>0</v>
      </c>
      <c r="F2787" s="5">
        <v>45912</v>
      </c>
      <c r="G2787" s="4">
        <v>20250911</v>
      </c>
      <c r="H2787" s="38" t="s">
        <v>24</v>
      </c>
      <c r="I2787" s="34" t="s">
        <v>9</v>
      </c>
      <c r="J2787" s="38" t="s">
        <v>319</v>
      </c>
    </row>
    <row r="2788" spans="1:10">
      <c r="A2788" s="32">
        <v>31</v>
      </c>
      <c r="B2788" s="33">
        <v>8732</v>
      </c>
      <c r="C2788" s="3">
        <v>1200000</v>
      </c>
      <c r="D2788" s="3">
        <v>1200000</v>
      </c>
      <c r="E2788" s="7">
        <v>0</v>
      </c>
      <c r="F2788" s="5">
        <v>45912</v>
      </c>
      <c r="G2788" s="4">
        <v>20250911</v>
      </c>
      <c r="H2788" s="38" t="s">
        <v>30</v>
      </c>
      <c r="I2788" s="34" t="s">
        <v>9</v>
      </c>
      <c r="J2788" s="38" t="s">
        <v>195</v>
      </c>
    </row>
    <row r="2789" spans="1:10">
      <c r="A2789" s="32">
        <v>153</v>
      </c>
      <c r="B2789" s="33">
        <v>9880</v>
      </c>
      <c r="C2789" s="3">
        <v>200000</v>
      </c>
      <c r="D2789" s="3">
        <v>200000</v>
      </c>
      <c r="E2789" s="7">
        <v>0</v>
      </c>
      <c r="F2789" s="5">
        <v>45912</v>
      </c>
      <c r="G2789" s="4">
        <v>20250911</v>
      </c>
      <c r="H2789" s="38" t="s">
        <v>30</v>
      </c>
      <c r="I2789" s="34" t="s">
        <v>9</v>
      </c>
      <c r="J2789" s="38" t="s">
        <v>61</v>
      </c>
    </row>
    <row r="2790" spans="1:10">
      <c r="A2790" s="32">
        <v>153</v>
      </c>
      <c r="B2790" s="33">
        <v>9881</v>
      </c>
      <c r="C2790" s="3">
        <v>80000</v>
      </c>
      <c r="D2790" s="3">
        <v>80000</v>
      </c>
      <c r="E2790" s="7">
        <v>0</v>
      </c>
      <c r="F2790" s="5">
        <v>45912</v>
      </c>
      <c r="G2790" s="4">
        <v>20250911</v>
      </c>
      <c r="H2790" s="38" t="s">
        <v>30</v>
      </c>
      <c r="I2790" s="34" t="s">
        <v>9</v>
      </c>
      <c r="J2790" s="38" t="s">
        <v>155</v>
      </c>
    </row>
    <row r="2791" spans="1:10">
      <c r="A2791" s="32">
        <v>153</v>
      </c>
      <c r="B2791" s="33">
        <v>9880</v>
      </c>
      <c r="C2791" s="3">
        <v>60000</v>
      </c>
      <c r="D2791" s="3">
        <v>60000</v>
      </c>
      <c r="E2791" s="7">
        <v>0</v>
      </c>
      <c r="F2791" s="5">
        <v>45915</v>
      </c>
      <c r="G2791" s="4">
        <v>20250914</v>
      </c>
      <c r="H2791" s="38" t="s">
        <v>30</v>
      </c>
      <c r="I2791" s="34" t="s">
        <v>9</v>
      </c>
      <c r="J2791" s="38" t="s">
        <v>61</v>
      </c>
    </row>
    <row r="2792" spans="1:10">
      <c r="A2792" s="32">
        <v>153</v>
      </c>
      <c r="B2792" s="33">
        <v>9881</v>
      </c>
      <c r="C2792" s="3">
        <v>90000</v>
      </c>
      <c r="D2792" s="3">
        <v>90000</v>
      </c>
      <c r="E2792" s="7">
        <v>0</v>
      </c>
      <c r="F2792" s="5">
        <v>45915</v>
      </c>
      <c r="G2792" s="4">
        <v>20250914</v>
      </c>
      <c r="H2792" s="38" t="s">
        <v>30</v>
      </c>
      <c r="I2792" s="34" t="s">
        <v>9</v>
      </c>
      <c r="J2792" s="38" t="s">
        <v>155</v>
      </c>
    </row>
    <row r="2793" spans="1:10">
      <c r="A2793" s="32">
        <v>15</v>
      </c>
      <c r="B2793" s="33">
        <v>8577</v>
      </c>
      <c r="C2793" s="3">
        <v>2900000</v>
      </c>
      <c r="D2793" s="3">
        <v>2900000</v>
      </c>
      <c r="E2793" s="7">
        <v>0</v>
      </c>
      <c r="F2793" s="5">
        <v>45916</v>
      </c>
      <c r="G2793" s="4">
        <v>20250915</v>
      </c>
      <c r="H2793" s="38" t="s">
        <v>24</v>
      </c>
      <c r="I2793" s="34" t="s">
        <v>9</v>
      </c>
      <c r="J2793" s="38" t="s">
        <v>374</v>
      </c>
    </row>
    <row r="2794" spans="1:10">
      <c r="A2794" s="32">
        <v>267</v>
      </c>
      <c r="B2794" s="33">
        <v>6186</v>
      </c>
      <c r="C2794" s="3">
        <v>1895000</v>
      </c>
      <c r="D2794" s="3">
        <v>1895000</v>
      </c>
      <c r="E2794" s="7">
        <v>0</v>
      </c>
      <c r="F2794" s="5">
        <v>45916</v>
      </c>
      <c r="G2794" s="4">
        <v>20250915</v>
      </c>
      <c r="H2794" s="38" t="s">
        <v>24</v>
      </c>
      <c r="I2794" s="34" t="s">
        <v>9</v>
      </c>
      <c r="J2794" s="38" t="s">
        <v>300</v>
      </c>
    </row>
    <row r="2795" spans="1:10">
      <c r="A2795" s="32">
        <v>141</v>
      </c>
      <c r="B2795" s="33">
        <v>1541</v>
      </c>
      <c r="C2795" s="3">
        <v>190000</v>
      </c>
      <c r="D2795" s="3">
        <v>190000</v>
      </c>
      <c r="E2795" s="7">
        <v>0</v>
      </c>
      <c r="F2795" s="5">
        <v>45916</v>
      </c>
      <c r="G2795" s="4">
        <v>20250915</v>
      </c>
      <c r="H2795" s="38" t="s">
        <v>24</v>
      </c>
      <c r="I2795" s="34" t="s">
        <v>9</v>
      </c>
      <c r="J2795" s="38" t="s">
        <v>242</v>
      </c>
    </row>
    <row r="2796" spans="1:10">
      <c r="A2796" s="32">
        <v>153</v>
      </c>
      <c r="B2796" s="33">
        <v>9880</v>
      </c>
      <c r="C2796" s="3">
        <v>100000</v>
      </c>
      <c r="D2796" s="3">
        <v>100000</v>
      </c>
      <c r="E2796" s="7">
        <v>0</v>
      </c>
      <c r="F2796" s="5">
        <v>45916</v>
      </c>
      <c r="G2796" s="4">
        <v>20250915</v>
      </c>
      <c r="H2796" s="38" t="s">
        <v>30</v>
      </c>
      <c r="I2796" s="34" t="s">
        <v>9</v>
      </c>
      <c r="J2796" s="38" t="s">
        <v>61</v>
      </c>
    </row>
    <row r="2797" spans="1:10">
      <c r="A2797" s="32">
        <v>153</v>
      </c>
      <c r="B2797" s="33">
        <v>9881</v>
      </c>
      <c r="C2797" s="3">
        <v>50000</v>
      </c>
      <c r="D2797" s="3">
        <v>50000</v>
      </c>
      <c r="E2797" s="7">
        <v>0</v>
      </c>
      <c r="F2797" s="5">
        <v>45916</v>
      </c>
      <c r="G2797" s="4">
        <v>20250915</v>
      </c>
      <c r="H2797" s="38" t="s">
        <v>30</v>
      </c>
      <c r="I2797" s="34" t="s">
        <v>9</v>
      </c>
      <c r="J2797" s="38" t="s">
        <v>155</v>
      </c>
    </row>
    <row r="2798" spans="1:10">
      <c r="A2798" s="32">
        <v>153</v>
      </c>
      <c r="B2798" s="33">
        <v>9880</v>
      </c>
      <c r="C2798" s="3">
        <v>60000</v>
      </c>
      <c r="D2798" s="3">
        <v>60000</v>
      </c>
      <c r="E2798" s="7">
        <v>0</v>
      </c>
      <c r="F2798" s="5">
        <v>45917</v>
      </c>
      <c r="G2798" s="4">
        <v>20250916</v>
      </c>
      <c r="H2798" s="38" t="s">
        <v>30</v>
      </c>
      <c r="I2798" s="34" t="s">
        <v>9</v>
      </c>
      <c r="J2798" s="38" t="s">
        <v>61</v>
      </c>
    </row>
    <row r="2799" spans="1:10">
      <c r="A2799" s="32">
        <v>153</v>
      </c>
      <c r="B2799" s="33">
        <v>9881</v>
      </c>
      <c r="C2799" s="3">
        <v>360000</v>
      </c>
      <c r="D2799" s="3">
        <v>360000</v>
      </c>
      <c r="E2799" s="7">
        <v>0</v>
      </c>
      <c r="F2799" s="5">
        <v>45917</v>
      </c>
      <c r="G2799" s="4">
        <v>20250916</v>
      </c>
      <c r="H2799" s="38" t="s">
        <v>30</v>
      </c>
      <c r="I2799" s="34" t="s">
        <v>9</v>
      </c>
      <c r="J2799" s="38" t="s">
        <v>155</v>
      </c>
    </row>
    <row r="2800" spans="1:10">
      <c r="A2800" s="32">
        <v>15</v>
      </c>
      <c r="B2800" s="33">
        <v>8577</v>
      </c>
      <c r="C2800" s="3">
        <v>2440000</v>
      </c>
      <c r="D2800" s="3">
        <v>2440000</v>
      </c>
      <c r="E2800" s="7">
        <v>0</v>
      </c>
      <c r="F2800" s="5">
        <v>45917</v>
      </c>
      <c r="G2800" s="4">
        <v>20250916</v>
      </c>
      <c r="H2800" s="38" t="s">
        <v>24</v>
      </c>
      <c r="I2800" s="34" t="s">
        <v>9</v>
      </c>
      <c r="J2800" s="38" t="s">
        <v>374</v>
      </c>
    </row>
    <row r="2801" spans="1:10">
      <c r="A2801" s="32">
        <v>743</v>
      </c>
      <c r="B2801" s="33">
        <v>5106</v>
      </c>
      <c r="C2801" s="3">
        <v>2883000</v>
      </c>
      <c r="D2801" s="3">
        <v>2883000</v>
      </c>
      <c r="E2801" s="7">
        <v>0</v>
      </c>
      <c r="F2801" s="5">
        <v>45919</v>
      </c>
      <c r="G2801" s="4">
        <v>20250918</v>
      </c>
      <c r="H2801" s="38" t="s">
        <v>24</v>
      </c>
      <c r="I2801" s="34" t="s">
        <v>9</v>
      </c>
      <c r="J2801" s="38" t="s">
        <v>319</v>
      </c>
    </row>
    <row r="2802" spans="1:10">
      <c r="A2802" s="32">
        <v>882</v>
      </c>
      <c r="B2802" s="33">
        <v>5020</v>
      </c>
      <c r="C2802" s="3">
        <v>1805000</v>
      </c>
      <c r="D2802" s="3">
        <v>1805000</v>
      </c>
      <c r="E2802" s="7">
        <v>0</v>
      </c>
      <c r="F2802" s="5">
        <v>45919</v>
      </c>
      <c r="G2802" s="4">
        <v>20250918</v>
      </c>
      <c r="H2802" s="38" t="s">
        <v>24</v>
      </c>
      <c r="I2802" s="34" t="s">
        <v>9</v>
      </c>
      <c r="J2802" s="38" t="s">
        <v>224</v>
      </c>
    </row>
    <row r="2803" spans="1:10">
      <c r="A2803" s="32">
        <v>769</v>
      </c>
      <c r="B2803" s="33">
        <v>5051</v>
      </c>
      <c r="C2803" s="3">
        <v>370000</v>
      </c>
      <c r="D2803" s="3">
        <v>370000</v>
      </c>
      <c r="E2803" s="7">
        <v>0</v>
      </c>
      <c r="F2803" s="5">
        <v>45919</v>
      </c>
      <c r="G2803" s="4">
        <v>20250918</v>
      </c>
      <c r="H2803" s="38" t="s">
        <v>24</v>
      </c>
      <c r="I2803" s="34" t="s">
        <v>9</v>
      </c>
      <c r="J2803" s="38" t="s">
        <v>353</v>
      </c>
    </row>
    <row r="2804" spans="1:10">
      <c r="A2804" s="32">
        <v>31</v>
      </c>
      <c r="B2804" s="33">
        <v>8733</v>
      </c>
      <c r="C2804" s="3">
        <v>400000</v>
      </c>
      <c r="D2804" s="3">
        <v>400000</v>
      </c>
      <c r="E2804" s="7">
        <v>0</v>
      </c>
      <c r="F2804" s="5">
        <v>45919</v>
      </c>
      <c r="G2804" s="4">
        <v>20250918</v>
      </c>
      <c r="H2804" s="38" t="s">
        <v>30</v>
      </c>
      <c r="I2804" s="34" t="s">
        <v>9</v>
      </c>
      <c r="J2804" s="38" t="s">
        <v>196</v>
      </c>
    </row>
    <row r="2805" spans="1:10">
      <c r="A2805" s="32">
        <v>60</v>
      </c>
      <c r="B2805" s="33">
        <v>8721</v>
      </c>
      <c r="C2805" s="3">
        <v>400000</v>
      </c>
      <c r="D2805" s="3">
        <v>400000</v>
      </c>
      <c r="E2805" s="7">
        <v>0</v>
      </c>
      <c r="F2805" s="5">
        <v>45919</v>
      </c>
      <c r="G2805" s="4">
        <v>20250918</v>
      </c>
      <c r="H2805" s="38" t="s">
        <v>30</v>
      </c>
      <c r="I2805" s="34" t="s">
        <v>9</v>
      </c>
      <c r="J2805" s="38" t="s">
        <v>59</v>
      </c>
    </row>
    <row r="2806" spans="1:10">
      <c r="A2806" s="32">
        <v>60</v>
      </c>
      <c r="B2806" s="33">
        <v>8725</v>
      </c>
      <c r="C2806" s="3">
        <v>100000</v>
      </c>
      <c r="D2806" s="3">
        <v>100000</v>
      </c>
      <c r="E2806" s="7">
        <v>0</v>
      </c>
      <c r="F2806" s="5">
        <v>45919</v>
      </c>
      <c r="G2806" s="4">
        <v>20250918</v>
      </c>
      <c r="H2806" s="38" t="s">
        <v>30</v>
      </c>
      <c r="I2806" s="34" t="s">
        <v>9</v>
      </c>
      <c r="J2806" s="38" t="s">
        <v>323</v>
      </c>
    </row>
    <row r="2807" spans="1:10">
      <c r="A2807" s="32">
        <v>882</v>
      </c>
      <c r="B2807" s="33">
        <v>3510</v>
      </c>
      <c r="C2807" s="3">
        <v>110000</v>
      </c>
      <c r="D2807" s="3">
        <v>110000</v>
      </c>
      <c r="E2807" s="7">
        <v>0</v>
      </c>
      <c r="F2807" s="5">
        <v>45919</v>
      </c>
      <c r="G2807" s="4">
        <v>20250918</v>
      </c>
      <c r="H2807" s="38" t="s">
        <v>30</v>
      </c>
      <c r="I2807" s="34" t="s">
        <v>9</v>
      </c>
      <c r="J2807" s="38" t="s">
        <v>222</v>
      </c>
    </row>
    <row r="2808" spans="1:10">
      <c r="A2808" s="32">
        <v>882</v>
      </c>
      <c r="B2808" s="33">
        <v>3510</v>
      </c>
      <c r="C2808" s="3">
        <v>260000</v>
      </c>
      <c r="D2808" s="3">
        <v>260000</v>
      </c>
      <c r="E2808" s="7">
        <v>0</v>
      </c>
      <c r="F2808" s="5">
        <v>45922</v>
      </c>
      <c r="G2808" s="4">
        <v>20250921</v>
      </c>
      <c r="H2808" s="38" t="s">
        <v>30</v>
      </c>
      <c r="I2808" s="34" t="s">
        <v>9</v>
      </c>
      <c r="J2808" s="38" t="s">
        <v>222</v>
      </c>
    </row>
    <row r="2809" spans="1:10">
      <c r="A2809" s="32">
        <v>659</v>
      </c>
      <c r="B2809" s="33">
        <v>5102</v>
      </c>
      <c r="C2809" s="3">
        <v>120000</v>
      </c>
      <c r="D2809" s="3">
        <v>120000</v>
      </c>
      <c r="E2809" s="7">
        <v>0</v>
      </c>
      <c r="F2809" s="5">
        <v>45922</v>
      </c>
      <c r="G2809" s="4">
        <v>20250919</v>
      </c>
      <c r="H2809" s="38" t="s">
        <v>24</v>
      </c>
      <c r="I2809" s="34"/>
      <c r="J2809" s="38" t="s">
        <v>481</v>
      </c>
    </row>
    <row r="2810" spans="1:10">
      <c r="A2810" s="32">
        <v>31</v>
      </c>
      <c r="B2810" s="33">
        <v>8732</v>
      </c>
      <c r="C2810" s="3">
        <v>1200000</v>
      </c>
      <c r="D2810" s="3">
        <v>1200000</v>
      </c>
      <c r="E2810" s="7">
        <v>0</v>
      </c>
      <c r="F2810" s="5">
        <v>45923</v>
      </c>
      <c r="G2810" s="4">
        <v>20250922</v>
      </c>
      <c r="H2810" s="38" t="s">
        <v>30</v>
      </c>
      <c r="I2810" s="34" t="s">
        <v>9</v>
      </c>
      <c r="J2810" s="38" t="s">
        <v>195</v>
      </c>
    </row>
    <row r="2811" spans="1:10">
      <c r="A2811" s="32">
        <v>153</v>
      </c>
      <c r="B2811" s="33">
        <v>9881</v>
      </c>
      <c r="C2811" s="3">
        <v>100000</v>
      </c>
      <c r="D2811" s="3">
        <v>100000</v>
      </c>
      <c r="E2811" s="7">
        <v>0</v>
      </c>
      <c r="F2811" s="5">
        <v>45923</v>
      </c>
      <c r="G2811" s="4">
        <v>20250922</v>
      </c>
      <c r="H2811" s="38" t="s">
        <v>30</v>
      </c>
      <c r="I2811" s="34" t="s">
        <v>9</v>
      </c>
      <c r="J2811" s="38" t="s">
        <v>155</v>
      </c>
    </row>
    <row r="2812" spans="1:10">
      <c r="A2812" s="32">
        <v>882</v>
      </c>
      <c r="B2812" s="33">
        <v>3510</v>
      </c>
      <c r="C2812" s="3">
        <v>300000</v>
      </c>
      <c r="D2812" s="3">
        <v>300000</v>
      </c>
      <c r="E2812" s="7">
        <v>0</v>
      </c>
      <c r="F2812" s="5">
        <v>45923</v>
      </c>
      <c r="G2812" s="4">
        <v>20250922</v>
      </c>
      <c r="H2812" s="38" t="s">
        <v>30</v>
      </c>
      <c r="I2812" s="34" t="s">
        <v>9</v>
      </c>
      <c r="J2812" s="38" t="s">
        <v>222</v>
      </c>
    </row>
    <row r="2813" spans="1:10">
      <c r="A2813" s="32">
        <v>743</v>
      </c>
      <c r="B2813" s="33">
        <v>5106</v>
      </c>
      <c r="C2813" s="3">
        <v>2285000</v>
      </c>
      <c r="D2813" s="3">
        <v>2285000</v>
      </c>
      <c r="E2813" s="7">
        <v>0</v>
      </c>
      <c r="F2813" s="5">
        <v>45923</v>
      </c>
      <c r="G2813" s="4">
        <v>20250922</v>
      </c>
      <c r="H2813" s="38" t="s">
        <v>24</v>
      </c>
      <c r="I2813" s="34" t="s">
        <v>9</v>
      </c>
      <c r="J2813" s="38" t="s">
        <v>319</v>
      </c>
    </row>
    <row r="2814" spans="1:10">
      <c r="A2814" s="32">
        <v>267</v>
      </c>
      <c r="B2814" s="33">
        <v>6186</v>
      </c>
      <c r="C2814" s="3">
        <v>2149000</v>
      </c>
      <c r="D2814" s="3">
        <v>2149000</v>
      </c>
      <c r="E2814" s="7">
        <v>0</v>
      </c>
      <c r="F2814" s="5">
        <v>45923</v>
      </c>
      <c r="G2814" s="4">
        <v>20250922</v>
      </c>
      <c r="H2814" s="38" t="s">
        <v>24</v>
      </c>
      <c r="I2814" s="34" t="s">
        <v>9</v>
      </c>
      <c r="J2814" s="38" t="s">
        <v>300</v>
      </c>
    </row>
    <row r="2815" spans="1:10">
      <c r="A2815" s="32">
        <v>79</v>
      </c>
      <c r="B2815" s="33">
        <v>6245</v>
      </c>
      <c r="C2815" s="3">
        <v>1985000</v>
      </c>
      <c r="D2815" s="3">
        <v>1985000</v>
      </c>
      <c r="E2815" s="7">
        <v>0</v>
      </c>
      <c r="F2815" s="5">
        <v>45923</v>
      </c>
      <c r="G2815" s="4">
        <v>20250922</v>
      </c>
      <c r="H2815" s="38" t="s">
        <v>24</v>
      </c>
      <c r="I2815" s="34" t="s">
        <v>9</v>
      </c>
      <c r="J2815" s="38" t="s">
        <v>202</v>
      </c>
    </row>
    <row r="2816" spans="1:10">
      <c r="A2816" s="32">
        <v>153</v>
      </c>
      <c r="B2816" s="33">
        <v>9880</v>
      </c>
      <c r="C2816" s="3">
        <v>1400000</v>
      </c>
      <c r="D2816" s="3">
        <v>1400000</v>
      </c>
      <c r="E2816" s="7">
        <v>0</v>
      </c>
      <c r="F2816" s="5">
        <v>45924</v>
      </c>
      <c r="G2816" s="4">
        <v>20250923</v>
      </c>
      <c r="H2816" s="38" t="s">
        <v>30</v>
      </c>
      <c r="I2816" s="34" t="s">
        <v>9</v>
      </c>
      <c r="J2816" s="38" t="s">
        <v>61</v>
      </c>
    </row>
    <row r="2817" spans="1:10">
      <c r="A2817" s="32">
        <v>153</v>
      </c>
      <c r="B2817" s="33">
        <v>9881</v>
      </c>
      <c r="C2817" s="3">
        <v>30000</v>
      </c>
      <c r="D2817" s="3">
        <v>30000</v>
      </c>
      <c r="E2817" s="7">
        <v>0</v>
      </c>
      <c r="F2817" s="5">
        <v>45924</v>
      </c>
      <c r="G2817" s="4">
        <v>20250923</v>
      </c>
      <c r="H2817" s="38" t="s">
        <v>30</v>
      </c>
      <c r="I2817" s="34" t="s">
        <v>9</v>
      </c>
      <c r="J2817" s="38" t="s">
        <v>155</v>
      </c>
    </row>
    <row r="2818" spans="1:10">
      <c r="A2818" s="32">
        <v>882</v>
      </c>
      <c r="B2818" s="33">
        <v>3510</v>
      </c>
      <c r="C2818" s="3">
        <v>100000</v>
      </c>
      <c r="D2818" s="3">
        <v>100000</v>
      </c>
      <c r="E2818" s="7">
        <v>0</v>
      </c>
      <c r="F2818" s="5">
        <v>45924</v>
      </c>
      <c r="G2818" s="4">
        <v>20250923</v>
      </c>
      <c r="H2818" s="38" t="s">
        <v>30</v>
      </c>
      <c r="I2818" s="34" t="s">
        <v>9</v>
      </c>
      <c r="J2818" s="38" t="s">
        <v>222</v>
      </c>
    </row>
    <row r="2819" spans="1:10">
      <c r="A2819" s="32">
        <v>743</v>
      </c>
      <c r="B2819" s="33">
        <v>5106</v>
      </c>
      <c r="C2819" s="3">
        <v>2095000</v>
      </c>
      <c r="D2819" s="3">
        <v>2095000</v>
      </c>
      <c r="E2819" s="7">
        <v>0</v>
      </c>
      <c r="F2819" s="5">
        <v>45925</v>
      </c>
      <c r="G2819" s="4">
        <v>20250924</v>
      </c>
      <c r="H2819" s="38" t="s">
        <v>24</v>
      </c>
      <c r="I2819" s="34" t="s">
        <v>9</v>
      </c>
      <c r="J2819" s="38" t="s">
        <v>319</v>
      </c>
    </row>
    <row r="2820" spans="1:10">
      <c r="A2820" s="32">
        <v>379</v>
      </c>
      <c r="B2820" s="33">
        <v>6465</v>
      </c>
      <c r="C2820" s="3">
        <v>1849900</v>
      </c>
      <c r="D2820" s="3">
        <v>1849900</v>
      </c>
      <c r="E2820" s="7">
        <v>0</v>
      </c>
      <c r="F2820" s="5">
        <v>45925</v>
      </c>
      <c r="G2820" s="4">
        <v>20250924</v>
      </c>
      <c r="H2820" s="38" t="s">
        <v>24</v>
      </c>
      <c r="I2820" s="34" t="s">
        <v>9</v>
      </c>
      <c r="J2820" s="38" t="s">
        <v>354</v>
      </c>
    </row>
    <row r="2821" spans="1:10">
      <c r="A2821" s="32">
        <v>361</v>
      </c>
      <c r="B2821" s="33">
        <v>5005</v>
      </c>
      <c r="C2821" s="3">
        <v>160000</v>
      </c>
      <c r="D2821" s="3">
        <v>160000</v>
      </c>
      <c r="E2821" s="7">
        <v>0</v>
      </c>
      <c r="F2821" s="5">
        <v>45925</v>
      </c>
      <c r="G2821" s="4">
        <v>20250924</v>
      </c>
      <c r="H2821" s="38" t="s">
        <v>24</v>
      </c>
      <c r="I2821" s="34" t="s">
        <v>9</v>
      </c>
      <c r="J2821" s="38" t="s">
        <v>423</v>
      </c>
    </row>
    <row r="2822" spans="1:10">
      <c r="A2822" s="32">
        <v>631</v>
      </c>
      <c r="B2822" s="33">
        <v>2794</v>
      </c>
      <c r="C2822" s="3">
        <v>750000</v>
      </c>
      <c r="D2822" s="3">
        <v>750000</v>
      </c>
      <c r="E2822" s="7">
        <v>0</v>
      </c>
      <c r="F2822" s="5">
        <v>45925</v>
      </c>
      <c r="G2822" s="4">
        <v>20250924</v>
      </c>
      <c r="H2822" s="38" t="s">
        <v>30</v>
      </c>
      <c r="I2822" s="34" t="s">
        <v>9</v>
      </c>
      <c r="J2822" s="38" t="s">
        <v>97</v>
      </c>
    </row>
    <row r="2823" spans="1:10">
      <c r="A2823" s="32">
        <v>882</v>
      </c>
      <c r="B2823" s="33">
        <v>3510</v>
      </c>
      <c r="C2823" s="3">
        <v>100000</v>
      </c>
      <c r="D2823" s="3">
        <v>100000</v>
      </c>
      <c r="E2823" s="7">
        <v>0</v>
      </c>
      <c r="F2823" s="5">
        <v>45925</v>
      </c>
      <c r="G2823" s="4">
        <v>20250924</v>
      </c>
      <c r="H2823" s="38" t="s">
        <v>30</v>
      </c>
      <c r="I2823" s="34" t="s">
        <v>9</v>
      </c>
      <c r="J2823" s="38" t="s">
        <v>222</v>
      </c>
    </row>
    <row r="2824" spans="1:10">
      <c r="A2824" s="32">
        <v>111</v>
      </c>
      <c r="B2824" s="33">
        <v>5671</v>
      </c>
      <c r="C2824" s="3">
        <v>7830000</v>
      </c>
      <c r="D2824" s="3">
        <v>7830000</v>
      </c>
      <c r="E2824" s="7">
        <v>0</v>
      </c>
      <c r="F2824" s="5">
        <v>45926</v>
      </c>
      <c r="G2824" s="4">
        <v>20250925</v>
      </c>
      <c r="H2824" s="38" t="s">
        <v>30</v>
      </c>
      <c r="I2824" s="34" t="s">
        <v>9</v>
      </c>
      <c r="J2824" s="38" t="s">
        <v>48</v>
      </c>
    </row>
    <row r="2825" spans="1:10">
      <c r="A2825" s="32">
        <v>15</v>
      </c>
      <c r="B2825" s="33">
        <v>8577</v>
      </c>
      <c r="C2825" s="3">
        <v>3210000</v>
      </c>
      <c r="D2825" s="3">
        <v>3210000</v>
      </c>
      <c r="E2825" s="7">
        <v>0</v>
      </c>
      <c r="F2825" s="5">
        <v>45926</v>
      </c>
      <c r="G2825" s="4">
        <v>20250925</v>
      </c>
      <c r="H2825" s="38" t="s">
        <v>24</v>
      </c>
      <c r="I2825" s="34" t="s">
        <v>9</v>
      </c>
      <c r="J2825" s="38" t="s">
        <v>374</v>
      </c>
    </row>
    <row r="2826" spans="1:10">
      <c r="A2826" s="32">
        <v>659</v>
      </c>
      <c r="B2826" s="33">
        <v>5102</v>
      </c>
      <c r="C2826" s="3">
        <v>2440000</v>
      </c>
      <c r="D2826" s="3">
        <v>2440000</v>
      </c>
      <c r="E2826" s="7">
        <v>0</v>
      </c>
      <c r="F2826" s="5">
        <v>45926</v>
      </c>
      <c r="G2826" s="4">
        <v>20250925</v>
      </c>
      <c r="H2826" s="38" t="s">
        <v>24</v>
      </c>
      <c r="I2826" s="34" t="s">
        <v>9</v>
      </c>
      <c r="J2826" s="38" t="s">
        <v>481</v>
      </c>
    </row>
    <row r="2827" spans="1:10">
      <c r="A2827" s="32">
        <v>820</v>
      </c>
      <c r="B2827" s="33">
        <v>6174</v>
      </c>
      <c r="C2827" s="3">
        <v>80000</v>
      </c>
      <c r="D2827" s="3">
        <v>80000</v>
      </c>
      <c r="E2827" s="7">
        <v>0</v>
      </c>
      <c r="F2827" s="5">
        <v>45926</v>
      </c>
      <c r="G2827" s="4">
        <v>20250925</v>
      </c>
      <c r="H2827" s="38" t="s">
        <v>24</v>
      </c>
      <c r="I2827" s="34" t="s">
        <v>9</v>
      </c>
      <c r="J2827" s="38" t="s">
        <v>395</v>
      </c>
    </row>
    <row r="2828" spans="1:10">
      <c r="A2828" s="32">
        <v>31</v>
      </c>
      <c r="B2828" s="33">
        <v>8733</v>
      </c>
      <c r="C2828" s="3">
        <v>20000</v>
      </c>
      <c r="D2828" s="3">
        <v>20000</v>
      </c>
      <c r="E2828" s="7">
        <v>0</v>
      </c>
      <c r="F2828" s="5">
        <v>45926</v>
      </c>
      <c r="G2828" s="4">
        <v>20250925</v>
      </c>
      <c r="H2828" s="38" t="s">
        <v>30</v>
      </c>
      <c r="I2828" s="34" t="s">
        <v>10</v>
      </c>
      <c r="J2828" s="38" t="s">
        <v>196</v>
      </c>
    </row>
    <row r="2829" spans="1:10">
      <c r="A2829" s="32">
        <v>361</v>
      </c>
      <c r="B2829" s="33">
        <v>5005</v>
      </c>
      <c r="C2829" s="3">
        <v>1870000</v>
      </c>
      <c r="D2829" s="3">
        <v>1870000</v>
      </c>
      <c r="E2829" s="7">
        <v>0</v>
      </c>
      <c r="F2829" s="5">
        <v>45929</v>
      </c>
      <c r="G2829" s="4">
        <v>20250928</v>
      </c>
      <c r="H2829" s="38" t="s">
        <v>24</v>
      </c>
      <c r="I2829" s="34" t="s">
        <v>9</v>
      </c>
      <c r="J2829" s="38" t="s">
        <v>423</v>
      </c>
    </row>
    <row r="2830" spans="1:10">
      <c r="A2830" s="32">
        <v>111</v>
      </c>
      <c r="B2830" s="33">
        <v>5671</v>
      </c>
      <c r="C2830" s="3">
        <v>1050000</v>
      </c>
      <c r="D2830" s="3">
        <v>1050000</v>
      </c>
      <c r="E2830" s="7">
        <v>0</v>
      </c>
      <c r="F2830" s="5">
        <v>45929</v>
      </c>
      <c r="G2830" s="4">
        <v>20250928</v>
      </c>
      <c r="H2830" s="38" t="s">
        <v>30</v>
      </c>
      <c r="I2830" s="34" t="s">
        <v>9</v>
      </c>
      <c r="J2830" s="38" t="s">
        <v>48</v>
      </c>
    </row>
    <row r="2831" spans="1:10">
      <c r="A2831" s="32">
        <v>153</v>
      </c>
      <c r="B2831" s="33">
        <v>9880</v>
      </c>
      <c r="C2831" s="3">
        <v>1480000</v>
      </c>
      <c r="D2831" s="3">
        <v>1480000</v>
      </c>
      <c r="E2831" s="7">
        <v>0</v>
      </c>
      <c r="F2831" s="5">
        <v>45929</v>
      </c>
      <c r="G2831" s="4">
        <v>20250928</v>
      </c>
      <c r="H2831" s="38" t="s">
        <v>30</v>
      </c>
      <c r="I2831" s="34" t="s">
        <v>9</v>
      </c>
      <c r="J2831" s="38" t="s">
        <v>61</v>
      </c>
    </row>
    <row r="2832" spans="1:10">
      <c r="A2832" s="32">
        <v>153</v>
      </c>
      <c r="B2832" s="33">
        <v>9881</v>
      </c>
      <c r="C2832" s="3">
        <v>510000</v>
      </c>
      <c r="D2832" s="3">
        <v>510000</v>
      </c>
      <c r="E2832" s="7">
        <v>0</v>
      </c>
      <c r="F2832" s="5">
        <v>45929</v>
      </c>
      <c r="G2832" s="4">
        <v>20250928</v>
      </c>
      <c r="H2832" s="38" t="s">
        <v>30</v>
      </c>
      <c r="I2832" s="34" t="s">
        <v>9</v>
      </c>
      <c r="J2832" s="38" t="s">
        <v>155</v>
      </c>
    </row>
    <row r="2833" spans="1:10">
      <c r="A2833" s="32">
        <v>567</v>
      </c>
      <c r="B2833" s="33">
        <v>2423</v>
      </c>
      <c r="C2833" s="3">
        <v>3210000</v>
      </c>
      <c r="D2833" s="3">
        <v>3210000</v>
      </c>
      <c r="E2833" s="7">
        <v>0</v>
      </c>
      <c r="F2833" s="5">
        <v>45929</v>
      </c>
      <c r="G2833" s="4">
        <v>20250928</v>
      </c>
      <c r="H2833" s="38" t="s">
        <v>30</v>
      </c>
      <c r="I2833" s="34" t="s">
        <v>9</v>
      </c>
      <c r="J2833" s="38" t="s">
        <v>342</v>
      </c>
    </row>
    <row r="2834" spans="1:10">
      <c r="A2834" s="32">
        <v>705</v>
      </c>
      <c r="B2834" s="33">
        <v>4151</v>
      </c>
      <c r="C2834" s="3">
        <v>50000</v>
      </c>
      <c r="D2834" s="3">
        <v>50000</v>
      </c>
      <c r="E2834" s="7">
        <v>0</v>
      </c>
      <c r="F2834" s="5">
        <v>45929</v>
      </c>
      <c r="G2834" s="4">
        <v>20250928</v>
      </c>
      <c r="H2834" s="38" t="s">
        <v>30</v>
      </c>
      <c r="I2834" s="34" t="s">
        <v>9</v>
      </c>
      <c r="J2834" s="38" t="s">
        <v>79</v>
      </c>
    </row>
    <row r="2835" spans="1:10">
      <c r="A2835" s="32">
        <v>705</v>
      </c>
      <c r="B2835" s="33">
        <v>4152</v>
      </c>
      <c r="C2835" s="3">
        <v>500000</v>
      </c>
      <c r="D2835" s="3">
        <v>500000</v>
      </c>
      <c r="E2835" s="7">
        <v>0</v>
      </c>
      <c r="F2835" s="5">
        <v>45929</v>
      </c>
      <c r="G2835" s="4">
        <v>20250928</v>
      </c>
      <c r="H2835" s="38" t="s">
        <v>30</v>
      </c>
      <c r="I2835" s="34" t="s">
        <v>9</v>
      </c>
      <c r="J2835" s="38" t="s">
        <v>266</v>
      </c>
    </row>
    <row r="2836" spans="1:10">
      <c r="A2836" s="32">
        <v>724</v>
      </c>
      <c r="B2836" s="33">
        <v>6894</v>
      </c>
      <c r="C2836" s="3">
        <v>220000</v>
      </c>
      <c r="D2836" s="3">
        <v>220000</v>
      </c>
      <c r="E2836" s="7">
        <v>0</v>
      </c>
      <c r="F2836" s="5">
        <v>45929</v>
      </c>
      <c r="G2836" s="4">
        <v>20250928</v>
      </c>
      <c r="H2836" s="38" t="s">
        <v>30</v>
      </c>
      <c r="I2836" s="34" t="s">
        <v>9</v>
      </c>
      <c r="J2836" s="38" t="s">
        <v>369</v>
      </c>
    </row>
    <row r="2837" spans="1:10">
      <c r="A2837" s="32">
        <v>882</v>
      </c>
      <c r="B2837" s="33">
        <v>3510</v>
      </c>
      <c r="C2837" s="3">
        <v>50000</v>
      </c>
      <c r="D2837" s="3">
        <v>50000</v>
      </c>
      <c r="E2837" s="7">
        <v>0</v>
      </c>
      <c r="F2837" s="5">
        <v>45929</v>
      </c>
      <c r="G2837" s="4">
        <v>20250928</v>
      </c>
      <c r="H2837" s="38" t="s">
        <v>30</v>
      </c>
      <c r="I2837" s="34" t="s">
        <v>9</v>
      </c>
      <c r="J2837" s="38" t="s">
        <v>222</v>
      </c>
    </row>
    <row r="2838" spans="1:10">
      <c r="A2838" s="32">
        <v>60</v>
      </c>
      <c r="B2838" s="33">
        <v>8721</v>
      </c>
      <c r="C2838" s="3">
        <v>200000</v>
      </c>
      <c r="D2838" s="3">
        <v>200000</v>
      </c>
      <c r="E2838" s="7">
        <v>0</v>
      </c>
      <c r="F2838" s="5">
        <v>45930</v>
      </c>
      <c r="G2838" s="4">
        <v>20250929</v>
      </c>
      <c r="H2838" s="38" t="s">
        <v>30</v>
      </c>
      <c r="I2838" s="34" t="s">
        <v>9</v>
      </c>
      <c r="J2838" s="38" t="s">
        <v>59</v>
      </c>
    </row>
    <row r="2839" spans="1:10">
      <c r="A2839" s="32">
        <v>60</v>
      </c>
      <c r="B2839" s="33">
        <v>8724</v>
      </c>
      <c r="C2839" s="3">
        <v>200000</v>
      </c>
      <c r="D2839" s="3">
        <v>200000</v>
      </c>
      <c r="E2839" s="7">
        <v>0</v>
      </c>
      <c r="F2839" s="5">
        <v>45930</v>
      </c>
      <c r="G2839" s="4">
        <v>20250929</v>
      </c>
      <c r="H2839" s="38" t="s">
        <v>30</v>
      </c>
      <c r="I2839" s="34" t="s">
        <v>9</v>
      </c>
      <c r="J2839" s="38" t="s">
        <v>482</v>
      </c>
    </row>
    <row r="2840" spans="1:10">
      <c r="A2840" s="32">
        <v>111</v>
      </c>
      <c r="B2840" s="33">
        <v>5671</v>
      </c>
      <c r="C2840" s="3">
        <v>60000</v>
      </c>
      <c r="D2840" s="3">
        <v>60000</v>
      </c>
      <c r="E2840" s="7">
        <v>0</v>
      </c>
      <c r="F2840" s="5">
        <v>45930</v>
      </c>
      <c r="G2840" s="4">
        <v>20250929</v>
      </c>
      <c r="H2840" s="38" t="s">
        <v>30</v>
      </c>
      <c r="I2840" s="34" t="s">
        <v>9</v>
      </c>
      <c r="J2840" s="38" t="s">
        <v>48</v>
      </c>
    </row>
    <row r="2841" spans="1:10">
      <c r="A2841" s="32">
        <v>536</v>
      </c>
      <c r="B2841" s="33">
        <v>6914</v>
      </c>
      <c r="C2841" s="3">
        <v>40000</v>
      </c>
      <c r="D2841" s="3">
        <v>40000</v>
      </c>
      <c r="E2841" s="7">
        <v>0</v>
      </c>
      <c r="F2841" s="5">
        <v>45930</v>
      </c>
      <c r="G2841" s="4">
        <v>20250929</v>
      </c>
      <c r="H2841" s="38" t="s">
        <v>30</v>
      </c>
      <c r="I2841" s="34" t="s">
        <v>9</v>
      </c>
      <c r="J2841" s="38" t="s">
        <v>483</v>
      </c>
    </row>
    <row r="2842" spans="1:10">
      <c r="A2842" s="32">
        <v>705</v>
      </c>
      <c r="B2842" s="33">
        <v>4152</v>
      </c>
      <c r="C2842" s="3">
        <v>80000</v>
      </c>
      <c r="D2842" s="3">
        <v>80000</v>
      </c>
      <c r="E2842" s="7">
        <v>0</v>
      </c>
      <c r="F2842" s="5">
        <v>45930</v>
      </c>
      <c r="G2842" s="4">
        <v>20250929</v>
      </c>
      <c r="H2842" s="38" t="s">
        <v>30</v>
      </c>
      <c r="I2842" s="34" t="s">
        <v>9</v>
      </c>
      <c r="J2842" s="38" t="s">
        <v>266</v>
      </c>
    </row>
    <row r="2843" spans="1:10">
      <c r="A2843" s="32">
        <v>882</v>
      </c>
      <c r="B2843" s="33">
        <v>3510</v>
      </c>
      <c r="C2843" s="3">
        <v>120000</v>
      </c>
      <c r="D2843" s="3">
        <v>120000</v>
      </c>
      <c r="E2843" s="7">
        <v>0</v>
      </c>
      <c r="F2843" s="5">
        <v>45930</v>
      </c>
      <c r="G2843" s="4">
        <v>20250929</v>
      </c>
      <c r="H2843" s="38" t="s">
        <v>30</v>
      </c>
      <c r="I2843" s="34" t="s">
        <v>9</v>
      </c>
      <c r="J2843" s="38" t="s">
        <v>222</v>
      </c>
    </row>
    <row r="2844" spans="1:10">
      <c r="A2844" s="32">
        <v>601</v>
      </c>
      <c r="B2844" s="33">
        <v>6407</v>
      </c>
      <c r="C2844" s="3">
        <v>3730000</v>
      </c>
      <c r="D2844" s="3">
        <v>3730000</v>
      </c>
      <c r="E2844" s="7">
        <v>0</v>
      </c>
      <c r="F2844" s="5">
        <v>45930</v>
      </c>
      <c r="G2844" s="4">
        <v>20250929</v>
      </c>
      <c r="H2844" s="38" t="s">
        <v>24</v>
      </c>
      <c r="I2844" s="34" t="s">
        <v>9</v>
      </c>
      <c r="J2844" s="38" t="s">
        <v>415</v>
      </c>
    </row>
    <row r="2845" spans="1:10">
      <c r="A2845" s="32">
        <v>820</v>
      </c>
      <c r="B2845" s="33">
        <v>6174</v>
      </c>
      <c r="C2845" s="3">
        <v>1528100</v>
      </c>
      <c r="D2845" s="3">
        <v>1528100</v>
      </c>
      <c r="E2845" s="7">
        <v>0</v>
      </c>
      <c r="F2845" s="5">
        <v>45930</v>
      </c>
      <c r="G2845" s="4">
        <v>20250929</v>
      </c>
      <c r="H2845" s="38" t="s">
        <v>24</v>
      </c>
      <c r="I2845" s="34" t="s">
        <v>9</v>
      </c>
      <c r="J2845" s="38" t="s">
        <v>395</v>
      </c>
    </row>
    <row r="2846" spans="1:10">
      <c r="A2846" s="32">
        <v>178</v>
      </c>
      <c r="B2846" s="33">
        <v>6218</v>
      </c>
      <c r="C2846" s="3">
        <v>550000</v>
      </c>
      <c r="D2846" s="3">
        <v>550000</v>
      </c>
      <c r="E2846" s="7">
        <v>0</v>
      </c>
      <c r="F2846" s="5">
        <v>45930</v>
      </c>
      <c r="G2846" s="4">
        <v>20250929</v>
      </c>
      <c r="H2846" s="38" t="s">
        <v>24</v>
      </c>
      <c r="I2846" s="34" t="s">
        <v>9</v>
      </c>
      <c r="J2846" s="38" t="s">
        <v>189</v>
      </c>
    </row>
    <row r="2847" spans="1:10">
      <c r="A2847" s="32">
        <v>31</v>
      </c>
      <c r="B2847" s="33">
        <v>8732</v>
      </c>
      <c r="C2847" s="3">
        <v>20000</v>
      </c>
      <c r="D2847" s="3">
        <v>20000</v>
      </c>
      <c r="E2847" s="7">
        <v>0</v>
      </c>
      <c r="F2847" s="5">
        <v>45930</v>
      </c>
      <c r="G2847" s="4">
        <v>20250929</v>
      </c>
      <c r="H2847" s="38" t="s">
        <v>30</v>
      </c>
      <c r="I2847" s="34" t="s">
        <v>10</v>
      </c>
      <c r="J2847" s="38" t="s">
        <v>195</v>
      </c>
    </row>
    <row r="2848" spans="1:10">
      <c r="A2848" s="32">
        <v>31</v>
      </c>
      <c r="B2848" s="33">
        <v>8732</v>
      </c>
      <c r="C2848" s="3">
        <v>20000</v>
      </c>
      <c r="D2848" s="3">
        <v>20000</v>
      </c>
      <c r="E2848" s="7">
        <v>0</v>
      </c>
      <c r="F2848" s="5">
        <v>45925</v>
      </c>
      <c r="G2848" s="4">
        <v>20250924</v>
      </c>
      <c r="H2848" s="38" t="s">
        <v>30</v>
      </c>
      <c r="I2848" s="34" t="s">
        <v>10</v>
      </c>
      <c r="J2848" s="38" t="s">
        <v>195</v>
      </c>
    </row>
    <row r="2849" spans="1:10">
      <c r="A2849" s="32">
        <v>656</v>
      </c>
      <c r="B2849" s="33">
        <v>5663</v>
      </c>
      <c r="C2849" s="3">
        <v>300000</v>
      </c>
      <c r="D2849" s="3">
        <v>300000</v>
      </c>
      <c r="E2849" s="7">
        <v>0</v>
      </c>
      <c r="F2849" s="5">
        <v>45932</v>
      </c>
      <c r="G2849" s="4">
        <v>20251001</v>
      </c>
      <c r="H2849" s="38" t="s">
        <v>30</v>
      </c>
      <c r="I2849" s="34"/>
      <c r="J2849" s="38" t="s">
        <v>484</v>
      </c>
    </row>
    <row r="2850" spans="1:10">
      <c r="A2850" s="32">
        <v>31</v>
      </c>
      <c r="B2850" s="33">
        <v>8732</v>
      </c>
      <c r="C2850" s="3">
        <v>1600000</v>
      </c>
      <c r="D2850" s="3">
        <v>1600000</v>
      </c>
      <c r="E2850" s="7">
        <v>0</v>
      </c>
      <c r="F2850" s="5">
        <v>45932</v>
      </c>
      <c r="G2850" s="4">
        <v>20251001</v>
      </c>
      <c r="H2850" s="38" t="s">
        <v>30</v>
      </c>
      <c r="I2850" s="34" t="s">
        <v>9</v>
      </c>
      <c r="J2850" s="38" t="s">
        <v>195</v>
      </c>
    </row>
    <row r="2851" spans="1:10">
      <c r="A2851" s="32">
        <v>31</v>
      </c>
      <c r="B2851" s="33">
        <v>8733</v>
      </c>
      <c r="C2851" s="3">
        <v>40000</v>
      </c>
      <c r="D2851" s="3">
        <v>40000</v>
      </c>
      <c r="E2851" s="7">
        <v>0</v>
      </c>
      <c r="F2851" s="5">
        <v>45932</v>
      </c>
      <c r="G2851" s="4">
        <v>20251001</v>
      </c>
      <c r="H2851" s="38" t="s">
        <v>30</v>
      </c>
      <c r="I2851" s="34" t="s">
        <v>9</v>
      </c>
      <c r="J2851" s="38" t="s">
        <v>196</v>
      </c>
    </row>
    <row r="2852" spans="1:10">
      <c r="A2852" s="32">
        <v>60</v>
      </c>
      <c r="B2852" s="33">
        <v>8721</v>
      </c>
      <c r="C2852" s="3">
        <v>500000</v>
      </c>
      <c r="D2852" s="3">
        <v>500000</v>
      </c>
      <c r="E2852" s="7">
        <v>0</v>
      </c>
      <c r="F2852" s="5">
        <v>45932</v>
      </c>
      <c r="G2852" s="4">
        <v>20251001</v>
      </c>
      <c r="H2852" s="38" t="s">
        <v>30</v>
      </c>
      <c r="I2852" s="34" t="s">
        <v>9</v>
      </c>
      <c r="J2852" s="38" t="s">
        <v>59</v>
      </c>
    </row>
    <row r="2853" spans="1:10">
      <c r="A2853" s="32">
        <v>60</v>
      </c>
      <c r="B2853" s="33">
        <v>8724</v>
      </c>
      <c r="C2853" s="3">
        <v>200000</v>
      </c>
      <c r="D2853" s="3">
        <v>200000</v>
      </c>
      <c r="E2853" s="7">
        <v>0</v>
      </c>
      <c r="F2853" s="5">
        <v>45932</v>
      </c>
      <c r="G2853" s="4">
        <v>20251001</v>
      </c>
      <c r="H2853" s="38" t="s">
        <v>30</v>
      </c>
      <c r="I2853" s="34" t="s">
        <v>9</v>
      </c>
      <c r="J2853" s="38" t="s">
        <v>482</v>
      </c>
    </row>
    <row r="2854" spans="1:10">
      <c r="A2854" s="32">
        <v>111</v>
      </c>
      <c r="B2854" s="33">
        <v>5671</v>
      </c>
      <c r="C2854" s="3">
        <v>30000</v>
      </c>
      <c r="D2854" s="3">
        <v>30000</v>
      </c>
      <c r="E2854" s="7">
        <v>0</v>
      </c>
      <c r="F2854" s="5">
        <v>45932</v>
      </c>
      <c r="G2854" s="4">
        <v>20251001</v>
      </c>
      <c r="H2854" s="38" t="s">
        <v>30</v>
      </c>
      <c r="I2854" s="34" t="s">
        <v>9</v>
      </c>
      <c r="J2854" s="38" t="s">
        <v>48</v>
      </c>
    </row>
    <row r="2855" spans="1:10">
      <c r="A2855" s="32">
        <v>153</v>
      </c>
      <c r="B2855" s="33">
        <v>9880</v>
      </c>
      <c r="C2855" s="3">
        <v>680000</v>
      </c>
      <c r="D2855" s="3">
        <v>680000</v>
      </c>
      <c r="E2855" s="7">
        <v>0</v>
      </c>
      <c r="F2855" s="5">
        <v>45932</v>
      </c>
      <c r="G2855" s="4">
        <v>20251001</v>
      </c>
      <c r="H2855" s="38" t="s">
        <v>30</v>
      </c>
      <c r="I2855" s="34" t="s">
        <v>9</v>
      </c>
      <c r="J2855" s="38" t="s">
        <v>61</v>
      </c>
    </row>
    <row r="2856" spans="1:10">
      <c r="A2856" s="32">
        <v>153</v>
      </c>
      <c r="B2856" s="33">
        <v>9882</v>
      </c>
      <c r="C2856" s="3">
        <v>600000</v>
      </c>
      <c r="D2856" s="3">
        <v>600000</v>
      </c>
      <c r="E2856" s="7">
        <v>0</v>
      </c>
      <c r="F2856" s="5">
        <v>45932</v>
      </c>
      <c r="G2856" s="4">
        <v>20251001</v>
      </c>
      <c r="H2856" s="38" t="s">
        <v>30</v>
      </c>
      <c r="I2856" s="34" t="s">
        <v>9</v>
      </c>
      <c r="J2856" s="38" t="s">
        <v>156</v>
      </c>
    </row>
    <row r="2857" spans="1:10">
      <c r="A2857" s="32">
        <v>345</v>
      </c>
      <c r="B2857" s="33">
        <v>6254</v>
      </c>
      <c r="C2857" s="3">
        <v>1000000</v>
      </c>
      <c r="D2857" s="3">
        <v>1000000</v>
      </c>
      <c r="E2857" s="7">
        <v>0</v>
      </c>
      <c r="F2857" s="5">
        <v>45932</v>
      </c>
      <c r="G2857" s="4">
        <v>20251001</v>
      </c>
      <c r="H2857" s="38" t="s">
        <v>30</v>
      </c>
      <c r="I2857" s="34" t="s">
        <v>9</v>
      </c>
      <c r="J2857" s="38" t="s">
        <v>64</v>
      </c>
    </row>
    <row r="2858" spans="1:10">
      <c r="A2858" s="32">
        <v>385</v>
      </c>
      <c r="B2858" s="33">
        <v>1826</v>
      </c>
      <c r="C2858" s="3">
        <v>590000</v>
      </c>
      <c r="D2858" s="3">
        <v>590000</v>
      </c>
      <c r="E2858" s="7">
        <v>0</v>
      </c>
      <c r="F2858" s="5">
        <v>45932</v>
      </c>
      <c r="G2858" s="4">
        <v>20251001</v>
      </c>
      <c r="H2858" s="38" t="s">
        <v>30</v>
      </c>
      <c r="I2858" s="34" t="s">
        <v>9</v>
      </c>
      <c r="J2858" s="38" t="s">
        <v>145</v>
      </c>
    </row>
    <row r="2859" spans="1:10">
      <c r="A2859" s="32">
        <v>502</v>
      </c>
      <c r="B2859" s="33">
        <v>4626</v>
      </c>
      <c r="C2859" s="3">
        <v>40000</v>
      </c>
      <c r="D2859" s="3">
        <v>40000</v>
      </c>
      <c r="E2859" s="7">
        <v>0</v>
      </c>
      <c r="F2859" s="5">
        <v>45932</v>
      </c>
      <c r="G2859" s="4">
        <v>20251001</v>
      </c>
      <c r="H2859" s="38" t="s">
        <v>30</v>
      </c>
      <c r="I2859" s="34" t="s">
        <v>9</v>
      </c>
      <c r="J2859" s="38" t="s">
        <v>68</v>
      </c>
    </row>
    <row r="2860" spans="1:10">
      <c r="A2860" s="32">
        <v>705</v>
      </c>
      <c r="B2860" s="33">
        <v>4151</v>
      </c>
      <c r="C2860" s="3">
        <v>120000</v>
      </c>
      <c r="D2860" s="3">
        <v>120000</v>
      </c>
      <c r="E2860" s="7">
        <v>0</v>
      </c>
      <c r="F2860" s="5">
        <v>45932</v>
      </c>
      <c r="G2860" s="4">
        <v>20251001</v>
      </c>
      <c r="H2860" s="38" t="s">
        <v>30</v>
      </c>
      <c r="I2860" s="34" t="s">
        <v>9</v>
      </c>
      <c r="J2860" s="38" t="s">
        <v>79</v>
      </c>
    </row>
    <row r="2861" spans="1:10">
      <c r="A2861" s="32">
        <v>705</v>
      </c>
      <c r="B2861" s="33">
        <v>4152</v>
      </c>
      <c r="C2861" s="3">
        <v>660000</v>
      </c>
      <c r="D2861" s="3">
        <v>660000</v>
      </c>
      <c r="E2861" s="7">
        <v>0</v>
      </c>
      <c r="F2861" s="5">
        <v>45932</v>
      </c>
      <c r="G2861" s="4">
        <v>20251001</v>
      </c>
      <c r="H2861" s="38" t="s">
        <v>30</v>
      </c>
      <c r="I2861" s="34" t="s">
        <v>9</v>
      </c>
      <c r="J2861" s="38" t="s">
        <v>266</v>
      </c>
    </row>
    <row r="2862" spans="1:10">
      <c r="A2862" s="32">
        <v>882</v>
      </c>
      <c r="B2862" s="33">
        <v>3510</v>
      </c>
      <c r="C2862" s="3">
        <v>4690000</v>
      </c>
      <c r="D2862" s="3">
        <v>4690000</v>
      </c>
      <c r="E2862" s="7">
        <v>0</v>
      </c>
      <c r="F2862" s="5">
        <v>45932</v>
      </c>
      <c r="G2862" s="4">
        <v>20251001</v>
      </c>
      <c r="H2862" s="38" t="s">
        <v>30</v>
      </c>
      <c r="I2862" s="34" t="s">
        <v>9</v>
      </c>
      <c r="J2862" s="38" t="s">
        <v>222</v>
      </c>
    </row>
    <row r="2863" spans="1:10">
      <c r="A2863" s="32">
        <v>820</v>
      </c>
      <c r="B2863" s="33">
        <v>6174</v>
      </c>
      <c r="C2863" s="3">
        <v>3110100</v>
      </c>
      <c r="D2863" s="3">
        <v>3110100</v>
      </c>
      <c r="E2863" s="7">
        <v>0</v>
      </c>
      <c r="F2863" s="5">
        <v>45932</v>
      </c>
      <c r="G2863" s="4">
        <v>20251001</v>
      </c>
      <c r="H2863" s="38" t="s">
        <v>24</v>
      </c>
      <c r="I2863" s="34" t="s">
        <v>9</v>
      </c>
      <c r="J2863" s="38" t="s">
        <v>395</v>
      </c>
    </row>
    <row r="2864" spans="1:10">
      <c r="A2864" s="32">
        <v>236</v>
      </c>
      <c r="B2864" s="33">
        <v>8497</v>
      </c>
      <c r="C2864" s="3">
        <v>2255600</v>
      </c>
      <c r="D2864" s="3">
        <v>2255600</v>
      </c>
      <c r="E2864" s="7">
        <v>0</v>
      </c>
      <c r="F2864" s="5">
        <v>45932</v>
      </c>
      <c r="G2864" s="4">
        <v>20251001</v>
      </c>
      <c r="H2864" s="38" t="s">
        <v>24</v>
      </c>
      <c r="I2864" s="34" t="s">
        <v>9</v>
      </c>
      <c r="J2864" s="38" t="s">
        <v>285</v>
      </c>
    </row>
    <row r="2865" spans="1:10">
      <c r="A2865" s="32">
        <v>442</v>
      </c>
      <c r="B2865" s="33">
        <v>8887</v>
      </c>
      <c r="C2865" s="3">
        <v>1855000</v>
      </c>
      <c r="D2865" s="3">
        <v>1855000</v>
      </c>
      <c r="E2865" s="7">
        <v>0</v>
      </c>
      <c r="F2865" s="5">
        <v>45932</v>
      </c>
      <c r="G2865" s="4">
        <v>20251001</v>
      </c>
      <c r="H2865" s="38" t="s">
        <v>24</v>
      </c>
      <c r="I2865" s="34" t="s">
        <v>9</v>
      </c>
      <c r="J2865" s="38" t="s">
        <v>41</v>
      </c>
    </row>
    <row r="2866" spans="1:10">
      <c r="A2866" s="32">
        <v>361</v>
      </c>
      <c r="B2866" s="33">
        <v>5005</v>
      </c>
      <c r="C2866" s="3">
        <v>707500</v>
      </c>
      <c r="D2866" s="3">
        <v>707500</v>
      </c>
      <c r="E2866" s="7">
        <v>0</v>
      </c>
      <c r="F2866" s="5">
        <v>45932</v>
      </c>
      <c r="G2866" s="4">
        <v>20251001</v>
      </c>
      <c r="H2866" s="38" t="s">
        <v>24</v>
      </c>
      <c r="I2866" s="34" t="s">
        <v>9</v>
      </c>
      <c r="J2866" s="38" t="s">
        <v>423</v>
      </c>
    </row>
    <row r="2867" spans="1:10">
      <c r="A2867" s="32">
        <v>38</v>
      </c>
      <c r="B2867" s="33">
        <v>6553</v>
      </c>
      <c r="C2867" s="3">
        <v>20000</v>
      </c>
      <c r="D2867" s="3">
        <v>20000</v>
      </c>
      <c r="E2867" s="7">
        <v>0</v>
      </c>
      <c r="F2867" s="5">
        <v>45932</v>
      </c>
      <c r="G2867" s="4">
        <v>20251001</v>
      </c>
      <c r="H2867" s="38" t="s">
        <v>30</v>
      </c>
      <c r="I2867" s="34" t="s">
        <v>10</v>
      </c>
      <c r="J2867" s="38" t="s">
        <v>216</v>
      </c>
    </row>
    <row r="2868" spans="1:10">
      <c r="A2868" s="32">
        <v>625</v>
      </c>
      <c r="B2868" s="33">
        <v>6096</v>
      </c>
      <c r="C2868" s="3">
        <v>2110000</v>
      </c>
      <c r="D2868" s="3">
        <v>2110000</v>
      </c>
      <c r="E2868" s="7">
        <v>0</v>
      </c>
      <c r="F2868" s="5">
        <v>45933</v>
      </c>
      <c r="G2868" s="4">
        <v>20251002</v>
      </c>
      <c r="H2868" s="38" t="s">
        <v>24</v>
      </c>
      <c r="I2868" s="34" t="s">
        <v>9</v>
      </c>
      <c r="J2868" s="38" t="s">
        <v>188</v>
      </c>
    </row>
    <row r="2869" spans="1:10">
      <c r="A2869" s="32">
        <v>335</v>
      </c>
      <c r="B2869" s="33">
        <v>3966</v>
      </c>
      <c r="C2869" s="3">
        <v>90000</v>
      </c>
      <c r="D2869" s="3">
        <v>90000</v>
      </c>
      <c r="E2869" s="7">
        <v>0</v>
      </c>
      <c r="F2869" s="5">
        <v>45933</v>
      </c>
      <c r="G2869" s="4">
        <v>20251002</v>
      </c>
      <c r="H2869" s="38" t="s">
        <v>30</v>
      </c>
      <c r="I2869" s="34"/>
      <c r="J2869" s="38" t="s">
        <v>485</v>
      </c>
    </row>
    <row r="2870" spans="1:10">
      <c r="A2870" s="32">
        <v>38</v>
      </c>
      <c r="B2870" s="33">
        <v>6553</v>
      </c>
      <c r="C2870" s="3">
        <v>5000000</v>
      </c>
      <c r="D2870" s="3">
        <v>5000000</v>
      </c>
      <c r="E2870" s="7">
        <v>0</v>
      </c>
      <c r="F2870" s="5">
        <v>45933</v>
      </c>
      <c r="G2870" s="4">
        <v>20251002</v>
      </c>
      <c r="H2870" s="38" t="s">
        <v>30</v>
      </c>
      <c r="I2870" s="34" t="s">
        <v>9</v>
      </c>
      <c r="J2870" s="38" t="s">
        <v>216</v>
      </c>
    </row>
    <row r="2871" spans="1:10">
      <c r="A2871" s="32">
        <v>231</v>
      </c>
      <c r="B2871" s="33">
        <v>5209</v>
      </c>
      <c r="C2871" s="3">
        <v>900000</v>
      </c>
      <c r="D2871" s="3">
        <v>900000</v>
      </c>
      <c r="E2871" s="7">
        <v>0</v>
      </c>
      <c r="F2871" s="5">
        <v>45933</v>
      </c>
      <c r="G2871" s="4">
        <v>20251002</v>
      </c>
      <c r="H2871" s="38" t="s">
        <v>30</v>
      </c>
      <c r="I2871" s="34" t="s">
        <v>9</v>
      </c>
      <c r="J2871" s="38" t="s">
        <v>486</v>
      </c>
    </row>
    <row r="2872" spans="1:10">
      <c r="A2872" s="32">
        <v>264</v>
      </c>
      <c r="B2872" s="33">
        <v>9903</v>
      </c>
      <c r="C2872" s="3">
        <v>100000</v>
      </c>
      <c r="D2872" s="3">
        <v>100000</v>
      </c>
      <c r="E2872" s="7">
        <v>0</v>
      </c>
      <c r="F2872" s="5">
        <v>45933</v>
      </c>
      <c r="G2872" s="4">
        <v>20251002</v>
      </c>
      <c r="H2872" s="38" t="s">
        <v>30</v>
      </c>
      <c r="I2872" s="34" t="s">
        <v>9</v>
      </c>
      <c r="J2872" s="38" t="s">
        <v>487</v>
      </c>
    </row>
    <row r="2873" spans="1:10">
      <c r="A2873" s="32">
        <v>343</v>
      </c>
      <c r="B2873" s="33">
        <v>7954</v>
      </c>
      <c r="C2873" s="3">
        <v>100000</v>
      </c>
      <c r="D2873" s="3">
        <v>100000</v>
      </c>
      <c r="E2873" s="7">
        <v>0</v>
      </c>
      <c r="F2873" s="5">
        <v>45933</v>
      </c>
      <c r="G2873" s="4">
        <v>20251002</v>
      </c>
      <c r="H2873" s="38" t="s">
        <v>30</v>
      </c>
      <c r="I2873" s="34" t="s">
        <v>9</v>
      </c>
      <c r="J2873" s="38" t="s">
        <v>122</v>
      </c>
    </row>
    <row r="2874" spans="1:10">
      <c r="A2874" s="32">
        <v>799</v>
      </c>
      <c r="B2874" s="33">
        <v>8184</v>
      </c>
      <c r="C2874" s="3">
        <v>80000</v>
      </c>
      <c r="D2874" s="3">
        <v>80000</v>
      </c>
      <c r="E2874" s="7">
        <v>0</v>
      </c>
      <c r="F2874" s="5">
        <v>45933</v>
      </c>
      <c r="G2874" s="4">
        <v>20251002</v>
      </c>
      <c r="H2874" s="38" t="s">
        <v>30</v>
      </c>
      <c r="I2874" s="34" t="s">
        <v>9</v>
      </c>
      <c r="J2874" s="38" t="s">
        <v>69</v>
      </c>
    </row>
    <row r="2875" spans="1:10">
      <c r="A2875" s="32">
        <v>799</v>
      </c>
      <c r="B2875" s="33">
        <v>8186</v>
      </c>
      <c r="C2875" s="3">
        <v>100000</v>
      </c>
      <c r="D2875" s="3">
        <v>100000</v>
      </c>
      <c r="E2875" s="7">
        <v>0</v>
      </c>
      <c r="F2875" s="5">
        <v>45933</v>
      </c>
      <c r="G2875" s="4">
        <v>20251002</v>
      </c>
      <c r="H2875" s="38" t="s">
        <v>30</v>
      </c>
      <c r="I2875" s="34" t="s">
        <v>9</v>
      </c>
      <c r="J2875" s="38" t="s">
        <v>463</v>
      </c>
    </row>
    <row r="2876" spans="1:10">
      <c r="A2876" s="32">
        <v>849</v>
      </c>
      <c r="B2876" s="33">
        <v>9723</v>
      </c>
      <c r="C2876" s="3">
        <v>400000</v>
      </c>
      <c r="D2876" s="3">
        <v>400000</v>
      </c>
      <c r="E2876" s="7">
        <v>0</v>
      </c>
      <c r="F2876" s="5">
        <v>45933</v>
      </c>
      <c r="G2876" s="4">
        <v>20251002</v>
      </c>
      <c r="H2876" s="38" t="s">
        <v>30</v>
      </c>
      <c r="I2876" s="34" t="s">
        <v>9</v>
      </c>
      <c r="J2876" s="38" t="s">
        <v>34</v>
      </c>
    </row>
    <row r="2877" spans="1:10">
      <c r="A2877" s="32">
        <v>60</v>
      </c>
      <c r="B2877" s="33">
        <v>8725</v>
      </c>
      <c r="C2877" s="3">
        <v>500000</v>
      </c>
      <c r="D2877" s="3">
        <v>500000</v>
      </c>
      <c r="E2877" s="7">
        <v>0</v>
      </c>
      <c r="F2877" s="5">
        <v>45936</v>
      </c>
      <c r="G2877" s="4">
        <v>20251005</v>
      </c>
      <c r="H2877" s="38" t="s">
        <v>30</v>
      </c>
      <c r="I2877" s="34" t="s">
        <v>9</v>
      </c>
      <c r="J2877" s="38" t="s">
        <v>323</v>
      </c>
    </row>
    <row r="2878" spans="1:10">
      <c r="A2878" s="32">
        <v>111</v>
      </c>
      <c r="B2878" s="33">
        <v>5671</v>
      </c>
      <c r="C2878" s="3">
        <v>1400000</v>
      </c>
      <c r="D2878" s="3">
        <v>1400000</v>
      </c>
      <c r="E2878" s="7">
        <v>0</v>
      </c>
      <c r="F2878" s="5">
        <v>45936</v>
      </c>
      <c r="G2878" s="4">
        <v>20251005</v>
      </c>
      <c r="H2878" s="38" t="s">
        <v>30</v>
      </c>
      <c r="I2878" s="34" t="s">
        <v>9</v>
      </c>
      <c r="J2878" s="38" t="s">
        <v>48</v>
      </c>
    </row>
    <row r="2879" spans="1:10">
      <c r="A2879" s="32">
        <v>153</v>
      </c>
      <c r="B2879" s="33">
        <v>9880</v>
      </c>
      <c r="C2879" s="3">
        <v>200000</v>
      </c>
      <c r="D2879" s="3">
        <v>200000</v>
      </c>
      <c r="E2879" s="7">
        <v>0</v>
      </c>
      <c r="F2879" s="5">
        <v>45936</v>
      </c>
      <c r="G2879" s="4">
        <v>20251005</v>
      </c>
      <c r="H2879" s="38" t="s">
        <v>30</v>
      </c>
      <c r="I2879" s="34" t="s">
        <v>9</v>
      </c>
      <c r="J2879" s="38" t="s">
        <v>61</v>
      </c>
    </row>
    <row r="2880" spans="1:10">
      <c r="A2880" s="32">
        <v>153</v>
      </c>
      <c r="B2880" s="33">
        <v>9881</v>
      </c>
      <c r="C2880" s="3">
        <v>350000</v>
      </c>
      <c r="D2880" s="3">
        <v>350000</v>
      </c>
      <c r="E2880" s="7">
        <v>0</v>
      </c>
      <c r="F2880" s="5">
        <v>45936</v>
      </c>
      <c r="G2880" s="4">
        <v>20251005</v>
      </c>
      <c r="H2880" s="38" t="s">
        <v>30</v>
      </c>
      <c r="I2880" s="34" t="s">
        <v>9</v>
      </c>
      <c r="J2880" s="38" t="s">
        <v>155</v>
      </c>
    </row>
    <row r="2881" spans="1:10">
      <c r="A2881" s="32">
        <v>264</v>
      </c>
      <c r="B2881" s="33">
        <v>9904</v>
      </c>
      <c r="C2881" s="3">
        <v>100000</v>
      </c>
      <c r="D2881" s="3">
        <v>100000</v>
      </c>
      <c r="E2881" s="7">
        <v>0</v>
      </c>
      <c r="F2881" s="5">
        <v>45936</v>
      </c>
      <c r="G2881" s="4">
        <v>20251005</v>
      </c>
      <c r="H2881" s="38" t="s">
        <v>30</v>
      </c>
      <c r="I2881" s="34" t="s">
        <v>9</v>
      </c>
      <c r="J2881" s="38" t="s">
        <v>488</v>
      </c>
    </row>
    <row r="2882" spans="1:10">
      <c r="A2882" s="32">
        <v>345</v>
      </c>
      <c r="B2882" s="33">
        <v>6254</v>
      </c>
      <c r="C2882" s="3">
        <v>1400000</v>
      </c>
      <c r="D2882" s="3">
        <v>1400000</v>
      </c>
      <c r="E2882" s="7">
        <v>0</v>
      </c>
      <c r="F2882" s="5">
        <v>45936</v>
      </c>
      <c r="G2882" s="4">
        <v>20251005</v>
      </c>
      <c r="H2882" s="38" t="s">
        <v>30</v>
      </c>
      <c r="I2882" s="34" t="s">
        <v>9</v>
      </c>
      <c r="J2882" s="38" t="s">
        <v>64</v>
      </c>
    </row>
    <row r="2883" spans="1:10">
      <c r="A2883" s="32">
        <v>705</v>
      </c>
      <c r="B2883" s="33">
        <v>4151</v>
      </c>
      <c r="C2883" s="3">
        <v>210000</v>
      </c>
      <c r="D2883" s="3">
        <v>210000</v>
      </c>
      <c r="E2883" s="7">
        <v>0</v>
      </c>
      <c r="F2883" s="5">
        <v>45936</v>
      </c>
      <c r="G2883" s="4">
        <v>20251005</v>
      </c>
      <c r="H2883" s="38" t="s">
        <v>30</v>
      </c>
      <c r="I2883" s="34" t="s">
        <v>9</v>
      </c>
      <c r="J2883" s="38" t="s">
        <v>79</v>
      </c>
    </row>
    <row r="2884" spans="1:10">
      <c r="A2884" s="32">
        <v>799</v>
      </c>
      <c r="B2884" s="33">
        <v>8185</v>
      </c>
      <c r="C2884" s="3">
        <v>500000</v>
      </c>
      <c r="D2884" s="3">
        <v>500000</v>
      </c>
      <c r="E2884" s="7">
        <v>0</v>
      </c>
      <c r="F2884" s="5">
        <v>45936</v>
      </c>
      <c r="G2884" s="4">
        <v>20251005</v>
      </c>
      <c r="H2884" s="38" t="s">
        <v>30</v>
      </c>
      <c r="I2884" s="34" t="s">
        <v>9</v>
      </c>
      <c r="J2884" s="38" t="s">
        <v>101</v>
      </c>
    </row>
    <row r="2885" spans="1:10">
      <c r="A2885" s="32">
        <v>849</v>
      </c>
      <c r="B2885" s="33">
        <v>9721</v>
      </c>
      <c r="C2885" s="3">
        <v>280000</v>
      </c>
      <c r="D2885" s="3">
        <v>280000</v>
      </c>
      <c r="E2885" s="7">
        <v>0</v>
      </c>
      <c r="F2885" s="5">
        <v>45936</v>
      </c>
      <c r="G2885" s="4">
        <v>20251005</v>
      </c>
      <c r="H2885" s="38" t="s">
        <v>30</v>
      </c>
      <c r="I2885" s="34" t="s">
        <v>9</v>
      </c>
      <c r="J2885" s="38" t="s">
        <v>150</v>
      </c>
    </row>
    <row r="2886" spans="1:10">
      <c r="A2886" s="32">
        <v>882</v>
      </c>
      <c r="B2886" s="33">
        <v>3510</v>
      </c>
      <c r="C2886" s="3">
        <v>240000</v>
      </c>
      <c r="D2886" s="3">
        <v>240000</v>
      </c>
      <c r="E2886" s="7">
        <v>0</v>
      </c>
      <c r="F2886" s="5">
        <v>45936</v>
      </c>
      <c r="G2886" s="4">
        <v>20251005</v>
      </c>
      <c r="H2886" s="38" t="s">
        <v>30</v>
      </c>
      <c r="I2886" s="34" t="s">
        <v>9</v>
      </c>
      <c r="J2886" s="38" t="s">
        <v>222</v>
      </c>
    </row>
    <row r="2887" spans="1:10">
      <c r="A2887" s="32">
        <v>625</v>
      </c>
      <c r="B2887" s="33">
        <v>6096</v>
      </c>
      <c r="C2887" s="3">
        <v>3344000</v>
      </c>
      <c r="D2887" s="3">
        <v>3344000</v>
      </c>
      <c r="E2887" s="7">
        <v>0</v>
      </c>
      <c r="F2887" s="5">
        <v>45936</v>
      </c>
      <c r="G2887" s="4">
        <v>20251005</v>
      </c>
      <c r="H2887" s="38" t="s">
        <v>24</v>
      </c>
      <c r="I2887" s="34" t="s">
        <v>9</v>
      </c>
      <c r="J2887" s="38" t="s">
        <v>188</v>
      </c>
    </row>
    <row r="2888" spans="1:10">
      <c r="A2888" s="32">
        <v>108</v>
      </c>
      <c r="B2888" s="33">
        <v>1739</v>
      </c>
      <c r="C2888" s="3">
        <v>4060000</v>
      </c>
      <c r="D2888" s="3">
        <v>4060000</v>
      </c>
      <c r="E2888" s="7">
        <v>0</v>
      </c>
      <c r="F2888" s="5">
        <v>45937</v>
      </c>
      <c r="G2888" s="4">
        <v>20251006</v>
      </c>
      <c r="H2888" s="38" t="s">
        <v>30</v>
      </c>
      <c r="I2888" s="34"/>
      <c r="J2888" s="38" t="s">
        <v>489</v>
      </c>
    </row>
    <row r="2889" spans="1:10">
      <c r="A2889" s="32">
        <v>724</v>
      </c>
      <c r="B2889" s="33">
        <v>6894</v>
      </c>
      <c r="C2889" s="3">
        <v>800000</v>
      </c>
      <c r="D2889" s="3">
        <v>800000</v>
      </c>
      <c r="E2889" s="7">
        <v>0</v>
      </c>
      <c r="F2889" s="5">
        <v>45937</v>
      </c>
      <c r="G2889" s="4">
        <v>20251006</v>
      </c>
      <c r="H2889" s="38" t="s">
        <v>30</v>
      </c>
      <c r="I2889" s="34" t="s">
        <v>9</v>
      </c>
      <c r="J2889" s="38" t="s">
        <v>369</v>
      </c>
    </row>
    <row r="2890" spans="1:10">
      <c r="A2890" s="32">
        <v>861</v>
      </c>
      <c r="B2890" s="33">
        <v>5958</v>
      </c>
      <c r="C2890" s="3">
        <v>200000</v>
      </c>
      <c r="D2890" s="3">
        <v>200000</v>
      </c>
      <c r="E2890" s="7">
        <v>0</v>
      </c>
      <c r="F2890" s="5">
        <v>45937</v>
      </c>
      <c r="G2890" s="4">
        <v>20251006</v>
      </c>
      <c r="H2890" s="38" t="s">
        <v>30</v>
      </c>
      <c r="I2890" s="34" t="s">
        <v>9</v>
      </c>
      <c r="J2890" s="38" t="s">
        <v>136</v>
      </c>
    </row>
    <row r="2891" spans="1:10">
      <c r="A2891" s="32">
        <v>882</v>
      </c>
      <c r="B2891" s="33">
        <v>3510</v>
      </c>
      <c r="C2891" s="3">
        <v>50000</v>
      </c>
      <c r="D2891" s="3">
        <v>50000</v>
      </c>
      <c r="E2891" s="7">
        <v>0</v>
      </c>
      <c r="F2891" s="5">
        <v>45937</v>
      </c>
      <c r="G2891" s="4">
        <v>20251006</v>
      </c>
      <c r="H2891" s="38" t="s">
        <v>30</v>
      </c>
      <c r="I2891" s="34" t="s">
        <v>9</v>
      </c>
      <c r="J2891" s="38" t="s">
        <v>222</v>
      </c>
    </row>
    <row r="2892" spans="1:10">
      <c r="A2892" s="32">
        <v>756</v>
      </c>
      <c r="B2892" s="33">
        <v>5183</v>
      </c>
      <c r="C2892" s="3">
        <v>3100000</v>
      </c>
      <c r="D2892" s="3">
        <v>3100000</v>
      </c>
      <c r="E2892" s="7">
        <v>0</v>
      </c>
      <c r="F2892" s="5">
        <v>45937</v>
      </c>
      <c r="G2892" s="4">
        <v>20251006</v>
      </c>
      <c r="H2892" s="38" t="s">
        <v>24</v>
      </c>
      <c r="I2892" s="34"/>
      <c r="J2892" s="38" t="s">
        <v>295</v>
      </c>
    </row>
    <row r="2893" spans="1:10">
      <c r="A2893" s="32">
        <v>844</v>
      </c>
      <c r="B2893" s="33">
        <v>6169</v>
      </c>
      <c r="C2893" s="3">
        <v>3480000</v>
      </c>
      <c r="D2893" s="3">
        <v>3480000</v>
      </c>
      <c r="E2893" s="7">
        <v>0</v>
      </c>
      <c r="F2893" s="5">
        <v>45937</v>
      </c>
      <c r="G2893" s="4">
        <v>20251006</v>
      </c>
      <c r="H2893" s="38" t="s">
        <v>24</v>
      </c>
      <c r="I2893" s="34" t="s">
        <v>9</v>
      </c>
      <c r="J2893" s="38" t="s">
        <v>296</v>
      </c>
    </row>
    <row r="2894" spans="1:10">
      <c r="A2894" s="32">
        <v>79</v>
      </c>
      <c r="B2894" s="33">
        <v>6245</v>
      </c>
      <c r="C2894" s="3">
        <v>815000</v>
      </c>
      <c r="D2894" s="3">
        <v>815000</v>
      </c>
      <c r="E2894" s="7">
        <v>0</v>
      </c>
      <c r="F2894" s="5">
        <v>45937</v>
      </c>
      <c r="G2894" s="4">
        <v>20251006</v>
      </c>
      <c r="H2894" s="38" t="s">
        <v>24</v>
      </c>
      <c r="I2894" s="34" t="s">
        <v>9</v>
      </c>
      <c r="J2894" s="38" t="s">
        <v>202</v>
      </c>
    </row>
    <row r="2895" spans="1:10">
      <c r="A2895" s="32">
        <v>455</v>
      </c>
      <c r="B2895" s="33">
        <v>5206</v>
      </c>
      <c r="C2895" s="3">
        <v>800000</v>
      </c>
      <c r="D2895" s="3">
        <v>800000</v>
      </c>
      <c r="E2895" s="7">
        <v>0</v>
      </c>
      <c r="F2895" s="5">
        <v>45937</v>
      </c>
      <c r="G2895" s="4">
        <v>20251006</v>
      </c>
      <c r="H2895" s="38" t="s">
        <v>24</v>
      </c>
      <c r="I2895" s="34" t="s">
        <v>9</v>
      </c>
      <c r="J2895" s="38" t="s">
        <v>94</v>
      </c>
    </row>
    <row r="2896" spans="1:10">
      <c r="A2896" s="32">
        <v>915</v>
      </c>
      <c r="B2896" s="33">
        <v>8313</v>
      </c>
      <c r="C2896" s="3">
        <v>1050000</v>
      </c>
      <c r="D2896" s="3">
        <v>1050000</v>
      </c>
      <c r="E2896" s="7">
        <v>0</v>
      </c>
      <c r="F2896" s="5">
        <v>45902</v>
      </c>
      <c r="G2896" s="4">
        <v>20250901</v>
      </c>
      <c r="H2896" s="38" t="s">
        <v>24</v>
      </c>
      <c r="I2896" s="34" t="s">
        <v>9</v>
      </c>
      <c r="J2896" s="38" t="s">
        <v>27</v>
      </c>
    </row>
    <row r="2897" spans="1:10">
      <c r="A2897" s="32">
        <v>337</v>
      </c>
      <c r="B2897" s="33">
        <v>6253</v>
      </c>
      <c r="C2897" s="3">
        <v>3220000</v>
      </c>
      <c r="D2897" s="3">
        <v>3220000</v>
      </c>
      <c r="E2897" s="7">
        <v>0</v>
      </c>
      <c r="F2897" s="5">
        <v>45912</v>
      </c>
      <c r="G2897" s="4">
        <v>20250911</v>
      </c>
      <c r="H2897" s="38" t="s">
        <v>24</v>
      </c>
      <c r="I2897" s="34" t="s">
        <v>9</v>
      </c>
      <c r="J2897" s="38" t="s">
        <v>352</v>
      </c>
    </row>
    <row r="2898" spans="1:10">
      <c r="A2898" s="32">
        <v>631</v>
      </c>
      <c r="B2898" s="33">
        <v>2794</v>
      </c>
      <c r="C2898" s="3">
        <v>20000</v>
      </c>
      <c r="D2898" s="3">
        <v>20000</v>
      </c>
      <c r="E2898" s="7">
        <v>0</v>
      </c>
      <c r="F2898" s="5">
        <v>45926</v>
      </c>
      <c r="G2898" s="4">
        <v>20250925</v>
      </c>
      <c r="H2898" s="38" t="s">
        <v>30</v>
      </c>
      <c r="I2898" s="34" t="s">
        <v>10</v>
      </c>
      <c r="J2898" s="38" t="s">
        <v>97</v>
      </c>
    </row>
    <row r="2899" spans="1:10">
      <c r="A2899" s="32">
        <v>795</v>
      </c>
      <c r="B2899" s="33">
        <v>1028</v>
      </c>
      <c r="C2899" s="3">
        <v>3070000</v>
      </c>
      <c r="D2899" s="3">
        <v>3070000</v>
      </c>
      <c r="E2899" s="7">
        <v>0</v>
      </c>
      <c r="F2899" s="5">
        <v>45929</v>
      </c>
      <c r="G2899" s="4">
        <v>20250928</v>
      </c>
      <c r="H2899" s="38" t="s">
        <v>24</v>
      </c>
      <c r="I2899" s="34" t="s">
        <v>9</v>
      </c>
      <c r="J2899" s="38" t="s">
        <v>305</v>
      </c>
    </row>
    <row r="2900" spans="1:10">
      <c r="A2900" s="32">
        <v>166</v>
      </c>
      <c r="B2900" s="33">
        <v>7940</v>
      </c>
      <c r="C2900" s="3">
        <v>1780000</v>
      </c>
      <c r="D2900" s="3">
        <v>1780000</v>
      </c>
      <c r="E2900" s="7">
        <v>0</v>
      </c>
      <c r="F2900" s="5">
        <v>45929</v>
      </c>
      <c r="G2900" s="4">
        <v>20250928</v>
      </c>
      <c r="H2900" s="38" t="s">
        <v>24</v>
      </c>
      <c r="I2900" s="34" t="s">
        <v>9</v>
      </c>
      <c r="J2900" s="38" t="s">
        <v>55</v>
      </c>
    </row>
    <row r="2901" spans="1:10">
      <c r="A2901" s="32">
        <v>631</v>
      </c>
      <c r="B2901" s="33">
        <v>2794</v>
      </c>
      <c r="C2901" s="3">
        <v>300000</v>
      </c>
      <c r="D2901" s="3">
        <v>300000</v>
      </c>
      <c r="E2901" s="7">
        <v>0</v>
      </c>
      <c r="F2901" s="5">
        <v>45929</v>
      </c>
      <c r="G2901" s="4">
        <v>20250928</v>
      </c>
      <c r="H2901" s="38" t="s">
        <v>30</v>
      </c>
      <c r="I2901" s="34" t="s">
        <v>9</v>
      </c>
      <c r="J2901" s="38" t="s">
        <v>97</v>
      </c>
    </row>
    <row r="2902" spans="1:10">
      <c r="A2902" s="32">
        <v>631</v>
      </c>
      <c r="B2902" s="33">
        <v>2794</v>
      </c>
      <c r="C2902" s="3">
        <v>390000</v>
      </c>
      <c r="D2902" s="3">
        <v>390000</v>
      </c>
      <c r="E2902" s="7">
        <v>0</v>
      </c>
      <c r="F2902" s="5">
        <v>45930</v>
      </c>
      <c r="G2902" s="4">
        <v>20250929</v>
      </c>
      <c r="H2902" s="38" t="s">
        <v>30</v>
      </c>
      <c r="I2902" s="34" t="s">
        <v>9</v>
      </c>
      <c r="J2902" s="38" t="s">
        <v>97</v>
      </c>
    </row>
    <row r="2903" spans="1:10">
      <c r="A2903" s="32">
        <v>631</v>
      </c>
      <c r="B2903" s="33">
        <v>2794</v>
      </c>
      <c r="C2903" s="3">
        <v>1050000</v>
      </c>
      <c r="D2903" s="3">
        <v>1050000</v>
      </c>
      <c r="E2903" s="7">
        <v>0</v>
      </c>
      <c r="F2903" s="5">
        <v>45932</v>
      </c>
      <c r="G2903" s="4">
        <v>20251001</v>
      </c>
      <c r="H2903" s="38" t="s">
        <v>30</v>
      </c>
      <c r="I2903" s="34" t="s">
        <v>9</v>
      </c>
      <c r="J2903" s="38" t="s">
        <v>97</v>
      </c>
    </row>
    <row r="2904" spans="1:10">
      <c r="A2904" s="32">
        <v>631</v>
      </c>
      <c r="B2904" s="33">
        <v>2794</v>
      </c>
      <c r="C2904" s="3">
        <v>410000</v>
      </c>
      <c r="D2904" s="3">
        <v>410000</v>
      </c>
      <c r="E2904" s="7">
        <v>0</v>
      </c>
      <c r="F2904" s="5">
        <v>45936</v>
      </c>
      <c r="G2904" s="4">
        <v>20251005</v>
      </c>
      <c r="H2904" s="38" t="s">
        <v>30</v>
      </c>
      <c r="I2904" s="34" t="s">
        <v>9</v>
      </c>
      <c r="J2904" s="38" t="s">
        <v>97</v>
      </c>
    </row>
    <row r="2905" spans="1:10">
      <c r="A2905" s="32">
        <v>30</v>
      </c>
      <c r="B2905" s="33">
        <v>6172</v>
      </c>
      <c r="C2905" s="3">
        <v>50000</v>
      </c>
      <c r="D2905" s="3">
        <v>50000</v>
      </c>
      <c r="E2905" s="7">
        <v>0</v>
      </c>
      <c r="F2905" s="5">
        <v>45936</v>
      </c>
      <c r="G2905" s="4">
        <v>20251005</v>
      </c>
      <c r="H2905" s="38" t="s">
        <v>24</v>
      </c>
      <c r="I2905" s="34" t="s">
        <v>9</v>
      </c>
      <c r="J2905" s="38" t="s">
        <v>490</v>
      </c>
    </row>
    <row r="2906" spans="1:10">
      <c r="A2906" s="32">
        <v>690</v>
      </c>
      <c r="B2906" s="33">
        <v>6180</v>
      </c>
      <c r="C2906" s="3">
        <v>2640000</v>
      </c>
      <c r="D2906" s="3">
        <v>2640000</v>
      </c>
      <c r="E2906" s="7">
        <v>0</v>
      </c>
      <c r="F2906" s="5">
        <v>45937</v>
      </c>
      <c r="G2906" s="4">
        <v>20251006</v>
      </c>
      <c r="H2906" s="38" t="s">
        <v>24</v>
      </c>
      <c r="I2906" s="34" t="s">
        <v>9</v>
      </c>
      <c r="J2906" s="38" t="s">
        <v>77</v>
      </c>
    </row>
    <row r="2907" spans="1:10">
      <c r="A2907" s="32">
        <v>907</v>
      </c>
      <c r="B2907" s="33">
        <v>4830</v>
      </c>
      <c r="C2907" s="3">
        <v>1712350</v>
      </c>
      <c r="D2907" s="3">
        <v>1712350</v>
      </c>
      <c r="E2907" s="7">
        <v>0</v>
      </c>
      <c r="F2907" s="5">
        <v>45903</v>
      </c>
      <c r="G2907" s="4">
        <v>20250902</v>
      </c>
      <c r="H2907" s="38" t="s">
        <v>24</v>
      </c>
      <c r="I2907" s="34" t="s">
        <v>9</v>
      </c>
      <c r="J2907" s="38" t="s">
        <v>110</v>
      </c>
    </row>
    <row r="2908" spans="1:10">
      <c r="A2908" s="32">
        <v>317</v>
      </c>
      <c r="B2908" s="33">
        <v>3402</v>
      </c>
      <c r="C2908" s="3">
        <v>70000</v>
      </c>
      <c r="D2908" s="3">
        <v>70000</v>
      </c>
      <c r="E2908" s="7">
        <v>0</v>
      </c>
      <c r="F2908" s="5">
        <v>45908</v>
      </c>
      <c r="G2908" s="4">
        <v>20250905</v>
      </c>
      <c r="H2908" s="38" t="s">
        <v>30</v>
      </c>
      <c r="I2908" s="34"/>
      <c r="J2908" s="38" t="s">
        <v>491</v>
      </c>
    </row>
    <row r="2909" spans="1:10">
      <c r="A2909" s="32">
        <v>907</v>
      </c>
      <c r="B2909" s="33">
        <v>4830</v>
      </c>
      <c r="C2909" s="3">
        <v>3480000</v>
      </c>
      <c r="D2909" s="3">
        <v>3480000</v>
      </c>
      <c r="E2909" s="7">
        <v>0</v>
      </c>
      <c r="F2909" s="5">
        <v>45908</v>
      </c>
      <c r="G2909" s="4">
        <v>20250907</v>
      </c>
      <c r="H2909" s="38" t="s">
        <v>24</v>
      </c>
      <c r="I2909" s="34" t="s">
        <v>9</v>
      </c>
      <c r="J2909" s="38" t="s">
        <v>110</v>
      </c>
    </row>
    <row r="2910" spans="1:10">
      <c r="A2910" s="32">
        <v>739</v>
      </c>
      <c r="B2910" s="33">
        <v>3664</v>
      </c>
      <c r="C2910" s="3">
        <v>120000</v>
      </c>
      <c r="D2910" s="3">
        <v>120000</v>
      </c>
      <c r="E2910" s="7">
        <v>0</v>
      </c>
      <c r="F2910" s="5">
        <v>45911</v>
      </c>
      <c r="G2910" s="4">
        <v>20250910</v>
      </c>
      <c r="H2910" s="38" t="s">
        <v>30</v>
      </c>
      <c r="I2910" s="34"/>
      <c r="J2910" s="38" t="s">
        <v>105</v>
      </c>
    </row>
    <row r="2911" spans="1:10">
      <c r="A2911" s="32">
        <v>78</v>
      </c>
      <c r="B2911" s="33">
        <v>6246</v>
      </c>
      <c r="C2911" s="3">
        <v>1740000</v>
      </c>
      <c r="D2911" s="3">
        <v>1740000</v>
      </c>
      <c r="E2911" s="7">
        <v>0</v>
      </c>
      <c r="F2911" s="5">
        <v>45912</v>
      </c>
      <c r="G2911" s="4">
        <v>20250911</v>
      </c>
      <c r="H2911" s="38" t="s">
        <v>24</v>
      </c>
      <c r="I2911" s="34" t="s">
        <v>9</v>
      </c>
      <c r="J2911" s="38" t="s">
        <v>128</v>
      </c>
    </row>
    <row r="2912" spans="1:10">
      <c r="A2912" s="32">
        <v>348</v>
      </c>
      <c r="B2912" s="33">
        <v>3481</v>
      </c>
      <c r="C2912" s="3">
        <v>150000</v>
      </c>
      <c r="D2912" s="3">
        <v>150000</v>
      </c>
      <c r="E2912" s="7">
        <v>0</v>
      </c>
      <c r="F2912" s="5">
        <v>45915</v>
      </c>
      <c r="G2912" s="4">
        <v>20250912</v>
      </c>
      <c r="H2912" s="38" t="s">
        <v>30</v>
      </c>
      <c r="I2912" s="34"/>
      <c r="J2912" s="38" t="s">
        <v>492</v>
      </c>
    </row>
    <row r="2913" spans="1:10">
      <c r="A2913" s="32">
        <v>584</v>
      </c>
      <c r="B2913" s="33">
        <v>6874</v>
      </c>
      <c r="C2913" s="3">
        <v>100000</v>
      </c>
      <c r="D2913" s="3">
        <v>100000</v>
      </c>
      <c r="E2913" s="7">
        <v>0</v>
      </c>
      <c r="F2913" s="5">
        <v>45915</v>
      </c>
      <c r="G2913" s="4">
        <v>20250914</v>
      </c>
      <c r="H2913" s="38" t="s">
        <v>30</v>
      </c>
      <c r="I2913" s="34" t="s">
        <v>9</v>
      </c>
      <c r="J2913" s="38" t="s">
        <v>493</v>
      </c>
    </row>
    <row r="2914" spans="1:10">
      <c r="A2914" s="32">
        <v>907</v>
      </c>
      <c r="B2914" s="33">
        <v>4830</v>
      </c>
      <c r="C2914" s="3">
        <v>100000</v>
      </c>
      <c r="D2914" s="3">
        <v>100000</v>
      </c>
      <c r="E2914" s="7">
        <v>0</v>
      </c>
      <c r="F2914" s="5">
        <v>45916</v>
      </c>
      <c r="G2914" s="4">
        <v>20250915</v>
      </c>
      <c r="H2914" s="38" t="s">
        <v>24</v>
      </c>
      <c r="I2914" s="34" t="s">
        <v>12</v>
      </c>
      <c r="J2914" s="38" t="s">
        <v>110</v>
      </c>
    </row>
    <row r="2915" spans="1:10">
      <c r="A2915" s="32">
        <v>789</v>
      </c>
      <c r="B2915" s="33">
        <v>5661</v>
      </c>
      <c r="C2915" s="3">
        <v>50000</v>
      </c>
      <c r="D2915" s="3">
        <v>50000</v>
      </c>
      <c r="E2915" s="7">
        <v>0</v>
      </c>
      <c r="F2915" s="5">
        <v>45917</v>
      </c>
      <c r="G2915" s="4">
        <v>20250916</v>
      </c>
      <c r="H2915" s="38" t="s">
        <v>30</v>
      </c>
      <c r="I2915" s="34" t="s">
        <v>9</v>
      </c>
      <c r="J2915" s="38" t="s">
        <v>494</v>
      </c>
    </row>
    <row r="2916" spans="1:10">
      <c r="A2916" s="32">
        <v>78</v>
      </c>
      <c r="B2916" s="33">
        <v>6246</v>
      </c>
      <c r="C2916" s="3">
        <v>2670000</v>
      </c>
      <c r="D2916" s="3">
        <v>2670000</v>
      </c>
      <c r="E2916" s="7">
        <v>0</v>
      </c>
      <c r="F2916" s="5">
        <v>45917</v>
      </c>
      <c r="G2916" s="4">
        <v>20250916</v>
      </c>
      <c r="H2916" s="38" t="s">
        <v>24</v>
      </c>
      <c r="I2916" s="34" t="s">
        <v>9</v>
      </c>
      <c r="J2916" s="38" t="s">
        <v>128</v>
      </c>
    </row>
    <row r="2917" spans="1:10">
      <c r="A2917" s="32">
        <v>337</v>
      </c>
      <c r="B2917" s="33">
        <v>6253</v>
      </c>
      <c r="C2917" s="3">
        <v>761000</v>
      </c>
      <c r="D2917" s="3">
        <v>761000</v>
      </c>
      <c r="E2917" s="7">
        <v>0</v>
      </c>
      <c r="F2917" s="5">
        <v>45917</v>
      </c>
      <c r="G2917" s="4">
        <v>20250916</v>
      </c>
      <c r="H2917" s="38" t="s">
        <v>24</v>
      </c>
      <c r="I2917" s="34" t="s">
        <v>9</v>
      </c>
      <c r="J2917" s="38" t="s">
        <v>352</v>
      </c>
    </row>
    <row r="2918" spans="1:10">
      <c r="A2918" s="32">
        <v>503</v>
      </c>
      <c r="B2918" s="33">
        <v>5032</v>
      </c>
      <c r="C2918" s="3">
        <v>100000</v>
      </c>
      <c r="D2918" s="3">
        <v>100000</v>
      </c>
      <c r="E2918" s="7">
        <v>0</v>
      </c>
      <c r="F2918" s="5">
        <v>45918</v>
      </c>
      <c r="G2918" s="4">
        <v>20250917</v>
      </c>
      <c r="H2918" s="38" t="s">
        <v>30</v>
      </c>
      <c r="I2918" s="34" t="s">
        <v>9</v>
      </c>
      <c r="J2918" s="38" t="s">
        <v>154</v>
      </c>
    </row>
    <row r="2919" spans="1:10">
      <c r="A2919" s="32">
        <v>91</v>
      </c>
      <c r="B2919" s="33">
        <v>5148</v>
      </c>
      <c r="C2919" s="3">
        <v>540000</v>
      </c>
      <c r="D2919" s="3">
        <v>540000</v>
      </c>
      <c r="E2919" s="7">
        <v>0</v>
      </c>
      <c r="F2919" s="5">
        <v>45918</v>
      </c>
      <c r="G2919" s="4">
        <v>20250917</v>
      </c>
      <c r="H2919" s="38" t="s">
        <v>24</v>
      </c>
      <c r="I2919" s="34" t="s">
        <v>9</v>
      </c>
      <c r="J2919" s="38" t="s">
        <v>88</v>
      </c>
    </row>
    <row r="2920" spans="1:10">
      <c r="A2920" s="32">
        <v>907</v>
      </c>
      <c r="B2920" s="33">
        <v>4830</v>
      </c>
      <c r="C2920" s="3">
        <v>532000</v>
      </c>
      <c r="D2920" s="3">
        <v>532000</v>
      </c>
      <c r="E2920" s="7">
        <v>0</v>
      </c>
      <c r="F2920" s="5">
        <v>45918</v>
      </c>
      <c r="G2920" s="4">
        <v>20250917</v>
      </c>
      <c r="H2920" s="38" t="s">
        <v>24</v>
      </c>
      <c r="I2920" s="34" t="s">
        <v>9</v>
      </c>
      <c r="J2920" s="38" t="s">
        <v>110</v>
      </c>
    </row>
    <row r="2921" spans="1:10">
      <c r="A2921" s="32">
        <v>264</v>
      </c>
      <c r="B2921" s="33">
        <v>9906</v>
      </c>
      <c r="C2921" s="3">
        <v>3100000</v>
      </c>
      <c r="D2921" s="3">
        <v>3100000</v>
      </c>
      <c r="E2921" s="7">
        <v>0</v>
      </c>
      <c r="F2921" s="5">
        <v>45919</v>
      </c>
      <c r="G2921" s="4">
        <v>20250918</v>
      </c>
      <c r="H2921" s="38" t="s">
        <v>24</v>
      </c>
      <c r="I2921" s="34" t="s">
        <v>9</v>
      </c>
      <c r="J2921" s="38" t="s">
        <v>57</v>
      </c>
    </row>
    <row r="2922" spans="1:10">
      <c r="A2922" s="32">
        <v>477</v>
      </c>
      <c r="B2922" s="33">
        <v>6251</v>
      </c>
      <c r="C2922" s="3">
        <v>980000</v>
      </c>
      <c r="D2922" s="3">
        <v>980000</v>
      </c>
      <c r="E2922" s="7">
        <v>0</v>
      </c>
      <c r="F2922" s="5">
        <v>45919</v>
      </c>
      <c r="G2922" s="4">
        <v>20250918</v>
      </c>
      <c r="H2922" s="38" t="s">
        <v>24</v>
      </c>
      <c r="I2922" s="34" t="s">
        <v>9</v>
      </c>
      <c r="J2922" s="38" t="s">
        <v>250</v>
      </c>
    </row>
    <row r="2923" spans="1:10">
      <c r="A2923" s="32">
        <v>385</v>
      </c>
      <c r="B2923" s="33">
        <v>1826</v>
      </c>
      <c r="C2923" s="3">
        <v>100000</v>
      </c>
      <c r="D2923" s="3">
        <v>100000</v>
      </c>
      <c r="E2923" s="7">
        <v>0</v>
      </c>
      <c r="F2923" s="5">
        <v>45919</v>
      </c>
      <c r="G2923" s="4">
        <v>20250918</v>
      </c>
      <c r="H2923" s="38" t="s">
        <v>30</v>
      </c>
      <c r="I2923" s="34" t="s">
        <v>9</v>
      </c>
      <c r="J2923" s="38" t="s">
        <v>145</v>
      </c>
    </row>
    <row r="2924" spans="1:10">
      <c r="A2924" s="32">
        <v>512</v>
      </c>
      <c r="B2924" s="33">
        <v>4718</v>
      </c>
      <c r="C2924" s="3">
        <v>200000</v>
      </c>
      <c r="D2924" s="3">
        <v>200000</v>
      </c>
      <c r="E2924" s="7">
        <v>0</v>
      </c>
      <c r="F2924" s="5">
        <v>45919</v>
      </c>
      <c r="G2924" s="4">
        <v>20250918</v>
      </c>
      <c r="H2924" s="38" t="s">
        <v>30</v>
      </c>
      <c r="I2924" s="34" t="s">
        <v>9</v>
      </c>
      <c r="J2924" s="38" t="s">
        <v>234</v>
      </c>
    </row>
    <row r="2925" spans="1:10">
      <c r="A2925" s="32">
        <v>422</v>
      </c>
      <c r="B2925" s="33">
        <v>4221</v>
      </c>
      <c r="C2925" s="3">
        <v>50000</v>
      </c>
      <c r="D2925" s="3">
        <v>50000</v>
      </c>
      <c r="E2925" s="7">
        <v>0</v>
      </c>
      <c r="F2925" s="5">
        <v>45919</v>
      </c>
      <c r="G2925" s="4">
        <v>20250919</v>
      </c>
      <c r="H2925" s="38" t="s">
        <v>30</v>
      </c>
      <c r="I2925" s="34"/>
      <c r="J2925" s="38" t="s">
        <v>194</v>
      </c>
    </row>
    <row r="2926" spans="1:10">
      <c r="A2926" s="32">
        <v>604</v>
      </c>
      <c r="B2926" s="33">
        <v>8503</v>
      </c>
      <c r="C2926" s="3">
        <v>500000</v>
      </c>
      <c r="D2926" s="3">
        <v>500000</v>
      </c>
      <c r="E2926" s="7">
        <v>0</v>
      </c>
      <c r="F2926" s="5">
        <v>45922</v>
      </c>
      <c r="G2926" s="4">
        <v>20250921</v>
      </c>
      <c r="H2926" s="38" t="s">
        <v>30</v>
      </c>
      <c r="I2926" s="34" t="s">
        <v>9</v>
      </c>
      <c r="J2926" s="38" t="s">
        <v>495</v>
      </c>
    </row>
    <row r="2927" spans="1:10">
      <c r="A2927" s="32">
        <v>4</v>
      </c>
      <c r="B2927" s="33">
        <v>8630</v>
      </c>
      <c r="C2927" s="3">
        <v>1699950</v>
      </c>
      <c r="D2927" s="3">
        <v>1699950</v>
      </c>
      <c r="E2927" s="7">
        <v>0</v>
      </c>
      <c r="F2927" s="5">
        <v>45922</v>
      </c>
      <c r="G2927" s="4">
        <v>20250921</v>
      </c>
      <c r="H2927" s="38" t="s">
        <v>24</v>
      </c>
      <c r="I2927" s="34" t="s">
        <v>9</v>
      </c>
      <c r="J2927" s="38" t="s">
        <v>292</v>
      </c>
    </row>
    <row r="2928" spans="1:10">
      <c r="A2928" s="32">
        <v>907</v>
      </c>
      <c r="B2928" s="33">
        <v>4830</v>
      </c>
      <c r="C2928" s="3">
        <v>1080000</v>
      </c>
      <c r="D2928" s="3">
        <v>1080000</v>
      </c>
      <c r="E2928" s="7">
        <v>0</v>
      </c>
      <c r="F2928" s="5">
        <v>45922</v>
      </c>
      <c r="G2928" s="4">
        <v>20250921</v>
      </c>
      <c r="H2928" s="38" t="s">
        <v>24</v>
      </c>
      <c r="I2928" s="34" t="s">
        <v>9</v>
      </c>
      <c r="J2928" s="38" t="s">
        <v>110</v>
      </c>
    </row>
    <row r="2929" spans="1:10">
      <c r="A2929" s="32">
        <v>91</v>
      </c>
      <c r="B2929" s="33">
        <v>5148</v>
      </c>
      <c r="C2929" s="3">
        <v>640000</v>
      </c>
      <c r="D2929" s="3">
        <v>640000</v>
      </c>
      <c r="E2929" s="7">
        <v>0</v>
      </c>
      <c r="F2929" s="5">
        <v>45922</v>
      </c>
      <c r="G2929" s="4">
        <v>20250921</v>
      </c>
      <c r="H2929" s="38" t="s">
        <v>24</v>
      </c>
      <c r="I2929" s="34" t="s">
        <v>9</v>
      </c>
      <c r="J2929" s="38" t="s">
        <v>88</v>
      </c>
    </row>
    <row r="2930" spans="1:10">
      <c r="A2930" s="32">
        <v>264</v>
      </c>
      <c r="B2930" s="33">
        <v>9906</v>
      </c>
      <c r="C2930" s="3">
        <v>520000</v>
      </c>
      <c r="D2930" s="3">
        <v>520000</v>
      </c>
      <c r="E2930" s="7">
        <v>0</v>
      </c>
      <c r="F2930" s="5">
        <v>45922</v>
      </c>
      <c r="G2930" s="4">
        <v>20250921</v>
      </c>
      <c r="H2930" s="38" t="s">
        <v>24</v>
      </c>
      <c r="I2930" s="34" t="s">
        <v>9</v>
      </c>
      <c r="J2930" s="38" t="s">
        <v>57</v>
      </c>
    </row>
    <row r="2931" spans="1:10">
      <c r="A2931" s="32">
        <v>631</v>
      </c>
      <c r="B2931" s="33">
        <v>2616</v>
      </c>
      <c r="C2931" s="3">
        <v>400000</v>
      </c>
      <c r="D2931" s="29">
        <v>400000</v>
      </c>
      <c r="E2931" s="7">
        <v>0</v>
      </c>
      <c r="F2931" s="5">
        <v>45923</v>
      </c>
      <c r="G2931" s="4">
        <v>20250922</v>
      </c>
      <c r="H2931" s="38" t="s">
        <v>30</v>
      </c>
      <c r="I2931" s="34" t="s">
        <v>9</v>
      </c>
      <c r="J2931" s="38" t="s">
        <v>337</v>
      </c>
    </row>
    <row r="2932" spans="1:10">
      <c r="A2932" s="32">
        <v>337</v>
      </c>
      <c r="B2932" s="33">
        <v>6253</v>
      </c>
      <c r="C2932" s="3">
        <v>3470000</v>
      </c>
      <c r="D2932" s="3">
        <v>3470000</v>
      </c>
      <c r="E2932" s="7">
        <v>0</v>
      </c>
      <c r="F2932" s="5">
        <v>45923</v>
      </c>
      <c r="G2932" s="4">
        <v>20250922</v>
      </c>
      <c r="H2932" s="38" t="s">
        <v>24</v>
      </c>
      <c r="I2932" s="34" t="s">
        <v>9</v>
      </c>
      <c r="J2932" s="38" t="s">
        <v>352</v>
      </c>
    </row>
    <row r="2933" spans="1:10">
      <c r="A2933" s="32">
        <v>20</v>
      </c>
      <c r="B2933" s="33">
        <v>6839</v>
      </c>
      <c r="C2933" s="3">
        <v>2960000</v>
      </c>
      <c r="D2933" s="3">
        <v>2960000</v>
      </c>
      <c r="E2933" s="7">
        <v>0</v>
      </c>
      <c r="F2933" s="5">
        <v>45923</v>
      </c>
      <c r="G2933" s="4">
        <v>20250922</v>
      </c>
      <c r="H2933" s="38" t="s">
        <v>24</v>
      </c>
      <c r="I2933" s="34" t="s">
        <v>9</v>
      </c>
      <c r="J2933" s="38" t="s">
        <v>112</v>
      </c>
    </row>
    <row r="2934" spans="1:10">
      <c r="A2934" s="32">
        <v>571</v>
      </c>
      <c r="B2934" s="33">
        <v>6150</v>
      </c>
      <c r="C2934" s="3">
        <v>954000</v>
      </c>
      <c r="D2934" s="3">
        <v>954000</v>
      </c>
      <c r="E2934" s="7">
        <v>0</v>
      </c>
      <c r="F2934" s="5">
        <v>45923</v>
      </c>
      <c r="G2934" s="4">
        <v>20250922</v>
      </c>
      <c r="H2934" s="38" t="s">
        <v>24</v>
      </c>
      <c r="I2934" s="34" t="s">
        <v>9</v>
      </c>
      <c r="J2934" s="38" t="s">
        <v>249</v>
      </c>
    </row>
    <row r="2935" spans="1:10">
      <c r="A2935" s="32">
        <v>844</v>
      </c>
      <c r="B2935" s="33">
        <v>6157</v>
      </c>
      <c r="C2935" s="3">
        <v>20000</v>
      </c>
      <c r="D2935" s="3">
        <v>20000</v>
      </c>
      <c r="E2935" s="7">
        <v>0</v>
      </c>
      <c r="F2935" s="5">
        <v>45923</v>
      </c>
      <c r="G2935" s="4">
        <v>20250922</v>
      </c>
      <c r="H2935" s="38" t="s">
        <v>30</v>
      </c>
      <c r="I2935" s="34" t="s">
        <v>10</v>
      </c>
      <c r="J2935" s="38" t="s">
        <v>43</v>
      </c>
    </row>
    <row r="2936" spans="1:10">
      <c r="A2936" s="32">
        <v>91</v>
      </c>
      <c r="B2936" s="33">
        <v>5148</v>
      </c>
      <c r="C2936" s="3">
        <v>2820000</v>
      </c>
      <c r="D2936" s="3">
        <v>2820000</v>
      </c>
      <c r="E2936" s="7">
        <v>0</v>
      </c>
      <c r="F2936" s="5">
        <v>45924</v>
      </c>
      <c r="G2936" s="4">
        <v>20250923</v>
      </c>
      <c r="H2936" s="38" t="s">
        <v>24</v>
      </c>
      <c r="I2936" s="34" t="s">
        <v>9</v>
      </c>
      <c r="J2936" s="38" t="s">
        <v>88</v>
      </c>
    </row>
    <row r="2937" spans="1:10">
      <c r="A2937" s="32">
        <v>4</v>
      </c>
      <c r="B2937" s="33">
        <v>8630</v>
      </c>
      <c r="C2937" s="3">
        <v>1620000</v>
      </c>
      <c r="D2937" s="3">
        <v>1620000</v>
      </c>
      <c r="E2937" s="7">
        <v>0</v>
      </c>
      <c r="F2937" s="5">
        <v>45924</v>
      </c>
      <c r="G2937" s="4">
        <v>20250923</v>
      </c>
      <c r="H2937" s="38" t="s">
        <v>24</v>
      </c>
      <c r="I2937" s="34" t="s">
        <v>9</v>
      </c>
      <c r="J2937" s="38" t="s">
        <v>292</v>
      </c>
    </row>
    <row r="2938" spans="1:10">
      <c r="A2938" s="32">
        <v>849</v>
      </c>
      <c r="B2938" s="33">
        <v>9720</v>
      </c>
      <c r="C2938" s="3">
        <v>10000</v>
      </c>
      <c r="D2938" s="3">
        <v>10000</v>
      </c>
      <c r="E2938" s="7">
        <v>0</v>
      </c>
      <c r="F2938" s="5">
        <v>45924</v>
      </c>
      <c r="G2938" s="4">
        <v>20250923</v>
      </c>
      <c r="H2938" s="38" t="s">
        <v>30</v>
      </c>
      <c r="I2938" s="34" t="s">
        <v>10</v>
      </c>
      <c r="J2938" s="38" t="s">
        <v>146</v>
      </c>
    </row>
    <row r="2939" spans="1:10">
      <c r="A2939" s="32">
        <v>419</v>
      </c>
      <c r="B2939" s="33">
        <v>7980</v>
      </c>
      <c r="C2939" s="3">
        <v>3230000</v>
      </c>
      <c r="D2939" s="3">
        <v>3230000</v>
      </c>
      <c r="E2939" s="7">
        <v>0</v>
      </c>
      <c r="F2939" s="5">
        <v>45925</v>
      </c>
      <c r="G2939" s="4">
        <v>20250924</v>
      </c>
      <c r="H2939" s="38" t="s">
        <v>24</v>
      </c>
      <c r="I2939" s="34" t="s">
        <v>9</v>
      </c>
      <c r="J2939" s="38" t="s">
        <v>113</v>
      </c>
    </row>
    <row r="2940" spans="1:10">
      <c r="A2940" s="32">
        <v>78</v>
      </c>
      <c r="B2940" s="33">
        <v>6246</v>
      </c>
      <c r="C2940" s="3">
        <v>1770000</v>
      </c>
      <c r="D2940" s="3">
        <v>1770000</v>
      </c>
      <c r="E2940" s="7">
        <v>0</v>
      </c>
      <c r="F2940" s="5">
        <v>45925</v>
      </c>
      <c r="G2940" s="4">
        <v>20250924</v>
      </c>
      <c r="H2940" s="38" t="s">
        <v>24</v>
      </c>
      <c r="I2940" s="34" t="s">
        <v>9</v>
      </c>
      <c r="J2940" s="38" t="s">
        <v>128</v>
      </c>
    </row>
    <row r="2941" spans="1:10">
      <c r="A2941" s="32">
        <v>806</v>
      </c>
      <c r="B2941" s="33">
        <v>5156</v>
      </c>
      <c r="C2941" s="3">
        <v>1200000</v>
      </c>
      <c r="D2941" s="3">
        <v>1200000</v>
      </c>
      <c r="E2941" s="7">
        <v>0</v>
      </c>
      <c r="F2941" s="5">
        <v>45925</v>
      </c>
      <c r="G2941" s="4">
        <v>20250924</v>
      </c>
      <c r="H2941" s="38" t="s">
        <v>24</v>
      </c>
      <c r="I2941" s="34" t="s">
        <v>9</v>
      </c>
      <c r="J2941" s="38" t="s">
        <v>426</v>
      </c>
    </row>
    <row r="2942" spans="1:10">
      <c r="A2942" s="32">
        <v>517</v>
      </c>
      <c r="B2942" s="33">
        <v>5053</v>
      </c>
      <c r="C2942" s="3">
        <v>1010000</v>
      </c>
      <c r="D2942" s="3">
        <v>1010000</v>
      </c>
      <c r="E2942" s="7">
        <v>0</v>
      </c>
      <c r="F2942" s="5">
        <v>45925</v>
      </c>
      <c r="G2942" s="4">
        <v>20250924</v>
      </c>
      <c r="H2942" s="38" t="s">
        <v>24</v>
      </c>
      <c r="I2942" s="34" t="s">
        <v>9</v>
      </c>
      <c r="J2942" s="38" t="s">
        <v>424</v>
      </c>
    </row>
    <row r="2943" spans="1:10">
      <c r="A2943" s="32">
        <v>20</v>
      </c>
      <c r="B2943" s="33">
        <v>6839</v>
      </c>
      <c r="C2943" s="3">
        <v>300000</v>
      </c>
      <c r="D2943" s="3">
        <v>300000</v>
      </c>
      <c r="E2943" s="7">
        <v>0</v>
      </c>
      <c r="F2943" s="5">
        <v>45925</v>
      </c>
      <c r="G2943" s="4">
        <v>20250924</v>
      </c>
      <c r="H2943" s="38" t="s">
        <v>24</v>
      </c>
      <c r="I2943" s="34" t="s">
        <v>9</v>
      </c>
      <c r="J2943" s="38" t="s">
        <v>112</v>
      </c>
    </row>
    <row r="2944" spans="1:10">
      <c r="A2944" s="32">
        <v>772</v>
      </c>
      <c r="B2944" s="33">
        <v>7721</v>
      </c>
      <c r="C2944" s="3">
        <v>450000</v>
      </c>
      <c r="D2944" s="3">
        <v>450000</v>
      </c>
      <c r="E2944" s="7">
        <v>0</v>
      </c>
      <c r="F2944" s="5">
        <v>45925</v>
      </c>
      <c r="G2944" s="4">
        <v>20250924</v>
      </c>
      <c r="H2944" s="38" t="s">
        <v>30</v>
      </c>
      <c r="I2944" s="34" t="s">
        <v>9</v>
      </c>
      <c r="J2944" s="38" t="s">
        <v>496</v>
      </c>
    </row>
    <row r="2945" spans="1:10">
      <c r="A2945" s="32">
        <v>631</v>
      </c>
      <c r="B2945" s="33">
        <v>2616</v>
      </c>
      <c r="C2945" s="3">
        <v>30000</v>
      </c>
      <c r="D2945" s="29">
        <v>30000</v>
      </c>
      <c r="E2945" s="7">
        <v>0</v>
      </c>
      <c r="F2945" s="5">
        <v>45926</v>
      </c>
      <c r="G2945" s="4">
        <v>20250925</v>
      </c>
      <c r="H2945" s="38" t="s">
        <v>30</v>
      </c>
      <c r="I2945" s="34" t="s">
        <v>9</v>
      </c>
      <c r="J2945" s="38" t="s">
        <v>337</v>
      </c>
    </row>
    <row r="2946" spans="1:10">
      <c r="A2946" s="32">
        <v>876</v>
      </c>
      <c r="B2946" s="33">
        <v>9682</v>
      </c>
      <c r="C2946" s="3">
        <v>3040000</v>
      </c>
      <c r="D2946" s="3">
        <v>3040000</v>
      </c>
      <c r="E2946" s="7">
        <v>0</v>
      </c>
      <c r="F2946" s="5">
        <v>45926</v>
      </c>
      <c r="G2946" s="4">
        <v>20250925</v>
      </c>
      <c r="H2946" s="38" t="s">
        <v>24</v>
      </c>
      <c r="I2946" s="34" t="s">
        <v>9</v>
      </c>
      <c r="J2946" s="38" t="s">
        <v>332</v>
      </c>
    </row>
    <row r="2947" spans="1:10">
      <c r="A2947" s="32">
        <v>277</v>
      </c>
      <c r="B2947" s="33">
        <v>5021</v>
      </c>
      <c r="C2947" s="3">
        <v>3010000</v>
      </c>
      <c r="D2947" s="3">
        <v>3010000</v>
      </c>
      <c r="E2947" s="7">
        <v>0</v>
      </c>
      <c r="F2947" s="5">
        <v>45926</v>
      </c>
      <c r="G2947" s="4">
        <v>20250925</v>
      </c>
      <c r="H2947" s="38" t="s">
        <v>24</v>
      </c>
      <c r="I2947" s="34" t="s">
        <v>9</v>
      </c>
      <c r="J2947" s="38" t="s">
        <v>272</v>
      </c>
    </row>
    <row r="2948" spans="1:10">
      <c r="A2948" s="32">
        <v>571</v>
      </c>
      <c r="B2948" s="33">
        <v>6150</v>
      </c>
      <c r="C2948" s="3">
        <v>2340000</v>
      </c>
      <c r="D2948" s="3">
        <v>2340000</v>
      </c>
      <c r="E2948" s="7">
        <v>0</v>
      </c>
      <c r="F2948" s="5">
        <v>45926</v>
      </c>
      <c r="G2948" s="4">
        <v>20250925</v>
      </c>
      <c r="H2948" s="38" t="s">
        <v>24</v>
      </c>
      <c r="I2948" s="34" t="s">
        <v>9</v>
      </c>
      <c r="J2948" s="38" t="s">
        <v>249</v>
      </c>
    </row>
    <row r="2949" spans="1:10">
      <c r="A2949" s="32">
        <v>4</v>
      </c>
      <c r="B2949" s="33">
        <v>8630</v>
      </c>
      <c r="C2949" s="3">
        <v>1620000</v>
      </c>
      <c r="D2949" s="3">
        <v>1620000</v>
      </c>
      <c r="E2949" s="7">
        <v>0</v>
      </c>
      <c r="F2949" s="5">
        <v>45926</v>
      </c>
      <c r="G2949" s="4">
        <v>20250925</v>
      </c>
      <c r="H2949" s="38" t="s">
        <v>24</v>
      </c>
      <c r="I2949" s="34" t="s">
        <v>9</v>
      </c>
      <c r="J2949" s="38" t="s">
        <v>292</v>
      </c>
    </row>
    <row r="2950" spans="1:10">
      <c r="A2950" s="32">
        <v>806</v>
      </c>
      <c r="B2950" s="33">
        <v>5156</v>
      </c>
      <c r="C2950" s="3">
        <v>680000</v>
      </c>
      <c r="D2950" s="3">
        <v>680000</v>
      </c>
      <c r="E2950" s="7">
        <v>0</v>
      </c>
      <c r="F2950" s="5">
        <v>45926</v>
      </c>
      <c r="G2950" s="4">
        <v>20250925</v>
      </c>
      <c r="H2950" s="38" t="s">
        <v>24</v>
      </c>
      <c r="I2950" s="34" t="s">
        <v>9</v>
      </c>
      <c r="J2950" s="38" t="s">
        <v>426</v>
      </c>
    </row>
    <row r="2951" spans="1:10">
      <c r="A2951" s="32">
        <v>907</v>
      </c>
      <c r="B2951" s="33">
        <v>4830</v>
      </c>
      <c r="C2951" s="3">
        <v>130000</v>
      </c>
      <c r="D2951" s="3">
        <v>130000</v>
      </c>
      <c r="E2951" s="7">
        <v>0</v>
      </c>
      <c r="F2951" s="5">
        <v>45926</v>
      </c>
      <c r="G2951" s="4">
        <v>20250925</v>
      </c>
      <c r="H2951" s="38" t="s">
        <v>24</v>
      </c>
      <c r="I2951" s="34" t="s">
        <v>9</v>
      </c>
      <c r="J2951" s="38" t="s">
        <v>110</v>
      </c>
    </row>
    <row r="2952" spans="1:10">
      <c r="A2952" s="32">
        <v>85</v>
      </c>
      <c r="B2952" s="33">
        <v>8973</v>
      </c>
      <c r="C2952" s="3">
        <v>300000</v>
      </c>
      <c r="D2952" s="3">
        <v>300000</v>
      </c>
      <c r="E2952" s="7">
        <v>0</v>
      </c>
      <c r="F2952" s="5">
        <v>45929</v>
      </c>
      <c r="G2952" s="4">
        <v>20250928</v>
      </c>
      <c r="H2952" s="38" t="s">
        <v>30</v>
      </c>
      <c r="I2952" s="34" t="s">
        <v>9</v>
      </c>
      <c r="J2952" s="38" t="s">
        <v>205</v>
      </c>
    </row>
    <row r="2953" spans="1:10">
      <c r="A2953" s="32">
        <v>631</v>
      </c>
      <c r="B2953" s="33">
        <v>2616</v>
      </c>
      <c r="C2953" s="3">
        <v>2400000</v>
      </c>
      <c r="D2953" s="29">
        <v>2400000</v>
      </c>
      <c r="E2953" s="7">
        <v>0</v>
      </c>
      <c r="F2953" s="5">
        <v>45929</v>
      </c>
      <c r="G2953" s="4">
        <v>20250928</v>
      </c>
      <c r="H2953" s="38" t="s">
        <v>30</v>
      </c>
      <c r="I2953" s="34" t="s">
        <v>9</v>
      </c>
      <c r="J2953" s="38" t="s">
        <v>337</v>
      </c>
    </row>
    <row r="2954" spans="1:10">
      <c r="A2954" s="32">
        <v>966</v>
      </c>
      <c r="B2954" s="33">
        <v>9941</v>
      </c>
      <c r="C2954" s="3">
        <v>370000</v>
      </c>
      <c r="D2954" s="3">
        <v>370000</v>
      </c>
      <c r="E2954" s="7">
        <v>0</v>
      </c>
      <c r="F2954" s="5">
        <v>45929</v>
      </c>
      <c r="G2954" s="4">
        <v>20250928</v>
      </c>
      <c r="H2954" s="38" t="s">
        <v>30</v>
      </c>
      <c r="I2954" s="34" t="s">
        <v>9</v>
      </c>
      <c r="J2954" s="38" t="s">
        <v>240</v>
      </c>
    </row>
    <row r="2955" spans="1:10">
      <c r="A2955" s="32">
        <v>512</v>
      </c>
      <c r="B2955" s="33">
        <v>4718</v>
      </c>
      <c r="C2955" s="3">
        <v>500000</v>
      </c>
      <c r="D2955" s="3">
        <v>500000</v>
      </c>
      <c r="E2955" s="7">
        <v>0</v>
      </c>
      <c r="F2955" s="5">
        <v>45930</v>
      </c>
      <c r="G2955" s="4">
        <v>20250929</v>
      </c>
      <c r="H2955" s="38" t="s">
        <v>30</v>
      </c>
      <c r="I2955" s="34" t="s">
        <v>9</v>
      </c>
      <c r="J2955" s="38" t="s">
        <v>234</v>
      </c>
    </row>
    <row r="2956" spans="1:10">
      <c r="A2956" s="32">
        <v>631</v>
      </c>
      <c r="B2956" s="33">
        <v>2616</v>
      </c>
      <c r="C2956" s="3">
        <v>180000</v>
      </c>
      <c r="D2956" s="29">
        <v>180000</v>
      </c>
      <c r="E2956" s="7">
        <v>0</v>
      </c>
      <c r="F2956" s="5">
        <v>45930</v>
      </c>
      <c r="G2956" s="4">
        <v>20250929</v>
      </c>
      <c r="H2956" s="38" t="s">
        <v>30</v>
      </c>
      <c r="I2956" s="34" t="s">
        <v>9</v>
      </c>
      <c r="J2956" s="38" t="s">
        <v>337</v>
      </c>
    </row>
    <row r="2957" spans="1:10">
      <c r="A2957" s="32">
        <v>802</v>
      </c>
      <c r="B2957" s="33">
        <v>2711</v>
      </c>
      <c r="C2957" s="3">
        <v>880000</v>
      </c>
      <c r="D2957" s="3">
        <v>880000</v>
      </c>
      <c r="E2957" s="7">
        <v>0</v>
      </c>
      <c r="F2957" s="5">
        <v>45930</v>
      </c>
      <c r="G2957" s="4">
        <v>20250929</v>
      </c>
      <c r="H2957" s="38" t="s">
        <v>30</v>
      </c>
      <c r="I2957" s="34" t="s">
        <v>9</v>
      </c>
      <c r="J2957" s="38" t="s">
        <v>497</v>
      </c>
    </row>
    <row r="2958" spans="1:10">
      <c r="A2958" s="32">
        <v>802</v>
      </c>
      <c r="B2958" s="33">
        <v>2712</v>
      </c>
      <c r="C2958" s="3">
        <v>470000</v>
      </c>
      <c r="D2958" s="3">
        <v>470000</v>
      </c>
      <c r="E2958" s="7">
        <v>0</v>
      </c>
      <c r="F2958" s="5">
        <v>45930</v>
      </c>
      <c r="G2958" s="4">
        <v>20250929</v>
      </c>
      <c r="H2958" s="38" t="s">
        <v>30</v>
      </c>
      <c r="I2958" s="34" t="s">
        <v>9</v>
      </c>
      <c r="J2958" s="38" t="s">
        <v>498</v>
      </c>
    </row>
    <row r="2959" spans="1:10">
      <c r="A2959" s="32">
        <v>517</v>
      </c>
      <c r="B2959" s="33">
        <v>5053</v>
      </c>
      <c r="C2959" s="3">
        <v>1010000</v>
      </c>
      <c r="D2959" s="3">
        <v>1010000</v>
      </c>
      <c r="E2959" s="7">
        <v>0</v>
      </c>
      <c r="F2959" s="5">
        <v>45930</v>
      </c>
      <c r="G2959" s="4">
        <v>20250929</v>
      </c>
      <c r="H2959" s="38" t="s">
        <v>24</v>
      </c>
      <c r="I2959" s="34" t="s">
        <v>9</v>
      </c>
      <c r="J2959" s="38" t="s">
        <v>424</v>
      </c>
    </row>
    <row r="2960" spans="1:10">
      <c r="A2960" s="32">
        <v>631</v>
      </c>
      <c r="B2960" s="33">
        <v>2616</v>
      </c>
      <c r="C2960" s="3">
        <v>10000</v>
      </c>
      <c r="D2960" s="29">
        <v>10000</v>
      </c>
      <c r="E2960" s="7">
        <v>0</v>
      </c>
      <c r="F2960" s="5">
        <v>45925</v>
      </c>
      <c r="G2960" s="4">
        <v>20250924</v>
      </c>
      <c r="H2960" s="38" t="s">
        <v>30</v>
      </c>
      <c r="I2960" s="34" t="s">
        <v>10</v>
      </c>
      <c r="J2960" s="38" t="s">
        <v>337</v>
      </c>
    </row>
    <row r="2961" spans="1:10">
      <c r="A2961" s="32">
        <v>966</v>
      </c>
      <c r="B2961" s="33">
        <v>6290</v>
      </c>
      <c r="C2961" s="3">
        <v>10000</v>
      </c>
      <c r="D2961" s="3">
        <v>10000</v>
      </c>
      <c r="E2961" s="7">
        <v>0</v>
      </c>
      <c r="F2961" s="5">
        <v>45925</v>
      </c>
      <c r="G2961" s="4">
        <v>20250924</v>
      </c>
      <c r="H2961" s="38" t="s">
        <v>30</v>
      </c>
      <c r="I2961" s="34" t="s">
        <v>10</v>
      </c>
      <c r="J2961" s="38" t="s">
        <v>499</v>
      </c>
    </row>
    <row r="2962" spans="1:10">
      <c r="A2962" s="32">
        <v>371</v>
      </c>
      <c r="B2962" s="33">
        <v>4279</v>
      </c>
      <c r="C2962" s="3">
        <v>40000</v>
      </c>
      <c r="D2962" s="3">
        <v>40000</v>
      </c>
      <c r="E2962" s="7">
        <v>0</v>
      </c>
      <c r="F2962" s="5">
        <v>45930</v>
      </c>
      <c r="G2962" s="4">
        <v>20250930</v>
      </c>
      <c r="H2962" s="38" t="s">
        <v>30</v>
      </c>
      <c r="I2962" s="34"/>
      <c r="J2962" s="38" t="s">
        <v>500</v>
      </c>
    </row>
    <row r="2963" spans="1:10">
      <c r="A2963" s="32">
        <v>61</v>
      </c>
      <c r="B2963" s="33">
        <v>782</v>
      </c>
      <c r="C2963" s="3">
        <v>100000</v>
      </c>
      <c r="D2963" s="3">
        <v>100000</v>
      </c>
      <c r="E2963" s="7">
        <v>0</v>
      </c>
      <c r="F2963" s="5">
        <v>45932</v>
      </c>
      <c r="G2963" s="4">
        <v>20251001</v>
      </c>
      <c r="H2963" s="38" t="s">
        <v>30</v>
      </c>
      <c r="I2963" s="34" t="s">
        <v>9</v>
      </c>
      <c r="J2963" s="38" t="s">
        <v>501</v>
      </c>
    </row>
    <row r="2964" spans="1:10">
      <c r="A2964" s="32">
        <v>61</v>
      </c>
      <c r="B2964" s="33">
        <v>783</v>
      </c>
      <c r="C2964" s="3">
        <v>2600000</v>
      </c>
      <c r="D2964" s="3">
        <v>2600000</v>
      </c>
      <c r="E2964" s="7">
        <v>0</v>
      </c>
      <c r="F2964" s="5">
        <v>45932</v>
      </c>
      <c r="G2964" s="4">
        <v>20251001</v>
      </c>
      <c r="H2964" s="38" t="s">
        <v>30</v>
      </c>
      <c r="I2964" s="34" t="s">
        <v>9</v>
      </c>
      <c r="J2964" s="38" t="s">
        <v>502</v>
      </c>
    </row>
    <row r="2965" spans="1:10">
      <c r="A2965" s="32">
        <v>85</v>
      </c>
      <c r="B2965" s="33">
        <v>8973</v>
      </c>
      <c r="C2965" s="3">
        <v>100000</v>
      </c>
      <c r="D2965" s="3">
        <v>100000</v>
      </c>
      <c r="E2965" s="7">
        <v>0</v>
      </c>
      <c r="F2965" s="5">
        <v>45932</v>
      </c>
      <c r="G2965" s="4">
        <v>20251001</v>
      </c>
      <c r="H2965" s="38" t="s">
        <v>30</v>
      </c>
      <c r="I2965" s="34" t="s">
        <v>9</v>
      </c>
      <c r="J2965" s="38" t="s">
        <v>205</v>
      </c>
    </row>
    <row r="2966" spans="1:10">
      <c r="A2966" s="32">
        <v>211</v>
      </c>
      <c r="B2966" s="33">
        <v>5309</v>
      </c>
      <c r="C2966" s="3">
        <v>1320000</v>
      </c>
      <c r="D2966" s="3">
        <v>1320000</v>
      </c>
      <c r="E2966" s="7">
        <v>0</v>
      </c>
      <c r="F2966" s="5">
        <v>45932</v>
      </c>
      <c r="G2966" s="4">
        <v>20251001</v>
      </c>
      <c r="H2966" s="38" t="s">
        <v>30</v>
      </c>
      <c r="I2966" s="34" t="s">
        <v>9</v>
      </c>
      <c r="J2966" s="38" t="s">
        <v>99</v>
      </c>
    </row>
    <row r="2967" spans="1:10">
      <c r="A2967" s="32">
        <v>512</v>
      </c>
      <c r="B2967" s="33">
        <v>4718</v>
      </c>
      <c r="C2967" s="3">
        <v>3600000</v>
      </c>
      <c r="D2967" s="3">
        <v>3600000</v>
      </c>
      <c r="E2967" s="7">
        <v>0</v>
      </c>
      <c r="F2967" s="5">
        <v>45932</v>
      </c>
      <c r="G2967" s="4">
        <v>20251001</v>
      </c>
      <c r="H2967" s="38" t="s">
        <v>30</v>
      </c>
      <c r="I2967" s="34" t="s">
        <v>9</v>
      </c>
      <c r="J2967" s="38" t="s">
        <v>234</v>
      </c>
    </row>
    <row r="2968" spans="1:10">
      <c r="A2968" s="32">
        <v>522</v>
      </c>
      <c r="B2968" s="33">
        <v>4592</v>
      </c>
      <c r="C2968" s="3">
        <v>1400000</v>
      </c>
      <c r="D2968" s="3">
        <v>1400000</v>
      </c>
      <c r="E2968" s="7">
        <v>0</v>
      </c>
      <c r="F2968" s="5">
        <v>45932</v>
      </c>
      <c r="G2968" s="4">
        <v>20251001</v>
      </c>
      <c r="H2968" s="38" t="s">
        <v>30</v>
      </c>
      <c r="I2968" s="34" t="s">
        <v>9</v>
      </c>
      <c r="J2968" s="38" t="s">
        <v>350</v>
      </c>
    </row>
    <row r="2969" spans="1:10">
      <c r="A2969" s="32">
        <v>631</v>
      </c>
      <c r="B2969" s="33">
        <v>2616</v>
      </c>
      <c r="C2969" s="3">
        <v>5920000</v>
      </c>
      <c r="D2969" s="29">
        <v>5920000</v>
      </c>
      <c r="E2969" s="7">
        <v>0</v>
      </c>
      <c r="F2969" s="5">
        <v>45932</v>
      </c>
      <c r="G2969" s="4">
        <v>20251001</v>
      </c>
      <c r="H2969" s="38" t="s">
        <v>30</v>
      </c>
      <c r="I2969" s="34" t="s">
        <v>9</v>
      </c>
      <c r="J2969" s="38" t="s">
        <v>337</v>
      </c>
    </row>
    <row r="2970" spans="1:10">
      <c r="A2970" s="32">
        <v>631</v>
      </c>
      <c r="B2970" s="33">
        <v>2795</v>
      </c>
      <c r="C2970" s="3">
        <v>1460000</v>
      </c>
      <c r="D2970" s="3">
        <v>1460000</v>
      </c>
      <c r="E2970" s="7">
        <v>0</v>
      </c>
      <c r="F2970" s="5">
        <v>45932</v>
      </c>
      <c r="G2970" s="4">
        <v>20251001</v>
      </c>
      <c r="H2970" s="38" t="s">
        <v>30</v>
      </c>
      <c r="I2970" s="34" t="s">
        <v>9</v>
      </c>
      <c r="J2970" s="38" t="s">
        <v>98</v>
      </c>
    </row>
    <row r="2971" spans="1:10">
      <c r="A2971" s="32">
        <v>678</v>
      </c>
      <c r="B2971" s="33">
        <v>6016</v>
      </c>
      <c r="C2971" s="3">
        <v>100000</v>
      </c>
      <c r="D2971" s="3">
        <v>100000</v>
      </c>
      <c r="E2971" s="7">
        <v>0</v>
      </c>
      <c r="F2971" s="5">
        <v>45932</v>
      </c>
      <c r="G2971" s="4">
        <v>20251001</v>
      </c>
      <c r="H2971" s="38" t="s">
        <v>30</v>
      </c>
      <c r="I2971" s="34" t="s">
        <v>9</v>
      </c>
      <c r="J2971" s="38" t="s">
        <v>443</v>
      </c>
    </row>
    <row r="2972" spans="1:10">
      <c r="A2972" s="32">
        <v>844</v>
      </c>
      <c r="B2972" s="33">
        <v>6157</v>
      </c>
      <c r="C2972" s="3">
        <v>240000</v>
      </c>
      <c r="D2972" s="3">
        <v>240000</v>
      </c>
      <c r="E2972" s="7">
        <v>0</v>
      </c>
      <c r="F2972" s="5">
        <v>45932</v>
      </c>
      <c r="G2972" s="4">
        <v>20251001</v>
      </c>
      <c r="H2972" s="38" t="s">
        <v>30</v>
      </c>
      <c r="I2972" s="34" t="s">
        <v>9</v>
      </c>
      <c r="J2972" s="38" t="s">
        <v>43</v>
      </c>
    </row>
    <row r="2973" spans="1:10">
      <c r="A2973" s="32">
        <v>876</v>
      </c>
      <c r="B2973" s="33">
        <v>9680</v>
      </c>
      <c r="C2973" s="3">
        <v>250000</v>
      </c>
      <c r="D2973" s="3">
        <v>250000</v>
      </c>
      <c r="E2973" s="7">
        <v>0</v>
      </c>
      <c r="F2973" s="5">
        <v>45932</v>
      </c>
      <c r="G2973" s="4">
        <v>20251001</v>
      </c>
      <c r="H2973" s="38" t="s">
        <v>30</v>
      </c>
      <c r="I2973" s="34" t="s">
        <v>9</v>
      </c>
      <c r="J2973" s="38" t="s">
        <v>339</v>
      </c>
    </row>
    <row r="2974" spans="1:10">
      <c r="A2974" s="32">
        <v>395</v>
      </c>
      <c r="B2974" s="33">
        <v>1529</v>
      </c>
      <c r="C2974" s="3">
        <v>3450000</v>
      </c>
      <c r="D2974" s="3">
        <v>3450000</v>
      </c>
      <c r="E2974" s="7">
        <v>0</v>
      </c>
      <c r="F2974" s="5">
        <v>45932</v>
      </c>
      <c r="G2974" s="4">
        <v>20251001</v>
      </c>
      <c r="H2974" s="38" t="s">
        <v>24</v>
      </c>
      <c r="I2974" s="34" t="s">
        <v>9</v>
      </c>
      <c r="J2974" s="38" t="s">
        <v>318</v>
      </c>
    </row>
    <row r="2975" spans="1:10">
      <c r="A2975" s="32">
        <v>419</v>
      </c>
      <c r="B2975" s="33">
        <v>7980</v>
      </c>
      <c r="C2975" s="3">
        <v>3096000</v>
      </c>
      <c r="D2975" s="3">
        <v>3096000</v>
      </c>
      <c r="E2975" s="7">
        <v>0</v>
      </c>
      <c r="F2975" s="5">
        <v>45932</v>
      </c>
      <c r="G2975" s="4">
        <v>20251001</v>
      </c>
      <c r="H2975" s="38" t="s">
        <v>24</v>
      </c>
      <c r="I2975" s="34" t="s">
        <v>9</v>
      </c>
      <c r="J2975" s="38" t="s">
        <v>113</v>
      </c>
    </row>
    <row r="2976" spans="1:10">
      <c r="A2976" s="32">
        <v>517</v>
      </c>
      <c r="B2976" s="33">
        <v>5053</v>
      </c>
      <c r="C2976" s="3">
        <v>710000</v>
      </c>
      <c r="D2976" s="3">
        <v>710000</v>
      </c>
      <c r="E2976" s="7">
        <v>0</v>
      </c>
      <c r="F2976" s="5">
        <v>45932</v>
      </c>
      <c r="G2976" s="4">
        <v>20251001</v>
      </c>
      <c r="H2976" s="38" t="s">
        <v>24</v>
      </c>
      <c r="I2976" s="34" t="s">
        <v>9</v>
      </c>
      <c r="J2976" s="38" t="s">
        <v>424</v>
      </c>
    </row>
    <row r="2977" spans="1:10">
      <c r="A2977" s="32">
        <v>907</v>
      </c>
      <c r="B2977" s="33">
        <v>4830</v>
      </c>
      <c r="C2977" s="3">
        <v>140000</v>
      </c>
      <c r="D2977" s="3">
        <v>140000</v>
      </c>
      <c r="E2977" s="7">
        <v>0</v>
      </c>
      <c r="F2977" s="5">
        <v>45932</v>
      </c>
      <c r="G2977" s="4">
        <v>20251001</v>
      </c>
      <c r="H2977" s="38" t="s">
        <v>24</v>
      </c>
      <c r="I2977" s="34" t="s">
        <v>9</v>
      </c>
      <c r="J2977" s="38" t="s">
        <v>110</v>
      </c>
    </row>
    <row r="2978" spans="1:10">
      <c r="A2978" s="32">
        <v>332</v>
      </c>
      <c r="B2978" s="33">
        <v>7569</v>
      </c>
      <c r="C2978" s="3">
        <v>30000</v>
      </c>
      <c r="D2978" s="3">
        <v>30000</v>
      </c>
      <c r="E2978" s="7">
        <v>0</v>
      </c>
      <c r="F2978" s="5">
        <v>45932</v>
      </c>
      <c r="G2978" s="4">
        <v>20251001</v>
      </c>
      <c r="H2978" s="38" t="s">
        <v>24</v>
      </c>
      <c r="I2978" s="34" t="s">
        <v>9</v>
      </c>
      <c r="J2978" s="38" t="s">
        <v>351</v>
      </c>
    </row>
    <row r="2979" spans="1:10">
      <c r="A2979" s="32">
        <v>291</v>
      </c>
      <c r="B2979" s="33">
        <v>5114</v>
      </c>
      <c r="C2979" s="3">
        <v>3860000</v>
      </c>
      <c r="D2979" s="3">
        <v>3860000</v>
      </c>
      <c r="E2979" s="7">
        <v>0</v>
      </c>
      <c r="F2979" s="5">
        <v>45933</v>
      </c>
      <c r="G2979" s="4">
        <v>20251002</v>
      </c>
      <c r="H2979" s="38" t="s">
        <v>24</v>
      </c>
      <c r="I2979" s="34" t="s">
        <v>9</v>
      </c>
      <c r="J2979" s="38" t="s">
        <v>245</v>
      </c>
    </row>
    <row r="2980" spans="1:10">
      <c r="A2980" s="32">
        <v>292</v>
      </c>
      <c r="B2980" s="33">
        <v>5116</v>
      </c>
      <c r="C2980" s="3">
        <v>3012000</v>
      </c>
      <c r="D2980" s="3">
        <v>3012000</v>
      </c>
      <c r="E2980" s="7">
        <v>0</v>
      </c>
      <c r="F2980" s="5">
        <v>45933</v>
      </c>
      <c r="G2980" s="4">
        <v>20251002</v>
      </c>
      <c r="H2980" s="38" t="s">
        <v>24</v>
      </c>
      <c r="I2980" s="34" t="s">
        <v>9</v>
      </c>
      <c r="J2980" s="38" t="s">
        <v>372</v>
      </c>
    </row>
    <row r="2981" spans="1:10">
      <c r="A2981" s="32">
        <v>571</v>
      </c>
      <c r="B2981" s="33">
        <v>6150</v>
      </c>
      <c r="C2981" s="3">
        <v>2580000</v>
      </c>
      <c r="D2981" s="3">
        <v>2580000</v>
      </c>
      <c r="E2981" s="7">
        <v>0</v>
      </c>
      <c r="F2981" s="5">
        <v>45933</v>
      </c>
      <c r="G2981" s="4">
        <v>20251002</v>
      </c>
      <c r="H2981" s="38" t="s">
        <v>24</v>
      </c>
      <c r="I2981" s="34" t="s">
        <v>9</v>
      </c>
      <c r="J2981" s="38" t="s">
        <v>249</v>
      </c>
    </row>
    <row r="2982" spans="1:10">
      <c r="A2982" s="32">
        <v>678</v>
      </c>
      <c r="B2982" s="33">
        <v>5227</v>
      </c>
      <c r="C2982" s="3">
        <v>2428000</v>
      </c>
      <c r="D2982" s="3">
        <v>2428000</v>
      </c>
      <c r="E2982" s="7">
        <v>0</v>
      </c>
      <c r="F2982" s="5">
        <v>45933</v>
      </c>
      <c r="G2982" s="4">
        <v>20251002</v>
      </c>
      <c r="H2982" s="38" t="s">
        <v>24</v>
      </c>
      <c r="I2982" s="34" t="s">
        <v>9</v>
      </c>
      <c r="J2982" s="38" t="s">
        <v>394</v>
      </c>
    </row>
    <row r="2983" spans="1:10">
      <c r="A2983" s="32">
        <v>395</v>
      </c>
      <c r="B2983" s="33">
        <v>1529</v>
      </c>
      <c r="C2983" s="3">
        <v>1530000</v>
      </c>
      <c r="D2983" s="3">
        <v>1530000</v>
      </c>
      <c r="E2983" s="7">
        <v>0</v>
      </c>
      <c r="F2983" s="5">
        <v>45933</v>
      </c>
      <c r="G2983" s="4">
        <v>20251002</v>
      </c>
      <c r="H2983" s="38" t="s">
        <v>24</v>
      </c>
      <c r="I2983" s="34" t="s">
        <v>9</v>
      </c>
      <c r="J2983" s="38" t="s">
        <v>318</v>
      </c>
    </row>
    <row r="2984" spans="1:10">
      <c r="A2984" s="32">
        <v>186</v>
      </c>
      <c r="B2984" s="33">
        <v>6509</v>
      </c>
      <c r="C2984" s="3">
        <v>160000</v>
      </c>
      <c r="D2984" s="3">
        <v>160000</v>
      </c>
      <c r="E2984" s="7">
        <v>0</v>
      </c>
      <c r="F2984" s="5">
        <v>45933</v>
      </c>
      <c r="G2984" s="4">
        <v>20251002</v>
      </c>
      <c r="H2984" s="38" t="s">
        <v>30</v>
      </c>
      <c r="I2984" s="34" t="s">
        <v>9</v>
      </c>
      <c r="J2984" s="38" t="s">
        <v>267</v>
      </c>
    </row>
    <row r="2985" spans="1:10">
      <c r="A2985" s="32">
        <v>186</v>
      </c>
      <c r="B2985" s="33">
        <v>6513</v>
      </c>
      <c r="C2985" s="3">
        <v>300000</v>
      </c>
      <c r="D2985" s="3">
        <v>300000</v>
      </c>
      <c r="E2985" s="7">
        <v>0</v>
      </c>
      <c r="F2985" s="5">
        <v>45933</v>
      </c>
      <c r="G2985" s="4">
        <v>20251002</v>
      </c>
      <c r="H2985" s="38" t="s">
        <v>30</v>
      </c>
      <c r="I2985" s="34" t="s">
        <v>9</v>
      </c>
      <c r="J2985" s="38" t="s">
        <v>301</v>
      </c>
    </row>
    <row r="2986" spans="1:10">
      <c r="A2986" s="32">
        <v>229</v>
      </c>
      <c r="B2986" s="33">
        <v>8957</v>
      </c>
      <c r="C2986" s="3">
        <v>200000</v>
      </c>
      <c r="D2986" s="3">
        <v>200000</v>
      </c>
      <c r="E2986" s="7">
        <v>0</v>
      </c>
      <c r="F2986" s="5">
        <v>45933</v>
      </c>
      <c r="G2986" s="4">
        <v>20251002</v>
      </c>
      <c r="H2986" s="38" t="s">
        <v>30</v>
      </c>
      <c r="I2986" s="34" t="s">
        <v>9</v>
      </c>
      <c r="J2986" s="38" t="s">
        <v>71</v>
      </c>
    </row>
    <row r="2987" spans="1:10">
      <c r="A2987" s="32">
        <v>332</v>
      </c>
      <c r="B2987" s="33">
        <v>2559</v>
      </c>
      <c r="C2987" s="3">
        <v>800000</v>
      </c>
      <c r="D2987" s="3">
        <v>800000</v>
      </c>
      <c r="E2987" s="7">
        <v>0</v>
      </c>
      <c r="F2987" s="5">
        <v>45933</v>
      </c>
      <c r="G2987" s="4">
        <v>20251002</v>
      </c>
      <c r="H2987" s="38" t="s">
        <v>30</v>
      </c>
      <c r="I2987" s="34" t="s">
        <v>9</v>
      </c>
      <c r="J2987" s="38" t="s">
        <v>503</v>
      </c>
    </row>
    <row r="2988" spans="1:10">
      <c r="A2988" s="32">
        <v>392</v>
      </c>
      <c r="B2988" s="33">
        <v>4794</v>
      </c>
      <c r="C2988" s="3">
        <v>50000</v>
      </c>
      <c r="D2988" s="3">
        <v>50000</v>
      </c>
      <c r="E2988" s="7">
        <v>0</v>
      </c>
      <c r="F2988" s="5">
        <v>45933</v>
      </c>
      <c r="G2988" s="4">
        <v>20251002</v>
      </c>
      <c r="H2988" s="38" t="s">
        <v>30</v>
      </c>
      <c r="I2988" s="34" t="s">
        <v>9</v>
      </c>
      <c r="J2988" s="38" t="s">
        <v>270</v>
      </c>
    </row>
    <row r="2989" spans="1:10">
      <c r="A2989" s="32">
        <v>512</v>
      </c>
      <c r="B2989" s="33">
        <v>4718</v>
      </c>
      <c r="C2989" s="3">
        <v>1410000</v>
      </c>
      <c r="D2989" s="3">
        <v>1410000</v>
      </c>
      <c r="E2989" s="7">
        <v>0</v>
      </c>
      <c r="F2989" s="5">
        <v>45933</v>
      </c>
      <c r="G2989" s="4">
        <v>20251002</v>
      </c>
      <c r="H2989" s="38" t="s">
        <v>30</v>
      </c>
      <c r="I2989" s="34" t="s">
        <v>9</v>
      </c>
      <c r="J2989" s="38" t="s">
        <v>234</v>
      </c>
    </row>
    <row r="2990" spans="1:10">
      <c r="A2990" s="32">
        <v>631</v>
      </c>
      <c r="B2990" s="33">
        <v>2616</v>
      </c>
      <c r="C2990" s="3">
        <v>400000</v>
      </c>
      <c r="D2990" s="29">
        <v>400000</v>
      </c>
      <c r="E2990" s="7">
        <v>0</v>
      </c>
      <c r="F2990" s="5">
        <v>45933</v>
      </c>
      <c r="G2990" s="4">
        <v>20251002</v>
      </c>
      <c r="H2990" s="38" t="s">
        <v>30</v>
      </c>
      <c r="I2990" s="34" t="s">
        <v>9</v>
      </c>
      <c r="J2990" s="38" t="s">
        <v>337</v>
      </c>
    </row>
    <row r="2991" spans="1:10">
      <c r="A2991" s="32">
        <v>631</v>
      </c>
      <c r="B2991" s="33">
        <v>2795</v>
      </c>
      <c r="C2991" s="3">
        <v>50000</v>
      </c>
      <c r="D2991" s="3">
        <v>50000</v>
      </c>
      <c r="E2991" s="7">
        <v>0</v>
      </c>
      <c r="F2991" s="5">
        <v>45933</v>
      </c>
      <c r="G2991" s="4">
        <v>20251002</v>
      </c>
      <c r="H2991" s="38" t="s">
        <v>30</v>
      </c>
      <c r="I2991" s="34" t="s">
        <v>9</v>
      </c>
      <c r="J2991" s="38" t="s">
        <v>98</v>
      </c>
    </row>
    <row r="2992" spans="1:10">
      <c r="A2992" s="32">
        <v>638</v>
      </c>
      <c r="B2992" s="33">
        <v>4486</v>
      </c>
      <c r="C2992" s="3">
        <v>40000</v>
      </c>
      <c r="D2992" s="3">
        <v>40000</v>
      </c>
      <c r="E2992" s="7">
        <v>0</v>
      </c>
      <c r="F2992" s="5">
        <v>45933</v>
      </c>
      <c r="G2992" s="4">
        <v>20251002</v>
      </c>
      <c r="H2992" s="38" t="s">
        <v>30</v>
      </c>
      <c r="I2992" s="34" t="s">
        <v>9</v>
      </c>
      <c r="J2992" s="38" t="s">
        <v>116</v>
      </c>
    </row>
    <row r="2993" spans="1:10">
      <c r="A2993" s="32">
        <v>688</v>
      </c>
      <c r="B2993" s="33">
        <v>4843</v>
      </c>
      <c r="C2993" s="3">
        <v>700000</v>
      </c>
      <c r="D2993" s="3">
        <v>700000</v>
      </c>
      <c r="E2993" s="7">
        <v>0</v>
      </c>
      <c r="F2993" s="5">
        <v>45933</v>
      </c>
      <c r="G2993" s="4">
        <v>20251002</v>
      </c>
      <c r="H2993" s="38" t="s">
        <v>30</v>
      </c>
      <c r="I2993" s="34" t="s">
        <v>9</v>
      </c>
      <c r="J2993" s="38" t="s">
        <v>157</v>
      </c>
    </row>
    <row r="2994" spans="1:10">
      <c r="A2994" s="32">
        <v>741</v>
      </c>
      <c r="B2994" s="33">
        <v>6842</v>
      </c>
      <c r="C2994" s="3">
        <v>180000</v>
      </c>
      <c r="D2994" s="3">
        <v>180000</v>
      </c>
      <c r="E2994" s="7">
        <v>0</v>
      </c>
      <c r="F2994" s="5">
        <v>45933</v>
      </c>
      <c r="G2994" s="4">
        <v>20251002</v>
      </c>
      <c r="H2994" s="38" t="s">
        <v>30</v>
      </c>
      <c r="I2994" s="34" t="s">
        <v>9</v>
      </c>
      <c r="J2994" s="38" t="s">
        <v>147</v>
      </c>
    </row>
    <row r="2995" spans="1:10">
      <c r="A2995" s="32">
        <v>186</v>
      </c>
      <c r="B2995" s="33">
        <v>6508</v>
      </c>
      <c r="C2995" s="3">
        <v>180000</v>
      </c>
      <c r="D2995" s="3">
        <v>180000</v>
      </c>
      <c r="E2995" s="7">
        <v>0</v>
      </c>
      <c r="F2995" s="5">
        <v>45936</v>
      </c>
      <c r="G2995" s="4">
        <v>20251005</v>
      </c>
      <c r="H2995" s="38" t="s">
        <v>30</v>
      </c>
      <c r="I2995" s="34" t="s">
        <v>9</v>
      </c>
      <c r="J2995" s="38" t="s">
        <v>269</v>
      </c>
    </row>
    <row r="2996" spans="1:10">
      <c r="A2996" s="32">
        <v>186</v>
      </c>
      <c r="B2996" s="33">
        <v>6513</v>
      </c>
      <c r="C2996" s="3">
        <v>260000</v>
      </c>
      <c r="D2996" s="3">
        <v>260000</v>
      </c>
      <c r="E2996" s="7">
        <v>0</v>
      </c>
      <c r="F2996" s="5">
        <v>45936</v>
      </c>
      <c r="G2996" s="4">
        <v>20251005</v>
      </c>
      <c r="H2996" s="38" t="s">
        <v>30</v>
      </c>
      <c r="I2996" s="34" t="s">
        <v>9</v>
      </c>
      <c r="J2996" s="38" t="s">
        <v>301</v>
      </c>
    </row>
    <row r="2997" spans="1:10">
      <c r="A2997" s="32">
        <v>306</v>
      </c>
      <c r="B2997" s="33">
        <v>4838</v>
      </c>
      <c r="C2997" s="3">
        <v>50000</v>
      </c>
      <c r="D2997" s="3">
        <v>50000</v>
      </c>
      <c r="E2997" s="7">
        <v>0</v>
      </c>
      <c r="F2997" s="5">
        <v>45936</v>
      </c>
      <c r="G2997" s="4">
        <v>20251005</v>
      </c>
      <c r="H2997" s="38" t="s">
        <v>30</v>
      </c>
      <c r="I2997" s="34" t="s">
        <v>9</v>
      </c>
      <c r="J2997" s="38" t="s">
        <v>504</v>
      </c>
    </row>
    <row r="2998" spans="1:10">
      <c r="A2998" s="32">
        <v>318</v>
      </c>
      <c r="B2998" s="33">
        <v>5348</v>
      </c>
      <c r="C2998" s="3">
        <v>300000</v>
      </c>
      <c r="D2998" s="3">
        <v>300000</v>
      </c>
      <c r="E2998" s="7">
        <v>0</v>
      </c>
      <c r="F2998" s="5">
        <v>45936</v>
      </c>
      <c r="G2998" s="4">
        <v>20251005</v>
      </c>
      <c r="H2998" s="38" t="s">
        <v>30</v>
      </c>
      <c r="I2998" s="34" t="s">
        <v>9</v>
      </c>
      <c r="J2998" s="38" t="s">
        <v>380</v>
      </c>
    </row>
    <row r="2999" spans="1:10">
      <c r="A2999" s="32">
        <v>631</v>
      </c>
      <c r="B2999" s="33">
        <v>2616</v>
      </c>
      <c r="C2999" s="3">
        <v>5620000</v>
      </c>
      <c r="D2999" s="29">
        <v>5620000</v>
      </c>
      <c r="E2999" s="7">
        <v>0</v>
      </c>
      <c r="F2999" s="5">
        <v>45936</v>
      </c>
      <c r="G2999" s="4">
        <v>20251005</v>
      </c>
      <c r="H2999" s="38" t="s">
        <v>30</v>
      </c>
      <c r="I2999" s="34" t="s">
        <v>9</v>
      </c>
      <c r="J2999" s="38" t="s">
        <v>337</v>
      </c>
    </row>
    <row r="3000" spans="1:10">
      <c r="A3000" s="32">
        <v>631</v>
      </c>
      <c r="B3000" s="33">
        <v>2795</v>
      </c>
      <c r="C3000" s="3">
        <v>200000</v>
      </c>
      <c r="D3000" s="3">
        <v>200000</v>
      </c>
      <c r="E3000" s="7">
        <v>0</v>
      </c>
      <c r="F3000" s="5">
        <v>45936</v>
      </c>
      <c r="G3000" s="4">
        <v>20251005</v>
      </c>
      <c r="H3000" s="38" t="s">
        <v>30</v>
      </c>
      <c r="I3000" s="34" t="s">
        <v>9</v>
      </c>
      <c r="J3000" s="38" t="s">
        <v>98</v>
      </c>
    </row>
    <row r="3001" spans="1:10">
      <c r="A3001" s="32">
        <v>688</v>
      </c>
      <c r="B3001" s="33">
        <v>4843</v>
      </c>
      <c r="C3001" s="3">
        <v>1370000</v>
      </c>
      <c r="D3001" s="3">
        <v>1370000</v>
      </c>
      <c r="E3001" s="7">
        <v>0</v>
      </c>
      <c r="F3001" s="5">
        <v>45936</v>
      </c>
      <c r="G3001" s="4">
        <v>20251005</v>
      </c>
      <c r="H3001" s="38" t="s">
        <v>30</v>
      </c>
      <c r="I3001" s="34" t="s">
        <v>9</v>
      </c>
      <c r="J3001" s="38" t="s">
        <v>157</v>
      </c>
    </row>
    <row r="3002" spans="1:10">
      <c r="A3002" s="32">
        <v>844</v>
      </c>
      <c r="B3002" s="33">
        <v>6157</v>
      </c>
      <c r="C3002" s="3">
        <v>510000</v>
      </c>
      <c r="D3002" s="3">
        <v>510000</v>
      </c>
      <c r="E3002" s="7">
        <v>0</v>
      </c>
      <c r="F3002" s="5">
        <v>45936</v>
      </c>
      <c r="G3002" s="4">
        <v>20251005</v>
      </c>
      <c r="H3002" s="38" t="s">
        <v>30</v>
      </c>
      <c r="I3002" s="34" t="s">
        <v>9</v>
      </c>
      <c r="J3002" s="38" t="s">
        <v>43</v>
      </c>
    </row>
    <row r="3003" spans="1:10">
      <c r="A3003" s="32">
        <v>864</v>
      </c>
      <c r="B3003" s="33">
        <v>5377</v>
      </c>
      <c r="C3003" s="3">
        <v>280000</v>
      </c>
      <c r="D3003" s="3">
        <v>280000</v>
      </c>
      <c r="E3003" s="7">
        <v>0</v>
      </c>
      <c r="F3003" s="5">
        <v>45936</v>
      </c>
      <c r="G3003" s="4">
        <v>20251005</v>
      </c>
      <c r="H3003" s="38" t="s">
        <v>30</v>
      </c>
      <c r="I3003" s="34" t="s">
        <v>9</v>
      </c>
      <c r="J3003" s="38" t="s">
        <v>167</v>
      </c>
    </row>
    <row r="3004" spans="1:10">
      <c r="A3004" s="32">
        <v>916</v>
      </c>
      <c r="B3004" s="33">
        <v>5345</v>
      </c>
      <c r="C3004" s="3">
        <v>300000</v>
      </c>
      <c r="D3004" s="3">
        <v>300000</v>
      </c>
      <c r="E3004" s="7">
        <v>0</v>
      </c>
      <c r="F3004" s="5">
        <v>45936</v>
      </c>
      <c r="G3004" s="4">
        <v>20251005</v>
      </c>
      <c r="H3004" s="38" t="s">
        <v>30</v>
      </c>
      <c r="I3004" s="34" t="s">
        <v>9</v>
      </c>
      <c r="J3004" s="38" t="s">
        <v>505</v>
      </c>
    </row>
    <row r="3005" spans="1:10">
      <c r="A3005" s="32">
        <v>951</v>
      </c>
      <c r="B3005" s="33">
        <v>7849</v>
      </c>
      <c r="C3005" s="3">
        <v>200000</v>
      </c>
      <c r="D3005" s="3">
        <v>200000</v>
      </c>
      <c r="E3005" s="7">
        <v>0</v>
      </c>
      <c r="F3005" s="5">
        <v>45936</v>
      </c>
      <c r="G3005" s="4">
        <v>20251005</v>
      </c>
      <c r="H3005" s="38" t="s">
        <v>30</v>
      </c>
      <c r="I3005" s="34" t="s">
        <v>9</v>
      </c>
      <c r="J3005" s="38" t="s">
        <v>214</v>
      </c>
    </row>
    <row r="3006" spans="1:10">
      <c r="A3006" s="32">
        <v>966</v>
      </c>
      <c r="B3006" s="33">
        <v>9941</v>
      </c>
      <c r="C3006" s="3">
        <v>4560000</v>
      </c>
      <c r="D3006" s="3">
        <v>4560000</v>
      </c>
      <c r="E3006" s="7">
        <v>0</v>
      </c>
      <c r="F3006" s="5">
        <v>45936</v>
      </c>
      <c r="G3006" s="4">
        <v>20251005</v>
      </c>
      <c r="H3006" s="38" t="s">
        <v>30</v>
      </c>
      <c r="I3006" s="34" t="s">
        <v>9</v>
      </c>
      <c r="J3006" s="38" t="s">
        <v>240</v>
      </c>
    </row>
    <row r="3007" spans="1:10">
      <c r="A3007" s="32">
        <v>634</v>
      </c>
      <c r="B3007" s="33">
        <v>5087</v>
      </c>
      <c r="C3007" s="3">
        <v>2825000</v>
      </c>
      <c r="D3007" s="3">
        <v>2825000</v>
      </c>
      <c r="E3007" s="7">
        <v>0</v>
      </c>
      <c r="F3007" s="5">
        <v>45936</v>
      </c>
      <c r="G3007" s="4">
        <v>20251005</v>
      </c>
      <c r="H3007" s="38" t="s">
        <v>24</v>
      </c>
      <c r="I3007" s="34" t="s">
        <v>9</v>
      </c>
      <c r="J3007" s="38" t="s">
        <v>183</v>
      </c>
    </row>
    <row r="3008" spans="1:10">
      <c r="A3008" s="32">
        <v>332</v>
      </c>
      <c r="B3008" s="33">
        <v>7569</v>
      </c>
      <c r="C3008" s="3">
        <v>2230000</v>
      </c>
      <c r="D3008" s="3">
        <v>2230000</v>
      </c>
      <c r="E3008" s="7">
        <v>0</v>
      </c>
      <c r="F3008" s="5">
        <v>45936</v>
      </c>
      <c r="G3008" s="4">
        <v>20251005</v>
      </c>
      <c r="H3008" s="38" t="s">
        <v>24</v>
      </c>
      <c r="I3008" s="34" t="s">
        <v>9</v>
      </c>
      <c r="J3008" s="38" t="s">
        <v>351</v>
      </c>
    </row>
    <row r="3009" spans="1:10">
      <c r="A3009" s="32">
        <v>678</v>
      </c>
      <c r="B3009" s="33">
        <v>5227</v>
      </c>
      <c r="C3009" s="3">
        <v>1205000</v>
      </c>
      <c r="D3009" s="3">
        <v>1205000</v>
      </c>
      <c r="E3009" s="7">
        <v>0</v>
      </c>
      <c r="F3009" s="5">
        <v>45936</v>
      </c>
      <c r="G3009" s="4">
        <v>20251005</v>
      </c>
      <c r="H3009" s="38" t="s">
        <v>24</v>
      </c>
      <c r="I3009" s="34" t="s">
        <v>9</v>
      </c>
      <c r="J3009" s="38" t="s">
        <v>394</v>
      </c>
    </row>
    <row r="3010" spans="1:10">
      <c r="A3010" s="32">
        <v>78</v>
      </c>
      <c r="B3010" s="33">
        <v>8592</v>
      </c>
      <c r="C3010" s="3">
        <v>100000</v>
      </c>
      <c r="D3010" s="3">
        <v>100000</v>
      </c>
      <c r="E3010" s="7">
        <v>0</v>
      </c>
      <c r="F3010" s="5">
        <v>45937</v>
      </c>
      <c r="G3010" s="4">
        <v>20251006</v>
      </c>
      <c r="H3010" s="38" t="s">
        <v>30</v>
      </c>
      <c r="I3010" s="34" t="s">
        <v>9</v>
      </c>
      <c r="J3010" s="38" t="s">
        <v>506</v>
      </c>
    </row>
    <row r="3011" spans="1:10">
      <c r="A3011" s="32">
        <v>163</v>
      </c>
      <c r="B3011" s="33">
        <v>4130</v>
      </c>
      <c r="C3011" s="3">
        <v>100000</v>
      </c>
      <c r="D3011" s="3">
        <v>100000</v>
      </c>
      <c r="E3011" s="7">
        <v>0</v>
      </c>
      <c r="F3011" s="5">
        <v>45937</v>
      </c>
      <c r="G3011" s="4">
        <v>20251006</v>
      </c>
      <c r="H3011" s="38" t="s">
        <v>30</v>
      </c>
      <c r="I3011" s="34" t="s">
        <v>9</v>
      </c>
      <c r="J3011" s="38" t="s">
        <v>148</v>
      </c>
    </row>
    <row r="3012" spans="1:10">
      <c r="A3012" s="32">
        <v>186</v>
      </c>
      <c r="B3012" s="33">
        <v>6513</v>
      </c>
      <c r="C3012" s="3">
        <v>190000</v>
      </c>
      <c r="D3012" s="3">
        <v>190000</v>
      </c>
      <c r="E3012" s="7">
        <v>0</v>
      </c>
      <c r="F3012" s="5">
        <v>45937</v>
      </c>
      <c r="G3012" s="4">
        <v>20251006</v>
      </c>
      <c r="H3012" s="38" t="s">
        <v>30</v>
      </c>
      <c r="I3012" s="34" t="s">
        <v>9</v>
      </c>
      <c r="J3012" s="38" t="s">
        <v>301</v>
      </c>
    </row>
    <row r="3013" spans="1:10">
      <c r="A3013" s="32">
        <v>229</v>
      </c>
      <c r="B3013" s="33">
        <v>8956</v>
      </c>
      <c r="C3013" s="3">
        <v>1460000</v>
      </c>
      <c r="D3013" s="3">
        <v>1460000</v>
      </c>
      <c r="E3013" s="7">
        <v>0</v>
      </c>
      <c r="F3013" s="5">
        <v>45937</v>
      </c>
      <c r="G3013" s="4">
        <v>20251006</v>
      </c>
      <c r="H3013" s="38" t="s">
        <v>30</v>
      </c>
      <c r="I3013" s="34" t="s">
        <v>9</v>
      </c>
      <c r="J3013" s="38" t="s">
        <v>260</v>
      </c>
    </row>
    <row r="3014" spans="1:10">
      <c r="A3014" s="32">
        <v>264</v>
      </c>
      <c r="B3014" s="33">
        <v>9905</v>
      </c>
      <c r="C3014" s="3">
        <v>200000</v>
      </c>
      <c r="D3014" s="3">
        <v>200000</v>
      </c>
      <c r="E3014" s="7">
        <v>0</v>
      </c>
      <c r="F3014" s="5">
        <v>45937</v>
      </c>
      <c r="G3014" s="4">
        <v>20251006</v>
      </c>
      <c r="H3014" s="38" t="s">
        <v>30</v>
      </c>
      <c r="I3014" s="34" t="s">
        <v>9</v>
      </c>
      <c r="J3014" s="38" t="s">
        <v>344</v>
      </c>
    </row>
    <row r="3015" spans="1:10">
      <c r="A3015" s="32">
        <v>336</v>
      </c>
      <c r="B3015" s="33">
        <v>4149</v>
      </c>
      <c r="C3015" s="3">
        <v>770000</v>
      </c>
      <c r="D3015" s="3">
        <v>770000</v>
      </c>
      <c r="E3015" s="7">
        <v>0</v>
      </c>
      <c r="F3015" s="5">
        <v>45937</v>
      </c>
      <c r="G3015" s="4">
        <v>20251006</v>
      </c>
      <c r="H3015" s="38" t="s">
        <v>30</v>
      </c>
      <c r="I3015" s="34" t="s">
        <v>9</v>
      </c>
      <c r="J3015" s="38" t="s">
        <v>507</v>
      </c>
    </row>
    <row r="3016" spans="1:10">
      <c r="A3016" s="32">
        <v>392</v>
      </c>
      <c r="B3016" s="33">
        <v>4890</v>
      </c>
      <c r="C3016" s="3">
        <v>300000</v>
      </c>
      <c r="D3016" s="3">
        <v>300000</v>
      </c>
      <c r="E3016" s="7">
        <v>0</v>
      </c>
      <c r="F3016" s="5">
        <v>45937</v>
      </c>
      <c r="G3016" s="4">
        <v>20251006</v>
      </c>
      <c r="H3016" s="38" t="s">
        <v>30</v>
      </c>
      <c r="I3016" s="34" t="s">
        <v>9</v>
      </c>
      <c r="J3016" s="38" t="s">
        <v>134</v>
      </c>
    </row>
    <row r="3017" spans="1:10">
      <c r="A3017" s="32">
        <v>457</v>
      </c>
      <c r="B3017" s="33">
        <v>9001</v>
      </c>
      <c r="C3017" s="3">
        <v>100000</v>
      </c>
      <c r="D3017" s="3">
        <v>100000</v>
      </c>
      <c r="E3017" s="7">
        <v>0</v>
      </c>
      <c r="F3017" s="5">
        <v>45937</v>
      </c>
      <c r="G3017" s="4">
        <v>20251006</v>
      </c>
      <c r="H3017" s="38" t="s">
        <v>30</v>
      </c>
      <c r="I3017" s="34" t="s">
        <v>9</v>
      </c>
      <c r="J3017" s="38" t="s">
        <v>166</v>
      </c>
    </row>
    <row r="3018" spans="1:10">
      <c r="A3018" s="32">
        <v>536</v>
      </c>
      <c r="B3018" s="33">
        <v>5362</v>
      </c>
      <c r="C3018" s="3">
        <v>250000</v>
      </c>
      <c r="D3018" s="3">
        <v>250000</v>
      </c>
      <c r="E3018" s="7">
        <v>0</v>
      </c>
      <c r="F3018" s="5">
        <v>45937</v>
      </c>
      <c r="G3018" s="4">
        <v>20251006</v>
      </c>
      <c r="H3018" s="38" t="s">
        <v>30</v>
      </c>
      <c r="I3018" s="34" t="s">
        <v>9</v>
      </c>
      <c r="J3018" s="38" t="s">
        <v>508</v>
      </c>
    </row>
    <row r="3019" spans="1:10">
      <c r="A3019" s="32">
        <v>567</v>
      </c>
      <c r="B3019" s="33">
        <v>2423</v>
      </c>
      <c r="C3019" s="3">
        <v>2990000</v>
      </c>
      <c r="D3019" s="3">
        <v>2990000</v>
      </c>
      <c r="E3019" s="7">
        <v>0</v>
      </c>
      <c r="F3019" s="5">
        <v>45937</v>
      </c>
      <c r="G3019" s="4">
        <v>20251006</v>
      </c>
      <c r="H3019" s="38" t="s">
        <v>30</v>
      </c>
      <c r="I3019" s="34" t="s">
        <v>9</v>
      </c>
      <c r="J3019" s="38" t="s">
        <v>342</v>
      </c>
    </row>
    <row r="3020" spans="1:10">
      <c r="A3020" s="32">
        <v>631</v>
      </c>
      <c r="B3020" s="33">
        <v>2616</v>
      </c>
      <c r="C3020" s="3">
        <v>180000</v>
      </c>
      <c r="D3020" s="29">
        <v>180000</v>
      </c>
      <c r="E3020" s="7">
        <v>0</v>
      </c>
      <c r="F3020" s="5">
        <v>45937</v>
      </c>
      <c r="G3020" s="4">
        <v>20251006</v>
      </c>
      <c r="H3020" s="38" t="s">
        <v>30</v>
      </c>
      <c r="I3020" s="34" t="s">
        <v>9</v>
      </c>
      <c r="J3020" s="38" t="s">
        <v>337</v>
      </c>
    </row>
    <row r="3021" spans="1:10">
      <c r="A3021" s="32">
        <v>966</v>
      </c>
      <c r="B3021" s="33">
        <v>9943</v>
      </c>
      <c r="C3021" s="3">
        <v>300000</v>
      </c>
      <c r="D3021" s="3">
        <v>300000</v>
      </c>
      <c r="E3021" s="7">
        <v>0</v>
      </c>
      <c r="F3021" s="5">
        <v>45937</v>
      </c>
      <c r="G3021" s="4">
        <v>20251006</v>
      </c>
      <c r="H3021" s="38" t="s">
        <v>30</v>
      </c>
      <c r="I3021" s="34" t="s">
        <v>9</v>
      </c>
      <c r="J3021" s="38" t="s">
        <v>40</v>
      </c>
    </row>
    <row r="3022" spans="1:10">
      <c r="A3022" s="32">
        <v>363</v>
      </c>
      <c r="B3022" s="33">
        <v>5168</v>
      </c>
      <c r="C3022" s="3">
        <v>2270000</v>
      </c>
      <c r="D3022" s="3">
        <v>2270000</v>
      </c>
      <c r="E3022" s="7">
        <v>0</v>
      </c>
      <c r="F3022" s="5">
        <v>45937</v>
      </c>
      <c r="G3022" s="4">
        <v>20251006</v>
      </c>
      <c r="H3022" s="38" t="s">
        <v>24</v>
      </c>
      <c r="I3022" s="34" t="s">
        <v>9</v>
      </c>
      <c r="J3022" s="38" t="s">
        <v>92</v>
      </c>
    </row>
    <row r="3023" spans="1:10">
      <c r="A3023" s="32">
        <v>24</v>
      </c>
      <c r="B3023" s="33">
        <v>5066</v>
      </c>
      <c r="C3023" s="3">
        <v>1712000</v>
      </c>
      <c r="D3023" s="3">
        <v>1712000</v>
      </c>
      <c r="E3023" s="7">
        <v>0</v>
      </c>
      <c r="F3023" s="5">
        <v>45937</v>
      </c>
      <c r="G3023" s="4">
        <v>20251006</v>
      </c>
      <c r="H3023" s="38" t="s">
        <v>24</v>
      </c>
      <c r="I3023" s="34" t="s">
        <v>9</v>
      </c>
      <c r="J3023" s="38" t="s">
        <v>509</v>
      </c>
    </row>
    <row r="3024" spans="1:10">
      <c r="A3024" s="32">
        <v>849</v>
      </c>
      <c r="B3024" s="33">
        <v>9725</v>
      </c>
      <c r="C3024" s="3">
        <v>1090000</v>
      </c>
      <c r="D3024" s="3">
        <v>1090000</v>
      </c>
      <c r="E3024" s="7">
        <v>0</v>
      </c>
      <c r="F3024" s="5">
        <v>45937</v>
      </c>
      <c r="G3024" s="4">
        <v>20251006</v>
      </c>
      <c r="H3024" s="38" t="s">
        <v>24</v>
      </c>
      <c r="I3024" s="34" t="s">
        <v>9</v>
      </c>
      <c r="J3024" s="38" t="s">
        <v>256</v>
      </c>
    </row>
    <row r="3025" spans="1:10">
      <c r="A3025" s="32">
        <v>167</v>
      </c>
      <c r="B3025" s="33">
        <v>5030</v>
      </c>
      <c r="C3025" s="3">
        <v>500000</v>
      </c>
      <c r="D3025" s="3">
        <v>500000</v>
      </c>
      <c r="E3025" s="7">
        <v>0</v>
      </c>
      <c r="F3025" s="5">
        <v>45937</v>
      </c>
      <c r="G3025" s="4">
        <v>20251006</v>
      </c>
      <c r="H3025" s="38" t="s">
        <v>24</v>
      </c>
      <c r="I3025" s="34" t="s">
        <v>9</v>
      </c>
      <c r="J3025" s="38" t="s">
        <v>330</v>
      </c>
    </row>
    <row r="3026" spans="1:10">
      <c r="A3026" s="32">
        <v>264</v>
      </c>
      <c r="B3026" s="33">
        <v>9906</v>
      </c>
      <c r="C3026" s="3">
        <v>340000</v>
      </c>
      <c r="D3026" s="3">
        <v>340000</v>
      </c>
      <c r="E3026" s="7">
        <v>0</v>
      </c>
      <c r="F3026" s="5">
        <v>45937</v>
      </c>
      <c r="G3026" s="4">
        <v>20251006</v>
      </c>
      <c r="H3026" s="38" t="s">
        <v>24</v>
      </c>
      <c r="I3026" s="34" t="s">
        <v>9</v>
      </c>
      <c r="J3026" s="38" t="s">
        <v>57</v>
      </c>
    </row>
    <row r="3027" spans="1:10">
      <c r="A3027" s="32">
        <v>849</v>
      </c>
      <c r="B3027" s="33">
        <v>9720</v>
      </c>
      <c r="C3027" s="3">
        <v>20000</v>
      </c>
      <c r="D3027" s="3">
        <v>20000</v>
      </c>
      <c r="E3027" s="7">
        <v>0</v>
      </c>
      <c r="F3027" s="5">
        <v>45937</v>
      </c>
      <c r="G3027" s="4">
        <v>20251006</v>
      </c>
      <c r="H3027" s="38" t="s">
        <v>30</v>
      </c>
      <c r="I3027" s="34" t="s">
        <v>10</v>
      </c>
      <c r="J3027" s="38" t="s">
        <v>146</v>
      </c>
    </row>
    <row r="3028" spans="1:10">
      <c r="A3028" s="32">
        <v>229</v>
      </c>
      <c r="B3028" s="33">
        <v>9604</v>
      </c>
      <c r="C3028" s="3">
        <v>2600000</v>
      </c>
      <c r="D3028" s="3">
        <v>2600000</v>
      </c>
      <c r="E3028" s="7">
        <v>0</v>
      </c>
      <c r="F3028" s="5">
        <v>45938</v>
      </c>
      <c r="G3028" s="4">
        <v>20251007</v>
      </c>
      <c r="H3028" s="38" t="s">
        <v>24</v>
      </c>
      <c r="I3028" s="34" t="s">
        <v>9</v>
      </c>
      <c r="J3028" s="38" t="s">
        <v>384</v>
      </c>
    </row>
    <row r="3029" spans="1:10">
      <c r="A3029" s="32">
        <v>395</v>
      </c>
      <c r="B3029" s="33">
        <v>1529</v>
      </c>
      <c r="C3029" s="3">
        <v>1730000</v>
      </c>
      <c r="D3029" s="3">
        <v>1730000</v>
      </c>
      <c r="E3029" s="7">
        <v>0</v>
      </c>
      <c r="F3029" s="5">
        <v>45938</v>
      </c>
      <c r="G3029" s="4">
        <v>20251007</v>
      </c>
      <c r="H3029" s="38" t="s">
        <v>24</v>
      </c>
      <c r="I3029" s="34" t="s">
        <v>9</v>
      </c>
      <c r="J3029" s="38" t="s">
        <v>318</v>
      </c>
    </row>
    <row r="3030" spans="1:10">
      <c r="A3030" s="32">
        <v>61</v>
      </c>
      <c r="B3030" s="33">
        <v>788</v>
      </c>
      <c r="C3030" s="3">
        <v>1330000</v>
      </c>
      <c r="D3030" s="3">
        <v>1330000</v>
      </c>
      <c r="E3030" s="7">
        <v>0</v>
      </c>
      <c r="F3030" s="5">
        <v>45938</v>
      </c>
      <c r="G3030" s="4">
        <v>20251007</v>
      </c>
      <c r="H3030" s="38" t="s">
        <v>24</v>
      </c>
      <c r="I3030" s="34" t="s">
        <v>9</v>
      </c>
      <c r="J3030" s="38" t="s">
        <v>25</v>
      </c>
    </row>
    <row r="3031" spans="1:10">
      <c r="A3031" s="32">
        <v>363</v>
      </c>
      <c r="B3031" s="33">
        <v>5168</v>
      </c>
      <c r="C3031" s="3">
        <v>1170000</v>
      </c>
      <c r="D3031" s="3">
        <v>1170000</v>
      </c>
      <c r="E3031" s="7">
        <v>0</v>
      </c>
      <c r="F3031" s="5">
        <v>45938</v>
      </c>
      <c r="G3031" s="4">
        <v>20251007</v>
      </c>
      <c r="H3031" s="38" t="s">
        <v>24</v>
      </c>
      <c r="I3031" s="34" t="s">
        <v>9</v>
      </c>
      <c r="J3031" s="38" t="s">
        <v>92</v>
      </c>
    </row>
    <row r="3032" spans="1:10">
      <c r="A3032" s="32">
        <v>849</v>
      </c>
      <c r="B3032" s="33">
        <v>9725</v>
      </c>
      <c r="C3032" s="3">
        <v>800000</v>
      </c>
      <c r="D3032" s="3">
        <v>800000</v>
      </c>
      <c r="E3032" s="7">
        <v>0</v>
      </c>
      <c r="F3032" s="5">
        <v>45938</v>
      </c>
      <c r="G3032" s="4">
        <v>20251007</v>
      </c>
      <c r="H3032" s="38" t="s">
        <v>24</v>
      </c>
      <c r="I3032" s="34" t="s">
        <v>9</v>
      </c>
      <c r="J3032" s="38" t="s">
        <v>256</v>
      </c>
    </row>
    <row r="3033" spans="1:10">
      <c r="A3033" s="32">
        <v>197</v>
      </c>
      <c r="B3033" s="33">
        <v>5084</v>
      </c>
      <c r="C3033" s="3">
        <v>70000</v>
      </c>
      <c r="D3033" s="3">
        <v>70000</v>
      </c>
      <c r="E3033" s="7">
        <v>0</v>
      </c>
      <c r="F3033" s="5">
        <v>45938</v>
      </c>
      <c r="G3033" s="4">
        <v>20251007</v>
      </c>
      <c r="H3033" s="38" t="s">
        <v>24</v>
      </c>
      <c r="I3033" s="34" t="s">
        <v>9</v>
      </c>
      <c r="J3033" s="38" t="s">
        <v>185</v>
      </c>
    </row>
    <row r="3034" spans="1:10">
      <c r="A3034" s="32">
        <v>186</v>
      </c>
      <c r="B3034" s="33">
        <v>6514</v>
      </c>
      <c r="C3034" s="3">
        <v>100000</v>
      </c>
      <c r="D3034" s="3">
        <v>100000</v>
      </c>
      <c r="E3034" s="7">
        <v>0</v>
      </c>
      <c r="F3034" s="5">
        <v>45938</v>
      </c>
      <c r="G3034" s="4">
        <v>20251007</v>
      </c>
      <c r="H3034" s="38" t="s">
        <v>30</v>
      </c>
      <c r="I3034" s="34" t="s">
        <v>9</v>
      </c>
      <c r="J3034" s="38" t="s">
        <v>139</v>
      </c>
    </row>
    <row r="3035" spans="1:10">
      <c r="A3035" s="32">
        <v>413</v>
      </c>
      <c r="B3035" s="33">
        <v>4133</v>
      </c>
      <c r="C3035" s="3">
        <v>120000</v>
      </c>
      <c r="D3035" s="3">
        <v>120000</v>
      </c>
      <c r="E3035" s="7">
        <v>0</v>
      </c>
      <c r="F3035" s="5">
        <v>45938</v>
      </c>
      <c r="G3035" s="4">
        <v>20251007</v>
      </c>
      <c r="H3035" s="38" t="s">
        <v>30</v>
      </c>
      <c r="I3035" s="34" t="s">
        <v>9</v>
      </c>
      <c r="J3035" s="38" t="s">
        <v>408</v>
      </c>
    </row>
    <row r="3036" spans="1:10">
      <c r="A3036" s="32">
        <v>512</v>
      </c>
      <c r="B3036" s="33">
        <v>4718</v>
      </c>
      <c r="C3036" s="3">
        <v>900000</v>
      </c>
      <c r="D3036" s="3">
        <v>900000</v>
      </c>
      <c r="E3036" s="7">
        <v>0</v>
      </c>
      <c r="F3036" s="5">
        <v>45938</v>
      </c>
      <c r="G3036" s="4">
        <v>20251007</v>
      </c>
      <c r="H3036" s="38" t="s">
        <v>30</v>
      </c>
      <c r="I3036" s="34" t="s">
        <v>9</v>
      </c>
      <c r="J3036" s="38" t="s">
        <v>234</v>
      </c>
    </row>
    <row r="3037" spans="1:10">
      <c r="A3037" s="32">
        <v>631</v>
      </c>
      <c r="B3037" s="33">
        <v>2616</v>
      </c>
      <c r="C3037" s="3">
        <v>5850000</v>
      </c>
      <c r="D3037" s="29">
        <v>5850000</v>
      </c>
      <c r="E3037" s="7">
        <v>0</v>
      </c>
      <c r="F3037" s="5">
        <v>45938</v>
      </c>
      <c r="G3037" s="4">
        <v>20251007</v>
      </c>
      <c r="H3037" s="38" t="s">
        <v>30</v>
      </c>
      <c r="I3037" s="34" t="s">
        <v>9</v>
      </c>
      <c r="J3037" s="38" t="s">
        <v>337</v>
      </c>
    </row>
    <row r="3038" spans="1:10">
      <c r="A3038" s="32">
        <v>631</v>
      </c>
      <c r="B3038" s="33">
        <v>2795</v>
      </c>
      <c r="C3038" s="3">
        <v>2500000</v>
      </c>
      <c r="D3038" s="3">
        <v>2500000</v>
      </c>
      <c r="E3038" s="7">
        <v>0</v>
      </c>
      <c r="F3038" s="5">
        <v>45938</v>
      </c>
      <c r="G3038" s="4">
        <v>20251007</v>
      </c>
      <c r="H3038" s="38" t="s">
        <v>30</v>
      </c>
      <c r="I3038" s="34" t="s">
        <v>9</v>
      </c>
      <c r="J3038" s="38" t="s">
        <v>98</v>
      </c>
    </row>
    <row r="3039" spans="1:10">
      <c r="A3039" s="32">
        <v>52</v>
      </c>
      <c r="B3039" s="33">
        <v>520</v>
      </c>
      <c r="C3039" s="3">
        <v>4060000</v>
      </c>
      <c r="D3039" s="3">
        <v>4060000</v>
      </c>
      <c r="E3039" s="7">
        <v>0</v>
      </c>
      <c r="F3039" s="5">
        <v>45938</v>
      </c>
      <c r="G3039" s="4">
        <v>20251007</v>
      </c>
      <c r="H3039" s="38" t="s">
        <v>30</v>
      </c>
      <c r="I3039" s="34"/>
      <c r="J3039" s="38" t="s">
        <v>510</v>
      </c>
    </row>
    <row r="3040" spans="1:10">
      <c r="A3040" s="32">
        <v>638</v>
      </c>
      <c r="B3040" s="33">
        <v>4486</v>
      </c>
      <c r="C3040" s="3">
        <v>3960000</v>
      </c>
      <c r="D3040" s="3">
        <v>3960000</v>
      </c>
      <c r="E3040" s="7">
        <v>0</v>
      </c>
      <c r="F3040" s="5">
        <v>45938</v>
      </c>
      <c r="G3040" s="4">
        <v>20251007</v>
      </c>
      <c r="H3040" s="38" t="s">
        <v>30</v>
      </c>
      <c r="I3040" s="34"/>
      <c r="J3040" s="38" t="s">
        <v>116</v>
      </c>
    </row>
    <row r="3041" spans="1:10">
      <c r="A3041" s="32">
        <v>914</v>
      </c>
      <c r="B3041" s="33">
        <v>9140</v>
      </c>
      <c r="C3041" s="3">
        <v>50000</v>
      </c>
      <c r="D3041" s="3">
        <v>50000</v>
      </c>
      <c r="E3041" s="7">
        <v>0</v>
      </c>
      <c r="F3041" s="5">
        <v>45938</v>
      </c>
      <c r="G3041" s="4">
        <v>20251007</v>
      </c>
      <c r="H3041" s="38" t="s">
        <v>30</v>
      </c>
      <c r="I3041" s="34"/>
      <c r="J3041" s="38" t="s">
        <v>511</v>
      </c>
    </row>
    <row r="3042" spans="1:10">
      <c r="A3042" s="32">
        <v>631</v>
      </c>
      <c r="B3042" s="33">
        <v>2795</v>
      </c>
      <c r="C3042" s="3">
        <v>150000</v>
      </c>
      <c r="D3042" s="3">
        <v>150000</v>
      </c>
      <c r="E3042" s="7">
        <v>0</v>
      </c>
      <c r="F3042" s="5">
        <v>45939</v>
      </c>
      <c r="G3042" s="4">
        <v>20251008</v>
      </c>
      <c r="H3042" s="38" t="s">
        <v>30</v>
      </c>
      <c r="I3042" s="34" t="s">
        <v>9</v>
      </c>
      <c r="J3042" s="38" t="s">
        <v>98</v>
      </c>
    </row>
    <row r="3043" spans="1:10">
      <c r="A3043" s="32">
        <v>688</v>
      </c>
      <c r="B3043" s="33">
        <v>4843</v>
      </c>
      <c r="C3043" s="3">
        <v>600000</v>
      </c>
      <c r="D3043" s="3">
        <v>600000</v>
      </c>
      <c r="E3043" s="7">
        <v>0</v>
      </c>
      <c r="F3043" s="5">
        <v>45939</v>
      </c>
      <c r="G3043" s="4">
        <v>20251008</v>
      </c>
      <c r="H3043" s="38" t="s">
        <v>30</v>
      </c>
      <c r="I3043" s="34" t="s">
        <v>9</v>
      </c>
      <c r="J3043" s="38" t="s">
        <v>157</v>
      </c>
    </row>
    <row r="3044" spans="1:10">
      <c r="A3044" s="32">
        <v>845</v>
      </c>
      <c r="B3044" s="33">
        <v>4007</v>
      </c>
      <c r="C3044" s="3">
        <v>1620000</v>
      </c>
      <c r="D3044" s="3">
        <v>1620000</v>
      </c>
      <c r="E3044" s="7">
        <v>0</v>
      </c>
      <c r="F3044" s="5">
        <v>45939</v>
      </c>
      <c r="G3044" s="4">
        <v>20251008</v>
      </c>
      <c r="H3044" s="38" t="s">
        <v>30</v>
      </c>
      <c r="I3044" s="34" t="s">
        <v>9</v>
      </c>
      <c r="J3044" s="38" t="s">
        <v>363</v>
      </c>
    </row>
    <row r="3045" spans="1:10">
      <c r="A3045" s="32">
        <v>946</v>
      </c>
      <c r="B3045" s="33">
        <v>5225</v>
      </c>
      <c r="C3045" s="3">
        <v>2790000</v>
      </c>
      <c r="D3045" s="3">
        <v>2790000</v>
      </c>
      <c r="E3045" s="7">
        <v>0</v>
      </c>
      <c r="F3045" s="5">
        <v>45939</v>
      </c>
      <c r="G3045" s="4">
        <v>20251008</v>
      </c>
      <c r="H3045" s="38" t="s">
        <v>24</v>
      </c>
      <c r="I3045" s="34" t="s">
        <v>9</v>
      </c>
      <c r="J3045" s="38" t="s">
        <v>459</v>
      </c>
    </row>
    <row r="3046" spans="1:10">
      <c r="A3046" s="32">
        <v>718</v>
      </c>
      <c r="B3046" s="33">
        <v>6248</v>
      </c>
      <c r="C3046" s="3">
        <v>94291000</v>
      </c>
      <c r="D3046" s="3">
        <v>94291000</v>
      </c>
      <c r="E3046" s="7">
        <v>0</v>
      </c>
      <c r="F3046" s="5">
        <v>45940</v>
      </c>
      <c r="G3046" s="4">
        <v>20251009</v>
      </c>
      <c r="H3046" s="38" t="s">
        <v>24</v>
      </c>
      <c r="I3046" s="34"/>
      <c r="J3046" s="38" t="s">
        <v>512</v>
      </c>
    </row>
    <row r="3047" spans="1:10">
      <c r="A3047" s="32">
        <v>709</v>
      </c>
      <c r="B3047" s="33">
        <v>3426</v>
      </c>
      <c r="C3047" s="3">
        <v>10000</v>
      </c>
      <c r="D3047" s="3">
        <v>10000</v>
      </c>
      <c r="E3047" s="7">
        <v>0</v>
      </c>
      <c r="F3047" s="5">
        <v>45940</v>
      </c>
      <c r="G3047" s="4">
        <v>20251009</v>
      </c>
      <c r="H3047" s="38" t="s">
        <v>30</v>
      </c>
      <c r="I3047" s="34" t="s">
        <v>10</v>
      </c>
      <c r="J3047" s="38" t="s">
        <v>417</v>
      </c>
    </row>
    <row r="3048" spans="1:10">
      <c r="A3048" s="32">
        <v>193</v>
      </c>
      <c r="B3048" s="33">
        <v>8532</v>
      </c>
      <c r="C3048" s="3">
        <v>2460000</v>
      </c>
      <c r="D3048" s="3">
        <v>2460000</v>
      </c>
      <c r="E3048" s="7">
        <v>0</v>
      </c>
      <c r="F3048" s="5">
        <v>45940</v>
      </c>
      <c r="G3048" s="4">
        <v>20251009</v>
      </c>
      <c r="H3048" s="38" t="s">
        <v>30</v>
      </c>
      <c r="I3048" s="34"/>
      <c r="J3048" s="38" t="s">
        <v>513</v>
      </c>
    </row>
    <row r="3049" spans="1:10">
      <c r="A3049" s="32">
        <v>289</v>
      </c>
      <c r="B3049" s="33">
        <v>3176</v>
      </c>
      <c r="C3049" s="3">
        <v>230000</v>
      </c>
      <c r="D3049" s="3">
        <v>230000</v>
      </c>
      <c r="E3049" s="7">
        <v>0</v>
      </c>
      <c r="F3049" s="5">
        <v>45940</v>
      </c>
      <c r="G3049" s="4">
        <v>20251009</v>
      </c>
      <c r="H3049" s="38" t="s">
        <v>30</v>
      </c>
      <c r="I3049" s="34" t="s">
        <v>9</v>
      </c>
      <c r="J3049" s="38" t="s">
        <v>514</v>
      </c>
    </row>
    <row r="3050" spans="1:10">
      <c r="A3050" s="32">
        <v>289</v>
      </c>
      <c r="B3050" s="33">
        <v>3177</v>
      </c>
      <c r="C3050" s="3">
        <v>550000</v>
      </c>
      <c r="D3050" s="3">
        <v>550000</v>
      </c>
      <c r="E3050" s="7">
        <v>0</v>
      </c>
      <c r="F3050" s="5">
        <v>45940</v>
      </c>
      <c r="G3050" s="4">
        <v>20251009</v>
      </c>
      <c r="H3050" s="38" t="s">
        <v>30</v>
      </c>
      <c r="I3050" s="34" t="s">
        <v>9</v>
      </c>
      <c r="J3050" s="38" t="s">
        <v>515</v>
      </c>
    </row>
    <row r="3051" spans="1:10">
      <c r="A3051" s="32">
        <v>336</v>
      </c>
      <c r="B3051" s="33">
        <v>4149</v>
      </c>
      <c r="C3051" s="3">
        <v>1600000</v>
      </c>
      <c r="D3051" s="3">
        <v>1600000</v>
      </c>
      <c r="E3051" s="7">
        <v>0</v>
      </c>
      <c r="F3051" s="5">
        <v>45940</v>
      </c>
      <c r="G3051" s="4">
        <v>20251009</v>
      </c>
      <c r="H3051" s="38" t="s">
        <v>30</v>
      </c>
      <c r="I3051" s="34" t="s">
        <v>9</v>
      </c>
      <c r="J3051" s="38" t="s">
        <v>507</v>
      </c>
    </row>
    <row r="3052" spans="1:10">
      <c r="A3052" s="32">
        <v>728</v>
      </c>
      <c r="B3052" s="33">
        <v>8584</v>
      </c>
      <c r="C3052" s="3">
        <v>480000</v>
      </c>
      <c r="D3052" s="3">
        <v>480000</v>
      </c>
      <c r="E3052" s="7">
        <v>0</v>
      </c>
      <c r="F3052" s="5">
        <v>45940</v>
      </c>
      <c r="G3052" s="4">
        <v>20251009</v>
      </c>
      <c r="H3052" s="38" t="s">
        <v>30</v>
      </c>
      <c r="I3052" s="34" t="s">
        <v>9</v>
      </c>
      <c r="J3052" s="38" t="s">
        <v>516</v>
      </c>
    </row>
    <row r="3053" spans="1:10">
      <c r="A3053" s="32">
        <v>728</v>
      </c>
      <c r="B3053" s="33">
        <v>8585</v>
      </c>
      <c r="C3053" s="3">
        <v>800000</v>
      </c>
      <c r="D3053" s="3">
        <v>800000</v>
      </c>
      <c r="E3053" s="7">
        <v>0</v>
      </c>
      <c r="F3053" s="5">
        <v>45940</v>
      </c>
      <c r="G3053" s="4">
        <v>20251009</v>
      </c>
      <c r="H3053" s="38" t="s">
        <v>30</v>
      </c>
      <c r="I3053" s="34" t="s">
        <v>9</v>
      </c>
      <c r="J3053" s="38" t="s">
        <v>517</v>
      </c>
    </row>
    <row r="3054" spans="1:10">
      <c r="A3054" s="32">
        <v>541</v>
      </c>
      <c r="B3054" s="33">
        <v>8650</v>
      </c>
      <c r="C3054" s="3">
        <v>800000</v>
      </c>
      <c r="D3054" s="3">
        <v>800000</v>
      </c>
      <c r="E3054" s="7">
        <v>0</v>
      </c>
      <c r="F3054" s="5">
        <v>45940</v>
      </c>
      <c r="G3054" s="4">
        <v>20251009</v>
      </c>
      <c r="H3054" s="38" t="s">
        <v>30</v>
      </c>
      <c r="I3054" s="34" t="s">
        <v>9</v>
      </c>
      <c r="J3054" s="38" t="s">
        <v>518</v>
      </c>
    </row>
    <row r="3055" spans="1:10">
      <c r="A3055" s="32">
        <v>38</v>
      </c>
      <c r="B3055" s="33">
        <v>6553</v>
      </c>
      <c r="C3055" s="3">
        <v>200000</v>
      </c>
      <c r="D3055" s="3">
        <v>200000</v>
      </c>
      <c r="E3055" s="7">
        <v>0</v>
      </c>
      <c r="F3055" s="5">
        <v>45944</v>
      </c>
      <c r="G3055" s="4">
        <v>20251013</v>
      </c>
      <c r="H3055" s="38" t="s">
        <v>30</v>
      </c>
      <c r="I3055" s="34" t="s">
        <v>9</v>
      </c>
      <c r="J3055" s="38" t="s">
        <v>216</v>
      </c>
    </row>
    <row r="3056" spans="1:10">
      <c r="A3056" s="32">
        <v>595</v>
      </c>
      <c r="B3056" s="33">
        <v>5928</v>
      </c>
      <c r="C3056" s="3">
        <v>660000</v>
      </c>
      <c r="D3056" s="3">
        <v>660000</v>
      </c>
      <c r="E3056" s="7">
        <v>0</v>
      </c>
      <c r="F3056" s="5">
        <v>45944</v>
      </c>
      <c r="G3056" s="4">
        <v>20251013</v>
      </c>
      <c r="H3056" s="38" t="s">
        <v>30</v>
      </c>
      <c r="I3056" s="34" t="s">
        <v>9</v>
      </c>
      <c r="J3056" s="38" t="s">
        <v>235</v>
      </c>
    </row>
    <row r="3057" spans="1:10">
      <c r="A3057" s="32">
        <v>690</v>
      </c>
      <c r="B3057" s="33">
        <v>944</v>
      </c>
      <c r="C3057" s="3">
        <v>6000000</v>
      </c>
      <c r="D3057" s="3">
        <v>6000000</v>
      </c>
      <c r="E3057" s="7">
        <v>0</v>
      </c>
      <c r="F3057" s="5">
        <v>45944</v>
      </c>
      <c r="G3057" s="4">
        <v>20251013</v>
      </c>
      <c r="H3057" s="38" t="s">
        <v>30</v>
      </c>
      <c r="I3057" s="34" t="s">
        <v>9</v>
      </c>
      <c r="J3057" s="38" t="s">
        <v>519</v>
      </c>
    </row>
    <row r="3058" spans="1:10">
      <c r="A3058" s="32">
        <v>709</v>
      </c>
      <c r="B3058" s="33">
        <v>3426</v>
      </c>
      <c r="C3058" s="3">
        <v>100000</v>
      </c>
      <c r="D3058" s="3">
        <v>100000</v>
      </c>
      <c r="E3058" s="7">
        <v>0</v>
      </c>
      <c r="F3058" s="5">
        <v>45944</v>
      </c>
      <c r="G3058" s="4">
        <v>20251013</v>
      </c>
      <c r="H3058" s="38" t="s">
        <v>30</v>
      </c>
      <c r="I3058" s="34" t="s">
        <v>9</v>
      </c>
      <c r="J3058" s="38" t="s">
        <v>417</v>
      </c>
    </row>
    <row r="3059" spans="1:10">
      <c r="A3059" s="32">
        <v>795</v>
      </c>
      <c r="B3059" s="33">
        <v>1028</v>
      </c>
      <c r="C3059" s="3">
        <v>3250000</v>
      </c>
      <c r="D3059" s="3">
        <v>3250000</v>
      </c>
      <c r="E3059" s="7">
        <v>0</v>
      </c>
      <c r="F3059" s="5">
        <v>45902</v>
      </c>
      <c r="G3059" s="4">
        <v>20250901</v>
      </c>
      <c r="H3059" s="38" t="s">
        <v>24</v>
      </c>
      <c r="I3059" s="34"/>
      <c r="J3059" s="38" t="s">
        <v>305</v>
      </c>
    </row>
    <row r="3060" spans="1:10">
      <c r="A3060" s="32">
        <v>840</v>
      </c>
      <c r="B3060" s="33">
        <v>4248</v>
      </c>
      <c r="C3060" s="3">
        <v>100000</v>
      </c>
      <c r="D3060" s="3">
        <v>100000</v>
      </c>
      <c r="E3060" s="7">
        <v>0</v>
      </c>
      <c r="F3060" s="5">
        <v>45905</v>
      </c>
      <c r="G3060" s="4">
        <v>20250904</v>
      </c>
      <c r="H3060" s="38" t="s">
        <v>30</v>
      </c>
      <c r="I3060" s="34" t="s">
        <v>9</v>
      </c>
      <c r="J3060" s="38" t="s">
        <v>286</v>
      </c>
    </row>
    <row r="3061" spans="1:10">
      <c r="A3061" s="32">
        <v>840</v>
      </c>
      <c r="B3061" s="33">
        <v>4248</v>
      </c>
      <c r="C3061" s="3">
        <v>10000</v>
      </c>
      <c r="D3061" s="3">
        <v>10000</v>
      </c>
      <c r="E3061" s="7">
        <v>0</v>
      </c>
      <c r="F3061" s="5">
        <v>45910</v>
      </c>
      <c r="G3061" s="4">
        <v>20250909</v>
      </c>
      <c r="H3061" s="38" t="s">
        <v>30</v>
      </c>
      <c r="I3061" s="34" t="s">
        <v>10</v>
      </c>
      <c r="J3061" s="38" t="s">
        <v>286</v>
      </c>
    </row>
    <row r="3062" spans="1:10">
      <c r="A3062" s="32">
        <v>840</v>
      </c>
      <c r="B3062" s="33">
        <v>4248</v>
      </c>
      <c r="C3062" s="3">
        <v>90000</v>
      </c>
      <c r="D3062" s="3">
        <v>90000</v>
      </c>
      <c r="E3062" s="7">
        <v>0</v>
      </c>
      <c r="F3062" s="5">
        <v>45911</v>
      </c>
      <c r="G3062" s="4">
        <v>20250910</v>
      </c>
      <c r="H3062" s="38" t="s">
        <v>30</v>
      </c>
      <c r="I3062" s="34" t="s">
        <v>9</v>
      </c>
      <c r="J3062" s="38" t="s">
        <v>286</v>
      </c>
    </row>
    <row r="3063" spans="1:10">
      <c r="A3063" s="32">
        <v>847</v>
      </c>
      <c r="B3063" s="33">
        <v>4386</v>
      </c>
      <c r="C3063" s="3">
        <v>10000</v>
      </c>
      <c r="D3063" s="3">
        <v>10000</v>
      </c>
      <c r="E3063" s="7">
        <v>0</v>
      </c>
      <c r="F3063" s="5">
        <v>45916</v>
      </c>
      <c r="G3063" s="4">
        <v>20250915</v>
      </c>
      <c r="H3063" s="38" t="s">
        <v>30</v>
      </c>
      <c r="I3063" s="34" t="s">
        <v>10</v>
      </c>
      <c r="J3063" s="38" t="s">
        <v>520</v>
      </c>
    </row>
    <row r="3064" spans="1:10">
      <c r="A3064" s="32">
        <v>687</v>
      </c>
      <c r="B3064" s="33">
        <v>6363</v>
      </c>
      <c r="C3064" s="3">
        <v>10000</v>
      </c>
      <c r="D3064" s="3">
        <v>10000</v>
      </c>
      <c r="E3064" s="7">
        <v>0</v>
      </c>
      <c r="F3064" s="5">
        <v>45916</v>
      </c>
      <c r="G3064" s="4">
        <v>20250915</v>
      </c>
      <c r="H3064" s="38" t="s">
        <v>30</v>
      </c>
      <c r="I3064" s="34" t="s">
        <v>10</v>
      </c>
      <c r="J3064" s="38" t="s">
        <v>521</v>
      </c>
    </row>
    <row r="3065" spans="1:10">
      <c r="A3065" s="32">
        <v>395</v>
      </c>
      <c r="B3065" s="33">
        <v>1528</v>
      </c>
      <c r="C3065" s="3">
        <v>6100000</v>
      </c>
      <c r="D3065" s="3">
        <v>6100000</v>
      </c>
      <c r="E3065" s="7">
        <v>0</v>
      </c>
      <c r="F3065" s="5">
        <v>45917</v>
      </c>
      <c r="G3065" s="4">
        <v>20250916</v>
      </c>
      <c r="H3065" s="38" t="s">
        <v>24</v>
      </c>
      <c r="I3065" s="34"/>
      <c r="J3065" s="38" t="s">
        <v>211</v>
      </c>
    </row>
    <row r="3066" spans="1:10">
      <c r="A3066" s="32">
        <v>395</v>
      </c>
      <c r="B3066" s="33">
        <v>1528</v>
      </c>
      <c r="C3066" s="3">
        <v>300000</v>
      </c>
      <c r="D3066" s="3">
        <v>300000</v>
      </c>
      <c r="E3066" s="7">
        <v>0</v>
      </c>
      <c r="F3066" s="5">
        <v>45918</v>
      </c>
      <c r="G3066" s="4">
        <v>20250917</v>
      </c>
      <c r="H3066" s="38" t="s">
        <v>24</v>
      </c>
      <c r="I3066" s="34"/>
      <c r="J3066" s="38" t="s">
        <v>211</v>
      </c>
    </row>
    <row r="3067" spans="1:10">
      <c r="A3067" s="32">
        <v>4</v>
      </c>
      <c r="B3067" s="33">
        <v>8631</v>
      </c>
      <c r="C3067" s="3">
        <v>2531400</v>
      </c>
      <c r="D3067" s="3">
        <v>2531400</v>
      </c>
      <c r="E3067" s="7">
        <v>0</v>
      </c>
      <c r="F3067" s="5">
        <v>45918</v>
      </c>
      <c r="G3067" s="4">
        <v>20250917</v>
      </c>
      <c r="H3067" s="38" t="s">
        <v>24</v>
      </c>
      <c r="I3067" s="34" t="s">
        <v>9</v>
      </c>
      <c r="J3067" s="38" t="s">
        <v>329</v>
      </c>
    </row>
    <row r="3068" spans="1:10">
      <c r="A3068" s="32">
        <v>395</v>
      </c>
      <c r="B3068" s="33">
        <v>1528</v>
      </c>
      <c r="C3068" s="3">
        <v>3620000</v>
      </c>
      <c r="D3068" s="3">
        <v>3620000</v>
      </c>
      <c r="E3068" s="7">
        <v>0</v>
      </c>
      <c r="F3068" s="5">
        <v>45919</v>
      </c>
      <c r="G3068" s="4">
        <v>20250918</v>
      </c>
      <c r="H3068" s="38" t="s">
        <v>24</v>
      </c>
      <c r="I3068" s="34" t="s">
        <v>9</v>
      </c>
      <c r="J3068" s="38" t="s">
        <v>211</v>
      </c>
    </row>
    <row r="3069" spans="1:10">
      <c r="A3069" s="32">
        <v>4</v>
      </c>
      <c r="B3069" s="33">
        <v>8631</v>
      </c>
      <c r="C3069" s="3">
        <v>1740000</v>
      </c>
      <c r="D3069" s="3">
        <v>1740000</v>
      </c>
      <c r="E3069" s="7">
        <v>0</v>
      </c>
      <c r="F3069" s="5">
        <v>45919</v>
      </c>
      <c r="G3069" s="4">
        <v>20250918</v>
      </c>
      <c r="H3069" s="38" t="s">
        <v>24</v>
      </c>
      <c r="I3069" s="34" t="s">
        <v>9</v>
      </c>
      <c r="J3069" s="38" t="s">
        <v>329</v>
      </c>
    </row>
    <row r="3070" spans="1:10">
      <c r="A3070" s="32">
        <v>551</v>
      </c>
      <c r="B3070" s="33">
        <v>9644</v>
      </c>
      <c r="C3070" s="3">
        <v>140000</v>
      </c>
      <c r="D3070" s="3">
        <v>140000</v>
      </c>
      <c r="E3070" s="7">
        <v>0</v>
      </c>
      <c r="F3070" s="5">
        <v>45919</v>
      </c>
      <c r="G3070" s="4">
        <v>20250918</v>
      </c>
      <c r="H3070" s="38" t="s">
        <v>24</v>
      </c>
      <c r="I3070" s="34" t="s">
        <v>9</v>
      </c>
      <c r="J3070" s="38" t="s">
        <v>255</v>
      </c>
    </row>
    <row r="3071" spans="1:10">
      <c r="A3071" s="32">
        <v>741</v>
      </c>
      <c r="B3071" s="33">
        <v>6842</v>
      </c>
      <c r="C3071" s="3">
        <v>170000</v>
      </c>
      <c r="D3071" s="3">
        <v>170000</v>
      </c>
      <c r="E3071" s="7">
        <v>0</v>
      </c>
      <c r="F3071" s="5">
        <v>45919</v>
      </c>
      <c r="G3071" s="4">
        <v>20250918</v>
      </c>
      <c r="H3071" s="38" t="s">
        <v>30</v>
      </c>
      <c r="I3071" s="34" t="s">
        <v>9</v>
      </c>
      <c r="J3071" s="38" t="s">
        <v>147</v>
      </c>
    </row>
    <row r="3072" spans="1:10">
      <c r="A3072" s="32">
        <v>840</v>
      </c>
      <c r="B3072" s="33">
        <v>4248</v>
      </c>
      <c r="C3072" s="3">
        <v>200000</v>
      </c>
      <c r="D3072" s="3">
        <v>200000</v>
      </c>
      <c r="E3072" s="7">
        <v>0</v>
      </c>
      <c r="F3072" s="5">
        <v>45919</v>
      </c>
      <c r="G3072" s="4">
        <v>20250918</v>
      </c>
      <c r="H3072" s="38" t="s">
        <v>30</v>
      </c>
      <c r="I3072" s="34" t="s">
        <v>9</v>
      </c>
      <c r="J3072" s="38" t="s">
        <v>286</v>
      </c>
    </row>
    <row r="3073" spans="1:10">
      <c r="A3073" s="32">
        <v>795</v>
      </c>
      <c r="B3073" s="33">
        <v>1027</v>
      </c>
      <c r="C3073" s="3">
        <v>2770000</v>
      </c>
      <c r="D3073" s="3">
        <v>2770000</v>
      </c>
      <c r="E3073" s="7">
        <v>0</v>
      </c>
      <c r="F3073" s="5">
        <v>45922</v>
      </c>
      <c r="G3073" s="4">
        <v>20250921</v>
      </c>
      <c r="H3073" s="38" t="s">
        <v>24</v>
      </c>
      <c r="I3073" s="34" t="s">
        <v>9</v>
      </c>
      <c r="J3073" s="38" t="s">
        <v>276</v>
      </c>
    </row>
    <row r="3074" spans="1:10">
      <c r="A3074" s="32">
        <v>692</v>
      </c>
      <c r="B3074" s="33">
        <v>1515</v>
      </c>
      <c r="C3074" s="3">
        <v>1070050</v>
      </c>
      <c r="D3074" s="3">
        <v>1070050</v>
      </c>
      <c r="E3074" s="7">
        <v>0</v>
      </c>
      <c r="F3074" s="5">
        <v>45923</v>
      </c>
      <c r="G3074" s="4">
        <v>20250922</v>
      </c>
      <c r="H3074" s="38" t="s">
        <v>24</v>
      </c>
      <c r="I3074" s="34" t="s">
        <v>9</v>
      </c>
      <c r="J3074" s="38" t="s">
        <v>108</v>
      </c>
    </row>
    <row r="3075" spans="1:10">
      <c r="A3075" s="32">
        <v>250</v>
      </c>
      <c r="B3075" s="33">
        <v>5197</v>
      </c>
      <c r="C3075" s="3">
        <v>2510000</v>
      </c>
      <c r="D3075" s="3">
        <v>2510000</v>
      </c>
      <c r="E3075" s="7">
        <v>0</v>
      </c>
      <c r="F3075" s="5">
        <v>45924</v>
      </c>
      <c r="G3075" s="4">
        <v>20250923</v>
      </c>
      <c r="H3075" s="38" t="s">
        <v>24</v>
      </c>
      <c r="I3075" s="34" t="s">
        <v>9</v>
      </c>
      <c r="J3075" s="38" t="s">
        <v>522</v>
      </c>
    </row>
    <row r="3076" spans="1:10">
      <c r="A3076" s="32">
        <v>795</v>
      </c>
      <c r="B3076" s="33">
        <v>1027</v>
      </c>
      <c r="C3076" s="3">
        <v>1580000</v>
      </c>
      <c r="D3076" s="3">
        <v>1580000</v>
      </c>
      <c r="E3076" s="7">
        <v>0</v>
      </c>
      <c r="F3076" s="5">
        <v>45924</v>
      </c>
      <c r="G3076" s="4">
        <v>20250923</v>
      </c>
      <c r="H3076" s="38" t="s">
        <v>24</v>
      </c>
      <c r="I3076" s="34" t="s">
        <v>9</v>
      </c>
      <c r="J3076" s="38" t="s">
        <v>276</v>
      </c>
    </row>
    <row r="3077" spans="1:10">
      <c r="A3077" s="32">
        <v>395</v>
      </c>
      <c r="B3077" s="33">
        <v>1528</v>
      </c>
      <c r="C3077" s="3">
        <v>3120000</v>
      </c>
      <c r="D3077" s="3">
        <v>3120000</v>
      </c>
      <c r="E3077" s="7">
        <v>0</v>
      </c>
      <c r="F3077" s="5">
        <v>45925</v>
      </c>
      <c r="G3077" s="4">
        <v>20250924</v>
      </c>
      <c r="H3077" s="38" t="s">
        <v>24</v>
      </c>
      <c r="I3077" s="34" t="s">
        <v>9</v>
      </c>
      <c r="J3077" s="38" t="s">
        <v>211</v>
      </c>
    </row>
    <row r="3078" spans="1:10">
      <c r="A3078" s="32">
        <v>221</v>
      </c>
      <c r="B3078" s="33">
        <v>5221</v>
      </c>
      <c r="C3078" s="3">
        <v>1090000</v>
      </c>
      <c r="D3078" s="3">
        <v>1090000</v>
      </c>
      <c r="E3078" s="7">
        <v>0</v>
      </c>
      <c r="F3078" s="5">
        <v>45925</v>
      </c>
      <c r="G3078" s="4">
        <v>20250924</v>
      </c>
      <c r="H3078" s="38" t="s">
        <v>24</v>
      </c>
      <c r="I3078" s="34" t="s">
        <v>9</v>
      </c>
      <c r="J3078" s="38" t="s">
        <v>187</v>
      </c>
    </row>
    <row r="3079" spans="1:10">
      <c r="A3079" s="32">
        <v>741</v>
      </c>
      <c r="B3079" s="33">
        <v>6842</v>
      </c>
      <c r="C3079" s="3">
        <v>300000</v>
      </c>
      <c r="D3079" s="3">
        <v>300000</v>
      </c>
      <c r="E3079" s="7">
        <v>0</v>
      </c>
      <c r="F3079" s="5">
        <v>45925</v>
      </c>
      <c r="G3079" s="4">
        <v>20250924</v>
      </c>
      <c r="H3079" s="38" t="s">
        <v>30</v>
      </c>
      <c r="I3079" s="34" t="s">
        <v>9</v>
      </c>
      <c r="J3079" s="38" t="s">
        <v>147</v>
      </c>
    </row>
    <row r="3080" spans="1:10">
      <c r="A3080" s="32">
        <v>457</v>
      </c>
      <c r="B3080" s="33">
        <v>9001</v>
      </c>
      <c r="C3080" s="3">
        <v>200000</v>
      </c>
      <c r="D3080" s="3">
        <v>200000</v>
      </c>
      <c r="E3080" s="7">
        <v>0</v>
      </c>
      <c r="F3080" s="5">
        <v>45926</v>
      </c>
      <c r="G3080" s="4">
        <v>20250925</v>
      </c>
      <c r="H3080" s="38" t="s">
        <v>30</v>
      </c>
      <c r="I3080" s="34" t="s">
        <v>9</v>
      </c>
      <c r="J3080" s="38" t="s">
        <v>166</v>
      </c>
    </row>
    <row r="3081" spans="1:10">
      <c r="A3081" s="32">
        <v>522</v>
      </c>
      <c r="B3081" s="33">
        <v>4592</v>
      </c>
      <c r="C3081" s="3">
        <v>800000</v>
      </c>
      <c r="D3081" s="3">
        <v>800000</v>
      </c>
      <c r="E3081" s="7">
        <v>0</v>
      </c>
      <c r="F3081" s="5">
        <v>45926</v>
      </c>
      <c r="G3081" s="4">
        <v>20250925</v>
      </c>
      <c r="H3081" s="38" t="s">
        <v>30</v>
      </c>
      <c r="I3081" s="34" t="s">
        <v>9</v>
      </c>
      <c r="J3081" s="38" t="s">
        <v>350</v>
      </c>
    </row>
    <row r="3082" spans="1:10">
      <c r="A3082" s="32">
        <v>457</v>
      </c>
      <c r="B3082" s="33">
        <v>9004</v>
      </c>
      <c r="C3082" s="3">
        <v>3335000</v>
      </c>
      <c r="D3082" s="3">
        <v>3335000</v>
      </c>
      <c r="E3082" s="7">
        <v>0</v>
      </c>
      <c r="F3082" s="5">
        <v>45926</v>
      </c>
      <c r="G3082" s="4">
        <v>20250925</v>
      </c>
      <c r="H3082" s="38" t="s">
        <v>24</v>
      </c>
      <c r="I3082" s="34" t="s">
        <v>9</v>
      </c>
      <c r="J3082" s="38" t="s">
        <v>253</v>
      </c>
    </row>
    <row r="3083" spans="1:10">
      <c r="A3083" s="32">
        <v>221</v>
      </c>
      <c r="B3083" s="33">
        <v>5221</v>
      </c>
      <c r="C3083" s="3">
        <v>2514000</v>
      </c>
      <c r="D3083" s="3">
        <v>2514000</v>
      </c>
      <c r="E3083" s="7">
        <v>0</v>
      </c>
      <c r="F3083" s="5">
        <v>45926</v>
      </c>
      <c r="G3083" s="4">
        <v>20250925</v>
      </c>
      <c r="H3083" s="38" t="s">
        <v>24</v>
      </c>
      <c r="I3083" s="34" t="s">
        <v>9</v>
      </c>
      <c r="J3083" s="38" t="s">
        <v>187</v>
      </c>
    </row>
    <row r="3084" spans="1:10">
      <c r="A3084" s="32">
        <v>692</v>
      </c>
      <c r="B3084" s="33">
        <v>1515</v>
      </c>
      <c r="C3084" s="3">
        <v>230000</v>
      </c>
      <c r="D3084" s="3">
        <v>230000</v>
      </c>
      <c r="E3084" s="7">
        <v>0</v>
      </c>
      <c r="F3084" s="5">
        <v>45929</v>
      </c>
      <c r="G3084" s="4">
        <v>20250928</v>
      </c>
      <c r="H3084" s="38" t="s">
        <v>24</v>
      </c>
      <c r="I3084" s="34" t="s">
        <v>9</v>
      </c>
      <c r="J3084" s="38" t="s">
        <v>108</v>
      </c>
    </row>
    <row r="3085" spans="1:10">
      <c r="A3085" s="32">
        <v>163</v>
      </c>
      <c r="B3085" s="33">
        <v>4130</v>
      </c>
      <c r="C3085" s="3">
        <v>100000</v>
      </c>
      <c r="D3085" s="3">
        <v>100000</v>
      </c>
      <c r="E3085" s="7">
        <v>0</v>
      </c>
      <c r="F3085" s="5">
        <v>45929</v>
      </c>
      <c r="G3085" s="4">
        <v>20250928</v>
      </c>
      <c r="H3085" s="38" t="s">
        <v>30</v>
      </c>
      <c r="I3085" s="34" t="s">
        <v>9</v>
      </c>
      <c r="J3085" s="38" t="s">
        <v>148</v>
      </c>
    </row>
    <row r="3086" spans="1:10">
      <c r="A3086" s="32">
        <v>372</v>
      </c>
      <c r="B3086" s="33">
        <v>7917</v>
      </c>
      <c r="C3086" s="3">
        <v>50000</v>
      </c>
      <c r="D3086" s="3">
        <v>50000</v>
      </c>
      <c r="E3086" s="7">
        <v>0</v>
      </c>
      <c r="F3086" s="5">
        <v>45929</v>
      </c>
      <c r="G3086" s="4">
        <v>20250928</v>
      </c>
      <c r="H3086" s="38" t="s">
        <v>30</v>
      </c>
      <c r="I3086" s="34" t="s">
        <v>9</v>
      </c>
      <c r="J3086" s="38" t="s">
        <v>46</v>
      </c>
    </row>
    <row r="3087" spans="1:10">
      <c r="A3087" s="32">
        <v>522</v>
      </c>
      <c r="B3087" s="33">
        <v>4592</v>
      </c>
      <c r="C3087" s="3">
        <v>2480000</v>
      </c>
      <c r="D3087" s="3">
        <v>2480000</v>
      </c>
      <c r="E3087" s="7">
        <v>0</v>
      </c>
      <c r="F3087" s="5">
        <v>45929</v>
      </c>
      <c r="G3087" s="4">
        <v>20250928</v>
      </c>
      <c r="H3087" s="38" t="s">
        <v>30</v>
      </c>
      <c r="I3087" s="34" t="s">
        <v>9</v>
      </c>
      <c r="J3087" s="38" t="s">
        <v>350</v>
      </c>
    </row>
    <row r="3088" spans="1:10">
      <c r="A3088" s="32">
        <v>457</v>
      </c>
      <c r="B3088" s="33">
        <v>9004</v>
      </c>
      <c r="C3088" s="3">
        <v>2210000</v>
      </c>
      <c r="D3088" s="3">
        <v>2210000</v>
      </c>
      <c r="E3088" s="7">
        <v>0</v>
      </c>
      <c r="F3088" s="5">
        <v>45930</v>
      </c>
      <c r="G3088" s="4">
        <v>20250929</v>
      </c>
      <c r="H3088" s="38" t="s">
        <v>24</v>
      </c>
      <c r="I3088" s="34" t="s">
        <v>9</v>
      </c>
      <c r="J3088" s="38" t="s">
        <v>253</v>
      </c>
    </row>
    <row r="3089" spans="1:10">
      <c r="A3089" s="32">
        <v>211</v>
      </c>
      <c r="B3089" s="33">
        <v>5067</v>
      </c>
      <c r="C3089" s="3">
        <v>485000</v>
      </c>
      <c r="D3089" s="3">
        <v>485000</v>
      </c>
      <c r="E3089" s="7">
        <v>0</v>
      </c>
      <c r="F3089" s="5">
        <v>45930</v>
      </c>
      <c r="G3089" s="4">
        <v>20250929</v>
      </c>
      <c r="H3089" s="38" t="s">
        <v>24</v>
      </c>
      <c r="I3089" s="34" t="s">
        <v>9</v>
      </c>
      <c r="J3089" s="38" t="s">
        <v>441</v>
      </c>
    </row>
    <row r="3090" spans="1:10">
      <c r="A3090" s="32">
        <v>81</v>
      </c>
      <c r="B3090" s="33">
        <v>5036</v>
      </c>
      <c r="C3090" s="3">
        <v>430000</v>
      </c>
      <c r="D3090" s="3">
        <v>430000</v>
      </c>
      <c r="E3090" s="7">
        <v>0</v>
      </c>
      <c r="F3090" s="5">
        <v>45930</v>
      </c>
      <c r="G3090" s="4">
        <v>20250929</v>
      </c>
      <c r="H3090" s="38" t="s">
        <v>24</v>
      </c>
      <c r="I3090" s="34" t="s">
        <v>9</v>
      </c>
      <c r="J3090" s="38" t="s">
        <v>419</v>
      </c>
    </row>
    <row r="3091" spans="1:10">
      <c r="A3091" s="32">
        <v>793</v>
      </c>
      <c r="B3091" s="33">
        <v>5216</v>
      </c>
      <c r="C3091" s="3">
        <v>220000</v>
      </c>
      <c r="D3091" s="3">
        <v>220000</v>
      </c>
      <c r="E3091" s="7">
        <v>0</v>
      </c>
      <c r="F3091" s="5">
        <v>45930</v>
      </c>
      <c r="G3091" s="4">
        <v>20250929</v>
      </c>
      <c r="H3091" s="38" t="s">
        <v>24</v>
      </c>
      <c r="I3091" s="34" t="s">
        <v>9</v>
      </c>
      <c r="J3091" s="38" t="s">
        <v>127</v>
      </c>
    </row>
    <row r="3092" spans="1:10">
      <c r="A3092" s="32">
        <v>292</v>
      </c>
      <c r="B3092" s="33">
        <v>5116</v>
      </c>
      <c r="C3092" s="3">
        <v>50000</v>
      </c>
      <c r="D3092" s="3">
        <v>50000</v>
      </c>
      <c r="E3092" s="7">
        <v>0</v>
      </c>
      <c r="F3092" s="5">
        <v>45925</v>
      </c>
      <c r="G3092" s="4">
        <v>0</v>
      </c>
      <c r="H3092" s="38" t="s">
        <v>24</v>
      </c>
      <c r="I3092" s="34"/>
      <c r="J3092" s="38" t="s">
        <v>372</v>
      </c>
    </row>
    <row r="3093" spans="1:10">
      <c r="A3093" s="32">
        <v>60</v>
      </c>
      <c r="B3093" s="33">
        <v>8719</v>
      </c>
      <c r="C3093" s="3">
        <v>200000</v>
      </c>
      <c r="D3093" s="3">
        <v>200000</v>
      </c>
      <c r="E3093" s="7">
        <v>0</v>
      </c>
      <c r="F3093" s="5">
        <v>45932</v>
      </c>
      <c r="G3093" s="4">
        <v>20251001</v>
      </c>
      <c r="H3093" s="38" t="s">
        <v>30</v>
      </c>
      <c r="I3093" s="34" t="s">
        <v>9</v>
      </c>
      <c r="J3093" s="38" t="s">
        <v>31</v>
      </c>
    </row>
    <row r="3094" spans="1:10">
      <c r="A3094" s="32">
        <v>190</v>
      </c>
      <c r="B3094" s="33">
        <v>5557</v>
      </c>
      <c r="C3094" s="3">
        <v>1000000</v>
      </c>
      <c r="D3094" s="3">
        <v>1000000</v>
      </c>
      <c r="E3094" s="7">
        <v>0</v>
      </c>
      <c r="F3094" s="5">
        <v>45932</v>
      </c>
      <c r="G3094" s="4">
        <v>20251001</v>
      </c>
      <c r="H3094" s="38" t="s">
        <v>30</v>
      </c>
      <c r="I3094" s="34" t="s">
        <v>9</v>
      </c>
      <c r="J3094" s="38" t="s">
        <v>523</v>
      </c>
    </row>
    <row r="3095" spans="1:10">
      <c r="A3095" s="32">
        <v>372</v>
      </c>
      <c r="B3095" s="33">
        <v>7917</v>
      </c>
      <c r="C3095" s="3">
        <v>100000</v>
      </c>
      <c r="D3095" s="3">
        <v>100000</v>
      </c>
      <c r="E3095" s="7">
        <v>0</v>
      </c>
      <c r="F3095" s="5">
        <v>45932</v>
      </c>
      <c r="G3095" s="4">
        <v>20251001</v>
      </c>
      <c r="H3095" s="38" t="s">
        <v>30</v>
      </c>
      <c r="I3095" s="34" t="s">
        <v>9</v>
      </c>
      <c r="J3095" s="38" t="s">
        <v>46</v>
      </c>
    </row>
    <row r="3096" spans="1:10">
      <c r="A3096" s="32">
        <v>499</v>
      </c>
      <c r="B3096" s="33">
        <v>9808</v>
      </c>
      <c r="C3096" s="3">
        <v>2960000</v>
      </c>
      <c r="D3096" s="3">
        <v>2960000</v>
      </c>
      <c r="E3096" s="7">
        <v>0</v>
      </c>
      <c r="F3096" s="5">
        <v>45932</v>
      </c>
      <c r="G3096" s="4">
        <v>20251001</v>
      </c>
      <c r="H3096" s="38" t="s">
        <v>30</v>
      </c>
      <c r="I3096" s="34" t="s">
        <v>9</v>
      </c>
      <c r="J3096" s="38" t="s">
        <v>65</v>
      </c>
    </row>
    <row r="3097" spans="1:10">
      <c r="A3097" s="32">
        <v>840</v>
      </c>
      <c r="B3097" s="33">
        <v>4248</v>
      </c>
      <c r="C3097" s="3">
        <v>400000</v>
      </c>
      <c r="D3097" s="3">
        <v>400000</v>
      </c>
      <c r="E3097" s="7">
        <v>0</v>
      </c>
      <c r="F3097" s="5">
        <v>45932</v>
      </c>
      <c r="G3097" s="4">
        <v>20251001</v>
      </c>
      <c r="H3097" s="38" t="s">
        <v>30</v>
      </c>
      <c r="I3097" s="34" t="s">
        <v>9</v>
      </c>
      <c r="J3097" s="38" t="s">
        <v>286</v>
      </c>
    </row>
    <row r="3098" spans="1:10">
      <c r="A3098" s="32">
        <v>944</v>
      </c>
      <c r="B3098" s="33">
        <v>8354</v>
      </c>
      <c r="C3098" s="3">
        <v>1875000</v>
      </c>
      <c r="D3098" s="3">
        <v>1875000</v>
      </c>
      <c r="E3098" s="7">
        <v>0</v>
      </c>
      <c r="F3098" s="5">
        <v>45932</v>
      </c>
      <c r="G3098" s="4">
        <v>20251001</v>
      </c>
      <c r="H3098" s="38" t="s">
        <v>24</v>
      </c>
      <c r="I3098" s="34" t="s">
        <v>9</v>
      </c>
      <c r="J3098" s="38" t="s">
        <v>524</v>
      </c>
    </row>
    <row r="3099" spans="1:10">
      <c r="A3099" s="32">
        <v>551</v>
      </c>
      <c r="B3099" s="33">
        <v>9644</v>
      </c>
      <c r="C3099" s="3">
        <v>1080000</v>
      </c>
      <c r="D3099" s="3">
        <v>1080000</v>
      </c>
      <c r="E3099" s="7">
        <v>0</v>
      </c>
      <c r="F3099" s="5">
        <v>45932</v>
      </c>
      <c r="G3099" s="4">
        <v>20251001</v>
      </c>
      <c r="H3099" s="38" t="s">
        <v>24</v>
      </c>
      <c r="I3099" s="34" t="s">
        <v>9</v>
      </c>
      <c r="J3099" s="38" t="s">
        <v>255</v>
      </c>
    </row>
    <row r="3100" spans="1:10">
      <c r="A3100" s="32">
        <v>551</v>
      </c>
      <c r="B3100" s="33">
        <v>9643</v>
      </c>
      <c r="C3100" s="3">
        <v>230000</v>
      </c>
      <c r="D3100" s="3">
        <v>230000</v>
      </c>
      <c r="E3100" s="7">
        <v>0</v>
      </c>
      <c r="F3100" s="5">
        <v>45932</v>
      </c>
      <c r="G3100" s="4">
        <v>20251001</v>
      </c>
      <c r="H3100" s="38" t="s">
        <v>24</v>
      </c>
      <c r="I3100" s="34" t="s">
        <v>9</v>
      </c>
      <c r="J3100" s="38" t="s">
        <v>390</v>
      </c>
    </row>
    <row r="3101" spans="1:10">
      <c r="A3101" s="32">
        <v>692</v>
      </c>
      <c r="B3101" s="33">
        <v>1515</v>
      </c>
      <c r="C3101" s="3">
        <v>1650000</v>
      </c>
      <c r="D3101" s="3">
        <v>1650000</v>
      </c>
      <c r="E3101" s="7">
        <v>0</v>
      </c>
      <c r="F3101" s="5">
        <v>45933</v>
      </c>
      <c r="G3101" s="4">
        <v>20251002</v>
      </c>
      <c r="H3101" s="38" t="s">
        <v>24</v>
      </c>
      <c r="I3101" s="34" t="s">
        <v>9</v>
      </c>
      <c r="J3101" s="38" t="s">
        <v>108</v>
      </c>
    </row>
    <row r="3102" spans="1:10">
      <c r="A3102" s="32">
        <v>551</v>
      </c>
      <c r="B3102" s="33">
        <v>9643</v>
      </c>
      <c r="C3102" s="3">
        <v>400000</v>
      </c>
      <c r="D3102" s="3">
        <v>400000</v>
      </c>
      <c r="E3102" s="7">
        <v>0</v>
      </c>
      <c r="F3102" s="5">
        <v>45933</v>
      </c>
      <c r="G3102" s="4">
        <v>20251002</v>
      </c>
      <c r="H3102" s="38" t="s">
        <v>24</v>
      </c>
      <c r="I3102" s="34" t="s">
        <v>9</v>
      </c>
      <c r="J3102" s="38" t="s">
        <v>390</v>
      </c>
    </row>
    <row r="3103" spans="1:10">
      <c r="A3103" s="32">
        <v>395</v>
      </c>
      <c r="B3103" s="33">
        <v>1528</v>
      </c>
      <c r="C3103" s="3">
        <v>229950</v>
      </c>
      <c r="D3103" s="3">
        <v>229950</v>
      </c>
      <c r="E3103" s="7">
        <v>0</v>
      </c>
      <c r="F3103" s="5">
        <v>45933</v>
      </c>
      <c r="G3103" s="4">
        <v>20251002</v>
      </c>
      <c r="H3103" s="38" t="s">
        <v>24</v>
      </c>
      <c r="I3103" s="34" t="s">
        <v>9</v>
      </c>
      <c r="J3103" s="38" t="s">
        <v>211</v>
      </c>
    </row>
    <row r="3104" spans="1:10">
      <c r="A3104" s="32">
        <v>413</v>
      </c>
      <c r="B3104" s="33">
        <v>4636</v>
      </c>
      <c r="C3104" s="3">
        <v>200000</v>
      </c>
      <c r="D3104" s="3">
        <v>200000</v>
      </c>
      <c r="E3104" s="7">
        <v>0</v>
      </c>
      <c r="F3104" s="5">
        <v>45933</v>
      </c>
      <c r="G3104" s="4">
        <v>20251002</v>
      </c>
      <c r="H3104" s="38" t="s">
        <v>30</v>
      </c>
      <c r="I3104" s="34" t="s">
        <v>9</v>
      </c>
      <c r="J3104" s="38" t="s">
        <v>466</v>
      </c>
    </row>
    <row r="3105" spans="1:10">
      <c r="A3105" s="32">
        <v>536</v>
      </c>
      <c r="B3105" s="33">
        <v>4795</v>
      </c>
      <c r="C3105" s="3">
        <v>160000</v>
      </c>
      <c r="D3105" s="3">
        <v>160000</v>
      </c>
      <c r="E3105" s="7">
        <v>0</v>
      </c>
      <c r="F3105" s="5">
        <v>45933</v>
      </c>
      <c r="G3105" s="4">
        <v>20251002</v>
      </c>
      <c r="H3105" s="38" t="s">
        <v>30</v>
      </c>
      <c r="I3105" s="34" t="s">
        <v>9</v>
      </c>
      <c r="J3105" s="38" t="s">
        <v>37</v>
      </c>
    </row>
    <row r="3106" spans="1:10">
      <c r="A3106" s="32">
        <v>231</v>
      </c>
      <c r="B3106" s="33">
        <v>5209</v>
      </c>
      <c r="C3106" s="3">
        <v>500000</v>
      </c>
      <c r="D3106" s="3">
        <v>500000</v>
      </c>
      <c r="E3106" s="7">
        <v>0</v>
      </c>
      <c r="F3106" s="5">
        <v>45936</v>
      </c>
      <c r="G3106" s="4">
        <v>20251005</v>
      </c>
      <c r="H3106" s="38" t="s">
        <v>30</v>
      </c>
      <c r="I3106" s="34" t="s">
        <v>9</v>
      </c>
      <c r="J3106" s="38" t="s">
        <v>486</v>
      </c>
    </row>
    <row r="3107" spans="1:10">
      <c r="A3107" s="32">
        <v>484</v>
      </c>
      <c r="B3107" s="33">
        <v>7226</v>
      </c>
      <c r="C3107" s="3">
        <v>40000</v>
      </c>
      <c r="D3107" s="3">
        <v>40000</v>
      </c>
      <c r="E3107" s="7">
        <v>0</v>
      </c>
      <c r="F3107" s="5">
        <v>45936</v>
      </c>
      <c r="G3107" s="4">
        <v>20251005</v>
      </c>
      <c r="H3107" s="38" t="s">
        <v>30</v>
      </c>
      <c r="I3107" s="34" t="s">
        <v>9</v>
      </c>
      <c r="J3107" s="38" t="s">
        <v>346</v>
      </c>
    </row>
    <row r="3108" spans="1:10">
      <c r="A3108" s="32">
        <v>499</v>
      </c>
      <c r="B3108" s="33">
        <v>9808</v>
      </c>
      <c r="C3108" s="3">
        <v>200000</v>
      </c>
      <c r="D3108" s="3">
        <v>200000</v>
      </c>
      <c r="E3108" s="7">
        <v>0</v>
      </c>
      <c r="F3108" s="5">
        <v>45936</v>
      </c>
      <c r="G3108" s="4">
        <v>20251005</v>
      </c>
      <c r="H3108" s="38" t="s">
        <v>30</v>
      </c>
      <c r="I3108" s="34" t="s">
        <v>9</v>
      </c>
      <c r="J3108" s="38" t="s">
        <v>65</v>
      </c>
    </row>
    <row r="3109" spans="1:10">
      <c r="A3109" s="32">
        <v>522</v>
      </c>
      <c r="B3109" s="33">
        <v>4592</v>
      </c>
      <c r="C3109" s="3">
        <v>1040000</v>
      </c>
      <c r="D3109" s="3">
        <v>1040000</v>
      </c>
      <c r="E3109" s="7">
        <v>0</v>
      </c>
      <c r="F3109" s="5">
        <v>45936</v>
      </c>
      <c r="G3109" s="4">
        <v>20251005</v>
      </c>
      <c r="H3109" s="38" t="s">
        <v>30</v>
      </c>
      <c r="I3109" s="34" t="s">
        <v>9</v>
      </c>
      <c r="J3109" s="38" t="s">
        <v>350</v>
      </c>
    </row>
    <row r="3110" spans="1:10">
      <c r="A3110" s="32">
        <v>536</v>
      </c>
      <c r="B3110" s="33">
        <v>6913</v>
      </c>
      <c r="C3110" s="3">
        <v>200000</v>
      </c>
      <c r="D3110" s="3">
        <v>200000</v>
      </c>
      <c r="E3110" s="7">
        <v>0</v>
      </c>
      <c r="F3110" s="5">
        <v>45936</v>
      </c>
      <c r="G3110" s="4">
        <v>20251005</v>
      </c>
      <c r="H3110" s="38" t="s">
        <v>30</v>
      </c>
      <c r="I3110" s="34" t="s">
        <v>9</v>
      </c>
      <c r="J3110" s="38" t="s">
        <v>525</v>
      </c>
    </row>
    <row r="3111" spans="1:10">
      <c r="A3111" s="32">
        <v>728</v>
      </c>
      <c r="B3111" s="33">
        <v>8583</v>
      </c>
      <c r="C3111" s="3">
        <v>1860000</v>
      </c>
      <c r="D3111" s="3">
        <v>1860000</v>
      </c>
      <c r="E3111" s="7">
        <v>0</v>
      </c>
      <c r="F3111" s="5">
        <v>45936</v>
      </c>
      <c r="G3111" s="4">
        <v>20251005</v>
      </c>
      <c r="H3111" s="38" t="s">
        <v>30</v>
      </c>
      <c r="I3111" s="34" t="s">
        <v>9</v>
      </c>
      <c r="J3111" s="38" t="s">
        <v>526</v>
      </c>
    </row>
    <row r="3112" spans="1:10">
      <c r="A3112" s="32">
        <v>840</v>
      </c>
      <c r="B3112" s="33">
        <v>4248</v>
      </c>
      <c r="C3112" s="3">
        <v>380000</v>
      </c>
      <c r="D3112" s="3">
        <v>380000</v>
      </c>
      <c r="E3112" s="7">
        <v>0</v>
      </c>
      <c r="F3112" s="5">
        <v>45936</v>
      </c>
      <c r="G3112" s="4">
        <v>20251005</v>
      </c>
      <c r="H3112" s="38" t="s">
        <v>30</v>
      </c>
      <c r="I3112" s="34" t="s">
        <v>9</v>
      </c>
      <c r="J3112" s="38" t="s">
        <v>286</v>
      </c>
    </row>
    <row r="3113" spans="1:10">
      <c r="A3113" s="32">
        <v>652</v>
      </c>
      <c r="B3113" s="33">
        <v>5070</v>
      </c>
      <c r="C3113" s="3">
        <v>2960000</v>
      </c>
      <c r="D3113" s="3">
        <v>2960000</v>
      </c>
      <c r="E3113" s="7">
        <v>0</v>
      </c>
      <c r="F3113" s="5">
        <v>45936</v>
      </c>
      <c r="G3113" s="4">
        <v>20251005</v>
      </c>
      <c r="H3113" s="38" t="s">
        <v>24</v>
      </c>
      <c r="I3113" s="34" t="s">
        <v>9</v>
      </c>
      <c r="J3113" s="38" t="s">
        <v>201</v>
      </c>
    </row>
    <row r="3114" spans="1:10">
      <c r="A3114" s="32">
        <v>57</v>
      </c>
      <c r="B3114" s="33">
        <v>9963</v>
      </c>
      <c r="C3114" s="3">
        <v>1300000</v>
      </c>
      <c r="D3114" s="3">
        <v>1300000</v>
      </c>
      <c r="E3114" s="7">
        <v>0</v>
      </c>
      <c r="F3114" s="5">
        <v>45936</v>
      </c>
      <c r="G3114" s="4">
        <v>20251005</v>
      </c>
      <c r="H3114" s="38" t="s">
        <v>24</v>
      </c>
      <c r="I3114" s="34" t="s">
        <v>9</v>
      </c>
      <c r="J3114" s="38" t="s">
        <v>58</v>
      </c>
    </row>
    <row r="3115" spans="1:10">
      <c r="A3115" s="32">
        <v>793</v>
      </c>
      <c r="B3115" s="33">
        <v>5216</v>
      </c>
      <c r="C3115" s="3">
        <v>1080000</v>
      </c>
      <c r="D3115" s="3">
        <v>1080000</v>
      </c>
      <c r="E3115" s="7">
        <v>0</v>
      </c>
      <c r="F3115" s="5">
        <v>45936</v>
      </c>
      <c r="G3115" s="4">
        <v>20251005</v>
      </c>
      <c r="H3115" s="38" t="s">
        <v>24</v>
      </c>
      <c r="I3115" s="34" t="s">
        <v>9</v>
      </c>
      <c r="J3115" s="38" t="s">
        <v>127</v>
      </c>
    </row>
    <row r="3116" spans="1:10">
      <c r="A3116" s="32">
        <v>322</v>
      </c>
      <c r="B3116" s="33">
        <v>2443</v>
      </c>
      <c r="C3116" s="3">
        <v>300000</v>
      </c>
      <c r="D3116" s="3">
        <v>300000</v>
      </c>
      <c r="E3116" s="7">
        <v>0</v>
      </c>
      <c r="F3116" s="5">
        <v>45937</v>
      </c>
      <c r="G3116" s="4">
        <v>20251006</v>
      </c>
      <c r="H3116" s="38" t="s">
        <v>30</v>
      </c>
      <c r="I3116" s="34" t="s">
        <v>9</v>
      </c>
      <c r="J3116" s="38" t="s">
        <v>361</v>
      </c>
    </row>
    <row r="3117" spans="1:10">
      <c r="A3117" s="32">
        <v>372</v>
      </c>
      <c r="B3117" s="33">
        <v>7917</v>
      </c>
      <c r="C3117" s="3">
        <v>80000</v>
      </c>
      <c r="D3117" s="3">
        <v>80000</v>
      </c>
      <c r="E3117" s="7">
        <v>0</v>
      </c>
      <c r="F3117" s="5">
        <v>45937</v>
      </c>
      <c r="G3117" s="4">
        <v>20251006</v>
      </c>
      <c r="H3117" s="38" t="s">
        <v>30</v>
      </c>
      <c r="I3117" s="34" t="s">
        <v>9</v>
      </c>
      <c r="J3117" s="38" t="s">
        <v>46</v>
      </c>
    </row>
    <row r="3118" spans="1:10">
      <c r="A3118" s="32">
        <v>556</v>
      </c>
      <c r="B3118" s="33">
        <v>8336</v>
      </c>
      <c r="C3118" s="3">
        <v>7220000</v>
      </c>
      <c r="D3118" s="3">
        <v>7220000</v>
      </c>
      <c r="E3118" s="7">
        <v>0</v>
      </c>
      <c r="F3118" s="5">
        <v>45937</v>
      </c>
      <c r="G3118" s="4">
        <v>20251006</v>
      </c>
      <c r="H3118" s="38" t="s">
        <v>30</v>
      </c>
      <c r="I3118" s="34" t="s">
        <v>9</v>
      </c>
      <c r="J3118" s="38" t="s">
        <v>527</v>
      </c>
    </row>
    <row r="3119" spans="1:10">
      <c r="A3119" s="32">
        <v>322</v>
      </c>
      <c r="B3119" s="33">
        <v>2444</v>
      </c>
      <c r="C3119" s="3">
        <v>2840000</v>
      </c>
      <c r="D3119" s="3">
        <v>2840000</v>
      </c>
      <c r="E3119" s="7">
        <v>0</v>
      </c>
      <c r="F3119" s="5">
        <v>45937</v>
      </c>
      <c r="G3119" s="4">
        <v>20251006</v>
      </c>
      <c r="H3119" s="38" t="s">
        <v>24</v>
      </c>
      <c r="I3119" s="34" t="s">
        <v>9</v>
      </c>
      <c r="J3119" s="38" t="s">
        <v>109</v>
      </c>
    </row>
    <row r="3120" spans="1:10">
      <c r="A3120" s="32">
        <v>793</v>
      </c>
      <c r="B3120" s="33">
        <v>5216</v>
      </c>
      <c r="C3120" s="3">
        <v>2650000</v>
      </c>
      <c r="D3120" s="3">
        <v>2650000</v>
      </c>
      <c r="E3120" s="7">
        <v>0</v>
      </c>
      <c r="F3120" s="5">
        <v>45937</v>
      </c>
      <c r="G3120" s="4">
        <v>20251006</v>
      </c>
      <c r="H3120" s="38" t="s">
        <v>24</v>
      </c>
      <c r="I3120" s="34" t="s">
        <v>9</v>
      </c>
      <c r="J3120" s="38" t="s">
        <v>127</v>
      </c>
    </row>
    <row r="3121" spans="1:10">
      <c r="A3121" s="32">
        <v>541</v>
      </c>
      <c r="B3121" s="33">
        <v>5185</v>
      </c>
      <c r="C3121" s="3">
        <v>1930000</v>
      </c>
      <c r="D3121" s="3">
        <v>1930000</v>
      </c>
      <c r="E3121" s="7">
        <v>0</v>
      </c>
      <c r="F3121" s="5">
        <v>45937</v>
      </c>
      <c r="G3121" s="4">
        <v>20251006</v>
      </c>
      <c r="H3121" s="38" t="s">
        <v>24</v>
      </c>
      <c r="I3121" s="34" t="s">
        <v>9</v>
      </c>
      <c r="J3121" s="38" t="s">
        <v>246</v>
      </c>
    </row>
    <row r="3122" spans="1:10">
      <c r="A3122" s="32">
        <v>331</v>
      </c>
      <c r="B3122" s="33">
        <v>574</v>
      </c>
      <c r="C3122" s="3">
        <v>1250000</v>
      </c>
      <c r="D3122" s="3">
        <v>1250000</v>
      </c>
      <c r="E3122" s="7">
        <v>0</v>
      </c>
      <c r="F3122" s="5">
        <v>45937</v>
      </c>
      <c r="G3122" s="4">
        <v>20251006</v>
      </c>
      <c r="H3122" s="38" t="s">
        <v>24</v>
      </c>
      <c r="I3122" s="34" t="s">
        <v>9</v>
      </c>
      <c r="J3122" s="38" t="s">
        <v>457</v>
      </c>
    </row>
    <row r="3123" spans="1:10">
      <c r="A3123" s="32">
        <v>57</v>
      </c>
      <c r="B3123" s="33">
        <v>9963</v>
      </c>
      <c r="C3123" s="3">
        <v>970000</v>
      </c>
      <c r="D3123" s="3">
        <v>970000</v>
      </c>
      <c r="E3123" s="7">
        <v>0</v>
      </c>
      <c r="F3123" s="5">
        <v>45937</v>
      </c>
      <c r="G3123" s="4">
        <v>20251006</v>
      </c>
      <c r="H3123" s="38" t="s">
        <v>24</v>
      </c>
      <c r="I3123" s="34" t="s">
        <v>9</v>
      </c>
      <c r="J3123" s="38" t="s">
        <v>58</v>
      </c>
    </row>
    <row r="3124" spans="1:10">
      <c r="A3124" s="32">
        <v>81</v>
      </c>
      <c r="B3124" s="33">
        <v>5036</v>
      </c>
      <c r="C3124" s="3">
        <v>509850</v>
      </c>
      <c r="D3124" s="3">
        <v>509850</v>
      </c>
      <c r="E3124" s="7">
        <v>0</v>
      </c>
      <c r="F3124" s="5">
        <v>45937</v>
      </c>
      <c r="G3124" s="4">
        <v>20251006</v>
      </c>
      <c r="H3124" s="38" t="s">
        <v>24</v>
      </c>
      <c r="I3124" s="34" t="s">
        <v>9</v>
      </c>
      <c r="J3124" s="38" t="s">
        <v>419</v>
      </c>
    </row>
    <row r="3125" spans="1:10">
      <c r="A3125" s="32">
        <v>358</v>
      </c>
      <c r="B3125" s="33">
        <v>5149</v>
      </c>
      <c r="C3125" s="3">
        <v>50000</v>
      </c>
      <c r="D3125" s="3">
        <v>50000</v>
      </c>
      <c r="E3125" s="7">
        <v>0</v>
      </c>
      <c r="F3125" s="5">
        <v>45937</v>
      </c>
      <c r="G3125" s="4">
        <v>20251006</v>
      </c>
      <c r="H3125" s="38" t="s">
        <v>24</v>
      </c>
      <c r="I3125" s="34" t="s">
        <v>9</v>
      </c>
      <c r="J3125" s="38" t="s">
        <v>413</v>
      </c>
    </row>
    <row r="3126" spans="1:10">
      <c r="A3126" s="32">
        <v>57</v>
      </c>
      <c r="B3126" s="33">
        <v>9963</v>
      </c>
      <c r="C3126" s="3">
        <v>2250000</v>
      </c>
      <c r="D3126" s="3">
        <v>2250000</v>
      </c>
      <c r="E3126" s="7">
        <v>0</v>
      </c>
      <c r="F3126" s="5">
        <v>45938</v>
      </c>
      <c r="G3126" s="4">
        <v>20251007</v>
      </c>
      <c r="H3126" s="38" t="s">
        <v>24</v>
      </c>
      <c r="I3126" s="34" t="s">
        <v>9</v>
      </c>
      <c r="J3126" s="38" t="s">
        <v>58</v>
      </c>
    </row>
    <row r="3127" spans="1:10">
      <c r="A3127" s="32">
        <v>793</v>
      </c>
      <c r="B3127" s="33">
        <v>5216</v>
      </c>
      <c r="C3127" s="3">
        <v>1750000</v>
      </c>
      <c r="D3127" s="3">
        <v>1750000</v>
      </c>
      <c r="E3127" s="7">
        <v>0</v>
      </c>
      <c r="F3127" s="5">
        <v>45938</v>
      </c>
      <c r="G3127" s="4">
        <v>20251007</v>
      </c>
      <c r="H3127" s="38" t="s">
        <v>24</v>
      </c>
      <c r="I3127" s="34" t="s">
        <v>9</v>
      </c>
      <c r="J3127" s="38" t="s">
        <v>127</v>
      </c>
    </row>
    <row r="3128" spans="1:10">
      <c r="A3128" s="32">
        <v>115</v>
      </c>
      <c r="B3128" s="33">
        <v>5080</v>
      </c>
      <c r="C3128" s="3">
        <v>830000</v>
      </c>
      <c r="D3128" s="3">
        <v>830000</v>
      </c>
      <c r="E3128" s="7">
        <v>0</v>
      </c>
      <c r="F3128" s="5">
        <v>45938</v>
      </c>
      <c r="G3128" s="4">
        <v>20251007</v>
      </c>
      <c r="H3128" s="38" t="s">
        <v>24</v>
      </c>
      <c r="I3128" s="34" t="s">
        <v>9</v>
      </c>
      <c r="J3128" s="38" t="s">
        <v>263</v>
      </c>
    </row>
    <row r="3129" spans="1:10">
      <c r="A3129" s="32">
        <v>81</v>
      </c>
      <c r="B3129" s="33">
        <v>5036</v>
      </c>
      <c r="C3129" s="3">
        <v>290000</v>
      </c>
      <c r="D3129" s="3">
        <v>290000</v>
      </c>
      <c r="E3129" s="7">
        <v>0</v>
      </c>
      <c r="F3129" s="5">
        <v>45938</v>
      </c>
      <c r="G3129" s="4">
        <v>20251007</v>
      </c>
      <c r="H3129" s="38" t="s">
        <v>24</v>
      </c>
      <c r="I3129" s="34" t="s">
        <v>9</v>
      </c>
      <c r="J3129" s="38" t="s">
        <v>419</v>
      </c>
    </row>
    <row r="3130" spans="1:10">
      <c r="A3130" s="32">
        <v>60</v>
      </c>
      <c r="B3130" s="33">
        <v>8720</v>
      </c>
      <c r="C3130" s="3">
        <v>300000</v>
      </c>
      <c r="D3130" s="3">
        <v>300000</v>
      </c>
      <c r="E3130" s="7">
        <v>0</v>
      </c>
      <c r="F3130" s="5">
        <v>45938</v>
      </c>
      <c r="G3130" s="4">
        <v>20251007</v>
      </c>
      <c r="H3130" s="38" t="s">
        <v>30</v>
      </c>
      <c r="I3130" s="34" t="s">
        <v>9</v>
      </c>
      <c r="J3130" s="38" t="s">
        <v>324</v>
      </c>
    </row>
    <row r="3131" spans="1:10">
      <c r="A3131" s="32">
        <v>499</v>
      </c>
      <c r="B3131" s="33">
        <v>9808</v>
      </c>
      <c r="C3131" s="3">
        <v>300000</v>
      </c>
      <c r="D3131" s="3">
        <v>300000</v>
      </c>
      <c r="E3131" s="7">
        <v>0</v>
      </c>
      <c r="F3131" s="5">
        <v>45938</v>
      </c>
      <c r="G3131" s="4">
        <v>20251007</v>
      </c>
      <c r="H3131" s="38" t="s">
        <v>30</v>
      </c>
      <c r="I3131" s="34" t="s">
        <v>9</v>
      </c>
      <c r="J3131" s="38" t="s">
        <v>65</v>
      </c>
    </row>
    <row r="3132" spans="1:10">
      <c r="A3132" s="32">
        <v>522</v>
      </c>
      <c r="B3132" s="33">
        <v>4592</v>
      </c>
      <c r="C3132" s="3">
        <v>290000</v>
      </c>
      <c r="D3132" s="3">
        <v>290000</v>
      </c>
      <c r="E3132" s="7">
        <v>0</v>
      </c>
      <c r="F3132" s="5">
        <v>45938</v>
      </c>
      <c r="G3132" s="4">
        <v>20251007</v>
      </c>
      <c r="H3132" s="38" t="s">
        <v>30</v>
      </c>
      <c r="I3132" s="34" t="s">
        <v>9</v>
      </c>
      <c r="J3132" s="38" t="s">
        <v>350</v>
      </c>
    </row>
    <row r="3133" spans="1:10">
      <c r="A3133" s="32">
        <v>629</v>
      </c>
      <c r="B3133" s="33">
        <v>4571</v>
      </c>
      <c r="C3133" s="3">
        <v>40000</v>
      </c>
      <c r="D3133" s="3">
        <v>40000</v>
      </c>
      <c r="E3133" s="7">
        <v>0</v>
      </c>
      <c r="F3133" s="5">
        <v>45939</v>
      </c>
      <c r="G3133" s="4">
        <v>20251008</v>
      </c>
      <c r="H3133" s="38" t="s">
        <v>30</v>
      </c>
      <c r="I3133" s="34"/>
      <c r="J3133" s="38" t="s">
        <v>528</v>
      </c>
    </row>
    <row r="3134" spans="1:10">
      <c r="A3134" s="32">
        <v>153</v>
      </c>
      <c r="B3134" s="33">
        <v>9880</v>
      </c>
      <c r="C3134" s="3">
        <v>100000</v>
      </c>
      <c r="D3134" s="3">
        <v>100000</v>
      </c>
      <c r="E3134" s="7">
        <v>0</v>
      </c>
      <c r="F3134" s="5">
        <v>45939</v>
      </c>
      <c r="G3134" s="4">
        <v>20251008</v>
      </c>
      <c r="H3134" s="38" t="s">
        <v>30</v>
      </c>
      <c r="I3134" s="34" t="s">
        <v>9</v>
      </c>
      <c r="J3134" s="38" t="s">
        <v>61</v>
      </c>
    </row>
    <row r="3135" spans="1:10">
      <c r="A3135" s="32">
        <v>432</v>
      </c>
      <c r="B3135" s="33">
        <v>5195</v>
      </c>
      <c r="C3135" s="3">
        <v>3330000</v>
      </c>
      <c r="D3135" s="3">
        <v>3330000</v>
      </c>
      <c r="E3135" s="7">
        <v>0</v>
      </c>
      <c r="F3135" s="5">
        <v>45939</v>
      </c>
      <c r="G3135" s="4">
        <v>20251008</v>
      </c>
      <c r="H3135" s="38" t="s">
        <v>24</v>
      </c>
      <c r="I3135" s="34" t="s">
        <v>9</v>
      </c>
      <c r="J3135" s="38" t="s">
        <v>126</v>
      </c>
    </row>
    <row r="3136" spans="1:10">
      <c r="A3136" s="32">
        <v>54</v>
      </c>
      <c r="B3136" s="33">
        <v>6204</v>
      </c>
      <c r="C3136" s="3">
        <v>2540000</v>
      </c>
      <c r="D3136" s="3">
        <v>2540000</v>
      </c>
      <c r="E3136" s="7">
        <v>0</v>
      </c>
      <c r="F3136" s="5">
        <v>45939</v>
      </c>
      <c r="G3136" s="4">
        <v>20251008</v>
      </c>
      <c r="H3136" s="38" t="s">
        <v>24</v>
      </c>
      <c r="I3136" s="34" t="s">
        <v>9</v>
      </c>
      <c r="J3136" s="38" t="s">
        <v>152</v>
      </c>
    </row>
    <row r="3137" spans="1:10">
      <c r="A3137" s="32">
        <v>728</v>
      </c>
      <c r="B3137" s="33">
        <v>8587</v>
      </c>
      <c r="C3137" s="3">
        <v>1580000</v>
      </c>
      <c r="D3137" s="3">
        <v>1580000</v>
      </c>
      <c r="E3137" s="7">
        <v>0</v>
      </c>
      <c r="F3137" s="5">
        <v>45939</v>
      </c>
      <c r="G3137" s="4">
        <v>20251008</v>
      </c>
      <c r="H3137" s="38" t="s">
        <v>24</v>
      </c>
      <c r="I3137" s="34" t="s">
        <v>9</v>
      </c>
      <c r="J3137" s="38" t="s">
        <v>130</v>
      </c>
    </row>
    <row r="3138" spans="1:10">
      <c r="A3138" s="32">
        <v>250</v>
      </c>
      <c r="B3138" s="33">
        <v>5197</v>
      </c>
      <c r="C3138" s="3">
        <v>1522000</v>
      </c>
      <c r="D3138" s="3">
        <v>1522000</v>
      </c>
      <c r="E3138" s="7">
        <v>0</v>
      </c>
      <c r="F3138" s="5">
        <v>45939</v>
      </c>
      <c r="G3138" s="4">
        <v>20251008</v>
      </c>
      <c r="H3138" s="38" t="s">
        <v>24</v>
      </c>
      <c r="I3138" s="34" t="s">
        <v>9</v>
      </c>
      <c r="J3138" s="38" t="s">
        <v>522</v>
      </c>
    </row>
    <row r="3139" spans="1:10">
      <c r="A3139" s="32">
        <v>322</v>
      </c>
      <c r="B3139" s="33">
        <v>2444</v>
      </c>
      <c r="C3139" s="3">
        <v>630000</v>
      </c>
      <c r="D3139" s="3">
        <v>630000</v>
      </c>
      <c r="E3139" s="7">
        <v>0</v>
      </c>
      <c r="F3139" s="5">
        <v>45939</v>
      </c>
      <c r="G3139" s="4">
        <v>20251008</v>
      </c>
      <c r="H3139" s="38" t="s">
        <v>24</v>
      </c>
      <c r="I3139" s="34" t="s">
        <v>9</v>
      </c>
      <c r="J3139" s="38" t="s">
        <v>109</v>
      </c>
    </row>
    <row r="3140" spans="1:10">
      <c r="A3140" s="32">
        <v>331</v>
      </c>
      <c r="B3140" s="33">
        <v>574</v>
      </c>
      <c r="C3140" s="3">
        <v>520000</v>
      </c>
      <c r="D3140" s="3">
        <v>520000</v>
      </c>
      <c r="E3140" s="7">
        <v>0</v>
      </c>
      <c r="F3140" s="5">
        <v>45939</v>
      </c>
      <c r="G3140" s="4">
        <v>20251008</v>
      </c>
      <c r="H3140" s="38" t="s">
        <v>24</v>
      </c>
      <c r="I3140" s="34" t="s">
        <v>9</v>
      </c>
      <c r="J3140" s="38" t="s">
        <v>457</v>
      </c>
    </row>
    <row r="3141" spans="1:10">
      <c r="A3141" s="32">
        <v>692</v>
      </c>
      <c r="B3141" s="33">
        <v>1515</v>
      </c>
      <c r="C3141" s="3">
        <v>320000</v>
      </c>
      <c r="D3141" s="3">
        <v>320000</v>
      </c>
      <c r="E3141" s="7">
        <v>0</v>
      </c>
      <c r="F3141" s="5">
        <v>45939</v>
      </c>
      <c r="G3141" s="4">
        <v>20251008</v>
      </c>
      <c r="H3141" s="38" t="s">
        <v>24</v>
      </c>
      <c r="I3141" s="34" t="s">
        <v>9</v>
      </c>
      <c r="J3141" s="38" t="s">
        <v>108</v>
      </c>
    </row>
    <row r="3142" spans="1:10">
      <c r="A3142" s="32">
        <v>191</v>
      </c>
      <c r="B3142" s="33">
        <v>5112</v>
      </c>
      <c r="C3142" s="3">
        <v>200000</v>
      </c>
      <c r="D3142" s="3">
        <v>200000</v>
      </c>
      <c r="E3142" s="7">
        <v>0</v>
      </c>
      <c r="F3142" s="5">
        <v>45939</v>
      </c>
      <c r="G3142" s="4">
        <v>20251008</v>
      </c>
      <c r="H3142" s="38" t="s">
        <v>24</v>
      </c>
      <c r="I3142" s="34" t="s">
        <v>9</v>
      </c>
      <c r="J3142" s="38" t="s">
        <v>529</v>
      </c>
    </row>
    <row r="3143" spans="1:10">
      <c r="A3143" s="32">
        <v>167</v>
      </c>
      <c r="B3143" s="33">
        <v>5030</v>
      </c>
      <c r="C3143" s="3">
        <v>2420000</v>
      </c>
      <c r="D3143" s="3">
        <v>2420000</v>
      </c>
      <c r="E3143" s="7">
        <v>0</v>
      </c>
      <c r="F3143" s="5">
        <v>45940</v>
      </c>
      <c r="G3143" s="4">
        <v>20251009</v>
      </c>
      <c r="H3143" s="38" t="s">
        <v>24</v>
      </c>
      <c r="I3143" s="34" t="s">
        <v>9</v>
      </c>
      <c r="J3143" s="38" t="s">
        <v>330</v>
      </c>
    </row>
    <row r="3144" spans="1:10">
      <c r="A3144" s="32">
        <v>728</v>
      </c>
      <c r="B3144" s="33">
        <v>8587</v>
      </c>
      <c r="C3144" s="3">
        <v>2070000</v>
      </c>
      <c r="D3144" s="3">
        <v>2070000</v>
      </c>
      <c r="E3144" s="7">
        <v>0</v>
      </c>
      <c r="F3144" s="5">
        <v>45940</v>
      </c>
      <c r="G3144" s="4">
        <v>20251009</v>
      </c>
      <c r="H3144" s="38" t="s">
        <v>24</v>
      </c>
      <c r="I3144" s="34" t="s">
        <v>9</v>
      </c>
      <c r="J3144" s="38" t="s">
        <v>130</v>
      </c>
    </row>
    <row r="3145" spans="1:10">
      <c r="A3145" s="32">
        <v>7</v>
      </c>
      <c r="B3145" s="33">
        <v>7812</v>
      </c>
      <c r="C3145" s="3">
        <v>1711000</v>
      </c>
      <c r="D3145" s="3">
        <v>1711000</v>
      </c>
      <c r="E3145" s="7">
        <v>0</v>
      </c>
      <c r="F3145" s="5">
        <v>45940</v>
      </c>
      <c r="G3145" s="4">
        <v>20251009</v>
      </c>
      <c r="H3145" s="38" t="s">
        <v>24</v>
      </c>
      <c r="I3145" s="34" t="s">
        <v>9</v>
      </c>
      <c r="J3145" s="38" t="s">
        <v>274</v>
      </c>
    </row>
    <row r="3146" spans="1:10">
      <c r="A3146" s="32">
        <v>634</v>
      </c>
      <c r="B3146" s="33">
        <v>5087</v>
      </c>
      <c r="C3146" s="3">
        <v>1410000</v>
      </c>
      <c r="D3146" s="3">
        <v>1410000</v>
      </c>
      <c r="E3146" s="7">
        <v>0</v>
      </c>
      <c r="F3146" s="5">
        <v>45940</v>
      </c>
      <c r="G3146" s="4">
        <v>20251009</v>
      </c>
      <c r="H3146" s="38" t="s">
        <v>24</v>
      </c>
      <c r="I3146" s="34" t="s">
        <v>9</v>
      </c>
      <c r="J3146" s="38" t="s">
        <v>183</v>
      </c>
    </row>
    <row r="3147" spans="1:10">
      <c r="A3147" s="32">
        <v>229</v>
      </c>
      <c r="B3147" s="33">
        <v>9604</v>
      </c>
      <c r="C3147" s="3">
        <v>1400000</v>
      </c>
      <c r="D3147" s="3">
        <v>1400000</v>
      </c>
      <c r="E3147" s="7">
        <v>0</v>
      </c>
      <c r="F3147" s="5">
        <v>45940</v>
      </c>
      <c r="G3147" s="4">
        <v>20251009</v>
      </c>
      <c r="H3147" s="38" t="s">
        <v>24</v>
      </c>
      <c r="I3147" s="34" t="s">
        <v>9</v>
      </c>
      <c r="J3147" s="38" t="s">
        <v>384</v>
      </c>
    </row>
    <row r="3148" spans="1:10">
      <c r="A3148" s="32">
        <v>331</v>
      </c>
      <c r="B3148" s="33">
        <v>574</v>
      </c>
      <c r="C3148" s="3">
        <v>1180000</v>
      </c>
      <c r="D3148" s="3">
        <v>1180000</v>
      </c>
      <c r="E3148" s="7">
        <v>0</v>
      </c>
      <c r="F3148" s="5">
        <v>45940</v>
      </c>
      <c r="G3148" s="4">
        <v>20251009</v>
      </c>
      <c r="H3148" s="38" t="s">
        <v>24</v>
      </c>
      <c r="I3148" s="34" t="s">
        <v>9</v>
      </c>
      <c r="J3148" s="38" t="s">
        <v>457</v>
      </c>
    </row>
    <row r="3149" spans="1:10">
      <c r="A3149" s="32">
        <v>211</v>
      </c>
      <c r="B3149" s="33">
        <v>5067</v>
      </c>
      <c r="C3149" s="3">
        <v>354000</v>
      </c>
      <c r="D3149" s="3">
        <v>354000</v>
      </c>
      <c r="E3149" s="7">
        <v>0</v>
      </c>
      <c r="F3149" s="5">
        <v>45940</v>
      </c>
      <c r="G3149" s="4">
        <v>20251009</v>
      </c>
      <c r="H3149" s="38" t="s">
        <v>24</v>
      </c>
      <c r="I3149" s="34" t="s">
        <v>9</v>
      </c>
      <c r="J3149" s="38" t="s">
        <v>441</v>
      </c>
    </row>
    <row r="3150" spans="1:10">
      <c r="A3150" s="32">
        <v>674</v>
      </c>
      <c r="B3150" s="33">
        <v>5200</v>
      </c>
      <c r="C3150" s="3">
        <v>300000</v>
      </c>
      <c r="D3150" s="3">
        <v>300000</v>
      </c>
      <c r="E3150" s="7">
        <v>0</v>
      </c>
      <c r="F3150" s="5">
        <v>45940</v>
      </c>
      <c r="G3150" s="4">
        <v>20251009</v>
      </c>
      <c r="H3150" s="38" t="s">
        <v>24</v>
      </c>
      <c r="I3150" s="34" t="s">
        <v>9</v>
      </c>
      <c r="J3150" s="38" t="s">
        <v>93</v>
      </c>
    </row>
    <row r="3151" spans="1:10">
      <c r="A3151" s="32">
        <v>820</v>
      </c>
      <c r="B3151" s="33">
        <v>6174</v>
      </c>
      <c r="C3151" s="3">
        <v>65000</v>
      </c>
      <c r="D3151" s="3">
        <v>65000</v>
      </c>
      <c r="E3151" s="7">
        <v>0</v>
      </c>
      <c r="F3151" s="5">
        <v>45940</v>
      </c>
      <c r="G3151" s="4">
        <v>20251009</v>
      </c>
      <c r="H3151" s="38" t="s">
        <v>24</v>
      </c>
      <c r="I3151" s="34" t="s">
        <v>9</v>
      </c>
      <c r="J3151" s="38" t="s">
        <v>395</v>
      </c>
    </row>
    <row r="3152" spans="1:10">
      <c r="A3152" s="32">
        <v>522</v>
      </c>
      <c r="B3152" s="33">
        <v>4592</v>
      </c>
      <c r="C3152" s="3">
        <v>400000</v>
      </c>
      <c r="D3152" s="3">
        <v>400000</v>
      </c>
      <c r="E3152" s="7">
        <v>0</v>
      </c>
      <c r="F3152" s="5">
        <v>45940</v>
      </c>
      <c r="G3152" s="4">
        <v>20251009</v>
      </c>
      <c r="H3152" s="38" t="s">
        <v>30</v>
      </c>
      <c r="I3152" s="34" t="s">
        <v>9</v>
      </c>
      <c r="J3152" s="38" t="s">
        <v>350</v>
      </c>
    </row>
    <row r="3153" spans="1:10">
      <c r="A3153" s="32">
        <v>153</v>
      </c>
      <c r="B3153" s="33">
        <v>9881</v>
      </c>
      <c r="C3153" s="3">
        <v>270000</v>
      </c>
      <c r="D3153" s="3">
        <v>270000</v>
      </c>
      <c r="E3153" s="7">
        <v>0</v>
      </c>
      <c r="F3153" s="5">
        <v>45940</v>
      </c>
      <c r="G3153" s="4">
        <v>20251009</v>
      </c>
      <c r="H3153" s="38" t="s">
        <v>30</v>
      </c>
      <c r="I3153" s="34" t="s">
        <v>9</v>
      </c>
      <c r="J3153" s="38" t="s">
        <v>155</v>
      </c>
    </row>
    <row r="3154" spans="1:10">
      <c r="A3154" s="32">
        <v>153</v>
      </c>
      <c r="B3154" s="33">
        <v>9882</v>
      </c>
      <c r="C3154" s="3">
        <v>60000</v>
      </c>
      <c r="D3154" s="3">
        <v>60000</v>
      </c>
      <c r="E3154" s="7">
        <v>0</v>
      </c>
      <c r="F3154" s="5">
        <v>45940</v>
      </c>
      <c r="G3154" s="4">
        <v>20251009</v>
      </c>
      <c r="H3154" s="38" t="s">
        <v>30</v>
      </c>
      <c r="I3154" s="34" t="s">
        <v>9</v>
      </c>
      <c r="J3154" s="38" t="s">
        <v>156</v>
      </c>
    </row>
    <row r="3155" spans="1:10">
      <c r="A3155" s="32">
        <v>824</v>
      </c>
      <c r="B3155" s="33">
        <v>5040</v>
      </c>
      <c r="C3155" s="3">
        <v>1385000</v>
      </c>
      <c r="D3155" s="3">
        <v>1385000</v>
      </c>
      <c r="E3155" s="7">
        <v>0</v>
      </c>
      <c r="F3155" s="5">
        <v>45944</v>
      </c>
      <c r="G3155" s="4">
        <v>20251013</v>
      </c>
      <c r="H3155" s="38" t="s">
        <v>24</v>
      </c>
      <c r="I3155" s="34" t="s">
        <v>9</v>
      </c>
      <c r="J3155" s="38" t="s">
        <v>530</v>
      </c>
    </row>
    <row r="3156" spans="1:10">
      <c r="A3156" s="32">
        <v>267</v>
      </c>
      <c r="B3156" s="33">
        <v>6186</v>
      </c>
      <c r="C3156" s="3">
        <v>820000</v>
      </c>
      <c r="D3156" s="3">
        <v>820000</v>
      </c>
      <c r="E3156" s="7">
        <v>0</v>
      </c>
      <c r="F3156" s="5">
        <v>45944</v>
      </c>
      <c r="G3156" s="4">
        <v>20251013</v>
      </c>
      <c r="H3156" s="38" t="s">
        <v>24</v>
      </c>
      <c r="I3156" s="34" t="s">
        <v>9</v>
      </c>
      <c r="J3156" s="38" t="s">
        <v>300</v>
      </c>
    </row>
    <row r="3157" spans="1:10">
      <c r="A3157" s="32">
        <v>229</v>
      </c>
      <c r="B3157" s="33">
        <v>9605</v>
      </c>
      <c r="C3157" s="3">
        <v>115000</v>
      </c>
      <c r="D3157" s="3">
        <v>115000</v>
      </c>
      <c r="E3157" s="7">
        <v>0</v>
      </c>
      <c r="F3157" s="5">
        <v>45944</v>
      </c>
      <c r="G3157" s="4">
        <v>20251013</v>
      </c>
      <c r="H3157" s="38" t="s">
        <v>24</v>
      </c>
      <c r="I3157" s="34" t="s">
        <v>9</v>
      </c>
      <c r="J3157" s="38" t="s">
        <v>153</v>
      </c>
    </row>
    <row r="3158" spans="1:10">
      <c r="A3158" s="32">
        <v>322</v>
      </c>
      <c r="B3158" s="33">
        <v>2444</v>
      </c>
      <c r="C3158" s="3">
        <v>70000</v>
      </c>
      <c r="D3158" s="3">
        <v>70000</v>
      </c>
      <c r="E3158" s="7">
        <v>0</v>
      </c>
      <c r="F3158" s="5">
        <v>45944</v>
      </c>
      <c r="G3158" s="4">
        <v>20251013</v>
      </c>
      <c r="H3158" s="38" t="s">
        <v>24</v>
      </c>
      <c r="I3158" s="34" t="s">
        <v>9</v>
      </c>
      <c r="J3158" s="38" t="s">
        <v>109</v>
      </c>
    </row>
    <row r="3159" spans="1:10">
      <c r="A3159" s="32">
        <v>289</v>
      </c>
      <c r="B3159" s="33">
        <v>8874</v>
      </c>
      <c r="C3159" s="3">
        <v>120000</v>
      </c>
      <c r="D3159" s="3">
        <v>120000</v>
      </c>
      <c r="E3159" s="7">
        <v>0</v>
      </c>
      <c r="F3159" s="5">
        <v>45944</v>
      </c>
      <c r="G3159" s="4">
        <v>20251009</v>
      </c>
      <c r="H3159" s="38" t="s">
        <v>30</v>
      </c>
      <c r="I3159" s="34"/>
      <c r="J3159" s="38" t="s">
        <v>531</v>
      </c>
    </row>
    <row r="3160" spans="1:10">
      <c r="A3160" s="32">
        <v>60</v>
      </c>
      <c r="B3160" s="33">
        <v>8719</v>
      </c>
      <c r="C3160" s="3">
        <v>600000</v>
      </c>
      <c r="D3160" s="3">
        <v>600000</v>
      </c>
      <c r="E3160" s="7">
        <v>0</v>
      </c>
      <c r="F3160" s="5">
        <v>45944</v>
      </c>
      <c r="G3160" s="4">
        <v>20251013</v>
      </c>
      <c r="H3160" s="38" t="s">
        <v>30</v>
      </c>
      <c r="I3160" s="34" t="s">
        <v>9</v>
      </c>
      <c r="J3160" s="38" t="s">
        <v>31</v>
      </c>
    </row>
    <row r="3161" spans="1:10">
      <c r="A3161" s="32">
        <v>499</v>
      </c>
      <c r="B3161" s="33">
        <v>9808</v>
      </c>
      <c r="C3161" s="3">
        <v>5360000</v>
      </c>
      <c r="D3161" s="3">
        <v>5360000</v>
      </c>
      <c r="E3161" s="7">
        <v>0</v>
      </c>
      <c r="F3161" s="5">
        <v>45944</v>
      </c>
      <c r="G3161" s="4">
        <v>20251013</v>
      </c>
      <c r="H3161" s="38" t="s">
        <v>30</v>
      </c>
      <c r="I3161" s="34" t="s">
        <v>9</v>
      </c>
      <c r="J3161" s="38" t="s">
        <v>65</v>
      </c>
    </row>
    <row r="3162" spans="1:10">
      <c r="A3162" s="32">
        <v>536</v>
      </c>
      <c r="B3162" s="33">
        <v>4795</v>
      </c>
      <c r="C3162" s="3">
        <v>600000</v>
      </c>
      <c r="D3162" s="3">
        <v>600000</v>
      </c>
      <c r="E3162" s="7">
        <v>0</v>
      </c>
      <c r="F3162" s="5">
        <v>45944</v>
      </c>
      <c r="G3162" s="4">
        <v>20251013</v>
      </c>
      <c r="H3162" s="38" t="s">
        <v>30</v>
      </c>
      <c r="I3162" s="34" t="s">
        <v>9</v>
      </c>
      <c r="J3162" s="38" t="s">
        <v>37</v>
      </c>
    </row>
    <row r="3163" spans="1:10">
      <c r="A3163" s="32">
        <v>337</v>
      </c>
      <c r="B3163" s="33">
        <v>6253</v>
      </c>
      <c r="C3163" s="3">
        <v>2700000</v>
      </c>
      <c r="D3163" s="3">
        <v>2700000</v>
      </c>
      <c r="E3163" s="7">
        <v>0</v>
      </c>
      <c r="F3163" s="5">
        <v>45940</v>
      </c>
      <c r="G3163" s="4">
        <v>20251010</v>
      </c>
      <c r="H3163" s="38" t="s">
        <v>24</v>
      </c>
      <c r="I3163" s="34" t="s">
        <v>12</v>
      </c>
      <c r="J3163" s="38" t="s">
        <v>352</v>
      </c>
    </row>
    <row r="3164" spans="1:10">
      <c r="A3164" s="32">
        <v>331</v>
      </c>
      <c r="B3164" s="33">
        <v>574</v>
      </c>
      <c r="C3164" s="3">
        <v>3930000</v>
      </c>
      <c r="D3164" s="3">
        <v>3930000</v>
      </c>
      <c r="E3164" s="7">
        <v>0</v>
      </c>
      <c r="F3164" s="5">
        <v>45945</v>
      </c>
      <c r="G3164" s="4">
        <v>20251014</v>
      </c>
      <c r="H3164" s="38" t="s">
        <v>24</v>
      </c>
      <c r="I3164" s="34" t="s">
        <v>9</v>
      </c>
      <c r="J3164" s="38" t="s">
        <v>457</v>
      </c>
    </row>
    <row r="3165" spans="1:10">
      <c r="A3165" s="32">
        <v>322</v>
      </c>
      <c r="B3165" s="33">
        <v>2444</v>
      </c>
      <c r="C3165" s="3">
        <v>3710000</v>
      </c>
      <c r="D3165" s="3">
        <v>3710000</v>
      </c>
      <c r="E3165" s="7">
        <v>0</v>
      </c>
      <c r="F3165" s="5">
        <v>45945</v>
      </c>
      <c r="G3165" s="4">
        <v>20251014</v>
      </c>
      <c r="H3165" s="38" t="s">
        <v>24</v>
      </c>
      <c r="I3165" s="34" t="s">
        <v>9</v>
      </c>
      <c r="J3165" s="38" t="s">
        <v>109</v>
      </c>
    </row>
    <row r="3166" spans="1:10">
      <c r="A3166" s="32">
        <v>20</v>
      </c>
      <c r="B3166" s="33">
        <v>6839</v>
      </c>
      <c r="C3166" s="3">
        <v>1690000</v>
      </c>
      <c r="D3166" s="3">
        <v>1690000</v>
      </c>
      <c r="E3166" s="7">
        <v>0</v>
      </c>
      <c r="F3166" s="5">
        <v>45945</v>
      </c>
      <c r="G3166" s="4">
        <v>20251014</v>
      </c>
      <c r="H3166" s="38" t="s">
        <v>24</v>
      </c>
      <c r="I3166" s="34" t="s">
        <v>9</v>
      </c>
      <c r="J3166" s="38" t="s">
        <v>112</v>
      </c>
    </row>
    <row r="3167" spans="1:10">
      <c r="A3167" s="32">
        <v>820</v>
      </c>
      <c r="B3167" s="33">
        <v>6174</v>
      </c>
      <c r="C3167" s="3">
        <v>1565000</v>
      </c>
      <c r="D3167" s="3">
        <v>1565000</v>
      </c>
      <c r="E3167" s="7">
        <v>0</v>
      </c>
      <c r="F3167" s="5">
        <v>45945</v>
      </c>
      <c r="G3167" s="4">
        <v>20251014</v>
      </c>
      <c r="H3167" s="38" t="s">
        <v>24</v>
      </c>
      <c r="I3167" s="34" t="s">
        <v>9</v>
      </c>
      <c r="J3167" s="38" t="s">
        <v>395</v>
      </c>
    </row>
    <row r="3168" spans="1:10">
      <c r="A3168" s="32">
        <v>229</v>
      </c>
      <c r="B3168" s="33">
        <v>9605</v>
      </c>
      <c r="C3168" s="3">
        <v>1560000</v>
      </c>
      <c r="D3168" s="3">
        <v>1560000</v>
      </c>
      <c r="E3168" s="7">
        <v>0</v>
      </c>
      <c r="F3168" s="5">
        <v>45945</v>
      </c>
      <c r="G3168" s="4">
        <v>20251014</v>
      </c>
      <c r="H3168" s="38" t="s">
        <v>24</v>
      </c>
      <c r="I3168" s="34" t="s">
        <v>9</v>
      </c>
      <c r="J3168" s="38" t="s">
        <v>153</v>
      </c>
    </row>
    <row r="3169" spans="1:10">
      <c r="A3169" s="32">
        <v>634</v>
      </c>
      <c r="B3169" s="33">
        <v>5087</v>
      </c>
      <c r="C3169" s="3">
        <v>840000</v>
      </c>
      <c r="D3169" s="3">
        <v>840000</v>
      </c>
      <c r="E3169" s="7">
        <v>0</v>
      </c>
      <c r="F3169" s="5">
        <v>45945</v>
      </c>
      <c r="G3169" s="4">
        <v>20251014</v>
      </c>
      <c r="H3169" s="38" t="s">
        <v>24</v>
      </c>
      <c r="I3169" s="34" t="s">
        <v>9</v>
      </c>
      <c r="J3169" s="38" t="s">
        <v>183</v>
      </c>
    </row>
    <row r="3170" spans="1:10">
      <c r="A3170" s="32">
        <v>211</v>
      </c>
      <c r="B3170" s="33">
        <v>5067</v>
      </c>
      <c r="C3170" s="3">
        <v>626000</v>
      </c>
      <c r="D3170" s="3">
        <v>626000</v>
      </c>
      <c r="E3170" s="7">
        <v>0</v>
      </c>
      <c r="F3170" s="5">
        <v>45945</v>
      </c>
      <c r="G3170" s="4">
        <v>20251014</v>
      </c>
      <c r="H3170" s="38" t="s">
        <v>24</v>
      </c>
      <c r="I3170" s="34" t="s">
        <v>9</v>
      </c>
      <c r="J3170" s="38" t="s">
        <v>441</v>
      </c>
    </row>
    <row r="3171" spans="1:10">
      <c r="A3171" s="32">
        <v>481</v>
      </c>
      <c r="B3171" s="33">
        <v>1006</v>
      </c>
      <c r="C3171" s="3">
        <v>1000000</v>
      </c>
      <c r="D3171" s="3">
        <v>1000000</v>
      </c>
      <c r="E3171" s="7">
        <v>0</v>
      </c>
      <c r="F3171" s="5">
        <v>45945</v>
      </c>
      <c r="G3171" s="4">
        <v>20251010</v>
      </c>
      <c r="H3171" s="38" t="s">
        <v>30</v>
      </c>
      <c r="I3171" s="34"/>
      <c r="J3171" s="38" t="s">
        <v>532</v>
      </c>
    </row>
    <row r="3172" spans="1:10">
      <c r="A3172" s="32">
        <v>60</v>
      </c>
      <c r="B3172" s="33">
        <v>8720</v>
      </c>
      <c r="C3172" s="3">
        <v>3100000</v>
      </c>
      <c r="D3172" s="3">
        <v>3100000</v>
      </c>
      <c r="E3172" s="7">
        <v>0</v>
      </c>
      <c r="F3172" s="5">
        <v>45945</v>
      </c>
      <c r="G3172" s="4">
        <v>20251014</v>
      </c>
      <c r="H3172" s="38" t="s">
        <v>30</v>
      </c>
      <c r="I3172" s="34" t="s">
        <v>9</v>
      </c>
      <c r="J3172" s="38" t="s">
        <v>324</v>
      </c>
    </row>
    <row r="3173" spans="1:10">
      <c r="A3173" s="32">
        <v>229</v>
      </c>
      <c r="B3173" s="33">
        <v>8956</v>
      </c>
      <c r="C3173" s="3">
        <v>2300000</v>
      </c>
      <c r="D3173" s="3">
        <v>2300000</v>
      </c>
      <c r="E3173" s="7">
        <v>0</v>
      </c>
      <c r="F3173" s="5">
        <v>45945</v>
      </c>
      <c r="G3173" s="4">
        <v>20251014</v>
      </c>
      <c r="H3173" s="38" t="s">
        <v>30</v>
      </c>
      <c r="I3173" s="34" t="s">
        <v>9</v>
      </c>
      <c r="J3173" s="38" t="s">
        <v>260</v>
      </c>
    </row>
    <row r="3174" spans="1:10">
      <c r="A3174" s="32">
        <v>993</v>
      </c>
      <c r="B3174" s="33">
        <v>3469</v>
      </c>
      <c r="C3174" s="3">
        <v>280000</v>
      </c>
      <c r="D3174" s="3">
        <v>280000</v>
      </c>
      <c r="E3174" s="7">
        <v>0</v>
      </c>
      <c r="F3174" s="5">
        <v>45945</v>
      </c>
      <c r="G3174" s="4">
        <v>20251014</v>
      </c>
      <c r="H3174" s="38" t="s">
        <v>30</v>
      </c>
      <c r="I3174" s="34" t="s">
        <v>9</v>
      </c>
      <c r="J3174" s="38" t="s">
        <v>533</v>
      </c>
    </row>
    <row r="3175" spans="1:10">
      <c r="A3175" s="32">
        <v>57</v>
      </c>
      <c r="B3175" s="33">
        <v>9950</v>
      </c>
      <c r="C3175" s="3">
        <v>30000</v>
      </c>
      <c r="D3175" s="3">
        <v>30000</v>
      </c>
      <c r="E3175" s="7">
        <v>0</v>
      </c>
      <c r="F3175" s="5">
        <v>45946</v>
      </c>
      <c r="G3175" s="4">
        <v>20251015</v>
      </c>
      <c r="H3175" s="38" t="s">
        <v>30</v>
      </c>
      <c r="I3175" s="34"/>
      <c r="J3175" s="38" t="s">
        <v>534</v>
      </c>
    </row>
    <row r="3176" spans="1:10">
      <c r="A3176" s="32">
        <v>467</v>
      </c>
      <c r="B3176" s="33">
        <v>8917</v>
      </c>
      <c r="C3176" s="3">
        <v>50000</v>
      </c>
      <c r="D3176" s="3">
        <v>50000</v>
      </c>
      <c r="E3176" s="7">
        <v>0</v>
      </c>
      <c r="F3176" s="5">
        <v>45946</v>
      </c>
      <c r="G3176" s="4">
        <v>20251015</v>
      </c>
      <c r="H3176" s="38" t="s">
        <v>30</v>
      </c>
      <c r="I3176" s="34"/>
      <c r="J3176" s="38" t="s">
        <v>436</v>
      </c>
    </row>
    <row r="3177" spans="1:10">
      <c r="A3177" s="32">
        <v>536</v>
      </c>
      <c r="B3177" s="33">
        <v>4795</v>
      </c>
      <c r="C3177" s="3">
        <v>4230000</v>
      </c>
      <c r="D3177" s="3">
        <v>4230000</v>
      </c>
      <c r="E3177" s="7">
        <v>0</v>
      </c>
      <c r="F3177" s="5">
        <v>45946</v>
      </c>
      <c r="G3177" s="4">
        <v>20251015</v>
      </c>
      <c r="H3177" s="38" t="s">
        <v>30</v>
      </c>
      <c r="I3177" s="34"/>
      <c r="J3177" s="38" t="s">
        <v>37</v>
      </c>
    </row>
    <row r="3178" spans="1:10">
      <c r="A3178" s="32">
        <v>522</v>
      </c>
      <c r="B3178" s="33">
        <v>4592</v>
      </c>
      <c r="C3178" s="3">
        <v>450000</v>
      </c>
      <c r="D3178" s="3">
        <v>450000</v>
      </c>
      <c r="E3178" s="7">
        <v>0</v>
      </c>
      <c r="F3178" s="5">
        <v>45946</v>
      </c>
      <c r="G3178" s="4">
        <v>20251015</v>
      </c>
      <c r="H3178" s="38" t="s">
        <v>30</v>
      </c>
      <c r="I3178" s="34" t="s">
        <v>9</v>
      </c>
      <c r="J3178" s="38" t="s">
        <v>350</v>
      </c>
    </row>
    <row r="3179" spans="1:10">
      <c r="A3179" s="32">
        <v>91</v>
      </c>
      <c r="B3179" s="33">
        <v>7943</v>
      </c>
      <c r="C3179" s="3">
        <v>390000</v>
      </c>
      <c r="D3179" s="3">
        <v>390000</v>
      </c>
      <c r="E3179" s="7">
        <v>0</v>
      </c>
      <c r="F3179" s="5">
        <v>45903</v>
      </c>
      <c r="G3179" s="4">
        <v>20250902</v>
      </c>
      <c r="H3179" s="38" t="s">
        <v>24</v>
      </c>
      <c r="I3179" s="34" t="s">
        <v>9</v>
      </c>
      <c r="J3179" s="38" t="s">
        <v>535</v>
      </c>
    </row>
    <row r="3180" spans="1:10">
      <c r="A3180" s="32">
        <v>852</v>
      </c>
      <c r="B3180" s="33">
        <v>5050</v>
      </c>
      <c r="C3180" s="3">
        <v>1413300</v>
      </c>
      <c r="D3180" s="3">
        <v>1413300</v>
      </c>
      <c r="E3180" s="7">
        <v>0</v>
      </c>
      <c r="F3180" s="5">
        <v>45916</v>
      </c>
      <c r="G3180" s="4">
        <v>20250915</v>
      </c>
      <c r="H3180" s="38" t="s">
        <v>24</v>
      </c>
      <c r="I3180" s="34" t="s">
        <v>9</v>
      </c>
      <c r="J3180" s="38" t="s">
        <v>244</v>
      </c>
    </row>
    <row r="3181" spans="1:10">
      <c r="A3181" s="32">
        <v>780</v>
      </c>
      <c r="B3181" s="33">
        <v>4714</v>
      </c>
      <c r="C3181" s="3">
        <v>20000</v>
      </c>
      <c r="D3181" s="3">
        <v>20000</v>
      </c>
      <c r="E3181" s="7">
        <v>0</v>
      </c>
      <c r="F3181" s="5">
        <v>45923</v>
      </c>
      <c r="G3181" s="4">
        <v>20250922</v>
      </c>
      <c r="H3181" s="38" t="s">
        <v>30</v>
      </c>
      <c r="I3181" s="34" t="s">
        <v>10</v>
      </c>
      <c r="J3181" s="38" t="s">
        <v>107</v>
      </c>
    </row>
    <row r="3182" spans="1:10">
      <c r="A3182" s="32">
        <v>812</v>
      </c>
      <c r="B3182" s="33">
        <v>7614</v>
      </c>
      <c r="C3182" s="3">
        <v>646000</v>
      </c>
      <c r="D3182" s="3">
        <v>646000</v>
      </c>
      <c r="E3182" s="7">
        <v>0</v>
      </c>
      <c r="F3182" s="5">
        <v>45925</v>
      </c>
      <c r="G3182" s="4">
        <v>20250924</v>
      </c>
      <c r="H3182" s="38" t="s">
        <v>24</v>
      </c>
      <c r="I3182" s="34" t="s">
        <v>9</v>
      </c>
      <c r="J3182" s="38" t="s">
        <v>335</v>
      </c>
    </row>
    <row r="3183" spans="1:10">
      <c r="A3183" s="32">
        <v>499</v>
      </c>
      <c r="B3183" s="33">
        <v>9807</v>
      </c>
      <c r="C3183" s="3">
        <v>200000</v>
      </c>
      <c r="D3183" s="3">
        <v>200000</v>
      </c>
      <c r="E3183" s="7">
        <v>0</v>
      </c>
      <c r="F3183" s="5">
        <v>45926</v>
      </c>
      <c r="G3183" s="4">
        <v>20250925</v>
      </c>
      <c r="H3183" s="38" t="s">
        <v>30</v>
      </c>
      <c r="I3183" s="34" t="s">
        <v>9</v>
      </c>
      <c r="J3183" s="38" t="s">
        <v>409</v>
      </c>
    </row>
    <row r="3184" spans="1:10">
      <c r="A3184" s="32">
        <v>690</v>
      </c>
      <c r="B3184" s="33">
        <v>6180</v>
      </c>
      <c r="C3184" s="3">
        <v>490000</v>
      </c>
      <c r="D3184" s="3">
        <v>490000</v>
      </c>
      <c r="E3184" s="7">
        <v>0</v>
      </c>
      <c r="F3184" s="5">
        <v>45926</v>
      </c>
      <c r="G3184" s="4">
        <v>20250925</v>
      </c>
      <c r="H3184" s="38" t="s">
        <v>24</v>
      </c>
      <c r="I3184" s="34" t="s">
        <v>9</v>
      </c>
      <c r="J3184" s="38" t="s">
        <v>77</v>
      </c>
    </row>
    <row r="3185" spans="1:10">
      <c r="A3185" s="32">
        <v>499</v>
      </c>
      <c r="B3185" s="33">
        <v>9807</v>
      </c>
      <c r="C3185" s="3">
        <v>270000</v>
      </c>
      <c r="D3185" s="3">
        <v>270000</v>
      </c>
      <c r="E3185" s="7">
        <v>0</v>
      </c>
      <c r="F3185" s="5">
        <v>45929</v>
      </c>
      <c r="G3185" s="4">
        <v>20250928</v>
      </c>
      <c r="H3185" s="38" t="s">
        <v>30</v>
      </c>
      <c r="I3185" s="34" t="s">
        <v>9</v>
      </c>
      <c r="J3185" s="38" t="s">
        <v>409</v>
      </c>
    </row>
    <row r="3186" spans="1:10">
      <c r="A3186" s="32">
        <v>780</v>
      </c>
      <c r="B3186" s="33">
        <v>4714</v>
      </c>
      <c r="C3186" s="3">
        <v>600000</v>
      </c>
      <c r="D3186" s="3">
        <v>600000</v>
      </c>
      <c r="E3186" s="7">
        <v>0</v>
      </c>
      <c r="F3186" s="5">
        <v>45932</v>
      </c>
      <c r="G3186" s="4">
        <v>20251001</v>
      </c>
      <c r="H3186" s="38" t="s">
        <v>30</v>
      </c>
      <c r="I3186" s="34" t="s">
        <v>9</v>
      </c>
      <c r="J3186" s="38" t="s">
        <v>107</v>
      </c>
    </row>
    <row r="3187" spans="1:10">
      <c r="A3187" s="32">
        <v>467</v>
      </c>
      <c r="B3187" s="33">
        <v>9051</v>
      </c>
      <c r="C3187" s="3">
        <v>800000</v>
      </c>
      <c r="D3187" s="3">
        <v>800000</v>
      </c>
      <c r="E3187" s="7">
        <v>0</v>
      </c>
      <c r="F3187" s="5">
        <v>45932</v>
      </c>
      <c r="G3187" s="4">
        <v>20251001</v>
      </c>
      <c r="H3187" s="38" t="s">
        <v>24</v>
      </c>
      <c r="I3187" s="34" t="s">
        <v>9</v>
      </c>
      <c r="J3187" s="38" t="s">
        <v>314</v>
      </c>
    </row>
    <row r="3188" spans="1:10">
      <c r="A3188" s="32">
        <v>690</v>
      </c>
      <c r="B3188" s="33">
        <v>6180</v>
      </c>
      <c r="C3188" s="3">
        <v>1010000</v>
      </c>
      <c r="D3188" s="3">
        <v>1010000</v>
      </c>
      <c r="E3188" s="7">
        <v>0</v>
      </c>
      <c r="F3188" s="5">
        <v>45933</v>
      </c>
      <c r="G3188" s="4">
        <v>20251002</v>
      </c>
      <c r="H3188" s="38" t="s">
        <v>24</v>
      </c>
      <c r="I3188" s="34" t="s">
        <v>9</v>
      </c>
      <c r="J3188" s="38" t="s">
        <v>77</v>
      </c>
    </row>
    <row r="3189" spans="1:10">
      <c r="A3189" s="32">
        <v>454</v>
      </c>
      <c r="B3189" s="33">
        <v>1886</v>
      </c>
      <c r="C3189" s="3">
        <v>50000</v>
      </c>
      <c r="D3189" s="3">
        <v>50000</v>
      </c>
      <c r="E3189" s="7">
        <v>0</v>
      </c>
      <c r="F3189" s="5">
        <v>45933</v>
      </c>
      <c r="G3189" s="4">
        <v>20251002</v>
      </c>
      <c r="H3189" s="38" t="s">
        <v>30</v>
      </c>
      <c r="I3189" s="34" t="s">
        <v>9</v>
      </c>
      <c r="J3189" s="38" t="s">
        <v>439</v>
      </c>
    </row>
    <row r="3190" spans="1:10">
      <c r="A3190" s="32">
        <v>217</v>
      </c>
      <c r="B3190" s="33">
        <v>5208</v>
      </c>
      <c r="C3190" s="3">
        <v>100000</v>
      </c>
      <c r="D3190" s="3">
        <v>100000</v>
      </c>
      <c r="E3190" s="7">
        <v>0</v>
      </c>
      <c r="F3190" s="5">
        <v>45936</v>
      </c>
      <c r="G3190" s="4">
        <v>20251005</v>
      </c>
      <c r="H3190" s="38" t="s">
        <v>24</v>
      </c>
      <c r="I3190" s="34" t="s">
        <v>9</v>
      </c>
      <c r="J3190" s="38" t="s">
        <v>326</v>
      </c>
    </row>
    <row r="3191" spans="1:10">
      <c r="A3191" s="32">
        <v>693</v>
      </c>
      <c r="B3191" s="33">
        <v>7979</v>
      </c>
      <c r="C3191" s="3">
        <v>50000</v>
      </c>
      <c r="D3191" s="3">
        <v>50000</v>
      </c>
      <c r="E3191" s="7">
        <v>0</v>
      </c>
      <c r="F3191" s="5">
        <v>45936</v>
      </c>
      <c r="G3191" s="4">
        <v>20251006</v>
      </c>
      <c r="H3191" s="38" t="s">
        <v>24</v>
      </c>
      <c r="I3191" s="34" t="s">
        <v>536</v>
      </c>
      <c r="J3191" s="38" t="s">
        <v>537</v>
      </c>
    </row>
    <row r="3192" spans="1:10">
      <c r="A3192" s="32">
        <v>454</v>
      </c>
      <c r="B3192" s="33">
        <v>1886</v>
      </c>
      <c r="C3192" s="3">
        <v>600000</v>
      </c>
      <c r="D3192" s="3">
        <v>600000</v>
      </c>
      <c r="E3192" s="7">
        <v>0</v>
      </c>
      <c r="F3192" s="5">
        <v>45937</v>
      </c>
      <c r="G3192" s="4">
        <v>20251006</v>
      </c>
      <c r="H3192" s="38" t="s">
        <v>30</v>
      </c>
      <c r="I3192" s="34" t="s">
        <v>9</v>
      </c>
      <c r="J3192" s="38" t="s">
        <v>439</v>
      </c>
    </row>
    <row r="3193" spans="1:10">
      <c r="A3193" s="32">
        <v>780</v>
      </c>
      <c r="B3193" s="33">
        <v>4714</v>
      </c>
      <c r="C3193" s="3">
        <v>20000</v>
      </c>
      <c r="D3193" s="3">
        <v>20000</v>
      </c>
      <c r="E3193" s="7">
        <v>0</v>
      </c>
      <c r="F3193" s="5">
        <v>45937</v>
      </c>
      <c r="G3193" s="4">
        <v>20251006</v>
      </c>
      <c r="H3193" s="38" t="s">
        <v>30</v>
      </c>
      <c r="I3193" s="34" t="s">
        <v>10</v>
      </c>
      <c r="J3193" s="38" t="s">
        <v>107</v>
      </c>
    </row>
    <row r="3194" spans="1:10">
      <c r="A3194" s="32">
        <v>31</v>
      </c>
      <c r="B3194" s="33">
        <v>8733</v>
      </c>
      <c r="C3194" s="3">
        <v>10000</v>
      </c>
      <c r="D3194" s="3">
        <v>10000</v>
      </c>
      <c r="E3194" s="7">
        <v>0</v>
      </c>
      <c r="F3194" s="5">
        <v>45937</v>
      </c>
      <c r="G3194" s="4">
        <v>20251006</v>
      </c>
      <c r="H3194" s="38" t="s">
        <v>30</v>
      </c>
      <c r="I3194" s="34" t="s">
        <v>10</v>
      </c>
      <c r="J3194" s="38" t="s">
        <v>196</v>
      </c>
    </row>
    <row r="3195" spans="1:10">
      <c r="A3195" s="32">
        <v>888</v>
      </c>
      <c r="B3195" s="33">
        <v>6818</v>
      </c>
      <c r="C3195" s="3">
        <v>1250000</v>
      </c>
      <c r="D3195" s="3">
        <v>1250000</v>
      </c>
      <c r="E3195" s="7">
        <v>0</v>
      </c>
      <c r="F3195" s="5">
        <v>45938</v>
      </c>
      <c r="G3195" s="4">
        <v>20251007</v>
      </c>
      <c r="H3195" s="38" t="s">
        <v>24</v>
      </c>
      <c r="I3195" s="34" t="s">
        <v>9</v>
      </c>
      <c r="J3195" s="38" t="s">
        <v>321</v>
      </c>
    </row>
    <row r="3196" spans="1:10">
      <c r="A3196" s="32">
        <v>454</v>
      </c>
      <c r="B3196" s="33">
        <v>1886</v>
      </c>
      <c r="C3196" s="3">
        <v>200000</v>
      </c>
      <c r="D3196" s="3">
        <v>200000</v>
      </c>
      <c r="E3196" s="7">
        <v>0</v>
      </c>
      <c r="F3196" s="5">
        <v>45938</v>
      </c>
      <c r="G3196" s="4">
        <v>20251007</v>
      </c>
      <c r="H3196" s="38" t="s">
        <v>30</v>
      </c>
      <c r="I3196" s="34" t="s">
        <v>9</v>
      </c>
      <c r="J3196" s="38" t="s">
        <v>439</v>
      </c>
    </row>
    <row r="3197" spans="1:10">
      <c r="A3197" s="32">
        <v>499</v>
      </c>
      <c r="B3197" s="33">
        <v>9807</v>
      </c>
      <c r="C3197" s="3">
        <v>490000</v>
      </c>
      <c r="D3197" s="3">
        <v>490000</v>
      </c>
      <c r="E3197" s="7">
        <v>0</v>
      </c>
      <c r="F3197" s="5">
        <v>45938</v>
      </c>
      <c r="G3197" s="4">
        <v>20251007</v>
      </c>
      <c r="H3197" s="38" t="s">
        <v>30</v>
      </c>
      <c r="I3197" s="34" t="s">
        <v>9</v>
      </c>
      <c r="J3197" s="38" t="s">
        <v>409</v>
      </c>
    </row>
    <row r="3198" spans="1:10">
      <c r="A3198" s="32">
        <v>297</v>
      </c>
      <c r="B3198" s="33">
        <v>5398</v>
      </c>
      <c r="C3198" s="3">
        <v>400000</v>
      </c>
      <c r="D3198" s="3">
        <v>400000</v>
      </c>
      <c r="E3198" s="7">
        <v>0</v>
      </c>
      <c r="F3198" s="5">
        <v>45939</v>
      </c>
      <c r="G3198" s="4">
        <v>20251008</v>
      </c>
      <c r="H3198" s="38" t="s">
        <v>30</v>
      </c>
      <c r="I3198" s="34"/>
      <c r="J3198" s="38" t="s">
        <v>312</v>
      </c>
    </row>
    <row r="3199" spans="1:10">
      <c r="A3199" s="32">
        <v>60</v>
      </c>
      <c r="B3199" s="33">
        <v>8725</v>
      </c>
      <c r="C3199" s="3">
        <v>400000</v>
      </c>
      <c r="D3199" s="3">
        <v>400000</v>
      </c>
      <c r="E3199" s="7">
        <v>0</v>
      </c>
      <c r="F3199" s="5">
        <v>45939</v>
      </c>
      <c r="G3199" s="4">
        <v>20251008</v>
      </c>
      <c r="H3199" s="38" t="s">
        <v>30</v>
      </c>
      <c r="I3199" s="34" t="s">
        <v>9</v>
      </c>
      <c r="J3199" s="38" t="s">
        <v>323</v>
      </c>
    </row>
    <row r="3200" spans="1:10">
      <c r="A3200" s="32">
        <v>365</v>
      </c>
      <c r="B3200" s="33">
        <v>454</v>
      </c>
      <c r="C3200" s="3">
        <v>4000000</v>
      </c>
      <c r="D3200" s="3">
        <v>4000000</v>
      </c>
      <c r="E3200" s="7">
        <v>0</v>
      </c>
      <c r="F3200" s="5">
        <v>45939</v>
      </c>
      <c r="G3200" s="4">
        <v>20251008</v>
      </c>
      <c r="H3200" s="38" t="s">
        <v>30</v>
      </c>
      <c r="I3200" s="34" t="s">
        <v>9</v>
      </c>
      <c r="J3200" s="38" t="s">
        <v>538</v>
      </c>
    </row>
    <row r="3201" spans="1:10">
      <c r="A3201" s="32">
        <v>499</v>
      </c>
      <c r="B3201" s="33">
        <v>9807</v>
      </c>
      <c r="C3201" s="3">
        <v>250000</v>
      </c>
      <c r="D3201" s="3">
        <v>250000</v>
      </c>
      <c r="E3201" s="7">
        <v>0</v>
      </c>
      <c r="F3201" s="5">
        <v>45939</v>
      </c>
      <c r="G3201" s="4">
        <v>20251008</v>
      </c>
      <c r="H3201" s="38" t="s">
        <v>30</v>
      </c>
      <c r="I3201" s="34" t="s">
        <v>9</v>
      </c>
      <c r="J3201" s="38" t="s">
        <v>409</v>
      </c>
    </row>
    <row r="3202" spans="1:10">
      <c r="A3202" s="32">
        <v>852</v>
      </c>
      <c r="B3202" s="33">
        <v>5050</v>
      </c>
      <c r="C3202" s="3">
        <v>1400950</v>
      </c>
      <c r="D3202" s="3">
        <v>1400950</v>
      </c>
      <c r="E3202" s="7">
        <v>0</v>
      </c>
      <c r="F3202" s="5">
        <v>45939</v>
      </c>
      <c r="G3202" s="4">
        <v>20251008</v>
      </c>
      <c r="H3202" s="38" t="s">
        <v>24</v>
      </c>
      <c r="I3202" s="34" t="s">
        <v>9</v>
      </c>
      <c r="J3202" s="38" t="s">
        <v>244</v>
      </c>
    </row>
    <row r="3203" spans="1:10">
      <c r="A3203" s="32">
        <v>297</v>
      </c>
      <c r="B3203" s="33">
        <v>5398</v>
      </c>
      <c r="C3203" s="3">
        <v>260000</v>
      </c>
      <c r="D3203" s="3">
        <v>260000</v>
      </c>
      <c r="E3203" s="7">
        <v>0</v>
      </c>
      <c r="F3203" s="5">
        <v>45940</v>
      </c>
      <c r="G3203" s="4">
        <v>20251009</v>
      </c>
      <c r="H3203" s="38" t="s">
        <v>30</v>
      </c>
      <c r="I3203" s="34" t="s">
        <v>9</v>
      </c>
      <c r="J3203" s="38" t="s">
        <v>312</v>
      </c>
    </row>
    <row r="3204" spans="1:10">
      <c r="A3204" s="32">
        <v>499</v>
      </c>
      <c r="B3204" s="33">
        <v>9806</v>
      </c>
      <c r="C3204" s="3">
        <v>140000</v>
      </c>
      <c r="D3204" s="3">
        <v>140000</v>
      </c>
      <c r="E3204" s="7">
        <v>0</v>
      </c>
      <c r="F3204" s="5">
        <v>45940</v>
      </c>
      <c r="G3204" s="4">
        <v>20251009</v>
      </c>
      <c r="H3204" s="38" t="s">
        <v>30</v>
      </c>
      <c r="I3204" s="34" t="s">
        <v>9</v>
      </c>
      <c r="J3204" s="38" t="s">
        <v>447</v>
      </c>
    </row>
    <row r="3205" spans="1:10">
      <c r="A3205" s="32">
        <v>229</v>
      </c>
      <c r="B3205" s="33">
        <v>8957</v>
      </c>
      <c r="C3205" s="3">
        <v>110000</v>
      </c>
      <c r="D3205" s="3">
        <v>110000</v>
      </c>
      <c r="E3205" s="7">
        <v>0</v>
      </c>
      <c r="F3205" s="5">
        <v>45944</v>
      </c>
      <c r="G3205" s="4">
        <v>20251013</v>
      </c>
      <c r="H3205" s="38" t="s">
        <v>30</v>
      </c>
      <c r="I3205" s="34" t="s">
        <v>9</v>
      </c>
      <c r="J3205" s="38" t="s">
        <v>71</v>
      </c>
    </row>
    <row r="3206" spans="1:10">
      <c r="A3206" s="32">
        <v>297</v>
      </c>
      <c r="B3206" s="33">
        <v>5398</v>
      </c>
      <c r="C3206" s="3">
        <v>420000</v>
      </c>
      <c r="D3206" s="3">
        <v>420000</v>
      </c>
      <c r="E3206" s="7">
        <v>0</v>
      </c>
      <c r="F3206" s="5">
        <v>45944</v>
      </c>
      <c r="G3206" s="4">
        <v>20251013</v>
      </c>
      <c r="H3206" s="38" t="s">
        <v>30</v>
      </c>
      <c r="I3206" s="34" t="s">
        <v>9</v>
      </c>
      <c r="J3206" s="38" t="s">
        <v>312</v>
      </c>
    </row>
    <row r="3207" spans="1:10">
      <c r="A3207" s="32">
        <v>780</v>
      </c>
      <c r="B3207" s="33">
        <v>4713</v>
      </c>
      <c r="C3207" s="3">
        <v>700000</v>
      </c>
      <c r="D3207" s="3">
        <v>700000</v>
      </c>
      <c r="E3207" s="7">
        <v>0</v>
      </c>
      <c r="F3207" s="5">
        <v>45944</v>
      </c>
      <c r="G3207" s="4">
        <v>20251013</v>
      </c>
      <c r="H3207" s="38" t="s">
        <v>30</v>
      </c>
      <c r="I3207" s="34" t="s">
        <v>9</v>
      </c>
      <c r="J3207" s="38" t="s">
        <v>539</v>
      </c>
    </row>
    <row r="3208" spans="1:10">
      <c r="A3208" s="32">
        <v>861</v>
      </c>
      <c r="B3208" s="33">
        <v>5957</v>
      </c>
      <c r="C3208" s="3">
        <v>150000</v>
      </c>
      <c r="D3208" s="3">
        <v>150000</v>
      </c>
      <c r="E3208" s="7">
        <v>0</v>
      </c>
      <c r="F3208" s="5">
        <v>45944</v>
      </c>
      <c r="G3208" s="4">
        <v>20251013</v>
      </c>
      <c r="H3208" s="38" t="s">
        <v>30</v>
      </c>
      <c r="I3208" s="34" t="s">
        <v>9</v>
      </c>
      <c r="J3208" s="38" t="s">
        <v>135</v>
      </c>
    </row>
    <row r="3209" spans="1:10">
      <c r="A3209" s="32">
        <v>864</v>
      </c>
      <c r="B3209" s="33">
        <v>5795</v>
      </c>
      <c r="C3209" s="3">
        <v>100000</v>
      </c>
      <c r="D3209" s="3">
        <v>100000</v>
      </c>
      <c r="E3209" s="7">
        <v>0</v>
      </c>
      <c r="F3209" s="5">
        <v>45944</v>
      </c>
      <c r="G3209" s="4">
        <v>20251013</v>
      </c>
      <c r="H3209" s="38" t="s">
        <v>30</v>
      </c>
      <c r="I3209" s="34" t="s">
        <v>9</v>
      </c>
      <c r="J3209" s="38" t="s">
        <v>80</v>
      </c>
    </row>
    <row r="3210" spans="1:10">
      <c r="A3210" s="32">
        <v>300</v>
      </c>
      <c r="B3210" s="33">
        <v>5139</v>
      </c>
      <c r="C3210" s="3">
        <v>1900000</v>
      </c>
      <c r="D3210" s="3">
        <v>1900000</v>
      </c>
      <c r="E3210" s="7">
        <v>0</v>
      </c>
      <c r="F3210" s="5">
        <v>45945</v>
      </c>
      <c r="G3210" s="4">
        <v>20251014</v>
      </c>
      <c r="H3210" s="38" t="s">
        <v>24</v>
      </c>
      <c r="I3210" s="34" t="s">
        <v>9</v>
      </c>
      <c r="J3210" s="38" t="s">
        <v>51</v>
      </c>
    </row>
    <row r="3211" spans="1:10">
      <c r="A3211" s="32">
        <v>73</v>
      </c>
      <c r="B3211" s="33">
        <v>5108</v>
      </c>
      <c r="C3211" s="3">
        <v>70000</v>
      </c>
      <c r="D3211" s="3">
        <v>70000</v>
      </c>
      <c r="E3211" s="7">
        <v>0</v>
      </c>
      <c r="F3211" s="5">
        <v>45945</v>
      </c>
      <c r="G3211" s="4">
        <v>20251014</v>
      </c>
      <c r="H3211" s="38" t="s">
        <v>24</v>
      </c>
      <c r="I3211" s="34" t="s">
        <v>9</v>
      </c>
      <c r="J3211" s="38" t="s">
        <v>478</v>
      </c>
    </row>
    <row r="3212" spans="1:10">
      <c r="A3212" s="32">
        <v>915</v>
      </c>
      <c r="B3212" s="33">
        <v>8313</v>
      </c>
      <c r="C3212" s="3">
        <v>70000</v>
      </c>
      <c r="D3212" s="3">
        <v>70000</v>
      </c>
      <c r="E3212" s="7">
        <v>0</v>
      </c>
      <c r="F3212" s="5">
        <v>45945</v>
      </c>
      <c r="G3212" s="4">
        <v>20251014</v>
      </c>
      <c r="H3212" s="38" t="s">
        <v>24</v>
      </c>
      <c r="I3212" s="34" t="s">
        <v>9</v>
      </c>
      <c r="J3212" s="38" t="s">
        <v>27</v>
      </c>
    </row>
    <row r="3213" spans="1:10">
      <c r="A3213" s="32">
        <v>229</v>
      </c>
      <c r="B3213" s="33">
        <v>8957</v>
      </c>
      <c r="C3213" s="3">
        <v>40000</v>
      </c>
      <c r="D3213" s="3">
        <v>40000</v>
      </c>
      <c r="E3213" s="7">
        <v>0</v>
      </c>
      <c r="F3213" s="5">
        <v>45945</v>
      </c>
      <c r="G3213" s="4">
        <v>20251014</v>
      </c>
      <c r="H3213" s="38" t="s">
        <v>30</v>
      </c>
      <c r="I3213" s="34" t="s">
        <v>9</v>
      </c>
      <c r="J3213" s="38" t="s">
        <v>71</v>
      </c>
    </row>
    <row r="3214" spans="1:10">
      <c r="A3214" s="32">
        <v>454</v>
      </c>
      <c r="B3214" s="33">
        <v>1886</v>
      </c>
      <c r="C3214" s="3">
        <v>300000</v>
      </c>
      <c r="D3214" s="3">
        <v>300000</v>
      </c>
      <c r="E3214" s="7">
        <v>0</v>
      </c>
      <c r="F3214" s="5">
        <v>45945</v>
      </c>
      <c r="G3214" s="4">
        <v>20251014</v>
      </c>
      <c r="H3214" s="38" t="s">
        <v>30</v>
      </c>
      <c r="I3214" s="34" t="s">
        <v>9</v>
      </c>
      <c r="J3214" s="38" t="s">
        <v>439</v>
      </c>
    </row>
    <row r="3215" spans="1:10">
      <c r="A3215" s="32">
        <v>780</v>
      </c>
      <c r="B3215" s="33">
        <v>4715</v>
      </c>
      <c r="C3215" s="3">
        <v>100000</v>
      </c>
      <c r="D3215" s="3">
        <v>100000</v>
      </c>
      <c r="E3215" s="7">
        <v>0</v>
      </c>
      <c r="F3215" s="5">
        <v>45945</v>
      </c>
      <c r="G3215" s="4">
        <v>20251014</v>
      </c>
      <c r="H3215" s="38" t="s">
        <v>30</v>
      </c>
      <c r="I3215" s="34" t="s">
        <v>9</v>
      </c>
      <c r="J3215" s="38" t="s">
        <v>540</v>
      </c>
    </row>
    <row r="3216" spans="1:10">
      <c r="A3216" s="32">
        <v>297</v>
      </c>
      <c r="B3216" s="33">
        <v>5398</v>
      </c>
      <c r="C3216" s="3">
        <v>700000</v>
      </c>
      <c r="D3216" s="3">
        <v>700000</v>
      </c>
      <c r="E3216" s="7">
        <v>0</v>
      </c>
      <c r="F3216" s="5">
        <v>45946</v>
      </c>
      <c r="G3216" s="4">
        <v>20251015</v>
      </c>
      <c r="H3216" s="38" t="s">
        <v>30</v>
      </c>
      <c r="I3216" s="34" t="s">
        <v>9</v>
      </c>
      <c r="J3216" s="38" t="s">
        <v>312</v>
      </c>
    </row>
    <row r="3217" spans="1:10">
      <c r="A3217" s="32">
        <v>499</v>
      </c>
      <c r="B3217" s="33">
        <v>9806</v>
      </c>
      <c r="C3217" s="3">
        <v>120000</v>
      </c>
      <c r="D3217" s="3">
        <v>120000</v>
      </c>
      <c r="E3217" s="7">
        <v>0</v>
      </c>
      <c r="F3217" s="5">
        <v>45946</v>
      </c>
      <c r="G3217" s="4">
        <v>20251015</v>
      </c>
      <c r="H3217" s="38" t="s">
        <v>30</v>
      </c>
      <c r="I3217" s="34" t="s">
        <v>9</v>
      </c>
      <c r="J3217" s="38" t="s">
        <v>447</v>
      </c>
    </row>
    <row r="3218" spans="1:10">
      <c r="A3218" s="32">
        <v>499</v>
      </c>
      <c r="B3218" s="33">
        <v>9807</v>
      </c>
      <c r="C3218" s="3">
        <v>210000</v>
      </c>
      <c r="D3218" s="3">
        <v>210000</v>
      </c>
      <c r="E3218" s="7">
        <v>0</v>
      </c>
      <c r="F3218" s="5">
        <v>45946</v>
      </c>
      <c r="G3218" s="4">
        <v>20251015</v>
      </c>
      <c r="H3218" s="38" t="s">
        <v>30</v>
      </c>
      <c r="I3218" s="34" t="s">
        <v>9</v>
      </c>
      <c r="J3218" s="38" t="s">
        <v>409</v>
      </c>
    </row>
    <row r="3219" spans="1:10">
      <c r="A3219" s="32">
        <v>229</v>
      </c>
      <c r="B3219" s="33">
        <v>8957</v>
      </c>
      <c r="C3219" s="3">
        <v>50000</v>
      </c>
      <c r="D3219" s="3">
        <v>50000</v>
      </c>
      <c r="E3219" s="7">
        <v>0</v>
      </c>
      <c r="F3219" s="5">
        <v>45947</v>
      </c>
      <c r="G3219" s="4">
        <v>20251016</v>
      </c>
      <c r="H3219" s="38" t="s">
        <v>30</v>
      </c>
      <c r="I3219" s="34" t="s">
        <v>9</v>
      </c>
      <c r="J3219" s="38" t="s">
        <v>71</v>
      </c>
    </row>
    <row r="3220" spans="1:10">
      <c r="A3220" s="32">
        <v>371</v>
      </c>
      <c r="B3220" s="33">
        <v>3710</v>
      </c>
      <c r="C3220" s="3">
        <v>3000000</v>
      </c>
      <c r="D3220" s="3">
        <v>3000000</v>
      </c>
      <c r="E3220" s="7">
        <v>0</v>
      </c>
      <c r="F3220" s="5">
        <v>45947</v>
      </c>
      <c r="G3220" s="4">
        <v>20251016</v>
      </c>
      <c r="H3220" s="38" t="s">
        <v>30</v>
      </c>
      <c r="I3220" s="34" t="s">
        <v>9</v>
      </c>
      <c r="J3220" s="38" t="s">
        <v>541</v>
      </c>
    </row>
    <row r="3221" spans="1:10">
      <c r="A3221" s="32">
        <v>780</v>
      </c>
      <c r="B3221" s="33">
        <v>4715</v>
      </c>
      <c r="C3221" s="3">
        <v>500000</v>
      </c>
      <c r="D3221" s="3">
        <v>500000</v>
      </c>
      <c r="E3221" s="7">
        <v>0</v>
      </c>
      <c r="F3221" s="5">
        <v>45947</v>
      </c>
      <c r="G3221" s="4">
        <v>20251016</v>
      </c>
      <c r="H3221" s="38" t="s">
        <v>30</v>
      </c>
      <c r="I3221" s="34" t="s">
        <v>9</v>
      </c>
      <c r="J3221" s="38" t="s">
        <v>540</v>
      </c>
    </row>
    <row r="3222" spans="1:10">
      <c r="A3222" s="32">
        <v>861</v>
      </c>
      <c r="B3222" s="33">
        <v>5957</v>
      </c>
      <c r="C3222" s="3">
        <v>420000</v>
      </c>
      <c r="D3222" s="3">
        <v>420000</v>
      </c>
      <c r="E3222" s="7">
        <v>0</v>
      </c>
      <c r="F3222" s="5">
        <v>45947</v>
      </c>
      <c r="G3222" s="4">
        <v>20251016</v>
      </c>
      <c r="H3222" s="38" t="s">
        <v>30</v>
      </c>
      <c r="I3222" s="34" t="s">
        <v>9</v>
      </c>
      <c r="J3222" s="38" t="s">
        <v>135</v>
      </c>
    </row>
    <row r="3223" spans="1:10">
      <c r="A3223" s="32">
        <v>718</v>
      </c>
      <c r="B3223" s="33">
        <v>6248</v>
      </c>
      <c r="C3223" s="3">
        <v>3640000</v>
      </c>
      <c r="D3223" s="3">
        <v>3640000</v>
      </c>
      <c r="E3223" s="7">
        <v>0</v>
      </c>
      <c r="F3223" s="5">
        <v>45947</v>
      </c>
      <c r="G3223" s="4">
        <v>20251016</v>
      </c>
      <c r="H3223" s="38" t="s">
        <v>24</v>
      </c>
      <c r="I3223" s="34" t="s">
        <v>9</v>
      </c>
      <c r="J3223" s="38" t="s">
        <v>512</v>
      </c>
    </row>
    <row r="3224" spans="1:10">
      <c r="A3224" s="32">
        <v>927</v>
      </c>
      <c r="B3224" s="33">
        <v>5143</v>
      </c>
      <c r="C3224" s="3">
        <v>1100000</v>
      </c>
      <c r="D3224" s="3">
        <v>1100000</v>
      </c>
      <c r="E3224" s="7">
        <v>0</v>
      </c>
      <c r="F3224" s="5">
        <v>45947</v>
      </c>
      <c r="G3224" s="4">
        <v>20251016</v>
      </c>
      <c r="H3224" s="38" t="s">
        <v>24</v>
      </c>
      <c r="I3224" s="34" t="s">
        <v>9</v>
      </c>
      <c r="J3224" s="38" t="s">
        <v>542</v>
      </c>
    </row>
    <row r="3225" spans="1:10">
      <c r="A3225" s="32">
        <v>57</v>
      </c>
      <c r="B3225" s="33">
        <v>9963</v>
      </c>
      <c r="C3225" s="3">
        <v>560000</v>
      </c>
      <c r="D3225" s="3">
        <v>560000</v>
      </c>
      <c r="E3225" s="7">
        <v>0</v>
      </c>
      <c r="F3225" s="5">
        <v>45947</v>
      </c>
      <c r="G3225" s="4">
        <v>20251016</v>
      </c>
      <c r="H3225" s="38" t="s">
        <v>24</v>
      </c>
      <c r="I3225" s="34" t="s">
        <v>9</v>
      </c>
      <c r="J3225" s="38" t="s">
        <v>58</v>
      </c>
    </row>
    <row r="3226" spans="1:10">
      <c r="A3226" s="32">
        <v>167</v>
      </c>
      <c r="B3226" s="33">
        <v>5030</v>
      </c>
      <c r="C3226" s="3">
        <v>502600</v>
      </c>
      <c r="D3226" s="3">
        <v>502600</v>
      </c>
      <c r="E3226" s="7">
        <v>0</v>
      </c>
      <c r="F3226" s="5">
        <v>45947</v>
      </c>
      <c r="G3226" s="4">
        <v>20251016</v>
      </c>
      <c r="H3226" s="38" t="s">
        <v>24</v>
      </c>
      <c r="I3226" s="34" t="s">
        <v>9</v>
      </c>
      <c r="J3226" s="38" t="s">
        <v>330</v>
      </c>
    </row>
    <row r="3227" spans="1:10">
      <c r="A3227" s="32">
        <v>37</v>
      </c>
      <c r="B3227" s="33">
        <v>6406</v>
      </c>
      <c r="C3227" s="3">
        <v>50000</v>
      </c>
      <c r="D3227" s="3">
        <v>50000</v>
      </c>
      <c r="E3227" s="7">
        <v>0</v>
      </c>
      <c r="F3227" s="5">
        <v>45947</v>
      </c>
      <c r="G3227" s="4">
        <v>20251016</v>
      </c>
      <c r="H3227" s="38" t="s">
        <v>24</v>
      </c>
      <c r="I3227" s="34" t="s">
        <v>9</v>
      </c>
      <c r="J3227" s="38" t="s">
        <v>219</v>
      </c>
    </row>
    <row r="3228" spans="1:10">
      <c r="A3228" s="32">
        <v>332</v>
      </c>
      <c r="B3228" s="33">
        <v>7569</v>
      </c>
      <c r="C3228" s="3">
        <v>1000000</v>
      </c>
      <c r="D3228" s="3">
        <v>1000000</v>
      </c>
      <c r="E3228" s="7">
        <v>0</v>
      </c>
      <c r="F3228" s="5">
        <v>45950</v>
      </c>
      <c r="G3228" s="4">
        <v>20251019</v>
      </c>
      <c r="H3228" s="38" t="s">
        <v>24</v>
      </c>
      <c r="I3228" s="34" t="s">
        <v>9</v>
      </c>
      <c r="J3228" s="38" t="s">
        <v>351</v>
      </c>
    </row>
    <row r="3229" spans="1:10">
      <c r="A3229" s="32">
        <v>361</v>
      </c>
      <c r="B3229" s="33">
        <v>5005</v>
      </c>
      <c r="C3229" s="3">
        <v>680000</v>
      </c>
      <c r="D3229" s="3">
        <v>680000</v>
      </c>
      <c r="E3229" s="7">
        <v>0</v>
      </c>
      <c r="F3229" s="5">
        <v>45950</v>
      </c>
      <c r="G3229" s="4">
        <v>20251019</v>
      </c>
      <c r="H3229" s="38" t="s">
        <v>24</v>
      </c>
      <c r="I3229" s="34" t="s">
        <v>9</v>
      </c>
      <c r="J3229" s="38" t="s">
        <v>423</v>
      </c>
    </row>
    <row r="3230" spans="1:10">
      <c r="A3230" s="32">
        <v>551</v>
      </c>
      <c r="B3230" s="33">
        <v>9643</v>
      </c>
      <c r="C3230" s="3">
        <v>200000</v>
      </c>
      <c r="D3230" s="3">
        <v>200000</v>
      </c>
      <c r="E3230" s="7">
        <v>0</v>
      </c>
      <c r="F3230" s="5">
        <v>45950</v>
      </c>
      <c r="G3230" s="4">
        <v>20251019</v>
      </c>
      <c r="H3230" s="38" t="s">
        <v>24</v>
      </c>
      <c r="I3230" s="34" t="s">
        <v>9</v>
      </c>
      <c r="J3230" s="38" t="s">
        <v>390</v>
      </c>
    </row>
    <row r="3231" spans="1:10">
      <c r="A3231" s="32">
        <v>799</v>
      </c>
      <c r="B3231" s="33">
        <v>8186</v>
      </c>
      <c r="C3231" s="3">
        <v>20000</v>
      </c>
      <c r="D3231" s="3">
        <v>20000</v>
      </c>
      <c r="E3231" s="7">
        <f>+C3231-D3231</f>
        <v>0</v>
      </c>
      <c r="F3231" s="5">
        <v>45951</v>
      </c>
      <c r="G3231" s="4">
        <v>20251020</v>
      </c>
      <c r="H3231" s="38" t="str">
        <f>VLOOKUP(B3231,CAJEROS!B:D,3,0)</f>
        <v>Dispensador</v>
      </c>
      <c r="I3231" s="34" t="s">
        <v>10</v>
      </c>
      <c r="J3231" s="38" t="str">
        <f>VLOOKUP(B3231,CAJEROS!B:E,4,0)</f>
        <v>SUC_FLORBL3</v>
      </c>
    </row>
    <row r="3232" spans="1:10">
      <c r="A3232" s="32">
        <v>377</v>
      </c>
      <c r="B3232" s="33">
        <v>1508</v>
      </c>
      <c r="C3232" s="3">
        <v>1650000</v>
      </c>
      <c r="D3232" s="3">
        <v>1650000</v>
      </c>
      <c r="E3232" s="7">
        <v>0</v>
      </c>
      <c r="F3232" s="5">
        <v>45903</v>
      </c>
      <c r="G3232" s="4">
        <v>20250902</v>
      </c>
      <c r="H3232" s="38" t="s">
        <v>24</v>
      </c>
      <c r="I3232" s="34" t="s">
        <v>9</v>
      </c>
      <c r="J3232" s="38" t="s">
        <v>543</v>
      </c>
    </row>
    <row r="3233" spans="1:10">
      <c r="A3233" s="32">
        <v>419</v>
      </c>
      <c r="B3233" s="33">
        <v>5077</v>
      </c>
      <c r="C3233" s="3">
        <v>1311500</v>
      </c>
      <c r="D3233" s="3">
        <v>1311500</v>
      </c>
      <c r="E3233" s="7">
        <v>0</v>
      </c>
      <c r="F3233" s="5">
        <v>45903</v>
      </c>
      <c r="G3233" s="4">
        <v>20250902</v>
      </c>
      <c r="H3233" s="38" t="s">
        <v>24</v>
      </c>
      <c r="I3233" s="34" t="s">
        <v>9</v>
      </c>
      <c r="J3233" s="38" t="s">
        <v>422</v>
      </c>
    </row>
    <row r="3234" spans="1:10">
      <c r="A3234" s="32">
        <v>419</v>
      </c>
      <c r="B3234" s="33">
        <v>5077</v>
      </c>
      <c r="C3234" s="3">
        <v>1120000</v>
      </c>
      <c r="D3234" s="3">
        <v>1120000</v>
      </c>
      <c r="E3234" s="7">
        <v>0</v>
      </c>
      <c r="F3234" s="5">
        <v>45904</v>
      </c>
      <c r="G3234" s="4">
        <v>20250903</v>
      </c>
      <c r="H3234" s="38" t="s">
        <v>24</v>
      </c>
      <c r="I3234" s="34" t="s">
        <v>9</v>
      </c>
      <c r="J3234" s="38" t="s">
        <v>422</v>
      </c>
    </row>
    <row r="3235" spans="1:10">
      <c r="A3235" s="32">
        <v>944</v>
      </c>
      <c r="B3235" s="33">
        <v>2228</v>
      </c>
      <c r="C3235" s="3">
        <v>2385500</v>
      </c>
      <c r="D3235" s="3">
        <v>2385500</v>
      </c>
      <c r="E3235" s="7">
        <v>0</v>
      </c>
      <c r="F3235" s="5">
        <v>45905</v>
      </c>
      <c r="G3235" s="4">
        <v>20250904</v>
      </c>
      <c r="H3235" s="38" t="s">
        <v>24</v>
      </c>
      <c r="I3235" s="34" t="s">
        <v>9</v>
      </c>
      <c r="J3235" s="38" t="s">
        <v>544</v>
      </c>
    </row>
    <row r="3236" spans="1:10">
      <c r="A3236" s="32">
        <v>789</v>
      </c>
      <c r="B3236" s="33">
        <v>5118</v>
      </c>
      <c r="C3236" s="3">
        <v>6722700</v>
      </c>
      <c r="D3236" s="3">
        <v>6722700</v>
      </c>
      <c r="E3236" s="7">
        <v>0</v>
      </c>
      <c r="F3236" s="5">
        <v>45908</v>
      </c>
      <c r="G3236" s="4">
        <v>20250905</v>
      </c>
      <c r="H3236" s="38" t="s">
        <v>24</v>
      </c>
      <c r="I3236" s="34"/>
      <c r="J3236" s="38" t="s">
        <v>545</v>
      </c>
    </row>
    <row r="3237" spans="1:10">
      <c r="A3237" s="32">
        <v>944</v>
      </c>
      <c r="B3237" s="33">
        <v>2228</v>
      </c>
      <c r="C3237" s="3">
        <v>863700</v>
      </c>
      <c r="D3237" s="3">
        <v>863700</v>
      </c>
      <c r="E3237" s="7">
        <v>0</v>
      </c>
      <c r="F3237" s="5">
        <v>45908</v>
      </c>
      <c r="G3237" s="4">
        <v>20250907</v>
      </c>
      <c r="H3237" s="38" t="s">
        <v>24</v>
      </c>
      <c r="I3237" s="34" t="s">
        <v>9</v>
      </c>
      <c r="J3237" s="38" t="s">
        <v>544</v>
      </c>
    </row>
    <row r="3238" spans="1:10">
      <c r="A3238" s="32">
        <v>419</v>
      </c>
      <c r="B3238" s="33">
        <v>5077</v>
      </c>
      <c r="C3238" s="3">
        <v>302700</v>
      </c>
      <c r="D3238" s="3">
        <v>302700</v>
      </c>
      <c r="E3238" s="7">
        <v>0</v>
      </c>
      <c r="F3238" s="5">
        <v>45910</v>
      </c>
      <c r="G3238" s="4">
        <v>20250909</v>
      </c>
      <c r="H3238" s="38" t="s">
        <v>24</v>
      </c>
      <c r="I3238" s="34" t="s">
        <v>9</v>
      </c>
      <c r="J3238" s="38" t="s">
        <v>422</v>
      </c>
    </row>
    <row r="3239" spans="1:10">
      <c r="A3239" s="32">
        <v>366</v>
      </c>
      <c r="B3239" s="33">
        <v>5132</v>
      </c>
      <c r="C3239" s="3">
        <v>3545100</v>
      </c>
      <c r="D3239" s="3">
        <v>3545100</v>
      </c>
      <c r="E3239" s="7">
        <v>0</v>
      </c>
      <c r="F3239" s="5">
        <v>45912</v>
      </c>
      <c r="G3239" s="4">
        <v>20250911</v>
      </c>
      <c r="H3239" s="38" t="s">
        <v>24</v>
      </c>
      <c r="I3239" s="34" t="s">
        <v>9</v>
      </c>
      <c r="J3239" s="38" t="s">
        <v>259</v>
      </c>
    </row>
    <row r="3240" spans="1:10">
      <c r="A3240" s="32">
        <v>377</v>
      </c>
      <c r="B3240" s="33">
        <v>1508</v>
      </c>
      <c r="C3240" s="3">
        <v>3833000</v>
      </c>
      <c r="D3240" s="3">
        <v>3833000</v>
      </c>
      <c r="E3240" s="7">
        <v>0</v>
      </c>
      <c r="F3240" s="5">
        <v>45917</v>
      </c>
      <c r="G3240" s="4">
        <v>20250916</v>
      </c>
      <c r="H3240" s="38" t="s">
        <v>24</v>
      </c>
      <c r="I3240" s="34" t="s">
        <v>9</v>
      </c>
      <c r="J3240" s="38" t="s">
        <v>543</v>
      </c>
    </row>
    <row r="3241" spans="1:10">
      <c r="A3241" s="32">
        <v>769</v>
      </c>
      <c r="B3241" s="33">
        <v>8679</v>
      </c>
      <c r="C3241" s="3">
        <v>1400000</v>
      </c>
      <c r="D3241" s="3">
        <v>1400000</v>
      </c>
      <c r="E3241" s="7">
        <v>0</v>
      </c>
      <c r="F3241" s="5">
        <v>45918</v>
      </c>
      <c r="G3241" s="4">
        <v>20250917</v>
      </c>
      <c r="H3241" s="38" t="s">
        <v>24</v>
      </c>
      <c r="I3241" s="34" t="s">
        <v>9</v>
      </c>
      <c r="J3241" s="38" t="s">
        <v>480</v>
      </c>
    </row>
    <row r="3242" spans="1:10">
      <c r="A3242" s="32">
        <v>789</v>
      </c>
      <c r="B3242" s="33">
        <v>5118</v>
      </c>
      <c r="C3242" s="3">
        <v>733650</v>
      </c>
      <c r="D3242" s="3">
        <v>733650</v>
      </c>
      <c r="E3242" s="7">
        <v>0</v>
      </c>
      <c r="F3242" s="5">
        <v>45922</v>
      </c>
      <c r="G3242" s="4">
        <v>20250919</v>
      </c>
      <c r="H3242" s="38" t="s">
        <v>24</v>
      </c>
      <c r="I3242" s="34"/>
      <c r="J3242" s="38" t="s">
        <v>545</v>
      </c>
    </row>
    <row r="3243" spans="1:10">
      <c r="A3243" s="32">
        <v>366</v>
      </c>
      <c r="B3243" s="33">
        <v>5132</v>
      </c>
      <c r="C3243" s="3">
        <v>4156100</v>
      </c>
      <c r="D3243" s="3">
        <v>4156100</v>
      </c>
      <c r="E3243" s="7">
        <v>0</v>
      </c>
      <c r="F3243" s="5">
        <v>45923</v>
      </c>
      <c r="G3243" s="4">
        <v>20250922</v>
      </c>
      <c r="H3243" s="38" t="s">
        <v>24</v>
      </c>
      <c r="I3243" s="34"/>
      <c r="J3243" s="38" t="s">
        <v>259</v>
      </c>
    </row>
    <row r="3244" spans="1:10">
      <c r="A3244" s="32">
        <v>377</v>
      </c>
      <c r="B3244" s="33">
        <v>1508</v>
      </c>
      <c r="C3244" s="3">
        <v>359000</v>
      </c>
      <c r="D3244" s="3">
        <v>359000</v>
      </c>
      <c r="E3244" s="7">
        <v>0</v>
      </c>
      <c r="F3244" s="5">
        <v>45923</v>
      </c>
      <c r="G3244" s="4">
        <v>20250922</v>
      </c>
      <c r="H3244" s="38" t="s">
        <v>24</v>
      </c>
      <c r="I3244" s="34" t="s">
        <v>9</v>
      </c>
      <c r="J3244" s="38" t="s">
        <v>543</v>
      </c>
    </row>
    <row r="3245" spans="1:10">
      <c r="A3245" s="32">
        <v>769</v>
      </c>
      <c r="B3245" s="33">
        <v>8679</v>
      </c>
      <c r="C3245" s="3">
        <v>340000</v>
      </c>
      <c r="D3245" s="3">
        <v>340000</v>
      </c>
      <c r="E3245" s="7">
        <v>0</v>
      </c>
      <c r="F3245" s="5">
        <v>45925</v>
      </c>
      <c r="G3245" s="4">
        <v>20250924</v>
      </c>
      <c r="H3245" s="38" t="s">
        <v>24</v>
      </c>
      <c r="I3245" s="34" t="s">
        <v>9</v>
      </c>
      <c r="J3245" s="38" t="s">
        <v>480</v>
      </c>
    </row>
    <row r="3246" spans="1:10">
      <c r="A3246" s="32">
        <v>54</v>
      </c>
      <c r="B3246" s="33">
        <v>6204</v>
      </c>
      <c r="C3246" s="3">
        <v>1660000</v>
      </c>
      <c r="D3246" s="3">
        <v>1660000</v>
      </c>
      <c r="E3246" s="7">
        <v>0</v>
      </c>
      <c r="F3246" s="5">
        <v>45926</v>
      </c>
      <c r="G3246" s="4">
        <v>20250925</v>
      </c>
      <c r="H3246" s="38" t="s">
        <v>24</v>
      </c>
      <c r="I3246" s="34" t="s">
        <v>9</v>
      </c>
      <c r="J3246" s="38" t="s">
        <v>152</v>
      </c>
    </row>
    <row r="3247" spans="1:10">
      <c r="A3247" s="32">
        <v>377</v>
      </c>
      <c r="B3247" s="33">
        <v>1508</v>
      </c>
      <c r="C3247" s="3">
        <v>376000</v>
      </c>
      <c r="D3247" s="3">
        <v>376000</v>
      </c>
      <c r="E3247" s="7">
        <v>0</v>
      </c>
      <c r="F3247" s="5">
        <v>45930</v>
      </c>
      <c r="G3247" s="4">
        <v>20250929</v>
      </c>
      <c r="H3247" s="38" t="s">
        <v>24</v>
      </c>
      <c r="I3247" s="34"/>
      <c r="J3247" s="38" t="s">
        <v>543</v>
      </c>
    </row>
    <row r="3248" spans="1:10">
      <c r="A3248" s="32">
        <v>769</v>
      </c>
      <c r="B3248" s="33">
        <v>8679</v>
      </c>
      <c r="C3248" s="3">
        <v>514000</v>
      </c>
      <c r="D3248" s="3">
        <v>514000</v>
      </c>
      <c r="E3248" s="7">
        <v>0</v>
      </c>
      <c r="F3248" s="5">
        <v>45930</v>
      </c>
      <c r="G3248" s="4">
        <v>20250929</v>
      </c>
      <c r="H3248" s="38" t="s">
        <v>24</v>
      </c>
      <c r="I3248" s="34" t="s">
        <v>9</v>
      </c>
      <c r="J3248" s="38" t="s">
        <v>480</v>
      </c>
    </row>
    <row r="3249" spans="1:10">
      <c r="A3249" s="32">
        <v>359</v>
      </c>
      <c r="B3249" s="33">
        <v>8425</v>
      </c>
      <c r="C3249" s="3">
        <v>100000</v>
      </c>
      <c r="D3249" s="3">
        <v>100000</v>
      </c>
      <c r="E3249" s="7">
        <v>0</v>
      </c>
      <c r="F3249" s="5">
        <v>45932</v>
      </c>
      <c r="G3249" s="4">
        <v>20251001</v>
      </c>
      <c r="H3249" s="38" t="s">
        <v>30</v>
      </c>
      <c r="I3249" s="34" t="s">
        <v>9</v>
      </c>
      <c r="J3249" s="38" t="s">
        <v>546</v>
      </c>
    </row>
    <row r="3250" spans="1:10">
      <c r="A3250" s="32">
        <v>623</v>
      </c>
      <c r="B3250" s="33">
        <v>5047</v>
      </c>
      <c r="C3250" s="3">
        <v>1130000</v>
      </c>
      <c r="D3250" s="3">
        <v>1130000</v>
      </c>
      <c r="E3250" s="7">
        <v>0</v>
      </c>
      <c r="F3250" s="5">
        <v>45936</v>
      </c>
      <c r="G3250" s="4">
        <v>20251005</v>
      </c>
      <c r="H3250" s="38" t="s">
        <v>24</v>
      </c>
      <c r="I3250" s="34" t="s">
        <v>9</v>
      </c>
      <c r="J3250" s="38" t="s">
        <v>26</v>
      </c>
    </row>
    <row r="3251" spans="1:10">
      <c r="A3251" s="32">
        <v>623</v>
      </c>
      <c r="B3251" s="33">
        <v>5047</v>
      </c>
      <c r="C3251" s="3">
        <v>460000</v>
      </c>
      <c r="D3251" s="3">
        <v>460000</v>
      </c>
      <c r="E3251" s="7">
        <v>0</v>
      </c>
      <c r="F3251" s="5">
        <v>45937</v>
      </c>
      <c r="G3251" s="4">
        <v>20251006</v>
      </c>
      <c r="H3251" s="38" t="s">
        <v>24</v>
      </c>
      <c r="I3251" s="34" t="s">
        <v>9</v>
      </c>
      <c r="J3251" s="38" t="s">
        <v>26</v>
      </c>
    </row>
    <row r="3252" spans="1:10">
      <c r="A3252" s="32">
        <v>623</v>
      </c>
      <c r="B3252" s="33">
        <v>5047</v>
      </c>
      <c r="C3252" s="3">
        <v>3610000</v>
      </c>
      <c r="D3252" s="3">
        <v>3610000</v>
      </c>
      <c r="E3252" s="7">
        <v>0</v>
      </c>
      <c r="F3252" s="5">
        <v>45938</v>
      </c>
      <c r="G3252" s="4">
        <v>20251007</v>
      </c>
      <c r="H3252" s="38" t="s">
        <v>24</v>
      </c>
      <c r="I3252" s="34" t="s">
        <v>9</v>
      </c>
      <c r="J3252" s="38" t="s">
        <v>26</v>
      </c>
    </row>
    <row r="3253" spans="1:10">
      <c r="A3253" s="32">
        <v>379</v>
      </c>
      <c r="B3253" s="33">
        <v>6465</v>
      </c>
      <c r="C3253" s="3">
        <v>2530000</v>
      </c>
      <c r="D3253" s="3">
        <v>2530000</v>
      </c>
      <c r="E3253" s="7">
        <v>0</v>
      </c>
      <c r="F3253" s="5">
        <v>45938</v>
      </c>
      <c r="G3253" s="4">
        <v>20251007</v>
      </c>
      <c r="H3253" s="38" t="s">
        <v>24</v>
      </c>
      <c r="I3253" s="34" t="s">
        <v>9</v>
      </c>
      <c r="J3253" s="38" t="s">
        <v>354</v>
      </c>
    </row>
    <row r="3254" spans="1:10">
      <c r="A3254" s="32">
        <v>789</v>
      </c>
      <c r="B3254" s="33">
        <v>5118</v>
      </c>
      <c r="C3254" s="3">
        <v>429800</v>
      </c>
      <c r="D3254" s="3">
        <v>429800</v>
      </c>
      <c r="E3254" s="7">
        <v>0</v>
      </c>
      <c r="F3254" s="5">
        <v>45938</v>
      </c>
      <c r="G3254" s="4">
        <v>20251007</v>
      </c>
      <c r="H3254" s="38" t="s">
        <v>24</v>
      </c>
      <c r="I3254" s="34" t="s">
        <v>9</v>
      </c>
      <c r="J3254" s="38" t="s">
        <v>545</v>
      </c>
    </row>
    <row r="3255" spans="1:10">
      <c r="A3255" s="32">
        <v>473</v>
      </c>
      <c r="B3255" s="33">
        <v>3442</v>
      </c>
      <c r="C3255" s="3">
        <v>3520000</v>
      </c>
      <c r="D3255" s="3">
        <v>3520000</v>
      </c>
      <c r="E3255" s="7">
        <v>0</v>
      </c>
      <c r="F3255" s="5">
        <v>45939</v>
      </c>
      <c r="G3255" s="4">
        <v>20251008</v>
      </c>
      <c r="H3255" s="38" t="s">
        <v>30</v>
      </c>
      <c r="I3255" s="34" t="s">
        <v>9</v>
      </c>
      <c r="J3255" s="38" t="s">
        <v>472</v>
      </c>
    </row>
    <row r="3256" spans="1:10">
      <c r="A3256" s="32">
        <v>799</v>
      </c>
      <c r="B3256" s="33">
        <v>8185</v>
      </c>
      <c r="C3256" s="3">
        <v>500000</v>
      </c>
      <c r="D3256" s="3">
        <v>500000</v>
      </c>
      <c r="E3256" s="7">
        <v>0</v>
      </c>
      <c r="F3256" s="5">
        <v>45939</v>
      </c>
      <c r="G3256" s="4">
        <v>20251008</v>
      </c>
      <c r="H3256" s="38" t="s">
        <v>30</v>
      </c>
      <c r="I3256" s="34" t="s">
        <v>9</v>
      </c>
      <c r="J3256" s="38" t="s">
        <v>101</v>
      </c>
    </row>
    <row r="3257" spans="1:10">
      <c r="A3257" s="32">
        <v>499</v>
      </c>
      <c r="B3257" s="33">
        <v>9811</v>
      </c>
      <c r="C3257" s="3">
        <v>2770000</v>
      </c>
      <c r="D3257" s="3">
        <v>2770000</v>
      </c>
      <c r="E3257" s="7">
        <v>0</v>
      </c>
      <c r="F3257" s="5">
        <v>45939</v>
      </c>
      <c r="G3257" s="4">
        <v>20251008</v>
      </c>
      <c r="H3257" s="38" t="s">
        <v>24</v>
      </c>
      <c r="I3257" s="34" t="s">
        <v>9</v>
      </c>
      <c r="J3257" s="38" t="s">
        <v>334</v>
      </c>
    </row>
    <row r="3258" spans="1:10">
      <c r="A3258" s="32">
        <v>725</v>
      </c>
      <c r="B3258" s="33">
        <v>5166</v>
      </c>
      <c r="C3258" s="3">
        <v>510000</v>
      </c>
      <c r="D3258" s="3">
        <v>510000</v>
      </c>
      <c r="E3258" s="7">
        <v>0</v>
      </c>
      <c r="F3258" s="5">
        <v>45939</v>
      </c>
      <c r="G3258" s="4">
        <v>20251008</v>
      </c>
      <c r="H3258" s="38" t="s">
        <v>24</v>
      </c>
      <c r="I3258" s="34" t="s">
        <v>9</v>
      </c>
      <c r="J3258" s="38" t="s">
        <v>91</v>
      </c>
    </row>
    <row r="3259" spans="1:10">
      <c r="A3259" s="32">
        <v>725</v>
      </c>
      <c r="B3259" s="33">
        <v>5166</v>
      </c>
      <c r="C3259" s="3">
        <v>610000</v>
      </c>
      <c r="D3259" s="3">
        <v>610000</v>
      </c>
      <c r="E3259" s="7">
        <v>0</v>
      </c>
      <c r="F3259" s="5">
        <v>45940</v>
      </c>
      <c r="G3259" s="4">
        <v>20251009</v>
      </c>
      <c r="H3259" s="38" t="s">
        <v>24</v>
      </c>
      <c r="I3259" s="34" t="s">
        <v>9</v>
      </c>
      <c r="J3259" s="38" t="s">
        <v>91</v>
      </c>
    </row>
    <row r="3260" spans="1:10">
      <c r="A3260" s="32">
        <v>723</v>
      </c>
      <c r="B3260" s="33">
        <v>5046</v>
      </c>
      <c r="C3260" s="3">
        <v>3215000</v>
      </c>
      <c r="D3260" s="3">
        <v>3215000</v>
      </c>
      <c r="E3260" s="7">
        <v>0</v>
      </c>
      <c r="F3260" s="5">
        <v>45944</v>
      </c>
      <c r="G3260" s="4">
        <v>20251013</v>
      </c>
      <c r="H3260" s="38" t="s">
        <v>24</v>
      </c>
      <c r="I3260" s="34" t="s">
        <v>9</v>
      </c>
      <c r="J3260" s="38" t="s">
        <v>310</v>
      </c>
    </row>
    <row r="3261" spans="1:10">
      <c r="A3261" s="32">
        <v>799</v>
      </c>
      <c r="B3261" s="33">
        <v>8187</v>
      </c>
      <c r="C3261" s="3">
        <v>200000</v>
      </c>
      <c r="D3261" s="3">
        <v>200000</v>
      </c>
      <c r="E3261" s="7">
        <v>0</v>
      </c>
      <c r="F3261" s="5">
        <v>45944</v>
      </c>
      <c r="G3261" s="4">
        <v>20251013</v>
      </c>
      <c r="H3261" s="38" t="s">
        <v>30</v>
      </c>
      <c r="I3261" s="34" t="s">
        <v>9</v>
      </c>
      <c r="J3261" s="38" t="s">
        <v>338</v>
      </c>
    </row>
    <row r="3262" spans="1:10">
      <c r="A3262" s="32">
        <v>4</v>
      </c>
      <c r="B3262" s="33">
        <v>8630</v>
      </c>
      <c r="C3262" s="3">
        <v>3305000</v>
      </c>
      <c r="D3262" s="3">
        <v>3305000</v>
      </c>
      <c r="E3262" s="7">
        <v>0</v>
      </c>
      <c r="F3262" s="5">
        <v>45945</v>
      </c>
      <c r="G3262" s="4">
        <v>20251014</v>
      </c>
      <c r="H3262" s="38" t="s">
        <v>24</v>
      </c>
      <c r="I3262" s="34" t="s">
        <v>9</v>
      </c>
      <c r="J3262" s="38" t="s">
        <v>292</v>
      </c>
    </row>
    <row r="3263" spans="1:10">
      <c r="A3263" s="32">
        <v>866</v>
      </c>
      <c r="B3263" s="33">
        <v>8662</v>
      </c>
      <c r="C3263" s="3">
        <v>2579800</v>
      </c>
      <c r="D3263" s="3">
        <v>2579800</v>
      </c>
      <c r="E3263" s="7">
        <v>0</v>
      </c>
      <c r="F3263" s="5">
        <v>45945</v>
      </c>
      <c r="G3263" s="4">
        <v>20251014</v>
      </c>
      <c r="H3263" s="38" t="s">
        <v>24</v>
      </c>
      <c r="I3263" s="34" t="s">
        <v>9</v>
      </c>
      <c r="J3263" s="38" t="s">
        <v>131</v>
      </c>
    </row>
    <row r="3264" spans="1:10">
      <c r="A3264" s="32">
        <v>571</v>
      </c>
      <c r="B3264" s="33">
        <v>6150</v>
      </c>
      <c r="C3264" s="3">
        <v>2120000</v>
      </c>
      <c r="D3264" s="3">
        <v>2120000</v>
      </c>
      <c r="E3264" s="7">
        <v>0</v>
      </c>
      <c r="F3264" s="5">
        <v>45945</v>
      </c>
      <c r="G3264" s="4">
        <v>20251014</v>
      </c>
      <c r="H3264" s="38" t="s">
        <v>24</v>
      </c>
      <c r="I3264" s="34" t="s">
        <v>9</v>
      </c>
      <c r="J3264" s="38" t="s">
        <v>249</v>
      </c>
    </row>
    <row r="3265" spans="1:10">
      <c r="A3265" s="32">
        <v>799</v>
      </c>
      <c r="B3265" s="33">
        <v>8187</v>
      </c>
      <c r="C3265" s="3">
        <v>700000</v>
      </c>
      <c r="D3265" s="3">
        <v>700000</v>
      </c>
      <c r="E3265" s="7">
        <v>0</v>
      </c>
      <c r="F3265" s="5">
        <v>45945</v>
      </c>
      <c r="G3265" s="4">
        <v>20251014</v>
      </c>
      <c r="H3265" s="38" t="s">
        <v>30</v>
      </c>
      <c r="I3265" s="34" t="s">
        <v>9</v>
      </c>
      <c r="J3265" s="38" t="s">
        <v>338</v>
      </c>
    </row>
    <row r="3266" spans="1:10">
      <c r="A3266" s="32">
        <v>993</v>
      </c>
      <c r="B3266" s="33">
        <v>3470</v>
      </c>
      <c r="C3266" s="3">
        <v>200000</v>
      </c>
      <c r="D3266" s="3">
        <v>200000</v>
      </c>
      <c r="E3266" s="7">
        <v>0</v>
      </c>
      <c r="F3266" s="5">
        <v>45945</v>
      </c>
      <c r="G3266" s="4">
        <v>20251014</v>
      </c>
      <c r="H3266" s="38" t="s">
        <v>30</v>
      </c>
      <c r="I3266" s="34" t="s">
        <v>9</v>
      </c>
      <c r="J3266" s="38" t="s">
        <v>181</v>
      </c>
    </row>
    <row r="3267" spans="1:10">
      <c r="A3267" s="32">
        <v>225</v>
      </c>
      <c r="B3267" s="33">
        <v>8863</v>
      </c>
      <c r="C3267" s="3">
        <v>30000</v>
      </c>
      <c r="D3267" s="3">
        <v>30000</v>
      </c>
      <c r="E3267" s="7">
        <v>0</v>
      </c>
      <c r="F3267" s="5">
        <v>45946</v>
      </c>
      <c r="G3267" s="4">
        <v>20251015</v>
      </c>
      <c r="H3267" s="38" t="s">
        <v>30</v>
      </c>
      <c r="I3267" s="34"/>
      <c r="J3267" s="38" t="s">
        <v>547</v>
      </c>
    </row>
    <row r="3268" spans="1:10">
      <c r="A3268" s="32">
        <v>77</v>
      </c>
      <c r="B3268" s="33">
        <v>4853</v>
      </c>
      <c r="C3268" s="3">
        <v>2040000</v>
      </c>
      <c r="D3268" s="3">
        <v>2040000</v>
      </c>
      <c r="E3268" s="7">
        <v>0</v>
      </c>
      <c r="F3268" s="5">
        <v>45947</v>
      </c>
      <c r="G3268" s="4">
        <v>20251016</v>
      </c>
      <c r="H3268" s="38" t="s">
        <v>30</v>
      </c>
      <c r="I3268" s="34"/>
      <c r="J3268" s="38" t="s">
        <v>548</v>
      </c>
    </row>
    <row r="3269" spans="1:10">
      <c r="A3269" s="32">
        <v>454</v>
      </c>
      <c r="B3269" s="33">
        <v>1886</v>
      </c>
      <c r="C3269" s="3">
        <v>60000</v>
      </c>
      <c r="D3269" s="3">
        <v>60000</v>
      </c>
      <c r="E3269" s="7">
        <v>0</v>
      </c>
      <c r="F3269" s="5">
        <v>45947</v>
      </c>
      <c r="G3269" s="4">
        <v>20251016</v>
      </c>
      <c r="H3269" s="38" t="s">
        <v>30</v>
      </c>
      <c r="I3269" s="34" t="s">
        <v>9</v>
      </c>
      <c r="J3269" s="38" t="s">
        <v>439</v>
      </c>
    </row>
    <row r="3270" spans="1:10">
      <c r="A3270" s="32">
        <v>571</v>
      </c>
      <c r="B3270" s="33">
        <v>6150</v>
      </c>
      <c r="C3270" s="3">
        <v>1690000</v>
      </c>
      <c r="D3270" s="3">
        <v>1690000</v>
      </c>
      <c r="E3270" s="7">
        <v>0</v>
      </c>
      <c r="F3270" s="5">
        <v>45947</v>
      </c>
      <c r="G3270" s="4">
        <v>20251016</v>
      </c>
      <c r="H3270" s="38" t="s">
        <v>24</v>
      </c>
      <c r="I3270" s="34" t="s">
        <v>9</v>
      </c>
      <c r="J3270" s="38" t="s">
        <v>249</v>
      </c>
    </row>
    <row r="3271" spans="1:10">
      <c r="A3271" s="32">
        <v>4</v>
      </c>
      <c r="B3271" s="33">
        <v>316</v>
      </c>
      <c r="C3271" s="3">
        <v>2400000</v>
      </c>
      <c r="D3271" s="3">
        <v>2400000</v>
      </c>
      <c r="E3271" s="7">
        <v>0</v>
      </c>
      <c r="F3271" s="5">
        <v>45950</v>
      </c>
      <c r="G3271" s="4">
        <v>20251019</v>
      </c>
      <c r="H3271" s="38" t="e">
        <v>#N/A</v>
      </c>
      <c r="I3271" s="34" t="s">
        <v>9</v>
      </c>
      <c r="J3271" s="38" t="e">
        <v>#N/A</v>
      </c>
    </row>
    <row r="3272" spans="1:10">
      <c r="A3272" s="32">
        <v>4</v>
      </c>
      <c r="B3272" s="33">
        <v>8631</v>
      </c>
      <c r="C3272" s="3">
        <v>1630000</v>
      </c>
      <c r="D3272" s="3">
        <v>1630000</v>
      </c>
      <c r="E3272" s="7">
        <v>0</v>
      </c>
      <c r="F3272" s="5">
        <v>45950</v>
      </c>
      <c r="G3272" s="4">
        <v>20251019</v>
      </c>
      <c r="H3272" s="38" t="s">
        <v>24</v>
      </c>
      <c r="I3272" s="34" t="s">
        <v>9</v>
      </c>
      <c r="J3272" s="38" t="s">
        <v>329</v>
      </c>
    </row>
    <row r="3273" spans="1:10">
      <c r="A3273" s="32">
        <v>825</v>
      </c>
      <c r="B3273" s="33">
        <v>5023</v>
      </c>
      <c r="C3273" s="3">
        <v>2900000</v>
      </c>
      <c r="D3273" s="3">
        <v>2900000</v>
      </c>
      <c r="E3273" s="7">
        <v>0</v>
      </c>
      <c r="F3273" s="5">
        <v>45951</v>
      </c>
      <c r="G3273" s="4">
        <v>20251020</v>
      </c>
      <c r="H3273" s="38" t="s">
        <v>24</v>
      </c>
      <c r="I3273" s="34" t="s">
        <v>9</v>
      </c>
      <c r="J3273" s="38" t="s">
        <v>162</v>
      </c>
    </row>
    <row r="3274" spans="1:10">
      <c r="A3274" s="32">
        <v>178</v>
      </c>
      <c r="B3274" s="33">
        <v>6218</v>
      </c>
      <c r="C3274" s="3">
        <v>2740000</v>
      </c>
      <c r="D3274" s="3">
        <v>2740000</v>
      </c>
      <c r="E3274" s="7">
        <v>0</v>
      </c>
      <c r="F3274" s="5">
        <v>45951</v>
      </c>
      <c r="G3274" s="4">
        <v>20251020</v>
      </c>
      <c r="H3274" s="38" t="s">
        <v>24</v>
      </c>
      <c r="I3274" s="34" t="s">
        <v>9</v>
      </c>
      <c r="J3274" s="38" t="s">
        <v>189</v>
      </c>
    </row>
    <row r="3275" spans="1:10">
      <c r="A3275" s="32">
        <v>634</v>
      </c>
      <c r="B3275" s="33">
        <v>5087</v>
      </c>
      <c r="C3275" s="3">
        <v>2610000</v>
      </c>
      <c r="D3275" s="3">
        <v>2610000</v>
      </c>
      <c r="E3275" s="7">
        <v>0</v>
      </c>
      <c r="F3275" s="5">
        <v>45951</v>
      </c>
      <c r="G3275" s="4">
        <v>20251020</v>
      </c>
      <c r="H3275" s="38" t="s">
        <v>24</v>
      </c>
      <c r="I3275" s="34" t="s">
        <v>9</v>
      </c>
      <c r="J3275" s="38" t="s">
        <v>183</v>
      </c>
    </row>
    <row r="3276" spans="1:10">
      <c r="A3276" s="32">
        <v>300</v>
      </c>
      <c r="B3276" s="33">
        <v>5139</v>
      </c>
      <c r="C3276" s="3">
        <v>320000</v>
      </c>
      <c r="D3276" s="3">
        <v>320000</v>
      </c>
      <c r="E3276" s="7">
        <v>0</v>
      </c>
      <c r="F3276" s="5">
        <v>45951</v>
      </c>
      <c r="G3276" s="4">
        <v>20251020</v>
      </c>
      <c r="H3276" s="38" t="s">
        <v>24</v>
      </c>
      <c r="I3276" s="34" t="s">
        <v>9</v>
      </c>
      <c r="J3276" s="38" t="s">
        <v>51</v>
      </c>
    </row>
    <row r="3277" spans="1:10">
      <c r="A3277" s="32">
        <v>225</v>
      </c>
      <c r="B3277" s="33">
        <v>8863</v>
      </c>
      <c r="C3277" s="3">
        <v>20000</v>
      </c>
      <c r="D3277" s="3">
        <v>20000</v>
      </c>
      <c r="E3277" s="7">
        <v>0</v>
      </c>
      <c r="F3277" s="5">
        <v>45951</v>
      </c>
      <c r="G3277" s="4">
        <v>20251020</v>
      </c>
      <c r="H3277" s="38" t="s">
        <v>30</v>
      </c>
      <c r="I3277" s="34"/>
      <c r="J3277" s="38" t="s">
        <v>547</v>
      </c>
    </row>
    <row r="3278" spans="1:10">
      <c r="A3278" s="32">
        <v>454</v>
      </c>
      <c r="B3278" s="33">
        <v>1885</v>
      </c>
      <c r="C3278" s="3">
        <v>20000</v>
      </c>
      <c r="D3278" s="3">
        <v>20000</v>
      </c>
      <c r="E3278" s="7">
        <f>+C3278-D3278</f>
        <v>0</v>
      </c>
      <c r="F3278" s="5">
        <v>45952</v>
      </c>
      <c r="G3278" s="4">
        <v>20251021</v>
      </c>
      <c r="H3278" s="38" t="str">
        <f>VLOOKUP(B3278,CAJEROS!B:D,3,0)</f>
        <v>Dispensador</v>
      </c>
      <c r="I3278" s="34" t="s">
        <v>10</v>
      </c>
      <c r="J3278" s="38" t="str">
        <f>VLOOKUP(B3278,CAJEROS!B:E,4,0)</f>
        <v>5TAVENIDA2</v>
      </c>
    </row>
    <row r="3279" spans="1:10">
      <c r="A3279" s="32">
        <v>419</v>
      </c>
      <c r="B3279" s="33">
        <v>7980</v>
      </c>
      <c r="C3279" s="3">
        <v>2150000</v>
      </c>
      <c r="D3279" s="3">
        <v>2150000</v>
      </c>
      <c r="E3279" s="7">
        <v>0</v>
      </c>
      <c r="F3279" s="5">
        <v>45903</v>
      </c>
      <c r="G3279" s="4">
        <v>20250902</v>
      </c>
      <c r="H3279" s="38" t="s">
        <v>24</v>
      </c>
      <c r="I3279" s="34" t="s">
        <v>9</v>
      </c>
      <c r="J3279" s="38" t="s">
        <v>113</v>
      </c>
    </row>
    <row r="3280" spans="1:10">
      <c r="A3280" s="32">
        <v>419</v>
      </c>
      <c r="B3280" s="33">
        <v>7980</v>
      </c>
      <c r="C3280" s="3">
        <v>630000</v>
      </c>
      <c r="D3280" s="3">
        <v>630000</v>
      </c>
      <c r="E3280" s="7">
        <v>0</v>
      </c>
      <c r="F3280" s="5">
        <v>45904</v>
      </c>
      <c r="G3280" s="4">
        <v>20250903</v>
      </c>
      <c r="H3280" s="38" t="s">
        <v>24</v>
      </c>
      <c r="I3280" s="34" t="s">
        <v>9</v>
      </c>
      <c r="J3280" s="38" t="s">
        <v>113</v>
      </c>
    </row>
    <row r="3281" spans="1:10">
      <c r="A3281" s="32">
        <v>728</v>
      </c>
      <c r="B3281" s="33">
        <v>8586</v>
      </c>
      <c r="C3281" s="3">
        <v>5625000</v>
      </c>
      <c r="D3281" s="3">
        <v>5625000</v>
      </c>
      <c r="E3281" s="7">
        <v>0</v>
      </c>
      <c r="F3281" s="5">
        <v>45915</v>
      </c>
      <c r="G3281" s="4">
        <v>20250912</v>
      </c>
      <c r="H3281" s="38" t="s">
        <v>24</v>
      </c>
      <c r="I3281" s="34"/>
      <c r="J3281" s="38" t="s">
        <v>479</v>
      </c>
    </row>
    <row r="3282" spans="1:10">
      <c r="A3282" s="32">
        <v>15</v>
      </c>
      <c r="B3282" s="33">
        <v>8578</v>
      </c>
      <c r="C3282" s="3">
        <v>2360000</v>
      </c>
      <c r="D3282" s="3">
        <v>2360000</v>
      </c>
      <c r="E3282" s="7">
        <v>0</v>
      </c>
      <c r="F3282" s="5">
        <v>45917</v>
      </c>
      <c r="G3282" s="4">
        <v>20250916</v>
      </c>
      <c r="H3282" s="38" t="s">
        <v>24</v>
      </c>
      <c r="I3282" s="34" t="s">
        <v>9</v>
      </c>
      <c r="J3282" s="38" t="s">
        <v>129</v>
      </c>
    </row>
    <row r="3283" spans="1:10">
      <c r="A3283" s="32">
        <v>30</v>
      </c>
      <c r="B3283" s="33">
        <v>4958</v>
      </c>
      <c r="C3283" s="3">
        <v>740000</v>
      </c>
      <c r="D3283" s="3">
        <v>740000</v>
      </c>
      <c r="E3283" s="7">
        <v>0</v>
      </c>
      <c r="F3283" s="5">
        <v>45918</v>
      </c>
      <c r="G3283" s="4">
        <v>20250917</v>
      </c>
      <c r="H3283" s="38" t="s">
        <v>30</v>
      </c>
      <c r="I3283" s="34" t="s">
        <v>9</v>
      </c>
      <c r="J3283" s="38" t="s">
        <v>144</v>
      </c>
    </row>
    <row r="3284" spans="1:10">
      <c r="A3284" s="32">
        <v>419</v>
      </c>
      <c r="B3284" s="33">
        <v>7980</v>
      </c>
      <c r="C3284" s="3">
        <v>14869000</v>
      </c>
      <c r="D3284" s="3">
        <v>14869000</v>
      </c>
      <c r="E3284" s="7">
        <v>0</v>
      </c>
      <c r="F3284" s="5">
        <v>45918</v>
      </c>
      <c r="G3284" s="4">
        <v>20250917</v>
      </c>
      <c r="H3284" s="38" t="s">
        <v>24</v>
      </c>
      <c r="I3284" s="34"/>
      <c r="J3284" s="38" t="s">
        <v>113</v>
      </c>
    </row>
    <row r="3285" spans="1:10">
      <c r="A3285" s="32">
        <v>419</v>
      </c>
      <c r="B3285" s="33">
        <v>7980</v>
      </c>
      <c r="C3285" s="3">
        <v>3041000</v>
      </c>
      <c r="D3285" s="3">
        <v>3041000</v>
      </c>
      <c r="E3285" s="7">
        <v>0</v>
      </c>
      <c r="F3285" s="5">
        <v>45923</v>
      </c>
      <c r="G3285" s="4">
        <v>20250922</v>
      </c>
      <c r="H3285" s="38" t="s">
        <v>24</v>
      </c>
      <c r="I3285" s="34" t="s">
        <v>9</v>
      </c>
      <c r="J3285" s="38" t="s">
        <v>113</v>
      </c>
    </row>
    <row r="3286" spans="1:10">
      <c r="A3286" s="32">
        <v>795</v>
      </c>
      <c r="B3286" s="33">
        <v>1028</v>
      </c>
      <c r="C3286" s="3">
        <v>20000</v>
      </c>
      <c r="D3286" s="3">
        <v>20000</v>
      </c>
      <c r="E3286" s="7">
        <v>0</v>
      </c>
      <c r="F3286" s="5">
        <v>45924</v>
      </c>
      <c r="G3286" s="4">
        <v>20250923</v>
      </c>
      <c r="H3286" s="38" t="s">
        <v>24</v>
      </c>
      <c r="I3286" s="34" t="s">
        <v>10</v>
      </c>
      <c r="J3286" s="38" t="s">
        <v>305</v>
      </c>
    </row>
    <row r="3287" spans="1:10">
      <c r="A3287" s="32">
        <v>959</v>
      </c>
      <c r="B3287" s="33">
        <v>4498</v>
      </c>
      <c r="C3287" s="3">
        <v>200000</v>
      </c>
      <c r="D3287" s="3">
        <v>200000</v>
      </c>
      <c r="E3287" s="7">
        <v>0</v>
      </c>
      <c r="F3287" s="5">
        <v>45925</v>
      </c>
      <c r="G3287" s="4">
        <v>20250924</v>
      </c>
      <c r="H3287" s="38" t="s">
        <v>30</v>
      </c>
      <c r="I3287" s="34" t="s">
        <v>9</v>
      </c>
      <c r="J3287" s="38" t="s">
        <v>392</v>
      </c>
    </row>
    <row r="3288" spans="1:10">
      <c r="A3288" s="32">
        <v>795</v>
      </c>
      <c r="B3288" s="33">
        <v>1028</v>
      </c>
      <c r="C3288" s="3">
        <v>770000</v>
      </c>
      <c r="D3288" s="3">
        <v>770000</v>
      </c>
      <c r="E3288" s="7">
        <v>0</v>
      </c>
      <c r="F3288" s="5">
        <v>45930</v>
      </c>
      <c r="G3288" s="4">
        <v>20250929</v>
      </c>
      <c r="H3288" s="38" t="s">
        <v>24</v>
      </c>
      <c r="I3288" s="34" t="s">
        <v>9</v>
      </c>
      <c r="J3288" s="38" t="s">
        <v>305</v>
      </c>
    </row>
    <row r="3289" spans="1:10">
      <c r="A3289" s="32">
        <v>337</v>
      </c>
      <c r="B3289" s="33">
        <v>6253</v>
      </c>
      <c r="C3289" s="3">
        <v>550000</v>
      </c>
      <c r="D3289" s="3">
        <v>550000</v>
      </c>
      <c r="E3289" s="7">
        <v>0</v>
      </c>
      <c r="F3289" s="5">
        <v>45930</v>
      </c>
      <c r="G3289" s="4">
        <v>20250930</v>
      </c>
      <c r="H3289" s="38" t="s">
        <v>24</v>
      </c>
      <c r="I3289" s="34"/>
      <c r="J3289" s="38" t="s">
        <v>352</v>
      </c>
    </row>
    <row r="3290" spans="1:10">
      <c r="A3290" s="32">
        <v>30</v>
      </c>
      <c r="B3290" s="33">
        <v>4958</v>
      </c>
      <c r="C3290" s="3">
        <v>4850000</v>
      </c>
      <c r="D3290" s="3">
        <v>4850000</v>
      </c>
      <c r="E3290" s="7">
        <v>0</v>
      </c>
      <c r="F3290" s="5">
        <v>45932</v>
      </c>
      <c r="G3290" s="4">
        <v>20251001</v>
      </c>
      <c r="H3290" s="38" t="s">
        <v>30</v>
      </c>
      <c r="I3290" s="34" t="s">
        <v>9</v>
      </c>
      <c r="J3290" s="38" t="s">
        <v>144</v>
      </c>
    </row>
    <row r="3291" spans="1:10">
      <c r="A3291" s="32">
        <v>285</v>
      </c>
      <c r="B3291" s="33">
        <v>1437</v>
      </c>
      <c r="C3291" s="3">
        <v>500000</v>
      </c>
      <c r="D3291" s="3">
        <v>500000</v>
      </c>
      <c r="E3291" s="7">
        <v>0</v>
      </c>
      <c r="F3291" s="5">
        <v>45932</v>
      </c>
      <c r="G3291" s="4">
        <v>20251001</v>
      </c>
      <c r="H3291" s="38" t="s">
        <v>30</v>
      </c>
      <c r="I3291" s="34" t="s">
        <v>9</v>
      </c>
      <c r="J3291" s="38" t="s">
        <v>549</v>
      </c>
    </row>
    <row r="3292" spans="1:10">
      <c r="A3292" s="32">
        <v>721</v>
      </c>
      <c r="B3292" s="33">
        <v>8892</v>
      </c>
      <c r="C3292" s="3">
        <v>100000</v>
      </c>
      <c r="D3292" s="3">
        <v>100000</v>
      </c>
      <c r="E3292" s="7">
        <v>0</v>
      </c>
      <c r="F3292" s="5">
        <v>45932</v>
      </c>
      <c r="G3292" s="4">
        <v>20251001</v>
      </c>
      <c r="H3292" s="38" t="s">
        <v>30</v>
      </c>
      <c r="I3292" s="34" t="s">
        <v>9</v>
      </c>
      <c r="J3292" s="38" t="s">
        <v>171</v>
      </c>
    </row>
    <row r="3293" spans="1:10">
      <c r="A3293" s="32">
        <v>337</v>
      </c>
      <c r="B3293" s="33">
        <v>6253</v>
      </c>
      <c r="C3293" s="3">
        <v>2530000</v>
      </c>
      <c r="D3293" s="3">
        <v>2530000</v>
      </c>
      <c r="E3293" s="7">
        <v>0</v>
      </c>
      <c r="F3293" s="5">
        <v>45932</v>
      </c>
      <c r="G3293" s="4">
        <v>20251001</v>
      </c>
      <c r="H3293" s="38" t="s">
        <v>24</v>
      </c>
      <c r="I3293" s="34" t="s">
        <v>9</v>
      </c>
      <c r="J3293" s="38" t="s">
        <v>352</v>
      </c>
    </row>
    <row r="3294" spans="1:10">
      <c r="A3294" s="32">
        <v>15</v>
      </c>
      <c r="B3294" s="33">
        <v>8577</v>
      </c>
      <c r="C3294" s="3">
        <v>2430000</v>
      </c>
      <c r="D3294" s="3">
        <v>2430000</v>
      </c>
      <c r="E3294" s="7">
        <v>0</v>
      </c>
      <c r="F3294" s="5">
        <v>45932</v>
      </c>
      <c r="G3294" s="4">
        <v>20251001</v>
      </c>
      <c r="H3294" s="38" t="s">
        <v>24</v>
      </c>
      <c r="I3294" s="34" t="s">
        <v>9</v>
      </c>
      <c r="J3294" s="38" t="s">
        <v>374</v>
      </c>
    </row>
    <row r="3295" spans="1:10">
      <c r="A3295" s="32">
        <v>728</v>
      </c>
      <c r="B3295" s="33">
        <v>8586</v>
      </c>
      <c r="C3295" s="3">
        <v>2590000</v>
      </c>
      <c r="D3295" s="3">
        <v>2590000</v>
      </c>
      <c r="E3295" s="7">
        <v>0</v>
      </c>
      <c r="F3295" s="5">
        <v>45933</v>
      </c>
      <c r="G3295" s="4">
        <v>20251002</v>
      </c>
      <c r="H3295" s="38" t="s">
        <v>24</v>
      </c>
      <c r="I3295" s="34" t="s">
        <v>9</v>
      </c>
      <c r="J3295" s="38" t="s">
        <v>479</v>
      </c>
    </row>
    <row r="3296" spans="1:10">
      <c r="A3296" s="32">
        <v>30</v>
      </c>
      <c r="B3296" s="33">
        <v>4958</v>
      </c>
      <c r="C3296" s="3">
        <v>300000</v>
      </c>
      <c r="D3296" s="3">
        <v>300000</v>
      </c>
      <c r="E3296" s="7">
        <v>0</v>
      </c>
      <c r="F3296" s="5">
        <v>45933</v>
      </c>
      <c r="G3296" s="4">
        <v>20251002</v>
      </c>
      <c r="H3296" s="38" t="s">
        <v>30</v>
      </c>
      <c r="I3296" s="34" t="s">
        <v>9</v>
      </c>
      <c r="J3296" s="38" t="s">
        <v>144</v>
      </c>
    </row>
    <row r="3297" spans="1:10">
      <c r="A3297" s="32">
        <v>789</v>
      </c>
      <c r="B3297" s="33">
        <v>5660</v>
      </c>
      <c r="C3297" s="3">
        <v>500000</v>
      </c>
      <c r="D3297" s="3">
        <v>500000</v>
      </c>
      <c r="E3297" s="7">
        <v>0</v>
      </c>
      <c r="F3297" s="5">
        <v>45933</v>
      </c>
      <c r="G3297" s="4">
        <v>20251002</v>
      </c>
      <c r="H3297" s="38" t="s">
        <v>30</v>
      </c>
      <c r="I3297" s="34" t="s">
        <v>9</v>
      </c>
      <c r="J3297" s="38" t="s">
        <v>550</v>
      </c>
    </row>
    <row r="3298" spans="1:10">
      <c r="A3298" s="32">
        <v>828</v>
      </c>
      <c r="B3298" s="33">
        <v>2235</v>
      </c>
      <c r="C3298" s="3">
        <v>150000</v>
      </c>
      <c r="D3298" s="3">
        <v>150000</v>
      </c>
      <c r="E3298" s="7">
        <v>0</v>
      </c>
      <c r="F3298" s="5">
        <v>45933</v>
      </c>
      <c r="G3298" s="4">
        <v>20251002</v>
      </c>
      <c r="H3298" s="38" t="s">
        <v>30</v>
      </c>
      <c r="I3298" s="34" t="s">
        <v>9</v>
      </c>
      <c r="J3298" s="38" t="s">
        <v>237</v>
      </c>
    </row>
    <row r="3299" spans="1:10">
      <c r="A3299" s="32">
        <v>721</v>
      </c>
      <c r="B3299" s="33">
        <v>8891</v>
      </c>
      <c r="C3299" s="3">
        <v>200000</v>
      </c>
      <c r="D3299" s="3">
        <v>200000</v>
      </c>
      <c r="E3299" s="7">
        <v>0</v>
      </c>
      <c r="F3299" s="5">
        <v>45936</v>
      </c>
      <c r="G3299" s="4">
        <v>20251005</v>
      </c>
      <c r="H3299" s="38" t="s">
        <v>30</v>
      </c>
      <c r="I3299" s="34" t="s">
        <v>9</v>
      </c>
      <c r="J3299" s="38" t="s">
        <v>551</v>
      </c>
    </row>
    <row r="3300" spans="1:10">
      <c r="A3300" s="32">
        <v>721</v>
      </c>
      <c r="B3300" s="33">
        <v>8892</v>
      </c>
      <c r="C3300" s="3">
        <v>60000</v>
      </c>
      <c r="D3300" s="3">
        <v>60000</v>
      </c>
      <c r="E3300" s="7">
        <v>0</v>
      </c>
      <c r="F3300" s="5">
        <v>45936</v>
      </c>
      <c r="G3300" s="4">
        <v>20251005</v>
      </c>
      <c r="H3300" s="38" t="s">
        <v>30</v>
      </c>
      <c r="I3300" s="34" t="s">
        <v>9</v>
      </c>
      <c r="J3300" s="38" t="s">
        <v>171</v>
      </c>
    </row>
    <row r="3301" spans="1:10">
      <c r="A3301" s="32">
        <v>789</v>
      </c>
      <c r="B3301" s="33">
        <v>5660</v>
      </c>
      <c r="C3301" s="3">
        <v>2140000</v>
      </c>
      <c r="D3301" s="3">
        <v>2140000</v>
      </c>
      <c r="E3301" s="7">
        <v>0</v>
      </c>
      <c r="F3301" s="5">
        <v>45936</v>
      </c>
      <c r="G3301" s="4">
        <v>20251005</v>
      </c>
      <c r="H3301" s="38" t="s">
        <v>30</v>
      </c>
      <c r="I3301" s="34" t="s">
        <v>9</v>
      </c>
      <c r="J3301" s="38" t="s">
        <v>550</v>
      </c>
    </row>
    <row r="3302" spans="1:10">
      <c r="A3302" s="32">
        <v>959</v>
      </c>
      <c r="B3302" s="33">
        <v>4498</v>
      </c>
      <c r="C3302" s="3">
        <v>100000</v>
      </c>
      <c r="D3302" s="3">
        <v>100000</v>
      </c>
      <c r="E3302" s="7">
        <v>0</v>
      </c>
      <c r="F3302" s="5">
        <v>45936</v>
      </c>
      <c r="G3302" s="4">
        <v>20251005</v>
      </c>
      <c r="H3302" s="38" t="s">
        <v>30</v>
      </c>
      <c r="I3302" s="34" t="s">
        <v>9</v>
      </c>
      <c r="J3302" s="38" t="s">
        <v>392</v>
      </c>
    </row>
    <row r="3303" spans="1:10">
      <c r="A3303" s="32">
        <v>343</v>
      </c>
      <c r="B3303" s="33">
        <v>7955</v>
      </c>
      <c r="C3303" s="3">
        <v>360000</v>
      </c>
      <c r="D3303" s="3">
        <v>360000</v>
      </c>
      <c r="E3303" s="7">
        <v>0</v>
      </c>
      <c r="F3303" s="5">
        <v>45937</v>
      </c>
      <c r="G3303" s="4">
        <v>20251006</v>
      </c>
      <c r="H3303" s="38" t="s">
        <v>30</v>
      </c>
      <c r="I3303" s="34" t="s">
        <v>9</v>
      </c>
      <c r="J3303" s="38" t="s">
        <v>95</v>
      </c>
    </row>
    <row r="3304" spans="1:10">
      <c r="A3304" s="32">
        <v>957</v>
      </c>
      <c r="B3304" s="33">
        <v>9512</v>
      </c>
      <c r="C3304" s="3">
        <v>3790000</v>
      </c>
      <c r="D3304" s="3">
        <v>3790000</v>
      </c>
      <c r="E3304" s="7">
        <v>0</v>
      </c>
      <c r="F3304" s="5">
        <v>45938</v>
      </c>
      <c r="G3304" s="4">
        <v>20251007</v>
      </c>
      <c r="H3304" s="38" t="s">
        <v>24</v>
      </c>
      <c r="I3304" s="34" t="s">
        <v>9</v>
      </c>
      <c r="J3304" s="38" t="s">
        <v>297</v>
      </c>
    </row>
    <row r="3305" spans="1:10">
      <c r="A3305" s="32">
        <v>419</v>
      </c>
      <c r="B3305" s="33">
        <v>7980</v>
      </c>
      <c r="C3305" s="3">
        <v>2823800</v>
      </c>
      <c r="D3305" s="3">
        <v>2823800</v>
      </c>
      <c r="E3305" s="7">
        <v>0</v>
      </c>
      <c r="F3305" s="5">
        <v>45938</v>
      </c>
      <c r="G3305" s="4">
        <v>20251007</v>
      </c>
      <c r="H3305" s="38" t="s">
        <v>24</v>
      </c>
      <c r="I3305" s="34" t="s">
        <v>9</v>
      </c>
      <c r="J3305" s="38" t="s">
        <v>113</v>
      </c>
    </row>
    <row r="3306" spans="1:10">
      <c r="A3306" s="32">
        <v>721</v>
      </c>
      <c r="B3306" s="33">
        <v>8892</v>
      </c>
      <c r="C3306" s="3">
        <v>20000</v>
      </c>
      <c r="D3306" s="3">
        <v>20000</v>
      </c>
      <c r="E3306" s="7">
        <v>0</v>
      </c>
      <c r="F3306" s="5">
        <v>45938</v>
      </c>
      <c r="G3306" s="4">
        <v>20251007</v>
      </c>
      <c r="H3306" s="38" t="s">
        <v>30</v>
      </c>
      <c r="I3306" s="34" t="s">
        <v>10</v>
      </c>
      <c r="J3306" s="38" t="s">
        <v>171</v>
      </c>
    </row>
    <row r="3307" spans="1:10">
      <c r="A3307" s="32">
        <v>30</v>
      </c>
      <c r="B3307" s="33">
        <v>4957</v>
      </c>
      <c r="C3307" s="3">
        <v>320000</v>
      </c>
      <c r="D3307" s="3">
        <v>320000</v>
      </c>
      <c r="E3307" s="7">
        <v>0</v>
      </c>
      <c r="F3307" s="5">
        <v>45938</v>
      </c>
      <c r="G3307" s="4">
        <v>20251007</v>
      </c>
      <c r="H3307" s="38" t="s">
        <v>30</v>
      </c>
      <c r="I3307" s="34" t="s">
        <v>9</v>
      </c>
      <c r="J3307" s="38" t="s">
        <v>143</v>
      </c>
    </row>
    <row r="3308" spans="1:10">
      <c r="A3308" s="32">
        <v>30</v>
      </c>
      <c r="B3308" s="33">
        <v>4958</v>
      </c>
      <c r="C3308" s="3">
        <v>120000</v>
      </c>
      <c r="D3308" s="3">
        <v>120000</v>
      </c>
      <c r="E3308" s="7">
        <v>0</v>
      </c>
      <c r="F3308" s="5">
        <v>45939</v>
      </c>
      <c r="G3308" s="4">
        <v>20251008</v>
      </c>
      <c r="H3308" s="38" t="s">
        <v>30</v>
      </c>
      <c r="I3308" s="34" t="s">
        <v>9</v>
      </c>
      <c r="J3308" s="38" t="s">
        <v>144</v>
      </c>
    </row>
    <row r="3309" spans="1:10">
      <c r="A3309" s="32">
        <v>15</v>
      </c>
      <c r="B3309" s="33">
        <v>8577</v>
      </c>
      <c r="C3309" s="3">
        <v>3325100</v>
      </c>
      <c r="D3309" s="3">
        <v>3325100</v>
      </c>
      <c r="E3309" s="7">
        <v>0</v>
      </c>
      <c r="F3309" s="5">
        <v>45939</v>
      </c>
      <c r="G3309" s="4">
        <v>20251008</v>
      </c>
      <c r="H3309" s="38" t="s">
        <v>24</v>
      </c>
      <c r="I3309" s="34" t="s">
        <v>9</v>
      </c>
      <c r="J3309" s="38" t="s">
        <v>374</v>
      </c>
    </row>
    <row r="3310" spans="1:10">
      <c r="A3310" s="32">
        <v>388</v>
      </c>
      <c r="B3310" s="33">
        <v>5169</v>
      </c>
      <c r="C3310" s="3">
        <v>1280000</v>
      </c>
      <c r="D3310" s="3">
        <v>1280000</v>
      </c>
      <c r="E3310" s="7">
        <v>0</v>
      </c>
      <c r="F3310" s="5">
        <v>45939</v>
      </c>
      <c r="G3310" s="4">
        <v>20251008</v>
      </c>
      <c r="H3310" s="38" t="s">
        <v>24</v>
      </c>
      <c r="I3310" s="34" t="s">
        <v>9</v>
      </c>
      <c r="J3310" s="38" t="s">
        <v>186</v>
      </c>
    </row>
    <row r="3311" spans="1:10">
      <c r="A3311" s="32">
        <v>53</v>
      </c>
      <c r="B3311" s="33">
        <v>5141</v>
      </c>
      <c r="C3311" s="3">
        <v>110000</v>
      </c>
      <c r="D3311" s="3">
        <v>110000</v>
      </c>
      <c r="E3311" s="7">
        <v>0</v>
      </c>
      <c r="F3311" s="5">
        <v>45939</v>
      </c>
      <c r="G3311" s="4">
        <v>20251008</v>
      </c>
      <c r="H3311" s="38" t="s">
        <v>24</v>
      </c>
      <c r="I3311" s="34" t="s">
        <v>9</v>
      </c>
      <c r="J3311" s="38" t="s">
        <v>552</v>
      </c>
    </row>
    <row r="3312" spans="1:10">
      <c r="A3312" s="32">
        <v>957</v>
      </c>
      <c r="B3312" s="33">
        <v>9512</v>
      </c>
      <c r="C3312" s="3">
        <v>520000</v>
      </c>
      <c r="D3312" s="3">
        <v>520000</v>
      </c>
      <c r="E3312" s="7">
        <v>0</v>
      </c>
      <c r="F3312" s="5">
        <v>45940</v>
      </c>
      <c r="G3312" s="4">
        <v>20251009</v>
      </c>
      <c r="H3312" s="38" t="s">
        <v>24</v>
      </c>
      <c r="I3312" s="34" t="s">
        <v>9</v>
      </c>
      <c r="J3312" s="38" t="s">
        <v>297</v>
      </c>
    </row>
    <row r="3313" spans="1:10">
      <c r="A3313" s="32">
        <v>53</v>
      </c>
      <c r="B3313" s="33">
        <v>5141</v>
      </c>
      <c r="C3313" s="3">
        <v>440000</v>
      </c>
      <c r="D3313" s="3">
        <v>440000</v>
      </c>
      <c r="E3313" s="7">
        <v>0</v>
      </c>
      <c r="F3313" s="5">
        <v>45940</v>
      </c>
      <c r="G3313" s="4">
        <v>20251009</v>
      </c>
      <c r="H3313" s="38" t="s">
        <v>24</v>
      </c>
      <c r="I3313" s="34" t="s">
        <v>9</v>
      </c>
      <c r="J3313" s="38" t="s">
        <v>552</v>
      </c>
    </row>
    <row r="3314" spans="1:10">
      <c r="A3314" s="32">
        <v>30</v>
      </c>
      <c r="B3314" s="33">
        <v>4958</v>
      </c>
      <c r="C3314" s="3">
        <v>800000</v>
      </c>
      <c r="D3314" s="3">
        <v>800000</v>
      </c>
      <c r="E3314" s="7">
        <v>0</v>
      </c>
      <c r="F3314" s="5">
        <v>45940</v>
      </c>
      <c r="G3314" s="4">
        <v>20251009</v>
      </c>
      <c r="H3314" s="38" t="s">
        <v>30</v>
      </c>
      <c r="I3314" s="34" t="s">
        <v>9</v>
      </c>
      <c r="J3314" s="38" t="s">
        <v>144</v>
      </c>
    </row>
    <row r="3315" spans="1:10">
      <c r="A3315" s="32">
        <v>789</v>
      </c>
      <c r="B3315" s="33">
        <v>5660</v>
      </c>
      <c r="C3315" s="3">
        <v>60000</v>
      </c>
      <c r="D3315" s="3">
        <v>60000</v>
      </c>
      <c r="E3315" s="7">
        <v>0</v>
      </c>
      <c r="F3315" s="5">
        <v>45940</v>
      </c>
      <c r="G3315" s="4">
        <v>20251009</v>
      </c>
      <c r="H3315" s="38" t="s">
        <v>30</v>
      </c>
      <c r="I3315" s="34" t="s">
        <v>9</v>
      </c>
      <c r="J3315" s="38" t="s">
        <v>550</v>
      </c>
    </row>
    <row r="3316" spans="1:10">
      <c r="A3316" s="32">
        <v>42</v>
      </c>
      <c r="B3316" s="33">
        <v>7886</v>
      </c>
      <c r="C3316" s="3">
        <v>70000</v>
      </c>
      <c r="D3316" s="3">
        <v>70000</v>
      </c>
      <c r="E3316" s="7">
        <v>0</v>
      </c>
      <c r="F3316" s="5">
        <v>45940</v>
      </c>
      <c r="G3316" s="4">
        <v>20251009</v>
      </c>
      <c r="H3316" s="38" t="s">
        <v>30</v>
      </c>
      <c r="I3316" s="34" t="s">
        <v>9</v>
      </c>
      <c r="J3316" s="38" t="s">
        <v>227</v>
      </c>
    </row>
    <row r="3317" spans="1:10">
      <c r="A3317" s="32">
        <v>728</v>
      </c>
      <c r="B3317" s="33">
        <v>8586</v>
      </c>
      <c r="C3317" s="3">
        <v>5100</v>
      </c>
      <c r="D3317" s="3">
        <v>5100</v>
      </c>
      <c r="E3317" s="7">
        <v>0</v>
      </c>
      <c r="F3317" s="5">
        <v>45944</v>
      </c>
      <c r="G3317" s="4">
        <v>20251009</v>
      </c>
      <c r="H3317" s="38" t="s">
        <v>24</v>
      </c>
      <c r="I3317" s="34"/>
      <c r="J3317" s="38" t="s">
        <v>479</v>
      </c>
    </row>
    <row r="3318" spans="1:10">
      <c r="A3318" s="32">
        <v>42</v>
      </c>
      <c r="B3318" s="33">
        <v>7886</v>
      </c>
      <c r="C3318" s="3">
        <v>60000</v>
      </c>
      <c r="D3318" s="3">
        <v>60000</v>
      </c>
      <c r="E3318" s="7">
        <v>0</v>
      </c>
      <c r="F3318" s="5">
        <v>45944</v>
      </c>
      <c r="G3318" s="4">
        <v>20251013</v>
      </c>
      <c r="H3318" s="38" t="s">
        <v>30</v>
      </c>
      <c r="I3318" s="34" t="s">
        <v>9</v>
      </c>
      <c r="J3318" s="38" t="s">
        <v>227</v>
      </c>
    </row>
    <row r="3319" spans="1:10">
      <c r="A3319" s="32">
        <v>343</v>
      </c>
      <c r="B3319" s="33">
        <v>7955</v>
      </c>
      <c r="C3319" s="3">
        <v>1150000</v>
      </c>
      <c r="D3319" s="3">
        <v>1150000</v>
      </c>
      <c r="E3319" s="7">
        <v>0</v>
      </c>
      <c r="F3319" s="5">
        <v>45944</v>
      </c>
      <c r="G3319" s="4">
        <v>20251013</v>
      </c>
      <c r="H3319" s="38" t="s">
        <v>30</v>
      </c>
      <c r="I3319" s="34" t="s">
        <v>9</v>
      </c>
      <c r="J3319" s="38" t="s">
        <v>95</v>
      </c>
    </row>
    <row r="3320" spans="1:10">
      <c r="A3320" s="32">
        <v>789</v>
      </c>
      <c r="B3320" s="33">
        <v>5660</v>
      </c>
      <c r="C3320" s="3">
        <v>150000</v>
      </c>
      <c r="D3320" s="3">
        <v>150000</v>
      </c>
      <c r="E3320" s="7">
        <v>0</v>
      </c>
      <c r="F3320" s="5">
        <v>45944</v>
      </c>
      <c r="G3320" s="4">
        <v>20251013</v>
      </c>
      <c r="H3320" s="38" t="s">
        <v>30</v>
      </c>
      <c r="I3320" s="34" t="s">
        <v>9</v>
      </c>
      <c r="J3320" s="38" t="s">
        <v>550</v>
      </c>
    </row>
    <row r="3321" spans="1:10">
      <c r="A3321" s="32">
        <v>828</v>
      </c>
      <c r="B3321" s="33">
        <v>2235</v>
      </c>
      <c r="C3321" s="3">
        <v>830000</v>
      </c>
      <c r="D3321" s="3">
        <v>830000</v>
      </c>
      <c r="E3321" s="7">
        <v>0</v>
      </c>
      <c r="F3321" s="5">
        <v>45944</v>
      </c>
      <c r="G3321" s="4">
        <v>20251013</v>
      </c>
      <c r="H3321" s="38" t="s">
        <v>30</v>
      </c>
      <c r="I3321" s="34" t="s">
        <v>9</v>
      </c>
      <c r="J3321" s="38" t="s">
        <v>237</v>
      </c>
    </row>
    <row r="3322" spans="1:10">
      <c r="A3322" s="32">
        <v>959</v>
      </c>
      <c r="B3322" s="33">
        <v>9265</v>
      </c>
      <c r="C3322" s="3">
        <v>1450000</v>
      </c>
      <c r="D3322" s="3">
        <v>1450000</v>
      </c>
      <c r="E3322" s="7">
        <v>0</v>
      </c>
      <c r="F3322" s="5">
        <v>45945</v>
      </c>
      <c r="G3322" s="4">
        <v>20251014</v>
      </c>
      <c r="H3322" s="38" t="s">
        <v>24</v>
      </c>
      <c r="I3322" s="34" t="s">
        <v>9</v>
      </c>
      <c r="J3322" s="38" t="s">
        <v>397</v>
      </c>
    </row>
    <row r="3323" spans="1:10">
      <c r="A3323" s="32">
        <v>15</v>
      </c>
      <c r="B3323" s="33">
        <v>8577</v>
      </c>
      <c r="C3323" s="3">
        <v>1159850</v>
      </c>
      <c r="D3323" s="3">
        <v>1159850</v>
      </c>
      <c r="E3323" s="7">
        <v>0</v>
      </c>
      <c r="F3323" s="5">
        <v>45945</v>
      </c>
      <c r="G3323" s="4">
        <v>20251014</v>
      </c>
      <c r="H3323" s="38" t="s">
        <v>24</v>
      </c>
      <c r="I3323" s="34" t="s">
        <v>9</v>
      </c>
      <c r="J3323" s="38" t="s">
        <v>374</v>
      </c>
    </row>
    <row r="3324" spans="1:10">
      <c r="A3324" s="32">
        <v>53</v>
      </c>
      <c r="B3324" s="33">
        <v>5141</v>
      </c>
      <c r="C3324" s="3">
        <v>650000</v>
      </c>
      <c r="D3324" s="3">
        <v>650000</v>
      </c>
      <c r="E3324" s="7">
        <v>0</v>
      </c>
      <c r="F3324" s="5">
        <v>45945</v>
      </c>
      <c r="G3324" s="4">
        <v>20251014</v>
      </c>
      <c r="H3324" s="38" t="s">
        <v>24</v>
      </c>
      <c r="I3324" s="34" t="s">
        <v>9</v>
      </c>
      <c r="J3324" s="38" t="s">
        <v>552</v>
      </c>
    </row>
    <row r="3325" spans="1:10">
      <c r="A3325" s="32">
        <v>61</v>
      </c>
      <c r="B3325" s="33">
        <v>788</v>
      </c>
      <c r="C3325" s="3">
        <v>200000</v>
      </c>
      <c r="D3325" s="3">
        <v>200000</v>
      </c>
      <c r="E3325" s="7">
        <v>0</v>
      </c>
      <c r="F3325" s="5">
        <v>45945</v>
      </c>
      <c r="G3325" s="4">
        <v>20251014</v>
      </c>
      <c r="H3325" s="38" t="s">
        <v>24</v>
      </c>
      <c r="I3325" s="34" t="s">
        <v>9</v>
      </c>
      <c r="J3325" s="38" t="s">
        <v>25</v>
      </c>
    </row>
    <row r="3326" spans="1:10">
      <c r="A3326" s="32">
        <v>285</v>
      </c>
      <c r="B3326" s="33">
        <v>1437</v>
      </c>
      <c r="C3326" s="3">
        <v>140000</v>
      </c>
      <c r="D3326" s="3">
        <v>140000</v>
      </c>
      <c r="E3326" s="7">
        <v>0</v>
      </c>
      <c r="F3326" s="5">
        <v>45945</v>
      </c>
      <c r="G3326" s="4">
        <v>20251014</v>
      </c>
      <c r="H3326" s="38" t="s">
        <v>30</v>
      </c>
      <c r="I3326" s="34" t="s">
        <v>9</v>
      </c>
      <c r="J3326" s="38" t="s">
        <v>549</v>
      </c>
    </row>
    <row r="3327" spans="1:10">
      <c r="A3327" s="32">
        <v>343</v>
      </c>
      <c r="B3327" s="33">
        <v>7955</v>
      </c>
      <c r="C3327" s="3">
        <v>50000</v>
      </c>
      <c r="D3327" s="3">
        <v>50000</v>
      </c>
      <c r="E3327" s="7">
        <v>0</v>
      </c>
      <c r="F3327" s="5">
        <v>45945</v>
      </c>
      <c r="G3327" s="4">
        <v>20251014</v>
      </c>
      <c r="H3327" s="38" t="s">
        <v>30</v>
      </c>
      <c r="I3327" s="34" t="s">
        <v>9</v>
      </c>
      <c r="J3327" s="38" t="s">
        <v>95</v>
      </c>
    </row>
    <row r="3328" spans="1:10">
      <c r="A3328" s="32">
        <v>42</v>
      </c>
      <c r="B3328" s="33">
        <v>7886</v>
      </c>
      <c r="C3328" s="3">
        <v>3820000</v>
      </c>
      <c r="D3328" s="3">
        <v>3820000</v>
      </c>
      <c r="E3328" s="7">
        <v>0</v>
      </c>
      <c r="F3328" s="5">
        <v>45946</v>
      </c>
      <c r="G3328" s="4">
        <v>20251015</v>
      </c>
      <c r="H3328" s="38" t="s">
        <v>30</v>
      </c>
      <c r="I3328" s="34" t="s">
        <v>9</v>
      </c>
      <c r="J3328" s="38" t="s">
        <v>227</v>
      </c>
    </row>
    <row r="3329" spans="1:10">
      <c r="A3329" s="32">
        <v>728</v>
      </c>
      <c r="B3329" s="33">
        <v>8586</v>
      </c>
      <c r="C3329" s="3">
        <v>50000</v>
      </c>
      <c r="D3329" s="3">
        <v>50000</v>
      </c>
      <c r="E3329" s="7">
        <v>0</v>
      </c>
      <c r="F3329" s="5">
        <v>45946</v>
      </c>
      <c r="G3329" s="4">
        <v>20251014</v>
      </c>
      <c r="H3329" s="38" t="s">
        <v>24</v>
      </c>
      <c r="I3329" s="34"/>
      <c r="J3329" s="38" t="s">
        <v>479</v>
      </c>
    </row>
    <row r="3330" spans="1:10">
      <c r="A3330" s="32">
        <v>42</v>
      </c>
      <c r="B3330" s="33">
        <v>7886</v>
      </c>
      <c r="C3330" s="3">
        <v>560000</v>
      </c>
      <c r="D3330" s="3">
        <v>560000</v>
      </c>
      <c r="E3330" s="7">
        <v>0</v>
      </c>
      <c r="F3330" s="5">
        <v>45947</v>
      </c>
      <c r="G3330" s="4">
        <v>20251016</v>
      </c>
      <c r="H3330" s="38" t="s">
        <v>30</v>
      </c>
      <c r="I3330" s="34" t="s">
        <v>9</v>
      </c>
      <c r="J3330" s="38" t="s">
        <v>227</v>
      </c>
    </row>
    <row r="3331" spans="1:10">
      <c r="A3331" s="32">
        <v>638</v>
      </c>
      <c r="B3331" s="33">
        <v>4486</v>
      </c>
      <c r="C3331" s="3">
        <v>50000</v>
      </c>
      <c r="D3331" s="3">
        <v>50000</v>
      </c>
      <c r="E3331" s="7">
        <v>0</v>
      </c>
      <c r="F3331" s="5">
        <v>45947</v>
      </c>
      <c r="G3331" s="4">
        <v>20251016</v>
      </c>
      <c r="H3331" s="38" t="s">
        <v>30</v>
      </c>
      <c r="I3331" s="34" t="s">
        <v>9</v>
      </c>
      <c r="J3331" s="38" t="s">
        <v>116</v>
      </c>
    </row>
    <row r="3332" spans="1:10">
      <c r="A3332" s="32">
        <v>721</v>
      </c>
      <c r="B3332" s="33">
        <v>8892</v>
      </c>
      <c r="C3332" s="3">
        <v>100000</v>
      </c>
      <c r="D3332" s="3">
        <v>100000</v>
      </c>
      <c r="E3332" s="7">
        <v>0</v>
      </c>
      <c r="F3332" s="5">
        <v>45947</v>
      </c>
      <c r="G3332" s="4">
        <v>20251016</v>
      </c>
      <c r="H3332" s="38" t="s">
        <v>30</v>
      </c>
      <c r="I3332" s="34" t="s">
        <v>9</v>
      </c>
      <c r="J3332" s="38" t="s">
        <v>171</v>
      </c>
    </row>
    <row r="3333" spans="1:10">
      <c r="A3333" s="32">
        <v>789</v>
      </c>
      <c r="B3333" s="33">
        <v>5660</v>
      </c>
      <c r="C3333" s="3">
        <v>100000</v>
      </c>
      <c r="D3333" s="3">
        <v>100000</v>
      </c>
      <c r="E3333" s="7">
        <v>0</v>
      </c>
      <c r="F3333" s="5">
        <v>45947</v>
      </c>
      <c r="G3333" s="4">
        <v>20251016</v>
      </c>
      <c r="H3333" s="38" t="s">
        <v>30</v>
      </c>
      <c r="I3333" s="34" t="s">
        <v>9</v>
      </c>
      <c r="J3333" s="38" t="s">
        <v>550</v>
      </c>
    </row>
    <row r="3334" spans="1:10">
      <c r="A3334" s="32">
        <v>876</v>
      </c>
      <c r="B3334" s="33">
        <v>9680</v>
      </c>
      <c r="C3334" s="3">
        <v>100000</v>
      </c>
      <c r="D3334" s="3">
        <v>100000</v>
      </c>
      <c r="E3334" s="7">
        <v>0</v>
      </c>
      <c r="F3334" s="5">
        <v>45947</v>
      </c>
      <c r="G3334" s="4">
        <v>20251016</v>
      </c>
      <c r="H3334" s="38" t="s">
        <v>30</v>
      </c>
      <c r="I3334" s="34" t="s">
        <v>9</v>
      </c>
      <c r="J3334" s="38" t="s">
        <v>339</v>
      </c>
    </row>
    <row r="3335" spans="1:10">
      <c r="A3335" s="32">
        <v>15</v>
      </c>
      <c r="B3335" s="33">
        <v>8577</v>
      </c>
      <c r="C3335" s="3">
        <v>2880000</v>
      </c>
      <c r="D3335" s="3">
        <v>2880000</v>
      </c>
      <c r="E3335" s="7">
        <v>0</v>
      </c>
      <c r="F3335" s="5">
        <v>45947</v>
      </c>
      <c r="G3335" s="4">
        <v>20251016</v>
      </c>
      <c r="H3335" s="38" t="s">
        <v>24</v>
      </c>
      <c r="I3335" s="34" t="s">
        <v>9</v>
      </c>
      <c r="J3335" s="38" t="s">
        <v>374</v>
      </c>
    </row>
    <row r="3336" spans="1:10">
      <c r="A3336" s="32">
        <v>53</v>
      </c>
      <c r="B3336" s="33">
        <v>5141</v>
      </c>
      <c r="C3336" s="3">
        <v>1740000</v>
      </c>
      <c r="D3336" s="3">
        <v>1740000</v>
      </c>
      <c r="E3336" s="7">
        <v>0</v>
      </c>
      <c r="F3336" s="5">
        <v>45947</v>
      </c>
      <c r="G3336" s="4">
        <v>20251016</v>
      </c>
      <c r="H3336" s="38" t="s">
        <v>24</v>
      </c>
      <c r="I3336" s="34" t="s">
        <v>9</v>
      </c>
      <c r="J3336" s="38" t="s">
        <v>552</v>
      </c>
    </row>
    <row r="3337" spans="1:10">
      <c r="A3337" s="32">
        <v>61</v>
      </c>
      <c r="B3337" s="33">
        <v>788</v>
      </c>
      <c r="C3337" s="3">
        <v>1080000</v>
      </c>
      <c r="D3337" s="3">
        <v>1080000</v>
      </c>
      <c r="E3337" s="7">
        <v>0</v>
      </c>
      <c r="F3337" s="5">
        <v>45947</v>
      </c>
      <c r="G3337" s="4">
        <v>20251016</v>
      </c>
      <c r="H3337" s="38" t="s">
        <v>24</v>
      </c>
      <c r="I3337" s="34" t="s">
        <v>9</v>
      </c>
      <c r="J3337" s="38" t="s">
        <v>25</v>
      </c>
    </row>
    <row r="3338" spans="1:10">
      <c r="A3338" s="32">
        <v>760</v>
      </c>
      <c r="B3338" s="33">
        <v>6092</v>
      </c>
      <c r="C3338" s="3">
        <v>150000</v>
      </c>
      <c r="D3338" s="3">
        <v>150000</v>
      </c>
      <c r="E3338" s="7">
        <v>0</v>
      </c>
      <c r="F3338" s="5">
        <v>45947</v>
      </c>
      <c r="G3338" s="4">
        <v>20251016</v>
      </c>
      <c r="H3338" s="38" t="s">
        <v>24</v>
      </c>
      <c r="I3338" s="34" t="s">
        <v>9</v>
      </c>
      <c r="J3338" s="38" t="s">
        <v>553</v>
      </c>
    </row>
    <row r="3339" spans="1:10">
      <c r="A3339" s="32">
        <v>816</v>
      </c>
      <c r="B3339" s="33">
        <v>5205</v>
      </c>
      <c r="C3339" s="3">
        <v>3440000</v>
      </c>
      <c r="D3339" s="3">
        <v>3440000</v>
      </c>
      <c r="E3339" s="7">
        <v>0</v>
      </c>
      <c r="F3339" s="5">
        <v>45950</v>
      </c>
      <c r="G3339" s="4">
        <v>20251019</v>
      </c>
      <c r="H3339" s="38" t="s">
        <v>24</v>
      </c>
      <c r="I3339" s="34" t="s">
        <v>9</v>
      </c>
      <c r="J3339" s="38" t="s">
        <v>264</v>
      </c>
    </row>
    <row r="3340" spans="1:10">
      <c r="A3340" s="32">
        <v>816</v>
      </c>
      <c r="B3340" s="33">
        <v>5205</v>
      </c>
      <c r="C3340" s="3">
        <v>2425000</v>
      </c>
      <c r="D3340" s="3">
        <v>2425000</v>
      </c>
      <c r="E3340" s="7">
        <v>0</v>
      </c>
      <c r="F3340" s="5">
        <v>45951</v>
      </c>
      <c r="G3340" s="4">
        <v>20251020</v>
      </c>
      <c r="H3340" s="38" t="s">
        <v>24</v>
      </c>
      <c r="I3340" s="34" t="s">
        <v>9</v>
      </c>
      <c r="J3340" s="38" t="s">
        <v>264</v>
      </c>
    </row>
    <row r="3341" spans="1:10">
      <c r="A3341" s="32">
        <v>779</v>
      </c>
      <c r="B3341" s="33">
        <v>5013</v>
      </c>
      <c r="C3341" s="3">
        <v>1350000</v>
      </c>
      <c r="D3341" s="3">
        <v>1350000</v>
      </c>
      <c r="E3341" s="7">
        <v>0</v>
      </c>
      <c r="F3341" s="5">
        <v>45951</v>
      </c>
      <c r="G3341" s="4">
        <v>20251020</v>
      </c>
      <c r="H3341" s="38" t="s">
        <v>24</v>
      </c>
      <c r="I3341" s="34" t="s">
        <v>9</v>
      </c>
      <c r="J3341" s="38" t="s">
        <v>554</v>
      </c>
    </row>
    <row r="3342" spans="1:10">
      <c r="A3342" s="32">
        <v>154</v>
      </c>
      <c r="B3342" s="33">
        <v>5041</v>
      </c>
      <c r="C3342" s="3">
        <v>400000</v>
      </c>
      <c r="D3342" s="3">
        <v>400000</v>
      </c>
      <c r="E3342" s="7">
        <v>0</v>
      </c>
      <c r="F3342" s="5">
        <v>45951</v>
      </c>
      <c r="G3342" s="4">
        <v>20251020</v>
      </c>
      <c r="H3342" s="38" t="s">
        <v>24</v>
      </c>
      <c r="I3342" s="34" t="s">
        <v>9</v>
      </c>
      <c r="J3342" s="38" t="s">
        <v>364</v>
      </c>
    </row>
    <row r="3343" spans="1:10">
      <c r="A3343" s="32">
        <v>42</v>
      </c>
      <c r="B3343" s="33">
        <v>7886</v>
      </c>
      <c r="C3343" s="3">
        <v>210000</v>
      </c>
      <c r="D3343" s="3">
        <v>210000</v>
      </c>
      <c r="E3343" s="7">
        <v>0</v>
      </c>
      <c r="F3343" s="5">
        <v>45952</v>
      </c>
      <c r="G3343" s="4">
        <v>20251021</v>
      </c>
      <c r="H3343" s="38" t="s">
        <v>30</v>
      </c>
      <c r="I3343" s="34" t="s">
        <v>9</v>
      </c>
      <c r="J3343" s="38" t="s">
        <v>227</v>
      </c>
    </row>
    <row r="3344" spans="1:10">
      <c r="A3344" s="32">
        <v>61</v>
      </c>
      <c r="B3344" s="33">
        <v>783</v>
      </c>
      <c r="C3344" s="3">
        <v>200000</v>
      </c>
      <c r="D3344" s="3">
        <v>200000</v>
      </c>
      <c r="E3344" s="7">
        <v>0</v>
      </c>
      <c r="F3344" s="5">
        <v>45952</v>
      </c>
      <c r="G3344" s="4">
        <v>20251021</v>
      </c>
      <c r="H3344" s="38" t="s">
        <v>30</v>
      </c>
      <c r="I3344" s="34" t="s">
        <v>9</v>
      </c>
      <c r="J3344" s="38" t="s">
        <v>502</v>
      </c>
    </row>
    <row r="3345" spans="1:10">
      <c r="A3345" s="32">
        <v>96</v>
      </c>
      <c r="B3345" s="33">
        <v>1035</v>
      </c>
      <c r="C3345" s="3">
        <v>50000</v>
      </c>
      <c r="D3345" s="3">
        <v>50000</v>
      </c>
      <c r="E3345" s="7">
        <v>0</v>
      </c>
      <c r="F3345" s="5">
        <v>45952</v>
      </c>
      <c r="G3345" s="4">
        <v>20251021</v>
      </c>
      <c r="H3345" s="38" t="s">
        <v>30</v>
      </c>
      <c r="I3345" s="34" t="s">
        <v>9</v>
      </c>
      <c r="J3345" s="38" t="s">
        <v>60</v>
      </c>
    </row>
    <row r="3346" spans="1:10">
      <c r="A3346" s="32">
        <v>499</v>
      </c>
      <c r="B3346" s="33">
        <v>9804</v>
      </c>
      <c r="C3346" s="3">
        <v>190000</v>
      </c>
      <c r="D3346" s="3">
        <v>190000</v>
      </c>
      <c r="E3346" s="7">
        <v>0</v>
      </c>
      <c r="F3346" s="5">
        <v>45952</v>
      </c>
      <c r="G3346" s="4">
        <v>20251021</v>
      </c>
      <c r="H3346" s="38" t="s">
        <v>30</v>
      </c>
      <c r="I3346" s="34" t="s">
        <v>9</v>
      </c>
      <c r="J3346" s="38" t="s">
        <v>555</v>
      </c>
    </row>
    <row r="3347" spans="1:10">
      <c r="A3347" s="32">
        <v>638</v>
      </c>
      <c r="B3347" s="33">
        <v>4486</v>
      </c>
      <c r="C3347" s="3">
        <v>100000</v>
      </c>
      <c r="D3347" s="3">
        <v>100000</v>
      </c>
      <c r="E3347" s="7">
        <v>0</v>
      </c>
      <c r="F3347" s="5">
        <v>45952</v>
      </c>
      <c r="G3347" s="4">
        <v>20251021</v>
      </c>
      <c r="H3347" s="38" t="s">
        <v>30</v>
      </c>
      <c r="I3347" s="34" t="s">
        <v>9</v>
      </c>
      <c r="J3347" s="38" t="s">
        <v>116</v>
      </c>
    </row>
    <row r="3348" spans="1:10">
      <c r="A3348" s="32">
        <v>789</v>
      </c>
      <c r="B3348" s="33">
        <v>5660</v>
      </c>
      <c r="C3348" s="3">
        <v>400000</v>
      </c>
      <c r="D3348" s="3">
        <v>400000</v>
      </c>
      <c r="E3348" s="7">
        <v>0</v>
      </c>
      <c r="F3348" s="5">
        <v>45952</v>
      </c>
      <c r="G3348" s="4">
        <v>20251021</v>
      </c>
      <c r="H3348" s="38" t="s">
        <v>30</v>
      </c>
      <c r="I3348" s="34" t="s">
        <v>9</v>
      </c>
      <c r="J3348" s="38" t="s">
        <v>550</v>
      </c>
    </row>
    <row r="3349" spans="1:10">
      <c r="A3349" s="32">
        <v>876</v>
      </c>
      <c r="B3349" s="33">
        <v>9681</v>
      </c>
      <c r="C3349" s="3">
        <v>100000</v>
      </c>
      <c r="D3349" s="3">
        <v>100000</v>
      </c>
      <c r="E3349" s="7">
        <v>0</v>
      </c>
      <c r="F3349" s="5">
        <v>45952</v>
      </c>
      <c r="G3349" s="4">
        <v>20251021</v>
      </c>
      <c r="H3349" s="38" t="s">
        <v>30</v>
      </c>
      <c r="I3349" s="34" t="s">
        <v>9</v>
      </c>
      <c r="J3349" s="38" t="s">
        <v>193</v>
      </c>
    </row>
    <row r="3350" spans="1:10">
      <c r="A3350" s="32">
        <v>779</v>
      </c>
      <c r="B3350" s="33">
        <v>5013</v>
      </c>
      <c r="C3350" s="3">
        <v>1650000</v>
      </c>
      <c r="D3350" s="3">
        <v>1650000</v>
      </c>
      <c r="E3350" s="7">
        <v>0</v>
      </c>
      <c r="F3350" s="5">
        <v>45952</v>
      </c>
      <c r="G3350" s="4">
        <v>20251021</v>
      </c>
      <c r="H3350" s="38" t="s">
        <v>24</v>
      </c>
      <c r="I3350" s="34" t="s">
        <v>9</v>
      </c>
      <c r="J3350" s="38" t="s">
        <v>554</v>
      </c>
    </row>
    <row r="3351" spans="1:10">
      <c r="A3351" s="32">
        <v>32</v>
      </c>
      <c r="B3351" s="33">
        <v>5027</v>
      </c>
      <c r="C3351" s="3">
        <v>1400000</v>
      </c>
      <c r="D3351" s="3">
        <v>1400000</v>
      </c>
      <c r="E3351" s="7">
        <v>0</v>
      </c>
      <c r="F3351" s="5">
        <v>45952</v>
      </c>
      <c r="G3351" s="4">
        <v>20251021</v>
      </c>
      <c r="H3351" s="38" t="s">
        <v>24</v>
      </c>
      <c r="I3351" s="34" t="s">
        <v>9</v>
      </c>
      <c r="J3351" s="38" t="s">
        <v>280</v>
      </c>
    </row>
    <row r="3352" spans="1:10">
      <c r="A3352" s="32">
        <v>888</v>
      </c>
      <c r="B3352" s="33">
        <v>6818</v>
      </c>
      <c r="C3352" s="3">
        <v>490000</v>
      </c>
      <c r="D3352" s="3">
        <v>490000</v>
      </c>
      <c r="E3352" s="7">
        <v>0</v>
      </c>
      <c r="F3352" s="5">
        <v>45952</v>
      </c>
      <c r="G3352" s="4">
        <v>20251021</v>
      </c>
      <c r="H3352" s="38" t="s">
        <v>24</v>
      </c>
      <c r="I3352" s="34" t="s">
        <v>9</v>
      </c>
      <c r="J3352" s="38" t="s">
        <v>321</v>
      </c>
    </row>
    <row r="3353" spans="1:10">
      <c r="A3353" s="32">
        <v>690</v>
      </c>
      <c r="B3353" s="33">
        <v>6180</v>
      </c>
      <c r="C3353" s="3">
        <v>410000</v>
      </c>
      <c r="D3353" s="3">
        <v>410000</v>
      </c>
      <c r="E3353" s="7">
        <v>0</v>
      </c>
      <c r="F3353" s="5">
        <v>45952</v>
      </c>
      <c r="G3353" s="4">
        <v>20251021</v>
      </c>
      <c r="H3353" s="38" t="s">
        <v>24</v>
      </c>
      <c r="I3353" s="34" t="s">
        <v>9</v>
      </c>
      <c r="J3353" s="38" t="s">
        <v>77</v>
      </c>
    </row>
    <row r="3354" spans="1:10">
      <c r="A3354" s="32">
        <v>499</v>
      </c>
      <c r="B3354" s="33">
        <v>9808</v>
      </c>
      <c r="C3354" s="3">
        <v>10000</v>
      </c>
      <c r="D3354" s="3">
        <v>10000</v>
      </c>
      <c r="E3354" s="7">
        <v>0</v>
      </c>
      <c r="F3354" s="5">
        <v>45952</v>
      </c>
      <c r="G3354" s="4">
        <v>20251021</v>
      </c>
      <c r="H3354" s="38" t="s">
        <v>30</v>
      </c>
      <c r="I3354" s="34" t="s">
        <v>10</v>
      </c>
      <c r="J3354" s="38" t="s">
        <v>65</v>
      </c>
    </row>
    <row r="3355" spans="1:10">
      <c r="A3355" s="32">
        <v>828</v>
      </c>
      <c r="B3355" s="33">
        <v>2235</v>
      </c>
      <c r="C3355" s="3">
        <v>20000</v>
      </c>
      <c r="D3355" s="3">
        <v>20000</v>
      </c>
      <c r="E3355" s="7">
        <v>0</v>
      </c>
      <c r="F3355" s="5">
        <v>45952</v>
      </c>
      <c r="G3355" s="4">
        <v>20251021</v>
      </c>
      <c r="H3355" s="38" t="s">
        <v>30</v>
      </c>
      <c r="I3355" s="34" t="s">
        <v>10</v>
      </c>
      <c r="J3355" s="38" t="s">
        <v>237</v>
      </c>
    </row>
    <row r="3356" spans="1:10">
      <c r="A3356" s="32">
        <v>876</v>
      </c>
      <c r="B3356" s="33">
        <v>9681</v>
      </c>
      <c r="C3356" s="3">
        <v>40000</v>
      </c>
      <c r="D3356" s="3"/>
      <c r="E3356" s="7">
        <f>+C3356-D3356</f>
        <v>40000</v>
      </c>
      <c r="F3356" s="5">
        <v>45954</v>
      </c>
      <c r="G3356" s="4">
        <v>20251021</v>
      </c>
      <c r="H3356" s="38" t="str">
        <f>VLOOKUP(B3356,CAJEROS!B:D,3,0)</f>
        <v>Dispensador</v>
      </c>
      <c r="I3356" s="34"/>
      <c r="J3356" s="38" t="str">
        <f>VLOOKUP(B3356,CAJEROS!B:E,4,0)</f>
        <v>SUC_VILCAM3</v>
      </c>
    </row>
    <row r="3357" spans="1:10">
      <c r="A3357" s="32">
        <v>763</v>
      </c>
      <c r="B3357" s="33">
        <v>4997</v>
      </c>
      <c r="C3357" s="3">
        <v>60000</v>
      </c>
      <c r="D3357" s="3">
        <v>60000</v>
      </c>
      <c r="E3357" s="7">
        <v>0</v>
      </c>
      <c r="F3357" s="5">
        <v>45933</v>
      </c>
      <c r="G3357" s="4">
        <v>20251002</v>
      </c>
      <c r="H3357" s="38" t="s">
        <v>30</v>
      </c>
      <c r="I3357" s="34" t="s">
        <v>9</v>
      </c>
      <c r="J3357" s="38" t="s">
        <v>393</v>
      </c>
    </row>
    <row r="3358" spans="1:10">
      <c r="A3358" s="32">
        <v>567</v>
      </c>
      <c r="B3358" s="33">
        <v>4521</v>
      </c>
      <c r="C3358" s="3">
        <v>4900000</v>
      </c>
      <c r="D3358" s="3">
        <v>4900000</v>
      </c>
      <c r="E3358" s="7">
        <v>0</v>
      </c>
      <c r="F3358" s="5">
        <v>45939</v>
      </c>
      <c r="G3358" s="4">
        <v>20251008</v>
      </c>
      <c r="H3358" s="38" t="s">
        <v>30</v>
      </c>
      <c r="I3358" s="34" t="s">
        <v>9</v>
      </c>
      <c r="J3358" s="38" t="s">
        <v>120</v>
      </c>
    </row>
    <row r="3359" spans="1:10">
      <c r="A3359" s="32">
        <v>567</v>
      </c>
      <c r="B3359" s="33">
        <v>4521</v>
      </c>
      <c r="C3359" s="3">
        <v>4540000</v>
      </c>
      <c r="D3359" s="3">
        <v>4540000</v>
      </c>
      <c r="E3359" s="7">
        <v>0</v>
      </c>
      <c r="F3359" s="5">
        <v>45944</v>
      </c>
      <c r="G3359" s="4">
        <v>20251013</v>
      </c>
      <c r="H3359" s="38" t="s">
        <v>30</v>
      </c>
      <c r="I3359" s="34" t="s">
        <v>9</v>
      </c>
      <c r="J3359" s="38" t="s">
        <v>120</v>
      </c>
    </row>
    <row r="3360" spans="1:10">
      <c r="A3360" s="32">
        <v>211</v>
      </c>
      <c r="B3360" s="33">
        <v>5309</v>
      </c>
      <c r="C3360" s="3">
        <v>100000</v>
      </c>
      <c r="D3360" s="3">
        <v>100000</v>
      </c>
      <c r="E3360" s="7">
        <v>0</v>
      </c>
      <c r="F3360" s="5">
        <v>45912</v>
      </c>
      <c r="G3360" s="4">
        <v>20250911</v>
      </c>
      <c r="H3360" s="38" t="s">
        <v>30</v>
      </c>
      <c r="I3360" s="34" t="s">
        <v>9</v>
      </c>
      <c r="J3360" s="38" t="s">
        <v>99</v>
      </c>
    </row>
    <row r="3361" spans="1:10">
      <c r="A3361" s="32">
        <v>289</v>
      </c>
      <c r="B3361" s="33">
        <v>8225</v>
      </c>
      <c r="C3361" s="3">
        <v>100000</v>
      </c>
      <c r="D3361" s="3">
        <v>100000</v>
      </c>
      <c r="E3361" s="7">
        <v>0</v>
      </c>
      <c r="F3361" s="5">
        <v>45922</v>
      </c>
      <c r="G3361" s="4">
        <v>20250921</v>
      </c>
      <c r="H3361" s="38" t="s">
        <v>30</v>
      </c>
      <c r="I3361" s="34" t="s">
        <v>9</v>
      </c>
      <c r="J3361" s="38" t="s">
        <v>356</v>
      </c>
    </row>
    <row r="3362" spans="1:10">
      <c r="A3362" s="32">
        <v>211</v>
      </c>
      <c r="B3362" s="33">
        <v>5309</v>
      </c>
      <c r="C3362" s="3">
        <v>50000</v>
      </c>
      <c r="D3362" s="3">
        <v>50000</v>
      </c>
      <c r="E3362" s="7">
        <v>0</v>
      </c>
      <c r="F3362" s="5">
        <v>45933</v>
      </c>
      <c r="G3362" s="4">
        <v>20251002</v>
      </c>
      <c r="H3362" s="38" t="s">
        <v>30</v>
      </c>
      <c r="I3362" s="34"/>
      <c r="J3362" s="38" t="s">
        <v>99</v>
      </c>
    </row>
    <row r="3363" spans="1:10">
      <c r="A3363" s="32">
        <v>335</v>
      </c>
      <c r="B3363" s="33">
        <v>3966</v>
      </c>
      <c r="C3363" s="3">
        <v>90000</v>
      </c>
      <c r="D3363" s="3">
        <v>90000</v>
      </c>
      <c r="E3363" s="7">
        <v>0</v>
      </c>
      <c r="F3363" s="5">
        <v>45934</v>
      </c>
      <c r="G3363" s="4">
        <v>20251003</v>
      </c>
      <c r="H3363" s="38" t="s">
        <v>30</v>
      </c>
      <c r="I3363" s="34"/>
      <c r="J3363" s="38" t="s">
        <v>485</v>
      </c>
    </row>
    <row r="3364" spans="1:10">
      <c r="A3364" s="32">
        <v>674</v>
      </c>
      <c r="B3364" s="33">
        <v>5200</v>
      </c>
      <c r="C3364" s="3">
        <v>1400000</v>
      </c>
      <c r="D3364" s="3">
        <v>1400000</v>
      </c>
      <c r="E3364" s="7">
        <v>0</v>
      </c>
      <c r="F3364" s="5">
        <v>45945</v>
      </c>
      <c r="G3364" s="4">
        <v>20251014</v>
      </c>
      <c r="H3364" s="38" t="s">
        <v>24</v>
      </c>
      <c r="I3364" s="34" t="s">
        <v>9</v>
      </c>
      <c r="J3364" s="38" t="s">
        <v>93</v>
      </c>
    </row>
    <row r="3365" spans="1:10">
      <c r="A3365" s="32">
        <v>153</v>
      </c>
      <c r="B3365" s="33">
        <v>9880</v>
      </c>
      <c r="C3365" s="3">
        <v>150000</v>
      </c>
      <c r="D3365" s="3">
        <v>150000</v>
      </c>
      <c r="E3365" s="7">
        <v>0</v>
      </c>
      <c r="F3365" s="5">
        <v>45947</v>
      </c>
      <c r="G3365" s="4">
        <v>20251016</v>
      </c>
      <c r="H3365" s="38" t="s">
        <v>30</v>
      </c>
      <c r="I3365" s="34" t="s">
        <v>9</v>
      </c>
      <c r="J3365" s="38" t="s">
        <v>61</v>
      </c>
    </row>
    <row r="3366" spans="1:10">
      <c r="A3366" s="32">
        <v>211</v>
      </c>
      <c r="B3366" s="33">
        <v>5309</v>
      </c>
      <c r="C3366" s="3">
        <v>100000</v>
      </c>
      <c r="D3366" s="3">
        <v>100000</v>
      </c>
      <c r="E3366" s="7">
        <v>0</v>
      </c>
      <c r="F3366" s="5">
        <v>45947</v>
      </c>
      <c r="G3366" s="4">
        <v>20251016</v>
      </c>
      <c r="H3366" s="38" t="s">
        <v>30</v>
      </c>
      <c r="I3366" s="34" t="s">
        <v>9</v>
      </c>
      <c r="J3366" s="38" t="s">
        <v>99</v>
      </c>
    </row>
    <row r="3367" spans="1:10">
      <c r="A3367" s="32">
        <v>762</v>
      </c>
      <c r="B3367" s="33">
        <v>5181</v>
      </c>
      <c r="C3367" s="3">
        <v>1840000</v>
      </c>
      <c r="D3367" s="3">
        <v>1840000</v>
      </c>
      <c r="E3367" s="7">
        <v>0</v>
      </c>
      <c r="F3367" s="5">
        <v>45950</v>
      </c>
      <c r="G3367" s="4">
        <v>20251019</v>
      </c>
      <c r="H3367" s="38" t="s">
        <v>24</v>
      </c>
      <c r="I3367" s="34" t="s">
        <v>9</v>
      </c>
      <c r="J3367" s="38" t="s">
        <v>304</v>
      </c>
    </row>
    <row r="3368" spans="1:10">
      <c r="A3368" s="32">
        <v>762</v>
      </c>
      <c r="B3368" s="33">
        <v>5181</v>
      </c>
      <c r="C3368" s="3">
        <v>1300000</v>
      </c>
      <c r="D3368" s="3">
        <v>1300000</v>
      </c>
      <c r="E3368" s="7">
        <v>0</v>
      </c>
      <c r="F3368" s="5">
        <v>45951</v>
      </c>
      <c r="G3368" s="4">
        <v>20251020</v>
      </c>
      <c r="H3368" s="38" t="s">
        <v>24</v>
      </c>
      <c r="I3368" s="34" t="s">
        <v>9</v>
      </c>
      <c r="J3368" s="38" t="s">
        <v>304</v>
      </c>
    </row>
    <row r="3369" spans="1:10">
      <c r="A3369" s="32">
        <v>153</v>
      </c>
      <c r="B3369" s="33">
        <v>9879</v>
      </c>
      <c r="C3369" s="3">
        <v>100000</v>
      </c>
      <c r="D3369" s="3">
        <v>100000</v>
      </c>
      <c r="E3369" s="7">
        <v>0</v>
      </c>
      <c r="F3369" s="5">
        <v>45952</v>
      </c>
      <c r="G3369" s="4">
        <v>20251021</v>
      </c>
      <c r="H3369" s="38" t="s">
        <v>30</v>
      </c>
      <c r="I3369" s="34" t="s">
        <v>9</v>
      </c>
      <c r="J3369" s="38" t="s">
        <v>262</v>
      </c>
    </row>
    <row r="3370" spans="1:10">
      <c r="A3370" s="32">
        <v>153</v>
      </c>
      <c r="B3370" s="33">
        <v>9880</v>
      </c>
      <c r="C3370" s="3">
        <v>300000</v>
      </c>
      <c r="D3370" s="3">
        <v>300000</v>
      </c>
      <c r="E3370" s="7">
        <v>0</v>
      </c>
      <c r="F3370" s="5">
        <v>45952</v>
      </c>
      <c r="G3370" s="4">
        <v>20251021</v>
      </c>
      <c r="H3370" s="38" t="s">
        <v>30</v>
      </c>
      <c r="I3370" s="34" t="s">
        <v>9</v>
      </c>
      <c r="J3370" s="38" t="s">
        <v>61</v>
      </c>
    </row>
    <row r="3371" spans="1:10">
      <c r="A3371" s="32">
        <v>211</v>
      </c>
      <c r="B3371" s="33">
        <v>5309</v>
      </c>
      <c r="C3371" s="3">
        <v>200000</v>
      </c>
      <c r="D3371" s="3">
        <v>200000</v>
      </c>
      <c r="E3371" s="7">
        <v>0</v>
      </c>
      <c r="F3371" s="5">
        <v>45952</v>
      </c>
      <c r="G3371" s="4">
        <v>20251021</v>
      </c>
      <c r="H3371" s="38" t="s">
        <v>30</v>
      </c>
      <c r="I3371" s="34" t="s">
        <v>9</v>
      </c>
      <c r="J3371" s="38" t="s">
        <v>99</v>
      </c>
    </row>
    <row r="3372" spans="1:10">
      <c r="A3372" s="32">
        <v>289</v>
      </c>
      <c r="B3372" s="33">
        <v>8874</v>
      </c>
      <c r="C3372" s="3">
        <v>120000</v>
      </c>
      <c r="D3372" s="3">
        <v>120000</v>
      </c>
      <c r="E3372" s="7">
        <v>0</v>
      </c>
      <c r="F3372" s="5">
        <v>45952</v>
      </c>
      <c r="G3372" s="4">
        <v>20251021</v>
      </c>
      <c r="H3372" s="38" t="s">
        <v>30</v>
      </c>
      <c r="I3372" s="34" t="s">
        <v>9</v>
      </c>
      <c r="J3372" s="38" t="s">
        <v>531</v>
      </c>
    </row>
    <row r="3373" spans="1:10">
      <c r="A3373" s="32">
        <v>297</v>
      </c>
      <c r="B3373" s="33">
        <v>5398</v>
      </c>
      <c r="C3373" s="3">
        <v>870000</v>
      </c>
      <c r="D3373" s="3">
        <v>870000</v>
      </c>
      <c r="E3373" s="7">
        <v>0</v>
      </c>
      <c r="F3373" s="5">
        <v>45952</v>
      </c>
      <c r="G3373" s="4">
        <v>20251021</v>
      </c>
      <c r="H3373" s="38" t="s">
        <v>30</v>
      </c>
      <c r="I3373" s="34" t="s">
        <v>9</v>
      </c>
      <c r="J3373" s="38" t="s">
        <v>312</v>
      </c>
    </row>
    <row r="3374" spans="1:10">
      <c r="A3374" s="32">
        <v>93</v>
      </c>
      <c r="B3374" s="33">
        <v>931</v>
      </c>
      <c r="C3374" s="3">
        <v>60000</v>
      </c>
      <c r="D3374" s="3">
        <v>60000</v>
      </c>
      <c r="E3374" s="7">
        <v>0</v>
      </c>
      <c r="F3374" s="5">
        <v>45957</v>
      </c>
      <c r="G3374" s="4">
        <v>20251026</v>
      </c>
      <c r="H3374" s="38" t="s">
        <v>30</v>
      </c>
      <c r="I3374" s="34" t="s">
        <v>9</v>
      </c>
      <c r="J3374" s="38" t="s">
        <v>556</v>
      </c>
    </row>
    <row r="3375" spans="1:10">
      <c r="A3375" s="32">
        <v>153</v>
      </c>
      <c r="B3375" s="33">
        <v>9880</v>
      </c>
      <c r="C3375" s="3">
        <v>350000</v>
      </c>
      <c r="D3375" s="3">
        <v>350000</v>
      </c>
      <c r="E3375" s="7">
        <v>0</v>
      </c>
      <c r="F3375" s="5">
        <v>45957</v>
      </c>
      <c r="G3375" s="4">
        <v>20251026</v>
      </c>
      <c r="H3375" s="38" t="s">
        <v>30</v>
      </c>
      <c r="I3375" s="34" t="s">
        <v>9</v>
      </c>
      <c r="J3375" s="38" t="s">
        <v>61</v>
      </c>
    </row>
    <row r="3376" spans="1:10">
      <c r="A3376" s="32">
        <v>229</v>
      </c>
      <c r="B3376" s="33">
        <v>8956</v>
      </c>
      <c r="C3376" s="3">
        <v>4400000</v>
      </c>
      <c r="D3376" s="3">
        <v>4400000</v>
      </c>
      <c r="E3376" s="7">
        <v>0</v>
      </c>
      <c r="F3376" s="5">
        <v>45957</v>
      </c>
      <c r="G3376" s="4">
        <v>20251026</v>
      </c>
      <c r="H3376" s="38" t="s">
        <v>30</v>
      </c>
      <c r="I3376" s="34" t="s">
        <v>9</v>
      </c>
      <c r="J3376" s="38" t="s">
        <v>260</v>
      </c>
    </row>
    <row r="3377" spans="1:10">
      <c r="A3377" s="32">
        <v>229</v>
      </c>
      <c r="B3377" s="33">
        <v>8957</v>
      </c>
      <c r="C3377" s="3">
        <v>240000</v>
      </c>
      <c r="D3377" s="3">
        <v>240000</v>
      </c>
      <c r="E3377" s="7">
        <v>0</v>
      </c>
      <c r="F3377" s="5">
        <v>45957</v>
      </c>
      <c r="G3377" s="4">
        <v>20251026</v>
      </c>
      <c r="H3377" s="38" t="s">
        <v>30</v>
      </c>
      <c r="I3377" s="34" t="s">
        <v>9</v>
      </c>
      <c r="J3377" s="38" t="s">
        <v>71</v>
      </c>
    </row>
    <row r="3378" spans="1:10">
      <c r="A3378" s="32">
        <v>264</v>
      </c>
      <c r="B3378" s="33">
        <v>9904</v>
      </c>
      <c r="C3378" s="3">
        <v>200000</v>
      </c>
      <c r="D3378" s="3">
        <v>200000</v>
      </c>
      <c r="E3378" s="7">
        <v>0</v>
      </c>
      <c r="F3378" s="5">
        <v>45957</v>
      </c>
      <c r="G3378" s="4">
        <v>20251026</v>
      </c>
      <c r="H3378" s="38" t="s">
        <v>30</v>
      </c>
      <c r="I3378" s="34" t="s">
        <v>9</v>
      </c>
      <c r="J3378" s="38" t="s">
        <v>488</v>
      </c>
    </row>
    <row r="3379" spans="1:10">
      <c r="A3379" s="32">
        <v>297</v>
      </c>
      <c r="B3379" s="33">
        <v>5398</v>
      </c>
      <c r="C3379" s="3">
        <v>2700000</v>
      </c>
      <c r="D3379" s="3">
        <v>2700000</v>
      </c>
      <c r="E3379" s="7">
        <v>0</v>
      </c>
      <c r="F3379" s="5">
        <v>45957</v>
      </c>
      <c r="G3379" s="4">
        <v>20251026</v>
      </c>
      <c r="H3379" s="38" t="s">
        <v>30</v>
      </c>
      <c r="I3379" s="34" t="s">
        <v>9</v>
      </c>
      <c r="J3379" s="38" t="s">
        <v>312</v>
      </c>
    </row>
    <row r="3380" spans="1:10">
      <c r="A3380" s="32">
        <v>866</v>
      </c>
      <c r="B3380" s="33">
        <v>467</v>
      </c>
      <c r="C3380" s="3">
        <v>110000</v>
      </c>
      <c r="D3380" s="3">
        <v>110000</v>
      </c>
      <c r="E3380" s="7">
        <v>0</v>
      </c>
      <c r="F3380" s="5">
        <v>45957</v>
      </c>
      <c r="G3380" s="4">
        <v>20251026</v>
      </c>
      <c r="H3380" s="38" t="s">
        <v>30</v>
      </c>
      <c r="I3380" s="34" t="s">
        <v>9</v>
      </c>
      <c r="J3380" s="38" t="s">
        <v>180</v>
      </c>
    </row>
    <row r="3381" spans="1:10">
      <c r="A3381" s="32">
        <v>623</v>
      </c>
      <c r="B3381" s="33">
        <v>5047</v>
      </c>
      <c r="C3381" s="3">
        <v>1080000</v>
      </c>
      <c r="D3381" s="3">
        <v>1080000</v>
      </c>
      <c r="E3381" s="7">
        <v>0</v>
      </c>
      <c r="F3381" s="5">
        <v>45957</v>
      </c>
      <c r="G3381" s="4">
        <v>20251026</v>
      </c>
      <c r="H3381" s="38" t="s">
        <v>24</v>
      </c>
      <c r="I3381" s="34" t="s">
        <v>9</v>
      </c>
      <c r="J3381" s="38" t="s">
        <v>26</v>
      </c>
    </row>
    <row r="3382" spans="1:10">
      <c r="A3382" s="32">
        <v>318</v>
      </c>
      <c r="B3382" s="33">
        <v>7680</v>
      </c>
      <c r="C3382" s="3">
        <v>13762000</v>
      </c>
      <c r="D3382" s="3">
        <v>13762000</v>
      </c>
      <c r="E3382" s="7">
        <v>0</v>
      </c>
      <c r="F3382" s="5">
        <v>45903</v>
      </c>
      <c r="G3382" s="4">
        <v>20250902</v>
      </c>
      <c r="H3382" s="38" t="s">
        <v>24</v>
      </c>
      <c r="I3382" s="34"/>
      <c r="J3382" s="38" t="s">
        <v>557</v>
      </c>
    </row>
    <row r="3383" spans="1:10">
      <c r="A3383" s="32">
        <v>59</v>
      </c>
      <c r="B3383" s="33">
        <v>5002</v>
      </c>
      <c r="C3383" s="3">
        <v>120900</v>
      </c>
      <c r="D3383" s="3">
        <v>120900</v>
      </c>
      <c r="E3383" s="7">
        <v>0</v>
      </c>
      <c r="F3383" s="5">
        <v>45904</v>
      </c>
      <c r="G3383" s="4">
        <v>20250903</v>
      </c>
      <c r="H3383" s="38" t="s">
        <v>24</v>
      </c>
      <c r="I3383" s="34"/>
      <c r="J3383" s="38" t="s">
        <v>407</v>
      </c>
    </row>
    <row r="3384" spans="1:10">
      <c r="A3384" s="32">
        <v>202</v>
      </c>
      <c r="B3384" s="33">
        <v>6608</v>
      </c>
      <c r="C3384" s="3">
        <v>958800</v>
      </c>
      <c r="D3384" s="3">
        <v>958800</v>
      </c>
      <c r="E3384" s="7">
        <v>0</v>
      </c>
      <c r="F3384" s="5">
        <v>45904</v>
      </c>
      <c r="G3384" s="4">
        <v>20250903</v>
      </c>
      <c r="H3384" s="38" t="s">
        <v>24</v>
      </c>
      <c r="I3384" s="34"/>
      <c r="J3384" s="38" t="s">
        <v>558</v>
      </c>
    </row>
    <row r="3385" spans="1:10">
      <c r="A3385" s="32">
        <v>524</v>
      </c>
      <c r="B3385" s="33">
        <v>6336</v>
      </c>
      <c r="C3385" s="3">
        <v>45250</v>
      </c>
      <c r="D3385" s="3">
        <v>45250</v>
      </c>
      <c r="E3385" s="7">
        <v>0</v>
      </c>
      <c r="F3385" s="5">
        <v>45904</v>
      </c>
      <c r="G3385" s="4">
        <v>20250903</v>
      </c>
      <c r="H3385" s="38" t="s">
        <v>24</v>
      </c>
      <c r="I3385" s="34"/>
      <c r="J3385" s="38" t="s">
        <v>559</v>
      </c>
    </row>
    <row r="3386" spans="1:10">
      <c r="A3386" s="32">
        <v>385</v>
      </c>
      <c r="B3386" s="33">
        <v>7139</v>
      </c>
      <c r="C3386" s="3">
        <v>14642000</v>
      </c>
      <c r="D3386" s="3">
        <v>14642000</v>
      </c>
      <c r="E3386" s="7">
        <v>0</v>
      </c>
      <c r="F3386" s="5">
        <v>45905</v>
      </c>
      <c r="G3386" s="4">
        <v>20250904</v>
      </c>
      <c r="H3386" s="38" t="s">
        <v>24</v>
      </c>
      <c r="I3386" s="34"/>
      <c r="J3386" s="38" t="s">
        <v>560</v>
      </c>
    </row>
    <row r="3387" spans="1:10">
      <c r="A3387" s="32">
        <v>495</v>
      </c>
      <c r="B3387" s="33">
        <v>8482</v>
      </c>
      <c r="C3387" s="3">
        <v>4400000</v>
      </c>
      <c r="D3387" s="3">
        <v>4400000</v>
      </c>
      <c r="E3387" s="7">
        <v>0</v>
      </c>
      <c r="F3387" s="5">
        <v>45905</v>
      </c>
      <c r="G3387" s="4">
        <v>20250904</v>
      </c>
      <c r="H3387" s="38" t="s">
        <v>24</v>
      </c>
      <c r="I3387" s="34"/>
      <c r="J3387" s="38" t="s">
        <v>387</v>
      </c>
    </row>
    <row r="3388" spans="1:10">
      <c r="A3388" s="32">
        <v>779</v>
      </c>
      <c r="B3388" s="33">
        <v>8685</v>
      </c>
      <c r="C3388" s="3">
        <v>3400000</v>
      </c>
      <c r="D3388" s="3">
        <v>3400000</v>
      </c>
      <c r="E3388" s="7">
        <v>0</v>
      </c>
      <c r="F3388" s="5">
        <v>45905</v>
      </c>
      <c r="G3388" s="4">
        <v>20250904</v>
      </c>
      <c r="H3388" s="38" t="s">
        <v>24</v>
      </c>
      <c r="I3388" s="34" t="s">
        <v>9</v>
      </c>
      <c r="J3388" s="38" t="s">
        <v>184</v>
      </c>
    </row>
    <row r="3389" spans="1:10">
      <c r="A3389" s="32">
        <v>651</v>
      </c>
      <c r="B3389" s="33">
        <v>7318</v>
      </c>
      <c r="C3389" s="3">
        <v>1715000</v>
      </c>
      <c r="D3389" s="3">
        <v>1715000</v>
      </c>
      <c r="E3389" s="7">
        <v>0</v>
      </c>
      <c r="F3389" s="5">
        <v>45905</v>
      </c>
      <c r="G3389" s="4">
        <v>20250904</v>
      </c>
      <c r="H3389" s="38" t="s">
        <v>24</v>
      </c>
      <c r="I3389" s="34" t="s">
        <v>9</v>
      </c>
      <c r="J3389" s="38" t="s">
        <v>561</v>
      </c>
    </row>
    <row r="3390" spans="1:10">
      <c r="A3390" s="32">
        <v>277</v>
      </c>
      <c r="B3390" s="33">
        <v>5021</v>
      </c>
      <c r="C3390" s="3">
        <v>3810000</v>
      </c>
      <c r="D3390" s="3">
        <v>3810000</v>
      </c>
      <c r="E3390" s="7">
        <v>0</v>
      </c>
      <c r="F3390" s="5">
        <v>45908</v>
      </c>
      <c r="G3390" s="4">
        <v>20250907</v>
      </c>
      <c r="H3390" s="38" t="s">
        <v>24</v>
      </c>
      <c r="I3390" s="34" t="s">
        <v>9</v>
      </c>
      <c r="J3390" s="38" t="s">
        <v>272</v>
      </c>
    </row>
    <row r="3391" spans="1:10">
      <c r="A3391" s="32">
        <v>59</v>
      </c>
      <c r="B3391" s="33">
        <v>5002</v>
      </c>
      <c r="C3391" s="3">
        <v>3310200</v>
      </c>
      <c r="D3391" s="3">
        <v>3310200</v>
      </c>
      <c r="E3391" s="7">
        <v>0</v>
      </c>
      <c r="F3391" s="5">
        <v>45908</v>
      </c>
      <c r="G3391" s="4">
        <v>20250907</v>
      </c>
      <c r="H3391" s="38" t="s">
        <v>24</v>
      </c>
      <c r="I3391" s="34" t="s">
        <v>9</v>
      </c>
      <c r="J3391" s="38" t="s">
        <v>407</v>
      </c>
    </row>
    <row r="3392" spans="1:10">
      <c r="A3392" s="32">
        <v>849</v>
      </c>
      <c r="B3392" s="33">
        <v>9724</v>
      </c>
      <c r="C3392" s="3">
        <v>5392000</v>
      </c>
      <c r="D3392" s="3">
        <v>5392000</v>
      </c>
      <c r="E3392" s="7">
        <v>0</v>
      </c>
      <c r="F3392" s="5">
        <v>45909</v>
      </c>
      <c r="G3392" s="4">
        <v>20250908</v>
      </c>
      <c r="H3392" s="38" t="s">
        <v>24</v>
      </c>
      <c r="I3392" s="34"/>
      <c r="J3392" s="38" t="s">
        <v>396</v>
      </c>
    </row>
    <row r="3393" spans="1:10">
      <c r="A3393" s="32">
        <v>812</v>
      </c>
      <c r="B3393" s="33">
        <v>5144</v>
      </c>
      <c r="C3393" s="3">
        <v>7334000</v>
      </c>
      <c r="D3393" s="3">
        <v>7334000</v>
      </c>
      <c r="E3393" s="7">
        <v>0</v>
      </c>
      <c r="F3393" s="5">
        <v>45910</v>
      </c>
      <c r="G3393" s="4">
        <v>20250909</v>
      </c>
      <c r="H3393" s="38" t="s">
        <v>24</v>
      </c>
      <c r="I3393" s="34"/>
      <c r="J3393" s="38" t="s">
        <v>562</v>
      </c>
    </row>
    <row r="3394" spans="1:10">
      <c r="A3394" s="32">
        <v>812</v>
      </c>
      <c r="B3394" s="33">
        <v>7613</v>
      </c>
      <c r="C3394" s="3">
        <v>1969000</v>
      </c>
      <c r="D3394" s="3">
        <v>1969000</v>
      </c>
      <c r="E3394" s="7">
        <v>0</v>
      </c>
      <c r="F3394" s="5">
        <v>45910</v>
      </c>
      <c r="G3394" s="4">
        <v>20250909</v>
      </c>
      <c r="H3394" s="38" t="s">
        <v>24</v>
      </c>
      <c r="I3394" s="34"/>
      <c r="J3394" s="38" t="s">
        <v>251</v>
      </c>
    </row>
    <row r="3395" spans="1:10">
      <c r="A3395" s="32">
        <v>779</v>
      </c>
      <c r="B3395" s="33">
        <v>8685</v>
      </c>
      <c r="C3395" s="3">
        <v>1250000</v>
      </c>
      <c r="D3395" s="3">
        <v>1250000</v>
      </c>
      <c r="E3395" s="7">
        <v>0</v>
      </c>
      <c r="F3395" s="5">
        <v>45910</v>
      </c>
      <c r="G3395" s="4">
        <v>20250909</v>
      </c>
      <c r="H3395" s="38" t="s">
        <v>24</v>
      </c>
      <c r="I3395" s="34" t="s">
        <v>9</v>
      </c>
      <c r="J3395" s="38" t="s">
        <v>184</v>
      </c>
    </row>
    <row r="3396" spans="1:10">
      <c r="A3396" s="32">
        <v>779</v>
      </c>
      <c r="B3396" s="33">
        <v>8685</v>
      </c>
      <c r="C3396" s="3">
        <v>2315000</v>
      </c>
      <c r="D3396" s="3">
        <v>2315000</v>
      </c>
      <c r="E3396" s="7">
        <v>0</v>
      </c>
      <c r="F3396" s="5">
        <v>45911</v>
      </c>
      <c r="G3396" s="4">
        <v>20250910</v>
      </c>
      <c r="H3396" s="38" t="s">
        <v>24</v>
      </c>
      <c r="I3396" s="34"/>
      <c r="J3396" s="38" t="s">
        <v>184</v>
      </c>
    </row>
    <row r="3397" spans="1:10">
      <c r="A3397" s="32">
        <v>225</v>
      </c>
      <c r="B3397" s="33">
        <v>8868</v>
      </c>
      <c r="C3397" s="3">
        <v>1814000</v>
      </c>
      <c r="D3397" s="3">
        <v>1814000</v>
      </c>
      <c r="E3397" s="7">
        <v>0</v>
      </c>
      <c r="F3397" s="5">
        <v>45911</v>
      </c>
      <c r="G3397" s="4">
        <v>20250910</v>
      </c>
      <c r="H3397" s="38" t="s">
        <v>24</v>
      </c>
      <c r="I3397" s="34" t="s">
        <v>9</v>
      </c>
      <c r="J3397" s="38" t="s">
        <v>376</v>
      </c>
    </row>
    <row r="3398" spans="1:10">
      <c r="A3398" s="32">
        <v>725</v>
      </c>
      <c r="B3398" s="33">
        <v>5166</v>
      </c>
      <c r="C3398" s="3">
        <v>1985000</v>
      </c>
      <c r="D3398" s="3">
        <v>1985000</v>
      </c>
      <c r="E3398" s="7">
        <v>0</v>
      </c>
      <c r="F3398" s="5">
        <v>45912</v>
      </c>
      <c r="G3398" s="4">
        <v>20250911</v>
      </c>
      <c r="H3398" s="38" t="s">
        <v>24</v>
      </c>
      <c r="I3398" s="34" t="s">
        <v>9</v>
      </c>
      <c r="J3398" s="38" t="s">
        <v>91</v>
      </c>
    </row>
    <row r="3399" spans="1:10">
      <c r="A3399" s="32">
        <v>225</v>
      </c>
      <c r="B3399" s="33">
        <v>8869</v>
      </c>
      <c r="C3399" s="3">
        <v>8100000</v>
      </c>
      <c r="D3399" s="3">
        <v>8100000</v>
      </c>
      <c r="E3399" s="7">
        <v>0</v>
      </c>
      <c r="F3399" s="5">
        <v>45915</v>
      </c>
      <c r="G3399" s="4">
        <v>20250912</v>
      </c>
      <c r="H3399" s="38" t="s">
        <v>24</v>
      </c>
      <c r="I3399" s="34"/>
      <c r="J3399" s="38" t="s">
        <v>311</v>
      </c>
    </row>
    <row r="3400" spans="1:10">
      <c r="A3400" s="32">
        <v>779</v>
      </c>
      <c r="B3400" s="33">
        <v>8685</v>
      </c>
      <c r="C3400" s="3">
        <v>2973850</v>
      </c>
      <c r="D3400" s="3">
        <v>2973850</v>
      </c>
      <c r="E3400" s="7">
        <v>0</v>
      </c>
      <c r="F3400" s="5">
        <v>45915</v>
      </c>
      <c r="G3400" s="4">
        <v>20250912</v>
      </c>
      <c r="H3400" s="38" t="s">
        <v>24</v>
      </c>
      <c r="I3400" s="34"/>
      <c r="J3400" s="38" t="s">
        <v>184</v>
      </c>
    </row>
    <row r="3401" spans="1:10">
      <c r="A3401" s="32">
        <v>198</v>
      </c>
      <c r="B3401" s="33">
        <v>5179</v>
      </c>
      <c r="C3401" s="3">
        <v>1260000</v>
      </c>
      <c r="D3401" s="3">
        <v>1260000</v>
      </c>
      <c r="E3401" s="7">
        <v>0</v>
      </c>
      <c r="F3401" s="5">
        <v>45916</v>
      </c>
      <c r="G3401" s="4">
        <v>20250915</v>
      </c>
      <c r="H3401" s="38" t="s">
        <v>24</v>
      </c>
      <c r="I3401" s="34" t="s">
        <v>9</v>
      </c>
      <c r="J3401" s="38" t="s">
        <v>316</v>
      </c>
    </row>
    <row r="3402" spans="1:10">
      <c r="A3402" s="32">
        <v>363</v>
      </c>
      <c r="B3402" s="33">
        <v>5168</v>
      </c>
      <c r="C3402" s="3">
        <v>1940000</v>
      </c>
      <c r="D3402" s="3">
        <v>1940000</v>
      </c>
      <c r="E3402" s="7">
        <v>0</v>
      </c>
      <c r="F3402" s="5">
        <v>45917</v>
      </c>
      <c r="G3402" s="4">
        <v>20250916</v>
      </c>
      <c r="H3402" s="38" t="s">
        <v>24</v>
      </c>
      <c r="I3402" s="34" t="s">
        <v>9</v>
      </c>
      <c r="J3402" s="38" t="s">
        <v>92</v>
      </c>
    </row>
    <row r="3403" spans="1:10">
      <c r="A3403" s="32">
        <v>198</v>
      </c>
      <c r="B3403" s="33">
        <v>5179</v>
      </c>
      <c r="C3403" s="3">
        <v>590000</v>
      </c>
      <c r="D3403" s="3">
        <v>590000</v>
      </c>
      <c r="E3403" s="7">
        <v>0</v>
      </c>
      <c r="F3403" s="5">
        <v>45917</v>
      </c>
      <c r="G3403" s="4">
        <v>20250916</v>
      </c>
      <c r="H3403" s="38" t="s">
        <v>24</v>
      </c>
      <c r="I3403" s="34" t="s">
        <v>9</v>
      </c>
      <c r="J3403" s="38" t="s">
        <v>316</v>
      </c>
    </row>
    <row r="3404" spans="1:10">
      <c r="A3404" s="32">
        <v>138</v>
      </c>
      <c r="B3404" s="33">
        <v>6628</v>
      </c>
      <c r="C3404" s="3">
        <v>2719800</v>
      </c>
      <c r="D3404" s="3">
        <v>2719800</v>
      </c>
      <c r="E3404" s="7">
        <v>0</v>
      </c>
      <c r="F3404" s="5">
        <v>45917</v>
      </c>
      <c r="G3404" s="4">
        <v>20250916</v>
      </c>
      <c r="H3404" s="38" t="s">
        <v>24</v>
      </c>
      <c r="I3404" s="34"/>
      <c r="J3404" s="38" t="s">
        <v>563</v>
      </c>
    </row>
    <row r="3405" spans="1:10">
      <c r="A3405" s="32">
        <v>331</v>
      </c>
      <c r="B3405" s="33">
        <v>574</v>
      </c>
      <c r="C3405" s="3">
        <v>2130450</v>
      </c>
      <c r="D3405" s="3">
        <v>2130450</v>
      </c>
      <c r="E3405" s="7">
        <v>0</v>
      </c>
      <c r="F3405" s="5">
        <v>45918</v>
      </c>
      <c r="G3405" s="4">
        <v>20250917</v>
      </c>
      <c r="H3405" s="38" t="s">
        <v>24</v>
      </c>
      <c r="I3405" s="34"/>
      <c r="J3405" s="38" t="s">
        <v>457</v>
      </c>
    </row>
    <row r="3406" spans="1:10">
      <c r="A3406" s="32">
        <v>549</v>
      </c>
      <c r="B3406" s="33">
        <v>7123</v>
      </c>
      <c r="C3406" s="3">
        <v>498950</v>
      </c>
      <c r="D3406" s="3">
        <v>498950</v>
      </c>
      <c r="E3406" s="7">
        <v>0</v>
      </c>
      <c r="F3406" s="5">
        <v>45918</v>
      </c>
      <c r="G3406" s="4">
        <v>20250917</v>
      </c>
      <c r="H3406" s="38" t="s">
        <v>24</v>
      </c>
      <c r="I3406" s="34"/>
      <c r="J3406" s="38" t="s">
        <v>564</v>
      </c>
    </row>
    <row r="3407" spans="1:10">
      <c r="A3407" s="32">
        <v>779</v>
      </c>
      <c r="B3407" s="33">
        <v>8685</v>
      </c>
      <c r="C3407" s="3">
        <v>3514000</v>
      </c>
      <c r="D3407" s="3">
        <v>3514000</v>
      </c>
      <c r="E3407" s="7">
        <v>0</v>
      </c>
      <c r="F3407" s="5">
        <v>45918</v>
      </c>
      <c r="G3407" s="4">
        <v>20250917</v>
      </c>
      <c r="H3407" s="38" t="s">
        <v>24</v>
      </c>
      <c r="I3407" s="34" t="s">
        <v>9</v>
      </c>
      <c r="J3407" s="38" t="s">
        <v>184</v>
      </c>
    </row>
    <row r="3408" spans="1:10">
      <c r="A3408" s="32">
        <v>154</v>
      </c>
      <c r="B3408" s="33">
        <v>5041</v>
      </c>
      <c r="C3408" s="3">
        <v>1551000</v>
      </c>
      <c r="D3408" s="3">
        <v>1551000</v>
      </c>
      <c r="E3408" s="7">
        <v>0</v>
      </c>
      <c r="F3408" s="5">
        <v>45922</v>
      </c>
      <c r="G3408" s="4">
        <v>20250921</v>
      </c>
      <c r="H3408" s="38" t="s">
        <v>24</v>
      </c>
      <c r="I3408" s="34" t="s">
        <v>9</v>
      </c>
      <c r="J3408" s="38" t="s">
        <v>364</v>
      </c>
    </row>
    <row r="3409" spans="1:10">
      <c r="A3409" s="32">
        <v>262</v>
      </c>
      <c r="B3409" s="33">
        <v>5153</v>
      </c>
      <c r="C3409" s="3">
        <v>1005000</v>
      </c>
      <c r="D3409" s="3">
        <v>1005000</v>
      </c>
      <c r="E3409" s="7">
        <v>0</v>
      </c>
      <c r="F3409" s="5">
        <v>45922</v>
      </c>
      <c r="G3409" s="4">
        <v>20250921</v>
      </c>
      <c r="H3409" s="38" t="s">
        <v>24</v>
      </c>
      <c r="I3409" s="34" t="s">
        <v>9</v>
      </c>
      <c r="J3409" s="38" t="s">
        <v>52</v>
      </c>
    </row>
    <row r="3410" spans="1:10">
      <c r="A3410" s="32">
        <v>777</v>
      </c>
      <c r="B3410" s="33">
        <v>4868</v>
      </c>
      <c r="C3410" s="3">
        <v>3516800</v>
      </c>
      <c r="D3410" s="3">
        <v>3516800</v>
      </c>
      <c r="E3410" s="7">
        <v>0</v>
      </c>
      <c r="F3410" s="5">
        <v>45923</v>
      </c>
      <c r="G3410" s="4">
        <v>20250922</v>
      </c>
      <c r="H3410" s="38" t="s">
        <v>24</v>
      </c>
      <c r="I3410" s="34"/>
      <c r="J3410" s="38" t="e">
        <v>#N/A</v>
      </c>
    </row>
    <row r="3411" spans="1:10">
      <c r="A3411" s="32">
        <v>166</v>
      </c>
      <c r="B3411" s="33">
        <v>7939</v>
      </c>
      <c r="C3411" s="3">
        <v>9900000</v>
      </c>
      <c r="D3411" s="3">
        <v>9900000</v>
      </c>
      <c r="E3411" s="7">
        <v>0</v>
      </c>
      <c r="F3411" s="5">
        <v>45925</v>
      </c>
      <c r="G3411" s="4">
        <v>20250924</v>
      </c>
      <c r="H3411" s="38" t="s">
        <v>24</v>
      </c>
      <c r="I3411" s="34"/>
      <c r="J3411" s="38" t="s">
        <v>565</v>
      </c>
    </row>
    <row r="3412" spans="1:10">
      <c r="A3412" s="32">
        <v>453</v>
      </c>
      <c r="B3412" s="33">
        <v>8019</v>
      </c>
      <c r="C3412" s="3">
        <v>9864500</v>
      </c>
      <c r="D3412" s="3">
        <v>9864500</v>
      </c>
      <c r="E3412" s="7">
        <v>0</v>
      </c>
      <c r="F3412" s="5">
        <v>45925</v>
      </c>
      <c r="G3412" s="4">
        <v>20250924</v>
      </c>
      <c r="H3412" s="38" t="s">
        <v>24</v>
      </c>
      <c r="I3412" s="34"/>
      <c r="J3412" s="38" t="s">
        <v>190</v>
      </c>
    </row>
    <row r="3413" spans="1:10">
      <c r="A3413" s="32">
        <v>849</v>
      </c>
      <c r="B3413" s="33">
        <v>9724</v>
      </c>
      <c r="C3413" s="3">
        <v>2290000</v>
      </c>
      <c r="D3413" s="3">
        <v>2290000</v>
      </c>
      <c r="E3413" s="7">
        <v>0</v>
      </c>
      <c r="F3413" s="5">
        <v>45926</v>
      </c>
      <c r="G3413" s="4">
        <v>20250925</v>
      </c>
      <c r="H3413" s="38" t="s">
        <v>24</v>
      </c>
      <c r="I3413" s="34" t="s">
        <v>9</v>
      </c>
      <c r="J3413" s="38" t="s">
        <v>396</v>
      </c>
    </row>
    <row r="3414" spans="1:10">
      <c r="A3414" s="32">
        <v>172</v>
      </c>
      <c r="B3414" s="33">
        <v>7429</v>
      </c>
      <c r="C3414" s="3">
        <v>2360000</v>
      </c>
      <c r="D3414" s="3">
        <v>2360000</v>
      </c>
      <c r="E3414" s="7">
        <v>0</v>
      </c>
      <c r="F3414" s="5">
        <v>45930</v>
      </c>
      <c r="G3414" s="4">
        <v>20250929</v>
      </c>
      <c r="H3414" s="38" t="s">
        <v>24</v>
      </c>
      <c r="I3414" s="34"/>
      <c r="J3414" s="38" t="s">
        <v>433</v>
      </c>
    </row>
    <row r="3415" spans="1:10">
      <c r="A3415" s="32">
        <v>506</v>
      </c>
      <c r="B3415" s="33">
        <v>7316</v>
      </c>
      <c r="C3415" s="3">
        <v>3275000</v>
      </c>
      <c r="D3415" s="3">
        <v>3275000</v>
      </c>
      <c r="E3415" s="7">
        <v>0</v>
      </c>
      <c r="F3415" s="5">
        <v>45930</v>
      </c>
      <c r="G3415" s="4">
        <v>20250929</v>
      </c>
      <c r="H3415" s="38" t="s">
        <v>24</v>
      </c>
      <c r="I3415" s="34" t="s">
        <v>9</v>
      </c>
      <c r="J3415" s="38" t="s">
        <v>566</v>
      </c>
    </row>
    <row r="3416" spans="1:10">
      <c r="A3416" s="32">
        <v>166</v>
      </c>
      <c r="B3416" s="33">
        <v>7940</v>
      </c>
      <c r="C3416" s="3">
        <v>1610000</v>
      </c>
      <c r="D3416" s="3">
        <v>1610000</v>
      </c>
      <c r="E3416" s="7">
        <v>0</v>
      </c>
      <c r="F3416" s="5">
        <v>45930</v>
      </c>
      <c r="G3416" s="4">
        <v>20250929</v>
      </c>
      <c r="H3416" s="38" t="s">
        <v>24</v>
      </c>
      <c r="I3416" s="34" t="s">
        <v>9</v>
      </c>
      <c r="J3416" s="38" t="s">
        <v>55</v>
      </c>
    </row>
    <row r="3417" spans="1:10">
      <c r="A3417" s="32">
        <v>844</v>
      </c>
      <c r="B3417" s="33">
        <v>6169</v>
      </c>
      <c r="C3417" s="3">
        <v>2700000</v>
      </c>
      <c r="D3417" s="3">
        <v>2700000</v>
      </c>
      <c r="E3417" s="7">
        <v>0</v>
      </c>
      <c r="F3417" s="5">
        <v>45939</v>
      </c>
      <c r="G3417" s="4">
        <v>20251008</v>
      </c>
      <c r="H3417" s="38" t="s">
        <v>24</v>
      </c>
      <c r="I3417" s="34" t="s">
        <v>9</v>
      </c>
      <c r="J3417" s="38" t="s">
        <v>296</v>
      </c>
    </row>
    <row r="3418" spans="1:10">
      <c r="A3418" s="32">
        <v>167</v>
      </c>
      <c r="B3418" s="33">
        <v>5030</v>
      </c>
      <c r="C3418" s="3">
        <v>2640000</v>
      </c>
      <c r="D3418" s="3">
        <v>2640000</v>
      </c>
      <c r="E3418" s="7">
        <v>0</v>
      </c>
      <c r="F3418" s="5">
        <v>45952</v>
      </c>
      <c r="G3418" s="4">
        <v>20251021</v>
      </c>
      <c r="H3418" s="38" t="s">
        <v>24</v>
      </c>
      <c r="I3418" s="34" t="s">
        <v>9</v>
      </c>
      <c r="J3418" s="38" t="s">
        <v>330</v>
      </c>
    </row>
    <row r="3419" spans="1:10">
      <c r="A3419" s="32">
        <v>652</v>
      </c>
      <c r="B3419" s="33">
        <v>5070</v>
      </c>
      <c r="C3419" s="3">
        <v>1480000</v>
      </c>
      <c r="D3419" s="3">
        <v>1480000</v>
      </c>
      <c r="E3419" s="7">
        <v>0</v>
      </c>
      <c r="F3419" s="5">
        <v>45952</v>
      </c>
      <c r="G3419" s="4">
        <v>20251021</v>
      </c>
      <c r="H3419" s="38" t="s">
        <v>24</v>
      </c>
      <c r="I3419" s="34" t="s">
        <v>9</v>
      </c>
      <c r="J3419" s="38" t="s">
        <v>201</v>
      </c>
    </row>
    <row r="3420" spans="1:10">
      <c r="A3420" s="32">
        <v>876</v>
      </c>
      <c r="B3420" s="33">
        <v>9682</v>
      </c>
      <c r="C3420" s="3">
        <v>9200000</v>
      </c>
      <c r="D3420" s="3">
        <v>9200000</v>
      </c>
      <c r="E3420" s="7">
        <v>0</v>
      </c>
      <c r="F3420" s="5">
        <v>45957</v>
      </c>
      <c r="G3420" s="4">
        <v>20251024</v>
      </c>
      <c r="H3420" s="38" t="s">
        <v>24</v>
      </c>
      <c r="I3420" s="34"/>
      <c r="J3420" s="38" t="s">
        <v>332</v>
      </c>
    </row>
    <row r="3421" spans="1:10">
      <c r="A3421" s="32">
        <v>15</v>
      </c>
      <c r="B3421" s="33">
        <v>8577</v>
      </c>
      <c r="C3421" s="3">
        <v>1407000</v>
      </c>
      <c r="D3421" s="3">
        <v>1407000</v>
      </c>
      <c r="E3421" s="7">
        <v>0</v>
      </c>
      <c r="F3421" s="5">
        <v>45957</v>
      </c>
      <c r="G3421" s="4">
        <v>20251026</v>
      </c>
      <c r="H3421" s="38" t="s">
        <v>24</v>
      </c>
      <c r="I3421" s="34" t="s">
        <v>9</v>
      </c>
      <c r="J3421" s="38" t="s">
        <v>374</v>
      </c>
    </row>
    <row r="3422" spans="1:10">
      <c r="A3422" s="32">
        <v>322</v>
      </c>
      <c r="B3422" s="33">
        <v>2443</v>
      </c>
      <c r="C3422" s="3">
        <v>20000</v>
      </c>
      <c r="D3422" s="3">
        <v>20000</v>
      </c>
      <c r="E3422" s="7">
        <v>0</v>
      </c>
      <c r="F3422" s="5">
        <v>45904</v>
      </c>
      <c r="G3422" s="4">
        <v>20250903</v>
      </c>
      <c r="H3422" s="38" t="s">
        <v>30</v>
      </c>
      <c r="I3422" s="34" t="s">
        <v>10</v>
      </c>
      <c r="J3422" s="38" t="s">
        <v>361</v>
      </c>
    </row>
    <row r="3423" spans="1:10">
      <c r="A3423" s="32">
        <v>516</v>
      </c>
      <c r="B3423" s="33">
        <v>9726</v>
      </c>
      <c r="C3423" s="3">
        <v>10000</v>
      </c>
      <c r="D3423" s="3">
        <v>10000</v>
      </c>
      <c r="E3423" s="7">
        <v>0</v>
      </c>
      <c r="F3423" s="5">
        <v>45929</v>
      </c>
      <c r="G3423" s="4">
        <v>20250926</v>
      </c>
      <c r="H3423" s="38" t="s">
        <v>30</v>
      </c>
      <c r="I3423" s="34"/>
      <c r="J3423" s="38" t="s">
        <v>567</v>
      </c>
    </row>
    <row r="3424" spans="1:10">
      <c r="A3424" s="32">
        <v>195</v>
      </c>
      <c r="B3424" s="33">
        <v>1950</v>
      </c>
      <c r="C3424" s="3">
        <v>40000</v>
      </c>
      <c r="D3424" s="3">
        <v>40000</v>
      </c>
      <c r="E3424" s="7">
        <v>0</v>
      </c>
      <c r="F3424" s="5">
        <v>45946</v>
      </c>
      <c r="G3424" s="4">
        <v>20251015</v>
      </c>
      <c r="H3424" s="38" t="s">
        <v>30</v>
      </c>
      <c r="I3424" s="34" t="s">
        <v>9</v>
      </c>
      <c r="J3424" s="38" t="s">
        <v>568</v>
      </c>
    </row>
    <row r="3425" spans="1:10">
      <c r="A3425" s="32">
        <v>254</v>
      </c>
      <c r="B3425" s="33">
        <v>9211</v>
      </c>
      <c r="C3425" s="3">
        <v>100000</v>
      </c>
      <c r="D3425" s="3">
        <v>100000</v>
      </c>
      <c r="E3425" s="7">
        <v>0</v>
      </c>
      <c r="F3425" s="5">
        <v>45947</v>
      </c>
      <c r="G3425" s="4">
        <v>20251016</v>
      </c>
      <c r="H3425" s="38" t="s">
        <v>30</v>
      </c>
      <c r="I3425" s="34" t="s">
        <v>9</v>
      </c>
      <c r="J3425" s="38" t="s">
        <v>461</v>
      </c>
    </row>
    <row r="3426" spans="1:10">
      <c r="A3426" s="32">
        <v>916</v>
      </c>
      <c r="B3426" s="33">
        <v>5345</v>
      </c>
      <c r="C3426" s="3">
        <v>450000</v>
      </c>
      <c r="D3426" s="3">
        <v>450000</v>
      </c>
      <c r="E3426" s="7">
        <v>0</v>
      </c>
      <c r="F3426" s="5">
        <v>45952</v>
      </c>
      <c r="G3426" s="4">
        <v>20251021</v>
      </c>
      <c r="H3426" s="38" t="s">
        <v>30</v>
      </c>
      <c r="I3426" s="34" t="s">
        <v>9</v>
      </c>
      <c r="J3426" s="38" t="s">
        <v>505</v>
      </c>
    </row>
    <row r="3427" spans="1:10">
      <c r="A3427" s="32">
        <v>407</v>
      </c>
      <c r="B3427" s="33">
        <v>6891</v>
      </c>
      <c r="C3427" s="3">
        <v>5000000</v>
      </c>
      <c r="D3427" s="3">
        <v>5000000</v>
      </c>
      <c r="E3427" s="7">
        <v>0</v>
      </c>
      <c r="F3427" s="5">
        <v>45957</v>
      </c>
      <c r="G3427" s="4">
        <v>20251026</v>
      </c>
      <c r="H3427" s="38" t="s">
        <v>30</v>
      </c>
      <c r="I3427" s="34" t="s">
        <v>9</v>
      </c>
      <c r="J3427" s="38" t="s">
        <v>569</v>
      </c>
    </row>
    <row r="3428" spans="1:10">
      <c r="A3428" s="32">
        <v>842</v>
      </c>
      <c r="B3428" s="33">
        <v>1646</v>
      </c>
      <c r="C3428" s="3">
        <v>200000</v>
      </c>
      <c r="D3428" s="3">
        <v>200000</v>
      </c>
      <c r="E3428" s="7">
        <v>0</v>
      </c>
      <c r="F3428" s="5">
        <v>45957</v>
      </c>
      <c r="G3428" s="4">
        <v>20251026</v>
      </c>
      <c r="H3428" s="38" t="s">
        <v>30</v>
      </c>
      <c r="I3428" s="34" t="s">
        <v>9</v>
      </c>
      <c r="J3428" s="38" t="s">
        <v>570</v>
      </c>
    </row>
    <row r="3429" spans="1:10">
      <c r="A3429" s="32">
        <v>972</v>
      </c>
      <c r="B3429" s="33">
        <v>3913</v>
      </c>
      <c r="C3429" s="3">
        <v>80000</v>
      </c>
      <c r="D3429" s="3">
        <v>80000</v>
      </c>
      <c r="E3429" s="7">
        <v>0</v>
      </c>
      <c r="F3429" s="5">
        <v>45957</v>
      </c>
      <c r="G3429" s="4">
        <v>20251026</v>
      </c>
      <c r="H3429" s="38" t="s">
        <v>30</v>
      </c>
      <c r="I3429" s="34" t="s">
        <v>9</v>
      </c>
      <c r="J3429" s="38" t="s">
        <v>213</v>
      </c>
    </row>
    <row r="3430" spans="1:10">
      <c r="A3430" s="32">
        <v>951</v>
      </c>
      <c r="B3430" s="33">
        <v>7816</v>
      </c>
      <c r="C3430" s="3">
        <v>2490000</v>
      </c>
      <c r="D3430" s="3">
        <v>2490000</v>
      </c>
      <c r="E3430" s="7">
        <v>0</v>
      </c>
      <c r="F3430" s="5">
        <v>45957</v>
      </c>
      <c r="G3430" s="4">
        <v>20251024</v>
      </c>
      <c r="H3430" s="38" t="s">
        <v>30</v>
      </c>
      <c r="I3430" s="34" t="s">
        <v>9</v>
      </c>
      <c r="J3430" s="38" t="s">
        <v>70</v>
      </c>
    </row>
    <row r="3431" spans="1:10">
      <c r="A3431" s="32">
        <v>216</v>
      </c>
      <c r="B3431" s="33">
        <v>4433</v>
      </c>
      <c r="C3431" s="3">
        <v>38470000</v>
      </c>
      <c r="D3431" s="3">
        <v>38470000</v>
      </c>
      <c r="E3431" s="7">
        <v>0</v>
      </c>
      <c r="F3431" s="5">
        <v>45958</v>
      </c>
      <c r="G3431" s="4">
        <v>20251027</v>
      </c>
      <c r="H3431" s="38" t="s">
        <v>30</v>
      </c>
      <c r="I3431" s="34"/>
      <c r="J3431" s="38" t="s">
        <v>412</v>
      </c>
    </row>
    <row r="3432" spans="1:10">
      <c r="A3432" s="32">
        <v>741</v>
      </c>
      <c r="B3432" s="33">
        <v>6842</v>
      </c>
      <c r="C3432" s="3">
        <v>200000</v>
      </c>
      <c r="D3432" s="3">
        <v>200000</v>
      </c>
      <c r="E3432" s="7">
        <v>0</v>
      </c>
      <c r="F3432" s="5">
        <v>45940</v>
      </c>
      <c r="G3432" s="4">
        <v>20251009</v>
      </c>
      <c r="H3432" s="38" t="s">
        <v>30</v>
      </c>
      <c r="I3432" s="34" t="s">
        <v>9</v>
      </c>
      <c r="J3432" s="38" t="s">
        <v>147</v>
      </c>
    </row>
    <row r="3433" spans="1:10">
      <c r="A3433" s="32">
        <v>422</v>
      </c>
      <c r="B3433" s="33">
        <v>4555</v>
      </c>
      <c r="C3433" s="3">
        <v>4300000</v>
      </c>
      <c r="D3433" s="3">
        <v>4300000</v>
      </c>
      <c r="E3433" s="7">
        <v>0</v>
      </c>
      <c r="F3433" s="5">
        <v>45952</v>
      </c>
      <c r="G3433" s="4">
        <v>20251021</v>
      </c>
      <c r="H3433" s="38" t="s">
        <v>30</v>
      </c>
      <c r="I3433" s="34"/>
      <c r="J3433" s="38" t="s">
        <v>138</v>
      </c>
    </row>
    <row r="3434" spans="1:10">
      <c r="A3434" s="32">
        <v>741</v>
      </c>
      <c r="B3434" s="33">
        <v>6842</v>
      </c>
      <c r="C3434" s="3">
        <v>250000</v>
      </c>
      <c r="D3434" s="3">
        <v>250000</v>
      </c>
      <c r="E3434" s="7">
        <v>0</v>
      </c>
      <c r="F3434" s="5">
        <v>45954</v>
      </c>
      <c r="G3434" s="4">
        <v>20251022</v>
      </c>
      <c r="H3434" s="38" t="s">
        <v>30</v>
      </c>
      <c r="I3434" s="34"/>
      <c r="J3434" s="38" t="s">
        <v>147</v>
      </c>
    </row>
    <row r="3435" spans="1:10">
      <c r="A3435" s="32">
        <v>473</v>
      </c>
      <c r="B3435" s="33">
        <v>3441</v>
      </c>
      <c r="C3435" s="3">
        <v>960000</v>
      </c>
      <c r="D3435" s="3">
        <v>960000</v>
      </c>
      <c r="E3435" s="7">
        <f>+C3435-D3435</f>
        <v>0</v>
      </c>
      <c r="F3435" s="5">
        <v>45902</v>
      </c>
      <c r="G3435" s="4">
        <v>20250901</v>
      </c>
      <c r="H3435" s="38" t="str">
        <f>VLOOKUP(B3435,CAJEROS!B:D,3,0)</f>
        <v>Dispensador</v>
      </c>
      <c r="I3435" s="34"/>
      <c r="J3435" s="38" t="str">
        <f>VLOOKUP(B3435,CAJEROS!B:E,4,0)</f>
        <v>VICAGUAN1</v>
      </c>
    </row>
    <row r="3436" spans="1:10">
      <c r="A3436" s="32">
        <v>642</v>
      </c>
      <c r="B3436" s="33">
        <v>1952</v>
      </c>
      <c r="C3436" s="41">
        <v>180000</v>
      </c>
      <c r="D3436" s="41">
        <v>180000</v>
      </c>
      <c r="E3436" s="7">
        <v>0</v>
      </c>
      <c r="F3436" s="5">
        <v>45910</v>
      </c>
      <c r="G3436" s="4">
        <v>20250909</v>
      </c>
      <c r="H3436" s="42" t="s">
        <v>30</v>
      </c>
      <c r="I3436" s="34" t="s">
        <v>9</v>
      </c>
      <c r="J3436" s="42" t="s">
        <v>571</v>
      </c>
    </row>
    <row r="3437" spans="1:10">
      <c r="A3437" s="32">
        <v>346</v>
      </c>
      <c r="B3437" s="33">
        <v>3461</v>
      </c>
      <c r="C3437" s="41">
        <v>30000</v>
      </c>
      <c r="D3437" s="41">
        <v>30000</v>
      </c>
      <c r="E3437" s="7">
        <v>0</v>
      </c>
      <c r="F3437" s="5">
        <v>45916</v>
      </c>
      <c r="G3437" s="4">
        <v>20250915</v>
      </c>
      <c r="H3437" s="42" t="s">
        <v>30</v>
      </c>
      <c r="I3437" s="34" t="s">
        <v>9</v>
      </c>
      <c r="J3437" s="42" t="s">
        <v>572</v>
      </c>
    </row>
    <row r="3438" spans="1:10">
      <c r="A3438" s="32">
        <v>584</v>
      </c>
      <c r="B3438" s="33">
        <v>5570</v>
      </c>
      <c r="C3438" s="41">
        <v>2000000</v>
      </c>
      <c r="D3438" s="41">
        <v>2000000</v>
      </c>
      <c r="E3438" s="7">
        <v>0</v>
      </c>
      <c r="F3438" s="5">
        <v>45932</v>
      </c>
      <c r="G3438" s="4">
        <v>20251001</v>
      </c>
      <c r="H3438" s="42" t="s">
        <v>30</v>
      </c>
      <c r="I3438" s="34" t="s">
        <v>9</v>
      </c>
      <c r="J3438" s="42" t="s">
        <v>573</v>
      </c>
    </row>
    <row r="3439" spans="1:10">
      <c r="A3439" s="32">
        <v>584</v>
      </c>
      <c r="B3439" s="33">
        <v>5570</v>
      </c>
      <c r="C3439" s="41">
        <v>60000</v>
      </c>
      <c r="D3439" s="41">
        <v>60000</v>
      </c>
      <c r="E3439" s="7">
        <v>0</v>
      </c>
      <c r="F3439" s="5">
        <v>45946</v>
      </c>
      <c r="G3439" s="4">
        <v>20251015</v>
      </c>
      <c r="H3439" s="42" t="s">
        <v>30</v>
      </c>
      <c r="I3439" s="34" t="s">
        <v>9</v>
      </c>
      <c r="J3439" s="42" t="s">
        <v>573</v>
      </c>
    </row>
    <row r="3440" spans="1:10">
      <c r="A3440" s="32">
        <v>763</v>
      </c>
      <c r="B3440" s="33">
        <v>4996</v>
      </c>
      <c r="C3440" s="41">
        <v>1000000</v>
      </c>
      <c r="D3440" s="41">
        <v>1000000</v>
      </c>
      <c r="E3440" s="7">
        <v>0</v>
      </c>
      <c r="F3440" s="5">
        <v>45957</v>
      </c>
      <c r="G3440" s="4">
        <v>20251024</v>
      </c>
      <c r="H3440" s="42" t="s">
        <v>30</v>
      </c>
      <c r="I3440" s="34" t="s">
        <v>9</v>
      </c>
      <c r="J3440" s="42" t="s">
        <v>574</v>
      </c>
    </row>
    <row r="3441" spans="1:10">
      <c r="A3441" s="32">
        <v>38</v>
      </c>
      <c r="B3441" s="33">
        <v>6553</v>
      </c>
      <c r="C3441" s="41">
        <v>200000</v>
      </c>
      <c r="D3441" s="41">
        <v>200000</v>
      </c>
      <c r="E3441" s="7">
        <v>0</v>
      </c>
      <c r="F3441" s="5">
        <v>45958</v>
      </c>
      <c r="G3441" s="4">
        <v>20251027</v>
      </c>
      <c r="H3441" s="42" t="s">
        <v>30</v>
      </c>
      <c r="I3441" s="34" t="s">
        <v>9</v>
      </c>
      <c r="J3441" s="42" t="s">
        <v>216</v>
      </c>
    </row>
    <row r="3442" spans="1:10">
      <c r="A3442" s="32">
        <v>153</v>
      </c>
      <c r="B3442" s="33">
        <v>9881</v>
      </c>
      <c r="C3442" s="41">
        <v>310000</v>
      </c>
      <c r="D3442" s="41">
        <v>310000</v>
      </c>
      <c r="E3442" s="7">
        <v>0</v>
      </c>
      <c r="F3442" s="5">
        <v>45959</v>
      </c>
      <c r="G3442" s="4">
        <v>20251028</v>
      </c>
      <c r="H3442" s="42" t="s">
        <v>30</v>
      </c>
      <c r="I3442" s="34" t="s">
        <v>9</v>
      </c>
      <c r="J3442" s="42" t="s">
        <v>155</v>
      </c>
    </row>
    <row r="3443" spans="1:10">
      <c r="A3443" s="32">
        <v>358</v>
      </c>
      <c r="B3443" s="33">
        <v>4499</v>
      </c>
      <c r="C3443" s="41">
        <v>100000</v>
      </c>
      <c r="D3443" s="41">
        <v>100000</v>
      </c>
      <c r="E3443" s="7">
        <v>0</v>
      </c>
      <c r="F3443" s="5">
        <v>45959</v>
      </c>
      <c r="G3443" s="4">
        <v>20251028</v>
      </c>
      <c r="H3443" s="42" t="s">
        <v>30</v>
      </c>
      <c r="I3443" s="34" t="s">
        <v>9</v>
      </c>
      <c r="J3443" s="42" t="s">
        <v>575</v>
      </c>
    </row>
    <row r="3444" spans="1:10">
      <c r="A3444" s="32">
        <v>866</v>
      </c>
      <c r="B3444" s="33">
        <v>467</v>
      </c>
      <c r="C3444" s="3">
        <v>10000</v>
      </c>
      <c r="D3444" s="3"/>
      <c r="E3444" s="7">
        <f>+C3444-D3444</f>
        <v>10000</v>
      </c>
      <c r="F3444" s="5">
        <v>45959</v>
      </c>
      <c r="G3444" s="4">
        <v>20251026</v>
      </c>
      <c r="H3444" s="38" t="str">
        <f>VLOOKUP(B3444,CAJEROS!B:D,3,0)</f>
        <v>Dispensador</v>
      </c>
      <c r="I3444" s="34"/>
      <c r="J3444" s="38" t="str">
        <f>VLOOKUP(B3444,CAJEROS!B:E,4,0)</f>
        <v>OFCFLORIDA2</v>
      </c>
    </row>
    <row r="3445" spans="1:10">
      <c r="A3445" s="32">
        <v>520</v>
      </c>
      <c r="B3445" s="33">
        <v>4471</v>
      </c>
      <c r="C3445" s="3">
        <v>350000</v>
      </c>
      <c r="D3445" s="3">
        <v>350000</v>
      </c>
      <c r="E3445" s="7">
        <v>0</v>
      </c>
      <c r="F3445" s="5">
        <v>45932</v>
      </c>
      <c r="G3445" s="4">
        <v>20251001</v>
      </c>
      <c r="H3445" s="38" t="s">
        <v>30</v>
      </c>
      <c r="I3445" s="34" t="s">
        <v>9</v>
      </c>
      <c r="J3445" s="38" t="s">
        <v>96</v>
      </c>
    </row>
    <row r="3446" spans="1:10">
      <c r="A3446" s="32">
        <v>291</v>
      </c>
      <c r="B3446" s="33">
        <v>8139</v>
      </c>
      <c r="C3446" s="3">
        <v>2711000</v>
      </c>
      <c r="D3446" s="3">
        <v>2711000</v>
      </c>
      <c r="E3446" s="7">
        <v>0</v>
      </c>
      <c r="F3446" s="5">
        <v>45932</v>
      </c>
      <c r="G3446" s="4">
        <v>20251001</v>
      </c>
      <c r="H3446" s="38" t="s">
        <v>24</v>
      </c>
      <c r="I3446" s="34"/>
      <c r="J3446" s="38" t="s">
        <v>428</v>
      </c>
    </row>
    <row r="3447" spans="1:10">
      <c r="A3447" s="32">
        <v>868</v>
      </c>
      <c r="B3447" s="33">
        <v>6149</v>
      </c>
      <c r="C3447" s="3">
        <v>530950</v>
      </c>
      <c r="D3447" s="3">
        <v>530950</v>
      </c>
      <c r="E3447" s="7">
        <v>0</v>
      </c>
      <c r="F3447" s="5">
        <v>45932</v>
      </c>
      <c r="G3447" s="4">
        <v>20251001</v>
      </c>
      <c r="H3447" s="38" t="s">
        <v>24</v>
      </c>
      <c r="I3447" s="34" t="s">
        <v>9</v>
      </c>
      <c r="J3447" s="38" t="s">
        <v>576</v>
      </c>
    </row>
    <row r="3448" spans="1:10">
      <c r="A3448" s="32">
        <v>392</v>
      </c>
      <c r="B3448" s="33">
        <v>4794</v>
      </c>
      <c r="C3448" s="3">
        <v>50000</v>
      </c>
      <c r="D3448" s="3">
        <v>50000</v>
      </c>
      <c r="E3448" s="7">
        <v>0</v>
      </c>
      <c r="F3448" s="5">
        <v>45936</v>
      </c>
      <c r="G3448" s="4">
        <v>20251005</v>
      </c>
      <c r="H3448" s="38" t="s">
        <v>30</v>
      </c>
      <c r="I3448" s="34" t="s">
        <v>9</v>
      </c>
      <c r="J3448" s="38" t="s">
        <v>270</v>
      </c>
    </row>
    <row r="3449" spans="1:10">
      <c r="A3449" s="32">
        <v>229</v>
      </c>
      <c r="B3449" s="33">
        <v>9605</v>
      </c>
      <c r="C3449" s="3">
        <v>250000</v>
      </c>
      <c r="D3449" s="3">
        <v>250000</v>
      </c>
      <c r="E3449" s="7">
        <v>0</v>
      </c>
      <c r="F3449" s="5">
        <v>45936</v>
      </c>
      <c r="G3449" s="4">
        <v>20251003</v>
      </c>
      <c r="H3449" s="38" t="s">
        <v>24</v>
      </c>
      <c r="I3449" s="34"/>
      <c r="J3449" s="38" t="s">
        <v>153</v>
      </c>
    </row>
    <row r="3450" spans="1:10">
      <c r="A3450" s="32">
        <v>741</v>
      </c>
      <c r="B3450" s="33">
        <v>6843</v>
      </c>
      <c r="C3450" s="3">
        <v>870000</v>
      </c>
      <c r="D3450" s="3">
        <v>870000</v>
      </c>
      <c r="E3450" s="7">
        <v>0</v>
      </c>
      <c r="F3450" s="5">
        <v>45938</v>
      </c>
      <c r="G3450" s="4">
        <v>20251007</v>
      </c>
      <c r="H3450" s="38" t="s">
        <v>24</v>
      </c>
      <c r="I3450" s="34" t="s">
        <v>9</v>
      </c>
      <c r="J3450" s="38" t="s">
        <v>89</v>
      </c>
    </row>
    <row r="3451" spans="1:10">
      <c r="A3451" s="32">
        <v>706</v>
      </c>
      <c r="B3451" s="33">
        <v>4146</v>
      </c>
      <c r="C3451" s="3">
        <v>30000</v>
      </c>
      <c r="D3451" s="3">
        <v>30000</v>
      </c>
      <c r="E3451" s="7">
        <v>0</v>
      </c>
      <c r="F3451" s="5">
        <v>45938</v>
      </c>
      <c r="G3451" s="4">
        <v>20251007</v>
      </c>
      <c r="H3451" s="38" t="s">
        <v>30</v>
      </c>
      <c r="I3451" s="34" t="s">
        <v>9</v>
      </c>
      <c r="J3451" s="38" t="s">
        <v>63</v>
      </c>
    </row>
    <row r="3452" spans="1:10">
      <c r="A3452" s="32">
        <v>392</v>
      </c>
      <c r="B3452" s="33">
        <v>4793</v>
      </c>
      <c r="C3452" s="3">
        <v>200000</v>
      </c>
      <c r="D3452" s="3">
        <v>200000</v>
      </c>
      <c r="E3452" s="7">
        <v>0</v>
      </c>
      <c r="F3452" s="5">
        <v>45939</v>
      </c>
      <c r="G3452" s="4">
        <v>20251008</v>
      </c>
      <c r="H3452" s="38" t="s">
        <v>30</v>
      </c>
      <c r="I3452" s="34"/>
      <c r="J3452" s="38" t="s">
        <v>460</v>
      </c>
    </row>
    <row r="3453" spans="1:10">
      <c r="A3453" s="32">
        <v>111</v>
      </c>
      <c r="B3453" s="33">
        <v>5671</v>
      </c>
      <c r="C3453" s="3">
        <v>100000</v>
      </c>
      <c r="D3453" s="3">
        <v>100000</v>
      </c>
      <c r="E3453" s="7">
        <v>0</v>
      </c>
      <c r="F3453" s="5">
        <v>45939</v>
      </c>
      <c r="G3453" s="4">
        <v>20251008</v>
      </c>
      <c r="H3453" s="38" t="s">
        <v>30</v>
      </c>
      <c r="I3453" s="34" t="s">
        <v>9</v>
      </c>
      <c r="J3453" s="38" t="s">
        <v>48</v>
      </c>
    </row>
    <row r="3454" spans="1:10">
      <c r="A3454" s="32">
        <v>520</v>
      </c>
      <c r="B3454" s="33">
        <v>4471</v>
      </c>
      <c r="C3454" s="3">
        <v>950000</v>
      </c>
      <c r="D3454" s="3">
        <v>950000</v>
      </c>
      <c r="E3454" s="7">
        <v>0</v>
      </c>
      <c r="F3454" s="5">
        <v>45940</v>
      </c>
      <c r="G3454" s="4">
        <v>20251009</v>
      </c>
      <c r="H3454" s="38" t="s">
        <v>30</v>
      </c>
      <c r="I3454" s="34" t="s">
        <v>9</v>
      </c>
      <c r="J3454" s="38" t="s">
        <v>96</v>
      </c>
    </row>
    <row r="3455" spans="1:10">
      <c r="A3455" s="32">
        <v>363</v>
      </c>
      <c r="B3455" s="33">
        <v>5168</v>
      </c>
      <c r="C3455" s="3">
        <v>1121000</v>
      </c>
      <c r="D3455" s="3">
        <v>1121000</v>
      </c>
      <c r="E3455" s="7">
        <v>0</v>
      </c>
      <c r="F3455" s="5">
        <v>45944</v>
      </c>
      <c r="G3455" s="4">
        <v>20251013</v>
      </c>
      <c r="H3455" s="38" t="s">
        <v>24</v>
      </c>
      <c r="I3455" s="34" t="s">
        <v>9</v>
      </c>
      <c r="J3455" s="38" t="s">
        <v>92</v>
      </c>
    </row>
    <row r="3456" spans="1:10">
      <c r="A3456" s="32">
        <v>728</v>
      </c>
      <c r="B3456" s="33">
        <v>8584</v>
      </c>
      <c r="C3456" s="3">
        <v>480000</v>
      </c>
      <c r="D3456" s="3">
        <v>480000</v>
      </c>
      <c r="E3456" s="7">
        <v>0</v>
      </c>
      <c r="F3456" s="5">
        <v>45944</v>
      </c>
      <c r="G3456" s="4">
        <v>20251009</v>
      </c>
      <c r="H3456" s="38" t="s">
        <v>30</v>
      </c>
      <c r="I3456" s="34"/>
      <c r="J3456" s="38" t="s">
        <v>516</v>
      </c>
    </row>
    <row r="3457" spans="1:10">
      <c r="A3457" s="32">
        <v>31</v>
      </c>
      <c r="B3457" s="33">
        <v>8737</v>
      </c>
      <c r="C3457" s="3">
        <v>360000</v>
      </c>
      <c r="D3457" s="3">
        <v>360000</v>
      </c>
      <c r="E3457" s="7">
        <v>0</v>
      </c>
      <c r="F3457" s="5">
        <v>45945</v>
      </c>
      <c r="G3457" s="4">
        <v>20251014</v>
      </c>
      <c r="H3457" s="38" t="s">
        <v>24</v>
      </c>
      <c r="I3457" s="34" t="s">
        <v>9</v>
      </c>
      <c r="J3457" s="38" t="s">
        <v>299</v>
      </c>
    </row>
    <row r="3458" spans="1:10">
      <c r="A3458" s="32">
        <v>60</v>
      </c>
      <c r="B3458" s="33">
        <v>8727</v>
      </c>
      <c r="C3458" s="3">
        <v>100000</v>
      </c>
      <c r="D3458" s="3">
        <v>100000</v>
      </c>
      <c r="E3458" s="7">
        <v>0</v>
      </c>
      <c r="F3458" s="5">
        <v>45945</v>
      </c>
      <c r="G3458" s="4">
        <v>20251014</v>
      </c>
      <c r="H3458" s="38" t="s">
        <v>24</v>
      </c>
      <c r="I3458" s="34" t="s">
        <v>9</v>
      </c>
      <c r="J3458" s="38" t="s">
        <v>458</v>
      </c>
    </row>
    <row r="3459" spans="1:10">
      <c r="A3459" s="32">
        <v>392</v>
      </c>
      <c r="B3459" s="33">
        <v>4793</v>
      </c>
      <c r="C3459" s="3">
        <v>240000</v>
      </c>
      <c r="D3459" s="3">
        <v>240000</v>
      </c>
      <c r="E3459" s="7">
        <v>0</v>
      </c>
      <c r="F3459" s="5">
        <v>45945</v>
      </c>
      <c r="G3459" s="4">
        <v>20251014</v>
      </c>
      <c r="H3459" s="38" t="s">
        <v>30</v>
      </c>
      <c r="I3459" s="34"/>
      <c r="J3459" s="38" t="s">
        <v>460</v>
      </c>
    </row>
    <row r="3460" spans="1:10">
      <c r="A3460" s="32">
        <v>631</v>
      </c>
      <c r="B3460" s="33">
        <v>2795</v>
      </c>
      <c r="C3460" s="3">
        <v>100000</v>
      </c>
      <c r="D3460" s="3">
        <v>100000</v>
      </c>
      <c r="E3460" s="7">
        <v>0</v>
      </c>
      <c r="F3460" s="5">
        <v>45946</v>
      </c>
      <c r="G3460" s="4">
        <v>20251015</v>
      </c>
      <c r="H3460" s="38" t="s">
        <v>30</v>
      </c>
      <c r="I3460" s="34"/>
      <c r="J3460" s="38" t="s">
        <v>98</v>
      </c>
    </row>
    <row r="3461" spans="1:10">
      <c r="A3461" s="32">
        <v>993</v>
      </c>
      <c r="B3461" s="33">
        <v>3470</v>
      </c>
      <c r="C3461" s="3">
        <v>200000</v>
      </c>
      <c r="D3461" s="3">
        <v>200000</v>
      </c>
      <c r="E3461" s="7">
        <v>0</v>
      </c>
      <c r="F3461" s="5">
        <v>45946</v>
      </c>
      <c r="G3461" s="4">
        <v>20251014</v>
      </c>
      <c r="H3461" s="38" t="s">
        <v>30</v>
      </c>
      <c r="I3461" s="34"/>
      <c r="J3461" s="38" t="s">
        <v>181</v>
      </c>
    </row>
    <row r="3462" spans="1:10">
      <c r="A3462" s="32">
        <v>832</v>
      </c>
      <c r="B3462" s="33">
        <v>4768</v>
      </c>
      <c r="C3462" s="3">
        <v>2610000</v>
      </c>
      <c r="D3462" s="3">
        <v>2610000</v>
      </c>
      <c r="E3462" s="7">
        <v>0</v>
      </c>
      <c r="F3462" s="5">
        <v>45947</v>
      </c>
      <c r="G3462" s="4">
        <v>20251016</v>
      </c>
      <c r="H3462" s="38" t="s">
        <v>30</v>
      </c>
      <c r="I3462" s="34" t="s">
        <v>9</v>
      </c>
      <c r="J3462" s="38" t="s">
        <v>207</v>
      </c>
    </row>
    <row r="3463" spans="1:10">
      <c r="A3463" s="32">
        <v>262</v>
      </c>
      <c r="B3463" s="33">
        <v>5153</v>
      </c>
      <c r="C3463" s="3">
        <v>2613000</v>
      </c>
      <c r="D3463" s="3">
        <v>2613000</v>
      </c>
      <c r="E3463" s="7">
        <v>0</v>
      </c>
      <c r="F3463" s="5">
        <v>45947</v>
      </c>
      <c r="G3463" s="4">
        <v>20251016</v>
      </c>
      <c r="H3463" s="38" t="s">
        <v>24</v>
      </c>
      <c r="I3463" s="34" t="s">
        <v>9</v>
      </c>
      <c r="J3463" s="38" t="s">
        <v>52</v>
      </c>
    </row>
    <row r="3464" spans="1:10">
      <c r="A3464" s="32">
        <v>688</v>
      </c>
      <c r="B3464" s="33">
        <v>4843</v>
      </c>
      <c r="C3464" s="3">
        <v>700000</v>
      </c>
      <c r="D3464" s="3">
        <v>700000</v>
      </c>
      <c r="E3464" s="7">
        <v>0</v>
      </c>
      <c r="F3464" s="5">
        <v>45952</v>
      </c>
      <c r="G3464" s="4">
        <v>20251021</v>
      </c>
      <c r="H3464" s="38" t="s">
        <v>30</v>
      </c>
      <c r="I3464" s="34" t="s">
        <v>9</v>
      </c>
      <c r="J3464" s="38" t="s">
        <v>157</v>
      </c>
    </row>
    <row r="3465" spans="1:10">
      <c r="A3465" s="32">
        <v>520</v>
      </c>
      <c r="B3465" s="33">
        <v>4471</v>
      </c>
      <c r="C3465" s="3">
        <v>50000</v>
      </c>
      <c r="D3465" s="3">
        <v>50000</v>
      </c>
      <c r="E3465" s="7">
        <v>0</v>
      </c>
      <c r="F3465" s="5">
        <v>45957</v>
      </c>
      <c r="G3465" s="4">
        <v>20251026</v>
      </c>
      <c r="H3465" s="38" t="s">
        <v>30</v>
      </c>
      <c r="I3465" s="34" t="s">
        <v>9</v>
      </c>
      <c r="J3465" s="38" t="s">
        <v>96</v>
      </c>
    </row>
    <row r="3466" spans="1:10">
      <c r="A3466" s="32">
        <v>946</v>
      </c>
      <c r="B3466" s="33">
        <v>5225</v>
      </c>
      <c r="C3466" s="3">
        <v>2510000</v>
      </c>
      <c r="D3466" s="3">
        <v>2510000</v>
      </c>
      <c r="E3466" s="7">
        <v>0</v>
      </c>
      <c r="F3466" s="5">
        <v>45957</v>
      </c>
      <c r="G3466" s="4">
        <v>20251026</v>
      </c>
      <c r="H3466" s="38" t="s">
        <v>24</v>
      </c>
      <c r="I3466" s="34" t="s">
        <v>9</v>
      </c>
      <c r="J3466" s="38" t="s">
        <v>459</v>
      </c>
    </row>
    <row r="3467" spans="1:10">
      <c r="A3467" s="32">
        <v>613</v>
      </c>
      <c r="B3467" s="33">
        <v>6713</v>
      </c>
      <c r="C3467" s="3">
        <v>450000</v>
      </c>
      <c r="D3467" s="3">
        <v>450000</v>
      </c>
      <c r="E3467" s="7">
        <v>0</v>
      </c>
      <c r="F3467" s="5">
        <v>45957</v>
      </c>
      <c r="G3467" s="4">
        <v>20251026</v>
      </c>
      <c r="H3467" s="38" t="s">
        <v>24</v>
      </c>
      <c r="I3467" s="34" t="s">
        <v>9</v>
      </c>
      <c r="J3467" s="38" t="s">
        <v>404</v>
      </c>
    </row>
    <row r="3468" spans="1:10">
      <c r="A3468" s="32">
        <v>217</v>
      </c>
      <c r="B3468" s="33">
        <v>5208</v>
      </c>
      <c r="C3468" s="3">
        <v>110000</v>
      </c>
      <c r="D3468" s="3">
        <v>110000</v>
      </c>
      <c r="E3468" s="7">
        <v>0</v>
      </c>
      <c r="F3468" s="5">
        <v>45957</v>
      </c>
      <c r="G3468" s="4">
        <v>20251026</v>
      </c>
      <c r="H3468" s="38" t="s">
        <v>24</v>
      </c>
      <c r="I3468" s="34" t="s">
        <v>9</v>
      </c>
      <c r="J3468" s="38" t="s">
        <v>326</v>
      </c>
    </row>
    <row r="3469" spans="1:10">
      <c r="A3469" s="32">
        <v>392</v>
      </c>
      <c r="B3469" s="33">
        <v>4794</v>
      </c>
      <c r="C3469" s="3">
        <v>20000</v>
      </c>
      <c r="D3469" s="3">
        <v>20000</v>
      </c>
      <c r="E3469" s="7">
        <v>0</v>
      </c>
      <c r="F3469" s="5">
        <v>45958</v>
      </c>
      <c r="G3469" s="4">
        <v>20251027</v>
      </c>
      <c r="H3469" s="38" t="s">
        <v>30</v>
      </c>
      <c r="I3469" s="34" t="s">
        <v>10</v>
      </c>
      <c r="J3469" s="38" t="s">
        <v>270</v>
      </c>
    </row>
    <row r="3470" spans="1:10">
      <c r="A3470" s="32">
        <v>141</v>
      </c>
      <c r="B3470" s="33">
        <v>1541</v>
      </c>
      <c r="C3470" s="3">
        <v>220000</v>
      </c>
      <c r="D3470" s="3">
        <v>220000</v>
      </c>
      <c r="E3470" s="7">
        <v>0</v>
      </c>
      <c r="F3470" s="5">
        <v>45959</v>
      </c>
      <c r="G3470" s="4">
        <v>20251028</v>
      </c>
      <c r="H3470" s="38" t="s">
        <v>24</v>
      </c>
      <c r="I3470" s="34" t="s">
        <v>9</v>
      </c>
      <c r="J3470" s="38" t="s">
        <v>242</v>
      </c>
    </row>
    <row r="3471" spans="1:10">
      <c r="A3471" s="32">
        <v>163</v>
      </c>
      <c r="B3471" s="33">
        <v>4130</v>
      </c>
      <c r="C3471" s="3">
        <v>100000</v>
      </c>
      <c r="D3471" s="3">
        <v>100000</v>
      </c>
      <c r="E3471" s="7">
        <v>0</v>
      </c>
      <c r="F3471" s="5">
        <v>45959</v>
      </c>
      <c r="G3471" s="4">
        <v>20251028</v>
      </c>
      <c r="H3471" s="38" t="s">
        <v>30</v>
      </c>
      <c r="I3471" s="34" t="s">
        <v>9</v>
      </c>
      <c r="J3471" s="38" t="s">
        <v>148</v>
      </c>
    </row>
    <row r="3472" spans="1:10">
      <c r="A3472" s="32">
        <v>688</v>
      </c>
      <c r="B3472" s="33">
        <v>4843</v>
      </c>
      <c r="C3472" s="3">
        <v>200000</v>
      </c>
      <c r="D3472" s="3">
        <v>200000</v>
      </c>
      <c r="E3472" s="7">
        <v>0</v>
      </c>
      <c r="F3472" s="5">
        <v>45959</v>
      </c>
      <c r="G3472" s="4">
        <v>20251028</v>
      </c>
      <c r="H3472" s="38" t="s">
        <v>30</v>
      </c>
      <c r="I3472" s="34" t="s">
        <v>9</v>
      </c>
      <c r="J3472" s="38" t="s">
        <v>157</v>
      </c>
    </row>
    <row r="3473" spans="1:11">
      <c r="A3473" s="32">
        <v>60</v>
      </c>
      <c r="B3473" s="33">
        <v>8725</v>
      </c>
      <c r="C3473" s="3">
        <v>200000</v>
      </c>
      <c r="D3473" s="3">
        <v>200000</v>
      </c>
      <c r="E3473" s="7">
        <v>0</v>
      </c>
      <c r="F3473" s="5">
        <v>45960</v>
      </c>
      <c r="G3473" s="4">
        <v>20251029</v>
      </c>
      <c r="H3473" s="38" t="s">
        <v>30</v>
      </c>
      <c r="I3473" s="34" t="s">
        <v>9</v>
      </c>
      <c r="J3473" s="38" t="s">
        <v>323</v>
      </c>
    </row>
    <row r="3474" spans="1:11">
      <c r="A3474" s="32">
        <v>163</v>
      </c>
      <c r="B3474" s="33">
        <v>5553</v>
      </c>
      <c r="C3474" s="3">
        <v>5000000</v>
      </c>
      <c r="D3474" s="3">
        <v>5000000</v>
      </c>
      <c r="E3474" s="7">
        <v>0</v>
      </c>
      <c r="F3474" s="5">
        <v>45960</v>
      </c>
      <c r="G3474" s="4">
        <v>20251029</v>
      </c>
      <c r="H3474" s="38" t="s">
        <v>30</v>
      </c>
      <c r="I3474" s="34" t="s">
        <v>9</v>
      </c>
      <c r="J3474" s="38" t="s">
        <v>577</v>
      </c>
    </row>
    <row r="3475" spans="1:11">
      <c r="A3475" s="32">
        <v>81</v>
      </c>
      <c r="B3475" s="33">
        <v>5036</v>
      </c>
      <c r="C3475" s="3">
        <v>2820000</v>
      </c>
      <c r="D3475" s="3">
        <v>2820000</v>
      </c>
      <c r="E3475" s="7">
        <v>0</v>
      </c>
      <c r="F3475" s="5">
        <v>45960</v>
      </c>
      <c r="G3475" s="4">
        <v>20251029</v>
      </c>
      <c r="H3475" s="38" t="s">
        <v>24</v>
      </c>
      <c r="I3475" s="34" t="s">
        <v>9</v>
      </c>
      <c r="J3475" s="38" t="s">
        <v>419</v>
      </c>
    </row>
    <row r="3476" spans="1:11">
      <c r="A3476" s="32">
        <v>762</v>
      </c>
      <c r="B3476" s="33">
        <v>5181</v>
      </c>
      <c r="C3476" s="3">
        <v>1710000</v>
      </c>
      <c r="D3476" s="3">
        <v>1710000</v>
      </c>
      <c r="E3476" s="7">
        <v>0</v>
      </c>
      <c r="F3476" s="5">
        <v>45960</v>
      </c>
      <c r="G3476" s="4">
        <v>20251029</v>
      </c>
      <c r="H3476" s="38" t="s">
        <v>24</v>
      </c>
      <c r="I3476" s="34" t="s">
        <v>9</v>
      </c>
      <c r="J3476" s="38" t="s">
        <v>304</v>
      </c>
    </row>
    <row r="3477" spans="1:11">
      <c r="A3477" s="32">
        <v>236</v>
      </c>
      <c r="B3477" s="33">
        <v>6242</v>
      </c>
      <c r="C3477" s="3">
        <v>30000</v>
      </c>
      <c r="D3477" s="3">
        <v>30000</v>
      </c>
      <c r="E3477" s="7">
        <v>0</v>
      </c>
      <c r="F3477" s="5">
        <v>45960</v>
      </c>
      <c r="G3477" s="4">
        <v>20251029</v>
      </c>
      <c r="H3477" s="38" t="s">
        <v>24</v>
      </c>
      <c r="I3477" s="34" t="s">
        <v>9</v>
      </c>
      <c r="J3477" s="38" t="s">
        <v>578</v>
      </c>
    </row>
    <row r="3478" spans="1:11">
      <c r="A3478" s="32">
        <v>275</v>
      </c>
      <c r="B3478" s="33">
        <v>5034</v>
      </c>
      <c r="C3478" s="3">
        <v>408000</v>
      </c>
      <c r="D3478" s="3"/>
      <c r="E3478" s="7">
        <f t="shared" ref="E3478:E3541" si="79">+C3478-D3478</f>
        <v>408000</v>
      </c>
      <c r="F3478" s="5">
        <v>45902</v>
      </c>
      <c r="G3478" s="4">
        <v>20250901</v>
      </c>
      <c r="H3478" s="38" t="str">
        <f>VLOOKUP(B3478,CAJEROS!B:D,3,0)</f>
        <v>Multifuncional</v>
      </c>
      <c r="I3478" s="34"/>
      <c r="J3478" s="38" t="str">
        <f>VLOOKUP(B3478,CAJEROS!B:E,4,0)</f>
        <v>MF_BOUENVIG</v>
      </c>
      <c r="K3478" t="s">
        <v>579</v>
      </c>
    </row>
    <row r="3479" spans="1:11">
      <c r="A3479" s="32">
        <v>115</v>
      </c>
      <c r="B3479" s="33">
        <v>5080</v>
      </c>
      <c r="C3479" s="3">
        <v>5000</v>
      </c>
      <c r="D3479" s="3"/>
      <c r="E3479" s="7">
        <f t="shared" si="79"/>
        <v>5000</v>
      </c>
      <c r="F3479" s="5">
        <v>45902</v>
      </c>
      <c r="G3479" s="4">
        <v>20250901</v>
      </c>
      <c r="H3479" s="38" t="str">
        <f>VLOOKUP(B3479,CAJEROS!B:D,3,0)</f>
        <v>Multifuncional</v>
      </c>
      <c r="I3479" s="34"/>
      <c r="J3479" s="38" t="str">
        <f>VLOOKUP(B3479,CAJEROS!B:E,4,0)</f>
        <v>MF_CIPEREIR</v>
      </c>
      <c r="K3479" t="s">
        <v>579</v>
      </c>
    </row>
    <row r="3480" spans="1:11">
      <c r="A3480" s="32">
        <v>656</v>
      </c>
      <c r="B3480" s="33">
        <v>5103</v>
      </c>
      <c r="C3480" s="3">
        <v>110000</v>
      </c>
      <c r="D3480" s="3">
        <v>50000</v>
      </c>
      <c r="E3480" s="7">
        <f t="shared" si="79"/>
        <v>60000</v>
      </c>
      <c r="F3480" s="5">
        <v>45902</v>
      </c>
      <c r="G3480" s="4">
        <v>20250901</v>
      </c>
      <c r="H3480" s="38" t="str">
        <f>VLOOKUP(B3480,CAJEROS!B:D,3,0)</f>
        <v>Multifuncional</v>
      </c>
      <c r="I3480" s="34"/>
      <c r="J3480" s="38" t="str">
        <f>VLOOKUP(B3480,CAJEROS!B:E,4,0)</f>
        <v>MF_MAYPLAZA</v>
      </c>
      <c r="K3480" t="s">
        <v>579</v>
      </c>
    </row>
    <row r="3481" spans="1:11">
      <c r="A3481" s="32">
        <v>53</v>
      </c>
      <c r="B3481" s="33">
        <v>5141</v>
      </c>
      <c r="C3481" s="3">
        <v>10000</v>
      </c>
      <c r="D3481" s="3"/>
      <c r="E3481" s="7">
        <f t="shared" si="79"/>
        <v>10000</v>
      </c>
      <c r="F3481" s="5">
        <v>45902</v>
      </c>
      <c r="G3481" s="4">
        <v>20250901</v>
      </c>
      <c r="H3481" s="38" t="str">
        <f>VLOOKUP(B3481,CAJEROS!B:D,3,0)</f>
        <v>Multifuncional</v>
      </c>
      <c r="I3481" s="34"/>
      <c r="J3481" s="38" t="str">
        <f>VLOOKUP(B3481,CAJEROS!B:E,4,0)</f>
        <v>MF_CARRDECI</v>
      </c>
      <c r="K3481" t="s">
        <v>579</v>
      </c>
    </row>
    <row r="3482" spans="1:11">
      <c r="A3482" s="32">
        <v>358</v>
      </c>
      <c r="B3482" s="33">
        <v>5149</v>
      </c>
      <c r="C3482" s="3">
        <v>7461250</v>
      </c>
      <c r="D3482" s="3">
        <f>2960000+500000+2810000</f>
        <v>6270000</v>
      </c>
      <c r="E3482" s="7">
        <f t="shared" si="79"/>
        <v>1191250</v>
      </c>
      <c r="F3482" s="5">
        <v>45902</v>
      </c>
      <c r="G3482" s="4">
        <v>20250901</v>
      </c>
      <c r="H3482" s="38" t="str">
        <f>VLOOKUP(B3482,CAJEROS!B:D,3,0)</f>
        <v>Multifuncional</v>
      </c>
      <c r="I3482" s="34"/>
      <c r="J3482" s="38" t="str">
        <f>VLOOKUP(B3482,CAJEROS!B:E,4,0)</f>
        <v>MF_SOGAMOSO</v>
      </c>
      <c r="K3482" t="s">
        <v>579</v>
      </c>
    </row>
    <row r="3483" spans="1:11">
      <c r="A3483" s="32">
        <v>664</v>
      </c>
      <c r="B3483" s="33">
        <v>5191</v>
      </c>
      <c r="C3483" s="3">
        <v>34470750</v>
      </c>
      <c r="D3483" s="3">
        <v>10000000</v>
      </c>
      <c r="E3483" s="7">
        <f t="shared" si="79"/>
        <v>24470750</v>
      </c>
      <c r="F3483" s="5">
        <v>45902</v>
      </c>
      <c r="G3483" s="4">
        <v>20250901</v>
      </c>
      <c r="H3483" s="38" t="str">
        <f>VLOOKUP(B3483,CAJEROS!B:D,3,0)</f>
        <v>Multifuncional</v>
      </c>
      <c r="I3483" s="34"/>
      <c r="J3483" s="38" t="str">
        <f>VLOOKUP(B3483,CAJEROS!B:E,4,0)</f>
        <v>MF_CORABAST</v>
      </c>
      <c r="K3483" t="s">
        <v>579</v>
      </c>
    </row>
    <row r="3484" spans="1:11">
      <c r="A3484" s="32">
        <v>16</v>
      </c>
      <c r="B3484" s="33">
        <v>5219</v>
      </c>
      <c r="C3484" s="3">
        <v>11700100</v>
      </c>
      <c r="D3484" s="3"/>
      <c r="E3484" s="7">
        <f t="shared" si="79"/>
        <v>11700100</v>
      </c>
      <c r="F3484" s="5">
        <v>45902</v>
      </c>
      <c r="G3484" s="4">
        <v>20250901</v>
      </c>
      <c r="H3484" s="38" t="str">
        <f>VLOOKUP(B3484,CAJEROS!B:D,3,0)</f>
        <v>Multifuncional</v>
      </c>
      <c r="I3484" s="34"/>
      <c r="J3484" s="38" t="str">
        <f>VLOOKUP(B3484,CAJEROS!B:E,4,0)</f>
        <v>MF_AEOLAYA</v>
      </c>
      <c r="K3484" t="s">
        <v>579</v>
      </c>
    </row>
    <row r="3485" spans="1:11">
      <c r="A3485" s="32">
        <v>820</v>
      </c>
      <c r="B3485" s="33">
        <v>6174</v>
      </c>
      <c r="C3485" s="3">
        <v>100</v>
      </c>
      <c r="D3485" s="3"/>
      <c r="E3485" s="7">
        <f t="shared" si="79"/>
        <v>100</v>
      </c>
      <c r="F3485" s="5">
        <v>45902</v>
      </c>
      <c r="G3485" s="4">
        <v>20250901</v>
      </c>
      <c r="H3485" s="38" t="str">
        <f>VLOOKUP(B3485,CAJEROS!B:D,3,0)</f>
        <v>Multifuncional</v>
      </c>
      <c r="I3485" s="34"/>
      <c r="J3485" s="38" t="str">
        <f>VLOOKUP(B3485,CAJEROS!B:E,4,0)</f>
        <v>MF_AVCERO</v>
      </c>
      <c r="K3485" t="s">
        <v>579</v>
      </c>
    </row>
    <row r="3486" spans="1:11">
      <c r="A3486" s="32">
        <v>843</v>
      </c>
      <c r="B3486" s="33">
        <v>6716</v>
      </c>
      <c r="C3486" s="3">
        <v>3373300</v>
      </c>
      <c r="D3486" s="3"/>
      <c r="E3486" s="7">
        <f t="shared" si="79"/>
        <v>3373300</v>
      </c>
      <c r="F3486" s="5">
        <v>45902</v>
      </c>
      <c r="G3486" s="4">
        <v>20250901</v>
      </c>
      <c r="H3486" s="38" t="str">
        <f>VLOOKUP(B3486,CAJEROS!B:D,3,0)</f>
        <v>Multifuncional</v>
      </c>
      <c r="I3486" s="34"/>
      <c r="J3486" s="38" t="str">
        <f>VLOOKUP(B3486,CAJEROS!B:E,4,0)</f>
        <v>MF_CPBUENAV</v>
      </c>
      <c r="K3486" t="s">
        <v>579</v>
      </c>
    </row>
    <row r="3487" spans="1:11">
      <c r="A3487" s="32">
        <v>536</v>
      </c>
      <c r="B3487" s="33">
        <v>6927</v>
      </c>
      <c r="C3487" s="3">
        <v>9210000</v>
      </c>
      <c r="D3487" s="3">
        <v>6030550</v>
      </c>
      <c r="E3487" s="7">
        <f t="shared" si="79"/>
        <v>3179450</v>
      </c>
      <c r="F3487" s="5">
        <v>45902</v>
      </c>
      <c r="G3487" s="4">
        <v>20250901</v>
      </c>
      <c r="H3487" s="38" t="str">
        <f>VLOOKUP(B3487,CAJEROS!B:D,3,0)</f>
        <v>Multifuncional</v>
      </c>
      <c r="I3487" s="34"/>
      <c r="J3487" s="38" t="str">
        <f>VLOOKUP(B3487,CAJEROS!B:E,4,0)</f>
        <v>MF_QUIBDO</v>
      </c>
      <c r="K3487" t="s">
        <v>579</v>
      </c>
    </row>
    <row r="3488" spans="1:11">
      <c r="A3488" s="32">
        <v>651</v>
      </c>
      <c r="B3488" s="33">
        <v>7318</v>
      </c>
      <c r="C3488" s="3">
        <v>19000</v>
      </c>
      <c r="D3488" s="3"/>
      <c r="E3488" s="7">
        <f t="shared" si="79"/>
        <v>19000</v>
      </c>
      <c r="F3488" s="5">
        <v>45902</v>
      </c>
      <c r="G3488" s="4">
        <v>20250901</v>
      </c>
      <c r="H3488" s="38" t="str">
        <f>VLOOKUP(B3488,CAJEROS!B:D,3,0)</f>
        <v>Multifuncional</v>
      </c>
      <c r="I3488" s="34"/>
      <c r="J3488" s="38" t="str">
        <f>VLOOKUP(B3488,CAJEROS!B:E,4,0)</f>
        <v>MF_BARBOSA2</v>
      </c>
      <c r="K3488" t="s">
        <v>579</v>
      </c>
    </row>
    <row r="3489" spans="1:11">
      <c r="A3489" s="32">
        <v>33</v>
      </c>
      <c r="B3489" s="33">
        <v>8861</v>
      </c>
      <c r="C3489" s="3">
        <v>5000</v>
      </c>
      <c r="D3489" s="3"/>
      <c r="E3489" s="7">
        <f t="shared" si="79"/>
        <v>5000</v>
      </c>
      <c r="F3489" s="5">
        <v>45902</v>
      </c>
      <c r="G3489" s="4">
        <v>20250901</v>
      </c>
      <c r="H3489" s="38" t="str">
        <f>VLOOKUP(B3489,CAJEROS!B:D,3,0)</f>
        <v>Multifuncional</v>
      </c>
      <c r="I3489" s="34"/>
      <c r="J3489" s="38" t="str">
        <f>VLOOKUP(B3489,CAJEROS!B:E,4,0)</f>
        <v>MF_SPOLCLU1</v>
      </c>
      <c r="K3489" t="s">
        <v>579</v>
      </c>
    </row>
    <row r="3490" spans="1:11">
      <c r="A3490" s="32">
        <v>442</v>
      </c>
      <c r="B3490" s="33">
        <v>8887</v>
      </c>
      <c r="C3490" s="3">
        <v>838050</v>
      </c>
      <c r="D3490" s="3"/>
      <c r="E3490" s="7">
        <f t="shared" si="79"/>
        <v>838050</v>
      </c>
      <c r="F3490" s="5">
        <v>45902</v>
      </c>
      <c r="G3490" s="4">
        <v>20250901</v>
      </c>
      <c r="H3490" s="38" t="str">
        <f>VLOOKUP(B3490,CAJEROS!B:D,3,0)</f>
        <v>Multifuncional</v>
      </c>
      <c r="I3490" s="34"/>
      <c r="J3490" s="38" t="str">
        <f>VLOOKUP(B3490,CAJEROS!B:E,4,0)</f>
        <v>MFVIVABQUI1</v>
      </c>
      <c r="K3490" t="s">
        <v>579</v>
      </c>
    </row>
    <row r="3491" spans="1:11">
      <c r="A3491" s="32">
        <v>229</v>
      </c>
      <c r="B3491" s="33">
        <v>9605</v>
      </c>
      <c r="C3491" s="3">
        <v>20007100</v>
      </c>
      <c r="D3491" s="3">
        <v>19995000</v>
      </c>
      <c r="E3491" s="7">
        <f t="shared" si="79"/>
        <v>12100</v>
      </c>
      <c r="F3491" s="5">
        <v>45902</v>
      </c>
      <c r="G3491" s="4">
        <v>20250901</v>
      </c>
      <c r="H3491" s="38" t="str">
        <f>VLOOKUP(B3491,CAJEROS!B:D,3,0)</f>
        <v>Multifuncional</v>
      </c>
      <c r="I3491" s="34"/>
      <c r="J3491" s="38" t="str">
        <f>VLOOKUP(B3491,CAJEROS!B:E,4,0)</f>
        <v>MFSUCPASER2</v>
      </c>
      <c r="K3491" t="s">
        <v>579</v>
      </c>
    </row>
    <row r="3492" spans="1:11">
      <c r="A3492" s="32">
        <v>331</v>
      </c>
      <c r="B3492" s="33">
        <v>575</v>
      </c>
      <c r="C3492" s="3">
        <v>1439950</v>
      </c>
      <c r="D3492" s="3">
        <v>100000</v>
      </c>
      <c r="E3492" s="7">
        <f t="shared" si="79"/>
        <v>1339950</v>
      </c>
      <c r="F3492" s="5">
        <v>45902</v>
      </c>
      <c r="G3492" s="4">
        <v>20250901</v>
      </c>
      <c r="H3492" s="38" t="str">
        <f>VLOOKUP(B3492,CAJEROS!B:D,3,0)</f>
        <v>Multifuncional</v>
      </c>
      <c r="I3492" s="34" t="s">
        <v>9</v>
      </c>
      <c r="J3492" s="38" t="str">
        <f>VLOOKUP(B3492,CAJEROS!B:E,4,0)</f>
        <v>MF_SUCARKA2</v>
      </c>
      <c r="K3492" t="s">
        <v>579</v>
      </c>
    </row>
    <row r="3493" spans="1:11">
      <c r="A3493" s="32">
        <v>322</v>
      </c>
      <c r="B3493" s="33">
        <v>2444</v>
      </c>
      <c r="C3493" s="3">
        <v>90000</v>
      </c>
      <c r="D3493" s="3">
        <v>66650</v>
      </c>
      <c r="E3493" s="7">
        <f t="shared" si="79"/>
        <v>23350</v>
      </c>
      <c r="F3493" s="5">
        <v>45902</v>
      </c>
      <c r="G3493" s="4">
        <v>20250901</v>
      </c>
      <c r="H3493" s="38" t="str">
        <f>VLOOKUP(B3493,CAJEROS!B:D,3,0)</f>
        <v>Multifuncional</v>
      </c>
      <c r="I3493" s="34" t="s">
        <v>9</v>
      </c>
      <c r="J3493" s="38" t="str">
        <f>VLOOKUP(B3493,CAJEROS!B:E,4,0)</f>
        <v>MFSUCSNGIL1</v>
      </c>
      <c r="K3493" t="s">
        <v>579</v>
      </c>
    </row>
    <row r="3494" spans="1:11">
      <c r="A3494" s="32">
        <v>907</v>
      </c>
      <c r="B3494" s="33">
        <v>4830</v>
      </c>
      <c r="C3494" s="3">
        <v>810000</v>
      </c>
      <c r="D3494" s="3">
        <v>469950</v>
      </c>
      <c r="E3494" s="7">
        <f t="shared" si="79"/>
        <v>340050</v>
      </c>
      <c r="F3494" s="5">
        <v>45902</v>
      </c>
      <c r="G3494" s="4">
        <v>20250901</v>
      </c>
      <c r="H3494" s="38" t="str">
        <f>VLOOKUP(B3494,CAJEROS!B:D,3,0)</f>
        <v>Multifuncional</v>
      </c>
      <c r="I3494" s="34" t="s">
        <v>9</v>
      </c>
      <c r="J3494" s="38" t="str">
        <f>VLOOKUP(B3494,CAJEROS!B:E,4,0)</f>
        <v>MF_FRONTER2</v>
      </c>
      <c r="K3494" t="s">
        <v>579</v>
      </c>
    </row>
    <row r="3495" spans="1:11">
      <c r="A3495" s="32">
        <v>777</v>
      </c>
      <c r="B3495" s="33">
        <v>5009</v>
      </c>
      <c r="C3495" s="3">
        <v>1390000</v>
      </c>
      <c r="D3495" s="3"/>
      <c r="E3495" s="7">
        <f t="shared" si="79"/>
        <v>1390000</v>
      </c>
      <c r="F3495" s="5">
        <v>45902</v>
      </c>
      <c r="G3495" s="4">
        <v>20250901</v>
      </c>
      <c r="H3495" s="38" t="str">
        <f>VLOOKUP(B3495,CAJEROS!B:D,3,0)</f>
        <v>Multifuncional</v>
      </c>
      <c r="I3495" s="34" t="s">
        <v>9</v>
      </c>
      <c r="J3495" s="38" t="str">
        <f>VLOOKUP(B3495,CAJEROS!B:E,4,0)</f>
        <v>MF_PWASHING</v>
      </c>
      <c r="K3495" t="s">
        <v>579</v>
      </c>
    </row>
    <row r="3496" spans="1:11">
      <c r="A3496" s="32">
        <v>907</v>
      </c>
      <c r="B3496" s="33">
        <v>5019</v>
      </c>
      <c r="C3496" s="3">
        <v>2445700</v>
      </c>
      <c r="D3496" s="3">
        <v>2440000</v>
      </c>
      <c r="E3496" s="7">
        <f t="shared" si="79"/>
        <v>5700</v>
      </c>
      <c r="F3496" s="5">
        <v>45902</v>
      </c>
      <c r="G3496" s="4">
        <v>20250901</v>
      </c>
      <c r="H3496" s="38" t="str">
        <f>VLOOKUP(B3496,CAJEROS!B:D,3,0)</f>
        <v>Multifuncional</v>
      </c>
      <c r="I3496" s="34" t="s">
        <v>9</v>
      </c>
      <c r="J3496" s="38" t="str">
        <f>VLOOKUP(B3496,CAJEROS!B:E,4,0)</f>
        <v>MF_FRONTERA</v>
      </c>
      <c r="K3496" t="s">
        <v>579</v>
      </c>
    </row>
    <row r="3497" spans="1:11">
      <c r="A3497" s="32">
        <v>517</v>
      </c>
      <c r="B3497" s="33">
        <v>5053</v>
      </c>
      <c r="C3497" s="3">
        <v>1180000</v>
      </c>
      <c r="D3497" s="3"/>
      <c r="E3497" s="7">
        <f t="shared" si="79"/>
        <v>1180000</v>
      </c>
      <c r="F3497" s="5">
        <v>45902</v>
      </c>
      <c r="G3497" s="4">
        <v>20250901</v>
      </c>
      <c r="H3497" s="38" t="str">
        <f>VLOOKUP(B3497,CAJEROS!B:D,3,0)</f>
        <v>Multifuncional</v>
      </c>
      <c r="I3497" s="34" t="s">
        <v>9</v>
      </c>
      <c r="J3497" s="38" t="str">
        <f>VLOOKUP(B3497,CAJEROS!B:E,4,0)</f>
        <v>MF_RODADERO</v>
      </c>
      <c r="K3497" t="s">
        <v>579</v>
      </c>
    </row>
    <row r="3498" spans="1:11">
      <c r="A3498" s="32">
        <v>392</v>
      </c>
      <c r="B3498" s="33">
        <v>5064</v>
      </c>
      <c r="C3498" s="3">
        <v>635300</v>
      </c>
      <c r="D3498" s="3">
        <v>9650</v>
      </c>
      <c r="E3498" s="7">
        <f t="shared" si="79"/>
        <v>625650</v>
      </c>
      <c r="F3498" s="5">
        <v>45902</v>
      </c>
      <c r="G3498" s="4">
        <v>20250901</v>
      </c>
      <c r="H3498" s="38" t="str">
        <f>VLOOKUP(B3498,CAJEROS!B:D,3,0)</f>
        <v>Multifuncional</v>
      </c>
      <c r="I3498" s="34" t="s">
        <v>9</v>
      </c>
      <c r="J3498" s="38" t="str">
        <f>VLOOKUP(B3498,CAJEROS!B:E,4,0)</f>
        <v>MF_LADORADA</v>
      </c>
      <c r="K3498" t="s">
        <v>579</v>
      </c>
    </row>
    <row r="3499" spans="1:11">
      <c r="A3499" s="32">
        <v>73</v>
      </c>
      <c r="B3499" s="33">
        <v>5108</v>
      </c>
      <c r="C3499" s="3">
        <v>158000</v>
      </c>
      <c r="D3499" s="3">
        <v>150000</v>
      </c>
      <c r="E3499" s="7">
        <f t="shared" si="79"/>
        <v>8000</v>
      </c>
      <c r="F3499" s="5">
        <v>45902</v>
      </c>
      <c r="G3499" s="4">
        <v>20250901</v>
      </c>
      <c r="H3499" s="38" t="str">
        <f>VLOOKUP(B3499,CAJEROS!B:D,3,0)</f>
        <v>Multifuncional</v>
      </c>
      <c r="I3499" s="34" t="s">
        <v>9</v>
      </c>
      <c r="J3499" s="38" t="str">
        <f>VLOOKUP(B3499,CAJEROS!B:E,4,0)</f>
        <v>MF_PEREIRA</v>
      </c>
      <c r="K3499" t="s">
        <v>579</v>
      </c>
    </row>
    <row r="3500" spans="1:11">
      <c r="A3500" s="32">
        <v>76</v>
      </c>
      <c r="B3500" s="33">
        <v>5126</v>
      </c>
      <c r="C3500" s="3">
        <v>50000</v>
      </c>
      <c r="D3500" s="3"/>
      <c r="E3500" s="7">
        <f t="shared" si="79"/>
        <v>50000</v>
      </c>
      <c r="F3500" s="5">
        <v>45902</v>
      </c>
      <c r="G3500" s="4">
        <v>20250901</v>
      </c>
      <c r="H3500" s="38" t="str">
        <f>VLOOKUP(B3500,CAJEROS!B:D,3,0)</f>
        <v>Multifuncional</v>
      </c>
      <c r="I3500" s="34" t="s">
        <v>9</v>
      </c>
      <c r="J3500" s="38" t="str">
        <f>VLOOKUP(B3500,CAJEROS!B:E,4,0)</f>
        <v>MF_NEIVA</v>
      </c>
      <c r="K3500" t="s">
        <v>579</v>
      </c>
    </row>
    <row r="3501" spans="1:11">
      <c r="A3501" s="32">
        <v>750</v>
      </c>
      <c r="B3501" s="33">
        <v>5157</v>
      </c>
      <c r="C3501" s="3">
        <v>2222950</v>
      </c>
      <c r="D3501" s="3">
        <v>295000</v>
      </c>
      <c r="E3501" s="7">
        <f t="shared" si="79"/>
        <v>1927950</v>
      </c>
      <c r="F3501" s="5">
        <v>45902</v>
      </c>
      <c r="G3501" s="4">
        <v>20250901</v>
      </c>
      <c r="H3501" s="38" t="str">
        <f>VLOOKUP(B3501,CAJEROS!B:D,3,0)</f>
        <v>Multifuncional</v>
      </c>
      <c r="I3501" s="34" t="s">
        <v>9</v>
      </c>
      <c r="J3501" s="38" t="str">
        <f>VLOOKUP(B3501,CAJEROS!B:E,4,0)</f>
        <v>MF_AVROOSVL</v>
      </c>
      <c r="K3501" t="s">
        <v>579</v>
      </c>
    </row>
    <row r="3502" spans="1:11">
      <c r="A3502" s="32">
        <v>941</v>
      </c>
      <c r="B3502" s="33">
        <v>5220</v>
      </c>
      <c r="C3502" s="3">
        <v>399950</v>
      </c>
      <c r="D3502" s="3">
        <v>140000</v>
      </c>
      <c r="E3502" s="7">
        <f t="shared" si="79"/>
        <v>259950</v>
      </c>
      <c r="F3502" s="5">
        <v>45902</v>
      </c>
      <c r="G3502" s="4">
        <v>20250901</v>
      </c>
      <c r="H3502" s="38" t="str">
        <f>VLOOKUP(B3502,CAJEROS!B:D,3,0)</f>
        <v>Multifuncional</v>
      </c>
      <c r="I3502" s="34" t="s">
        <v>9</v>
      </c>
      <c r="J3502" s="38" t="str">
        <f>VLOOKUP(B3502,CAJEROS!B:E,4,0)</f>
        <v>MF_NEIVANVA</v>
      </c>
      <c r="K3502" t="s">
        <v>579</v>
      </c>
    </row>
    <row r="3503" spans="1:11">
      <c r="A3503" s="32">
        <v>625</v>
      </c>
      <c r="B3503" s="33">
        <v>6096</v>
      </c>
      <c r="C3503" s="3">
        <v>625000</v>
      </c>
      <c r="D3503" s="3">
        <v>570000</v>
      </c>
      <c r="E3503" s="7">
        <f t="shared" si="79"/>
        <v>55000</v>
      </c>
      <c r="F3503" s="5">
        <v>45902</v>
      </c>
      <c r="G3503" s="4">
        <v>20250901</v>
      </c>
      <c r="H3503" s="38" t="str">
        <f>VLOOKUP(B3503,CAJEROS!B:D,3,0)</f>
        <v>Multifuncional</v>
      </c>
      <c r="I3503" s="34" t="s">
        <v>9</v>
      </c>
      <c r="J3503" s="38" t="str">
        <f>VLOOKUP(B3503,CAJEROS!B:E,4,0)</f>
        <v>MF_BTRISTE</v>
      </c>
      <c r="K3503" t="s">
        <v>579</v>
      </c>
    </row>
    <row r="3504" spans="1:11">
      <c r="A3504" s="32">
        <v>690</v>
      </c>
      <c r="B3504" s="33">
        <v>6180</v>
      </c>
      <c r="C3504" s="3">
        <v>2030000</v>
      </c>
      <c r="D3504" s="3">
        <f>100000+1630000</f>
        <v>1730000</v>
      </c>
      <c r="E3504" s="7">
        <f t="shared" si="79"/>
        <v>300000</v>
      </c>
      <c r="F3504" s="5">
        <v>45902</v>
      </c>
      <c r="G3504" s="4">
        <v>20250901</v>
      </c>
      <c r="H3504" s="38" t="str">
        <f>VLOOKUP(B3504,CAJEROS!B:D,3,0)</f>
        <v>Multifuncional</v>
      </c>
      <c r="I3504" s="34" t="s">
        <v>9</v>
      </c>
      <c r="J3504" s="38" t="str">
        <f>VLOOKUP(B3504,CAJEROS!B:E,4,0)</f>
        <v>MF_HTQENDAM</v>
      </c>
      <c r="K3504" t="s">
        <v>579</v>
      </c>
    </row>
    <row r="3505" spans="1:11">
      <c r="A3505" s="32">
        <v>477</v>
      </c>
      <c r="B3505" s="33">
        <v>6251</v>
      </c>
      <c r="C3505" s="3">
        <v>1630000</v>
      </c>
      <c r="D3505" s="3">
        <v>205000</v>
      </c>
      <c r="E3505" s="7">
        <f t="shared" si="79"/>
        <v>1425000</v>
      </c>
      <c r="F3505" s="5">
        <v>45902</v>
      </c>
      <c r="G3505" s="4">
        <v>20250901</v>
      </c>
      <c r="H3505" s="38" t="str">
        <f>VLOOKUP(B3505,CAJEROS!B:D,3,0)</f>
        <v>Multifuncional</v>
      </c>
      <c r="I3505" s="34" t="s">
        <v>9</v>
      </c>
      <c r="J3505" s="38" t="str">
        <f>VLOOKUP(B3505,CAJEROS!B:E,4,0)</f>
        <v>MF_GRANCENT</v>
      </c>
      <c r="K3505" t="s">
        <v>579</v>
      </c>
    </row>
    <row r="3506" spans="1:11">
      <c r="A3506" s="32">
        <v>379</v>
      </c>
      <c r="B3506" s="33">
        <v>6465</v>
      </c>
      <c r="C3506" s="3">
        <v>3100000</v>
      </c>
      <c r="D3506" s="3">
        <v>3080000</v>
      </c>
      <c r="E3506" s="7">
        <f t="shared" si="79"/>
        <v>20000</v>
      </c>
      <c r="F3506" s="5">
        <v>45902</v>
      </c>
      <c r="G3506" s="4">
        <v>20250901</v>
      </c>
      <c r="H3506" s="38" t="str">
        <f>VLOOKUP(B3506,CAJEROS!B:D,3,0)</f>
        <v>Multifuncional</v>
      </c>
      <c r="I3506" s="34" t="s">
        <v>9</v>
      </c>
      <c r="J3506" s="38" t="str">
        <f>VLOOKUP(B3506,CAJEROS!B:E,4,0)</f>
        <v>MF_SUCTESO1</v>
      </c>
      <c r="K3506" t="s">
        <v>579</v>
      </c>
    </row>
    <row r="3507" spans="1:11">
      <c r="A3507" s="32">
        <v>237</v>
      </c>
      <c r="B3507" s="33">
        <v>6467</v>
      </c>
      <c r="C3507" s="3">
        <v>50000</v>
      </c>
      <c r="D3507" s="3"/>
      <c r="E3507" s="7">
        <f t="shared" si="79"/>
        <v>50000</v>
      </c>
      <c r="F3507" s="5">
        <v>45902</v>
      </c>
      <c r="G3507" s="4">
        <v>20250901</v>
      </c>
      <c r="H3507" s="38" t="str">
        <f>VLOOKUP(B3507,CAJEROS!B:D,3,0)</f>
        <v>Multifuncional</v>
      </c>
      <c r="I3507" s="34" t="s">
        <v>9</v>
      </c>
      <c r="J3507" s="38" t="str">
        <f>VLOOKUP(B3507,CAJEROS!B:E,4,0)</f>
        <v>MF_DORADOPL</v>
      </c>
      <c r="K3507" t="s">
        <v>579</v>
      </c>
    </row>
    <row r="3508" spans="1:11">
      <c r="A3508" s="32">
        <v>352</v>
      </c>
      <c r="B3508" s="33">
        <v>6618</v>
      </c>
      <c r="C3508" s="3">
        <v>880000</v>
      </c>
      <c r="D3508" s="3">
        <v>323000</v>
      </c>
      <c r="E3508" s="7">
        <f t="shared" si="79"/>
        <v>557000</v>
      </c>
      <c r="F3508" s="5">
        <v>45902</v>
      </c>
      <c r="G3508" s="4">
        <v>20250901</v>
      </c>
      <c r="H3508" s="38" t="str">
        <f>VLOOKUP(B3508,CAJEROS!B:D,3,0)</f>
        <v>Multifuncional</v>
      </c>
      <c r="I3508" s="34" t="s">
        <v>9</v>
      </c>
      <c r="J3508" s="38" t="str">
        <f>VLOOKUP(B3508,CAJEROS!B:E,4,0)</f>
        <v>MF_CHIQUINQ</v>
      </c>
      <c r="K3508" t="s">
        <v>579</v>
      </c>
    </row>
    <row r="3509" spans="1:11">
      <c r="A3509" s="32">
        <v>764</v>
      </c>
      <c r="B3509" s="33">
        <v>6715</v>
      </c>
      <c r="C3509" s="3">
        <v>131000</v>
      </c>
      <c r="D3509" s="3"/>
      <c r="E3509" s="7">
        <f t="shared" si="79"/>
        <v>131000</v>
      </c>
      <c r="F3509" s="5">
        <v>45902</v>
      </c>
      <c r="G3509" s="4">
        <v>20250901</v>
      </c>
      <c r="H3509" s="38" t="str">
        <f>VLOOKUP(B3509,CAJEROS!B:D,3,0)</f>
        <v>Multifuncional</v>
      </c>
      <c r="I3509" s="34" t="s">
        <v>9</v>
      </c>
      <c r="J3509" s="38" t="str">
        <f>VLOOKUP(B3509,CAJEROS!B:E,4,0)</f>
        <v>MF_JAMUNDI</v>
      </c>
      <c r="K3509" t="s">
        <v>579</v>
      </c>
    </row>
    <row r="3510" spans="1:11">
      <c r="A3510" s="32">
        <v>796</v>
      </c>
      <c r="B3510" s="33">
        <v>6911</v>
      </c>
      <c r="C3510" s="3">
        <v>2791400</v>
      </c>
      <c r="D3510" s="3">
        <v>2554800</v>
      </c>
      <c r="E3510" s="7">
        <f t="shared" si="79"/>
        <v>236600</v>
      </c>
      <c r="F3510" s="5">
        <v>45902</v>
      </c>
      <c r="G3510" s="4">
        <v>20250901</v>
      </c>
      <c r="H3510" s="38" t="str">
        <f>VLOOKUP(B3510,CAJEROS!B:D,3,0)</f>
        <v>Multifuncional</v>
      </c>
      <c r="I3510" s="34" t="s">
        <v>9</v>
      </c>
      <c r="J3510" s="38" t="str">
        <f>VLOOKUP(B3510,CAJEROS!B:E,4,0)</f>
        <v>MF_GIRON</v>
      </c>
      <c r="K3510" t="s">
        <v>579</v>
      </c>
    </row>
    <row r="3511" spans="1:11">
      <c r="A3511" s="32">
        <v>677</v>
      </c>
      <c r="B3511" s="33">
        <v>7124</v>
      </c>
      <c r="C3511" s="3">
        <v>1008000</v>
      </c>
      <c r="D3511" s="3">
        <v>635200</v>
      </c>
      <c r="E3511" s="7">
        <f t="shared" si="79"/>
        <v>372800</v>
      </c>
      <c r="F3511" s="5">
        <v>45902</v>
      </c>
      <c r="G3511" s="4">
        <v>20250901</v>
      </c>
      <c r="H3511" s="38" t="str">
        <f>VLOOKUP(B3511,CAJEROS!B:D,3,0)</f>
        <v>Multifuncional</v>
      </c>
      <c r="I3511" s="34" t="s">
        <v>9</v>
      </c>
      <c r="J3511" s="38" t="str">
        <f>VLOOKUP(B3511,CAJEROS!B:E,4,0)</f>
        <v>MF_PLMERMON</v>
      </c>
      <c r="K3511" t="s">
        <v>579</v>
      </c>
    </row>
    <row r="3512" spans="1:11">
      <c r="A3512" s="32">
        <v>332</v>
      </c>
      <c r="B3512" s="33">
        <v>7569</v>
      </c>
      <c r="C3512" s="3">
        <v>830000</v>
      </c>
      <c r="D3512" s="3"/>
      <c r="E3512" s="7">
        <f t="shared" si="79"/>
        <v>830000</v>
      </c>
      <c r="F3512" s="5">
        <v>45902</v>
      </c>
      <c r="G3512" s="4">
        <v>20250901</v>
      </c>
      <c r="H3512" s="38" t="str">
        <f>VLOOKUP(B3512,CAJEROS!B:D,3,0)</f>
        <v>Multifuncional</v>
      </c>
      <c r="I3512" s="34" t="s">
        <v>9</v>
      </c>
      <c r="J3512" s="38" t="str">
        <f>VLOOKUP(B3512,CAJEROS!B:E,4,0)</f>
        <v>MF_ZIPAQUI2</v>
      </c>
      <c r="K3512" t="s">
        <v>579</v>
      </c>
    </row>
    <row r="3513" spans="1:11">
      <c r="A3513" s="32">
        <v>569</v>
      </c>
      <c r="B3513" s="33">
        <v>8129</v>
      </c>
      <c r="C3513" s="3">
        <v>1847300</v>
      </c>
      <c r="D3513" s="3">
        <v>1223000</v>
      </c>
      <c r="E3513" s="7">
        <f t="shared" si="79"/>
        <v>624300</v>
      </c>
      <c r="F3513" s="5">
        <v>45902</v>
      </c>
      <c r="G3513" s="4">
        <v>20250901</v>
      </c>
      <c r="H3513" s="38" t="str">
        <f>VLOOKUP(B3513,CAJEROS!B:D,3,0)</f>
        <v>Multifuncional</v>
      </c>
      <c r="I3513" s="34" t="s">
        <v>9</v>
      </c>
      <c r="J3513" s="38" t="str">
        <f>VLOOKUP(B3513,CAJEROS!B:E,4,0)</f>
        <v>MF_BUENMON2</v>
      </c>
      <c r="K3513" t="s">
        <v>579</v>
      </c>
    </row>
    <row r="3514" spans="1:11">
      <c r="A3514" s="32">
        <v>721</v>
      </c>
      <c r="B3514" s="33">
        <v>8896</v>
      </c>
      <c r="C3514" s="3">
        <v>2450000</v>
      </c>
      <c r="D3514" s="3">
        <v>144500</v>
      </c>
      <c r="E3514" s="7">
        <f t="shared" si="79"/>
        <v>2305500</v>
      </c>
      <c r="F3514" s="5">
        <v>45902</v>
      </c>
      <c r="G3514" s="4">
        <v>20250901</v>
      </c>
      <c r="H3514" s="38" t="str">
        <f>VLOOKUP(B3514,CAJEROS!B:D,3,0)</f>
        <v>Multifuncional</v>
      </c>
      <c r="I3514" s="34" t="s">
        <v>9</v>
      </c>
      <c r="J3514" s="38" t="str">
        <f>VLOOKUP(B3514,CAJEROS!B:E,4,0)</f>
        <v>MFSUCLAGO1</v>
      </c>
      <c r="K3514" t="s">
        <v>579</v>
      </c>
    </row>
    <row r="3515" spans="1:11">
      <c r="A3515" s="32">
        <v>849</v>
      </c>
      <c r="B3515" s="33">
        <v>9725</v>
      </c>
      <c r="C3515" s="3">
        <v>1740000</v>
      </c>
      <c r="D3515" s="3">
        <v>210000</v>
      </c>
      <c r="E3515" s="7">
        <f t="shared" si="79"/>
        <v>1530000</v>
      </c>
      <c r="F3515" s="5">
        <v>45902</v>
      </c>
      <c r="G3515" s="4">
        <v>20250901</v>
      </c>
      <c r="H3515" s="38" t="str">
        <f>VLOOKUP(B3515,CAJEROS!B:D,3,0)</f>
        <v>Multifuncional</v>
      </c>
      <c r="I3515" s="34" t="s">
        <v>9</v>
      </c>
      <c r="J3515" s="38" t="str">
        <f>VLOOKUP(B3515,CAJEROS!B:E,4,0)</f>
        <v>MF_SUNIVIL2</v>
      </c>
      <c r="K3515" t="s">
        <v>579</v>
      </c>
    </row>
    <row r="3516" spans="1:11">
      <c r="A3516" s="32">
        <v>1</v>
      </c>
      <c r="B3516" s="33">
        <v>4959</v>
      </c>
      <c r="C3516" s="3">
        <v>300000</v>
      </c>
      <c r="D3516" s="3"/>
      <c r="E3516" s="7">
        <f t="shared" si="79"/>
        <v>300000</v>
      </c>
      <c r="F3516" s="5">
        <v>45902</v>
      </c>
      <c r="G3516" s="4">
        <v>20250901</v>
      </c>
      <c r="H3516" s="38" t="str">
        <f>VLOOKUP(B3516,CAJEROS!B:D,3,0)</f>
        <v>Dispensador</v>
      </c>
      <c r="I3516" s="34"/>
      <c r="J3516" s="38" t="str">
        <f>VLOOKUP(B3516,CAJEROS!B:E,4,0)</f>
        <v>SUC_CARABO2</v>
      </c>
      <c r="K3516" t="s">
        <v>579</v>
      </c>
    </row>
    <row r="3517" spans="1:11">
      <c r="A3517" s="32">
        <v>77</v>
      </c>
      <c r="B3517" s="33">
        <v>4853</v>
      </c>
      <c r="C3517" s="3">
        <v>50000</v>
      </c>
      <c r="D3517" s="3"/>
      <c r="E3517" s="7">
        <f t="shared" si="79"/>
        <v>50000</v>
      </c>
      <c r="F3517" s="5">
        <v>45902</v>
      </c>
      <c r="G3517" s="4">
        <v>20250901</v>
      </c>
      <c r="H3517" s="38" t="str">
        <f>VLOOKUP(B3517,CAJEROS!B:D,3,0)</f>
        <v>Dispensador</v>
      </c>
      <c r="I3517" s="34"/>
      <c r="J3517" s="38" t="str">
        <f>VLOOKUP(B3517,CAJEROS!B:E,4,0)</f>
        <v>SUC_TEQUEN1</v>
      </c>
      <c r="K3517" t="s">
        <v>579</v>
      </c>
    </row>
    <row r="3518" spans="1:11">
      <c r="A3518" s="32">
        <v>348</v>
      </c>
      <c r="B3518" s="33">
        <v>2990</v>
      </c>
      <c r="C3518" s="3">
        <v>20000</v>
      </c>
      <c r="D3518" s="3"/>
      <c r="E3518" s="7">
        <f t="shared" si="79"/>
        <v>20000</v>
      </c>
      <c r="F3518" s="5">
        <v>45902</v>
      </c>
      <c r="G3518" s="4">
        <v>20250901</v>
      </c>
      <c r="H3518" s="38" t="e">
        <f>VLOOKUP(B3518,CAJEROS!B:D,3,0)</f>
        <v>#N/A</v>
      </c>
      <c r="I3518" s="34"/>
      <c r="J3518" s="38" t="e">
        <f>VLOOKUP(B3518,CAJEROS!B:E,4,0)</f>
        <v>#N/A</v>
      </c>
      <c r="K3518" t="s">
        <v>579</v>
      </c>
    </row>
    <row r="3519" spans="1:11">
      <c r="A3519" s="32">
        <v>399</v>
      </c>
      <c r="B3519" s="33">
        <v>8441</v>
      </c>
      <c r="C3519" s="3">
        <v>100000</v>
      </c>
      <c r="D3519" s="3">
        <v>20000</v>
      </c>
      <c r="E3519" s="7">
        <f t="shared" si="79"/>
        <v>80000</v>
      </c>
      <c r="F3519" s="5">
        <v>45902</v>
      </c>
      <c r="G3519" s="4">
        <v>20250901</v>
      </c>
      <c r="H3519" s="38" t="str">
        <f>VLOOKUP(B3519,CAJEROS!B:D,3,0)</f>
        <v>Dispensador</v>
      </c>
      <c r="I3519" s="34"/>
      <c r="J3519" s="38" t="str">
        <f>VLOOKUP(B3519,CAJEROS!B:E,4,0)</f>
        <v>SUCGIRARDO2</v>
      </c>
      <c r="K3519" t="s">
        <v>579</v>
      </c>
    </row>
    <row r="3520" spans="1:11">
      <c r="A3520" s="32">
        <v>399</v>
      </c>
      <c r="B3520" s="33">
        <v>8442</v>
      </c>
      <c r="C3520" s="3">
        <v>2600000</v>
      </c>
      <c r="D3520" s="3"/>
      <c r="E3520" s="7">
        <f t="shared" si="79"/>
        <v>2600000</v>
      </c>
      <c r="F3520" s="5">
        <v>45902</v>
      </c>
      <c r="G3520" s="4">
        <v>20250901</v>
      </c>
      <c r="H3520" s="38" t="str">
        <f>VLOOKUP(B3520,CAJEROS!B:D,3,0)</f>
        <v>Dispensador</v>
      </c>
      <c r="I3520" s="34"/>
      <c r="J3520" s="38" t="str">
        <f>VLOOKUP(B3520,CAJEROS!B:E,4,0)</f>
        <v>SUCGIRARDO3</v>
      </c>
      <c r="K3520" t="s">
        <v>579</v>
      </c>
    </row>
    <row r="3521" spans="1:11">
      <c r="A3521" s="32">
        <v>453</v>
      </c>
      <c r="B3521" s="33">
        <v>8012</v>
      </c>
      <c r="C3521" s="3">
        <v>100000</v>
      </c>
      <c r="D3521" s="3">
        <v>30000</v>
      </c>
      <c r="E3521" s="7">
        <f t="shared" si="79"/>
        <v>70000</v>
      </c>
      <c r="F3521" s="5">
        <v>45902</v>
      </c>
      <c r="G3521" s="4">
        <v>20250901</v>
      </c>
      <c r="H3521" s="38" t="str">
        <f>VLOOKUP(B3521,CAJEROS!B:D,3,0)</f>
        <v>Dispensador</v>
      </c>
      <c r="I3521" s="34"/>
      <c r="J3521" s="38" t="str">
        <f>VLOOKUP(B3521,CAJEROS!B:E,4,0)</f>
        <v>SUCPITALTO1</v>
      </c>
      <c r="K3521" t="s">
        <v>579</v>
      </c>
    </row>
    <row r="3522" spans="1:11">
      <c r="A3522" s="32">
        <v>453</v>
      </c>
      <c r="B3522" s="33">
        <v>8014</v>
      </c>
      <c r="C3522" s="3">
        <v>600000</v>
      </c>
      <c r="D3522" s="3"/>
      <c r="E3522" s="7">
        <f t="shared" si="79"/>
        <v>600000</v>
      </c>
      <c r="F3522" s="5">
        <v>45902</v>
      </c>
      <c r="G3522" s="4">
        <v>20250901</v>
      </c>
      <c r="H3522" s="38" t="str">
        <f>VLOOKUP(B3522,CAJEROS!B:D,3,0)</f>
        <v>Dispensador</v>
      </c>
      <c r="I3522" s="34"/>
      <c r="J3522" s="38" t="str">
        <f>VLOOKUP(B3522,CAJEROS!B:E,4,0)</f>
        <v>SUCPITALTO3</v>
      </c>
      <c r="K3522" t="s">
        <v>579</v>
      </c>
    </row>
    <row r="3523" spans="1:11">
      <c r="A3523" s="32">
        <v>467</v>
      </c>
      <c r="B3523" s="33">
        <v>8911</v>
      </c>
      <c r="C3523" s="3">
        <v>850000</v>
      </c>
      <c r="D3523" s="3"/>
      <c r="E3523" s="7">
        <f t="shared" si="79"/>
        <v>850000</v>
      </c>
      <c r="F3523" s="5">
        <v>45902</v>
      </c>
      <c r="G3523" s="4">
        <v>20250901</v>
      </c>
      <c r="H3523" s="38" t="str">
        <f>VLOOKUP(B3523,CAJEROS!B:D,3,0)</f>
        <v>Dispensador</v>
      </c>
      <c r="I3523" s="34"/>
      <c r="J3523" s="38" t="str">
        <f>VLOOKUP(B3523,CAJEROS!B:E,4,0)</f>
        <v>HDIVERPLZ_1</v>
      </c>
      <c r="K3523" t="s">
        <v>579</v>
      </c>
    </row>
    <row r="3524" spans="1:11">
      <c r="A3524" s="32">
        <v>467</v>
      </c>
      <c r="B3524" s="33">
        <v>8912</v>
      </c>
      <c r="C3524" s="3">
        <v>300000</v>
      </c>
      <c r="D3524" s="3"/>
      <c r="E3524" s="7">
        <f t="shared" si="79"/>
        <v>300000</v>
      </c>
      <c r="F3524" s="5">
        <v>45902</v>
      </c>
      <c r="G3524" s="4">
        <v>20250901</v>
      </c>
      <c r="H3524" s="38" t="str">
        <f>VLOOKUP(B3524,CAJEROS!B:D,3,0)</f>
        <v>Dispensador</v>
      </c>
      <c r="I3524" s="34"/>
      <c r="J3524" s="38" t="str">
        <f>VLOOKUP(B3524,CAJEROS!B:E,4,0)</f>
        <v>HDIVERPLZ_2</v>
      </c>
      <c r="K3524" t="s">
        <v>579</v>
      </c>
    </row>
    <row r="3525" spans="1:11">
      <c r="A3525" s="32">
        <v>467</v>
      </c>
      <c r="B3525" s="33">
        <v>8916</v>
      </c>
      <c r="C3525" s="3">
        <v>1900000</v>
      </c>
      <c r="D3525" s="3"/>
      <c r="E3525" s="7">
        <f t="shared" si="79"/>
        <v>1900000</v>
      </c>
      <c r="F3525" s="5">
        <v>45902</v>
      </c>
      <c r="G3525" s="4">
        <v>20250901</v>
      </c>
      <c r="H3525" s="38" t="str">
        <f>VLOOKUP(B3525,CAJEROS!B:D,3,0)</f>
        <v>Dispensador</v>
      </c>
      <c r="I3525" s="34"/>
      <c r="J3525" s="38" t="str">
        <f>VLOOKUP(B3525,CAJEROS!B:E,4,0)</f>
        <v>HDIVERPLZ_6</v>
      </c>
      <c r="K3525" t="s">
        <v>579</v>
      </c>
    </row>
    <row r="3526" spans="1:11">
      <c r="A3526" s="32">
        <v>486</v>
      </c>
      <c r="B3526" s="33">
        <v>5748</v>
      </c>
      <c r="C3526" s="3">
        <v>50000</v>
      </c>
      <c r="D3526" s="3"/>
      <c r="E3526" s="7">
        <f t="shared" si="79"/>
        <v>50000</v>
      </c>
      <c r="F3526" s="5">
        <v>45902</v>
      </c>
      <c r="G3526" s="4">
        <v>20250901</v>
      </c>
      <c r="H3526" s="38" t="str">
        <f>VLOOKUP(B3526,CAJEROS!B:D,3,0)</f>
        <v>Dispensador</v>
      </c>
      <c r="I3526" s="34"/>
      <c r="J3526" s="38" t="str">
        <f>VLOOKUP(B3526,CAJEROS!B:E,4,0)</f>
        <v>SUC_SNICOL3</v>
      </c>
      <c r="K3526" t="s">
        <v>579</v>
      </c>
    </row>
    <row r="3527" spans="1:11">
      <c r="A3527" s="32">
        <v>516</v>
      </c>
      <c r="B3527" s="33">
        <v>9728</v>
      </c>
      <c r="C3527" s="3">
        <v>210000</v>
      </c>
      <c r="D3527" s="3">
        <v>200000</v>
      </c>
      <c r="E3527" s="7">
        <f t="shared" si="79"/>
        <v>10000</v>
      </c>
      <c r="F3527" s="5">
        <v>45902</v>
      </c>
      <c r="G3527" s="4">
        <v>20250901</v>
      </c>
      <c r="H3527" s="38" t="str">
        <f>VLOOKUP(B3527,CAJEROS!B:D,3,0)</f>
        <v>Dispensador</v>
      </c>
      <c r="I3527" s="34"/>
      <c r="J3527" s="38" t="str">
        <f>VLOOKUP(B3527,CAJEROS!B:E,4,0)</f>
        <v>SUCSTAMART3</v>
      </c>
      <c r="K3527" t="s">
        <v>579</v>
      </c>
    </row>
    <row r="3528" spans="1:11">
      <c r="A3528" s="32">
        <v>536</v>
      </c>
      <c r="B3528" s="33">
        <v>5362</v>
      </c>
      <c r="C3528" s="3">
        <v>20000</v>
      </c>
      <c r="D3528" s="3"/>
      <c r="E3528" s="7">
        <f t="shared" si="79"/>
        <v>20000</v>
      </c>
      <c r="F3528" s="5">
        <v>45902</v>
      </c>
      <c r="G3528" s="4">
        <v>20250901</v>
      </c>
      <c r="H3528" s="38" t="str">
        <f>VLOOKUP(B3528,CAJEROS!B:D,3,0)</f>
        <v>Dispensador</v>
      </c>
      <c r="I3528" s="34"/>
      <c r="J3528" s="38" t="str">
        <f>VLOOKUP(B3528,CAJEROS!B:E,4,0)</f>
        <v>QUIBDO_2</v>
      </c>
      <c r="K3528" t="s">
        <v>579</v>
      </c>
    </row>
    <row r="3529" spans="1:11">
      <c r="A3529" s="32">
        <v>536</v>
      </c>
      <c r="B3529" s="33">
        <v>6913</v>
      </c>
      <c r="C3529" s="3">
        <v>2700000</v>
      </c>
      <c r="D3529" s="3"/>
      <c r="E3529" s="7">
        <f t="shared" si="79"/>
        <v>2700000</v>
      </c>
      <c r="F3529" s="5">
        <v>45902</v>
      </c>
      <c r="G3529" s="4">
        <v>20250901</v>
      </c>
      <c r="H3529" s="38" t="str">
        <f>VLOOKUP(B3529,CAJEROS!B:D,3,0)</f>
        <v>Dispensador</v>
      </c>
      <c r="I3529" s="34"/>
      <c r="J3529" s="38" t="str">
        <f>VLOOKUP(B3529,CAJEROS!B:E,4,0)</f>
        <v>SUC_QUIBDO5</v>
      </c>
      <c r="K3529" t="s">
        <v>579</v>
      </c>
    </row>
    <row r="3530" spans="1:11">
      <c r="A3530" s="32">
        <v>651</v>
      </c>
      <c r="B3530" s="33">
        <v>6511</v>
      </c>
      <c r="C3530" s="3">
        <v>2680000</v>
      </c>
      <c r="D3530" s="3"/>
      <c r="E3530" s="7">
        <f t="shared" si="79"/>
        <v>2680000</v>
      </c>
      <c r="F3530" s="5">
        <v>45902</v>
      </c>
      <c r="G3530" s="4">
        <v>20250901</v>
      </c>
      <c r="H3530" s="38" t="str">
        <f>VLOOKUP(B3530,CAJEROS!B:D,3,0)</f>
        <v>Dispensador</v>
      </c>
      <c r="I3530" s="34"/>
      <c r="J3530" s="38" t="str">
        <f>VLOOKUP(B3530,CAJEROS!B:E,4,0)</f>
        <v>BARBOSA</v>
      </c>
      <c r="K3530" t="s">
        <v>579</v>
      </c>
    </row>
    <row r="3531" spans="1:11">
      <c r="A3531" s="32">
        <v>795</v>
      </c>
      <c r="B3531" s="33">
        <v>1023</v>
      </c>
      <c r="C3531" s="3">
        <v>250000</v>
      </c>
      <c r="D3531" s="3"/>
      <c r="E3531" s="7">
        <f t="shared" si="79"/>
        <v>250000</v>
      </c>
      <c r="F3531" s="5">
        <v>45902</v>
      </c>
      <c r="G3531" s="4">
        <v>20250901</v>
      </c>
      <c r="H3531" s="38" t="str">
        <f>VLOOKUP(B3531,CAJEROS!B:D,3,0)</f>
        <v>Dispensador</v>
      </c>
      <c r="I3531" s="34"/>
      <c r="J3531" s="38" t="str">
        <f>VLOOKUP(B3531,CAJEROS!B:E,4,0)</f>
        <v>SUCANAVERA3</v>
      </c>
      <c r="K3531" t="s">
        <v>579</v>
      </c>
    </row>
    <row r="3532" spans="1:11">
      <c r="A3532" s="32">
        <v>847</v>
      </c>
      <c r="B3532" s="33">
        <v>4386</v>
      </c>
      <c r="C3532" s="3">
        <v>1460000</v>
      </c>
      <c r="D3532" s="3"/>
      <c r="E3532" s="7">
        <f t="shared" si="79"/>
        <v>1460000</v>
      </c>
      <c r="F3532" s="5">
        <v>45902</v>
      </c>
      <c r="G3532" s="4">
        <v>20250901</v>
      </c>
      <c r="H3532" s="38" t="str">
        <f>VLOOKUP(B3532,CAJEROS!B:D,3,0)</f>
        <v>Dispensador</v>
      </c>
      <c r="I3532" s="34"/>
      <c r="J3532" s="38" t="str">
        <f>VLOOKUP(B3532,CAJEROS!B:E,4,0)</f>
        <v>SUC_PFLORE1</v>
      </c>
      <c r="K3532" t="s">
        <v>579</v>
      </c>
    </row>
    <row r="3533" spans="1:11">
      <c r="A3533" s="32">
        <v>892</v>
      </c>
      <c r="B3533" s="33">
        <v>8921</v>
      </c>
      <c r="C3533" s="3">
        <v>300000</v>
      </c>
      <c r="D3533" s="3"/>
      <c r="E3533" s="7">
        <f t="shared" si="79"/>
        <v>300000</v>
      </c>
      <c r="F3533" s="5">
        <v>45902</v>
      </c>
      <c r="G3533" s="4">
        <v>20250901</v>
      </c>
      <c r="H3533" s="38" t="str">
        <f>VLOOKUP(B3533,CAJEROS!B:D,3,0)</f>
        <v>Dispensador</v>
      </c>
      <c r="I3533" s="34"/>
      <c r="J3533" s="38" t="str">
        <f>VLOOKUP(B3533,CAJEROS!B:E,4,0)</f>
        <v>LAVEGA_2</v>
      </c>
      <c r="K3533" t="s">
        <v>579</v>
      </c>
    </row>
    <row r="3534" spans="1:11">
      <c r="A3534" s="32">
        <v>992</v>
      </c>
      <c r="B3534" s="33">
        <v>3492</v>
      </c>
      <c r="C3534" s="3">
        <v>460000</v>
      </c>
      <c r="D3534" s="3"/>
      <c r="E3534" s="7">
        <f t="shared" si="79"/>
        <v>460000</v>
      </c>
      <c r="F3534" s="5">
        <v>45902</v>
      </c>
      <c r="G3534" s="4">
        <v>20250901</v>
      </c>
      <c r="H3534" s="38" t="str">
        <f>VLOOKUP(B3534,CAJEROS!B:D,3,0)</f>
        <v>Dispensador</v>
      </c>
      <c r="I3534" s="34"/>
      <c r="J3534" s="38" t="str">
        <f>VLOOKUP(B3534,CAJEROS!B:E,4,0)</f>
        <v>GUACHENE</v>
      </c>
      <c r="K3534" t="s">
        <v>579</v>
      </c>
    </row>
    <row r="3535" spans="1:11">
      <c r="A3535" s="32">
        <v>38</v>
      </c>
      <c r="B3535" s="33">
        <v>6553</v>
      </c>
      <c r="C3535" s="3">
        <v>640000</v>
      </c>
      <c r="D3535" s="3"/>
      <c r="E3535" s="7">
        <f t="shared" si="79"/>
        <v>640000</v>
      </c>
      <c r="F3535" s="5">
        <v>45902</v>
      </c>
      <c r="G3535" s="4">
        <v>20250901</v>
      </c>
      <c r="H3535" s="38" t="str">
        <f>VLOOKUP(B3535,CAJEROS!B:D,3,0)</f>
        <v>Dispensador</v>
      </c>
      <c r="I3535" s="34" t="s">
        <v>9</v>
      </c>
      <c r="J3535" s="38" t="str">
        <f>VLOOKUP(B3535,CAJEROS!B:E,4,0)</f>
        <v>PAIPA1</v>
      </c>
      <c r="K3535" t="s">
        <v>579</v>
      </c>
    </row>
    <row r="3536" spans="1:11">
      <c r="A3536" s="32">
        <v>93</v>
      </c>
      <c r="B3536" s="33">
        <v>931</v>
      </c>
      <c r="C3536" s="3">
        <v>500000</v>
      </c>
      <c r="D3536" s="3">
        <v>150000</v>
      </c>
      <c r="E3536" s="7">
        <f t="shared" si="79"/>
        <v>350000</v>
      </c>
      <c r="F3536" s="5">
        <v>45902</v>
      </c>
      <c r="G3536" s="4">
        <v>20250901</v>
      </c>
      <c r="H3536" s="38" t="str">
        <f>VLOOKUP(B3536,CAJEROS!B:D,3,0)</f>
        <v>Dispensador</v>
      </c>
      <c r="I3536" s="34" t="s">
        <v>9</v>
      </c>
      <c r="J3536" s="38" t="str">
        <f>VLOOKUP(B3536,CAJEROS!B:E,4,0)</f>
        <v>SAHAGUN2</v>
      </c>
      <c r="K3536" t="s">
        <v>579</v>
      </c>
    </row>
    <row r="3537" spans="1:11">
      <c r="A3537" s="32">
        <v>101</v>
      </c>
      <c r="B3537" s="33">
        <v>4867</v>
      </c>
      <c r="C3537" s="3">
        <v>400000</v>
      </c>
      <c r="D3537" s="3"/>
      <c r="E3537" s="7">
        <f t="shared" si="79"/>
        <v>400000</v>
      </c>
      <c r="F3537" s="5">
        <v>45902</v>
      </c>
      <c r="G3537" s="4">
        <v>20250901</v>
      </c>
      <c r="H3537" s="38" t="str">
        <f>VLOOKUP(B3537,CAJEROS!B:D,3,0)</f>
        <v>Dispensador</v>
      </c>
      <c r="I3537" s="34" t="s">
        <v>9</v>
      </c>
      <c r="J3537" s="38" t="str">
        <f>VLOOKUP(B3537,CAJEROS!B:E,4,0)</f>
        <v>SUC_MDRIVE3</v>
      </c>
      <c r="K3537" t="s">
        <v>579</v>
      </c>
    </row>
    <row r="3538" spans="1:11">
      <c r="A3538" s="32">
        <v>153</v>
      </c>
      <c r="B3538" s="33">
        <v>9882</v>
      </c>
      <c r="C3538" s="3">
        <v>220000</v>
      </c>
      <c r="D3538" s="3"/>
      <c r="E3538" s="7">
        <f t="shared" si="79"/>
        <v>220000</v>
      </c>
      <c r="F3538" s="5">
        <v>45902</v>
      </c>
      <c r="G3538" s="4">
        <v>20250901</v>
      </c>
      <c r="H3538" s="38" t="str">
        <f>VLOOKUP(B3538,CAJEROS!B:D,3,0)</f>
        <v>Dispensador</v>
      </c>
      <c r="I3538" s="34" t="s">
        <v>9</v>
      </c>
      <c r="J3538" s="38" t="str">
        <f>VLOOKUP(B3538,CAJEROS!B:E,4,0)</f>
        <v>EXITOIBAG_4</v>
      </c>
      <c r="K3538" t="s">
        <v>579</v>
      </c>
    </row>
    <row r="3539" spans="1:11">
      <c r="A3539" s="32">
        <v>163</v>
      </c>
      <c r="B3539" s="33">
        <v>5553</v>
      </c>
      <c r="C3539" s="3">
        <v>40000</v>
      </c>
      <c r="D3539" s="3">
        <v>30000</v>
      </c>
      <c r="E3539" s="7">
        <f t="shared" si="79"/>
        <v>10000</v>
      </c>
      <c r="F3539" s="5">
        <v>45902</v>
      </c>
      <c r="G3539" s="4">
        <v>20250901</v>
      </c>
      <c r="H3539" s="38" t="str">
        <f>VLOOKUP(B3539,CAJEROS!B:D,3,0)</f>
        <v>Dispensador</v>
      </c>
      <c r="I3539" s="34" t="s">
        <v>9</v>
      </c>
      <c r="J3539" s="38" t="str">
        <f>VLOOKUP(B3539,CAJEROS!B:E,4,0)</f>
        <v>PTO_BERRIO1</v>
      </c>
      <c r="K3539" t="s">
        <v>579</v>
      </c>
    </row>
    <row r="3540" spans="1:11">
      <c r="A3540" s="32">
        <v>250</v>
      </c>
      <c r="B3540" s="33">
        <v>5386</v>
      </c>
      <c r="C3540" s="3">
        <v>180000</v>
      </c>
      <c r="D3540" s="3"/>
      <c r="E3540" s="7">
        <f t="shared" si="79"/>
        <v>180000</v>
      </c>
      <c r="F3540" s="5">
        <v>45902</v>
      </c>
      <c r="G3540" s="4">
        <v>20250901</v>
      </c>
      <c r="H3540" s="38" t="str">
        <f>VLOOKUP(B3540,CAJEROS!B:D,3,0)</f>
        <v>Dispensador</v>
      </c>
      <c r="I3540" s="34" t="s">
        <v>9</v>
      </c>
      <c r="J3540" s="38" t="str">
        <f>VLOOKUP(B3540,CAJEROS!B:E,4,0)</f>
        <v>SUCMODE1</v>
      </c>
      <c r="K3540" t="s">
        <v>579</v>
      </c>
    </row>
    <row r="3541" spans="1:11">
      <c r="A3541" s="32">
        <v>322</v>
      </c>
      <c r="B3541" s="33">
        <v>2441</v>
      </c>
      <c r="C3541" s="3">
        <v>110000</v>
      </c>
      <c r="D3541" s="3"/>
      <c r="E3541" s="7">
        <f t="shared" si="79"/>
        <v>110000</v>
      </c>
      <c r="F3541" s="5">
        <v>45902</v>
      </c>
      <c r="G3541" s="4">
        <v>20250901</v>
      </c>
      <c r="H3541" s="38" t="str">
        <f>VLOOKUP(B3541,CAJEROS!B:D,3,0)</f>
        <v>Dispensador</v>
      </c>
      <c r="I3541" s="34" t="s">
        <v>9</v>
      </c>
      <c r="J3541" s="38" t="str">
        <f>VLOOKUP(B3541,CAJEROS!B:E,4,0)</f>
        <v>SUCSANGIL1</v>
      </c>
      <c r="K3541" t="s">
        <v>579</v>
      </c>
    </row>
    <row r="3542" spans="1:11">
      <c r="A3542" s="32">
        <v>335</v>
      </c>
      <c r="B3542" s="33">
        <v>5741</v>
      </c>
      <c r="C3542" s="3">
        <v>1070000</v>
      </c>
      <c r="D3542" s="3">
        <v>1020000</v>
      </c>
      <c r="E3542" s="7">
        <f t="shared" ref="E3542:E3605" si="80">+C3542-D3542</f>
        <v>50000</v>
      </c>
      <c r="F3542" s="5">
        <v>45902</v>
      </c>
      <c r="G3542" s="4">
        <v>20250901</v>
      </c>
      <c r="H3542" s="38" t="str">
        <f>VLOOKUP(B3542,CAJEROS!B:D,3,0)</f>
        <v>Dispensador</v>
      </c>
      <c r="I3542" s="34" t="s">
        <v>9</v>
      </c>
      <c r="J3542" s="38" t="str">
        <f>VLOOKUP(B3542,CAJEROS!B:E,4,0)</f>
        <v>SUC_CAJICA5</v>
      </c>
      <c r="K3542" t="s">
        <v>579</v>
      </c>
    </row>
    <row r="3543" spans="1:11">
      <c r="A3543" s="32">
        <v>347</v>
      </c>
      <c r="B3543" s="33">
        <v>4782</v>
      </c>
      <c r="C3543" s="3">
        <v>50000</v>
      </c>
      <c r="D3543" s="3"/>
      <c r="E3543" s="7">
        <f t="shared" si="80"/>
        <v>50000</v>
      </c>
      <c r="F3543" s="5">
        <v>45902</v>
      </c>
      <c r="G3543" s="4">
        <v>20250901</v>
      </c>
      <c r="H3543" s="38" t="str">
        <f>VLOOKUP(B3543,CAJEROS!B:D,3,0)</f>
        <v>Dispensador</v>
      </c>
      <c r="I3543" s="34" t="s">
        <v>9</v>
      </c>
      <c r="J3543" s="38" t="str">
        <f>VLOOKUP(B3543,CAJEROS!B:E,4,0)</f>
        <v>SUC_MANRIQ1</v>
      </c>
      <c r="K3543" t="s">
        <v>579</v>
      </c>
    </row>
    <row r="3544" spans="1:11">
      <c r="A3544" s="32">
        <v>348</v>
      </c>
      <c r="B3544" s="33">
        <v>5649</v>
      </c>
      <c r="C3544" s="3">
        <v>220000</v>
      </c>
      <c r="D3544" s="3">
        <v>180000</v>
      </c>
      <c r="E3544" s="7">
        <f t="shared" si="80"/>
        <v>40000</v>
      </c>
      <c r="F3544" s="5">
        <v>45902</v>
      </c>
      <c r="G3544" s="4">
        <v>20250901</v>
      </c>
      <c r="H3544" s="38" t="str">
        <f>VLOOKUP(B3544,CAJEROS!B:D,3,0)</f>
        <v>Dispensador</v>
      </c>
      <c r="I3544" s="34" t="s">
        <v>9</v>
      </c>
      <c r="J3544" s="38" t="str">
        <f>VLOOKUP(B3544,CAJEROS!B:E,4,0)</f>
        <v>SUCSANDRES5</v>
      </c>
      <c r="K3544" t="s">
        <v>579</v>
      </c>
    </row>
    <row r="3545" spans="1:11">
      <c r="A3545" s="32">
        <v>368</v>
      </c>
      <c r="B3545" s="33">
        <v>6775</v>
      </c>
      <c r="C3545" s="3">
        <v>50000</v>
      </c>
      <c r="D3545" s="3"/>
      <c r="E3545" s="7">
        <f t="shared" si="80"/>
        <v>50000</v>
      </c>
      <c r="F3545" s="5">
        <v>45902</v>
      </c>
      <c r="G3545" s="4">
        <v>20250901</v>
      </c>
      <c r="H3545" s="38" t="str">
        <f>VLOOKUP(B3545,CAJEROS!B:D,3,0)</f>
        <v>Dispensador</v>
      </c>
      <c r="I3545" s="34" t="s">
        <v>9</v>
      </c>
      <c r="J3545" s="38" t="str">
        <f>VLOOKUP(B3545,CAJEROS!B:E,4,0)</f>
        <v>SUC_SUPIA_2</v>
      </c>
      <c r="K3545" t="s">
        <v>579</v>
      </c>
    </row>
    <row r="3546" spans="1:11">
      <c r="A3546" s="32">
        <v>389</v>
      </c>
      <c r="B3546" s="33">
        <v>4690</v>
      </c>
      <c r="C3546" s="3">
        <v>680000</v>
      </c>
      <c r="D3546" s="3">
        <v>580000</v>
      </c>
      <c r="E3546" s="7">
        <f t="shared" si="80"/>
        <v>100000</v>
      </c>
      <c r="F3546" s="5">
        <v>45902</v>
      </c>
      <c r="G3546" s="4">
        <v>20250901</v>
      </c>
      <c r="H3546" s="38" t="str">
        <f>VLOOKUP(B3546,CAJEROS!B:D,3,0)</f>
        <v>Dispensador</v>
      </c>
      <c r="I3546" s="34" t="s">
        <v>9</v>
      </c>
      <c r="J3546" s="38" t="str">
        <f>VLOOKUP(B3546,CAJEROS!B:E,4,0)</f>
        <v>SUC_MARIQ4</v>
      </c>
      <c r="K3546" t="s">
        <v>579</v>
      </c>
    </row>
    <row r="3547" spans="1:11">
      <c r="A3547" s="32">
        <v>466</v>
      </c>
      <c r="B3547" s="33">
        <v>6777</v>
      </c>
      <c r="C3547" s="3">
        <v>400000</v>
      </c>
      <c r="D3547" s="3"/>
      <c r="E3547" s="7">
        <f t="shared" si="80"/>
        <v>400000</v>
      </c>
      <c r="F3547" s="5">
        <v>45902</v>
      </c>
      <c r="G3547" s="4">
        <v>20250901</v>
      </c>
      <c r="H3547" s="38" t="str">
        <f>VLOOKUP(B3547,CAJEROS!B:D,3,0)</f>
        <v>Dispensador</v>
      </c>
      <c r="I3547" s="34" t="s">
        <v>9</v>
      </c>
      <c r="J3547" s="38" t="str">
        <f>VLOOKUP(B3547,CAJEROS!B:E,4,0)</f>
        <v>SUCFLOREN_2</v>
      </c>
      <c r="K3547" t="s">
        <v>579</v>
      </c>
    </row>
    <row r="3548" spans="1:11">
      <c r="A3548" s="32">
        <v>481</v>
      </c>
      <c r="B3548" s="33">
        <v>1008</v>
      </c>
      <c r="C3548" s="3">
        <v>450000</v>
      </c>
      <c r="D3548" s="3">
        <v>280000</v>
      </c>
      <c r="E3548" s="7">
        <f t="shared" si="80"/>
        <v>170000</v>
      </c>
      <c r="F3548" s="5">
        <v>45902</v>
      </c>
      <c r="G3548" s="4">
        <v>20250901</v>
      </c>
      <c r="H3548" s="38" t="str">
        <f>VLOOKUP(B3548,CAJEROS!B:D,3,0)</f>
        <v>Dispensador</v>
      </c>
      <c r="I3548" s="34" t="s">
        <v>9</v>
      </c>
      <c r="J3548" s="38" t="str">
        <f>VLOOKUP(B3548,CAJEROS!B:E,4,0)</f>
        <v>SUC_SOLEDA4</v>
      </c>
      <c r="K3548" t="s">
        <v>579</v>
      </c>
    </row>
    <row r="3549" spans="1:11">
      <c r="A3549" s="32">
        <v>486</v>
      </c>
      <c r="B3549" s="33">
        <v>5745</v>
      </c>
      <c r="C3549" s="3">
        <v>120000</v>
      </c>
      <c r="D3549" s="3"/>
      <c r="E3549" s="7">
        <f t="shared" si="80"/>
        <v>120000</v>
      </c>
      <c r="F3549" s="5">
        <v>45902</v>
      </c>
      <c r="G3549" s="4">
        <v>20250901</v>
      </c>
      <c r="H3549" s="38" t="str">
        <f>VLOOKUP(B3549,CAJEROS!B:D,3,0)</f>
        <v>Dispensador</v>
      </c>
      <c r="I3549" s="34" t="s">
        <v>9</v>
      </c>
      <c r="J3549" s="38" t="str">
        <f>VLOOKUP(B3549,CAJEROS!B:E,4,0)</f>
        <v>SUC_SNICOL2</v>
      </c>
      <c r="K3549" t="s">
        <v>579</v>
      </c>
    </row>
    <row r="3550" spans="1:11">
      <c r="A3550" s="32">
        <v>502</v>
      </c>
      <c r="B3550" s="33">
        <v>4626</v>
      </c>
      <c r="C3550" s="3">
        <v>320000</v>
      </c>
      <c r="D3550" s="3">
        <v>300000</v>
      </c>
      <c r="E3550" s="7">
        <f t="shared" si="80"/>
        <v>20000</v>
      </c>
      <c r="F3550" s="5">
        <v>45902</v>
      </c>
      <c r="G3550" s="4">
        <v>20250901</v>
      </c>
      <c r="H3550" s="38" t="str">
        <f>VLOOKUP(B3550,CAJEROS!B:D,3,0)</f>
        <v>Dispensador</v>
      </c>
      <c r="I3550" s="34" t="s">
        <v>9</v>
      </c>
      <c r="J3550" s="38" t="str">
        <f>VLOOKUP(B3550,CAJEROS!B:E,4,0)</f>
        <v>SUC_LEYVA2</v>
      </c>
      <c r="K3550" t="s">
        <v>579</v>
      </c>
    </row>
    <row r="3551" spans="1:11">
      <c r="A3551" s="32">
        <v>503</v>
      </c>
      <c r="B3551" s="33">
        <v>5031</v>
      </c>
      <c r="C3551" s="3">
        <v>410000</v>
      </c>
      <c r="D3551" s="3">
        <v>300000</v>
      </c>
      <c r="E3551" s="7">
        <f t="shared" si="80"/>
        <v>110000</v>
      </c>
      <c r="F3551" s="5">
        <v>45902</v>
      </c>
      <c r="G3551" s="4">
        <v>20250901</v>
      </c>
      <c r="H3551" s="38" t="str">
        <f>VLOOKUP(B3551,CAJEROS!B:D,3,0)</f>
        <v>Dispensador</v>
      </c>
      <c r="I3551" s="34" t="s">
        <v>9</v>
      </c>
      <c r="J3551" s="38" t="str">
        <f>VLOOKUP(B3551,CAJEROS!B:E,4,0)</f>
        <v>YARUMAL1</v>
      </c>
      <c r="K3551" t="s">
        <v>579</v>
      </c>
    </row>
    <row r="3552" spans="1:11">
      <c r="A3552" s="32">
        <v>503</v>
      </c>
      <c r="B3552" s="33">
        <v>5032</v>
      </c>
      <c r="C3552" s="3">
        <v>1000000</v>
      </c>
      <c r="D3552" s="3"/>
      <c r="E3552" s="7">
        <f t="shared" si="80"/>
        <v>1000000</v>
      </c>
      <c r="F3552" s="5">
        <v>45902</v>
      </c>
      <c r="G3552" s="4">
        <v>20250901</v>
      </c>
      <c r="H3552" s="38" t="str">
        <f>VLOOKUP(B3552,CAJEROS!B:D,3,0)</f>
        <v>Dispensador</v>
      </c>
      <c r="I3552" s="34" t="s">
        <v>9</v>
      </c>
      <c r="J3552" s="38" t="str">
        <f>VLOOKUP(B3552,CAJEROS!B:E,4,0)</f>
        <v>YARUMAL2</v>
      </c>
      <c r="K3552" t="s">
        <v>579</v>
      </c>
    </row>
    <row r="3553" spans="1:11">
      <c r="A3553" s="32">
        <v>523</v>
      </c>
      <c r="B3553" s="33">
        <v>3975</v>
      </c>
      <c r="C3553" s="3">
        <v>40000</v>
      </c>
      <c r="D3553" s="3"/>
      <c r="E3553" s="7">
        <f t="shared" si="80"/>
        <v>40000</v>
      </c>
      <c r="F3553" s="5">
        <v>45902</v>
      </c>
      <c r="G3553" s="4">
        <v>20250901</v>
      </c>
      <c r="H3553" s="38" t="str">
        <f>VLOOKUP(B3553,CAJEROS!B:D,3,0)</f>
        <v>Dispensador</v>
      </c>
      <c r="I3553" s="34" t="s">
        <v>9</v>
      </c>
      <c r="J3553" s="38" t="str">
        <f>VLOOKUP(B3553,CAJEROS!B:E,4,0)</f>
        <v>SUC_OVALLE2</v>
      </c>
      <c r="K3553" t="s">
        <v>579</v>
      </c>
    </row>
    <row r="3554" spans="1:11">
      <c r="A3554" s="32">
        <v>541</v>
      </c>
      <c r="B3554" s="33">
        <v>8654</v>
      </c>
      <c r="C3554" s="3">
        <v>1500000</v>
      </c>
      <c r="D3554" s="3">
        <v>130000</v>
      </c>
      <c r="E3554" s="7">
        <f t="shared" si="80"/>
        <v>1370000</v>
      </c>
      <c r="F3554" s="5">
        <v>45902</v>
      </c>
      <c r="G3554" s="4">
        <v>20250901</v>
      </c>
      <c r="H3554" s="38" t="str">
        <f>VLOOKUP(B3554,CAJEROS!B:D,3,0)</f>
        <v>Dispensador</v>
      </c>
      <c r="I3554" s="34" t="s">
        <v>9</v>
      </c>
      <c r="J3554" s="38" t="str">
        <f>VLOOKUP(B3554,CAJEROS!B:E,4,0)</f>
        <v>SUCCALDASP5</v>
      </c>
      <c r="K3554" t="s">
        <v>579</v>
      </c>
    </row>
    <row r="3555" spans="1:11">
      <c r="A3555" s="32">
        <v>541</v>
      </c>
      <c r="B3555" s="33">
        <v>8655</v>
      </c>
      <c r="C3555" s="3">
        <v>860000</v>
      </c>
      <c r="D3555" s="3"/>
      <c r="E3555" s="7">
        <f t="shared" si="80"/>
        <v>860000</v>
      </c>
      <c r="F3555" s="5">
        <v>45902</v>
      </c>
      <c r="G3555" s="4">
        <v>20250901</v>
      </c>
      <c r="H3555" s="38" t="str">
        <f>VLOOKUP(B3555,CAJEROS!B:D,3,0)</f>
        <v>Dispensador</v>
      </c>
      <c r="I3555" s="34" t="s">
        <v>9</v>
      </c>
      <c r="J3555" s="38" t="str">
        <f>VLOOKUP(B3555,CAJEROS!B:E,4,0)</f>
        <v>SUCCALDASP6</v>
      </c>
      <c r="K3555" t="s">
        <v>579</v>
      </c>
    </row>
    <row r="3556" spans="1:11">
      <c r="A3556" s="32">
        <v>601</v>
      </c>
      <c r="B3556" s="33">
        <v>6420</v>
      </c>
      <c r="C3556" s="3">
        <v>200000</v>
      </c>
      <c r="D3556" s="3"/>
      <c r="E3556" s="7">
        <f t="shared" si="80"/>
        <v>200000</v>
      </c>
      <c r="F3556" s="5">
        <v>45902</v>
      </c>
      <c r="G3556" s="4">
        <v>20250901</v>
      </c>
      <c r="H3556" s="38" t="str">
        <f>VLOOKUP(B3556,CAJEROS!B:D,3,0)</f>
        <v>Dispensador</v>
      </c>
      <c r="I3556" s="34" t="s">
        <v>9</v>
      </c>
      <c r="J3556" s="38" t="str">
        <f>VLOOKUP(B3556,CAJEROS!B:E,4,0)</f>
        <v>SUC_PQCOL2</v>
      </c>
      <c r="K3556" t="s">
        <v>579</v>
      </c>
    </row>
    <row r="3557" spans="1:11">
      <c r="A3557" s="32">
        <v>601</v>
      </c>
      <c r="B3557" s="33">
        <v>6424</v>
      </c>
      <c r="C3557" s="3">
        <v>1000000</v>
      </c>
      <c r="D3557" s="3"/>
      <c r="E3557" s="7">
        <f t="shared" si="80"/>
        <v>1000000</v>
      </c>
      <c r="F3557" s="5">
        <v>45902</v>
      </c>
      <c r="G3557" s="4">
        <v>20250901</v>
      </c>
      <c r="H3557" s="38" t="str">
        <f>VLOOKUP(B3557,CAJEROS!B:D,3,0)</f>
        <v>Dispensador</v>
      </c>
      <c r="I3557" s="34" t="s">
        <v>9</v>
      </c>
      <c r="J3557" s="38" t="str">
        <f>VLOOKUP(B3557,CAJEROS!B:E,4,0)</f>
        <v>SUC_PQCOL4</v>
      </c>
      <c r="K3557" t="s">
        <v>579</v>
      </c>
    </row>
    <row r="3558" spans="1:11">
      <c r="A3558" s="32">
        <v>641</v>
      </c>
      <c r="B3558" s="33">
        <v>6410</v>
      </c>
      <c r="C3558" s="3">
        <v>600000</v>
      </c>
      <c r="D3558" s="3"/>
      <c r="E3558" s="7">
        <f t="shared" si="80"/>
        <v>600000</v>
      </c>
      <c r="F3558" s="5">
        <v>45902</v>
      </c>
      <c r="G3558" s="4">
        <v>20250901</v>
      </c>
      <c r="H3558" s="38" t="str">
        <f>VLOOKUP(B3558,CAJEROS!B:D,3,0)</f>
        <v>Dispensador</v>
      </c>
      <c r="I3558" s="34" t="s">
        <v>9</v>
      </c>
      <c r="J3558" s="38" t="str">
        <f>VLOOKUP(B3558,CAJEROS!B:E,4,0)</f>
        <v>CIUDABOLIVA</v>
      </c>
      <c r="K3558" t="s">
        <v>579</v>
      </c>
    </row>
    <row r="3559" spans="1:11">
      <c r="A3559" s="32">
        <v>678</v>
      </c>
      <c r="B3559" s="33">
        <v>6014</v>
      </c>
      <c r="C3559" s="3">
        <v>2760000</v>
      </c>
      <c r="D3559" s="3"/>
      <c r="E3559" s="7">
        <f t="shared" si="80"/>
        <v>2760000</v>
      </c>
      <c r="F3559" s="5">
        <v>45902</v>
      </c>
      <c r="G3559" s="4">
        <v>20250901</v>
      </c>
      <c r="H3559" s="38" t="str">
        <f>VLOOKUP(B3559,CAJEROS!B:D,3,0)</f>
        <v>Dispensador</v>
      </c>
      <c r="I3559" s="34" t="s">
        <v>9</v>
      </c>
      <c r="J3559" s="38" t="str">
        <f>VLOOKUP(B3559,CAJEROS!B:E,4,0)</f>
        <v>PASEOCAST_5</v>
      </c>
      <c r="K3559" t="s">
        <v>579</v>
      </c>
    </row>
    <row r="3560" spans="1:11">
      <c r="A3560" s="32">
        <v>709</v>
      </c>
      <c r="B3560" s="33">
        <v>3426</v>
      </c>
      <c r="C3560" s="3">
        <v>300000</v>
      </c>
      <c r="D3560" s="3"/>
      <c r="E3560" s="7">
        <f t="shared" si="80"/>
        <v>300000</v>
      </c>
      <c r="F3560" s="5">
        <v>45902</v>
      </c>
      <c r="G3560" s="4">
        <v>20250901</v>
      </c>
      <c r="H3560" s="38" t="str">
        <f>VLOOKUP(B3560,CAJEROS!B:D,3,0)</f>
        <v>Dispensador</v>
      </c>
      <c r="I3560" s="34" t="s">
        <v>9</v>
      </c>
      <c r="J3560" s="38" t="str">
        <f>VLOOKUP(B3560,CAJEROS!B:E,4,0)</f>
        <v>ABREGO</v>
      </c>
      <c r="K3560" t="s">
        <v>579</v>
      </c>
    </row>
    <row r="3561" spans="1:11">
      <c r="A3561" s="32">
        <v>782</v>
      </c>
      <c r="B3561" s="33">
        <v>9854</v>
      </c>
      <c r="C3561" s="3">
        <v>100000</v>
      </c>
      <c r="D3561" s="3"/>
      <c r="E3561" s="7">
        <f t="shared" si="80"/>
        <v>100000</v>
      </c>
      <c r="F3561" s="5">
        <v>45902</v>
      </c>
      <c r="G3561" s="4">
        <v>20250901</v>
      </c>
      <c r="H3561" s="38" t="str">
        <f>VLOOKUP(B3561,CAJEROS!B:D,3,0)</f>
        <v>Dispensador</v>
      </c>
      <c r="I3561" s="34" t="s">
        <v>9</v>
      </c>
      <c r="J3561" s="38" t="str">
        <f>VLOOKUP(B3561,CAJEROS!B:E,4,0)</f>
        <v>SUCSEVILLA1</v>
      </c>
      <c r="K3561" t="s">
        <v>579</v>
      </c>
    </row>
    <row r="3562" spans="1:11">
      <c r="A3562" s="32">
        <v>828</v>
      </c>
      <c r="B3562" s="33">
        <v>2235</v>
      </c>
      <c r="C3562" s="3">
        <v>200000</v>
      </c>
      <c r="D3562" s="3"/>
      <c r="E3562" s="7">
        <f t="shared" si="80"/>
        <v>200000</v>
      </c>
      <c r="F3562" s="5">
        <v>45902</v>
      </c>
      <c r="G3562" s="4">
        <v>20250901</v>
      </c>
      <c r="H3562" s="38" t="str">
        <f>VLOOKUP(B3562,CAJEROS!B:D,3,0)</f>
        <v>Dispensador</v>
      </c>
      <c r="I3562" s="34" t="s">
        <v>9</v>
      </c>
      <c r="J3562" s="38" t="str">
        <f>VLOOKUP(B3562,CAJEROS!B:E,4,0)</f>
        <v>SUC_SANJOS5</v>
      </c>
      <c r="K3562" t="s">
        <v>579</v>
      </c>
    </row>
    <row r="3563" spans="1:11">
      <c r="A3563" s="32">
        <v>844</v>
      </c>
      <c r="B3563" s="33">
        <v>6157</v>
      </c>
      <c r="C3563" s="3">
        <v>260000</v>
      </c>
      <c r="D3563" s="3"/>
      <c r="E3563" s="7">
        <f t="shared" si="80"/>
        <v>260000</v>
      </c>
      <c r="F3563" s="5">
        <v>45902</v>
      </c>
      <c r="G3563" s="4">
        <v>20250901</v>
      </c>
      <c r="H3563" s="38" t="str">
        <f>VLOOKUP(B3563,CAJEROS!B:D,3,0)</f>
        <v>Dispensador</v>
      </c>
      <c r="I3563" s="34" t="s">
        <v>9</v>
      </c>
      <c r="J3563" s="38" t="str">
        <f>VLOOKUP(B3563,CAJEROS!B:E,4,0)</f>
        <v>SUCCCPRIMA3</v>
      </c>
      <c r="K3563" t="s">
        <v>579</v>
      </c>
    </row>
    <row r="3564" spans="1:11">
      <c r="A3564" s="32">
        <v>848</v>
      </c>
      <c r="B3564" s="33">
        <v>4740</v>
      </c>
      <c r="C3564" s="3">
        <v>2500000</v>
      </c>
      <c r="D3564" s="3"/>
      <c r="E3564" s="7">
        <f t="shared" si="80"/>
        <v>2500000</v>
      </c>
      <c r="F3564" s="5">
        <v>45902</v>
      </c>
      <c r="G3564" s="4">
        <v>20250901</v>
      </c>
      <c r="H3564" s="38" t="str">
        <f>VLOOKUP(B3564,CAJEROS!B:D,3,0)</f>
        <v>Dispensador</v>
      </c>
      <c r="I3564" s="34" t="s">
        <v>9</v>
      </c>
      <c r="J3564" s="38" t="str">
        <f>VLOOKUP(B3564,CAJEROS!B:E,4,0)</f>
        <v>PQECABAL_3</v>
      </c>
      <c r="K3564" t="s">
        <v>579</v>
      </c>
    </row>
    <row r="3565" spans="1:11">
      <c r="A3565" s="32">
        <v>849</v>
      </c>
      <c r="B3565" s="33">
        <v>9720</v>
      </c>
      <c r="C3565" s="3">
        <v>750000</v>
      </c>
      <c r="D3565" s="3"/>
      <c r="E3565" s="7">
        <f t="shared" si="80"/>
        <v>750000</v>
      </c>
      <c r="F3565" s="5">
        <v>45902</v>
      </c>
      <c r="G3565" s="4">
        <v>20250901</v>
      </c>
      <c r="H3565" s="38" t="str">
        <f>VLOOKUP(B3565,CAJEROS!B:D,3,0)</f>
        <v>Dispensador</v>
      </c>
      <c r="I3565" s="34" t="s">
        <v>9</v>
      </c>
      <c r="J3565" s="38" t="str">
        <f>VLOOKUP(B3565,CAJEROS!B:E,4,0)</f>
        <v>SUCUNIVILL1</v>
      </c>
      <c r="K3565" t="s">
        <v>579</v>
      </c>
    </row>
    <row r="3566" spans="1:11">
      <c r="A3566" s="32">
        <v>914</v>
      </c>
      <c r="B3566" s="33">
        <v>5544</v>
      </c>
      <c r="C3566" s="3">
        <v>200000</v>
      </c>
      <c r="D3566" s="3">
        <v>120000</v>
      </c>
      <c r="E3566" s="7">
        <f t="shared" si="80"/>
        <v>80000</v>
      </c>
      <c r="F3566" s="5">
        <v>45902</v>
      </c>
      <c r="G3566" s="4">
        <v>20250901</v>
      </c>
      <c r="H3566" s="38" t="str">
        <f>VLOOKUP(B3566,CAJEROS!B:D,3,0)</f>
        <v>Dispensador</v>
      </c>
      <c r="I3566" s="34" t="s">
        <v>9</v>
      </c>
      <c r="J3566" s="38" t="str">
        <f>VLOOKUP(B3566,CAJEROS!B:E,4,0)</f>
        <v>DONMATIA2</v>
      </c>
      <c r="K3566" t="s">
        <v>579</v>
      </c>
    </row>
    <row r="3567" spans="1:11">
      <c r="A3567" s="32">
        <v>916</v>
      </c>
      <c r="B3567" s="33">
        <v>5743</v>
      </c>
      <c r="C3567" s="3">
        <v>100000</v>
      </c>
      <c r="D3567" s="3"/>
      <c r="E3567" s="7">
        <f t="shared" si="80"/>
        <v>100000</v>
      </c>
      <c r="F3567" s="5">
        <v>45902</v>
      </c>
      <c r="G3567" s="4">
        <v>20250901</v>
      </c>
      <c r="H3567" s="38" t="str">
        <f>VLOOKUP(B3567,CAJEROS!B:D,3,0)</f>
        <v>Dispensador</v>
      </c>
      <c r="I3567" s="34" t="s">
        <v>9</v>
      </c>
      <c r="J3567" s="38" t="str">
        <f>VLOOKUP(B3567,CAJEROS!B:E,4,0)</f>
        <v>SUC_OCEANM3</v>
      </c>
      <c r="K3567" t="s">
        <v>579</v>
      </c>
    </row>
    <row r="3568" spans="1:11">
      <c r="A3568" s="32">
        <v>943</v>
      </c>
      <c r="B3568" s="33">
        <v>7442</v>
      </c>
      <c r="C3568" s="3">
        <v>6930000</v>
      </c>
      <c r="D3568" s="3"/>
      <c r="E3568" s="7">
        <f t="shared" si="80"/>
        <v>6930000</v>
      </c>
      <c r="F3568" s="5">
        <v>45902</v>
      </c>
      <c r="G3568" s="4">
        <v>20250901</v>
      </c>
      <c r="H3568" s="38" t="str">
        <f>VLOOKUP(B3568,CAJEROS!B:D,3,0)</f>
        <v>Dispensador</v>
      </c>
      <c r="I3568" s="34" t="s">
        <v>9</v>
      </c>
      <c r="J3568" s="38" t="str">
        <f>VLOOKUP(B3568,CAJEROS!B:E,4,0)</f>
        <v>LETICIA_4</v>
      </c>
      <c r="K3568" t="s">
        <v>579</v>
      </c>
    </row>
    <row r="3569" spans="1:11">
      <c r="A3569" s="32">
        <v>959</v>
      </c>
      <c r="B3569" s="33">
        <v>5577</v>
      </c>
      <c r="C3569" s="3">
        <v>290000</v>
      </c>
      <c r="D3569" s="3">
        <v>90000</v>
      </c>
      <c r="E3569" s="7">
        <f t="shared" si="80"/>
        <v>200000</v>
      </c>
      <c r="F3569" s="5">
        <v>45902</v>
      </c>
      <c r="G3569" s="4">
        <v>20250901</v>
      </c>
      <c r="H3569" s="38" t="str">
        <f>VLOOKUP(B3569,CAJEROS!B:D,3,0)</f>
        <v>Dispensador</v>
      </c>
      <c r="I3569" s="34" t="s">
        <v>9</v>
      </c>
      <c r="J3569" s="38" t="str">
        <f>VLOOKUP(B3569,CAJEROS!B:E,4,0)</f>
        <v>TURBO2</v>
      </c>
      <c r="K3569" t="s">
        <v>579</v>
      </c>
    </row>
    <row r="3570" spans="1:11">
      <c r="A3570" s="32">
        <v>966</v>
      </c>
      <c r="B3570" s="33">
        <v>9943</v>
      </c>
      <c r="C3570" s="3">
        <v>1000000</v>
      </c>
      <c r="D3570" s="3">
        <v>650000</v>
      </c>
      <c r="E3570" s="7">
        <f t="shared" si="80"/>
        <v>350000</v>
      </c>
      <c r="F3570" s="5">
        <v>45902</v>
      </c>
      <c r="G3570" s="4">
        <v>20250901</v>
      </c>
      <c r="H3570" s="38" t="str">
        <f>VLOOKUP(B3570,CAJEROS!B:D,3,0)</f>
        <v>Dispensador</v>
      </c>
      <c r="I3570" s="34" t="s">
        <v>9</v>
      </c>
      <c r="J3570" s="38" t="str">
        <f>VLOOKUP(B3570,CAJEROS!B:E,4,0)</f>
        <v>HALLSUCMTE3</v>
      </c>
      <c r="K3570" t="s">
        <v>579</v>
      </c>
    </row>
    <row r="3571" spans="1:11">
      <c r="A3571" s="32">
        <v>78</v>
      </c>
      <c r="B3571" s="33">
        <v>8590</v>
      </c>
      <c r="C3571" s="3">
        <v>10000</v>
      </c>
      <c r="D3571" s="3"/>
      <c r="E3571" s="7">
        <f t="shared" si="80"/>
        <v>10000</v>
      </c>
      <c r="F3571" s="5">
        <v>45902</v>
      </c>
      <c r="G3571" s="4">
        <v>20250901</v>
      </c>
      <c r="H3571" s="38" t="str">
        <f>VLOOKUP(B3571,CAJEROS!B:D,3,0)</f>
        <v>Dispensador</v>
      </c>
      <c r="I3571" s="34" t="s">
        <v>10</v>
      </c>
      <c r="J3571" s="38" t="str">
        <f>VLOOKUP(B3571,CAJEROS!B:E,4,0)</f>
        <v>HALLCACIQ1</v>
      </c>
      <c r="K3571" t="s">
        <v>579</v>
      </c>
    </row>
    <row r="3572" spans="1:11">
      <c r="A3572" s="32">
        <v>91</v>
      </c>
      <c r="B3572" s="33">
        <v>8164</v>
      </c>
      <c r="C3572" s="3">
        <v>20000</v>
      </c>
      <c r="D3572" s="3"/>
      <c r="E3572" s="7">
        <f t="shared" si="80"/>
        <v>20000</v>
      </c>
      <c r="F3572" s="5">
        <v>45902</v>
      </c>
      <c r="G3572" s="4">
        <v>20250901</v>
      </c>
      <c r="H3572" s="38" t="str">
        <f>VLOOKUP(B3572,CAJEROS!B:D,3,0)</f>
        <v>Dispensador</v>
      </c>
      <c r="I3572" s="34" t="s">
        <v>10</v>
      </c>
      <c r="J3572" s="38" t="str">
        <f>VLOOKUP(B3572,CAJEROS!B:E,4,0)</f>
        <v>SUC_MONTER6</v>
      </c>
      <c r="K3572" t="s">
        <v>579</v>
      </c>
    </row>
    <row r="3573" spans="1:11">
      <c r="A3573" s="32">
        <v>677</v>
      </c>
      <c r="B3573" s="33">
        <v>6896</v>
      </c>
      <c r="C3573" s="3">
        <v>10000</v>
      </c>
      <c r="D3573" s="3"/>
      <c r="E3573" s="7">
        <f t="shared" si="80"/>
        <v>10000</v>
      </c>
      <c r="F3573" s="5">
        <v>45902</v>
      </c>
      <c r="G3573" s="4">
        <v>20250901</v>
      </c>
      <c r="H3573" s="38" t="str">
        <f>VLOOKUP(B3573,CAJEROS!B:D,3,0)</f>
        <v>Dispensador</v>
      </c>
      <c r="I3573" s="34" t="s">
        <v>10</v>
      </c>
      <c r="J3573" s="38" t="str">
        <f>VLOOKUP(B3573,CAJEROS!B:E,4,0)</f>
        <v>SUCPLZMERC2</v>
      </c>
      <c r="K3573" t="s">
        <v>579</v>
      </c>
    </row>
    <row r="3574" spans="1:11">
      <c r="A3574" s="32">
        <v>764</v>
      </c>
      <c r="B3574" s="33">
        <v>4990</v>
      </c>
      <c r="C3574" s="3">
        <v>10000</v>
      </c>
      <c r="D3574" s="3"/>
      <c r="E3574" s="7">
        <f t="shared" si="80"/>
        <v>10000</v>
      </c>
      <c r="F3574" s="5">
        <v>45902</v>
      </c>
      <c r="G3574" s="4">
        <v>20250901</v>
      </c>
      <c r="H3574" s="38" t="str">
        <f>VLOOKUP(B3574,CAJEROS!B:D,3,0)</f>
        <v>Dispensador</v>
      </c>
      <c r="I3574" s="34" t="s">
        <v>10</v>
      </c>
      <c r="J3574" s="38" t="str">
        <f>VLOOKUP(B3574,CAJEROS!B:E,4,0)</f>
        <v>SUC_JAMUND3</v>
      </c>
      <c r="K3574" t="s">
        <v>579</v>
      </c>
    </row>
    <row r="3575" spans="1:11">
      <c r="A3575" s="32">
        <v>780</v>
      </c>
      <c r="B3575" s="33">
        <v>4714</v>
      </c>
      <c r="C3575" s="3">
        <v>20000</v>
      </c>
      <c r="D3575" s="3"/>
      <c r="E3575" s="7">
        <f t="shared" si="80"/>
        <v>20000</v>
      </c>
      <c r="F3575" s="5">
        <v>45902</v>
      </c>
      <c r="G3575" s="4">
        <v>20250901</v>
      </c>
      <c r="H3575" s="38" t="str">
        <f>VLOOKUP(B3575,CAJEROS!B:D,3,0)</f>
        <v>Dispensador</v>
      </c>
      <c r="I3575" s="34" t="s">
        <v>10</v>
      </c>
      <c r="J3575" s="38" t="str">
        <f>VLOOKUP(B3575,CAJEROS!B:E,4,0)</f>
        <v>SUCREALMIN2</v>
      </c>
      <c r="K3575" t="s">
        <v>579</v>
      </c>
    </row>
    <row r="3576" spans="1:11">
      <c r="A3576" s="32">
        <v>1</v>
      </c>
      <c r="B3576" s="33">
        <v>5000</v>
      </c>
      <c r="C3576" s="3">
        <v>10000</v>
      </c>
      <c r="D3576" s="3"/>
      <c r="E3576" s="7">
        <f t="shared" si="80"/>
        <v>10000</v>
      </c>
      <c r="F3576" s="5">
        <v>45902</v>
      </c>
      <c r="G3576" s="4">
        <v>20250901</v>
      </c>
      <c r="H3576" s="38" t="str">
        <f>VLOOKUP(B3576,CAJEROS!B:D,3,0)</f>
        <v>Multifuncional</v>
      </c>
      <c r="I3576" s="34" t="s">
        <v>10</v>
      </c>
      <c r="J3576" s="38" t="str">
        <f>VLOOKUP(B3576,CAJEROS!B:E,4,0)</f>
        <v>MF_CARABOBO</v>
      </c>
      <c r="K3576" t="s">
        <v>579</v>
      </c>
    </row>
    <row r="3577" spans="1:11">
      <c r="A3577" s="32">
        <v>882</v>
      </c>
      <c r="B3577" s="33">
        <v>3510</v>
      </c>
      <c r="C3577" s="3">
        <v>10000</v>
      </c>
      <c r="D3577" s="3"/>
      <c r="E3577" s="7">
        <f t="shared" si="80"/>
        <v>10000</v>
      </c>
      <c r="F3577" s="5">
        <v>45902</v>
      </c>
      <c r="G3577" s="4">
        <v>20250901</v>
      </c>
      <c r="H3577" s="38" t="str">
        <f>VLOOKUP(B3577,CAJEROS!B:D,3,0)</f>
        <v>Dispensador</v>
      </c>
      <c r="I3577" s="34" t="s">
        <v>10</v>
      </c>
      <c r="J3577" s="38" t="str">
        <f>VLOOKUP(B3577,CAJEROS!B:E,4,0)</f>
        <v>LIBERTADOR1</v>
      </c>
      <c r="K3577" t="s">
        <v>579</v>
      </c>
    </row>
    <row r="3578" spans="1:11">
      <c r="A3578" s="32">
        <v>351</v>
      </c>
      <c r="B3578" s="33">
        <v>6182</v>
      </c>
      <c r="C3578" s="3">
        <v>4400</v>
      </c>
      <c r="D3578" s="3"/>
      <c r="E3578" s="7">
        <f t="shared" si="80"/>
        <v>4400</v>
      </c>
      <c r="F3578" s="5">
        <v>45902</v>
      </c>
      <c r="G3578" s="4">
        <v>20250901</v>
      </c>
      <c r="H3578" s="38" t="str">
        <f>VLOOKUP(B3578,CAJEROS!B:D,3,0)</f>
        <v>Multifuncional</v>
      </c>
      <c r="I3578" s="34" t="s">
        <v>10</v>
      </c>
      <c r="J3578" s="38" t="str">
        <f>VLOOKUP(B3578,CAJEROS!B:E,4,0)</f>
        <v>MF_PUNTORIE</v>
      </c>
      <c r="K3578" t="s">
        <v>579</v>
      </c>
    </row>
    <row r="3579" spans="1:11">
      <c r="A3579" s="32">
        <v>250</v>
      </c>
      <c r="B3579" s="33">
        <v>5386</v>
      </c>
      <c r="C3579" s="3">
        <v>1070000</v>
      </c>
      <c r="D3579" s="3"/>
      <c r="E3579" s="7">
        <f t="shared" si="80"/>
        <v>1070000</v>
      </c>
      <c r="F3579" s="5">
        <v>45903</v>
      </c>
      <c r="G3579" s="4">
        <v>20250902</v>
      </c>
      <c r="H3579" s="38" t="str">
        <f>VLOOKUP(B3579,CAJEROS!B:D,3,0)</f>
        <v>Dispensador</v>
      </c>
      <c r="I3579" s="34"/>
      <c r="J3579" s="38" t="str">
        <f>VLOOKUP(B3579,CAJEROS!B:E,4,0)</f>
        <v>SUCMODE1</v>
      </c>
      <c r="K3579" t="s">
        <v>579</v>
      </c>
    </row>
    <row r="3580" spans="1:11">
      <c r="A3580" s="32">
        <v>422</v>
      </c>
      <c r="B3580" s="33">
        <v>4555</v>
      </c>
      <c r="C3580" s="3">
        <v>950000</v>
      </c>
      <c r="D3580" s="3">
        <v>660000</v>
      </c>
      <c r="E3580" s="7">
        <f t="shared" si="80"/>
        <v>290000</v>
      </c>
      <c r="F3580" s="5">
        <v>45903</v>
      </c>
      <c r="G3580" s="4">
        <v>20250902</v>
      </c>
      <c r="H3580" s="38" t="str">
        <f>VLOOKUP(B3580,CAJEROS!B:D,3,0)</f>
        <v>Dispensador</v>
      </c>
      <c r="I3580" s="34"/>
      <c r="J3580" s="38" t="str">
        <f>VLOOKUP(B3580,CAJEROS!B:E,4,0)</f>
        <v>CHAPARRAL_2</v>
      </c>
      <c r="K3580" t="s">
        <v>579</v>
      </c>
    </row>
    <row r="3581" spans="1:11">
      <c r="A3581" s="32">
        <v>439</v>
      </c>
      <c r="B3581" s="33">
        <v>6309</v>
      </c>
      <c r="C3581" s="3">
        <v>3200000</v>
      </c>
      <c r="D3581" s="3"/>
      <c r="E3581" s="7">
        <f t="shared" si="80"/>
        <v>3200000</v>
      </c>
      <c r="F3581" s="5">
        <v>45903</v>
      </c>
      <c r="G3581" s="4">
        <v>20250902</v>
      </c>
      <c r="H3581" s="38" t="str">
        <f>VLOOKUP(B3581,CAJEROS!B:D,3,0)</f>
        <v>Dispensador</v>
      </c>
      <c r="I3581" s="34"/>
      <c r="J3581" s="38" t="str">
        <f>VLOOKUP(B3581,CAJEROS!B:E,4,0)</f>
        <v>SUC_CAJAMA2</v>
      </c>
      <c r="K3581" t="s">
        <v>579</v>
      </c>
    </row>
    <row r="3582" spans="1:11">
      <c r="A3582" s="32">
        <v>523</v>
      </c>
      <c r="B3582" s="33">
        <v>3997</v>
      </c>
      <c r="C3582" s="3">
        <v>1000000</v>
      </c>
      <c r="D3582" s="3"/>
      <c r="E3582" s="7">
        <f t="shared" si="80"/>
        <v>1000000</v>
      </c>
      <c r="F3582" s="5">
        <v>45903</v>
      </c>
      <c r="G3582" s="4">
        <v>20250902</v>
      </c>
      <c r="H3582" s="38" t="str">
        <f>VLOOKUP(B3582,CAJEROS!B:D,3,0)</f>
        <v>Dispensador</v>
      </c>
      <c r="I3582" s="34"/>
      <c r="J3582" s="38" t="str">
        <f>VLOOKUP(B3582,CAJEROS!B:E,4,0)</f>
        <v>SUC_OVALLE3</v>
      </c>
      <c r="K3582" t="s">
        <v>579</v>
      </c>
    </row>
    <row r="3583" spans="1:11">
      <c r="A3583" s="32">
        <v>641</v>
      </c>
      <c r="B3583" s="33">
        <v>6410</v>
      </c>
      <c r="C3583" s="3">
        <v>100000</v>
      </c>
      <c r="D3583" s="3"/>
      <c r="E3583" s="7">
        <f t="shared" si="80"/>
        <v>100000</v>
      </c>
      <c r="F3583" s="5">
        <v>45903</v>
      </c>
      <c r="G3583" s="4">
        <v>20250902</v>
      </c>
      <c r="H3583" s="38" t="str">
        <f>VLOOKUP(B3583,CAJEROS!B:D,3,0)</f>
        <v>Dispensador</v>
      </c>
      <c r="I3583" s="34"/>
      <c r="J3583" s="38" t="str">
        <f>VLOOKUP(B3583,CAJEROS!B:E,4,0)</f>
        <v>CIUDABOLIVA</v>
      </c>
      <c r="K3583" t="s">
        <v>579</v>
      </c>
    </row>
    <row r="3584" spans="1:11">
      <c r="A3584" s="32">
        <v>885</v>
      </c>
      <c r="B3584" s="33">
        <v>8851</v>
      </c>
      <c r="C3584" s="3">
        <v>20000</v>
      </c>
      <c r="D3584" s="3"/>
      <c r="E3584" s="7">
        <f t="shared" si="80"/>
        <v>20000</v>
      </c>
      <c r="F3584" s="5">
        <v>45903</v>
      </c>
      <c r="G3584" s="4">
        <v>20250902</v>
      </c>
      <c r="H3584" s="38" t="str">
        <f>VLOOKUP(B3584,CAJEROS!B:D,3,0)</f>
        <v>Dispensador</v>
      </c>
      <c r="I3584" s="34"/>
      <c r="J3584" s="38" t="str">
        <f>VLOOKUP(B3584,CAJEROS!B:E,4,0)</f>
        <v>TUQUERRES</v>
      </c>
      <c r="K3584" t="s">
        <v>579</v>
      </c>
    </row>
    <row r="3585" spans="1:11">
      <c r="A3585" s="32">
        <v>951</v>
      </c>
      <c r="B3585" s="33">
        <v>7776</v>
      </c>
      <c r="C3585" s="3">
        <v>950000</v>
      </c>
      <c r="D3585" s="3">
        <v>500000</v>
      </c>
      <c r="E3585" s="7">
        <f t="shared" si="80"/>
        <v>450000</v>
      </c>
      <c r="F3585" s="5">
        <v>45903</v>
      </c>
      <c r="G3585" s="4">
        <v>20250902</v>
      </c>
      <c r="H3585" s="38" t="str">
        <f>VLOOKUP(B3585,CAJEROS!B:D,3,0)</f>
        <v>Dispensador</v>
      </c>
      <c r="I3585" s="34"/>
      <c r="J3585" s="38" t="str">
        <f>VLOOKUP(B3585,CAJEROS!B:E,4,0)</f>
        <v>AUTOBOSCO1</v>
      </c>
      <c r="K3585" t="s">
        <v>579</v>
      </c>
    </row>
    <row r="3586" spans="1:11">
      <c r="A3586" s="32">
        <v>951</v>
      </c>
      <c r="B3586" s="33">
        <v>7816</v>
      </c>
      <c r="C3586" s="3">
        <v>480000</v>
      </c>
      <c r="D3586" s="3"/>
      <c r="E3586" s="7">
        <f t="shared" si="80"/>
        <v>480000</v>
      </c>
      <c r="F3586" s="5">
        <v>45903</v>
      </c>
      <c r="G3586" s="4">
        <v>20250902</v>
      </c>
      <c r="H3586" s="38" t="str">
        <f>VLOOKUP(B3586,CAJEROS!B:D,3,0)</f>
        <v>Dispensador</v>
      </c>
      <c r="I3586" s="34"/>
      <c r="J3586" s="38" t="str">
        <f>VLOOKUP(B3586,CAJEROS!B:E,4,0)</f>
        <v>AUTOBOSC_4</v>
      </c>
      <c r="K3586" t="s">
        <v>579</v>
      </c>
    </row>
    <row r="3587" spans="1:11">
      <c r="A3587" s="32">
        <v>77</v>
      </c>
      <c r="B3587" s="33">
        <v>4853</v>
      </c>
      <c r="C3587" s="3">
        <v>50000</v>
      </c>
      <c r="D3587" s="3"/>
      <c r="E3587" s="7">
        <f t="shared" si="80"/>
        <v>50000</v>
      </c>
      <c r="F3587" s="5">
        <v>45903</v>
      </c>
      <c r="G3587" s="4">
        <v>20250902</v>
      </c>
      <c r="H3587" s="38" t="str">
        <f>VLOOKUP(B3587,CAJEROS!B:D,3,0)</f>
        <v>Dispensador</v>
      </c>
      <c r="I3587" s="34" t="s">
        <v>9</v>
      </c>
      <c r="J3587" s="38" t="str">
        <f>VLOOKUP(B3587,CAJEROS!B:E,4,0)</f>
        <v>SUC_TEQUEN1</v>
      </c>
      <c r="K3587" t="s">
        <v>579</v>
      </c>
    </row>
    <row r="3588" spans="1:11">
      <c r="A3588" s="32">
        <v>265</v>
      </c>
      <c r="B3588" s="33">
        <v>4658</v>
      </c>
      <c r="C3588" s="3">
        <v>50000</v>
      </c>
      <c r="D3588" s="3"/>
      <c r="E3588" s="7">
        <f t="shared" si="80"/>
        <v>50000</v>
      </c>
      <c r="F3588" s="5">
        <v>45903</v>
      </c>
      <c r="G3588" s="4">
        <v>20250902</v>
      </c>
      <c r="H3588" s="38" t="str">
        <f>VLOOKUP(B3588,CAJEROS!B:D,3,0)</f>
        <v>Dispensador</v>
      </c>
      <c r="I3588" s="34" t="s">
        <v>9</v>
      </c>
      <c r="J3588" s="38" t="str">
        <f>VLOOKUP(B3588,CAJEROS!B:E,4,0)</f>
        <v>SUC_LA14VA3</v>
      </c>
      <c r="K3588" t="s">
        <v>579</v>
      </c>
    </row>
    <row r="3589" spans="1:11">
      <c r="A3589" s="32">
        <v>334</v>
      </c>
      <c r="B3589" s="33">
        <v>8801</v>
      </c>
      <c r="C3589" s="3">
        <v>170000</v>
      </c>
      <c r="D3589" s="3">
        <v>80000</v>
      </c>
      <c r="E3589" s="7">
        <f t="shared" si="80"/>
        <v>90000</v>
      </c>
      <c r="F3589" s="5">
        <v>45903</v>
      </c>
      <c r="G3589" s="4">
        <v>20250902</v>
      </c>
      <c r="H3589" s="38" t="str">
        <f>VLOOKUP(B3589,CAJEROS!B:D,3,0)</f>
        <v>Dispensador</v>
      </c>
      <c r="I3589" s="34" t="s">
        <v>9</v>
      </c>
      <c r="J3589" s="38" t="str">
        <f>VLOOKUP(B3589,CAJEROS!B:E,4,0)</f>
        <v>SUCPENOL_1</v>
      </c>
      <c r="K3589" t="s">
        <v>579</v>
      </c>
    </row>
    <row r="3590" spans="1:11">
      <c r="A3590" s="32">
        <v>334</v>
      </c>
      <c r="B3590" s="33">
        <v>8802</v>
      </c>
      <c r="C3590" s="3">
        <v>30000</v>
      </c>
      <c r="D3590" s="3"/>
      <c r="E3590" s="7">
        <f t="shared" si="80"/>
        <v>30000</v>
      </c>
      <c r="F3590" s="5">
        <v>45903</v>
      </c>
      <c r="G3590" s="4">
        <v>20250902</v>
      </c>
      <c r="H3590" s="38" t="str">
        <f>VLOOKUP(B3590,CAJEROS!B:D,3,0)</f>
        <v>Dispensador</v>
      </c>
      <c r="I3590" s="34" t="s">
        <v>9</v>
      </c>
      <c r="J3590" s="38" t="str">
        <f>VLOOKUP(B3590,CAJEROS!B:E,4,0)</f>
        <v>SUCPENOL_2</v>
      </c>
      <c r="K3590" t="s">
        <v>579</v>
      </c>
    </row>
    <row r="3591" spans="1:11">
      <c r="A3591" s="32">
        <v>503</v>
      </c>
      <c r="B3591" s="33">
        <v>5032</v>
      </c>
      <c r="C3591" s="3">
        <v>140000</v>
      </c>
      <c r="D3591" s="3">
        <v>110000</v>
      </c>
      <c r="E3591" s="7">
        <f t="shared" si="80"/>
        <v>30000</v>
      </c>
      <c r="F3591" s="5">
        <v>45903</v>
      </c>
      <c r="G3591" s="4">
        <v>20250902</v>
      </c>
      <c r="H3591" s="38" t="str">
        <f>VLOOKUP(B3591,CAJEROS!B:D,3,0)</f>
        <v>Dispensador</v>
      </c>
      <c r="I3591" s="34" t="s">
        <v>9</v>
      </c>
      <c r="J3591" s="38" t="str">
        <f>VLOOKUP(B3591,CAJEROS!B:E,4,0)</f>
        <v>YARUMAL2</v>
      </c>
      <c r="K3591" t="s">
        <v>579</v>
      </c>
    </row>
    <row r="3592" spans="1:11">
      <c r="A3592" s="32">
        <v>848</v>
      </c>
      <c r="B3592" s="33">
        <v>4740</v>
      </c>
      <c r="C3592" s="3">
        <v>500000</v>
      </c>
      <c r="D3592" s="3">
        <v>320000</v>
      </c>
      <c r="E3592" s="7">
        <f t="shared" si="80"/>
        <v>180000</v>
      </c>
      <c r="F3592" s="5">
        <v>45903</v>
      </c>
      <c r="G3592" s="4">
        <v>20250902</v>
      </c>
      <c r="H3592" s="38" t="str">
        <f>VLOOKUP(B3592,CAJEROS!B:D,3,0)</f>
        <v>Dispensador</v>
      </c>
      <c r="I3592" s="34" t="s">
        <v>9</v>
      </c>
      <c r="J3592" s="38" t="str">
        <f>VLOOKUP(B3592,CAJEROS!B:E,4,0)</f>
        <v>PQECABAL_3</v>
      </c>
      <c r="K3592" t="s">
        <v>579</v>
      </c>
    </row>
    <row r="3593" spans="1:11">
      <c r="A3593" s="32">
        <v>863</v>
      </c>
      <c r="B3593" s="33">
        <v>3488</v>
      </c>
      <c r="C3593" s="3">
        <v>200000</v>
      </c>
      <c r="D3593" s="3">
        <v>190000</v>
      </c>
      <c r="E3593" s="7">
        <f t="shared" si="80"/>
        <v>10000</v>
      </c>
      <c r="F3593" s="5">
        <v>45903</v>
      </c>
      <c r="G3593" s="4">
        <v>20250902</v>
      </c>
      <c r="H3593" s="38" t="str">
        <f>VLOOKUP(B3593,CAJEROS!B:D,3,0)</f>
        <v>Dispensador</v>
      </c>
      <c r="I3593" s="34" t="s">
        <v>9</v>
      </c>
      <c r="J3593" s="38" t="str">
        <f>VLOOKUP(B3593,CAJEROS!B:E,4,0)</f>
        <v>LOSPATIOS</v>
      </c>
      <c r="K3593" t="s">
        <v>579</v>
      </c>
    </row>
    <row r="3594" spans="1:11">
      <c r="A3594" s="32">
        <v>7</v>
      </c>
      <c r="B3594" s="33">
        <v>5059</v>
      </c>
      <c r="C3594" s="3">
        <v>235300</v>
      </c>
      <c r="D3594" s="3">
        <v>100</v>
      </c>
      <c r="E3594" s="7">
        <f t="shared" si="80"/>
        <v>235200</v>
      </c>
      <c r="F3594" s="5">
        <v>45903</v>
      </c>
      <c r="G3594" s="4">
        <v>20250902</v>
      </c>
      <c r="H3594" s="38" t="str">
        <f>VLOOKUP(B3594,CAJEROS!B:D,3,0)</f>
        <v>Multifuncional</v>
      </c>
      <c r="I3594" s="34"/>
      <c r="J3594" s="38" t="str">
        <f>VLOOKUP(B3594,CAJEROS!B:E,4,0)</f>
        <v>MF_LOSMOLI1</v>
      </c>
      <c r="K3594" t="s">
        <v>579</v>
      </c>
    </row>
    <row r="3595" spans="1:11">
      <c r="A3595" s="32">
        <v>265</v>
      </c>
      <c r="B3595" s="33">
        <v>5083</v>
      </c>
      <c r="C3595" s="3">
        <v>36110000</v>
      </c>
      <c r="D3595" s="3">
        <v>36075000</v>
      </c>
      <c r="E3595" s="7">
        <f t="shared" si="80"/>
        <v>35000</v>
      </c>
      <c r="F3595" s="5">
        <v>45903</v>
      </c>
      <c r="G3595" s="4">
        <v>20250902</v>
      </c>
      <c r="H3595" s="38" t="str">
        <f>VLOOKUP(B3595,CAJEROS!B:D,3,0)</f>
        <v>Multifuncional</v>
      </c>
      <c r="I3595" s="34"/>
      <c r="J3595" s="38" t="str">
        <f>VLOOKUP(B3595,CAJEROS!B:E,4,0)</f>
        <v>MF_VALLELIL</v>
      </c>
      <c r="K3595" t="s">
        <v>579</v>
      </c>
    </row>
    <row r="3596" spans="1:11">
      <c r="A3596" s="32">
        <v>197</v>
      </c>
      <c r="B3596" s="33">
        <v>5084</v>
      </c>
      <c r="C3596" s="3">
        <v>9257100</v>
      </c>
      <c r="D3596" s="3"/>
      <c r="E3596" s="7">
        <f t="shared" si="80"/>
        <v>9257100</v>
      </c>
      <c r="F3596" s="5">
        <v>45903</v>
      </c>
      <c r="G3596" s="4">
        <v>20250902</v>
      </c>
      <c r="H3596" s="38" t="str">
        <f>VLOOKUP(B3596,CAJEROS!B:D,3,0)</f>
        <v>Multifuncional</v>
      </c>
      <c r="I3596" s="34"/>
      <c r="J3596" s="38" t="str">
        <f>VLOOKUP(B3596,CAJEROS!B:E,4,0)</f>
        <v>MF_GUATAPUR</v>
      </c>
      <c r="K3596" t="s">
        <v>579</v>
      </c>
    </row>
    <row r="3597" spans="1:11">
      <c r="A3597" s="32">
        <v>634</v>
      </c>
      <c r="B3597" s="33">
        <v>5087</v>
      </c>
      <c r="C3597" s="3">
        <v>3444000</v>
      </c>
      <c r="D3597" s="3">
        <v>100000</v>
      </c>
      <c r="E3597" s="7">
        <f t="shared" si="80"/>
        <v>3344000</v>
      </c>
      <c r="F3597" s="5">
        <v>45903</v>
      </c>
      <c r="G3597" s="4">
        <v>20250902</v>
      </c>
      <c r="H3597" s="38" t="str">
        <f>VLOOKUP(B3597,CAJEROS!B:D,3,0)</f>
        <v>Multifuncional</v>
      </c>
      <c r="I3597" s="34"/>
      <c r="J3597" s="38" t="str">
        <f>VLOOKUP(B3597,CAJEROS!B:E,4,0)</f>
        <v>MF_AVENI127</v>
      </c>
      <c r="K3597" t="s">
        <v>579</v>
      </c>
    </row>
    <row r="3598" spans="1:11">
      <c r="A3598" s="32">
        <v>716</v>
      </c>
      <c r="B3598" s="33">
        <v>5192</v>
      </c>
      <c r="C3598" s="3">
        <v>5275000</v>
      </c>
      <c r="D3598" s="3"/>
      <c r="E3598" s="7">
        <f t="shared" si="80"/>
        <v>5275000</v>
      </c>
      <c r="F3598" s="5">
        <v>45903</v>
      </c>
      <c r="G3598" s="4">
        <v>20250902</v>
      </c>
      <c r="H3598" s="38" t="str">
        <f>VLOOKUP(B3598,CAJEROS!B:D,3,0)</f>
        <v>Multifuncional</v>
      </c>
      <c r="I3598" s="34"/>
      <c r="J3598" s="38" t="str">
        <f>VLOOKUP(B3598,CAJEROS!B:E,4,0)</f>
        <v>MF_AVCGORDS</v>
      </c>
      <c r="K3598" t="s">
        <v>579</v>
      </c>
    </row>
    <row r="3599" spans="1:11">
      <c r="A3599" s="32">
        <v>77</v>
      </c>
      <c r="B3599" s="33">
        <v>5204</v>
      </c>
      <c r="C3599" s="3">
        <v>1907150</v>
      </c>
      <c r="D3599" s="3">
        <v>285900</v>
      </c>
      <c r="E3599" s="7">
        <f t="shared" si="80"/>
        <v>1621250</v>
      </c>
      <c r="F3599" s="5">
        <v>45903</v>
      </c>
      <c r="G3599" s="4">
        <v>20250902</v>
      </c>
      <c r="H3599" s="38" t="str">
        <f>VLOOKUP(B3599,CAJEROS!B:D,3,0)</f>
        <v>Multifuncional</v>
      </c>
      <c r="I3599" s="34"/>
      <c r="J3599" s="38" t="str">
        <f>VLOOKUP(B3599,CAJEROS!B:E,4,0)</f>
        <v>MF_TEQENDMA</v>
      </c>
      <c r="K3599" t="s">
        <v>579</v>
      </c>
    </row>
    <row r="3600" spans="1:11">
      <c r="A3600" s="32">
        <v>74</v>
      </c>
      <c r="B3600" s="33">
        <v>6215</v>
      </c>
      <c r="C3600" s="3">
        <v>35522000</v>
      </c>
      <c r="D3600" s="3"/>
      <c r="E3600" s="7">
        <f t="shared" si="80"/>
        <v>35522000</v>
      </c>
      <c r="F3600" s="5">
        <v>45903</v>
      </c>
      <c r="G3600" s="4">
        <v>20250902</v>
      </c>
      <c r="H3600" s="38" t="str">
        <f>VLOOKUP(B3600,CAJEROS!B:D,3,0)</f>
        <v>Multifuncional</v>
      </c>
      <c r="I3600" s="34"/>
      <c r="J3600" s="38" t="str">
        <f>VLOOKUP(B3600,CAJEROS!B:E,4,0)</f>
        <v>MF_PASTO</v>
      </c>
      <c r="K3600" t="s">
        <v>579</v>
      </c>
    </row>
    <row r="3601" spans="1:11">
      <c r="A3601" s="32">
        <v>352</v>
      </c>
      <c r="B3601" s="33">
        <v>6618</v>
      </c>
      <c r="C3601" s="3">
        <v>2341000</v>
      </c>
      <c r="D3601" s="3">
        <v>1457000</v>
      </c>
      <c r="E3601" s="7">
        <f t="shared" si="80"/>
        <v>884000</v>
      </c>
      <c r="F3601" s="5">
        <v>45903</v>
      </c>
      <c r="G3601" s="4">
        <v>20250902</v>
      </c>
      <c r="H3601" s="38" t="str">
        <f>VLOOKUP(B3601,CAJEROS!B:D,3,0)</f>
        <v>Multifuncional</v>
      </c>
      <c r="I3601" s="34"/>
      <c r="J3601" s="38" t="str">
        <f>VLOOKUP(B3601,CAJEROS!B:E,4,0)</f>
        <v>MF_CHIQUINQ</v>
      </c>
      <c r="K3601" t="s">
        <v>579</v>
      </c>
    </row>
    <row r="3602" spans="1:11">
      <c r="A3602" s="32">
        <v>385</v>
      </c>
      <c r="B3602" s="33">
        <v>7139</v>
      </c>
      <c r="C3602" s="3">
        <v>2168000</v>
      </c>
      <c r="D3602" s="3"/>
      <c r="E3602" s="7">
        <f t="shared" si="80"/>
        <v>2168000</v>
      </c>
      <c r="F3602" s="5">
        <v>45903</v>
      </c>
      <c r="G3602" s="4">
        <v>20250902</v>
      </c>
      <c r="H3602" s="38" t="str">
        <f>VLOOKUP(B3602,CAJEROS!B:D,3,0)</f>
        <v>Multifuncional</v>
      </c>
      <c r="I3602" s="34"/>
      <c r="J3602" s="38" t="str">
        <f>VLOOKUP(B3602,CAJEROS!B:E,4,0)</f>
        <v>MF_VILLETA</v>
      </c>
      <c r="K3602" t="s">
        <v>579</v>
      </c>
    </row>
    <row r="3603" spans="1:11">
      <c r="A3603" s="32">
        <v>915</v>
      </c>
      <c r="B3603" s="33">
        <v>8313</v>
      </c>
      <c r="C3603" s="3">
        <v>7450000</v>
      </c>
      <c r="D3603" s="3">
        <v>990000</v>
      </c>
      <c r="E3603" s="7">
        <f t="shared" si="80"/>
        <v>6460000</v>
      </c>
      <c r="F3603" s="5">
        <v>45903</v>
      </c>
      <c r="G3603" s="4">
        <v>20250902</v>
      </c>
      <c r="H3603" s="38" t="str">
        <f>VLOOKUP(B3603,CAJEROS!B:D,3,0)</f>
        <v>Multifuncional</v>
      </c>
      <c r="I3603" s="34"/>
      <c r="J3603" s="38" t="str">
        <f>VLOOKUP(B3603,CAJEROS!B:E,4,0)</f>
        <v>MF_BANLABB1</v>
      </c>
      <c r="K3603" t="s">
        <v>579</v>
      </c>
    </row>
    <row r="3604" spans="1:11">
      <c r="A3604" s="32">
        <v>60</v>
      </c>
      <c r="B3604" s="33">
        <v>8727</v>
      </c>
      <c r="C3604" s="3">
        <v>11132000</v>
      </c>
      <c r="D3604" s="3"/>
      <c r="E3604" s="7">
        <f t="shared" si="80"/>
        <v>11132000</v>
      </c>
      <c r="F3604" s="5">
        <v>45903</v>
      </c>
      <c r="G3604" s="4">
        <v>20250902</v>
      </c>
      <c r="H3604" s="38" t="str">
        <f>VLOOKUP(B3604,CAJEROS!B:D,3,0)</f>
        <v>Multifuncional</v>
      </c>
      <c r="I3604" s="34"/>
      <c r="J3604" s="38" t="str">
        <f>VLOOKUP(B3604,CAJEROS!B:E,4,0)</f>
        <v>MF_HCALIPR1</v>
      </c>
      <c r="K3604" t="s">
        <v>579</v>
      </c>
    </row>
    <row r="3605" spans="1:11">
      <c r="A3605" s="32">
        <v>536</v>
      </c>
      <c r="B3605" s="33">
        <v>8988</v>
      </c>
      <c r="C3605" s="3">
        <v>41769950</v>
      </c>
      <c r="D3605" s="3">
        <f>7200900+544000+28015750</f>
        <v>35760650</v>
      </c>
      <c r="E3605" s="7">
        <f t="shared" si="80"/>
        <v>6009300</v>
      </c>
      <c r="F3605" s="5">
        <v>45903</v>
      </c>
      <c r="G3605" s="4">
        <v>20250902</v>
      </c>
      <c r="H3605" s="38" t="str">
        <f>VLOOKUP(B3605,CAJEROS!B:D,3,0)</f>
        <v>Multifuncional</v>
      </c>
      <c r="I3605" s="34"/>
      <c r="J3605" s="38" t="str">
        <f>VLOOKUP(B3605,CAJEROS!B:E,4,0)</f>
        <v>MF_QUIBDO2</v>
      </c>
      <c r="K3605" t="s">
        <v>579</v>
      </c>
    </row>
    <row r="3606" spans="1:11">
      <c r="A3606" s="32">
        <v>795</v>
      </c>
      <c r="B3606" s="33">
        <v>1028</v>
      </c>
      <c r="C3606" s="3">
        <v>200000</v>
      </c>
      <c r="D3606" s="3">
        <v>197000</v>
      </c>
      <c r="E3606" s="7">
        <f t="shared" ref="E3606:E3669" si="81">+C3606-D3606</f>
        <v>3000</v>
      </c>
      <c r="F3606" s="5">
        <v>45903</v>
      </c>
      <c r="G3606" s="4">
        <v>20250902</v>
      </c>
      <c r="H3606" s="38" t="str">
        <f>VLOOKUP(B3606,CAJEROS!B:D,3,0)</f>
        <v>Multifuncional</v>
      </c>
      <c r="I3606" s="34" t="s">
        <v>9</v>
      </c>
      <c r="J3606" s="38" t="str">
        <f>VLOOKUP(B3606,CAJEROS!B:E,4,0)</f>
        <v>MFSUCANVER2</v>
      </c>
      <c r="K3606" t="s">
        <v>579</v>
      </c>
    </row>
    <row r="3607" spans="1:11">
      <c r="A3607" s="32">
        <v>108</v>
      </c>
      <c r="B3607" s="33">
        <v>2254</v>
      </c>
      <c r="C3607" s="3">
        <v>2545000</v>
      </c>
      <c r="D3607" s="3"/>
      <c r="E3607" s="7">
        <f t="shared" si="81"/>
        <v>2545000</v>
      </c>
      <c r="F3607" s="5">
        <v>45903</v>
      </c>
      <c r="G3607" s="4">
        <v>20250902</v>
      </c>
      <c r="H3607" s="38" t="str">
        <f>VLOOKUP(B3607,CAJEROS!B:D,3,0)</f>
        <v>Multifuncional</v>
      </c>
      <c r="I3607" s="34" t="s">
        <v>9</v>
      </c>
      <c r="J3607" s="38" t="str">
        <f>VLOOKUP(B3607,CAJEROS!B:E,4,0)</f>
        <v>MFSUCPAMER2</v>
      </c>
      <c r="K3607" t="s">
        <v>579</v>
      </c>
    </row>
    <row r="3608" spans="1:11">
      <c r="A3608" s="32">
        <v>24</v>
      </c>
      <c r="B3608" s="33">
        <v>5066</v>
      </c>
      <c r="C3608" s="3">
        <v>3040000</v>
      </c>
      <c r="D3608" s="3">
        <v>799900</v>
      </c>
      <c r="E3608" s="7">
        <f t="shared" si="81"/>
        <v>2240100</v>
      </c>
      <c r="F3608" s="5">
        <v>45903</v>
      </c>
      <c r="G3608" s="4">
        <v>20250902</v>
      </c>
      <c r="H3608" s="38" t="str">
        <f>VLOOKUP(B3608,CAJEROS!B:D,3,0)</f>
        <v>Multifuncional</v>
      </c>
      <c r="I3608" s="34" t="s">
        <v>9</v>
      </c>
      <c r="J3608" s="38" t="str">
        <f>VLOOKUP(B3608,CAJEROS!B:E,4,0)</f>
        <v>MF_RIONEGPA</v>
      </c>
      <c r="K3608" t="s">
        <v>579</v>
      </c>
    </row>
    <row r="3609" spans="1:11">
      <c r="A3609" s="32">
        <v>53</v>
      </c>
      <c r="B3609" s="33">
        <v>5141</v>
      </c>
      <c r="C3609" s="3">
        <v>480000</v>
      </c>
      <c r="D3609" s="3"/>
      <c r="E3609" s="7">
        <f t="shared" si="81"/>
        <v>480000</v>
      </c>
      <c r="F3609" s="5">
        <v>45903</v>
      </c>
      <c r="G3609" s="4">
        <v>20250902</v>
      </c>
      <c r="H3609" s="38" t="str">
        <f>VLOOKUP(B3609,CAJEROS!B:D,3,0)</f>
        <v>Multifuncional</v>
      </c>
      <c r="I3609" s="34" t="s">
        <v>9</v>
      </c>
      <c r="J3609" s="38" t="str">
        <f>VLOOKUP(B3609,CAJEROS!B:E,4,0)</f>
        <v>MF_CARRDECI</v>
      </c>
      <c r="K3609" t="s">
        <v>579</v>
      </c>
    </row>
    <row r="3610" spans="1:11">
      <c r="A3610" s="32">
        <v>40</v>
      </c>
      <c r="B3610" s="33">
        <v>5142</v>
      </c>
      <c r="C3610" s="3">
        <v>1370000</v>
      </c>
      <c r="D3610" s="3">
        <v>1350000</v>
      </c>
      <c r="E3610" s="7">
        <f t="shared" si="81"/>
        <v>20000</v>
      </c>
      <c r="F3610" s="5">
        <v>45903</v>
      </c>
      <c r="G3610" s="4">
        <v>20250902</v>
      </c>
      <c r="H3610" s="38" t="str">
        <f>VLOOKUP(B3610,CAJEROS!B:D,3,0)</f>
        <v>Multifuncional</v>
      </c>
      <c r="I3610" s="34" t="s">
        <v>9</v>
      </c>
      <c r="J3610" s="38" t="str">
        <f>VLOOKUP(B3610,CAJEROS!B:E,4,0)</f>
        <v>MF_CENTRO93</v>
      </c>
      <c r="K3610" t="s">
        <v>579</v>
      </c>
    </row>
    <row r="3611" spans="1:11">
      <c r="A3611" s="32">
        <v>750</v>
      </c>
      <c r="B3611" s="33">
        <v>5157</v>
      </c>
      <c r="C3611" s="3">
        <v>1780000</v>
      </c>
      <c r="D3611" s="3"/>
      <c r="E3611" s="7">
        <f t="shared" si="81"/>
        <v>1780000</v>
      </c>
      <c r="F3611" s="5">
        <v>45903</v>
      </c>
      <c r="G3611" s="4">
        <v>20250902</v>
      </c>
      <c r="H3611" s="38" t="str">
        <f>VLOOKUP(B3611,CAJEROS!B:D,3,0)</f>
        <v>Multifuncional</v>
      </c>
      <c r="I3611" s="34" t="s">
        <v>9</v>
      </c>
      <c r="J3611" s="38" t="str">
        <f>VLOOKUP(B3611,CAJEROS!B:E,4,0)</f>
        <v>MF_AVROOSVL</v>
      </c>
      <c r="K3611" t="s">
        <v>579</v>
      </c>
    </row>
    <row r="3612" spans="1:11">
      <c r="A3612" s="32">
        <v>70</v>
      </c>
      <c r="B3612" s="33">
        <v>5164</v>
      </c>
      <c r="C3612" s="3">
        <v>3750000</v>
      </c>
      <c r="D3612" s="3">
        <f>1480000+735000+660000</f>
        <v>2875000</v>
      </c>
      <c r="E3612" s="7">
        <f t="shared" si="81"/>
        <v>875000</v>
      </c>
      <c r="F3612" s="5">
        <v>45903</v>
      </c>
      <c r="G3612" s="4">
        <v>20250902</v>
      </c>
      <c r="H3612" s="38" t="str">
        <f>VLOOKUP(B3612,CAJEROS!B:D,3,0)</f>
        <v>Multifuncional</v>
      </c>
      <c r="I3612" s="34" t="s">
        <v>9</v>
      </c>
      <c r="J3612" s="38" t="str">
        <f>VLOOKUP(B3612,CAJEROS!B:E,4,0)</f>
        <v>MF_MANIZALE</v>
      </c>
      <c r="K3612" t="s">
        <v>579</v>
      </c>
    </row>
    <row r="3613" spans="1:11">
      <c r="A3613" s="32">
        <v>302</v>
      </c>
      <c r="B3613" s="33">
        <v>5170</v>
      </c>
      <c r="C3613" s="3">
        <v>220000</v>
      </c>
      <c r="D3613" s="3">
        <v>85000</v>
      </c>
      <c r="E3613" s="7">
        <f t="shared" si="81"/>
        <v>135000</v>
      </c>
      <c r="F3613" s="5">
        <v>45903</v>
      </c>
      <c r="G3613" s="4">
        <v>20250902</v>
      </c>
      <c r="H3613" s="38" t="str">
        <f>VLOOKUP(B3613,CAJEROS!B:D,3,0)</f>
        <v>Multifuncional</v>
      </c>
      <c r="I3613" s="34" t="s">
        <v>9</v>
      </c>
      <c r="J3613" s="38" t="str">
        <f>VLOOKUP(B3613,CAJEROS!B:E,4,0)</f>
        <v>MF_QUEBRASE</v>
      </c>
      <c r="K3613" t="s">
        <v>579</v>
      </c>
    </row>
    <row r="3614" spans="1:11">
      <c r="A3614" s="32">
        <v>816</v>
      </c>
      <c r="B3614" s="33">
        <v>5205</v>
      </c>
      <c r="C3614" s="3">
        <v>2743000</v>
      </c>
      <c r="D3614" s="3">
        <f>294000+950000</f>
        <v>1244000</v>
      </c>
      <c r="E3614" s="7">
        <f t="shared" si="81"/>
        <v>1499000</v>
      </c>
      <c r="F3614" s="5">
        <v>45903</v>
      </c>
      <c r="G3614" s="4">
        <v>20250902</v>
      </c>
      <c r="H3614" s="38" t="str">
        <f>VLOOKUP(B3614,CAJEROS!B:D,3,0)</f>
        <v>Multifuncional</v>
      </c>
      <c r="I3614" s="34" t="s">
        <v>9</v>
      </c>
      <c r="J3614" s="38" t="str">
        <f>VLOOKUP(B3614,CAJEROS!B:E,4,0)</f>
        <v>MF_SUCLLE10</v>
      </c>
      <c r="K3614" t="s">
        <v>579</v>
      </c>
    </row>
    <row r="3615" spans="1:11">
      <c r="A3615" s="32">
        <v>793</v>
      </c>
      <c r="B3615" s="33">
        <v>5216</v>
      </c>
      <c r="C3615" s="3">
        <v>8224500</v>
      </c>
      <c r="D3615" s="3">
        <f>1350000+3850000+740000+640000+380000</f>
        <v>6960000</v>
      </c>
      <c r="E3615" s="7">
        <f t="shared" si="81"/>
        <v>1264500</v>
      </c>
      <c r="F3615" s="5">
        <v>45903</v>
      </c>
      <c r="G3615" s="4">
        <v>20250902</v>
      </c>
      <c r="H3615" s="38" t="str">
        <f>VLOOKUP(B3615,CAJEROS!B:D,3,0)</f>
        <v>Multifuncional</v>
      </c>
      <c r="I3615" s="34" t="s">
        <v>9</v>
      </c>
      <c r="J3615" s="38" t="str">
        <f>VLOOKUP(B3615,CAJEROS!B:E,4,0)</f>
        <v>MF_PROFENAL</v>
      </c>
      <c r="K3615" t="s">
        <v>579</v>
      </c>
    </row>
    <row r="3616" spans="1:11">
      <c r="A3616" s="32">
        <v>168</v>
      </c>
      <c r="B3616" s="33">
        <v>5224</v>
      </c>
      <c r="C3616" s="3">
        <v>1664150</v>
      </c>
      <c r="D3616" s="3">
        <v>1605500</v>
      </c>
      <c r="E3616" s="7">
        <f t="shared" si="81"/>
        <v>58650</v>
      </c>
      <c r="F3616" s="5">
        <v>45903</v>
      </c>
      <c r="G3616" s="4">
        <v>20250902</v>
      </c>
      <c r="H3616" s="38" t="str">
        <f>VLOOKUP(B3616,CAJEROS!B:D,3,0)</f>
        <v>Multifuncional</v>
      </c>
      <c r="I3616" s="34" t="s">
        <v>9</v>
      </c>
      <c r="J3616" s="38" t="str">
        <f>VLOOKUP(B3616,CAJEROS!B:E,4,0)</f>
        <v>MF_TOBERIN</v>
      </c>
      <c r="K3616" t="s">
        <v>579</v>
      </c>
    </row>
    <row r="3617" spans="1:11">
      <c r="A3617" s="32">
        <v>236</v>
      </c>
      <c r="B3617" s="33">
        <v>6242</v>
      </c>
      <c r="C3617" s="3">
        <v>61500</v>
      </c>
      <c r="D3617" s="3"/>
      <c r="E3617" s="7">
        <f t="shared" si="81"/>
        <v>61500</v>
      </c>
      <c r="F3617" s="5">
        <v>45903</v>
      </c>
      <c r="G3617" s="4">
        <v>20250902</v>
      </c>
      <c r="H3617" s="38" t="str">
        <f>VLOOKUP(B3617,CAJEROS!B:D,3,0)</f>
        <v>Multifuncional</v>
      </c>
      <c r="I3617" s="34" t="s">
        <v>9</v>
      </c>
      <c r="J3617" s="38" t="str">
        <f>VLOOKUP(B3617,CAJEROS!B:E,4,0)</f>
        <v>MF_EXITCOLO</v>
      </c>
      <c r="K3617" t="s">
        <v>579</v>
      </c>
    </row>
    <row r="3618" spans="1:11">
      <c r="A3618" s="32">
        <v>79</v>
      </c>
      <c r="B3618" s="33">
        <v>6245</v>
      </c>
      <c r="C3618" s="3">
        <v>3000000</v>
      </c>
      <c r="D3618" s="3">
        <v>2980000</v>
      </c>
      <c r="E3618" s="7">
        <f t="shared" si="81"/>
        <v>20000</v>
      </c>
      <c r="F3618" s="5">
        <v>45903</v>
      </c>
      <c r="G3618" s="4">
        <v>20250902</v>
      </c>
      <c r="H3618" s="38" t="str">
        <f>VLOOKUP(B3618,CAJEROS!B:D,3,0)</f>
        <v>Multifuncional</v>
      </c>
      <c r="I3618" s="34" t="s">
        <v>9</v>
      </c>
      <c r="J3618" s="38" t="str">
        <f>VLOOKUP(B3618,CAJEROS!B:E,4,0)</f>
        <v>MF_LAQUINTA</v>
      </c>
      <c r="K3618" t="s">
        <v>579</v>
      </c>
    </row>
    <row r="3619" spans="1:11">
      <c r="A3619" s="32">
        <v>371</v>
      </c>
      <c r="B3619" s="33">
        <v>6718</v>
      </c>
      <c r="C3619" s="3">
        <v>530000</v>
      </c>
      <c r="D3619" s="3">
        <v>489800</v>
      </c>
      <c r="E3619" s="7">
        <f t="shared" si="81"/>
        <v>40200</v>
      </c>
      <c r="F3619" s="5">
        <v>45903</v>
      </c>
      <c r="G3619" s="4">
        <v>20250902</v>
      </c>
      <c r="H3619" s="38" t="str">
        <f>VLOOKUP(B3619,CAJEROS!B:D,3,0)</f>
        <v>Multifuncional</v>
      </c>
      <c r="I3619" s="34" t="s">
        <v>9</v>
      </c>
      <c r="J3619" s="38" t="str">
        <f>VLOOKUP(B3619,CAJEROS!B:E,4,0)</f>
        <v>MF_CAUCASIA</v>
      </c>
      <c r="K3619" t="s">
        <v>579</v>
      </c>
    </row>
    <row r="3620" spans="1:11">
      <c r="A3620" s="32">
        <v>741</v>
      </c>
      <c r="B3620" s="33">
        <v>6843</v>
      </c>
      <c r="C3620" s="3">
        <v>1056000</v>
      </c>
      <c r="D3620" s="3"/>
      <c r="E3620" s="7">
        <f t="shared" si="81"/>
        <v>1056000</v>
      </c>
      <c r="F3620" s="5">
        <v>45903</v>
      </c>
      <c r="G3620" s="4">
        <v>20250902</v>
      </c>
      <c r="H3620" s="38" t="str">
        <f>VLOOKUP(B3620,CAJEROS!B:D,3,0)</f>
        <v>Multifuncional</v>
      </c>
      <c r="I3620" s="34" t="s">
        <v>9</v>
      </c>
      <c r="J3620" s="38" t="str">
        <f>VLOOKUP(B3620,CAJEROS!B:E,4,0)</f>
        <v>MFSUC_IDEO1</v>
      </c>
      <c r="K3620" t="s">
        <v>579</v>
      </c>
    </row>
    <row r="3621" spans="1:11">
      <c r="A3621" s="32">
        <v>93</v>
      </c>
      <c r="B3621" s="33">
        <v>7126</v>
      </c>
      <c r="C3621" s="3">
        <v>3148000</v>
      </c>
      <c r="D3621" s="3"/>
      <c r="E3621" s="7">
        <f t="shared" si="81"/>
        <v>3148000</v>
      </c>
      <c r="F3621" s="5">
        <v>45903</v>
      </c>
      <c r="G3621" s="4">
        <v>20250902</v>
      </c>
      <c r="H3621" s="38" t="str">
        <f>VLOOKUP(B3621,CAJEROS!B:D,3,0)</f>
        <v>Multifuncional</v>
      </c>
      <c r="I3621" s="34" t="s">
        <v>9</v>
      </c>
      <c r="J3621" s="38" t="str">
        <f>VLOOKUP(B3621,CAJEROS!B:E,4,0)</f>
        <v>MF_SAHAGUN</v>
      </c>
      <c r="K3621" t="s">
        <v>579</v>
      </c>
    </row>
    <row r="3622" spans="1:11">
      <c r="A3622" s="32">
        <v>332</v>
      </c>
      <c r="B3622" s="33">
        <v>7569</v>
      </c>
      <c r="C3622" s="3">
        <v>3800000</v>
      </c>
      <c r="D3622" s="3">
        <v>3360000</v>
      </c>
      <c r="E3622" s="7">
        <f t="shared" si="81"/>
        <v>440000</v>
      </c>
      <c r="F3622" s="5">
        <v>45903</v>
      </c>
      <c r="G3622" s="4">
        <v>20250902</v>
      </c>
      <c r="H3622" s="38" t="str">
        <f>VLOOKUP(B3622,CAJEROS!B:D,3,0)</f>
        <v>Multifuncional</v>
      </c>
      <c r="I3622" s="34" t="s">
        <v>9</v>
      </c>
      <c r="J3622" s="38" t="str">
        <f>VLOOKUP(B3622,CAJEROS!B:E,4,0)</f>
        <v>MF_ZIPAQUI2</v>
      </c>
      <c r="K3622" t="s">
        <v>579</v>
      </c>
    </row>
    <row r="3623" spans="1:11">
      <c r="A3623" s="32">
        <v>554</v>
      </c>
      <c r="B3623" s="33">
        <v>8295</v>
      </c>
      <c r="C3623" s="3">
        <v>3296000</v>
      </c>
      <c r="D3623" s="3">
        <v>860000</v>
      </c>
      <c r="E3623" s="7">
        <f t="shared" si="81"/>
        <v>2436000</v>
      </c>
      <c r="F3623" s="5">
        <v>45903</v>
      </c>
      <c r="G3623" s="4">
        <v>20250902</v>
      </c>
      <c r="H3623" s="38" t="str">
        <f>VLOOKUP(B3623,CAJEROS!B:D,3,0)</f>
        <v>Multifuncional</v>
      </c>
      <c r="I3623" s="34" t="s">
        <v>9</v>
      </c>
      <c r="J3623" s="38" t="str">
        <f>VLOOKUP(B3623,CAJEROS!B:E,4,0)</f>
        <v>MF_SBUVIII2</v>
      </c>
      <c r="K3623" t="s">
        <v>579</v>
      </c>
    </row>
    <row r="3624" spans="1:11">
      <c r="A3624" s="32">
        <v>236</v>
      </c>
      <c r="B3624" s="33">
        <v>8497</v>
      </c>
      <c r="C3624" s="3">
        <v>2224000</v>
      </c>
      <c r="D3624" s="3"/>
      <c r="E3624" s="7">
        <f t="shared" si="81"/>
        <v>2224000</v>
      </c>
      <c r="F3624" s="5">
        <v>45903</v>
      </c>
      <c r="G3624" s="4">
        <v>20250902</v>
      </c>
      <c r="H3624" s="38" t="str">
        <f>VLOOKUP(B3624,CAJEROS!B:D,3,0)</f>
        <v>Multifuncional</v>
      </c>
      <c r="I3624" s="34" t="s">
        <v>9</v>
      </c>
      <c r="J3624" s="38" t="str">
        <f>VLOOKUP(B3624,CAJEROS!B:E,4,0)</f>
        <v>MF_EXITCOL2</v>
      </c>
      <c r="K3624" t="s">
        <v>579</v>
      </c>
    </row>
    <row r="3625" spans="1:11">
      <c r="A3625" s="32">
        <v>60</v>
      </c>
      <c r="B3625" s="33">
        <v>8728</v>
      </c>
      <c r="C3625" s="3">
        <v>6030950</v>
      </c>
      <c r="D3625" s="3">
        <f>3832950+98000+335100</f>
        <v>4266050</v>
      </c>
      <c r="E3625" s="7">
        <f t="shared" si="81"/>
        <v>1764900</v>
      </c>
      <c r="F3625" s="5">
        <v>45903</v>
      </c>
      <c r="G3625" s="4">
        <v>20250902</v>
      </c>
      <c r="H3625" s="38" t="str">
        <f>VLOOKUP(B3625,CAJEROS!B:D,3,0)</f>
        <v>Multifuncional</v>
      </c>
      <c r="I3625" s="34" t="s">
        <v>9</v>
      </c>
      <c r="J3625" s="38" t="str">
        <f>VLOOKUP(B3625,CAJEROS!B:E,4,0)</f>
        <v>MF_HCALIPR2</v>
      </c>
      <c r="K3625" t="s">
        <v>579</v>
      </c>
    </row>
    <row r="3626" spans="1:11">
      <c r="A3626" s="32">
        <v>33</v>
      </c>
      <c r="B3626" s="33">
        <v>8861</v>
      </c>
      <c r="C3626" s="3">
        <v>409000</v>
      </c>
      <c r="D3626" s="3">
        <v>392000</v>
      </c>
      <c r="E3626" s="7">
        <f t="shared" si="81"/>
        <v>17000</v>
      </c>
      <c r="F3626" s="5">
        <v>45903</v>
      </c>
      <c r="G3626" s="4">
        <v>20250902</v>
      </c>
      <c r="H3626" s="38" t="str">
        <f>VLOOKUP(B3626,CAJEROS!B:D,3,0)</f>
        <v>Multifuncional</v>
      </c>
      <c r="I3626" s="34" t="s">
        <v>9</v>
      </c>
      <c r="J3626" s="38" t="str">
        <f>VLOOKUP(B3626,CAJEROS!B:E,4,0)</f>
        <v>MF_SPOLCLU1</v>
      </c>
      <c r="K3626" t="s">
        <v>579</v>
      </c>
    </row>
    <row r="3627" spans="1:11">
      <c r="A3627" s="32">
        <v>20</v>
      </c>
      <c r="B3627" s="33">
        <v>8927</v>
      </c>
      <c r="C3627" s="3">
        <v>449300</v>
      </c>
      <c r="D3627" s="3"/>
      <c r="E3627" s="7">
        <f t="shared" si="81"/>
        <v>449300</v>
      </c>
      <c r="F3627" s="5">
        <v>45903</v>
      </c>
      <c r="G3627" s="4">
        <v>20250902</v>
      </c>
      <c r="H3627" s="38" t="str">
        <f>VLOOKUP(B3627,CAJEROS!B:D,3,0)</f>
        <v>Multifuncional</v>
      </c>
      <c r="I3627" s="34" t="s">
        <v>9</v>
      </c>
      <c r="J3627" s="38" t="str">
        <f>VLOOKUP(B3627,CAJEROS!B:E,4,0)</f>
        <v>MFSUCBUCMG2</v>
      </c>
      <c r="K3627" t="s">
        <v>579</v>
      </c>
    </row>
    <row r="3628" spans="1:11">
      <c r="A3628" s="32">
        <v>959</v>
      </c>
      <c r="B3628" s="33">
        <v>9265</v>
      </c>
      <c r="C3628" s="3">
        <v>131000</v>
      </c>
      <c r="D3628" s="3">
        <v>81000</v>
      </c>
      <c r="E3628" s="7">
        <f t="shared" si="81"/>
        <v>50000</v>
      </c>
      <c r="F3628" s="5">
        <v>45903</v>
      </c>
      <c r="G3628" s="4">
        <v>20250902</v>
      </c>
      <c r="H3628" s="38" t="str">
        <f>VLOOKUP(B3628,CAJEROS!B:D,3,0)</f>
        <v>Multifuncional</v>
      </c>
      <c r="I3628" s="34" t="s">
        <v>9</v>
      </c>
      <c r="J3628" s="38" t="str">
        <f>VLOOKUP(B3628,CAJEROS!B:E,4,0)</f>
        <v>MFSUCTURBO1</v>
      </c>
      <c r="K3628" t="s">
        <v>579</v>
      </c>
    </row>
    <row r="3629" spans="1:11">
      <c r="A3629" s="32">
        <v>64</v>
      </c>
      <c r="B3629" s="33">
        <v>9306</v>
      </c>
      <c r="C3629" s="3">
        <v>1750000</v>
      </c>
      <c r="D3629" s="3"/>
      <c r="E3629" s="7">
        <f t="shared" si="81"/>
        <v>1750000</v>
      </c>
      <c r="F3629" s="5">
        <v>45903</v>
      </c>
      <c r="G3629" s="4">
        <v>20250902</v>
      </c>
      <c r="H3629" s="38" t="str">
        <f>VLOOKUP(B3629,CAJEROS!B:D,3,0)</f>
        <v>Multifuncional</v>
      </c>
      <c r="I3629" s="34" t="s">
        <v>9</v>
      </c>
      <c r="J3629" s="38" t="str">
        <f>VLOOKUP(B3629,CAJEROS!B:E,4,0)</f>
        <v>MFSUCVIPA1</v>
      </c>
      <c r="K3629" t="s">
        <v>579</v>
      </c>
    </row>
    <row r="3630" spans="1:11">
      <c r="A3630" s="32">
        <v>876</v>
      </c>
      <c r="B3630" s="33">
        <v>9682</v>
      </c>
      <c r="C3630" s="3">
        <v>2160000</v>
      </c>
      <c r="D3630" s="3">
        <f>90000+1985000</f>
        <v>2075000</v>
      </c>
      <c r="E3630" s="7">
        <f t="shared" si="81"/>
        <v>85000</v>
      </c>
      <c r="F3630" s="5">
        <v>45903</v>
      </c>
      <c r="G3630" s="4">
        <v>20250902</v>
      </c>
      <c r="H3630" s="38" t="str">
        <f>VLOOKUP(B3630,CAJEROS!B:D,3,0)</f>
        <v>Multifuncional</v>
      </c>
      <c r="I3630" s="34" t="s">
        <v>9</v>
      </c>
      <c r="J3630" s="38" t="str">
        <f>VLOOKUP(B3630,CAJEROS!B:E,4,0)</f>
        <v>MF_VILCAM1</v>
      </c>
      <c r="K3630" t="s">
        <v>579</v>
      </c>
    </row>
    <row r="3631" spans="1:11">
      <c r="A3631" s="32">
        <v>57</v>
      </c>
      <c r="B3631" s="33">
        <v>9963</v>
      </c>
      <c r="C3631" s="3">
        <v>3380000</v>
      </c>
      <c r="D3631" s="3">
        <v>2184750</v>
      </c>
      <c r="E3631" s="7">
        <f t="shared" si="81"/>
        <v>1195250</v>
      </c>
      <c r="F3631" s="5">
        <v>45903</v>
      </c>
      <c r="G3631" s="4">
        <v>20250902</v>
      </c>
      <c r="H3631" s="38" t="str">
        <f>VLOOKUP(B3631,CAJEROS!B:D,3,0)</f>
        <v>Multifuncional</v>
      </c>
      <c r="I3631" s="34" t="s">
        <v>9</v>
      </c>
      <c r="J3631" s="38" t="str">
        <f>VLOOKUP(B3631,CAJEROS!B:E,4,0)</f>
        <v>MF_VILLAVI1</v>
      </c>
      <c r="K3631" t="s">
        <v>579</v>
      </c>
    </row>
    <row r="3632" spans="1:11">
      <c r="A3632" s="32">
        <v>32</v>
      </c>
      <c r="B3632" s="33">
        <v>5027</v>
      </c>
      <c r="C3632" s="3">
        <v>9000</v>
      </c>
      <c r="D3632" s="3">
        <f>2900+2000</f>
        <v>4900</v>
      </c>
      <c r="E3632" s="7">
        <f t="shared" si="81"/>
        <v>4100</v>
      </c>
      <c r="F3632" s="5">
        <v>45903</v>
      </c>
      <c r="G3632" s="4">
        <v>20250902</v>
      </c>
      <c r="H3632" s="38" t="str">
        <f>VLOOKUP(B3632,CAJEROS!B:D,3,0)</f>
        <v>Multifuncional</v>
      </c>
      <c r="I3632" s="34" t="s">
        <v>10</v>
      </c>
      <c r="J3632" s="38" t="str">
        <f>VLOOKUP(B3632,CAJEROS!B:E,4,0)</f>
        <v>MF_ANTCOUNT</v>
      </c>
      <c r="K3632" t="s">
        <v>579</v>
      </c>
    </row>
    <row r="3633" spans="1:11">
      <c r="A3633" s="32">
        <v>486</v>
      </c>
      <c r="B3633" s="33">
        <v>5081</v>
      </c>
      <c r="C3633" s="3">
        <v>2000</v>
      </c>
      <c r="D3633" s="3"/>
      <c r="E3633" s="7">
        <f t="shared" si="81"/>
        <v>2000</v>
      </c>
      <c r="F3633" s="5">
        <v>45903</v>
      </c>
      <c r="G3633" s="4">
        <v>20250902</v>
      </c>
      <c r="H3633" s="38" t="str">
        <f>VLOOKUP(B3633,CAJEROS!B:D,3,0)</f>
        <v>Multifuncional</v>
      </c>
      <c r="I3633" s="34" t="s">
        <v>10</v>
      </c>
      <c r="J3633" s="38" t="str">
        <f>VLOOKUP(B3633,CAJEROS!B:E,4,0)</f>
        <v>MF_SANNIBA1</v>
      </c>
      <c r="K3633" t="s">
        <v>579</v>
      </c>
    </row>
    <row r="3634" spans="1:11">
      <c r="A3634" s="32">
        <v>33</v>
      </c>
      <c r="B3634" s="33">
        <v>8859</v>
      </c>
      <c r="C3634" s="3">
        <v>10000</v>
      </c>
      <c r="D3634" s="3"/>
      <c r="E3634" s="7">
        <f t="shared" si="81"/>
        <v>10000</v>
      </c>
      <c r="F3634" s="5">
        <v>45904</v>
      </c>
      <c r="G3634" s="4">
        <v>20250903</v>
      </c>
      <c r="H3634" s="38" t="str">
        <f>VLOOKUP(B3634,CAJEROS!B:D,3,0)</f>
        <v>Dispensador</v>
      </c>
      <c r="I3634" s="34"/>
      <c r="J3634" s="38" t="str">
        <f>VLOOKUP(B3634,CAJEROS!B:E,4,0)</f>
        <v>SUCPOLCLUB1</v>
      </c>
      <c r="K3634" t="s">
        <v>579</v>
      </c>
    </row>
    <row r="3635" spans="1:11">
      <c r="A3635" s="32">
        <v>108</v>
      </c>
      <c r="B3635" s="33">
        <v>2042</v>
      </c>
      <c r="C3635" s="3">
        <v>20000</v>
      </c>
      <c r="D3635" s="3"/>
      <c r="E3635" s="7">
        <f t="shared" si="81"/>
        <v>20000</v>
      </c>
      <c r="F3635" s="5">
        <v>45904</v>
      </c>
      <c r="G3635" s="4">
        <v>20250903</v>
      </c>
      <c r="H3635" s="38" t="str">
        <f>VLOOKUP(B3635,CAJEROS!B:D,3,0)</f>
        <v>Dispensador</v>
      </c>
      <c r="I3635" s="34"/>
      <c r="J3635" s="38" t="str">
        <f>VLOOKUP(B3635,CAJEROS!B:E,4,0)</f>
        <v>SUCPLZAMER5</v>
      </c>
      <c r="K3635" t="s">
        <v>579</v>
      </c>
    </row>
    <row r="3636" spans="1:11">
      <c r="A3636" s="32">
        <v>216</v>
      </c>
      <c r="B3636" s="33">
        <v>4434</v>
      </c>
      <c r="C3636" s="3">
        <v>450000</v>
      </c>
      <c r="D3636" s="3"/>
      <c r="E3636" s="7">
        <f t="shared" si="81"/>
        <v>450000</v>
      </c>
      <c r="F3636" s="5">
        <v>45904</v>
      </c>
      <c r="G3636" s="4">
        <v>20250903</v>
      </c>
      <c r="H3636" s="38" t="str">
        <f>VLOOKUP(B3636,CAJEROS!B:D,3,0)</f>
        <v>Dispensador</v>
      </c>
      <c r="I3636" s="34"/>
      <c r="J3636" s="38" t="str">
        <f>VLOOKUP(B3636,CAJEROS!B:E,4,0)</f>
        <v>SUC_SABANA2</v>
      </c>
      <c r="K3636" t="s">
        <v>579</v>
      </c>
    </row>
    <row r="3637" spans="1:11">
      <c r="A3637" s="32">
        <v>355</v>
      </c>
      <c r="B3637" s="33">
        <v>5360</v>
      </c>
      <c r="C3637" s="3">
        <v>40000</v>
      </c>
      <c r="D3637" s="3"/>
      <c r="E3637" s="7">
        <f t="shared" si="81"/>
        <v>40000</v>
      </c>
      <c r="F3637" s="5">
        <v>45904</v>
      </c>
      <c r="G3637" s="4">
        <v>20250903</v>
      </c>
      <c r="H3637" s="38" t="str">
        <f>VLOOKUP(B3637,CAJEROS!B:D,3,0)</f>
        <v>Dispensador</v>
      </c>
      <c r="I3637" s="34"/>
      <c r="J3637" s="38" t="str">
        <f>VLOOKUP(B3637,CAJEROS!B:E,4,0)</f>
        <v>SIMIJACA1</v>
      </c>
      <c r="K3637" t="s">
        <v>579</v>
      </c>
    </row>
    <row r="3638" spans="1:11">
      <c r="A3638" s="32">
        <v>492</v>
      </c>
      <c r="B3638" s="33">
        <v>6238</v>
      </c>
      <c r="C3638" s="3">
        <v>30000</v>
      </c>
      <c r="D3638" s="3"/>
      <c r="E3638" s="7">
        <f t="shared" si="81"/>
        <v>30000</v>
      </c>
      <c r="F3638" s="5">
        <v>45904</v>
      </c>
      <c r="G3638" s="4">
        <v>20250903</v>
      </c>
      <c r="H3638" s="38" t="str">
        <f>VLOOKUP(B3638,CAJEROS!B:D,3,0)</f>
        <v>Dispensador</v>
      </c>
      <c r="I3638" s="34"/>
      <c r="J3638" s="38" t="str">
        <f>VLOOKUP(B3638,CAJEROS!B:E,4,0)</f>
        <v>SUCGARAGOA</v>
      </c>
      <c r="K3638" t="s">
        <v>579</v>
      </c>
    </row>
    <row r="3639" spans="1:11">
      <c r="A3639" s="32">
        <v>677</v>
      </c>
      <c r="B3639" s="33">
        <v>6896</v>
      </c>
      <c r="C3639" s="3">
        <v>5320000</v>
      </c>
      <c r="D3639" s="3"/>
      <c r="E3639" s="7">
        <f t="shared" si="81"/>
        <v>5320000</v>
      </c>
      <c r="F3639" s="5">
        <v>45904</v>
      </c>
      <c r="G3639" s="4">
        <v>20250903</v>
      </c>
      <c r="H3639" s="38" t="str">
        <f>VLOOKUP(B3639,CAJEROS!B:D,3,0)</f>
        <v>Dispensador</v>
      </c>
      <c r="I3639" s="34"/>
      <c r="J3639" s="38" t="str">
        <f>VLOOKUP(B3639,CAJEROS!B:E,4,0)</f>
        <v>SUCPLZMERC2</v>
      </c>
      <c r="K3639" t="s">
        <v>579</v>
      </c>
    </row>
    <row r="3640" spans="1:11">
      <c r="A3640" s="32">
        <v>708</v>
      </c>
      <c r="B3640" s="33">
        <v>5752</v>
      </c>
      <c r="C3640" s="3">
        <v>100000</v>
      </c>
      <c r="D3640" s="3"/>
      <c r="E3640" s="7">
        <f t="shared" si="81"/>
        <v>100000</v>
      </c>
      <c r="F3640" s="5">
        <v>45904</v>
      </c>
      <c r="G3640" s="4">
        <v>20250903</v>
      </c>
      <c r="H3640" s="38" t="str">
        <f>VLOOKUP(B3640,CAJEROS!B:D,3,0)</f>
        <v>Dispensador</v>
      </c>
      <c r="I3640" s="34"/>
      <c r="J3640" s="38" t="str">
        <f>VLOOKUP(B3640,CAJEROS!B:E,4,0)</f>
        <v>SUC_ANSER2</v>
      </c>
      <c r="K3640" t="s">
        <v>579</v>
      </c>
    </row>
    <row r="3641" spans="1:11">
      <c r="A3641" s="32">
        <v>254</v>
      </c>
      <c r="B3641" s="33">
        <v>9213</v>
      </c>
      <c r="C3641" s="3">
        <v>200000</v>
      </c>
      <c r="D3641" s="3">
        <v>120000</v>
      </c>
      <c r="E3641" s="7">
        <f t="shared" si="81"/>
        <v>80000</v>
      </c>
      <c r="F3641" s="5">
        <v>45904</v>
      </c>
      <c r="G3641" s="4">
        <v>20250903</v>
      </c>
      <c r="H3641" s="38" t="str">
        <f>VLOOKUP(B3641,CAJEROS!B:D,3,0)</f>
        <v>Dispensador</v>
      </c>
      <c r="I3641" s="34" t="s">
        <v>9</v>
      </c>
      <c r="J3641" s="38" t="str">
        <f>VLOOKUP(B3641,CAJEROS!B:E,4,0)</f>
        <v>PTOBOYACA3</v>
      </c>
      <c r="K3641" t="s">
        <v>579</v>
      </c>
    </row>
    <row r="3642" spans="1:11">
      <c r="A3642" s="32">
        <v>289</v>
      </c>
      <c r="B3642" s="33">
        <v>8874</v>
      </c>
      <c r="C3642" s="3">
        <v>100000</v>
      </c>
      <c r="D3642" s="3">
        <v>90000</v>
      </c>
      <c r="E3642" s="7">
        <f t="shared" si="81"/>
        <v>10000</v>
      </c>
      <c r="F3642" s="5">
        <v>45904</v>
      </c>
      <c r="G3642" s="4">
        <v>20250903</v>
      </c>
      <c r="H3642" s="38" t="str">
        <f>VLOOKUP(B3642,CAJEROS!B:D,3,0)</f>
        <v>Dispensador</v>
      </c>
      <c r="I3642" s="34" t="s">
        <v>9</v>
      </c>
      <c r="J3642" s="38" t="str">
        <f>VLOOKUP(B3642,CAJEROS!B:E,4,0)</f>
        <v>PUERTO_GAI5</v>
      </c>
      <c r="K3642" t="s">
        <v>579</v>
      </c>
    </row>
    <row r="3643" spans="1:11">
      <c r="A3643" s="32">
        <v>392</v>
      </c>
      <c r="B3643" s="33">
        <v>5265</v>
      </c>
      <c r="C3643" s="3">
        <v>150000</v>
      </c>
      <c r="D3643" s="3"/>
      <c r="E3643" s="7">
        <f t="shared" si="81"/>
        <v>150000</v>
      </c>
      <c r="F3643" s="5">
        <v>45904</v>
      </c>
      <c r="G3643" s="4">
        <v>20250903</v>
      </c>
      <c r="H3643" s="38" t="str">
        <f>VLOOKUP(B3643,CAJEROS!B:D,3,0)</f>
        <v>Dispensador</v>
      </c>
      <c r="I3643" s="34" t="s">
        <v>9</v>
      </c>
      <c r="J3643" s="38" t="str">
        <f>VLOOKUP(B3643,CAJEROS!B:E,4,0)</f>
        <v>SUC_LADORA4</v>
      </c>
      <c r="K3643" t="s">
        <v>579</v>
      </c>
    </row>
    <row r="3644" spans="1:11">
      <c r="A3644" s="32">
        <v>426</v>
      </c>
      <c r="B3644" s="33">
        <v>7819</v>
      </c>
      <c r="C3644" s="3">
        <v>50000</v>
      </c>
      <c r="D3644" s="3"/>
      <c r="E3644" s="7">
        <f t="shared" si="81"/>
        <v>50000</v>
      </c>
      <c r="F3644" s="5">
        <v>45904</v>
      </c>
      <c r="G3644" s="4">
        <v>20250903</v>
      </c>
      <c r="H3644" s="38" t="str">
        <f>VLOOKUP(B3644,CAJEROS!B:D,3,0)</f>
        <v>Dispensador</v>
      </c>
      <c r="I3644" s="34" t="s">
        <v>9</v>
      </c>
      <c r="J3644" s="38" t="str">
        <f>VLOOKUP(B3644,CAJEROS!B:E,4,0)</f>
        <v>PURIFICACI2</v>
      </c>
      <c r="K3644" t="s">
        <v>579</v>
      </c>
    </row>
    <row r="3645" spans="1:11">
      <c r="A3645" s="32">
        <v>631</v>
      </c>
      <c r="B3645" s="33">
        <v>2616</v>
      </c>
      <c r="C3645" s="3">
        <v>1800000</v>
      </c>
      <c r="D3645" s="3">
        <v>900000</v>
      </c>
      <c r="E3645" s="7">
        <f t="shared" si="81"/>
        <v>900000</v>
      </c>
      <c r="F3645" s="5">
        <v>45904</v>
      </c>
      <c r="G3645" s="4">
        <v>20250903</v>
      </c>
      <c r="H3645" s="38" t="str">
        <f>VLOOKUP(B3645,CAJEROS!B:D,3,0)</f>
        <v>Dispensador</v>
      </c>
      <c r="I3645" s="34" t="s">
        <v>9</v>
      </c>
      <c r="J3645" s="38" t="str">
        <f>VLOOKUP(B3645,CAJEROS!B:E,4,0)</f>
        <v>SUCURIBIA_2</v>
      </c>
      <c r="K3645" t="s">
        <v>579</v>
      </c>
    </row>
    <row r="3646" spans="1:11">
      <c r="A3646" s="32">
        <v>705</v>
      </c>
      <c r="B3646" s="33">
        <v>4151</v>
      </c>
      <c r="C3646" s="3">
        <v>800000</v>
      </c>
      <c r="D3646" s="3">
        <v>650000</v>
      </c>
      <c r="E3646" s="7">
        <f t="shared" si="81"/>
        <v>150000</v>
      </c>
      <c r="F3646" s="5">
        <v>45904</v>
      </c>
      <c r="G3646" s="4">
        <v>20250903</v>
      </c>
      <c r="H3646" s="38" t="str">
        <f>VLOOKUP(B3646,CAJEROS!B:D,3,0)</f>
        <v>Dispensador</v>
      </c>
      <c r="I3646" s="34" t="s">
        <v>9</v>
      </c>
      <c r="J3646" s="38" t="str">
        <f>VLOOKUP(B3646,CAJEROS!B:E,4,0)</f>
        <v>SUC_BAGRE1</v>
      </c>
      <c r="K3646" t="s">
        <v>579</v>
      </c>
    </row>
    <row r="3647" spans="1:11">
      <c r="A3647" s="32">
        <v>780</v>
      </c>
      <c r="B3647" s="33">
        <v>4713</v>
      </c>
      <c r="C3647" s="3">
        <v>400000</v>
      </c>
      <c r="D3647" s="3"/>
      <c r="E3647" s="7">
        <f t="shared" si="81"/>
        <v>400000</v>
      </c>
      <c r="F3647" s="5">
        <v>45904</v>
      </c>
      <c r="G3647" s="4">
        <v>20250903</v>
      </c>
      <c r="H3647" s="38" t="str">
        <f>VLOOKUP(B3647,CAJEROS!B:D,3,0)</f>
        <v>Dispensador</v>
      </c>
      <c r="I3647" s="34" t="s">
        <v>9</v>
      </c>
      <c r="J3647" s="38" t="str">
        <f>VLOOKUP(B3647,CAJEROS!B:E,4,0)</f>
        <v>SUCREALMIN1</v>
      </c>
      <c r="K3647" t="s">
        <v>579</v>
      </c>
    </row>
    <row r="3648" spans="1:11">
      <c r="A3648" s="32">
        <v>848</v>
      </c>
      <c r="B3648" s="33">
        <v>4739</v>
      </c>
      <c r="C3648" s="3">
        <v>560000</v>
      </c>
      <c r="D3648" s="3">
        <v>450000</v>
      </c>
      <c r="E3648" s="7">
        <f t="shared" si="81"/>
        <v>110000</v>
      </c>
      <c r="F3648" s="5">
        <v>45904</v>
      </c>
      <c r="G3648" s="4">
        <v>20250903</v>
      </c>
      <c r="H3648" s="38" t="str">
        <f>VLOOKUP(B3648,CAJEROS!B:D,3,0)</f>
        <v>Dispensador</v>
      </c>
      <c r="I3648" s="34" t="s">
        <v>9</v>
      </c>
      <c r="J3648" s="38" t="str">
        <f>VLOOKUP(B3648,CAJEROS!B:E,4,0)</f>
        <v>PQECABAL_2</v>
      </c>
      <c r="K3648" t="s">
        <v>579</v>
      </c>
    </row>
    <row r="3649" spans="1:11">
      <c r="A3649" s="32">
        <v>848</v>
      </c>
      <c r="B3649" s="33">
        <v>4740</v>
      </c>
      <c r="C3649" s="3">
        <v>1150000</v>
      </c>
      <c r="D3649" s="3"/>
      <c r="E3649" s="7">
        <f t="shared" si="81"/>
        <v>1150000</v>
      </c>
      <c r="F3649" s="5">
        <v>45904</v>
      </c>
      <c r="G3649" s="4">
        <v>20250903</v>
      </c>
      <c r="H3649" s="38" t="str">
        <f>VLOOKUP(B3649,CAJEROS!B:D,3,0)</f>
        <v>Dispensador</v>
      </c>
      <c r="I3649" s="34" t="s">
        <v>9</v>
      </c>
      <c r="J3649" s="38" t="str">
        <f>VLOOKUP(B3649,CAJEROS!B:E,4,0)</f>
        <v>PQECABAL_3</v>
      </c>
      <c r="K3649" t="s">
        <v>579</v>
      </c>
    </row>
    <row r="3650" spans="1:11">
      <c r="A3650" s="32">
        <v>849</v>
      </c>
      <c r="B3650" s="33">
        <v>9723</v>
      </c>
      <c r="C3650" s="3">
        <v>1500000</v>
      </c>
      <c r="D3650" s="3">
        <f>400000+350000</f>
        <v>750000</v>
      </c>
      <c r="E3650" s="7">
        <f t="shared" si="81"/>
        <v>750000</v>
      </c>
      <c r="F3650" s="5">
        <v>45904</v>
      </c>
      <c r="G3650" s="4">
        <v>20250903</v>
      </c>
      <c r="H3650" s="38" t="str">
        <f>VLOOKUP(B3650,CAJEROS!B:D,3,0)</f>
        <v>Dispensador</v>
      </c>
      <c r="I3650" s="34" t="s">
        <v>9</v>
      </c>
      <c r="J3650" s="38" t="str">
        <f>VLOOKUP(B3650,CAJEROS!B:E,4,0)</f>
        <v>SUCUNIVILL4</v>
      </c>
      <c r="K3650" t="s">
        <v>579</v>
      </c>
    </row>
    <row r="3651" spans="1:11">
      <c r="A3651" s="32">
        <v>943</v>
      </c>
      <c r="B3651" s="33">
        <v>7348</v>
      </c>
      <c r="C3651" s="3">
        <v>1000000</v>
      </c>
      <c r="D3651" s="3"/>
      <c r="E3651" s="7">
        <f t="shared" si="81"/>
        <v>1000000</v>
      </c>
      <c r="F3651" s="5">
        <v>45904</v>
      </c>
      <c r="G3651" s="4">
        <v>20250903</v>
      </c>
      <c r="H3651" s="38" t="str">
        <f>VLOOKUP(B3651,CAJEROS!B:D,3,0)</f>
        <v>Dispensador</v>
      </c>
      <c r="I3651" s="34" t="s">
        <v>9</v>
      </c>
      <c r="J3651" s="38" t="str">
        <f>VLOOKUP(B3651,CAJEROS!B:E,4,0)</f>
        <v>LETICIA_3</v>
      </c>
      <c r="K3651" t="s">
        <v>579</v>
      </c>
    </row>
    <row r="3652" spans="1:11">
      <c r="A3652" s="32">
        <v>966</v>
      </c>
      <c r="B3652" s="33">
        <v>9942</v>
      </c>
      <c r="C3652" s="3">
        <v>100000</v>
      </c>
      <c r="D3652" s="3"/>
      <c r="E3652" s="7">
        <f t="shared" si="81"/>
        <v>100000</v>
      </c>
      <c r="F3652" s="5">
        <v>45904</v>
      </c>
      <c r="G3652" s="4">
        <v>20250903</v>
      </c>
      <c r="H3652" s="38" t="str">
        <f>VLOOKUP(B3652,CAJEROS!B:D,3,0)</f>
        <v>Dispensador</v>
      </c>
      <c r="I3652" s="34" t="s">
        <v>9</v>
      </c>
      <c r="J3652" s="38" t="str">
        <f>VLOOKUP(B3652,CAJEROS!B:E,4,0)</f>
        <v>HALLSUCMTE2</v>
      </c>
      <c r="K3652" t="s">
        <v>579</v>
      </c>
    </row>
    <row r="3653" spans="1:11">
      <c r="A3653" s="32">
        <v>68</v>
      </c>
      <c r="B3653" s="33">
        <v>5135</v>
      </c>
      <c r="C3653" s="3">
        <v>415050</v>
      </c>
      <c r="D3653" s="3">
        <v>299050</v>
      </c>
      <c r="E3653" s="7">
        <f t="shared" si="81"/>
        <v>116000</v>
      </c>
      <c r="F3653" s="5">
        <v>45904</v>
      </c>
      <c r="G3653" s="4">
        <v>20250903</v>
      </c>
      <c r="H3653" s="38" t="str">
        <f>VLOOKUP(B3653,CAJEROS!B:D,3,0)</f>
        <v>Multifuncional</v>
      </c>
      <c r="I3653" s="34"/>
      <c r="J3653" s="38" t="str">
        <f>VLOOKUP(B3653,CAJEROS!B:E,4,0)</f>
        <v>MF_IBAGUE</v>
      </c>
      <c r="K3653" t="s">
        <v>579</v>
      </c>
    </row>
    <row r="3654" spans="1:11">
      <c r="A3654" s="32">
        <v>108</v>
      </c>
      <c r="B3654" s="33">
        <v>2254</v>
      </c>
      <c r="C3654" s="3">
        <v>4775000</v>
      </c>
      <c r="D3654" s="3"/>
      <c r="E3654" s="7">
        <f t="shared" si="81"/>
        <v>4775000</v>
      </c>
      <c r="F3654" s="5">
        <v>45904</v>
      </c>
      <c r="G3654" s="4">
        <v>20250903</v>
      </c>
      <c r="H3654" s="38" t="str">
        <f>VLOOKUP(B3654,CAJEROS!B:D,3,0)</f>
        <v>Multifuncional</v>
      </c>
      <c r="I3654" s="34"/>
      <c r="J3654" s="38" t="str">
        <f>VLOOKUP(B3654,CAJEROS!B:E,4,0)</f>
        <v>MFSUCPAMER2</v>
      </c>
      <c r="K3654" t="s">
        <v>579</v>
      </c>
    </row>
    <row r="3655" spans="1:11">
      <c r="A3655" s="32">
        <v>231</v>
      </c>
      <c r="B3655" s="33">
        <v>6243</v>
      </c>
      <c r="C3655" s="3">
        <v>4000000</v>
      </c>
      <c r="D3655" s="3"/>
      <c r="E3655" s="7">
        <f t="shared" si="81"/>
        <v>4000000</v>
      </c>
      <c r="F3655" s="5">
        <v>45904</v>
      </c>
      <c r="G3655" s="4">
        <v>20250903</v>
      </c>
      <c r="H3655" s="38" t="str">
        <f>VLOOKUP(B3655,CAJEROS!B:D,3,0)</f>
        <v>Multifuncional</v>
      </c>
      <c r="I3655" s="34"/>
      <c r="J3655" s="38" t="str">
        <f>VLOOKUP(B3655,CAJEROS!B:E,4,0)</f>
        <v>MF_RICAURTE</v>
      </c>
      <c r="K3655" t="s">
        <v>579</v>
      </c>
    </row>
    <row r="3656" spans="1:11">
      <c r="A3656" s="32">
        <v>348</v>
      </c>
      <c r="B3656" s="33">
        <v>6724</v>
      </c>
      <c r="C3656" s="3">
        <v>18500050</v>
      </c>
      <c r="D3656" s="3"/>
      <c r="E3656" s="7">
        <f t="shared" si="81"/>
        <v>18500050</v>
      </c>
      <c r="F3656" s="5">
        <v>45904</v>
      </c>
      <c r="G3656" s="4">
        <v>20250903</v>
      </c>
      <c r="H3656" s="38" t="str">
        <f>VLOOKUP(B3656,CAJEROS!B:D,3,0)</f>
        <v>Multifuncional</v>
      </c>
      <c r="I3656" s="34"/>
      <c r="J3656" s="38" t="str">
        <f>VLOOKUP(B3656,CAJEROS!B:E,4,0)</f>
        <v>MF_SANANDRE</v>
      </c>
      <c r="K3656" t="s">
        <v>579</v>
      </c>
    </row>
    <row r="3657" spans="1:11">
      <c r="A3657" s="32">
        <v>389</v>
      </c>
      <c r="B3657" s="33">
        <v>7327</v>
      </c>
      <c r="C3657" s="3">
        <v>1170000</v>
      </c>
      <c r="D3657" s="3"/>
      <c r="E3657" s="7">
        <f t="shared" si="81"/>
        <v>1170000</v>
      </c>
      <c r="F3657" s="5">
        <v>45904</v>
      </c>
      <c r="G3657" s="4">
        <v>20250903</v>
      </c>
      <c r="H3657" s="38" t="str">
        <f>VLOOKUP(B3657,CAJEROS!B:D,3,0)</f>
        <v>Multifuncional</v>
      </c>
      <c r="I3657" s="34"/>
      <c r="J3657" s="38" t="str">
        <f>VLOOKUP(B3657,CAJEROS!B:E,4,0)</f>
        <v>MF_MARIQUIT</v>
      </c>
      <c r="K3657" t="s">
        <v>579</v>
      </c>
    </row>
    <row r="3658" spans="1:11">
      <c r="A3658" s="32">
        <v>395</v>
      </c>
      <c r="B3658" s="33">
        <v>1529</v>
      </c>
      <c r="C3658" s="3">
        <v>13830000</v>
      </c>
      <c r="D3658" s="3">
        <f>2950000+730000</f>
        <v>3680000</v>
      </c>
      <c r="E3658" s="7">
        <f t="shared" si="81"/>
        <v>10150000</v>
      </c>
      <c r="F3658" s="5">
        <v>45904</v>
      </c>
      <c r="G3658" s="4">
        <v>20250903</v>
      </c>
      <c r="H3658" s="38" t="str">
        <f>VLOOKUP(B3658,CAJEROS!B:D,3,0)</f>
        <v>Multifuncional</v>
      </c>
      <c r="I3658" s="34"/>
      <c r="J3658" s="38" t="str">
        <f>VLOOKUP(B3658,CAJEROS!B:E,4,0)</f>
        <v>SUCMFVIVCI2</v>
      </c>
      <c r="K3658" t="s">
        <v>579</v>
      </c>
    </row>
    <row r="3659" spans="1:11">
      <c r="A3659" s="32">
        <v>506</v>
      </c>
      <c r="B3659" s="33">
        <v>7316</v>
      </c>
      <c r="C3659" s="3">
        <v>3331450</v>
      </c>
      <c r="D3659" s="3"/>
      <c r="E3659" s="7">
        <f t="shared" si="81"/>
        <v>3331450</v>
      </c>
      <c r="F3659" s="5">
        <v>45904</v>
      </c>
      <c r="G3659" s="4">
        <v>20250903</v>
      </c>
      <c r="H3659" s="38" t="str">
        <f>VLOOKUP(B3659,CAJEROS!B:D,3,0)</f>
        <v>Multifuncional</v>
      </c>
      <c r="I3659" s="34"/>
      <c r="J3659" s="38" t="str">
        <f>VLOOKUP(B3659,CAJEROS!B:E,4,0)</f>
        <v>MF_SINCELE2</v>
      </c>
      <c r="K3659" t="s">
        <v>579</v>
      </c>
    </row>
    <row r="3660" spans="1:11">
      <c r="A3660" s="32">
        <v>623</v>
      </c>
      <c r="B3660" s="33">
        <v>7375</v>
      </c>
      <c r="C3660" s="3">
        <v>5005200</v>
      </c>
      <c r="D3660" s="3">
        <v>1285000</v>
      </c>
      <c r="E3660" s="7">
        <f t="shared" si="81"/>
        <v>3720200</v>
      </c>
      <c r="F3660" s="5">
        <v>45904</v>
      </c>
      <c r="G3660" s="4">
        <v>20250903</v>
      </c>
      <c r="H3660" s="38" t="str">
        <f>VLOOKUP(B3660,CAJEROS!B:D,3,0)</f>
        <v>Multifuncional</v>
      </c>
      <c r="I3660" s="34"/>
      <c r="J3660" s="38" t="str">
        <f>VLOOKUP(B3660,CAJEROS!B:E,4,0)</f>
        <v>MF_FUNDMAN2</v>
      </c>
      <c r="K3660" t="s">
        <v>579</v>
      </c>
    </row>
    <row r="3661" spans="1:11">
      <c r="A3661" s="32">
        <v>779</v>
      </c>
      <c r="B3661" s="33">
        <v>5013</v>
      </c>
      <c r="C3661" s="3">
        <v>38389000</v>
      </c>
      <c r="D3661" s="3"/>
      <c r="E3661" s="7">
        <f t="shared" si="81"/>
        <v>38389000</v>
      </c>
      <c r="F3661" s="5">
        <v>45904</v>
      </c>
      <c r="G3661" s="4">
        <v>20250903</v>
      </c>
      <c r="H3661" s="38" t="str">
        <f>VLOOKUP(B3661,CAJEROS!B:D,3,0)</f>
        <v>Multifuncional</v>
      </c>
      <c r="I3661" s="34"/>
      <c r="J3661" s="38" t="str">
        <f>VLOOKUP(B3661,CAJEROS!B:E,4,0)</f>
        <v>MF_BUENASM1</v>
      </c>
      <c r="K3661" t="s">
        <v>579</v>
      </c>
    </row>
    <row r="3662" spans="1:11">
      <c r="A3662" s="32">
        <v>944</v>
      </c>
      <c r="B3662" s="33">
        <v>8353</v>
      </c>
      <c r="C3662" s="3">
        <v>4422950</v>
      </c>
      <c r="D3662" s="3"/>
      <c r="E3662" s="7">
        <f t="shared" si="81"/>
        <v>4422950</v>
      </c>
      <c r="F3662" s="5">
        <v>45904</v>
      </c>
      <c r="G3662" s="4">
        <v>20250903</v>
      </c>
      <c r="H3662" s="38" t="str">
        <f>VLOOKUP(B3662,CAJEROS!B:D,3,0)</f>
        <v>Multifuncional</v>
      </c>
      <c r="I3662" s="34"/>
      <c r="J3662" s="38" t="str">
        <f>VLOOKUP(B3662,CAJEROS!B:E,4,0)</f>
        <v>MF_SANTABO1</v>
      </c>
      <c r="K3662" t="s">
        <v>579</v>
      </c>
    </row>
    <row r="3663" spans="1:11">
      <c r="A3663" s="32">
        <v>944</v>
      </c>
      <c r="B3663" s="33">
        <v>8354</v>
      </c>
      <c r="C3663" s="3">
        <v>2650</v>
      </c>
      <c r="D3663" s="3"/>
      <c r="E3663" s="7">
        <f t="shared" si="81"/>
        <v>2650</v>
      </c>
      <c r="F3663" s="5">
        <v>45904</v>
      </c>
      <c r="G3663" s="4">
        <v>20250903</v>
      </c>
      <c r="H3663" s="38" t="str">
        <f>VLOOKUP(B3663,CAJEROS!B:D,3,0)</f>
        <v>Multifuncional</v>
      </c>
      <c r="I3663" s="34"/>
      <c r="J3663" s="38" t="str">
        <f>VLOOKUP(B3663,CAJEROS!B:E,4,0)</f>
        <v>MF_SANTABO2</v>
      </c>
      <c r="K3663" t="s">
        <v>579</v>
      </c>
    </row>
    <row r="3664" spans="1:11">
      <c r="A3664" s="32">
        <v>481</v>
      </c>
      <c r="B3664" s="33">
        <v>1011</v>
      </c>
      <c r="C3664" s="3">
        <v>5034000</v>
      </c>
      <c r="D3664" s="3">
        <v>500000</v>
      </c>
      <c r="E3664" s="7">
        <f t="shared" si="81"/>
        <v>4534000</v>
      </c>
      <c r="F3664" s="5">
        <v>45904</v>
      </c>
      <c r="G3664" s="4">
        <v>20250903</v>
      </c>
      <c r="H3664" s="38" t="str">
        <f>VLOOKUP(B3664,CAJEROS!B:D,3,0)</f>
        <v>Multifuncional</v>
      </c>
      <c r="I3664" s="34" t="s">
        <v>9</v>
      </c>
      <c r="J3664" s="38" t="str">
        <f>VLOOKUP(B3664,CAJEROS!B:E,4,0)</f>
        <v>MF_SOLEDAD2</v>
      </c>
      <c r="K3664" t="s">
        <v>579</v>
      </c>
    </row>
    <row r="3665" spans="1:11">
      <c r="A3665" s="32">
        <v>454</v>
      </c>
      <c r="B3665" s="33">
        <v>5231</v>
      </c>
      <c r="C3665" s="3">
        <v>4110000</v>
      </c>
      <c r="D3665" s="3"/>
      <c r="E3665" s="7">
        <f t="shared" si="81"/>
        <v>4110000</v>
      </c>
      <c r="F3665" s="5">
        <v>45904</v>
      </c>
      <c r="G3665" s="4">
        <v>20250903</v>
      </c>
      <c r="H3665" s="38" t="str">
        <f>VLOOKUP(B3665,CAJEROS!B:D,3,0)</f>
        <v>Multifuncional</v>
      </c>
      <c r="I3665" s="34" t="s">
        <v>9</v>
      </c>
      <c r="J3665" s="38" t="str">
        <f>VLOOKUP(B3665,CAJEROS!B:E,4,0)</f>
        <v>MF_5TAVENID</v>
      </c>
      <c r="K3665" t="s">
        <v>579</v>
      </c>
    </row>
    <row r="3666" spans="1:11">
      <c r="A3666" s="32">
        <v>927</v>
      </c>
      <c r="B3666" s="33">
        <v>5143</v>
      </c>
      <c r="C3666" s="3">
        <v>3859500</v>
      </c>
      <c r="D3666" s="3"/>
      <c r="E3666" s="7">
        <f t="shared" si="81"/>
        <v>3859500</v>
      </c>
      <c r="F3666" s="5">
        <v>45904</v>
      </c>
      <c r="G3666" s="4">
        <v>20250903</v>
      </c>
      <c r="H3666" s="38" t="str">
        <f>VLOOKUP(B3666,CAJEROS!B:D,3,0)</f>
        <v>Multifuncional</v>
      </c>
      <c r="I3666" s="34" t="s">
        <v>9</v>
      </c>
      <c r="J3666" s="38" t="str">
        <f>VLOOKUP(B3666,CAJEROS!B:E,4,0)</f>
        <v>MF_SUCMOCOA</v>
      </c>
      <c r="K3666" t="s">
        <v>579</v>
      </c>
    </row>
    <row r="3667" spans="1:11">
      <c r="A3667" s="32">
        <v>682</v>
      </c>
      <c r="B3667" s="33">
        <v>5049</v>
      </c>
      <c r="C3667" s="3">
        <v>3530000</v>
      </c>
      <c r="D3667" s="3">
        <v>3050000</v>
      </c>
      <c r="E3667" s="7">
        <f t="shared" si="81"/>
        <v>480000</v>
      </c>
      <c r="F3667" s="5">
        <v>45904</v>
      </c>
      <c r="G3667" s="4">
        <v>20250903</v>
      </c>
      <c r="H3667" s="38" t="str">
        <f>VLOOKUP(B3667,CAJEROS!B:D,3,0)</f>
        <v>Multifuncional</v>
      </c>
      <c r="I3667" s="34" t="s">
        <v>9</v>
      </c>
      <c r="J3667" s="38" t="str">
        <f>VLOOKUP(B3667,CAJEROS!B:E,4,0)</f>
        <v>MF_CCFONTA1</v>
      </c>
      <c r="K3667" t="s">
        <v>579</v>
      </c>
    </row>
    <row r="3668" spans="1:11">
      <c r="A3668" s="32">
        <v>516</v>
      </c>
      <c r="B3668" s="33">
        <v>9729</v>
      </c>
      <c r="C3668" s="3">
        <v>2925000</v>
      </c>
      <c r="D3668" s="3">
        <f>1840000+513000</f>
        <v>2353000</v>
      </c>
      <c r="E3668" s="7">
        <f t="shared" si="81"/>
        <v>572000</v>
      </c>
      <c r="F3668" s="5">
        <v>45904</v>
      </c>
      <c r="G3668" s="4">
        <v>20250903</v>
      </c>
      <c r="H3668" s="38" t="str">
        <f>VLOOKUP(B3668,CAJEROS!B:D,3,0)</f>
        <v>Multifuncional</v>
      </c>
      <c r="I3668" s="34" t="s">
        <v>9</v>
      </c>
      <c r="J3668" s="38" t="str">
        <f>VLOOKUP(B3668,CAJEROS!B:E,4,0)</f>
        <v>MF_SUCSTAM1</v>
      </c>
      <c r="K3668" t="s">
        <v>579</v>
      </c>
    </row>
    <row r="3669" spans="1:11">
      <c r="A3669" s="32">
        <v>267</v>
      </c>
      <c r="B3669" s="33">
        <v>6186</v>
      </c>
      <c r="C3669" s="3">
        <v>2819000</v>
      </c>
      <c r="D3669" s="3">
        <v>2792400</v>
      </c>
      <c r="E3669" s="7">
        <f t="shared" si="81"/>
        <v>26600</v>
      </c>
      <c r="F3669" s="5">
        <v>45904</v>
      </c>
      <c r="G3669" s="4">
        <v>20250903</v>
      </c>
      <c r="H3669" s="38" t="str">
        <f>VLOOKUP(B3669,CAJEROS!B:D,3,0)</f>
        <v>Multifuncional</v>
      </c>
      <c r="I3669" s="34" t="s">
        <v>9</v>
      </c>
      <c r="J3669" s="38" t="str">
        <f>VLOOKUP(B3669,CAJEROS!B:E,4,0)</f>
        <v>MF_VISITACI</v>
      </c>
      <c r="K3669" t="s">
        <v>579</v>
      </c>
    </row>
    <row r="3670" spans="1:11">
      <c r="A3670" s="32">
        <v>279</v>
      </c>
      <c r="B3670" s="33">
        <v>5147</v>
      </c>
      <c r="C3670" s="3">
        <v>2191000</v>
      </c>
      <c r="D3670" s="3"/>
      <c r="E3670" s="7">
        <f t="shared" ref="E3670:E3733" si="82">+C3670-D3670</f>
        <v>2191000</v>
      </c>
      <c r="F3670" s="5">
        <v>45904</v>
      </c>
      <c r="G3670" s="4">
        <v>20250903</v>
      </c>
      <c r="H3670" s="38" t="str">
        <f>VLOOKUP(B3670,CAJEROS!B:D,3,0)</f>
        <v>Multifuncional</v>
      </c>
      <c r="I3670" s="34" t="s">
        <v>9</v>
      </c>
      <c r="J3670" s="38" t="str">
        <f>VLOOKUP(B3670,CAJEROS!B:E,4,0)</f>
        <v>MF_ITAGPARQ</v>
      </c>
      <c r="K3670" t="s">
        <v>579</v>
      </c>
    </row>
    <row r="3671" spans="1:11">
      <c r="A3671" s="32">
        <v>167</v>
      </c>
      <c r="B3671" s="33">
        <v>5030</v>
      </c>
      <c r="C3671" s="3">
        <v>2110000</v>
      </c>
      <c r="D3671" s="3">
        <v>2108500</v>
      </c>
      <c r="E3671" s="7">
        <f t="shared" si="82"/>
        <v>1500</v>
      </c>
      <c r="F3671" s="5">
        <v>45904</v>
      </c>
      <c r="G3671" s="4">
        <v>20250903</v>
      </c>
      <c r="H3671" s="38" t="str">
        <f>VLOOKUP(B3671,CAJEROS!B:D,3,0)</f>
        <v>Multifuncional</v>
      </c>
      <c r="I3671" s="34" t="s">
        <v>9</v>
      </c>
      <c r="J3671" s="38" t="str">
        <f>VLOOKUP(B3671,CAJEROS!B:E,4,0)</f>
        <v>MF_AVENID82</v>
      </c>
      <c r="K3671" t="s">
        <v>579</v>
      </c>
    </row>
    <row r="3672" spans="1:11">
      <c r="A3672" s="32">
        <v>651</v>
      </c>
      <c r="B3672" s="33">
        <v>7318</v>
      </c>
      <c r="C3672" s="3">
        <v>1197000</v>
      </c>
      <c r="D3672" s="3"/>
      <c r="E3672" s="7">
        <f t="shared" si="82"/>
        <v>1197000</v>
      </c>
      <c r="F3672" s="5">
        <v>45904</v>
      </c>
      <c r="G3672" s="4">
        <v>20250903</v>
      </c>
      <c r="H3672" s="38" t="str">
        <f>VLOOKUP(B3672,CAJEROS!B:D,3,0)</f>
        <v>Multifuncional</v>
      </c>
      <c r="I3672" s="34" t="s">
        <v>9</v>
      </c>
      <c r="J3672" s="38" t="str">
        <f>VLOOKUP(B3672,CAJEROS!B:E,4,0)</f>
        <v>MF_BARBOSA2</v>
      </c>
      <c r="K3672" t="s">
        <v>579</v>
      </c>
    </row>
    <row r="3673" spans="1:11">
      <c r="A3673" s="32">
        <v>721</v>
      </c>
      <c r="B3673" s="33">
        <v>8896</v>
      </c>
      <c r="C3673" s="3">
        <v>1110000</v>
      </c>
      <c r="D3673" s="3">
        <v>125000</v>
      </c>
      <c r="E3673" s="7">
        <f t="shared" si="82"/>
        <v>985000</v>
      </c>
      <c r="F3673" s="5">
        <v>45904</v>
      </c>
      <c r="G3673" s="4">
        <v>20250903</v>
      </c>
      <c r="H3673" s="38" t="str">
        <f>VLOOKUP(B3673,CAJEROS!B:D,3,0)</f>
        <v>Multifuncional</v>
      </c>
      <c r="I3673" s="34" t="s">
        <v>9</v>
      </c>
      <c r="J3673" s="38" t="str">
        <f>VLOOKUP(B3673,CAJEROS!B:E,4,0)</f>
        <v>MFSUCLAGO1</v>
      </c>
      <c r="K3673" t="s">
        <v>579</v>
      </c>
    </row>
    <row r="3674" spans="1:11">
      <c r="A3674" s="32">
        <v>810</v>
      </c>
      <c r="B3674" s="33">
        <v>8204</v>
      </c>
      <c r="C3674" s="3">
        <v>1061400</v>
      </c>
      <c r="D3674" s="3">
        <f>147450+100</f>
        <v>147550</v>
      </c>
      <c r="E3674" s="7">
        <f t="shared" si="82"/>
        <v>913850</v>
      </c>
      <c r="F3674" s="5">
        <v>45904</v>
      </c>
      <c r="G3674" s="4">
        <v>20250903</v>
      </c>
      <c r="H3674" s="38" t="str">
        <f>VLOOKUP(B3674,CAJEROS!B:D,3,0)</f>
        <v>Multifuncional</v>
      </c>
      <c r="I3674" s="34" t="s">
        <v>9</v>
      </c>
      <c r="J3674" s="38" t="str">
        <f>VLOOKUP(B3674,CAJEROS!B:E,4,0)</f>
        <v>MF_OESTE</v>
      </c>
      <c r="K3674" t="s">
        <v>579</v>
      </c>
    </row>
    <row r="3675" spans="1:11">
      <c r="A3675" s="32">
        <v>457</v>
      </c>
      <c r="B3675" s="33">
        <v>9004</v>
      </c>
      <c r="C3675" s="3">
        <v>938000</v>
      </c>
      <c r="D3675" s="3"/>
      <c r="E3675" s="7">
        <f t="shared" si="82"/>
        <v>938000</v>
      </c>
      <c r="F3675" s="5">
        <v>45904</v>
      </c>
      <c r="G3675" s="4">
        <v>20250903</v>
      </c>
      <c r="H3675" s="38" t="str">
        <f>VLOOKUP(B3675,CAJEROS!B:D,3,0)</f>
        <v>Multifuncional</v>
      </c>
      <c r="I3675" s="34" t="s">
        <v>9</v>
      </c>
      <c r="J3675" s="38" t="str">
        <f>VLOOKUP(B3675,CAJEROS!B:E,4,0)</f>
        <v>MF_SSANPED1</v>
      </c>
      <c r="K3675" t="s">
        <v>579</v>
      </c>
    </row>
    <row r="3676" spans="1:11">
      <c r="A3676" s="32">
        <v>93</v>
      </c>
      <c r="B3676" s="33">
        <v>7126</v>
      </c>
      <c r="C3676" s="3">
        <v>900000</v>
      </c>
      <c r="D3676" s="3"/>
      <c r="E3676" s="7">
        <f t="shared" si="82"/>
        <v>900000</v>
      </c>
      <c r="F3676" s="5">
        <v>45904</v>
      </c>
      <c r="G3676" s="4">
        <v>20250903</v>
      </c>
      <c r="H3676" s="38" t="str">
        <f>VLOOKUP(B3676,CAJEROS!B:D,3,0)</f>
        <v>Multifuncional</v>
      </c>
      <c r="I3676" s="34" t="s">
        <v>9</v>
      </c>
      <c r="J3676" s="38" t="str">
        <f>VLOOKUP(B3676,CAJEROS!B:E,4,0)</f>
        <v>MF_SAHAGUN</v>
      </c>
      <c r="K3676" t="s">
        <v>579</v>
      </c>
    </row>
    <row r="3677" spans="1:11">
      <c r="A3677" s="32">
        <v>197</v>
      </c>
      <c r="B3677" s="33">
        <v>5084</v>
      </c>
      <c r="C3677" s="3">
        <v>772000</v>
      </c>
      <c r="D3677" s="3"/>
      <c r="E3677" s="7">
        <f t="shared" si="82"/>
        <v>772000</v>
      </c>
      <c r="F3677" s="5">
        <v>45904</v>
      </c>
      <c r="G3677" s="4">
        <v>20250903</v>
      </c>
      <c r="H3677" s="38" t="str">
        <f>VLOOKUP(B3677,CAJEROS!B:D,3,0)</f>
        <v>Multifuncional</v>
      </c>
      <c r="I3677" s="34" t="s">
        <v>9</v>
      </c>
      <c r="J3677" s="38" t="str">
        <f>VLOOKUP(B3677,CAJEROS!B:E,4,0)</f>
        <v>MF_GUATAPUR</v>
      </c>
      <c r="K3677" t="s">
        <v>579</v>
      </c>
    </row>
    <row r="3678" spans="1:11">
      <c r="A3678" s="32">
        <v>20</v>
      </c>
      <c r="B3678" s="33">
        <v>8927</v>
      </c>
      <c r="C3678" s="3">
        <v>695800</v>
      </c>
      <c r="D3678" s="3"/>
      <c r="E3678" s="7">
        <f t="shared" si="82"/>
        <v>695800</v>
      </c>
      <c r="F3678" s="5">
        <v>45904</v>
      </c>
      <c r="G3678" s="4">
        <v>20250903</v>
      </c>
      <c r="H3678" s="38" t="str">
        <f>VLOOKUP(B3678,CAJEROS!B:D,3,0)</f>
        <v>Multifuncional</v>
      </c>
      <c r="I3678" s="34" t="s">
        <v>9</v>
      </c>
      <c r="J3678" s="38" t="str">
        <f>VLOOKUP(B3678,CAJEROS!B:E,4,0)</f>
        <v>MFSUCBUCMG2</v>
      </c>
      <c r="K3678" t="s">
        <v>579</v>
      </c>
    </row>
    <row r="3679" spans="1:11">
      <c r="A3679" s="32">
        <v>849</v>
      </c>
      <c r="B3679" s="33">
        <v>9725</v>
      </c>
      <c r="C3679" s="3">
        <v>660000</v>
      </c>
      <c r="D3679" s="3"/>
      <c r="E3679" s="7">
        <f t="shared" si="82"/>
        <v>660000</v>
      </c>
      <c r="F3679" s="5">
        <v>45904</v>
      </c>
      <c r="G3679" s="4">
        <v>20250903</v>
      </c>
      <c r="H3679" s="38" t="str">
        <f>VLOOKUP(B3679,CAJEROS!B:D,3,0)</f>
        <v>Multifuncional</v>
      </c>
      <c r="I3679" s="34" t="s">
        <v>9</v>
      </c>
      <c r="J3679" s="38" t="str">
        <f>VLOOKUP(B3679,CAJEROS!B:E,4,0)</f>
        <v>MF_SUNIVIL2</v>
      </c>
      <c r="K3679" t="s">
        <v>579</v>
      </c>
    </row>
    <row r="3680" spans="1:11">
      <c r="A3680" s="32">
        <v>16</v>
      </c>
      <c r="B3680" s="33">
        <v>5219</v>
      </c>
      <c r="C3680" s="3">
        <v>643000</v>
      </c>
      <c r="D3680" s="3">
        <v>445000</v>
      </c>
      <c r="E3680" s="7">
        <f t="shared" si="82"/>
        <v>198000</v>
      </c>
      <c r="F3680" s="5">
        <v>45904</v>
      </c>
      <c r="G3680" s="4">
        <v>20250903</v>
      </c>
      <c r="H3680" s="38" t="str">
        <f>VLOOKUP(B3680,CAJEROS!B:D,3,0)</f>
        <v>Multifuncional</v>
      </c>
      <c r="I3680" s="34" t="s">
        <v>9</v>
      </c>
      <c r="J3680" s="38" t="str">
        <f>VLOOKUP(B3680,CAJEROS!B:E,4,0)</f>
        <v>MF_AEOLAYA</v>
      </c>
      <c r="K3680" t="s">
        <v>579</v>
      </c>
    </row>
    <row r="3681" spans="1:11">
      <c r="A3681" s="32">
        <v>741</v>
      </c>
      <c r="B3681" s="33">
        <v>6843</v>
      </c>
      <c r="C3681" s="3">
        <v>626000</v>
      </c>
      <c r="D3681" s="3"/>
      <c r="E3681" s="7">
        <f t="shared" si="82"/>
        <v>626000</v>
      </c>
      <c r="F3681" s="5">
        <v>45904</v>
      </c>
      <c r="G3681" s="4">
        <v>20250903</v>
      </c>
      <c r="H3681" s="38" t="str">
        <f>VLOOKUP(B3681,CAJEROS!B:D,3,0)</f>
        <v>Multifuncional</v>
      </c>
      <c r="I3681" s="34" t="s">
        <v>9</v>
      </c>
      <c r="J3681" s="38" t="str">
        <f>VLOOKUP(B3681,CAJEROS!B:E,4,0)</f>
        <v>MFSUC_IDEO1</v>
      </c>
      <c r="K3681" t="s">
        <v>579</v>
      </c>
    </row>
    <row r="3682" spans="1:11">
      <c r="A3682" s="32">
        <v>517</v>
      </c>
      <c r="B3682" s="33">
        <v>5053</v>
      </c>
      <c r="C3682" s="3">
        <v>590000</v>
      </c>
      <c r="D3682" s="3"/>
      <c r="E3682" s="7">
        <f t="shared" si="82"/>
        <v>590000</v>
      </c>
      <c r="F3682" s="5">
        <v>45904</v>
      </c>
      <c r="G3682" s="4">
        <v>20250903</v>
      </c>
      <c r="H3682" s="38" t="str">
        <f>VLOOKUP(B3682,CAJEROS!B:D,3,0)</f>
        <v>Multifuncional</v>
      </c>
      <c r="I3682" s="34" t="s">
        <v>9</v>
      </c>
      <c r="J3682" s="38" t="str">
        <f>VLOOKUP(B3682,CAJEROS!B:E,4,0)</f>
        <v>MF_RODADERO</v>
      </c>
      <c r="K3682" t="s">
        <v>579</v>
      </c>
    </row>
    <row r="3683" spans="1:11">
      <c r="A3683" s="32">
        <v>432</v>
      </c>
      <c r="B3683" s="33">
        <v>5195</v>
      </c>
      <c r="C3683" s="3">
        <v>580000</v>
      </c>
      <c r="D3683" s="3"/>
      <c r="E3683" s="7">
        <f t="shared" si="82"/>
        <v>580000</v>
      </c>
      <c r="F3683" s="5">
        <v>45904</v>
      </c>
      <c r="G3683" s="4">
        <v>20250903</v>
      </c>
      <c r="H3683" s="38" t="str">
        <f>VLOOKUP(B3683,CAJEROS!B:D,3,0)</f>
        <v>Multifuncional</v>
      </c>
      <c r="I3683" s="34" t="s">
        <v>9</v>
      </c>
      <c r="J3683" s="38" t="str">
        <f>VLOOKUP(B3683,CAJEROS!B:E,4,0)</f>
        <v>MF_TTEDLSU1</v>
      </c>
      <c r="K3683" t="s">
        <v>579</v>
      </c>
    </row>
    <row r="3684" spans="1:11">
      <c r="A3684" s="32">
        <v>915</v>
      </c>
      <c r="B3684" s="33">
        <v>8314</v>
      </c>
      <c r="C3684" s="3">
        <v>500000</v>
      </c>
      <c r="D3684" s="3">
        <v>498750</v>
      </c>
      <c r="E3684" s="7">
        <f t="shared" si="82"/>
        <v>1250</v>
      </c>
      <c r="F3684" s="5">
        <v>45904</v>
      </c>
      <c r="G3684" s="4">
        <v>20250903</v>
      </c>
      <c r="H3684" s="38" t="str">
        <f>VLOOKUP(B3684,CAJEROS!B:D,3,0)</f>
        <v>Multifuncional</v>
      </c>
      <c r="I3684" s="34" t="s">
        <v>9</v>
      </c>
      <c r="J3684" s="38" t="str">
        <f>VLOOKUP(B3684,CAJEROS!B:E,4,0)</f>
        <v>MF_BANLABB2</v>
      </c>
      <c r="K3684" t="s">
        <v>579</v>
      </c>
    </row>
    <row r="3685" spans="1:11">
      <c r="A3685" s="32">
        <v>541</v>
      </c>
      <c r="B3685" s="33">
        <v>5185</v>
      </c>
      <c r="C3685" s="3">
        <v>430000</v>
      </c>
      <c r="D3685" s="3">
        <v>420000</v>
      </c>
      <c r="E3685" s="7">
        <f t="shared" si="82"/>
        <v>10000</v>
      </c>
      <c r="F3685" s="5">
        <v>45904</v>
      </c>
      <c r="G3685" s="4">
        <v>20250903</v>
      </c>
      <c r="H3685" s="38" t="str">
        <f>VLOOKUP(B3685,CAJEROS!B:D,3,0)</f>
        <v>Multifuncional</v>
      </c>
      <c r="I3685" s="34" t="s">
        <v>9</v>
      </c>
      <c r="J3685" s="38" t="str">
        <f>VLOOKUP(B3685,CAJEROS!B:E,4,0)</f>
        <v>MF_PARQCALD</v>
      </c>
      <c r="K3685" t="s">
        <v>579</v>
      </c>
    </row>
    <row r="3686" spans="1:11">
      <c r="A3686" s="32">
        <v>331</v>
      </c>
      <c r="B3686" s="33">
        <v>575</v>
      </c>
      <c r="C3686" s="3">
        <v>314000</v>
      </c>
      <c r="D3686" s="3"/>
      <c r="E3686" s="7">
        <f t="shared" si="82"/>
        <v>314000</v>
      </c>
      <c r="F3686" s="5">
        <v>45904</v>
      </c>
      <c r="G3686" s="4">
        <v>20250903</v>
      </c>
      <c r="H3686" s="38" t="str">
        <f>VLOOKUP(B3686,CAJEROS!B:D,3,0)</f>
        <v>Multifuncional</v>
      </c>
      <c r="I3686" s="34" t="s">
        <v>9</v>
      </c>
      <c r="J3686" s="38" t="str">
        <f>VLOOKUP(B3686,CAJEROS!B:E,4,0)</f>
        <v>MF_SUCARKA2</v>
      </c>
      <c r="K3686" t="s">
        <v>579</v>
      </c>
    </row>
    <row r="3687" spans="1:11">
      <c r="A3687" s="32">
        <v>4</v>
      </c>
      <c r="B3687" s="33">
        <v>8630</v>
      </c>
      <c r="C3687" s="3">
        <v>213000</v>
      </c>
      <c r="D3687" s="3">
        <v>63500</v>
      </c>
      <c r="E3687" s="7">
        <f t="shared" si="82"/>
        <v>149500</v>
      </c>
      <c r="F3687" s="5">
        <v>45904</v>
      </c>
      <c r="G3687" s="4">
        <v>20250903</v>
      </c>
      <c r="H3687" s="38" t="str">
        <f>VLOOKUP(B3687,CAJEROS!B:D,3,0)</f>
        <v>Multifuncional</v>
      </c>
      <c r="I3687" s="34" t="s">
        <v>9</v>
      </c>
      <c r="J3687" s="38" t="str">
        <f>VLOOKUP(B3687,CAJEROS!B:E,4,0)</f>
        <v>MF_SUCLAUR1</v>
      </c>
      <c r="K3687" t="s">
        <v>579</v>
      </c>
    </row>
    <row r="3688" spans="1:11">
      <c r="A3688" s="32">
        <v>442</v>
      </c>
      <c r="B3688" s="33">
        <v>8887</v>
      </c>
      <c r="C3688" s="3">
        <v>199950</v>
      </c>
      <c r="D3688" s="3"/>
      <c r="E3688" s="7">
        <f t="shared" si="82"/>
        <v>199950</v>
      </c>
      <c r="F3688" s="5">
        <v>45904</v>
      </c>
      <c r="G3688" s="4">
        <v>20250903</v>
      </c>
      <c r="H3688" s="38" t="str">
        <f>VLOOKUP(B3688,CAJEROS!B:D,3,0)</f>
        <v>Multifuncional</v>
      </c>
      <c r="I3688" s="34" t="s">
        <v>9</v>
      </c>
      <c r="J3688" s="38" t="str">
        <f>VLOOKUP(B3688,CAJEROS!B:E,4,0)</f>
        <v>MFVIVABQUI1</v>
      </c>
      <c r="K3688" t="s">
        <v>579</v>
      </c>
    </row>
    <row r="3689" spans="1:11">
      <c r="A3689" s="32">
        <v>523</v>
      </c>
      <c r="B3689" s="33">
        <v>5082</v>
      </c>
      <c r="C3689" s="3">
        <v>144000</v>
      </c>
      <c r="D3689" s="3">
        <f>101600+23750</f>
        <v>125350</v>
      </c>
      <c r="E3689" s="7">
        <f t="shared" si="82"/>
        <v>18650</v>
      </c>
      <c r="F3689" s="5">
        <v>45904</v>
      </c>
      <c r="G3689" s="4">
        <v>20250903</v>
      </c>
      <c r="H3689" s="38" t="str">
        <f>VLOOKUP(B3689,CAJEROS!B:D,3,0)</f>
        <v>Multifuncional</v>
      </c>
      <c r="I3689" s="34" t="s">
        <v>9</v>
      </c>
      <c r="J3689" s="38" t="str">
        <f>VLOOKUP(B3689,CAJEROS!B:E,4,0)</f>
        <v>MF_OVALLEDU</v>
      </c>
      <c r="K3689" t="s">
        <v>579</v>
      </c>
    </row>
    <row r="3690" spans="1:11">
      <c r="A3690" s="32">
        <v>24</v>
      </c>
      <c r="B3690" s="33">
        <v>5066</v>
      </c>
      <c r="C3690" s="3">
        <v>140000</v>
      </c>
      <c r="D3690" s="3"/>
      <c r="E3690" s="7">
        <f t="shared" si="82"/>
        <v>140000</v>
      </c>
      <c r="F3690" s="5">
        <v>45904</v>
      </c>
      <c r="G3690" s="4">
        <v>20250903</v>
      </c>
      <c r="H3690" s="38" t="str">
        <f>VLOOKUP(B3690,CAJEROS!B:D,3,0)</f>
        <v>Multifuncional</v>
      </c>
      <c r="I3690" s="34" t="s">
        <v>9</v>
      </c>
      <c r="J3690" s="38" t="str">
        <f>VLOOKUP(B3690,CAJEROS!B:E,4,0)</f>
        <v>MF_RIONEGPA</v>
      </c>
      <c r="K3690" t="s">
        <v>579</v>
      </c>
    </row>
    <row r="3691" spans="1:11">
      <c r="A3691" s="32">
        <v>250</v>
      </c>
      <c r="B3691" s="33">
        <v>5197</v>
      </c>
      <c r="C3691" s="3">
        <v>30000</v>
      </c>
      <c r="D3691" s="3"/>
      <c r="E3691" s="7">
        <f t="shared" si="82"/>
        <v>30000</v>
      </c>
      <c r="F3691" s="5">
        <v>45904</v>
      </c>
      <c r="G3691" s="4">
        <v>20250903</v>
      </c>
      <c r="H3691" s="38" t="str">
        <f>VLOOKUP(B3691,CAJEROS!B:D,3,0)</f>
        <v>Multifuncional</v>
      </c>
      <c r="I3691" s="34" t="s">
        <v>9</v>
      </c>
      <c r="J3691" s="38" t="str">
        <f>VLOOKUP(B3691,CAJEROS!B:E,4,0)</f>
        <v>MF_MODELIA</v>
      </c>
      <c r="K3691" t="s">
        <v>579</v>
      </c>
    </row>
    <row r="3692" spans="1:11">
      <c r="A3692" s="32">
        <v>716</v>
      </c>
      <c r="B3692" s="33">
        <v>5192</v>
      </c>
      <c r="C3692" s="3">
        <v>3600</v>
      </c>
      <c r="D3692" s="3"/>
      <c r="E3692" s="7">
        <f t="shared" si="82"/>
        <v>3600</v>
      </c>
      <c r="F3692" s="5">
        <v>45904</v>
      </c>
      <c r="G3692" s="4">
        <v>20250903</v>
      </c>
      <c r="H3692" s="38" t="str">
        <f>VLOOKUP(B3692,CAJEROS!B:D,3,0)</f>
        <v>Multifuncional</v>
      </c>
      <c r="I3692" s="34" t="s">
        <v>10</v>
      </c>
      <c r="J3692" s="38" t="str">
        <f>VLOOKUP(B3692,CAJEROS!B:E,4,0)</f>
        <v>MF_AVCGORDS</v>
      </c>
      <c r="K3692" t="s">
        <v>579</v>
      </c>
    </row>
    <row r="3693" spans="1:11">
      <c r="A3693" s="32">
        <v>363</v>
      </c>
      <c r="B3693" s="33">
        <v>5168</v>
      </c>
      <c r="C3693" s="3">
        <v>3000</v>
      </c>
      <c r="D3693" s="3"/>
      <c r="E3693" s="7">
        <f t="shared" si="82"/>
        <v>3000</v>
      </c>
      <c r="F3693" s="5">
        <v>45904</v>
      </c>
      <c r="G3693" s="4">
        <v>20250903</v>
      </c>
      <c r="H3693" s="38" t="str">
        <f>VLOOKUP(B3693,CAJEROS!B:D,3,0)</f>
        <v>Multifuncional</v>
      </c>
      <c r="I3693" s="34" t="s">
        <v>10</v>
      </c>
      <c r="J3693" s="38" t="str">
        <f>VLOOKUP(B3693,CAJEROS!B:E,4,0)</f>
        <v>MF_YOPAL</v>
      </c>
      <c r="K3693" t="s">
        <v>579</v>
      </c>
    </row>
    <row r="3694" spans="1:11">
      <c r="A3694" s="32">
        <v>966</v>
      </c>
      <c r="B3694" s="33">
        <v>9941</v>
      </c>
      <c r="C3694" s="3">
        <v>10000</v>
      </c>
      <c r="D3694" s="3"/>
      <c r="E3694" s="7">
        <f t="shared" si="82"/>
        <v>10000</v>
      </c>
      <c r="F3694" s="5">
        <v>45904</v>
      </c>
      <c r="G3694" s="4">
        <v>20250903</v>
      </c>
      <c r="H3694" s="38" t="str">
        <f>VLOOKUP(B3694,CAJEROS!B:D,3,0)</f>
        <v>Dispensador</v>
      </c>
      <c r="I3694" s="34" t="s">
        <v>10</v>
      </c>
      <c r="J3694" s="38" t="str">
        <f>VLOOKUP(B3694,CAJEROS!B:E,4,0)</f>
        <v>HALLSUCMTE1</v>
      </c>
      <c r="K3694" t="s">
        <v>579</v>
      </c>
    </row>
    <row r="3695" spans="1:11">
      <c r="A3695" s="32">
        <v>78</v>
      </c>
      <c r="B3695" s="33">
        <v>8590</v>
      </c>
      <c r="C3695" s="3">
        <v>20000</v>
      </c>
      <c r="D3695" s="3"/>
      <c r="E3695" s="7">
        <f t="shared" si="82"/>
        <v>20000</v>
      </c>
      <c r="F3695" s="5">
        <v>45904</v>
      </c>
      <c r="G3695" s="4">
        <v>20250903</v>
      </c>
      <c r="H3695" s="38" t="str">
        <f>VLOOKUP(B3695,CAJEROS!B:D,3,0)</f>
        <v>Dispensador</v>
      </c>
      <c r="I3695" s="34" t="s">
        <v>10</v>
      </c>
      <c r="J3695" s="38" t="str">
        <f>VLOOKUP(B3695,CAJEROS!B:E,4,0)</f>
        <v>HALLCACIQ1</v>
      </c>
      <c r="K3695" t="s">
        <v>579</v>
      </c>
    </row>
    <row r="3696" spans="1:11">
      <c r="A3696" s="32">
        <v>944</v>
      </c>
      <c r="B3696" s="33">
        <v>8358</v>
      </c>
      <c r="C3696" s="3">
        <v>20000</v>
      </c>
      <c r="D3696" s="3">
        <v>10000</v>
      </c>
      <c r="E3696" s="7">
        <f t="shared" si="82"/>
        <v>10000</v>
      </c>
      <c r="F3696" s="5">
        <v>45904</v>
      </c>
      <c r="G3696" s="4">
        <v>20250903</v>
      </c>
      <c r="H3696" s="38" t="str">
        <f>VLOOKUP(B3696,CAJEROS!B:D,3,0)</f>
        <v>Dispensador</v>
      </c>
      <c r="I3696" s="34" t="s">
        <v>10</v>
      </c>
      <c r="J3696" s="38" t="str">
        <f>VLOOKUP(B3696,CAJEROS!B:E,4,0)</f>
        <v>SUCSANTABO4</v>
      </c>
      <c r="K3696" t="s">
        <v>579</v>
      </c>
    </row>
    <row r="3697" spans="1:11">
      <c r="A3697" s="32">
        <v>177</v>
      </c>
      <c r="B3697" s="33">
        <v>7043</v>
      </c>
      <c r="C3697" s="3">
        <v>10000</v>
      </c>
      <c r="D3697" s="3"/>
      <c r="E3697" s="7">
        <f t="shared" si="82"/>
        <v>10000</v>
      </c>
      <c r="F3697" s="5">
        <v>45904</v>
      </c>
      <c r="G3697" s="4">
        <v>20250903</v>
      </c>
      <c r="H3697" s="38" t="str">
        <f>VLOOKUP(B3697,CAJEROS!B:D,3,0)</f>
        <v>Dispensador</v>
      </c>
      <c r="I3697" s="34" t="s">
        <v>10</v>
      </c>
      <c r="J3697" s="38" t="str">
        <f>VLOOKUP(B3697,CAJEROS!B:E,4,0)</f>
        <v>SUC_CL573</v>
      </c>
      <c r="K3697" t="s">
        <v>579</v>
      </c>
    </row>
    <row r="3698" spans="1:11">
      <c r="A3698" s="32">
        <v>793</v>
      </c>
      <c r="B3698" s="33">
        <v>5216</v>
      </c>
      <c r="C3698" s="3">
        <v>500</v>
      </c>
      <c r="D3698" s="3"/>
      <c r="E3698" s="7">
        <f t="shared" si="82"/>
        <v>500</v>
      </c>
      <c r="F3698" s="5">
        <v>45904</v>
      </c>
      <c r="G3698" s="4">
        <v>20250903</v>
      </c>
      <c r="H3698" s="38" t="str">
        <f>VLOOKUP(B3698,CAJEROS!B:D,3,0)</f>
        <v>Multifuncional</v>
      </c>
      <c r="I3698" s="34" t="s">
        <v>10</v>
      </c>
      <c r="J3698" s="38" t="str">
        <f>VLOOKUP(B3698,CAJEROS!B:E,4,0)</f>
        <v>MF_PROFENAL</v>
      </c>
      <c r="K3698" t="s">
        <v>579</v>
      </c>
    </row>
    <row r="3699" spans="1:11">
      <c r="A3699" s="32">
        <v>473</v>
      </c>
      <c r="B3699" s="33">
        <v>3441</v>
      </c>
      <c r="C3699" s="3">
        <v>20000</v>
      </c>
      <c r="D3699" s="3"/>
      <c r="E3699" s="7">
        <f t="shared" si="82"/>
        <v>20000</v>
      </c>
      <c r="F3699" s="5">
        <v>45904</v>
      </c>
      <c r="G3699" s="4">
        <v>20250903</v>
      </c>
      <c r="H3699" s="38" t="str">
        <f>VLOOKUP(B3699,CAJEROS!B:D,3,0)</f>
        <v>Dispensador</v>
      </c>
      <c r="I3699" s="34" t="s">
        <v>10</v>
      </c>
      <c r="J3699" s="38" t="str">
        <f>VLOOKUP(B3699,CAJEROS!B:E,4,0)</f>
        <v>VICAGUAN1</v>
      </c>
      <c r="K3699" t="s">
        <v>579</v>
      </c>
    </row>
    <row r="3700" spans="1:11">
      <c r="A3700" s="32">
        <v>943</v>
      </c>
      <c r="B3700" s="33">
        <v>3427</v>
      </c>
      <c r="C3700" s="3">
        <v>20000</v>
      </c>
      <c r="D3700" s="3"/>
      <c r="E3700" s="7">
        <f t="shared" si="82"/>
        <v>20000</v>
      </c>
      <c r="F3700" s="5">
        <v>45904</v>
      </c>
      <c r="G3700" s="4">
        <v>20250903</v>
      </c>
      <c r="H3700" s="38" t="str">
        <f>VLOOKUP(B3700,CAJEROS!B:D,3,0)</f>
        <v>Dispensador</v>
      </c>
      <c r="I3700" s="34" t="s">
        <v>10</v>
      </c>
      <c r="J3700" s="38" t="str">
        <f>VLOOKUP(B3700,CAJEROS!B:E,4,0)</f>
        <v>LETICIA_1</v>
      </c>
      <c r="K3700" t="s">
        <v>579</v>
      </c>
    </row>
    <row r="3701" spans="1:11">
      <c r="A3701" s="32">
        <v>348</v>
      </c>
      <c r="B3701" s="33">
        <v>2991</v>
      </c>
      <c r="C3701" s="3">
        <v>10000</v>
      </c>
      <c r="D3701" s="3"/>
      <c r="E3701" s="7">
        <f t="shared" si="82"/>
        <v>10000</v>
      </c>
      <c r="F3701" s="5">
        <v>45904</v>
      </c>
      <c r="G3701" s="4">
        <v>20250903</v>
      </c>
      <c r="H3701" s="38" t="str">
        <f>VLOOKUP(B3701,CAJEROS!B:D,3,0)</f>
        <v>Dispensador</v>
      </c>
      <c r="I3701" s="34" t="s">
        <v>10</v>
      </c>
      <c r="J3701" s="38" t="str">
        <f>VLOOKUP(B3701,CAJEROS!B:E,4,0)</f>
        <v>SUCSANDRES4</v>
      </c>
      <c r="K3701" t="s">
        <v>579</v>
      </c>
    </row>
    <row r="3702" spans="1:11">
      <c r="A3702" s="32">
        <v>367</v>
      </c>
      <c r="B3702" s="33">
        <v>2223</v>
      </c>
      <c r="C3702" s="3">
        <v>20000</v>
      </c>
      <c r="D3702" s="3"/>
      <c r="E3702" s="7">
        <f t="shared" si="82"/>
        <v>20000</v>
      </c>
      <c r="F3702" s="5">
        <v>45904</v>
      </c>
      <c r="G3702" s="4">
        <v>20250903</v>
      </c>
      <c r="H3702" s="38" t="str">
        <f>VLOOKUP(B3702,CAJEROS!B:D,3,0)</f>
        <v>Dispensador</v>
      </c>
      <c r="I3702" s="34" t="s">
        <v>10</v>
      </c>
      <c r="J3702" s="38" t="str">
        <f>VLOOKUP(B3702,CAJEROS!B:E,4,0)</f>
        <v>OFGRANAME_2</v>
      </c>
      <c r="K3702" t="s">
        <v>579</v>
      </c>
    </row>
    <row r="3703" spans="1:11">
      <c r="A3703" s="32">
        <v>38</v>
      </c>
      <c r="B3703" s="33">
        <v>6554</v>
      </c>
      <c r="C3703" s="3">
        <v>20000</v>
      </c>
      <c r="D3703" s="3"/>
      <c r="E3703" s="7">
        <f t="shared" si="82"/>
        <v>20000</v>
      </c>
      <c r="F3703" s="5">
        <v>45904</v>
      </c>
      <c r="G3703" s="4">
        <v>20250903</v>
      </c>
      <c r="H3703" s="38" t="str">
        <f>VLOOKUP(B3703,CAJEROS!B:D,3,0)</f>
        <v>Dispensador</v>
      </c>
      <c r="I3703" s="34" t="s">
        <v>10</v>
      </c>
      <c r="J3703" s="38" t="str">
        <f>VLOOKUP(B3703,CAJEROS!B:E,4,0)</f>
        <v>PAIPA2</v>
      </c>
      <c r="K3703" t="s">
        <v>579</v>
      </c>
    </row>
    <row r="3704" spans="1:11">
      <c r="A3704" s="32">
        <v>236</v>
      </c>
      <c r="B3704" s="33">
        <v>6242</v>
      </c>
      <c r="C3704" s="3">
        <v>10000</v>
      </c>
      <c r="D3704" s="3"/>
      <c r="E3704" s="7">
        <f t="shared" si="82"/>
        <v>10000</v>
      </c>
      <c r="F3704" s="5">
        <v>45904</v>
      </c>
      <c r="G3704" s="4">
        <v>20250903</v>
      </c>
      <c r="H3704" s="38" t="str">
        <f>VLOOKUP(B3704,CAJEROS!B:D,3,0)</f>
        <v>Multifuncional</v>
      </c>
      <c r="I3704" s="34" t="s">
        <v>10</v>
      </c>
      <c r="J3704" s="38" t="str">
        <f>VLOOKUP(B3704,CAJEROS!B:E,4,0)</f>
        <v>MF_EXITCOLO</v>
      </c>
      <c r="K3704" t="s">
        <v>579</v>
      </c>
    </row>
    <row r="3705" spans="1:11">
      <c r="A3705" s="32">
        <v>678</v>
      </c>
      <c r="B3705" s="33">
        <v>6015</v>
      </c>
      <c r="C3705" s="3">
        <v>40000</v>
      </c>
      <c r="D3705" s="3"/>
      <c r="E3705" s="7">
        <f t="shared" si="82"/>
        <v>40000</v>
      </c>
      <c r="F3705" s="5">
        <v>45904</v>
      </c>
      <c r="G3705" s="4">
        <v>20250904</v>
      </c>
      <c r="H3705" s="38" t="str">
        <f>VLOOKUP(B3705,CAJEROS!B:D,3,0)</f>
        <v>Dispensador</v>
      </c>
      <c r="I3705" s="34"/>
      <c r="J3705" s="38" t="str">
        <f>VLOOKUP(B3705,CAJEROS!B:E,4,0)</f>
        <v>PASEOCAST_6</v>
      </c>
      <c r="K3705" t="s">
        <v>579</v>
      </c>
    </row>
    <row r="3706" spans="1:11">
      <c r="A3706" s="32">
        <v>178</v>
      </c>
      <c r="B3706" s="33">
        <v>1755</v>
      </c>
      <c r="C3706" s="3">
        <v>50000</v>
      </c>
      <c r="D3706" s="3"/>
      <c r="E3706" s="7">
        <f t="shared" si="82"/>
        <v>50000</v>
      </c>
      <c r="F3706" s="5">
        <v>45905</v>
      </c>
      <c r="G3706" s="4">
        <v>20250904</v>
      </c>
      <c r="H3706" s="38" t="str">
        <f>VLOOKUP(B3706,CAJEROS!B:D,3,0)</f>
        <v>Dispensador</v>
      </c>
      <c r="I3706" s="34"/>
      <c r="J3706" s="38" t="str">
        <f>VLOOKUP(B3706,CAJEROS!B:E,4,0)</f>
        <v>FULLFCIERO</v>
      </c>
      <c r="K3706" t="s">
        <v>579</v>
      </c>
    </row>
    <row r="3707" spans="1:11">
      <c r="A3707" s="32">
        <v>356</v>
      </c>
      <c r="B3707" s="33">
        <v>8639</v>
      </c>
      <c r="C3707" s="3">
        <v>20000</v>
      </c>
      <c r="D3707" s="3"/>
      <c r="E3707" s="7">
        <f t="shared" si="82"/>
        <v>20000</v>
      </c>
      <c r="F3707" s="5">
        <v>45905</v>
      </c>
      <c r="G3707" s="4">
        <v>20250904</v>
      </c>
      <c r="H3707" s="38" t="str">
        <f>VLOOKUP(B3707,CAJEROS!B:D,3,0)</f>
        <v>Dispensador</v>
      </c>
      <c r="I3707" s="34"/>
      <c r="J3707" s="38" t="str">
        <f>VLOOKUP(B3707,CAJEROS!B:E,4,0)</f>
        <v>SUCGUACHET2</v>
      </c>
      <c r="K3707" t="s">
        <v>579</v>
      </c>
    </row>
    <row r="3708" spans="1:11">
      <c r="A3708" s="32">
        <v>359</v>
      </c>
      <c r="B3708" s="33">
        <v>4650</v>
      </c>
      <c r="C3708" s="3">
        <v>700000</v>
      </c>
      <c r="D3708" s="3"/>
      <c r="E3708" s="7">
        <f t="shared" si="82"/>
        <v>700000</v>
      </c>
      <c r="F3708" s="5">
        <v>45905</v>
      </c>
      <c r="G3708" s="4">
        <v>20250904</v>
      </c>
      <c r="H3708" s="38" t="str">
        <f>VLOOKUP(B3708,CAJEROS!B:D,3,0)</f>
        <v>Dispensador</v>
      </c>
      <c r="I3708" s="34"/>
      <c r="J3708" s="38" t="str">
        <f>VLOOKUP(B3708,CAJEROS!B:E,4,0)</f>
        <v>SUC_COVEN1</v>
      </c>
      <c r="K3708" t="s">
        <v>579</v>
      </c>
    </row>
    <row r="3709" spans="1:11">
      <c r="A3709" s="32">
        <v>376</v>
      </c>
      <c r="B3709" s="33">
        <v>2854</v>
      </c>
      <c r="C3709" s="3">
        <v>70000</v>
      </c>
      <c r="D3709" s="3"/>
      <c r="E3709" s="7">
        <f t="shared" si="82"/>
        <v>70000</v>
      </c>
      <c r="F3709" s="5">
        <v>45905</v>
      </c>
      <c r="G3709" s="4">
        <v>20250904</v>
      </c>
      <c r="H3709" s="38" t="str">
        <f>VLOOKUP(B3709,CAJEROS!B:D,3,0)</f>
        <v>Dispensador</v>
      </c>
      <c r="I3709" s="34"/>
      <c r="J3709" s="38" t="str">
        <f>VLOOKUP(B3709,CAJEROS!B:E,4,0)</f>
        <v>_FREDONIA_</v>
      </c>
      <c r="K3709" t="s">
        <v>579</v>
      </c>
    </row>
    <row r="3710" spans="1:11">
      <c r="A3710" s="32">
        <v>705</v>
      </c>
      <c r="B3710" s="33">
        <v>2792</v>
      </c>
      <c r="C3710" s="3">
        <v>20000</v>
      </c>
      <c r="D3710" s="3"/>
      <c r="E3710" s="7">
        <f t="shared" si="82"/>
        <v>20000</v>
      </c>
      <c r="F3710" s="5">
        <v>45905</v>
      </c>
      <c r="G3710" s="4">
        <v>20250904</v>
      </c>
      <c r="H3710" s="38" t="str">
        <f>VLOOKUP(B3710,CAJEROS!B:D,3,0)</f>
        <v>Dispensador</v>
      </c>
      <c r="I3710" s="34"/>
      <c r="J3710" s="38" t="str">
        <f>VLOOKUP(B3710,CAJEROS!B:E,4,0)</f>
        <v>_EL_BAGRE_</v>
      </c>
      <c r="K3710" t="s">
        <v>579</v>
      </c>
    </row>
    <row r="3711" spans="1:11">
      <c r="A3711" s="32">
        <v>716</v>
      </c>
      <c r="B3711" s="33">
        <v>4597</v>
      </c>
      <c r="C3711" s="3">
        <v>870000</v>
      </c>
      <c r="D3711" s="3"/>
      <c r="E3711" s="7">
        <f t="shared" si="82"/>
        <v>870000</v>
      </c>
      <c r="F3711" s="5">
        <v>45905</v>
      </c>
      <c r="G3711" s="4">
        <v>20250904</v>
      </c>
      <c r="H3711" s="38" t="str">
        <f>VLOOKUP(B3711,CAJEROS!B:D,3,0)</f>
        <v>Dispensador</v>
      </c>
      <c r="I3711" s="34"/>
      <c r="J3711" s="38" t="str">
        <f>VLOOKUP(B3711,CAJEROS!B:E,4,0)</f>
        <v>SUC_AVCANA4</v>
      </c>
      <c r="K3711" t="s">
        <v>579</v>
      </c>
    </row>
    <row r="3712" spans="1:11">
      <c r="A3712" s="32">
        <v>739</v>
      </c>
      <c r="B3712" s="33">
        <v>3803</v>
      </c>
      <c r="C3712" s="3">
        <v>200000</v>
      </c>
      <c r="D3712" s="3"/>
      <c r="E3712" s="7">
        <f t="shared" si="82"/>
        <v>200000</v>
      </c>
      <c r="F3712" s="5">
        <v>45905</v>
      </c>
      <c r="G3712" s="4">
        <v>20250904</v>
      </c>
      <c r="H3712" s="38" t="str">
        <f>VLOOKUP(B3712,CAJEROS!B:D,3,0)</f>
        <v>Dispensador</v>
      </c>
      <c r="I3712" s="34"/>
      <c r="J3712" s="38" t="str">
        <f>VLOOKUP(B3712,CAJEROS!B:E,4,0)</f>
        <v>SUC_NECO2</v>
      </c>
      <c r="K3712" t="s">
        <v>579</v>
      </c>
    </row>
    <row r="3713" spans="1:11">
      <c r="A3713" s="32">
        <v>829</v>
      </c>
      <c r="B3713" s="33">
        <v>1157</v>
      </c>
      <c r="C3713" s="3">
        <v>4250000</v>
      </c>
      <c r="D3713" s="3">
        <v>100000</v>
      </c>
      <c r="E3713" s="7">
        <f t="shared" si="82"/>
        <v>4150000</v>
      </c>
      <c r="F3713" s="5">
        <v>45905</v>
      </c>
      <c r="G3713" s="4">
        <v>20250904</v>
      </c>
      <c r="H3713" s="38" t="str">
        <f>VLOOKUP(B3713,CAJEROS!B:D,3,0)</f>
        <v>Dispensador</v>
      </c>
      <c r="I3713" s="34"/>
      <c r="J3713" s="38" t="str">
        <f>VLOOKUP(B3713,CAJEROS!B:E,4,0)</f>
        <v>SUCUNICCAL3</v>
      </c>
      <c r="K3713" t="s">
        <v>579</v>
      </c>
    </row>
    <row r="3714" spans="1:11">
      <c r="A3714" s="32">
        <v>838</v>
      </c>
      <c r="B3714" s="33">
        <v>8382</v>
      </c>
      <c r="C3714" s="3">
        <v>500000</v>
      </c>
      <c r="D3714" s="3"/>
      <c r="E3714" s="7">
        <f t="shared" si="82"/>
        <v>500000</v>
      </c>
      <c r="F3714" s="5">
        <v>45905</v>
      </c>
      <c r="G3714" s="4">
        <v>20250904</v>
      </c>
      <c r="H3714" s="38" t="str">
        <f>VLOOKUP(B3714,CAJEROS!B:D,3,0)</f>
        <v>Dispensador</v>
      </c>
      <c r="I3714" s="34"/>
      <c r="J3714" s="38" t="str">
        <f>VLOOKUP(B3714,CAJEROS!B:E,4,0)</f>
        <v>SANT_QUILI2</v>
      </c>
      <c r="K3714" t="s">
        <v>579</v>
      </c>
    </row>
    <row r="3715" spans="1:11">
      <c r="A3715" s="32">
        <v>842</v>
      </c>
      <c r="B3715" s="33">
        <v>1646</v>
      </c>
      <c r="C3715" s="3">
        <v>500000</v>
      </c>
      <c r="D3715" s="3"/>
      <c r="E3715" s="7">
        <f t="shared" si="82"/>
        <v>500000</v>
      </c>
      <c r="F3715" s="5">
        <v>45905</v>
      </c>
      <c r="G3715" s="4">
        <v>20250904</v>
      </c>
      <c r="H3715" s="38" t="str">
        <f>VLOOKUP(B3715,CAJEROS!B:D,3,0)</f>
        <v>Dispensador</v>
      </c>
      <c r="I3715" s="34"/>
      <c r="J3715" s="38" t="str">
        <f>VLOOKUP(B3715,CAJEROS!B:E,4,0)</f>
        <v>BVENTURA_2</v>
      </c>
      <c r="K3715" t="s">
        <v>579</v>
      </c>
    </row>
    <row r="3716" spans="1:11">
      <c r="A3716" s="32">
        <v>867</v>
      </c>
      <c r="B3716" s="33">
        <v>4060</v>
      </c>
      <c r="C3716" s="3">
        <v>100000</v>
      </c>
      <c r="D3716" s="3"/>
      <c r="E3716" s="7">
        <f t="shared" si="82"/>
        <v>100000</v>
      </c>
      <c r="F3716" s="5">
        <v>45905</v>
      </c>
      <c r="G3716" s="4">
        <v>20250904</v>
      </c>
      <c r="H3716" s="38" t="str">
        <f>VLOOKUP(B3716,CAJEROS!B:D,3,0)</f>
        <v>Dispensador</v>
      </c>
      <c r="I3716" s="34"/>
      <c r="J3716" s="38" t="str">
        <f>VLOOKUP(B3716,CAJEROS!B:E,4,0)</f>
        <v>UNIC_ARME3</v>
      </c>
      <c r="K3716" t="s">
        <v>579</v>
      </c>
    </row>
    <row r="3717" spans="1:11">
      <c r="A3717" s="32">
        <v>38</v>
      </c>
      <c r="B3717" s="33">
        <v>6553</v>
      </c>
      <c r="C3717" s="3">
        <v>340000</v>
      </c>
      <c r="D3717" s="3"/>
      <c r="E3717" s="7">
        <f t="shared" si="82"/>
        <v>340000</v>
      </c>
      <c r="F3717" s="5">
        <v>45905</v>
      </c>
      <c r="G3717" s="4">
        <v>20250904</v>
      </c>
      <c r="H3717" s="38" t="str">
        <f>VLOOKUP(B3717,CAJEROS!B:D,3,0)</f>
        <v>Dispensador</v>
      </c>
      <c r="I3717" s="34" t="s">
        <v>9</v>
      </c>
      <c r="J3717" s="38" t="str">
        <f>VLOOKUP(B3717,CAJEROS!B:E,4,0)</f>
        <v>PAIPA1</v>
      </c>
      <c r="K3717" t="s">
        <v>579</v>
      </c>
    </row>
    <row r="3718" spans="1:11">
      <c r="A3718" s="32">
        <v>193</v>
      </c>
      <c r="B3718" s="33">
        <v>8532</v>
      </c>
      <c r="C3718" s="3">
        <v>450000</v>
      </c>
      <c r="D3718" s="3"/>
      <c r="E3718" s="7">
        <f t="shared" si="82"/>
        <v>450000</v>
      </c>
      <c r="F3718" s="5">
        <v>45905</v>
      </c>
      <c r="G3718" s="4">
        <v>20250904</v>
      </c>
      <c r="H3718" s="38" t="str">
        <f>VLOOKUP(B3718,CAJEROS!B:D,3,0)</f>
        <v>Dispensador</v>
      </c>
      <c r="I3718" s="34" t="s">
        <v>9</v>
      </c>
      <c r="J3718" s="38" t="str">
        <f>VLOOKUP(B3718,CAJEROS!B:E,4,0)</f>
        <v>HALLSUCFIC2</v>
      </c>
      <c r="K3718" t="s">
        <v>579</v>
      </c>
    </row>
    <row r="3719" spans="1:11">
      <c r="A3719" s="32">
        <v>395</v>
      </c>
      <c r="B3719" s="33">
        <v>1537</v>
      </c>
      <c r="C3719" s="3">
        <v>30000</v>
      </c>
      <c r="D3719" s="3"/>
      <c r="E3719" s="7">
        <f t="shared" si="82"/>
        <v>30000</v>
      </c>
      <c r="F3719" s="5">
        <v>45905</v>
      </c>
      <c r="G3719" s="4">
        <v>20250904</v>
      </c>
      <c r="H3719" s="38" t="str">
        <f>VLOOKUP(B3719,CAJEROS!B:D,3,0)</f>
        <v>Dispensador</v>
      </c>
      <c r="I3719" s="34" t="s">
        <v>9</v>
      </c>
      <c r="J3719" s="38" t="str">
        <f>VLOOKUP(B3719,CAJEROS!B:E,4,0)</f>
        <v>SUCVIVAVCI6</v>
      </c>
      <c r="K3719" t="s">
        <v>579</v>
      </c>
    </row>
    <row r="3720" spans="1:11">
      <c r="A3720" s="32">
        <v>481</v>
      </c>
      <c r="B3720" s="33">
        <v>1005</v>
      </c>
      <c r="C3720" s="3">
        <v>1800000</v>
      </c>
      <c r="D3720" s="3"/>
      <c r="E3720" s="7">
        <f t="shared" si="82"/>
        <v>1800000</v>
      </c>
      <c r="F3720" s="5">
        <v>45905</v>
      </c>
      <c r="G3720" s="4">
        <v>20250904</v>
      </c>
      <c r="H3720" s="38" t="str">
        <f>VLOOKUP(B3720,CAJEROS!B:D,3,0)</f>
        <v>Dispensador</v>
      </c>
      <c r="I3720" s="34" t="s">
        <v>9</v>
      </c>
      <c r="J3720" s="38" t="str">
        <f>VLOOKUP(B3720,CAJEROS!B:E,4,0)</f>
        <v>SUC_SOLEDA1</v>
      </c>
      <c r="K3720" t="s">
        <v>579</v>
      </c>
    </row>
    <row r="3721" spans="1:11">
      <c r="A3721" s="32">
        <v>481</v>
      </c>
      <c r="B3721" s="33">
        <v>1007</v>
      </c>
      <c r="C3721" s="3">
        <v>2650000</v>
      </c>
      <c r="D3721" s="3"/>
      <c r="E3721" s="7">
        <f t="shared" si="82"/>
        <v>2650000</v>
      </c>
      <c r="F3721" s="5">
        <v>45905</v>
      </c>
      <c r="G3721" s="4">
        <v>20250904</v>
      </c>
      <c r="H3721" s="38" t="str">
        <f>VLOOKUP(B3721,CAJEROS!B:D,3,0)</f>
        <v>Dispensador</v>
      </c>
      <c r="I3721" s="34" t="s">
        <v>9</v>
      </c>
      <c r="J3721" s="38" t="str">
        <f>VLOOKUP(B3721,CAJEROS!B:E,4,0)</f>
        <v>SUC_SOLEDA3</v>
      </c>
      <c r="K3721" t="s">
        <v>579</v>
      </c>
    </row>
    <row r="3722" spans="1:11">
      <c r="A3722" s="32">
        <v>481</v>
      </c>
      <c r="B3722" s="33">
        <v>1008</v>
      </c>
      <c r="C3722" s="3">
        <v>360000</v>
      </c>
      <c r="D3722" s="3"/>
      <c r="E3722" s="7">
        <f t="shared" si="82"/>
        <v>360000</v>
      </c>
      <c r="F3722" s="5">
        <v>45905</v>
      </c>
      <c r="G3722" s="4">
        <v>20250904</v>
      </c>
      <c r="H3722" s="38" t="str">
        <f>VLOOKUP(B3722,CAJEROS!B:D,3,0)</f>
        <v>Dispensador</v>
      </c>
      <c r="I3722" s="34" t="s">
        <v>9</v>
      </c>
      <c r="J3722" s="38" t="str">
        <f>VLOOKUP(B3722,CAJEROS!B:E,4,0)</f>
        <v>SUC_SOLEDA4</v>
      </c>
      <c r="K3722" t="s">
        <v>579</v>
      </c>
    </row>
    <row r="3723" spans="1:11">
      <c r="A3723" s="32">
        <v>512</v>
      </c>
      <c r="B3723" s="33">
        <v>4718</v>
      </c>
      <c r="C3723" s="3">
        <v>400000</v>
      </c>
      <c r="D3723" s="3"/>
      <c r="E3723" s="7">
        <f t="shared" si="82"/>
        <v>400000</v>
      </c>
      <c r="F3723" s="5">
        <v>45905</v>
      </c>
      <c r="G3723" s="4">
        <v>20250904</v>
      </c>
      <c r="H3723" s="38" t="str">
        <f>VLOOKUP(B3723,CAJEROS!B:D,3,0)</f>
        <v>Dispensador</v>
      </c>
      <c r="I3723" s="34" t="s">
        <v>9</v>
      </c>
      <c r="J3723" s="38" t="str">
        <f>VLOOKUP(B3723,CAJEROS!B:E,4,0)</f>
        <v>SUC_PLATO3</v>
      </c>
      <c r="K3723" t="s">
        <v>579</v>
      </c>
    </row>
    <row r="3724" spans="1:11">
      <c r="A3724" s="32">
        <v>631</v>
      </c>
      <c r="B3724" s="33">
        <v>2616</v>
      </c>
      <c r="C3724" s="3">
        <v>200000</v>
      </c>
      <c r="D3724" s="3"/>
      <c r="E3724" s="7">
        <f t="shared" si="82"/>
        <v>200000</v>
      </c>
      <c r="F3724" s="5">
        <v>45905</v>
      </c>
      <c r="G3724" s="4">
        <v>20250904</v>
      </c>
      <c r="H3724" s="38" t="str">
        <f>VLOOKUP(B3724,CAJEROS!B:D,3,0)</f>
        <v>Dispensador</v>
      </c>
      <c r="I3724" s="34" t="s">
        <v>9</v>
      </c>
      <c r="J3724" s="38" t="str">
        <f>VLOOKUP(B3724,CAJEROS!B:E,4,0)</f>
        <v>SUCURIBIA_2</v>
      </c>
      <c r="K3724" t="s">
        <v>579</v>
      </c>
    </row>
    <row r="3725" spans="1:11">
      <c r="A3725" s="32">
        <v>719</v>
      </c>
      <c r="B3725" s="33">
        <v>7190</v>
      </c>
      <c r="C3725" s="3">
        <v>100000</v>
      </c>
      <c r="D3725" s="3"/>
      <c r="E3725" s="7">
        <f t="shared" si="82"/>
        <v>100000</v>
      </c>
      <c r="F3725" s="5">
        <v>45905</v>
      </c>
      <c r="G3725" s="4">
        <v>20250904</v>
      </c>
      <c r="H3725" s="38" t="str">
        <f>VLOOKUP(B3725,CAJEROS!B:D,3,0)</f>
        <v>Dispensador</v>
      </c>
      <c r="I3725" s="34" t="s">
        <v>9</v>
      </c>
      <c r="J3725" s="38" t="str">
        <f>VLOOKUP(B3725,CAJEROS!B:E,4,0)</f>
        <v>BELENUMBRIA</v>
      </c>
      <c r="K3725" t="s">
        <v>579</v>
      </c>
    </row>
    <row r="3726" spans="1:11">
      <c r="A3726" s="32">
        <v>739</v>
      </c>
      <c r="B3726" s="33">
        <v>3664</v>
      </c>
      <c r="C3726" s="3">
        <v>180000</v>
      </c>
      <c r="D3726" s="3"/>
      <c r="E3726" s="7">
        <f t="shared" si="82"/>
        <v>180000</v>
      </c>
      <c r="F3726" s="5">
        <v>45905</v>
      </c>
      <c r="G3726" s="4">
        <v>20250904</v>
      </c>
      <c r="H3726" s="38" t="str">
        <f>VLOOKUP(B3726,CAJEROS!B:D,3,0)</f>
        <v>Dispensador</v>
      </c>
      <c r="I3726" s="34" t="s">
        <v>9</v>
      </c>
      <c r="J3726" s="38" t="str">
        <f>VLOOKUP(B3726,CAJEROS!B:E,4,0)</f>
        <v>SUC_NECO1</v>
      </c>
      <c r="K3726" t="s">
        <v>579</v>
      </c>
    </row>
    <row r="3727" spans="1:11">
      <c r="A3727" s="32">
        <v>799</v>
      </c>
      <c r="B3727" s="33">
        <v>8187</v>
      </c>
      <c r="C3727" s="3">
        <v>50000</v>
      </c>
      <c r="D3727" s="3">
        <v>30000</v>
      </c>
      <c r="E3727" s="7">
        <f t="shared" si="82"/>
        <v>20000</v>
      </c>
      <c r="F3727" s="5">
        <v>45905</v>
      </c>
      <c r="G3727" s="4">
        <v>20250904</v>
      </c>
      <c r="H3727" s="38" t="str">
        <f>VLOOKUP(B3727,CAJEROS!B:D,3,0)</f>
        <v>Dispensador</v>
      </c>
      <c r="I3727" s="34" t="s">
        <v>9</v>
      </c>
      <c r="J3727" s="38" t="str">
        <f>VLOOKUP(B3727,CAJEROS!B:E,4,0)</f>
        <v>SUC_FLORBL4</v>
      </c>
      <c r="K3727" t="s">
        <v>579</v>
      </c>
    </row>
    <row r="3728" spans="1:11">
      <c r="A3728" s="32">
        <v>909</v>
      </c>
      <c r="B3728" s="33">
        <v>6641</v>
      </c>
      <c r="C3728" s="3">
        <v>300000</v>
      </c>
      <c r="D3728" s="3">
        <v>10000</v>
      </c>
      <c r="E3728" s="7">
        <f t="shared" si="82"/>
        <v>290000</v>
      </c>
      <c r="F3728" s="5">
        <v>45905</v>
      </c>
      <c r="G3728" s="4">
        <v>20250904</v>
      </c>
      <c r="H3728" s="38" t="str">
        <f>VLOOKUP(B3728,CAJEROS!B:D,3,0)</f>
        <v>Dispensador</v>
      </c>
      <c r="I3728" s="34" t="s">
        <v>9</v>
      </c>
      <c r="J3728" s="38" t="str">
        <f>VLOOKUP(B3728,CAJEROS!B:E,4,0)</f>
        <v>SUC_ROSAL2</v>
      </c>
      <c r="K3728" t="s">
        <v>579</v>
      </c>
    </row>
    <row r="3729" spans="1:11">
      <c r="A3729" s="32">
        <v>927</v>
      </c>
      <c r="B3729" s="33">
        <v>5751</v>
      </c>
      <c r="C3729" s="3">
        <v>500000</v>
      </c>
      <c r="D3729" s="3"/>
      <c r="E3729" s="7">
        <f t="shared" si="82"/>
        <v>500000</v>
      </c>
      <c r="F3729" s="5">
        <v>45905</v>
      </c>
      <c r="G3729" s="4">
        <v>20250904</v>
      </c>
      <c r="H3729" s="38" t="str">
        <f>VLOOKUP(B3729,CAJEROS!B:D,3,0)</f>
        <v>Dispensador</v>
      </c>
      <c r="I3729" s="34" t="s">
        <v>9</v>
      </c>
      <c r="J3729" s="38" t="str">
        <f>VLOOKUP(B3729,CAJEROS!B:E,4,0)</f>
        <v>SUC_MOCOA3</v>
      </c>
      <c r="K3729" t="s">
        <v>579</v>
      </c>
    </row>
    <row r="3730" spans="1:11">
      <c r="A3730" s="32">
        <v>7</v>
      </c>
      <c r="B3730" s="33">
        <v>7812</v>
      </c>
      <c r="C3730" s="3">
        <v>5950</v>
      </c>
      <c r="D3730" s="3"/>
      <c r="E3730" s="7">
        <f t="shared" si="82"/>
        <v>5950</v>
      </c>
      <c r="F3730" s="5">
        <v>45905</v>
      </c>
      <c r="G3730" s="4">
        <v>20250904</v>
      </c>
      <c r="H3730" s="38" t="str">
        <f>VLOOKUP(B3730,CAJEROS!B:D,3,0)</f>
        <v>Multifuncional</v>
      </c>
      <c r="I3730" s="34"/>
      <c r="J3730" s="38" t="str">
        <f>VLOOKUP(B3730,CAJEROS!B:E,4,0)</f>
        <v>MF_LOSMOLI3</v>
      </c>
      <c r="K3730" t="s">
        <v>579</v>
      </c>
    </row>
    <row r="3731" spans="1:11">
      <c r="A3731" s="32">
        <v>19</v>
      </c>
      <c r="B3731" s="33">
        <v>5078</v>
      </c>
      <c r="C3731" s="3">
        <v>30000</v>
      </c>
      <c r="D3731" s="3"/>
      <c r="E3731" s="7">
        <f t="shared" si="82"/>
        <v>30000</v>
      </c>
      <c r="F3731" s="5">
        <v>45905</v>
      </c>
      <c r="G3731" s="4">
        <v>20250904</v>
      </c>
      <c r="H3731" s="38" t="str">
        <f>VLOOKUP(B3731,CAJEROS!B:D,3,0)</f>
        <v>Multifuncional</v>
      </c>
      <c r="I3731" s="34"/>
      <c r="J3731" s="38" t="str">
        <f>VLOOKUP(B3731,CAJEROS!B:E,4,0)</f>
        <v>MF_SUCENVIG</v>
      </c>
      <c r="K3731" t="s">
        <v>579</v>
      </c>
    </row>
    <row r="3732" spans="1:11">
      <c r="A3732" s="32">
        <v>32</v>
      </c>
      <c r="B3732" s="33">
        <v>5027</v>
      </c>
      <c r="C3732" s="3">
        <v>50</v>
      </c>
      <c r="D3732" s="3"/>
      <c r="E3732" s="7">
        <f t="shared" si="82"/>
        <v>50</v>
      </c>
      <c r="F3732" s="5">
        <v>45905</v>
      </c>
      <c r="G3732" s="4">
        <v>20250904</v>
      </c>
      <c r="H3732" s="38" t="str">
        <f>VLOOKUP(B3732,CAJEROS!B:D,3,0)</f>
        <v>Multifuncional</v>
      </c>
      <c r="I3732" s="34"/>
      <c r="J3732" s="38" t="str">
        <f>VLOOKUP(B3732,CAJEROS!B:E,4,0)</f>
        <v>MF_ANTCOUNT</v>
      </c>
      <c r="K3732" t="s">
        <v>579</v>
      </c>
    </row>
    <row r="3733" spans="1:11">
      <c r="A3733" s="32">
        <v>64</v>
      </c>
      <c r="B3733" s="33">
        <v>9306</v>
      </c>
      <c r="C3733" s="3">
        <v>4130000</v>
      </c>
      <c r="D3733" s="3"/>
      <c r="E3733" s="7">
        <f t="shared" si="82"/>
        <v>4130000</v>
      </c>
      <c r="F3733" s="5">
        <v>45905</v>
      </c>
      <c r="G3733" s="4">
        <v>20250904</v>
      </c>
      <c r="H3733" s="38" t="str">
        <f>VLOOKUP(B3733,CAJEROS!B:D,3,0)</f>
        <v>Multifuncional</v>
      </c>
      <c r="I3733" s="34"/>
      <c r="J3733" s="38" t="str">
        <f>VLOOKUP(B3733,CAJEROS!B:E,4,0)</f>
        <v>MFSUCVIPA1</v>
      </c>
      <c r="K3733" t="s">
        <v>579</v>
      </c>
    </row>
    <row r="3734" spans="1:11">
      <c r="A3734" s="32">
        <v>93</v>
      </c>
      <c r="B3734" s="33">
        <v>7126</v>
      </c>
      <c r="C3734" s="3">
        <v>4915000</v>
      </c>
      <c r="D3734" s="3"/>
      <c r="E3734" s="7">
        <f t="shared" ref="E3734:E3797" si="83">+C3734-D3734</f>
        <v>4915000</v>
      </c>
      <c r="F3734" s="5">
        <v>45905</v>
      </c>
      <c r="G3734" s="4">
        <v>20250904</v>
      </c>
      <c r="H3734" s="38" t="str">
        <f>VLOOKUP(B3734,CAJEROS!B:D,3,0)</f>
        <v>Multifuncional</v>
      </c>
      <c r="I3734" s="34"/>
      <c r="J3734" s="38" t="str">
        <f>VLOOKUP(B3734,CAJEROS!B:E,4,0)</f>
        <v>MF_SAHAGUN</v>
      </c>
      <c r="K3734" t="s">
        <v>579</v>
      </c>
    </row>
    <row r="3735" spans="1:11">
      <c r="A3735" s="32">
        <v>138</v>
      </c>
      <c r="B3735" s="33">
        <v>6628</v>
      </c>
      <c r="C3735" s="3">
        <v>170000</v>
      </c>
      <c r="D3735" s="3"/>
      <c r="E3735" s="7">
        <f t="shared" si="83"/>
        <v>170000</v>
      </c>
      <c r="F3735" s="5">
        <v>45905</v>
      </c>
      <c r="G3735" s="4">
        <v>20250904</v>
      </c>
      <c r="H3735" s="38" t="str">
        <f>VLOOKUP(B3735,CAJEROS!B:D,3,0)</f>
        <v>Multifuncional</v>
      </c>
      <c r="I3735" s="34"/>
      <c r="J3735" s="38" t="str">
        <f>VLOOKUP(B3735,CAJEROS!B:E,4,0)</f>
        <v>MF_MOSQUERA</v>
      </c>
      <c r="K3735" t="s">
        <v>579</v>
      </c>
    </row>
    <row r="3736" spans="1:11">
      <c r="A3736" s="32">
        <v>166</v>
      </c>
      <c r="B3736" s="33">
        <v>7939</v>
      </c>
      <c r="C3736" s="3">
        <v>5010000</v>
      </c>
      <c r="D3736" s="3">
        <f>250000+1444750</f>
        <v>1694750</v>
      </c>
      <c r="E3736" s="7">
        <f t="shared" si="83"/>
        <v>3315250</v>
      </c>
      <c r="F3736" s="5">
        <v>45905</v>
      </c>
      <c r="G3736" s="4">
        <v>20250904</v>
      </c>
      <c r="H3736" s="38" t="str">
        <f>VLOOKUP(B3736,CAJEROS!B:D,3,0)</f>
        <v>Multifuncional</v>
      </c>
      <c r="I3736" s="34"/>
      <c r="J3736" s="38" t="str">
        <f>VLOOKUP(B3736,CAJEROS!B:E,4,0)</f>
        <v>MF_ALDELSI1</v>
      </c>
      <c r="K3736" t="s">
        <v>579</v>
      </c>
    </row>
    <row r="3737" spans="1:11">
      <c r="A3737" s="32">
        <v>172</v>
      </c>
      <c r="B3737" s="33">
        <v>7429</v>
      </c>
      <c r="C3737" s="3">
        <v>640000</v>
      </c>
      <c r="D3737" s="3"/>
      <c r="E3737" s="7">
        <f t="shared" si="83"/>
        <v>640000</v>
      </c>
      <c r="F3737" s="5">
        <v>45905</v>
      </c>
      <c r="G3737" s="4">
        <v>20250904</v>
      </c>
      <c r="H3737" s="38" t="str">
        <f>VLOOKUP(B3737,CAJEROS!B:D,3,0)</f>
        <v>Multifuncional</v>
      </c>
      <c r="I3737" s="34"/>
      <c r="J3737" s="38" t="str">
        <f>VLOOKUP(B3737,CAJEROS!B:E,4,0)</f>
        <v>MF_TELEPORT</v>
      </c>
      <c r="K3737" t="s">
        <v>579</v>
      </c>
    </row>
    <row r="3738" spans="1:11">
      <c r="A3738" s="32">
        <v>261</v>
      </c>
      <c r="B3738" s="33">
        <v>5048</v>
      </c>
      <c r="C3738" s="3">
        <v>2674300</v>
      </c>
      <c r="D3738" s="3">
        <f>880150+150000</f>
        <v>1030150</v>
      </c>
      <c r="E3738" s="7">
        <f t="shared" si="83"/>
        <v>1644150</v>
      </c>
      <c r="F3738" s="5">
        <v>45905</v>
      </c>
      <c r="G3738" s="4">
        <v>20250904</v>
      </c>
      <c r="H3738" s="38" t="str">
        <f>VLOOKUP(B3738,CAJEROS!B:D,3,0)</f>
        <v>Multifuncional</v>
      </c>
      <c r="I3738" s="34"/>
      <c r="J3738" s="38" t="str">
        <f>VLOOKUP(B3738,CAJEROS!B:E,4,0)</f>
        <v>MF_CAMPANA</v>
      </c>
      <c r="K3738" t="s">
        <v>579</v>
      </c>
    </row>
    <row r="3739" spans="1:11">
      <c r="A3739" s="32">
        <v>277</v>
      </c>
      <c r="B3739" s="33">
        <v>5021</v>
      </c>
      <c r="C3739" s="3">
        <v>10000</v>
      </c>
      <c r="D3739" s="3"/>
      <c r="E3739" s="7">
        <f t="shared" si="83"/>
        <v>10000</v>
      </c>
      <c r="F3739" s="5">
        <v>45905</v>
      </c>
      <c r="G3739" s="4">
        <v>20250904</v>
      </c>
      <c r="H3739" s="38" t="str">
        <f>VLOOKUP(B3739,CAJEROS!B:D,3,0)</f>
        <v>Multifuncional</v>
      </c>
      <c r="I3739" s="34"/>
      <c r="J3739" s="38" t="str">
        <f>VLOOKUP(B3739,CAJEROS!B:E,4,0)</f>
        <v>MF_CCMAYOR1</v>
      </c>
      <c r="K3739" t="s">
        <v>579</v>
      </c>
    </row>
    <row r="3740" spans="1:11">
      <c r="A3740" s="32">
        <v>292</v>
      </c>
      <c r="B3740" s="33">
        <v>5116</v>
      </c>
      <c r="C3740" s="3">
        <v>6013300</v>
      </c>
      <c r="D3740" s="3"/>
      <c r="E3740" s="7">
        <f t="shared" si="83"/>
        <v>6013300</v>
      </c>
      <c r="F3740" s="5">
        <v>45905</v>
      </c>
      <c r="G3740" s="4">
        <v>20250904</v>
      </c>
      <c r="H3740" s="38" t="str">
        <f>VLOOKUP(B3740,CAJEROS!B:D,3,0)</f>
        <v>Multifuncional</v>
      </c>
      <c r="I3740" s="34"/>
      <c r="J3740" s="38" t="str">
        <f>VLOOKUP(B3740,CAJEROS!B:E,4,0)</f>
        <v>MF_CONFECCI</v>
      </c>
      <c r="K3740" t="s">
        <v>579</v>
      </c>
    </row>
    <row r="3741" spans="1:11">
      <c r="A3741" s="32">
        <v>351</v>
      </c>
      <c r="B3741" s="33">
        <v>6182</v>
      </c>
      <c r="C3741" s="3">
        <v>1200</v>
      </c>
      <c r="D3741" s="3"/>
      <c r="E3741" s="7">
        <f t="shared" si="83"/>
        <v>1200</v>
      </c>
      <c r="F3741" s="5">
        <v>45905</v>
      </c>
      <c r="G3741" s="4">
        <v>20250904</v>
      </c>
      <c r="H3741" s="38" t="str">
        <f>VLOOKUP(B3741,CAJEROS!B:D,3,0)</f>
        <v>Multifuncional</v>
      </c>
      <c r="I3741" s="34"/>
      <c r="J3741" s="38" t="str">
        <f>VLOOKUP(B3741,CAJEROS!B:E,4,0)</f>
        <v>MF_PUNTORIE</v>
      </c>
      <c r="K3741" t="s">
        <v>579</v>
      </c>
    </row>
    <row r="3742" spans="1:11">
      <c r="A3742" s="32">
        <v>366</v>
      </c>
      <c r="B3742" s="33">
        <v>5132</v>
      </c>
      <c r="C3742" s="3">
        <v>8400</v>
      </c>
      <c r="D3742" s="3"/>
      <c r="E3742" s="7">
        <f t="shared" si="83"/>
        <v>8400</v>
      </c>
      <c r="F3742" s="5">
        <v>45905</v>
      </c>
      <c r="G3742" s="4">
        <v>20250904</v>
      </c>
      <c r="H3742" s="38" t="str">
        <f>VLOOKUP(B3742,CAJEROS!B:D,3,0)</f>
        <v>Multifuncional</v>
      </c>
      <c r="I3742" s="34"/>
      <c r="J3742" s="38" t="str">
        <f>VLOOKUP(B3742,CAJEROS!B:E,4,0)</f>
        <v>MF_TERMTPTE</v>
      </c>
      <c r="K3742" t="s">
        <v>579</v>
      </c>
    </row>
    <row r="3743" spans="1:11">
      <c r="A3743" s="32">
        <v>442</v>
      </c>
      <c r="B3743" s="33">
        <v>8888</v>
      </c>
      <c r="C3743" s="3">
        <v>10457500</v>
      </c>
      <c r="D3743" s="3"/>
      <c r="E3743" s="7">
        <f t="shared" si="83"/>
        <v>10457500</v>
      </c>
      <c r="F3743" s="5">
        <v>45905</v>
      </c>
      <c r="G3743" s="4">
        <v>20250904</v>
      </c>
      <c r="H3743" s="38" t="str">
        <f>VLOOKUP(B3743,CAJEROS!B:D,3,0)</f>
        <v>Multifuncional</v>
      </c>
      <c r="I3743" s="34"/>
      <c r="J3743" s="38" t="str">
        <f>VLOOKUP(B3743,CAJEROS!B:E,4,0)</f>
        <v>MFVIVABQUI2</v>
      </c>
      <c r="K3743" t="s">
        <v>579</v>
      </c>
    </row>
    <row r="3744" spans="1:11">
      <c r="A3744" s="32">
        <v>506</v>
      </c>
      <c r="B3744" s="33">
        <v>7316</v>
      </c>
      <c r="C3744" s="3">
        <v>3750</v>
      </c>
      <c r="D3744" s="3"/>
      <c r="E3744" s="7">
        <f t="shared" si="83"/>
        <v>3750</v>
      </c>
      <c r="F3744" s="5">
        <v>45905</v>
      </c>
      <c r="G3744" s="4">
        <v>20250904</v>
      </c>
      <c r="H3744" s="38" t="str">
        <f>VLOOKUP(B3744,CAJEROS!B:D,3,0)</f>
        <v>Multifuncional</v>
      </c>
      <c r="I3744" s="34"/>
      <c r="J3744" s="38" t="str">
        <f>VLOOKUP(B3744,CAJEROS!B:E,4,0)</f>
        <v>MF_SINCELE2</v>
      </c>
      <c r="K3744" t="s">
        <v>579</v>
      </c>
    </row>
    <row r="3745" spans="1:11">
      <c r="A3745" s="32">
        <v>677</v>
      </c>
      <c r="B3745" s="33">
        <v>7124</v>
      </c>
      <c r="C3745" s="3">
        <v>896000</v>
      </c>
      <c r="D3745" s="3"/>
      <c r="E3745" s="7">
        <f t="shared" si="83"/>
        <v>896000</v>
      </c>
      <c r="F3745" s="5">
        <v>45905</v>
      </c>
      <c r="G3745" s="4">
        <v>20250904</v>
      </c>
      <c r="H3745" s="38" t="str">
        <f>VLOOKUP(B3745,CAJEROS!B:D,3,0)</f>
        <v>Multifuncional</v>
      </c>
      <c r="I3745" s="34"/>
      <c r="J3745" s="38" t="str">
        <f>VLOOKUP(B3745,CAJEROS!B:E,4,0)</f>
        <v>MF_PLMERMON</v>
      </c>
      <c r="K3745" t="s">
        <v>579</v>
      </c>
    </row>
    <row r="3746" spans="1:11">
      <c r="A3746" s="32">
        <v>716</v>
      </c>
      <c r="B3746" s="33">
        <v>5192</v>
      </c>
      <c r="C3746" s="3">
        <v>59850</v>
      </c>
      <c r="D3746" s="3">
        <v>50000</v>
      </c>
      <c r="E3746" s="7">
        <f t="shared" si="83"/>
        <v>9850</v>
      </c>
      <c r="F3746" s="5">
        <v>45905</v>
      </c>
      <c r="G3746" s="4">
        <v>20250904</v>
      </c>
      <c r="H3746" s="38" t="str">
        <f>VLOOKUP(B3746,CAJEROS!B:D,3,0)</f>
        <v>Multifuncional</v>
      </c>
      <c r="I3746" s="34"/>
      <c r="J3746" s="38" t="str">
        <f>VLOOKUP(B3746,CAJEROS!B:E,4,0)</f>
        <v>MF_AVCGORDS</v>
      </c>
      <c r="K3746" t="s">
        <v>579</v>
      </c>
    </row>
    <row r="3747" spans="1:11">
      <c r="A3747" s="32">
        <v>764</v>
      </c>
      <c r="B3747" s="33">
        <v>6715</v>
      </c>
      <c r="C3747" s="3">
        <v>2395000</v>
      </c>
      <c r="D3747" s="3"/>
      <c r="E3747" s="7">
        <f t="shared" si="83"/>
        <v>2395000</v>
      </c>
      <c r="F3747" s="5">
        <v>45905</v>
      </c>
      <c r="G3747" s="4">
        <v>20250904</v>
      </c>
      <c r="H3747" s="38" t="str">
        <f>VLOOKUP(B3747,CAJEROS!B:D,3,0)</f>
        <v>Multifuncional</v>
      </c>
      <c r="I3747" s="34"/>
      <c r="J3747" s="38" t="str">
        <f>VLOOKUP(B3747,CAJEROS!B:E,4,0)</f>
        <v>MF_JAMUNDI</v>
      </c>
      <c r="K3747" t="s">
        <v>579</v>
      </c>
    </row>
    <row r="3748" spans="1:11">
      <c r="A3748" s="32">
        <v>845</v>
      </c>
      <c r="B3748" s="33">
        <v>9232</v>
      </c>
      <c r="C3748" s="3">
        <v>37729000</v>
      </c>
      <c r="D3748" s="3"/>
      <c r="E3748" s="7">
        <f t="shared" si="83"/>
        <v>37729000</v>
      </c>
      <c r="F3748" s="5">
        <v>45905</v>
      </c>
      <c r="G3748" s="4">
        <v>20250904</v>
      </c>
      <c r="H3748" s="38" t="str">
        <f>VLOOKUP(B3748,CAJEROS!B:D,3,0)</f>
        <v>Multifuncional</v>
      </c>
      <c r="I3748" s="34"/>
      <c r="J3748" s="38" t="str">
        <f>VLOOKUP(B3748,CAJEROS!B:E,4,0)</f>
        <v>MFSUCLAPLT1</v>
      </c>
      <c r="K3748" t="s">
        <v>579</v>
      </c>
    </row>
    <row r="3749" spans="1:11">
      <c r="A3749" s="32">
        <v>848</v>
      </c>
      <c r="B3749" s="33">
        <v>7374</v>
      </c>
      <c r="C3749" s="3">
        <v>2400000</v>
      </c>
      <c r="D3749" s="3">
        <v>1501500</v>
      </c>
      <c r="E3749" s="7">
        <f t="shared" si="83"/>
        <v>898500</v>
      </c>
      <c r="F3749" s="5">
        <v>45905</v>
      </c>
      <c r="G3749" s="4">
        <v>20250904</v>
      </c>
      <c r="H3749" s="38" t="str">
        <f>VLOOKUP(B3749,CAJEROS!B:D,3,0)</f>
        <v>Multifuncional</v>
      </c>
      <c r="I3749" s="34"/>
      <c r="J3749" s="38" t="str">
        <f>VLOOKUP(B3749,CAJEROS!B:E,4,0)</f>
        <v>MF_BUGA</v>
      </c>
      <c r="K3749" t="s">
        <v>579</v>
      </c>
    </row>
    <row r="3750" spans="1:11">
      <c r="A3750" s="32">
        <v>941</v>
      </c>
      <c r="B3750" s="33">
        <v>5220</v>
      </c>
      <c r="C3750" s="3">
        <v>2870000</v>
      </c>
      <c r="D3750" s="3"/>
      <c r="E3750" s="7">
        <f t="shared" si="83"/>
        <v>2870000</v>
      </c>
      <c r="F3750" s="5">
        <v>45905</v>
      </c>
      <c r="G3750" s="4">
        <v>20250904</v>
      </c>
      <c r="H3750" s="38" t="str">
        <f>VLOOKUP(B3750,CAJEROS!B:D,3,0)</f>
        <v>Multifuncional</v>
      </c>
      <c r="I3750" s="34"/>
      <c r="J3750" s="38" t="str">
        <f>VLOOKUP(B3750,CAJEROS!B:E,4,0)</f>
        <v>MF_NEIVANVA</v>
      </c>
      <c r="K3750" t="s">
        <v>579</v>
      </c>
    </row>
    <row r="3751" spans="1:11">
      <c r="A3751" s="32">
        <v>944</v>
      </c>
      <c r="B3751" s="33">
        <v>8354</v>
      </c>
      <c r="C3751" s="3">
        <v>3965000</v>
      </c>
      <c r="D3751" s="3">
        <v>2831550</v>
      </c>
      <c r="E3751" s="7">
        <f t="shared" si="83"/>
        <v>1133450</v>
      </c>
      <c r="F3751" s="5">
        <v>45905</v>
      </c>
      <c r="G3751" s="4">
        <v>20250904</v>
      </c>
      <c r="H3751" s="38" t="str">
        <f>VLOOKUP(B3751,CAJEROS!B:D,3,0)</f>
        <v>Multifuncional</v>
      </c>
      <c r="I3751" s="34" t="s">
        <v>9</v>
      </c>
      <c r="J3751" s="38" t="str">
        <f>VLOOKUP(B3751,CAJEROS!B:E,4,0)</f>
        <v>MF_SANTABO2</v>
      </c>
      <c r="K3751" t="s">
        <v>579</v>
      </c>
    </row>
    <row r="3752" spans="1:11">
      <c r="A3752" s="32">
        <v>358</v>
      </c>
      <c r="B3752" s="33">
        <v>5149</v>
      </c>
      <c r="C3752" s="3">
        <v>3770000</v>
      </c>
      <c r="D3752" s="3">
        <v>3564000</v>
      </c>
      <c r="E3752" s="7">
        <f t="shared" si="83"/>
        <v>206000</v>
      </c>
      <c r="F3752" s="5">
        <v>45905</v>
      </c>
      <c r="G3752" s="4">
        <v>20250904</v>
      </c>
      <c r="H3752" s="38" t="str">
        <f>VLOOKUP(B3752,CAJEROS!B:D,3,0)</f>
        <v>Multifuncional</v>
      </c>
      <c r="I3752" s="34" t="s">
        <v>9</v>
      </c>
      <c r="J3752" s="38" t="str">
        <f>VLOOKUP(B3752,CAJEROS!B:E,4,0)</f>
        <v>MF_SOGAMOSO</v>
      </c>
      <c r="K3752" t="s">
        <v>579</v>
      </c>
    </row>
    <row r="3753" spans="1:11">
      <c r="A3753" s="32">
        <v>221</v>
      </c>
      <c r="B3753" s="33">
        <v>5221</v>
      </c>
      <c r="C3753" s="3">
        <v>3420000</v>
      </c>
      <c r="D3753" s="3">
        <v>3417950</v>
      </c>
      <c r="E3753" s="7">
        <f t="shared" si="83"/>
        <v>2050</v>
      </c>
      <c r="F3753" s="5">
        <v>45905</v>
      </c>
      <c r="G3753" s="4">
        <v>20250904</v>
      </c>
      <c r="H3753" s="38" t="str">
        <f>VLOOKUP(B3753,CAJEROS!B:D,3,0)</f>
        <v>Multifuncional</v>
      </c>
      <c r="I3753" s="34" t="s">
        <v>9</v>
      </c>
      <c r="J3753" s="38" t="str">
        <f>VLOOKUP(B3753,CAJEROS!B:E,4,0)</f>
        <v>MF_SOACHA</v>
      </c>
      <c r="K3753" t="s">
        <v>579</v>
      </c>
    </row>
    <row r="3754" spans="1:11">
      <c r="A3754" s="32">
        <v>57</v>
      </c>
      <c r="B3754" s="33">
        <v>9963</v>
      </c>
      <c r="C3754" s="3">
        <v>2963500</v>
      </c>
      <c r="D3754" s="3">
        <v>1240000</v>
      </c>
      <c r="E3754" s="7">
        <f t="shared" si="83"/>
        <v>1723500</v>
      </c>
      <c r="F3754" s="5">
        <v>45905</v>
      </c>
      <c r="G3754" s="4">
        <v>20250904</v>
      </c>
      <c r="H3754" s="38" t="str">
        <f>VLOOKUP(B3754,CAJEROS!B:D,3,0)</f>
        <v>Multifuncional</v>
      </c>
      <c r="I3754" s="34" t="s">
        <v>9</v>
      </c>
      <c r="J3754" s="38" t="str">
        <f>VLOOKUP(B3754,CAJEROS!B:E,4,0)</f>
        <v>MF_VILLAVI1</v>
      </c>
      <c r="K3754" t="s">
        <v>579</v>
      </c>
    </row>
    <row r="3755" spans="1:11">
      <c r="A3755" s="32">
        <v>556</v>
      </c>
      <c r="B3755" s="33">
        <v>8333</v>
      </c>
      <c r="C3755" s="3">
        <v>1740000</v>
      </c>
      <c r="D3755" s="3"/>
      <c r="E3755" s="7">
        <f t="shared" si="83"/>
        <v>1740000</v>
      </c>
      <c r="F3755" s="5">
        <v>45905</v>
      </c>
      <c r="G3755" s="4">
        <v>20250904</v>
      </c>
      <c r="H3755" s="38" t="str">
        <f>VLOOKUP(B3755,CAJEROS!B:D,3,0)</f>
        <v>Multifuncional</v>
      </c>
      <c r="I3755" s="34" t="s">
        <v>9</v>
      </c>
      <c r="J3755" s="38" t="str">
        <f>VLOOKUP(B3755,CAJEROS!B:E,4,0)</f>
        <v>MF_SCARVIB1</v>
      </c>
      <c r="K3755" t="s">
        <v>579</v>
      </c>
    </row>
    <row r="3756" spans="1:11">
      <c r="A3756" s="32">
        <v>279</v>
      </c>
      <c r="B3756" s="33">
        <v>5147</v>
      </c>
      <c r="C3756" s="3">
        <v>1408000</v>
      </c>
      <c r="D3756" s="3">
        <v>1401200</v>
      </c>
      <c r="E3756" s="7">
        <f t="shared" si="83"/>
        <v>6800</v>
      </c>
      <c r="F3756" s="5">
        <v>45905</v>
      </c>
      <c r="G3756" s="4">
        <v>20250904</v>
      </c>
      <c r="H3756" s="38" t="str">
        <f>VLOOKUP(B3756,CAJEROS!B:D,3,0)</f>
        <v>Multifuncional</v>
      </c>
      <c r="I3756" s="34" t="s">
        <v>9</v>
      </c>
      <c r="J3756" s="38" t="str">
        <f>VLOOKUP(B3756,CAJEROS!B:E,4,0)</f>
        <v>MF_ITAGPARQ</v>
      </c>
      <c r="K3756" t="s">
        <v>579</v>
      </c>
    </row>
    <row r="3757" spans="1:11">
      <c r="A3757" s="32">
        <v>745</v>
      </c>
      <c r="B3757" s="33">
        <v>1477</v>
      </c>
      <c r="C3757" s="3">
        <v>1140000</v>
      </c>
      <c r="D3757" s="3">
        <v>880000</v>
      </c>
      <c r="E3757" s="7">
        <f t="shared" si="83"/>
        <v>260000</v>
      </c>
      <c r="F3757" s="5">
        <v>45905</v>
      </c>
      <c r="G3757" s="4">
        <v>20250904</v>
      </c>
      <c r="H3757" s="38" t="str">
        <f>VLOOKUP(B3757,CAJEROS!B:D,3,0)</f>
        <v>Multifuncional</v>
      </c>
      <c r="I3757" s="34" t="s">
        <v>9</v>
      </c>
      <c r="J3757" s="38" t="str">
        <f>VLOOKUP(B3757,CAJEROS!B:E,4,0)</f>
        <v>MFSUCMALPZ2</v>
      </c>
      <c r="K3757" t="s">
        <v>579</v>
      </c>
    </row>
    <row r="3758" spans="1:11">
      <c r="A3758" s="32">
        <v>388</v>
      </c>
      <c r="B3758" s="33">
        <v>5169</v>
      </c>
      <c r="C3758" s="3">
        <v>1012000</v>
      </c>
      <c r="D3758" s="3"/>
      <c r="E3758" s="7">
        <f t="shared" si="83"/>
        <v>1012000</v>
      </c>
      <c r="F3758" s="5">
        <v>45905</v>
      </c>
      <c r="G3758" s="4">
        <v>20250904</v>
      </c>
      <c r="H3758" s="38" t="str">
        <f>VLOOKUP(B3758,CAJEROS!B:D,3,0)</f>
        <v>Multifuncional</v>
      </c>
      <c r="I3758" s="34" t="s">
        <v>9</v>
      </c>
      <c r="J3758" s="38" t="str">
        <f>VLOOKUP(B3758,CAJEROS!B:E,4,0)</f>
        <v>MF_SUCHAYU1</v>
      </c>
      <c r="K3758" t="s">
        <v>579</v>
      </c>
    </row>
    <row r="3759" spans="1:11">
      <c r="A3759" s="32">
        <v>331</v>
      </c>
      <c r="B3759" s="33">
        <v>575</v>
      </c>
      <c r="C3759" s="3">
        <v>820000</v>
      </c>
      <c r="D3759" s="3">
        <f>120000+88000</f>
        <v>208000</v>
      </c>
      <c r="E3759" s="7">
        <f t="shared" si="83"/>
        <v>612000</v>
      </c>
      <c r="F3759" s="5">
        <v>45905</v>
      </c>
      <c r="G3759" s="4">
        <v>20250904</v>
      </c>
      <c r="H3759" s="38" t="str">
        <f>VLOOKUP(B3759,CAJEROS!B:D,3,0)</f>
        <v>Multifuncional</v>
      </c>
      <c r="I3759" s="34" t="s">
        <v>9</v>
      </c>
      <c r="J3759" s="38" t="str">
        <f>VLOOKUP(B3759,CAJEROS!B:E,4,0)</f>
        <v>MF_SUCARKA2</v>
      </c>
      <c r="K3759" t="s">
        <v>579</v>
      </c>
    </row>
    <row r="3760" spans="1:11">
      <c r="A3760" s="32">
        <v>24</v>
      </c>
      <c r="B3760" s="33">
        <v>5066</v>
      </c>
      <c r="C3760" s="3">
        <v>780000</v>
      </c>
      <c r="D3760" s="3">
        <f>190000+180000</f>
        <v>370000</v>
      </c>
      <c r="E3760" s="7">
        <f t="shared" si="83"/>
        <v>410000</v>
      </c>
      <c r="F3760" s="5">
        <v>45905</v>
      </c>
      <c r="G3760" s="4">
        <v>20250904</v>
      </c>
      <c r="H3760" s="38" t="str">
        <f>VLOOKUP(B3760,CAJEROS!B:D,3,0)</f>
        <v>Multifuncional</v>
      </c>
      <c r="I3760" s="34" t="s">
        <v>9</v>
      </c>
      <c r="J3760" s="38" t="str">
        <f>VLOOKUP(B3760,CAJEROS!B:E,4,0)</f>
        <v>MF_RIONEGPA</v>
      </c>
      <c r="K3760" t="s">
        <v>579</v>
      </c>
    </row>
    <row r="3761" spans="1:11">
      <c r="A3761" s="32">
        <v>859</v>
      </c>
      <c r="B3761" s="33">
        <v>5207</v>
      </c>
      <c r="C3761" s="3">
        <v>751000</v>
      </c>
      <c r="D3761" s="3"/>
      <c r="E3761" s="7">
        <f t="shared" si="83"/>
        <v>751000</v>
      </c>
      <c r="F3761" s="5">
        <v>45905</v>
      </c>
      <c r="G3761" s="4">
        <v>20250904</v>
      </c>
      <c r="H3761" s="38" t="e">
        <f>VLOOKUP(B3761,CAJEROS!B:D,3,0)</f>
        <v>#N/A</v>
      </c>
      <c r="I3761" s="34" t="s">
        <v>9</v>
      </c>
      <c r="J3761" s="38" t="e">
        <f>VLOOKUP(B3761,CAJEROS!B:E,4,0)</f>
        <v>#N/A</v>
      </c>
      <c r="K3761" t="s">
        <v>579</v>
      </c>
    </row>
    <row r="3762" spans="1:11">
      <c r="A3762" s="32">
        <v>795</v>
      </c>
      <c r="B3762" s="33">
        <v>1029</v>
      </c>
      <c r="C3762" s="3">
        <v>635600</v>
      </c>
      <c r="D3762" s="3">
        <v>200000</v>
      </c>
      <c r="E3762" s="7">
        <f t="shared" si="83"/>
        <v>435600</v>
      </c>
      <c r="F3762" s="5">
        <v>45905</v>
      </c>
      <c r="G3762" s="4">
        <v>20250904</v>
      </c>
      <c r="H3762" s="38" t="str">
        <f>VLOOKUP(B3762,CAJEROS!B:D,3,0)</f>
        <v>Multifuncional</v>
      </c>
      <c r="I3762" s="34" t="s">
        <v>9</v>
      </c>
      <c r="J3762" s="38" t="str">
        <f>VLOOKUP(B3762,CAJEROS!B:E,4,0)</f>
        <v>MFSUCANVER3</v>
      </c>
      <c r="K3762" t="s">
        <v>579</v>
      </c>
    </row>
    <row r="3763" spans="1:11">
      <c r="A3763" s="32">
        <v>625</v>
      </c>
      <c r="B3763" s="33">
        <v>6096</v>
      </c>
      <c r="C3763" s="3">
        <v>625000</v>
      </c>
      <c r="D3763" s="3">
        <v>220000</v>
      </c>
      <c r="E3763" s="7">
        <f t="shared" si="83"/>
        <v>405000</v>
      </c>
      <c r="F3763" s="5">
        <v>45905</v>
      </c>
      <c r="G3763" s="4">
        <v>20250904</v>
      </c>
      <c r="H3763" s="38" t="str">
        <f>VLOOKUP(B3763,CAJEROS!B:D,3,0)</f>
        <v>Multifuncional</v>
      </c>
      <c r="I3763" s="34" t="s">
        <v>9</v>
      </c>
      <c r="J3763" s="38" t="str">
        <f>VLOOKUP(B3763,CAJEROS!B:E,4,0)</f>
        <v>MF_BTRISTE</v>
      </c>
      <c r="K3763" t="s">
        <v>579</v>
      </c>
    </row>
    <row r="3764" spans="1:11">
      <c r="A3764" s="32">
        <v>379</v>
      </c>
      <c r="B3764" s="33">
        <v>6465</v>
      </c>
      <c r="C3764" s="3">
        <v>561100</v>
      </c>
      <c r="D3764" s="3"/>
      <c r="E3764" s="7">
        <f t="shared" si="83"/>
        <v>561100</v>
      </c>
      <c r="F3764" s="5">
        <v>45905</v>
      </c>
      <c r="G3764" s="4">
        <v>20250904</v>
      </c>
      <c r="H3764" s="38" t="str">
        <f>VLOOKUP(B3764,CAJEROS!B:D,3,0)</f>
        <v>Multifuncional</v>
      </c>
      <c r="I3764" s="34" t="s">
        <v>9</v>
      </c>
      <c r="J3764" s="38" t="str">
        <f>VLOOKUP(B3764,CAJEROS!B:E,4,0)</f>
        <v>MF_SUCTESO1</v>
      </c>
      <c r="K3764" t="s">
        <v>579</v>
      </c>
    </row>
    <row r="3765" spans="1:11">
      <c r="A3765" s="32">
        <v>302</v>
      </c>
      <c r="B3765" s="33">
        <v>5170</v>
      </c>
      <c r="C3765" s="3">
        <v>520000</v>
      </c>
      <c r="D3765" s="3"/>
      <c r="E3765" s="7">
        <f t="shared" si="83"/>
        <v>520000</v>
      </c>
      <c r="F3765" s="5">
        <v>45905</v>
      </c>
      <c r="G3765" s="4">
        <v>20250904</v>
      </c>
      <c r="H3765" s="38" t="str">
        <f>VLOOKUP(B3765,CAJEROS!B:D,3,0)</f>
        <v>Multifuncional</v>
      </c>
      <c r="I3765" s="34" t="s">
        <v>9</v>
      </c>
      <c r="J3765" s="38" t="str">
        <f>VLOOKUP(B3765,CAJEROS!B:E,4,0)</f>
        <v>MF_QUEBRASE</v>
      </c>
      <c r="K3765" t="s">
        <v>579</v>
      </c>
    </row>
    <row r="3766" spans="1:11">
      <c r="A3766" s="32">
        <v>741</v>
      </c>
      <c r="B3766" s="33">
        <v>6843</v>
      </c>
      <c r="C3766" s="3">
        <v>457800</v>
      </c>
      <c r="D3766" s="3"/>
      <c r="E3766" s="7">
        <f t="shared" si="83"/>
        <v>457800</v>
      </c>
      <c r="F3766" s="5">
        <v>45905</v>
      </c>
      <c r="G3766" s="4">
        <v>20250904</v>
      </c>
      <c r="H3766" s="38" t="str">
        <f>VLOOKUP(B3766,CAJEROS!B:D,3,0)</f>
        <v>Multifuncional</v>
      </c>
      <c r="I3766" s="34" t="s">
        <v>9</v>
      </c>
      <c r="J3766" s="38" t="str">
        <f>VLOOKUP(B3766,CAJEROS!B:E,4,0)</f>
        <v>MFSUC_IDEO1</v>
      </c>
      <c r="K3766" t="s">
        <v>579</v>
      </c>
    </row>
    <row r="3767" spans="1:11">
      <c r="A3767" s="32">
        <v>769</v>
      </c>
      <c r="B3767" s="33">
        <v>5051</v>
      </c>
      <c r="C3767" s="3">
        <v>388000</v>
      </c>
      <c r="D3767" s="3">
        <v>375000</v>
      </c>
      <c r="E3767" s="7">
        <f t="shared" si="83"/>
        <v>13000</v>
      </c>
      <c r="F3767" s="5">
        <v>45905</v>
      </c>
      <c r="G3767" s="4">
        <v>20250904</v>
      </c>
      <c r="H3767" s="38" t="str">
        <f>VLOOKUP(B3767,CAJEROS!B:D,3,0)</f>
        <v>Multifuncional</v>
      </c>
      <c r="I3767" s="34" t="s">
        <v>9</v>
      </c>
      <c r="J3767" s="38" t="str">
        <f>VLOOKUP(B3767,CAJEROS!B:E,4,0)</f>
        <v>MF_SUCPPRA2</v>
      </c>
      <c r="K3767" t="s">
        <v>579</v>
      </c>
    </row>
    <row r="3768" spans="1:11">
      <c r="A3768" s="32">
        <v>777</v>
      </c>
      <c r="B3768" s="33">
        <v>5009</v>
      </c>
      <c r="C3768" s="3">
        <v>340000</v>
      </c>
      <c r="D3768" s="3"/>
      <c r="E3768" s="7">
        <f t="shared" si="83"/>
        <v>340000</v>
      </c>
      <c r="F3768" s="5">
        <v>45905</v>
      </c>
      <c r="G3768" s="4">
        <v>20250904</v>
      </c>
      <c r="H3768" s="38" t="str">
        <f>VLOOKUP(B3768,CAJEROS!B:D,3,0)</f>
        <v>Multifuncional</v>
      </c>
      <c r="I3768" s="34" t="s">
        <v>9</v>
      </c>
      <c r="J3768" s="38" t="str">
        <f>VLOOKUP(B3768,CAJEROS!B:E,4,0)</f>
        <v>MF_PWASHING</v>
      </c>
      <c r="K3768" t="s">
        <v>579</v>
      </c>
    </row>
    <row r="3769" spans="1:11">
      <c r="A3769" s="32">
        <v>793</v>
      </c>
      <c r="B3769" s="33">
        <v>5216</v>
      </c>
      <c r="C3769" s="3">
        <v>80000</v>
      </c>
      <c r="D3769" s="3"/>
      <c r="E3769" s="7">
        <f t="shared" si="83"/>
        <v>80000</v>
      </c>
      <c r="F3769" s="5">
        <v>45905</v>
      </c>
      <c r="G3769" s="4">
        <v>20250904</v>
      </c>
      <c r="H3769" s="38" t="str">
        <f>VLOOKUP(B3769,CAJEROS!B:D,3,0)</f>
        <v>Multifuncional</v>
      </c>
      <c r="I3769" s="34" t="s">
        <v>9</v>
      </c>
      <c r="J3769" s="38" t="str">
        <f>VLOOKUP(B3769,CAJEROS!B:E,4,0)</f>
        <v>MF_PROFENAL</v>
      </c>
      <c r="K3769" t="s">
        <v>579</v>
      </c>
    </row>
    <row r="3770" spans="1:11">
      <c r="A3770" s="32">
        <v>79</v>
      </c>
      <c r="B3770" s="33">
        <v>6245</v>
      </c>
      <c r="C3770" s="3">
        <v>40000</v>
      </c>
      <c r="D3770" s="3"/>
      <c r="E3770" s="7">
        <f t="shared" si="83"/>
        <v>40000</v>
      </c>
      <c r="F3770" s="5">
        <v>45905</v>
      </c>
      <c r="G3770" s="4">
        <v>20250904</v>
      </c>
      <c r="H3770" s="38" t="str">
        <f>VLOOKUP(B3770,CAJEROS!B:D,3,0)</f>
        <v>Multifuncional</v>
      </c>
      <c r="I3770" s="34" t="s">
        <v>9</v>
      </c>
      <c r="J3770" s="38" t="str">
        <f>VLOOKUP(B3770,CAJEROS!B:E,4,0)</f>
        <v>MF_LAQUINTA</v>
      </c>
      <c r="K3770" t="s">
        <v>579</v>
      </c>
    </row>
    <row r="3771" spans="1:11">
      <c r="A3771" s="32">
        <v>40</v>
      </c>
      <c r="B3771" s="33">
        <v>5142</v>
      </c>
      <c r="C3771" s="3">
        <v>30000</v>
      </c>
      <c r="D3771" s="3"/>
      <c r="E3771" s="7">
        <f t="shared" si="83"/>
        <v>30000</v>
      </c>
      <c r="F3771" s="5">
        <v>45905</v>
      </c>
      <c r="G3771" s="4">
        <v>20250904</v>
      </c>
      <c r="H3771" s="38" t="str">
        <f>VLOOKUP(B3771,CAJEROS!B:D,3,0)</f>
        <v>Multifuncional</v>
      </c>
      <c r="I3771" s="34" t="s">
        <v>9</v>
      </c>
      <c r="J3771" s="38" t="str">
        <f>VLOOKUP(B3771,CAJEROS!B:E,4,0)</f>
        <v>MF_CENTRO93</v>
      </c>
      <c r="K3771" t="s">
        <v>579</v>
      </c>
    </row>
    <row r="3772" spans="1:11">
      <c r="A3772" s="32">
        <v>73</v>
      </c>
      <c r="B3772" s="33">
        <v>5108</v>
      </c>
      <c r="C3772" s="3">
        <v>300</v>
      </c>
      <c r="D3772" s="3"/>
      <c r="E3772" s="7">
        <f t="shared" si="83"/>
        <v>300</v>
      </c>
      <c r="F3772" s="5">
        <v>45905</v>
      </c>
      <c r="G3772" s="4">
        <v>20250904</v>
      </c>
      <c r="H3772" s="38" t="str">
        <f>VLOOKUP(B3772,CAJEROS!B:D,3,0)</f>
        <v>Multifuncional</v>
      </c>
      <c r="I3772" s="34" t="s">
        <v>10</v>
      </c>
      <c r="J3772" s="38" t="str">
        <f>VLOOKUP(B3772,CAJEROS!B:E,4,0)</f>
        <v>MF_PEREIRA</v>
      </c>
      <c r="K3772" t="s">
        <v>579</v>
      </c>
    </row>
    <row r="3773" spans="1:11">
      <c r="A3773" s="32">
        <v>6</v>
      </c>
      <c r="B3773" s="33">
        <v>5001</v>
      </c>
      <c r="C3773" s="3">
        <v>20000</v>
      </c>
      <c r="D3773" s="3"/>
      <c r="E3773" s="7">
        <f t="shared" si="83"/>
        <v>20000</v>
      </c>
      <c r="F3773" s="5">
        <v>45905</v>
      </c>
      <c r="G3773" s="4">
        <v>20250904</v>
      </c>
      <c r="H3773" s="38" t="str">
        <f>VLOOKUP(B3773,CAJEROS!B:D,3,0)</f>
        <v>Multifuncional</v>
      </c>
      <c r="I3773" s="34" t="s">
        <v>10</v>
      </c>
      <c r="J3773" s="38" t="str">
        <f>VLOOKUP(B3773,CAJEROS!B:E,4,0)</f>
        <v>MF_AVJUNIN</v>
      </c>
      <c r="K3773" t="s">
        <v>579</v>
      </c>
    </row>
    <row r="3774" spans="1:11">
      <c r="A3774" s="32">
        <v>1</v>
      </c>
      <c r="B3774" s="33">
        <v>5000</v>
      </c>
      <c r="C3774" s="3">
        <v>3000</v>
      </c>
      <c r="D3774" s="3"/>
      <c r="E3774" s="7">
        <f t="shared" si="83"/>
        <v>3000</v>
      </c>
      <c r="F3774" s="5">
        <v>45905</v>
      </c>
      <c r="G3774" s="4">
        <v>20250904</v>
      </c>
      <c r="H3774" s="38" t="str">
        <f>VLOOKUP(B3774,CAJEROS!B:D,3,0)</f>
        <v>Multifuncional</v>
      </c>
      <c r="I3774" s="34" t="s">
        <v>10</v>
      </c>
      <c r="J3774" s="38" t="str">
        <f>VLOOKUP(B3774,CAJEROS!B:E,4,0)</f>
        <v>MF_CARABOBO</v>
      </c>
      <c r="K3774" t="s">
        <v>579</v>
      </c>
    </row>
    <row r="3775" spans="1:11">
      <c r="A3775" s="32">
        <v>795</v>
      </c>
      <c r="B3775" s="33">
        <v>1027</v>
      </c>
      <c r="C3775" s="3">
        <v>10000</v>
      </c>
      <c r="D3775" s="3">
        <v>9650</v>
      </c>
      <c r="E3775" s="7">
        <f t="shared" si="83"/>
        <v>350</v>
      </c>
      <c r="F3775" s="5">
        <v>45905</v>
      </c>
      <c r="G3775" s="4">
        <v>20250904</v>
      </c>
      <c r="H3775" s="38" t="str">
        <f>VLOOKUP(B3775,CAJEROS!B:D,3,0)</f>
        <v>Multifuncional</v>
      </c>
      <c r="I3775" s="34" t="s">
        <v>10</v>
      </c>
      <c r="J3775" s="38" t="str">
        <f>VLOOKUP(B3775,CAJEROS!B:E,4,0)</f>
        <v>MFSUCANVER1</v>
      </c>
      <c r="K3775" t="s">
        <v>579</v>
      </c>
    </row>
    <row r="3776" spans="1:11">
      <c r="A3776" s="32">
        <v>74</v>
      </c>
      <c r="B3776" s="33">
        <v>8273</v>
      </c>
      <c r="C3776" s="3">
        <v>20000</v>
      </c>
      <c r="D3776" s="3"/>
      <c r="E3776" s="7">
        <f t="shared" si="83"/>
        <v>20000</v>
      </c>
      <c r="F3776" s="5">
        <v>45905</v>
      </c>
      <c r="G3776" s="4">
        <v>20250904</v>
      </c>
      <c r="H3776" s="38" t="str">
        <f>VLOOKUP(B3776,CAJEROS!B:D,3,0)</f>
        <v>Dispensador</v>
      </c>
      <c r="I3776" s="34" t="s">
        <v>10</v>
      </c>
      <c r="J3776" s="38" t="str">
        <f>VLOOKUP(B3776,CAJEROS!B:E,4,0)</f>
        <v>PASTOPPA_4</v>
      </c>
      <c r="K3776" t="s">
        <v>579</v>
      </c>
    </row>
    <row r="3777" spans="1:11">
      <c r="A3777" s="32">
        <v>799</v>
      </c>
      <c r="B3777" s="33">
        <v>8184</v>
      </c>
      <c r="C3777" s="3">
        <v>20000</v>
      </c>
      <c r="D3777" s="3"/>
      <c r="E3777" s="7">
        <f t="shared" si="83"/>
        <v>20000</v>
      </c>
      <c r="F3777" s="5">
        <v>45905</v>
      </c>
      <c r="G3777" s="4">
        <v>20250904</v>
      </c>
      <c r="H3777" s="38" t="str">
        <f>VLOOKUP(B3777,CAJEROS!B:D,3,0)</f>
        <v>Dispensador</v>
      </c>
      <c r="I3777" s="34" t="s">
        <v>10</v>
      </c>
      <c r="J3777" s="38" t="str">
        <f>VLOOKUP(B3777,CAJEROS!B:E,4,0)</f>
        <v>SUC_FLORBL1</v>
      </c>
      <c r="K3777" t="s">
        <v>579</v>
      </c>
    </row>
    <row r="3778" spans="1:11">
      <c r="A3778" s="32">
        <v>318</v>
      </c>
      <c r="B3778" s="33">
        <v>4635</v>
      </c>
      <c r="C3778" s="3">
        <v>10000</v>
      </c>
      <c r="D3778" s="3"/>
      <c r="E3778" s="7">
        <f t="shared" si="83"/>
        <v>10000</v>
      </c>
      <c r="F3778" s="5">
        <v>45905</v>
      </c>
      <c r="G3778" s="4">
        <v>20250904</v>
      </c>
      <c r="H3778" s="38" t="str">
        <f>VLOOKUP(B3778,CAJEROS!B:D,3,0)</f>
        <v>Dispensador</v>
      </c>
      <c r="I3778" s="34" t="s">
        <v>10</v>
      </c>
      <c r="J3778" s="38" t="str">
        <f>VLOOKUP(B3778,CAJEROS!B:E,4,0)</f>
        <v>SUC_OCANA3</v>
      </c>
      <c r="K3778" t="s">
        <v>579</v>
      </c>
    </row>
    <row r="3779" spans="1:11">
      <c r="A3779" s="32">
        <v>265</v>
      </c>
      <c r="B3779" s="33">
        <v>4658</v>
      </c>
      <c r="C3779" s="3">
        <v>10000</v>
      </c>
      <c r="D3779" s="3"/>
      <c r="E3779" s="7">
        <f t="shared" si="83"/>
        <v>10000</v>
      </c>
      <c r="F3779" s="5">
        <v>45905</v>
      </c>
      <c r="G3779" s="4">
        <v>20250904</v>
      </c>
      <c r="H3779" s="38" t="str">
        <f>VLOOKUP(B3779,CAJEROS!B:D,3,0)</f>
        <v>Dispensador</v>
      </c>
      <c r="I3779" s="34" t="s">
        <v>10</v>
      </c>
      <c r="J3779" s="38" t="str">
        <f>VLOOKUP(B3779,CAJEROS!B:E,4,0)</f>
        <v>SUC_LA14VA3</v>
      </c>
      <c r="K3779" t="s">
        <v>579</v>
      </c>
    </row>
    <row r="3780" spans="1:11">
      <c r="A3780" s="32">
        <v>19</v>
      </c>
      <c r="B3780" s="33">
        <v>1449</v>
      </c>
      <c r="C3780" s="3">
        <v>20000</v>
      </c>
      <c r="D3780" s="3"/>
      <c r="E3780" s="7">
        <f t="shared" si="83"/>
        <v>20000</v>
      </c>
      <c r="F3780" s="5">
        <v>45905</v>
      </c>
      <c r="G3780" s="4">
        <v>20250904</v>
      </c>
      <c r="H3780" s="38" t="str">
        <f>VLOOKUP(B3780,CAJEROS!B:D,3,0)</f>
        <v>Dispensador</v>
      </c>
      <c r="I3780" s="34" t="s">
        <v>10</v>
      </c>
      <c r="J3780" s="38" t="str">
        <f>VLOOKUP(B3780,CAJEROS!B:E,4,0)</f>
        <v>ENVIGADO_2</v>
      </c>
      <c r="K3780" t="s">
        <v>579</v>
      </c>
    </row>
    <row r="3781" spans="1:11">
      <c r="A3781" s="32">
        <v>64</v>
      </c>
      <c r="B3781" s="33">
        <v>6605</v>
      </c>
      <c r="C3781" s="3">
        <v>20000</v>
      </c>
      <c r="D3781" s="3"/>
      <c r="E3781" s="7">
        <f t="shared" si="83"/>
        <v>20000</v>
      </c>
      <c r="F3781" s="5">
        <v>45905</v>
      </c>
      <c r="G3781" s="4">
        <v>20250904</v>
      </c>
      <c r="H3781" s="38" t="str">
        <f>VLOOKUP(B3781,CAJEROS!B:D,3,0)</f>
        <v>Dispensador</v>
      </c>
      <c r="I3781" s="34" t="s">
        <v>10</v>
      </c>
      <c r="J3781" s="38" t="str">
        <f>VLOOKUP(B3781,CAJEROS!B:E,4,0)</f>
        <v>VIPASA_6_R</v>
      </c>
      <c r="K3781" t="s">
        <v>579</v>
      </c>
    </row>
    <row r="3782" spans="1:11">
      <c r="A3782" s="32">
        <v>4</v>
      </c>
      <c r="B3782" s="33">
        <v>8629</v>
      </c>
      <c r="C3782" s="3">
        <v>400000</v>
      </c>
      <c r="D3782" s="3">
        <f>200000+40000</f>
        <v>240000</v>
      </c>
      <c r="E3782" s="7">
        <f t="shared" si="83"/>
        <v>160000</v>
      </c>
      <c r="F3782" s="5">
        <v>45908</v>
      </c>
      <c r="G3782" s="4">
        <v>20250905</v>
      </c>
      <c r="H3782" s="38" t="str">
        <f>VLOOKUP(B3782,CAJEROS!B:D,3,0)</f>
        <v>Dispensador</v>
      </c>
      <c r="I3782" s="34"/>
      <c r="J3782" s="38" t="str">
        <f>VLOOKUP(B3782,CAJEROS!B:E,4,0)</f>
        <v>SUCLAURELE4</v>
      </c>
      <c r="K3782" t="s">
        <v>579</v>
      </c>
    </row>
    <row r="3783" spans="1:11">
      <c r="A3783" s="32">
        <v>68</v>
      </c>
      <c r="B3783" s="33">
        <v>4979</v>
      </c>
      <c r="C3783" s="3">
        <v>950000</v>
      </c>
      <c r="D3783" s="3"/>
      <c r="E3783" s="7">
        <f t="shared" si="83"/>
        <v>950000</v>
      </c>
      <c r="F3783" s="5">
        <v>45908</v>
      </c>
      <c r="G3783" s="4">
        <v>20250905</v>
      </c>
      <c r="H3783" s="38" t="str">
        <f>VLOOKUP(B3783,CAJEROS!B:D,3,0)</f>
        <v>Dispensador</v>
      </c>
      <c r="I3783" s="34"/>
      <c r="J3783" s="38" t="str">
        <f>VLOOKUP(B3783,CAJEROS!B:E,4,0)</f>
        <v>AUTO_IBAGU1</v>
      </c>
      <c r="K3783" t="s">
        <v>579</v>
      </c>
    </row>
    <row r="3784" spans="1:11">
      <c r="A3784" s="32">
        <v>68</v>
      </c>
      <c r="B3784" s="33">
        <v>4980</v>
      </c>
      <c r="C3784" s="3">
        <v>2790000</v>
      </c>
      <c r="D3784" s="3"/>
      <c r="E3784" s="7">
        <f t="shared" si="83"/>
        <v>2790000</v>
      </c>
      <c r="F3784" s="5">
        <v>45908</v>
      </c>
      <c r="G3784" s="4">
        <v>20250905</v>
      </c>
      <c r="H3784" s="38" t="str">
        <f>VLOOKUP(B3784,CAJEROS!B:D,3,0)</f>
        <v>Dispensador</v>
      </c>
      <c r="I3784" s="34"/>
      <c r="J3784" s="38" t="str">
        <f>VLOOKUP(B3784,CAJEROS!B:E,4,0)</f>
        <v>AUTO_IBAGU2</v>
      </c>
      <c r="K3784" t="s">
        <v>579</v>
      </c>
    </row>
    <row r="3785" spans="1:11">
      <c r="A3785" s="32">
        <v>68</v>
      </c>
      <c r="B3785" s="33">
        <v>4981</v>
      </c>
      <c r="C3785" s="3">
        <v>3210000</v>
      </c>
      <c r="D3785" s="3"/>
      <c r="E3785" s="7">
        <f t="shared" si="83"/>
        <v>3210000</v>
      </c>
      <c r="F3785" s="5">
        <v>45908</v>
      </c>
      <c r="G3785" s="4">
        <v>20250905</v>
      </c>
      <c r="H3785" s="38" t="str">
        <f>VLOOKUP(B3785,CAJEROS!B:D,3,0)</f>
        <v>Dispensador</v>
      </c>
      <c r="I3785" s="34"/>
      <c r="J3785" s="38" t="str">
        <f>VLOOKUP(B3785,CAJEROS!B:E,4,0)</f>
        <v>AUTO_IBAGU3</v>
      </c>
      <c r="K3785" t="s">
        <v>579</v>
      </c>
    </row>
    <row r="3786" spans="1:11">
      <c r="A3786" s="32">
        <v>68</v>
      </c>
      <c r="B3786" s="33">
        <v>4991</v>
      </c>
      <c r="C3786" s="3">
        <v>1130000</v>
      </c>
      <c r="D3786" s="3">
        <v>130000</v>
      </c>
      <c r="E3786" s="7">
        <f t="shared" si="83"/>
        <v>1000000</v>
      </c>
      <c r="F3786" s="5">
        <v>45908</v>
      </c>
      <c r="G3786" s="4">
        <v>20250905</v>
      </c>
      <c r="H3786" s="38" t="str">
        <f>VLOOKUP(B3786,CAJEROS!B:D,3,0)</f>
        <v>Dispensador</v>
      </c>
      <c r="I3786" s="34"/>
      <c r="J3786" s="38" t="str">
        <f>VLOOKUP(B3786,CAJEROS!B:E,4,0)</f>
        <v>AUTO_IBAGU4</v>
      </c>
      <c r="K3786" t="s">
        <v>579</v>
      </c>
    </row>
    <row r="3787" spans="1:11">
      <c r="A3787" s="32">
        <v>253</v>
      </c>
      <c r="B3787" s="33">
        <v>5892</v>
      </c>
      <c r="C3787" s="3">
        <v>280000</v>
      </c>
      <c r="D3787" s="3"/>
      <c r="E3787" s="7">
        <f t="shared" si="83"/>
        <v>280000</v>
      </c>
      <c r="F3787" s="5">
        <v>45908</v>
      </c>
      <c r="G3787" s="4">
        <v>20250905</v>
      </c>
      <c r="H3787" s="38" t="str">
        <f>VLOOKUP(B3787,CAJEROS!B:D,3,0)</f>
        <v>Dispensador</v>
      </c>
      <c r="I3787" s="34"/>
      <c r="J3787" s="38" t="str">
        <f>VLOOKUP(B3787,CAJEROS!B:E,4,0)</f>
        <v>SUC_PNORTE2</v>
      </c>
      <c r="K3787" t="s">
        <v>579</v>
      </c>
    </row>
    <row r="3788" spans="1:11">
      <c r="A3788" s="32">
        <v>317</v>
      </c>
      <c r="B3788" s="33">
        <v>3404</v>
      </c>
      <c r="C3788" s="3">
        <v>60000</v>
      </c>
      <c r="D3788" s="3"/>
      <c r="E3788" s="7">
        <f t="shared" si="83"/>
        <v>60000</v>
      </c>
      <c r="F3788" s="5">
        <v>45908</v>
      </c>
      <c r="G3788" s="4">
        <v>20250905</v>
      </c>
      <c r="H3788" s="38" t="str">
        <f>VLOOKUP(B3788,CAJEROS!B:D,3,0)</f>
        <v>Dispensador</v>
      </c>
      <c r="I3788" s="34"/>
      <c r="J3788" s="38" t="str">
        <f>VLOOKUP(B3788,CAJEROS!B:E,4,0)</f>
        <v>SUCARAUCA_3</v>
      </c>
      <c r="K3788" t="s">
        <v>579</v>
      </c>
    </row>
    <row r="3789" spans="1:11">
      <c r="A3789" s="32">
        <v>317</v>
      </c>
      <c r="B3789" s="33">
        <v>9730</v>
      </c>
      <c r="C3789" s="3">
        <v>2790000</v>
      </c>
      <c r="D3789" s="3"/>
      <c r="E3789" s="7">
        <f t="shared" si="83"/>
        <v>2790000</v>
      </c>
      <c r="F3789" s="5">
        <v>45908</v>
      </c>
      <c r="G3789" s="4">
        <v>20250905</v>
      </c>
      <c r="H3789" s="38" t="str">
        <f>VLOOKUP(B3789,CAJEROS!B:D,3,0)</f>
        <v>Dispensador</v>
      </c>
      <c r="I3789" s="34"/>
      <c r="J3789" s="38" t="str">
        <f>VLOOKUP(B3789,CAJEROS!B:E,4,0)</f>
        <v>SUCARAUCA_5</v>
      </c>
      <c r="K3789" t="s">
        <v>579</v>
      </c>
    </row>
    <row r="3790" spans="1:11">
      <c r="A3790" s="32">
        <v>406</v>
      </c>
      <c r="B3790" s="33">
        <v>4579</v>
      </c>
      <c r="C3790" s="3">
        <v>1000000</v>
      </c>
      <c r="D3790" s="3"/>
      <c r="E3790" s="7">
        <f t="shared" si="83"/>
        <v>1000000</v>
      </c>
      <c r="F3790" s="5">
        <v>45908</v>
      </c>
      <c r="G3790" s="4">
        <v>20250905</v>
      </c>
      <c r="H3790" s="38" t="str">
        <f>VLOOKUP(B3790,CAJEROS!B:D,3,0)</f>
        <v>Dispensador</v>
      </c>
      <c r="I3790" s="34"/>
      <c r="J3790" s="38" t="str">
        <f>VLOOKUP(B3790,CAJEROS!B:E,4,0)</f>
        <v>SUC_EMPRES2</v>
      </c>
      <c r="K3790" t="s">
        <v>579</v>
      </c>
    </row>
    <row r="3791" spans="1:11">
      <c r="A3791" s="32">
        <v>481</v>
      </c>
      <c r="B3791" s="33">
        <v>1006</v>
      </c>
      <c r="C3791" s="3">
        <v>1850000</v>
      </c>
      <c r="D3791" s="3">
        <v>900000</v>
      </c>
      <c r="E3791" s="7">
        <f t="shared" si="83"/>
        <v>950000</v>
      </c>
      <c r="F3791" s="5">
        <v>45908</v>
      </c>
      <c r="G3791" s="4">
        <v>20250905</v>
      </c>
      <c r="H3791" s="38" t="str">
        <f>VLOOKUP(B3791,CAJEROS!B:D,3,0)</f>
        <v>Dispensador</v>
      </c>
      <c r="I3791" s="34"/>
      <c r="J3791" s="38" t="str">
        <f>VLOOKUP(B3791,CAJEROS!B:E,4,0)</f>
        <v>SUC_SOLEDA2</v>
      </c>
      <c r="K3791" t="s">
        <v>579</v>
      </c>
    </row>
    <row r="3792" spans="1:11">
      <c r="A3792" s="32">
        <v>61</v>
      </c>
      <c r="B3792" s="33">
        <v>783</v>
      </c>
      <c r="C3792" s="3">
        <v>2000000</v>
      </c>
      <c r="D3792" s="3"/>
      <c r="E3792" s="7">
        <f t="shared" si="83"/>
        <v>2000000</v>
      </c>
      <c r="F3792" s="5">
        <v>45908</v>
      </c>
      <c r="G3792" s="4">
        <v>20250907</v>
      </c>
      <c r="H3792" s="38" t="str">
        <f>VLOOKUP(B3792,CAJEROS!B:D,3,0)</f>
        <v>Dispensador</v>
      </c>
      <c r="I3792" s="34" t="s">
        <v>9</v>
      </c>
      <c r="J3792" s="38" t="str">
        <f>VLOOKUP(B3792,CAJEROS!B:E,4,0)</f>
        <v>SUCLAESTAC3</v>
      </c>
      <c r="K3792" t="s">
        <v>579</v>
      </c>
    </row>
    <row r="3793" spans="1:11">
      <c r="A3793" s="32">
        <v>123</v>
      </c>
      <c r="B3793" s="33">
        <v>4462</v>
      </c>
      <c r="C3793" s="3">
        <v>200000</v>
      </c>
      <c r="D3793" s="3"/>
      <c r="E3793" s="7">
        <f t="shared" si="83"/>
        <v>200000</v>
      </c>
      <c r="F3793" s="5">
        <v>45908</v>
      </c>
      <c r="G3793" s="4">
        <v>20250907</v>
      </c>
      <c r="H3793" s="38" t="str">
        <f>VLOOKUP(B3793,CAJEROS!B:D,3,0)</f>
        <v>Dispensador</v>
      </c>
      <c r="I3793" s="34" t="s">
        <v>9</v>
      </c>
      <c r="J3793" s="38" t="str">
        <f>VLOOKUP(B3793,CAJEROS!B:E,4,0)</f>
        <v>CP_RIONEG1</v>
      </c>
      <c r="K3793" t="s">
        <v>579</v>
      </c>
    </row>
    <row r="3794" spans="1:11">
      <c r="A3794" s="32">
        <v>163</v>
      </c>
      <c r="B3794" s="33">
        <v>5554</v>
      </c>
      <c r="C3794" s="3">
        <v>100000</v>
      </c>
      <c r="D3794" s="3"/>
      <c r="E3794" s="7">
        <f t="shared" si="83"/>
        <v>100000</v>
      </c>
      <c r="F3794" s="5">
        <v>45908</v>
      </c>
      <c r="G3794" s="4">
        <v>20250907</v>
      </c>
      <c r="H3794" s="38" t="str">
        <f>VLOOKUP(B3794,CAJEROS!B:D,3,0)</f>
        <v>Dispensador</v>
      </c>
      <c r="I3794" s="34" t="s">
        <v>9</v>
      </c>
      <c r="J3794" s="38" t="str">
        <f>VLOOKUP(B3794,CAJEROS!B:E,4,0)</f>
        <v>PTO_BERRIO2</v>
      </c>
      <c r="K3794" t="s">
        <v>579</v>
      </c>
    </row>
    <row r="3795" spans="1:11">
      <c r="A3795" s="32">
        <v>186</v>
      </c>
      <c r="B3795" s="33">
        <v>6514</v>
      </c>
      <c r="C3795" s="3">
        <v>50000</v>
      </c>
      <c r="D3795" s="3"/>
      <c r="E3795" s="7">
        <f t="shared" si="83"/>
        <v>50000</v>
      </c>
      <c r="F3795" s="5">
        <v>45908</v>
      </c>
      <c r="G3795" s="4">
        <v>20250907</v>
      </c>
      <c r="H3795" s="38" t="str">
        <f>VLOOKUP(B3795,CAJEROS!B:D,3,0)</f>
        <v>Dispensador</v>
      </c>
      <c r="I3795" s="34" t="s">
        <v>9</v>
      </c>
      <c r="J3795" s="38" t="str">
        <f>VLOOKUP(B3795,CAJEROS!B:E,4,0)</f>
        <v>SUC_GALERI5</v>
      </c>
      <c r="K3795" t="s">
        <v>579</v>
      </c>
    </row>
    <row r="3796" spans="1:11">
      <c r="A3796" s="32">
        <v>225</v>
      </c>
      <c r="B3796" s="33">
        <v>8867</v>
      </c>
      <c r="C3796" s="3">
        <v>300000</v>
      </c>
      <c r="D3796" s="3">
        <v>50000</v>
      </c>
      <c r="E3796" s="7">
        <f t="shared" si="83"/>
        <v>250000</v>
      </c>
      <c r="F3796" s="5">
        <v>45908</v>
      </c>
      <c r="G3796" s="4">
        <v>20250907</v>
      </c>
      <c r="H3796" s="38" t="str">
        <f>VLOOKUP(B3796,CAJEROS!B:D,3,0)</f>
        <v>Dispensador</v>
      </c>
      <c r="I3796" s="34" t="s">
        <v>9</v>
      </c>
      <c r="J3796" s="38" t="str">
        <f>VLOOKUP(B3796,CAJEROS!B:E,4,0)</f>
        <v>SMALPLANQS5</v>
      </c>
      <c r="K3796" t="s">
        <v>579</v>
      </c>
    </row>
    <row r="3797" spans="1:11">
      <c r="A3797" s="32">
        <v>229</v>
      </c>
      <c r="B3797" s="33">
        <v>8956</v>
      </c>
      <c r="C3797" s="3">
        <v>100000</v>
      </c>
      <c r="D3797" s="3">
        <v>50000</v>
      </c>
      <c r="E3797" s="7">
        <f t="shared" si="83"/>
        <v>50000</v>
      </c>
      <c r="F3797" s="5">
        <v>45908</v>
      </c>
      <c r="G3797" s="4">
        <v>20250907</v>
      </c>
      <c r="H3797" s="38" t="str">
        <f>VLOOKUP(B3797,CAJEROS!B:D,3,0)</f>
        <v>Dispensador</v>
      </c>
      <c r="I3797" s="34" t="s">
        <v>9</v>
      </c>
      <c r="J3797" s="38" t="str">
        <f>VLOOKUP(B3797,CAJEROS!B:E,4,0)</f>
        <v>SUCPASERIO2</v>
      </c>
      <c r="K3797" t="s">
        <v>579</v>
      </c>
    </row>
    <row r="3798" spans="1:11">
      <c r="A3798" s="32">
        <v>231</v>
      </c>
      <c r="B3798" s="33">
        <v>5209</v>
      </c>
      <c r="C3798" s="3">
        <v>200000</v>
      </c>
      <c r="D3798" s="3">
        <v>150000</v>
      </c>
      <c r="E3798" s="7">
        <f t="shared" ref="E3798:E3861" si="84">+C3798-D3798</f>
        <v>50000</v>
      </c>
      <c r="F3798" s="5">
        <v>45908</v>
      </c>
      <c r="G3798" s="4">
        <v>20250907</v>
      </c>
      <c r="H3798" s="38" t="str">
        <f>VLOOKUP(B3798,CAJEROS!B:D,3,0)</f>
        <v>Dispensador</v>
      </c>
      <c r="I3798" s="34" t="s">
        <v>9</v>
      </c>
      <c r="J3798" s="38" t="str">
        <f>VLOOKUP(B3798,CAJEROS!B:E,4,0)</f>
        <v>RICAURTE_2</v>
      </c>
      <c r="K3798" t="s">
        <v>579</v>
      </c>
    </row>
    <row r="3799" spans="1:11">
      <c r="A3799" s="32">
        <v>289</v>
      </c>
      <c r="B3799" s="33">
        <v>8225</v>
      </c>
      <c r="C3799" s="3">
        <v>1060000</v>
      </c>
      <c r="D3799" s="3">
        <f>330000+340000</f>
        <v>670000</v>
      </c>
      <c r="E3799" s="7">
        <f t="shared" si="84"/>
        <v>390000</v>
      </c>
      <c r="F3799" s="5">
        <v>45908</v>
      </c>
      <c r="G3799" s="4">
        <v>20250907</v>
      </c>
      <c r="H3799" s="38" t="str">
        <f>VLOOKUP(B3799,CAJEROS!B:D,3,0)</f>
        <v>Dispensador</v>
      </c>
      <c r="I3799" s="34" t="s">
        <v>9</v>
      </c>
      <c r="J3799" s="38" t="str">
        <f>VLOOKUP(B3799,CAJEROS!B:E,4,0)</f>
        <v>PUERTO_GAI4</v>
      </c>
      <c r="K3799" t="s">
        <v>579</v>
      </c>
    </row>
    <row r="3800" spans="1:11">
      <c r="A3800" s="32">
        <v>305</v>
      </c>
      <c r="B3800" s="33">
        <v>4897</v>
      </c>
      <c r="C3800" s="3">
        <v>1470000</v>
      </c>
      <c r="D3800" s="3">
        <f>530000+40000</f>
        <v>570000</v>
      </c>
      <c r="E3800" s="7">
        <f t="shared" si="84"/>
        <v>900000</v>
      </c>
      <c r="F3800" s="5">
        <v>45908</v>
      </c>
      <c r="G3800" s="4">
        <v>20250907</v>
      </c>
      <c r="H3800" s="38" t="str">
        <f>VLOOKUP(B3800,CAJEROS!B:D,3,0)</f>
        <v>Dispensador</v>
      </c>
      <c r="I3800" s="34" t="s">
        <v>9</v>
      </c>
      <c r="J3800" s="38" t="str">
        <f>VLOOKUP(B3800,CAJEROS!B:E,4,0)</f>
        <v>SUC_VILLAN3</v>
      </c>
      <c r="K3800" t="s">
        <v>579</v>
      </c>
    </row>
    <row r="3801" spans="1:11">
      <c r="A3801" s="32">
        <v>512</v>
      </c>
      <c r="B3801" s="33">
        <v>4718</v>
      </c>
      <c r="C3801" s="3">
        <v>300000</v>
      </c>
      <c r="D3801" s="3"/>
      <c r="E3801" s="7">
        <f t="shared" si="84"/>
        <v>300000</v>
      </c>
      <c r="F3801" s="5">
        <v>45908</v>
      </c>
      <c r="G3801" s="4">
        <v>20250907</v>
      </c>
      <c r="H3801" s="38" t="str">
        <f>VLOOKUP(B3801,CAJEROS!B:D,3,0)</f>
        <v>Dispensador</v>
      </c>
      <c r="I3801" s="34" t="s">
        <v>9</v>
      </c>
      <c r="J3801" s="38" t="str">
        <f>VLOOKUP(B3801,CAJEROS!B:E,4,0)</f>
        <v>SUC_PLATO3</v>
      </c>
      <c r="K3801" t="s">
        <v>579</v>
      </c>
    </row>
    <row r="3802" spans="1:11">
      <c r="A3802" s="32">
        <v>523</v>
      </c>
      <c r="B3802" s="33">
        <v>3997</v>
      </c>
      <c r="C3802" s="3">
        <v>690000</v>
      </c>
      <c r="D3802" s="3"/>
      <c r="E3802" s="7">
        <f t="shared" si="84"/>
        <v>690000</v>
      </c>
      <c r="F3802" s="5">
        <v>45908</v>
      </c>
      <c r="G3802" s="4">
        <v>20250907</v>
      </c>
      <c r="H3802" s="38" t="str">
        <f>VLOOKUP(B3802,CAJEROS!B:D,3,0)</f>
        <v>Dispensador</v>
      </c>
      <c r="I3802" s="34" t="s">
        <v>9</v>
      </c>
      <c r="J3802" s="38" t="str">
        <f>VLOOKUP(B3802,CAJEROS!B:E,4,0)</f>
        <v>SUC_OVALLE3</v>
      </c>
      <c r="K3802" t="s">
        <v>579</v>
      </c>
    </row>
    <row r="3803" spans="1:11">
      <c r="A3803" s="32">
        <v>567</v>
      </c>
      <c r="B3803" s="33">
        <v>2423</v>
      </c>
      <c r="C3803" s="3">
        <v>4240000</v>
      </c>
      <c r="D3803" s="3">
        <v>4140000</v>
      </c>
      <c r="E3803" s="7">
        <f t="shared" si="84"/>
        <v>100000</v>
      </c>
      <c r="F3803" s="5">
        <v>45908</v>
      </c>
      <c r="G3803" s="4">
        <v>20250907</v>
      </c>
      <c r="H3803" s="38" t="str">
        <f>VLOOKUP(B3803,CAJEROS!B:D,3,0)</f>
        <v>Dispensador</v>
      </c>
      <c r="I3803" s="34" t="s">
        <v>9</v>
      </c>
      <c r="J3803" s="38" t="str">
        <f>VLOOKUP(B3803,CAJEROS!B:E,4,0)</f>
        <v>VENECIA_1_R</v>
      </c>
      <c r="K3803" t="s">
        <v>579</v>
      </c>
    </row>
    <row r="3804" spans="1:11">
      <c r="A3804" s="32">
        <v>567</v>
      </c>
      <c r="B3804" s="33">
        <v>4521</v>
      </c>
      <c r="C3804" s="3">
        <v>4040000</v>
      </c>
      <c r="D3804" s="3">
        <v>4000000</v>
      </c>
      <c r="E3804" s="7">
        <f t="shared" si="84"/>
        <v>40000</v>
      </c>
      <c r="F3804" s="5">
        <v>45908</v>
      </c>
      <c r="G3804" s="4">
        <v>20250907</v>
      </c>
      <c r="H3804" s="38" t="str">
        <f>VLOOKUP(B3804,CAJEROS!B:D,3,0)</f>
        <v>Dispensador</v>
      </c>
      <c r="I3804" s="34" t="s">
        <v>9</v>
      </c>
      <c r="J3804" s="38" t="str">
        <f>VLOOKUP(B3804,CAJEROS!B:E,4,0)</f>
        <v>VENECIA2</v>
      </c>
      <c r="K3804" t="s">
        <v>579</v>
      </c>
    </row>
    <row r="3805" spans="1:11">
      <c r="A3805" s="32">
        <v>705</v>
      </c>
      <c r="B3805" s="33">
        <v>4151</v>
      </c>
      <c r="C3805" s="3">
        <v>2150000</v>
      </c>
      <c r="D3805" s="3">
        <f>1710000+120000</f>
        <v>1830000</v>
      </c>
      <c r="E3805" s="7">
        <f t="shared" si="84"/>
        <v>320000</v>
      </c>
      <c r="F3805" s="5">
        <v>45908</v>
      </c>
      <c r="G3805" s="4">
        <v>20250907</v>
      </c>
      <c r="H3805" s="38" t="str">
        <f>VLOOKUP(B3805,CAJEROS!B:D,3,0)</f>
        <v>Dispensador</v>
      </c>
      <c r="I3805" s="34" t="s">
        <v>9</v>
      </c>
      <c r="J3805" s="38" t="str">
        <f>VLOOKUP(B3805,CAJEROS!B:E,4,0)</f>
        <v>SUC_BAGRE1</v>
      </c>
      <c r="K3805" t="s">
        <v>579</v>
      </c>
    </row>
    <row r="3806" spans="1:11">
      <c r="A3806" s="32">
        <v>705</v>
      </c>
      <c r="B3806" s="33">
        <v>4152</v>
      </c>
      <c r="C3806" s="3">
        <v>130000</v>
      </c>
      <c r="D3806" s="3"/>
      <c r="E3806" s="7">
        <f t="shared" si="84"/>
        <v>130000</v>
      </c>
      <c r="F3806" s="5">
        <v>45908</v>
      </c>
      <c r="G3806" s="4">
        <v>20250907</v>
      </c>
      <c r="H3806" s="38" t="str">
        <f>VLOOKUP(B3806,CAJEROS!B:D,3,0)</f>
        <v>Dispensador</v>
      </c>
      <c r="I3806" s="34" t="s">
        <v>9</v>
      </c>
      <c r="J3806" s="38" t="str">
        <f>VLOOKUP(B3806,CAJEROS!B:E,4,0)</f>
        <v>SUC_BAGRE2</v>
      </c>
      <c r="K3806" t="s">
        <v>579</v>
      </c>
    </row>
    <row r="3807" spans="1:11">
      <c r="A3807" s="32">
        <v>748</v>
      </c>
      <c r="B3807" s="33">
        <v>4584</v>
      </c>
      <c r="C3807" s="3">
        <v>700000</v>
      </c>
      <c r="D3807" s="3"/>
      <c r="E3807" s="7">
        <f t="shared" si="84"/>
        <v>700000</v>
      </c>
      <c r="F3807" s="5">
        <v>45908</v>
      </c>
      <c r="G3807" s="4">
        <v>20250907</v>
      </c>
      <c r="H3807" s="38" t="str">
        <f>VLOOKUP(B3807,CAJEROS!B:D,3,0)</f>
        <v>Dispensador</v>
      </c>
      <c r="I3807" s="34" t="s">
        <v>9</v>
      </c>
      <c r="J3807" s="38" t="str">
        <f>VLOOKUP(B3807,CAJEROS!B:E,4,0)</f>
        <v>SUC_MOMPOX1</v>
      </c>
      <c r="K3807" t="s">
        <v>579</v>
      </c>
    </row>
    <row r="3808" spans="1:11">
      <c r="A3808" s="32">
        <v>748</v>
      </c>
      <c r="B3808" s="33">
        <v>4585</v>
      </c>
      <c r="C3808" s="3">
        <v>400000</v>
      </c>
      <c r="D3808" s="3"/>
      <c r="E3808" s="7">
        <f t="shared" si="84"/>
        <v>400000</v>
      </c>
      <c r="F3808" s="5">
        <v>45908</v>
      </c>
      <c r="G3808" s="4">
        <v>20250907</v>
      </c>
      <c r="H3808" s="38" t="str">
        <f>VLOOKUP(B3808,CAJEROS!B:D,3,0)</f>
        <v>Dispensador</v>
      </c>
      <c r="I3808" s="34" t="s">
        <v>9</v>
      </c>
      <c r="J3808" s="38" t="str">
        <f>VLOOKUP(B3808,CAJEROS!B:E,4,0)</f>
        <v>SUC_MOMPOX2</v>
      </c>
      <c r="K3808" t="s">
        <v>579</v>
      </c>
    </row>
    <row r="3809" spans="1:11">
      <c r="A3809" s="32">
        <v>828</v>
      </c>
      <c r="B3809" s="33">
        <v>2235</v>
      </c>
      <c r="C3809" s="3">
        <v>100000</v>
      </c>
      <c r="D3809" s="3"/>
      <c r="E3809" s="7">
        <f t="shared" si="84"/>
        <v>100000</v>
      </c>
      <c r="F3809" s="5">
        <v>45908</v>
      </c>
      <c r="G3809" s="4">
        <v>20250907</v>
      </c>
      <c r="H3809" s="38" t="str">
        <f>VLOOKUP(B3809,CAJEROS!B:D,3,0)</f>
        <v>Dispensador</v>
      </c>
      <c r="I3809" s="34" t="s">
        <v>9</v>
      </c>
      <c r="J3809" s="38" t="str">
        <f>VLOOKUP(B3809,CAJEROS!B:E,4,0)</f>
        <v>SUC_SANJOS5</v>
      </c>
      <c r="K3809" t="s">
        <v>579</v>
      </c>
    </row>
    <row r="3810" spans="1:11">
      <c r="A3810" s="32">
        <v>840</v>
      </c>
      <c r="B3810" s="33">
        <v>4332</v>
      </c>
      <c r="C3810" s="3">
        <v>1000000</v>
      </c>
      <c r="D3810" s="3"/>
      <c r="E3810" s="7">
        <f t="shared" si="84"/>
        <v>1000000</v>
      </c>
      <c r="F3810" s="5">
        <v>45908</v>
      </c>
      <c r="G3810" s="4">
        <v>20250907</v>
      </c>
      <c r="H3810" s="38" t="str">
        <f>VLOOKUP(B3810,CAJEROS!B:D,3,0)</f>
        <v>Dispensador</v>
      </c>
      <c r="I3810" s="34" t="s">
        <v>9</v>
      </c>
      <c r="J3810" s="38" t="str">
        <f>VLOOKUP(B3810,CAJEROS!B:E,4,0)</f>
        <v>SUC_PAZARI2</v>
      </c>
      <c r="K3810" t="s">
        <v>579</v>
      </c>
    </row>
    <row r="3811" spans="1:11">
      <c r="A3811" s="32">
        <v>861</v>
      </c>
      <c r="B3811" s="33">
        <v>5957</v>
      </c>
      <c r="C3811" s="3">
        <v>600000</v>
      </c>
      <c r="D3811" s="3"/>
      <c r="E3811" s="7">
        <f t="shared" si="84"/>
        <v>600000</v>
      </c>
      <c r="F3811" s="5">
        <v>45908</v>
      </c>
      <c r="G3811" s="4">
        <v>20250907</v>
      </c>
      <c r="H3811" s="38" t="str">
        <f>VLOOKUP(B3811,CAJEROS!B:D,3,0)</f>
        <v>Dispensador</v>
      </c>
      <c r="I3811" s="34" t="s">
        <v>9</v>
      </c>
      <c r="J3811" s="38" t="str">
        <f>VLOOKUP(B3811,CAJEROS!B:E,4,0)</f>
        <v>SUC_ALBANI1</v>
      </c>
      <c r="K3811" t="s">
        <v>579</v>
      </c>
    </row>
    <row r="3812" spans="1:11">
      <c r="A3812" s="32">
        <v>78</v>
      </c>
      <c r="B3812" s="33">
        <v>8591</v>
      </c>
      <c r="C3812" s="3">
        <v>150000</v>
      </c>
      <c r="D3812" s="3"/>
      <c r="E3812" s="7">
        <f t="shared" si="84"/>
        <v>150000</v>
      </c>
      <c r="F3812" s="5">
        <v>45908</v>
      </c>
      <c r="G3812" s="4">
        <v>20250906</v>
      </c>
      <c r="H3812" s="38" t="str">
        <f>VLOOKUP(B3812,CAJEROS!B:D,3,0)</f>
        <v>Dispensador</v>
      </c>
      <c r="I3812" s="34" t="s">
        <v>9</v>
      </c>
      <c r="J3812" s="38" t="str">
        <f>VLOOKUP(B3812,CAJEROS!B:E,4,0)</f>
        <v>HALLCACIQ2</v>
      </c>
      <c r="K3812" t="s">
        <v>579</v>
      </c>
    </row>
    <row r="3813" spans="1:11">
      <c r="A3813" s="32">
        <v>289</v>
      </c>
      <c r="B3813" s="33">
        <v>4593</v>
      </c>
      <c r="C3813" s="3">
        <v>3140000</v>
      </c>
      <c r="D3813" s="3">
        <v>3040000</v>
      </c>
      <c r="E3813" s="7">
        <f t="shared" si="84"/>
        <v>100000</v>
      </c>
      <c r="F3813" s="5">
        <v>45908</v>
      </c>
      <c r="G3813" s="4">
        <v>20250905</v>
      </c>
      <c r="H3813" s="38" t="str">
        <f>VLOOKUP(B3813,CAJEROS!B:D,3,0)</f>
        <v>Dispensador</v>
      </c>
      <c r="I3813" s="34" t="s">
        <v>9</v>
      </c>
      <c r="J3813" s="38" t="str">
        <f>VLOOKUP(B3813,CAJEROS!B:E,4,0)</f>
        <v>SUC_PGAIT3</v>
      </c>
      <c r="K3813" t="s">
        <v>579</v>
      </c>
    </row>
    <row r="3814" spans="1:11">
      <c r="A3814" s="32">
        <v>138</v>
      </c>
      <c r="B3814" s="33">
        <v>6628</v>
      </c>
      <c r="C3814" s="3">
        <v>5240000</v>
      </c>
      <c r="D3814" s="3">
        <v>3317400</v>
      </c>
      <c r="E3814" s="7">
        <f t="shared" si="84"/>
        <v>1922600</v>
      </c>
      <c r="F3814" s="5">
        <v>45908</v>
      </c>
      <c r="G3814" s="4">
        <v>20250905</v>
      </c>
      <c r="H3814" s="38" t="str">
        <f>VLOOKUP(B3814,CAJEROS!B:D,3,0)</f>
        <v>Multifuncional</v>
      </c>
      <c r="I3814" s="34"/>
      <c r="J3814" s="38" t="str">
        <f>VLOOKUP(B3814,CAJEROS!B:E,4,0)</f>
        <v>MF_MOSQUERA</v>
      </c>
      <c r="K3814" t="s">
        <v>579</v>
      </c>
    </row>
    <row r="3815" spans="1:11">
      <c r="A3815" s="32">
        <v>229</v>
      </c>
      <c r="B3815" s="33">
        <v>9605</v>
      </c>
      <c r="C3815" s="3">
        <v>7300150</v>
      </c>
      <c r="D3815" s="3">
        <f>50+250000+2140000</f>
        <v>2390050</v>
      </c>
      <c r="E3815" s="7">
        <f t="shared" si="84"/>
        <v>4910100</v>
      </c>
      <c r="F3815" s="5">
        <v>45908</v>
      </c>
      <c r="G3815" s="4">
        <v>20250905</v>
      </c>
      <c r="H3815" s="38" t="str">
        <f>VLOOKUP(B3815,CAJEROS!B:D,3,0)</f>
        <v>Multifuncional</v>
      </c>
      <c r="I3815" s="34"/>
      <c r="J3815" s="38" t="str">
        <f>VLOOKUP(B3815,CAJEROS!B:E,4,0)</f>
        <v>MFSUCPASER2</v>
      </c>
      <c r="K3815" t="s">
        <v>579</v>
      </c>
    </row>
    <row r="3816" spans="1:11">
      <c r="A3816" s="32">
        <v>244</v>
      </c>
      <c r="B3816" s="33">
        <v>5129</v>
      </c>
      <c r="C3816" s="3">
        <v>3122000</v>
      </c>
      <c r="D3816" s="3"/>
      <c r="E3816" s="7">
        <f t="shared" si="84"/>
        <v>3122000</v>
      </c>
      <c r="F3816" s="5">
        <v>45908</v>
      </c>
      <c r="G3816" s="4">
        <v>20250905</v>
      </c>
      <c r="H3816" s="38" t="str">
        <f>VLOOKUP(B3816,CAJEROS!B:D,3,0)</f>
        <v>Multifuncional</v>
      </c>
      <c r="I3816" s="34"/>
      <c r="J3816" s="38" t="str">
        <f>VLOOKUP(B3816,CAJEROS!B:E,4,0)</f>
        <v>MF_TRIGALAN</v>
      </c>
      <c r="K3816" t="s">
        <v>579</v>
      </c>
    </row>
    <row r="3817" spans="1:11">
      <c r="A3817" s="32">
        <v>317</v>
      </c>
      <c r="B3817" s="33">
        <v>6613</v>
      </c>
      <c r="C3817" s="3">
        <v>1893000</v>
      </c>
      <c r="D3817" s="3"/>
      <c r="E3817" s="7">
        <f t="shared" si="84"/>
        <v>1893000</v>
      </c>
      <c r="F3817" s="5">
        <v>45908</v>
      </c>
      <c r="G3817" s="4">
        <v>20250905</v>
      </c>
      <c r="H3817" s="38" t="str">
        <f>VLOOKUP(B3817,CAJEROS!B:D,3,0)</f>
        <v>Multifuncional</v>
      </c>
      <c r="I3817" s="34"/>
      <c r="J3817" s="38" t="str">
        <f>VLOOKUP(B3817,CAJEROS!B:E,4,0)</f>
        <v>MF_ARAUCA</v>
      </c>
      <c r="K3817" t="s">
        <v>579</v>
      </c>
    </row>
    <row r="3818" spans="1:11">
      <c r="A3818" s="32">
        <v>331</v>
      </c>
      <c r="B3818" s="33">
        <v>574</v>
      </c>
      <c r="C3818" s="3">
        <v>953000</v>
      </c>
      <c r="D3818" s="3"/>
      <c r="E3818" s="7">
        <f t="shared" si="84"/>
        <v>953000</v>
      </c>
      <c r="F3818" s="5">
        <v>45908</v>
      </c>
      <c r="G3818" s="4">
        <v>20250905</v>
      </c>
      <c r="H3818" s="38" t="str">
        <f>VLOOKUP(B3818,CAJEROS!B:D,3,0)</f>
        <v>Multifuncional</v>
      </c>
      <c r="I3818" s="34"/>
      <c r="J3818" s="38" t="str">
        <f>VLOOKUP(B3818,CAJEROS!B:E,4,0)</f>
        <v>MF_SUCARKA1</v>
      </c>
      <c r="K3818" t="s">
        <v>579</v>
      </c>
    </row>
    <row r="3819" spans="1:11">
      <c r="A3819" s="32">
        <v>333</v>
      </c>
      <c r="B3819" s="33">
        <v>5076</v>
      </c>
      <c r="C3819" s="3">
        <v>999000</v>
      </c>
      <c r="D3819" s="3"/>
      <c r="E3819" s="7">
        <f t="shared" si="84"/>
        <v>999000</v>
      </c>
      <c r="F3819" s="5">
        <v>45908</v>
      </c>
      <c r="G3819" s="4">
        <v>20250905</v>
      </c>
      <c r="H3819" s="38" t="str">
        <f>VLOOKUP(B3819,CAJEROS!B:D,3,0)</f>
        <v>Multifuncional</v>
      </c>
      <c r="I3819" s="34"/>
      <c r="J3819" s="38" t="str">
        <f>VLOOKUP(B3819,CAJEROS!B:E,4,0)</f>
        <v>MF_AVESMARI</v>
      </c>
      <c r="K3819" t="s">
        <v>579</v>
      </c>
    </row>
    <row r="3820" spans="1:11">
      <c r="A3820" s="32">
        <v>367</v>
      </c>
      <c r="B3820" s="33">
        <v>9580</v>
      </c>
      <c r="C3820" s="3">
        <v>17300</v>
      </c>
      <c r="D3820" s="3"/>
      <c r="E3820" s="7">
        <f t="shared" si="84"/>
        <v>17300</v>
      </c>
      <c r="F3820" s="5">
        <v>45908</v>
      </c>
      <c r="G3820" s="4">
        <v>20250905</v>
      </c>
      <c r="H3820" s="38" t="str">
        <f>VLOOKUP(B3820,CAJEROS!B:D,3,0)</f>
        <v>Multifuncional</v>
      </c>
      <c r="I3820" s="34"/>
      <c r="J3820" s="38" t="str">
        <f>VLOOKUP(B3820,CAJEROS!B:E,4,0)</f>
        <v>MF_SUCGRAN1</v>
      </c>
      <c r="K3820" t="s">
        <v>579</v>
      </c>
    </row>
    <row r="3821" spans="1:11">
      <c r="A3821" s="32">
        <v>389</v>
      </c>
      <c r="B3821" s="33">
        <v>7327</v>
      </c>
      <c r="C3821" s="3">
        <v>30000</v>
      </c>
      <c r="D3821" s="3"/>
      <c r="E3821" s="7">
        <f t="shared" si="84"/>
        <v>30000</v>
      </c>
      <c r="F3821" s="5">
        <v>45908</v>
      </c>
      <c r="G3821" s="4">
        <v>20250905</v>
      </c>
      <c r="H3821" s="38" t="str">
        <f>VLOOKUP(B3821,CAJEROS!B:D,3,0)</f>
        <v>Multifuncional</v>
      </c>
      <c r="I3821" s="34"/>
      <c r="J3821" s="38" t="str">
        <f>VLOOKUP(B3821,CAJEROS!B:E,4,0)</f>
        <v>MF_MARIQUIT</v>
      </c>
      <c r="K3821" t="s">
        <v>579</v>
      </c>
    </row>
    <row r="3822" spans="1:11">
      <c r="A3822" s="32">
        <v>77</v>
      </c>
      <c r="B3822" s="33">
        <v>5204</v>
      </c>
      <c r="C3822" s="3">
        <v>3684800</v>
      </c>
      <c r="D3822" s="3">
        <v>3680000</v>
      </c>
      <c r="E3822" s="7">
        <f t="shared" si="84"/>
        <v>4800</v>
      </c>
      <c r="F3822" s="5">
        <v>45908</v>
      </c>
      <c r="G3822" s="4">
        <v>20250907</v>
      </c>
      <c r="H3822" s="38" t="str">
        <f>VLOOKUP(B3822,CAJEROS!B:D,3,0)</f>
        <v>Multifuncional</v>
      </c>
      <c r="I3822" s="34" t="s">
        <v>9</v>
      </c>
      <c r="J3822" s="38" t="str">
        <f>VLOOKUP(B3822,CAJEROS!B:E,4,0)</f>
        <v>MF_TEQENDMA</v>
      </c>
      <c r="K3822" t="s">
        <v>579</v>
      </c>
    </row>
    <row r="3823" spans="1:11">
      <c r="A3823" s="32">
        <v>392</v>
      </c>
      <c r="B3823" s="33">
        <v>5064</v>
      </c>
      <c r="C3823" s="3">
        <v>3250000</v>
      </c>
      <c r="D3823" s="3">
        <v>3230000</v>
      </c>
      <c r="E3823" s="7">
        <f t="shared" si="84"/>
        <v>20000</v>
      </c>
      <c r="F3823" s="5">
        <v>45908</v>
      </c>
      <c r="G3823" s="4">
        <v>20250907</v>
      </c>
      <c r="H3823" s="38" t="str">
        <f>VLOOKUP(B3823,CAJEROS!B:D,3,0)</f>
        <v>Multifuncional</v>
      </c>
      <c r="I3823" s="34" t="s">
        <v>9</v>
      </c>
      <c r="J3823" s="38" t="str">
        <f>VLOOKUP(B3823,CAJEROS!B:E,4,0)</f>
        <v>MF_LADORADA</v>
      </c>
      <c r="K3823" t="s">
        <v>579</v>
      </c>
    </row>
    <row r="3824" spans="1:11">
      <c r="A3824" s="32">
        <v>74</v>
      </c>
      <c r="B3824" s="33">
        <v>6215</v>
      </c>
      <c r="C3824" s="3">
        <v>2826700</v>
      </c>
      <c r="D3824" s="3"/>
      <c r="E3824" s="7">
        <f t="shared" si="84"/>
        <v>2826700</v>
      </c>
      <c r="F3824" s="5">
        <v>45908</v>
      </c>
      <c r="G3824" s="4">
        <v>20250907</v>
      </c>
      <c r="H3824" s="38" t="str">
        <f>VLOOKUP(B3824,CAJEROS!B:D,3,0)</f>
        <v>Multifuncional</v>
      </c>
      <c r="I3824" s="34" t="s">
        <v>9</v>
      </c>
      <c r="J3824" s="38" t="str">
        <f>VLOOKUP(B3824,CAJEROS!B:E,4,0)</f>
        <v>MF_PASTO</v>
      </c>
      <c r="K3824" t="s">
        <v>579</v>
      </c>
    </row>
    <row r="3825" spans="1:11">
      <c r="A3825" s="32">
        <v>890</v>
      </c>
      <c r="B3825" s="33">
        <v>9584</v>
      </c>
      <c r="C3825" s="3">
        <v>2758000</v>
      </c>
      <c r="D3825" s="3">
        <v>2650000</v>
      </c>
      <c r="E3825" s="7">
        <f t="shared" si="84"/>
        <v>108000</v>
      </c>
      <c r="F3825" s="5">
        <v>45908</v>
      </c>
      <c r="G3825" s="4">
        <v>20250907</v>
      </c>
      <c r="H3825" s="38" t="str">
        <f>VLOOKUP(B3825,CAJEROS!B:D,3,0)</f>
        <v>Multifuncional</v>
      </c>
      <c r="I3825" s="34" t="s">
        <v>9</v>
      </c>
      <c r="J3825" s="38" t="str">
        <f>VLOOKUP(B3825,CAJEROS!B:E,4,0)</f>
        <v>MFSUCACACI1</v>
      </c>
      <c r="K3825" t="s">
        <v>579</v>
      </c>
    </row>
    <row r="3826" spans="1:11">
      <c r="A3826" s="32">
        <v>944</v>
      </c>
      <c r="B3826" s="33">
        <v>8353</v>
      </c>
      <c r="C3826" s="3">
        <v>2721500</v>
      </c>
      <c r="D3826" s="3">
        <v>2425800</v>
      </c>
      <c r="E3826" s="7">
        <f t="shared" si="84"/>
        <v>295700</v>
      </c>
      <c r="F3826" s="5">
        <v>45908</v>
      </c>
      <c r="G3826" s="4">
        <v>20250907</v>
      </c>
      <c r="H3826" s="38" t="str">
        <f>VLOOKUP(B3826,CAJEROS!B:D,3,0)</f>
        <v>Multifuncional</v>
      </c>
      <c r="I3826" s="34" t="s">
        <v>9</v>
      </c>
      <c r="J3826" s="38" t="str">
        <f>VLOOKUP(B3826,CAJEROS!B:E,4,0)</f>
        <v>MF_SANTABO1</v>
      </c>
      <c r="K3826" t="s">
        <v>579</v>
      </c>
    </row>
    <row r="3827" spans="1:11">
      <c r="A3827" s="32">
        <v>762</v>
      </c>
      <c r="B3827" s="33">
        <v>5181</v>
      </c>
      <c r="C3827" s="3">
        <v>2700000</v>
      </c>
      <c r="D3827" s="3">
        <v>2400000</v>
      </c>
      <c r="E3827" s="7">
        <f t="shared" si="84"/>
        <v>300000</v>
      </c>
      <c r="F3827" s="5">
        <v>45908</v>
      </c>
      <c r="G3827" s="4">
        <v>20250907</v>
      </c>
      <c r="H3827" s="38" t="str">
        <f>VLOOKUP(B3827,CAJEROS!B:D,3,0)</f>
        <v>Multifuncional</v>
      </c>
      <c r="I3827" s="34" t="s">
        <v>9</v>
      </c>
      <c r="J3827" s="38" t="str">
        <f>VLOOKUP(B3827,CAJEROS!B:E,4,0)</f>
        <v>MF_HERRADU1</v>
      </c>
      <c r="K3827" t="s">
        <v>579</v>
      </c>
    </row>
    <row r="3828" spans="1:11">
      <c r="A3828" s="32">
        <v>81</v>
      </c>
      <c r="B3828" s="33">
        <v>5036</v>
      </c>
      <c r="C3828" s="3">
        <v>2408400</v>
      </c>
      <c r="D3828" s="3">
        <v>60000</v>
      </c>
      <c r="E3828" s="7">
        <f t="shared" si="84"/>
        <v>2348400</v>
      </c>
      <c r="F3828" s="5">
        <v>45908</v>
      </c>
      <c r="G3828" s="4">
        <v>20250907</v>
      </c>
      <c r="H3828" s="38" t="str">
        <f>VLOOKUP(B3828,CAJEROS!B:D,3,0)</f>
        <v>Multifuncional</v>
      </c>
      <c r="I3828" s="34" t="s">
        <v>9</v>
      </c>
      <c r="J3828" s="38" t="str">
        <f>VLOOKUP(B3828,CAJEROS!B:E,4,0)</f>
        <v>MF_AVKENNE</v>
      </c>
      <c r="K3828" t="s">
        <v>579</v>
      </c>
    </row>
    <row r="3829" spans="1:11">
      <c r="A3829" s="32">
        <v>843</v>
      </c>
      <c r="B3829" s="33">
        <v>6716</v>
      </c>
      <c r="C3829" s="3">
        <v>2175550</v>
      </c>
      <c r="D3829" s="3">
        <v>2164550</v>
      </c>
      <c r="E3829" s="7">
        <f t="shared" si="84"/>
        <v>11000</v>
      </c>
      <c r="F3829" s="5">
        <v>45908</v>
      </c>
      <c r="G3829" s="4">
        <v>20250907</v>
      </c>
      <c r="H3829" s="38" t="str">
        <f>VLOOKUP(B3829,CAJEROS!B:D,3,0)</f>
        <v>Multifuncional</v>
      </c>
      <c r="I3829" s="34" t="s">
        <v>9</v>
      </c>
      <c r="J3829" s="38" t="str">
        <f>VLOOKUP(B3829,CAJEROS!B:E,4,0)</f>
        <v>MF_CPBUENAV</v>
      </c>
      <c r="K3829" t="s">
        <v>579</v>
      </c>
    </row>
    <row r="3830" spans="1:11">
      <c r="A3830" s="32">
        <v>750</v>
      </c>
      <c r="B3830" s="33">
        <v>5157</v>
      </c>
      <c r="C3830" s="3">
        <v>1840000</v>
      </c>
      <c r="D3830" s="3"/>
      <c r="E3830" s="7">
        <f t="shared" si="84"/>
        <v>1840000</v>
      </c>
      <c r="F3830" s="5">
        <v>45908</v>
      </c>
      <c r="G3830" s="4">
        <v>20250907</v>
      </c>
      <c r="H3830" s="38" t="str">
        <f>VLOOKUP(B3830,CAJEROS!B:D,3,0)</f>
        <v>Multifuncional</v>
      </c>
      <c r="I3830" s="34" t="s">
        <v>9</v>
      </c>
      <c r="J3830" s="38" t="str">
        <f>VLOOKUP(B3830,CAJEROS!B:E,4,0)</f>
        <v>MF_AVROOSVL</v>
      </c>
      <c r="K3830" t="s">
        <v>579</v>
      </c>
    </row>
    <row r="3831" spans="1:11">
      <c r="A3831" s="32">
        <v>957</v>
      </c>
      <c r="B3831" s="33">
        <v>9513</v>
      </c>
      <c r="C3831" s="3">
        <v>1840000</v>
      </c>
      <c r="D3831" s="3">
        <v>8600</v>
      </c>
      <c r="E3831" s="7">
        <f t="shared" si="84"/>
        <v>1831400</v>
      </c>
      <c r="F3831" s="5">
        <v>45908</v>
      </c>
      <c r="G3831" s="4">
        <v>20250907</v>
      </c>
      <c r="H3831" s="38" t="str">
        <f>VLOOKUP(B3831,CAJEROS!B:D,3,0)</f>
        <v>Multifuncional</v>
      </c>
      <c r="I3831" s="34" t="s">
        <v>9</v>
      </c>
      <c r="J3831" s="38" t="str">
        <f>VLOOKUP(B3831,CAJEROS!B:E,4,0)</f>
        <v>MFSUCPARAL2</v>
      </c>
      <c r="K3831" t="s">
        <v>579</v>
      </c>
    </row>
    <row r="3832" spans="1:11">
      <c r="A3832" s="32">
        <v>795</v>
      </c>
      <c r="B3832" s="33">
        <v>1029</v>
      </c>
      <c r="C3832" s="3">
        <v>1780000</v>
      </c>
      <c r="D3832" s="3"/>
      <c r="E3832" s="7">
        <f t="shared" si="84"/>
        <v>1780000</v>
      </c>
      <c r="F3832" s="5">
        <v>45908</v>
      </c>
      <c r="G3832" s="4">
        <v>20250907</v>
      </c>
      <c r="H3832" s="38" t="str">
        <f>VLOOKUP(B3832,CAJEROS!B:D,3,0)</f>
        <v>Multifuncional</v>
      </c>
      <c r="I3832" s="34" t="s">
        <v>9</v>
      </c>
      <c r="J3832" s="38" t="str">
        <f>VLOOKUP(B3832,CAJEROS!B:E,4,0)</f>
        <v>MFSUCANVER3</v>
      </c>
      <c r="K3832" t="s">
        <v>579</v>
      </c>
    </row>
    <row r="3833" spans="1:11">
      <c r="A3833" s="32">
        <v>166</v>
      </c>
      <c r="B3833" s="33">
        <v>7939</v>
      </c>
      <c r="C3833" s="3">
        <v>1709800</v>
      </c>
      <c r="D3833" s="3"/>
      <c r="E3833" s="7">
        <f t="shared" si="84"/>
        <v>1709800</v>
      </c>
      <c r="F3833" s="5">
        <v>45908</v>
      </c>
      <c r="G3833" s="4">
        <v>20250907</v>
      </c>
      <c r="H3833" s="38" t="str">
        <f>VLOOKUP(B3833,CAJEROS!B:D,3,0)</f>
        <v>Multifuncional</v>
      </c>
      <c r="I3833" s="34" t="s">
        <v>9</v>
      </c>
      <c r="J3833" s="38" t="str">
        <f>VLOOKUP(B3833,CAJEROS!B:E,4,0)</f>
        <v>MF_ALDELSI1</v>
      </c>
      <c r="K3833" t="s">
        <v>579</v>
      </c>
    </row>
    <row r="3834" spans="1:11">
      <c r="A3834" s="32">
        <v>868</v>
      </c>
      <c r="B3834" s="33">
        <v>6149</v>
      </c>
      <c r="C3834" s="3">
        <v>1670000</v>
      </c>
      <c r="D3834" s="3">
        <f>594000+100000</f>
        <v>694000</v>
      </c>
      <c r="E3834" s="7">
        <f t="shared" si="84"/>
        <v>976000</v>
      </c>
      <c r="F3834" s="5">
        <v>45908</v>
      </c>
      <c r="G3834" s="4">
        <v>20250907</v>
      </c>
      <c r="H3834" s="38" t="str">
        <f>VLOOKUP(B3834,CAJEROS!B:D,3,0)</f>
        <v>Multifuncional</v>
      </c>
      <c r="I3834" s="34" t="s">
        <v>9</v>
      </c>
      <c r="J3834" s="38" t="str">
        <f>VLOOKUP(B3834,CAJEROS!B:E,4,0)</f>
        <v>MF_POPAYAN1</v>
      </c>
      <c r="K3834" t="s">
        <v>579</v>
      </c>
    </row>
    <row r="3835" spans="1:11">
      <c r="A3835" s="32">
        <v>383</v>
      </c>
      <c r="B3835" s="33">
        <v>5194</v>
      </c>
      <c r="C3835" s="3">
        <v>1576500</v>
      </c>
      <c r="D3835" s="3">
        <v>1567000</v>
      </c>
      <c r="E3835" s="7">
        <f t="shared" si="84"/>
        <v>9500</v>
      </c>
      <c r="F3835" s="5">
        <v>45908</v>
      </c>
      <c r="G3835" s="4">
        <v>20250907</v>
      </c>
      <c r="H3835" s="38" t="str">
        <f>VLOOKUP(B3835,CAJEROS!B:D,3,0)</f>
        <v>Multifuncional</v>
      </c>
      <c r="I3835" s="34" t="s">
        <v>9</v>
      </c>
      <c r="J3835" s="38" t="str">
        <f>VLOOKUP(B3835,CAJEROS!B:E,4,0)</f>
        <v>MF_MADRID</v>
      </c>
      <c r="K3835" t="s">
        <v>579</v>
      </c>
    </row>
    <row r="3836" spans="1:11">
      <c r="A3836" s="32">
        <v>96</v>
      </c>
      <c r="B3836" s="33">
        <v>6735</v>
      </c>
      <c r="C3836" s="3">
        <v>1520000</v>
      </c>
      <c r="D3836" s="3"/>
      <c r="E3836" s="7">
        <f t="shared" si="84"/>
        <v>1520000</v>
      </c>
      <c r="F3836" s="5">
        <v>45908</v>
      </c>
      <c r="G3836" s="4">
        <v>20250907</v>
      </c>
      <c r="H3836" s="38" t="str">
        <f>VLOOKUP(B3836,CAJEROS!B:D,3,0)</f>
        <v>Multifuncional</v>
      </c>
      <c r="I3836" s="34" t="s">
        <v>9</v>
      </c>
      <c r="J3836" s="38" t="str">
        <f>VLOOKUP(B3836,CAJEROS!B:E,4,0)</f>
        <v>MF_MAICAO</v>
      </c>
      <c r="K3836" t="s">
        <v>579</v>
      </c>
    </row>
    <row r="3837" spans="1:11">
      <c r="A3837" s="32">
        <v>60</v>
      </c>
      <c r="B3837" s="33">
        <v>8728</v>
      </c>
      <c r="C3837" s="3">
        <v>1200000</v>
      </c>
      <c r="D3837" s="3">
        <v>372100</v>
      </c>
      <c r="E3837" s="7">
        <f t="shared" si="84"/>
        <v>827900</v>
      </c>
      <c r="F3837" s="5">
        <v>45908</v>
      </c>
      <c r="G3837" s="4">
        <v>20250907</v>
      </c>
      <c r="H3837" s="38" t="str">
        <f>VLOOKUP(B3837,CAJEROS!B:D,3,0)</f>
        <v>Multifuncional</v>
      </c>
      <c r="I3837" s="34" t="s">
        <v>9</v>
      </c>
      <c r="J3837" s="38" t="str">
        <f>VLOOKUP(B3837,CAJEROS!B:E,4,0)</f>
        <v>MF_HCALIPR2</v>
      </c>
      <c r="K3837" t="s">
        <v>579</v>
      </c>
    </row>
    <row r="3838" spans="1:11">
      <c r="A3838" s="32">
        <v>793</v>
      </c>
      <c r="B3838" s="33">
        <v>5216</v>
      </c>
      <c r="C3838" s="3">
        <v>1141100</v>
      </c>
      <c r="D3838" s="3"/>
      <c r="E3838" s="7">
        <f t="shared" si="84"/>
        <v>1141100</v>
      </c>
      <c r="F3838" s="5">
        <v>45908</v>
      </c>
      <c r="G3838" s="4">
        <v>20250907</v>
      </c>
      <c r="H3838" s="38" t="str">
        <f>VLOOKUP(B3838,CAJEROS!B:D,3,0)</f>
        <v>Multifuncional</v>
      </c>
      <c r="I3838" s="34" t="s">
        <v>9</v>
      </c>
      <c r="J3838" s="38" t="str">
        <f>VLOOKUP(B3838,CAJEROS!B:E,4,0)</f>
        <v>MF_PROFENAL</v>
      </c>
      <c r="K3838" t="s">
        <v>579</v>
      </c>
    </row>
    <row r="3839" spans="1:11">
      <c r="A3839" s="32">
        <v>108</v>
      </c>
      <c r="B3839" s="33">
        <v>2254</v>
      </c>
      <c r="C3839" s="3">
        <v>1088000</v>
      </c>
      <c r="D3839" s="3">
        <v>888000</v>
      </c>
      <c r="E3839" s="7">
        <f t="shared" si="84"/>
        <v>200000</v>
      </c>
      <c r="F3839" s="5">
        <v>45908</v>
      </c>
      <c r="G3839" s="4">
        <v>20250907</v>
      </c>
      <c r="H3839" s="38" t="str">
        <f>VLOOKUP(B3839,CAJEROS!B:D,3,0)</f>
        <v>Multifuncional</v>
      </c>
      <c r="I3839" s="34" t="s">
        <v>9</v>
      </c>
      <c r="J3839" s="38" t="str">
        <f>VLOOKUP(B3839,CAJEROS!B:E,4,0)</f>
        <v>MFSUCPAMER2</v>
      </c>
      <c r="K3839" t="s">
        <v>579</v>
      </c>
    </row>
    <row r="3840" spans="1:11">
      <c r="A3840" s="32">
        <v>866</v>
      </c>
      <c r="B3840" s="33">
        <v>8662</v>
      </c>
      <c r="C3840" s="3">
        <v>1051150</v>
      </c>
      <c r="D3840" s="3">
        <v>1049800</v>
      </c>
      <c r="E3840" s="7">
        <f t="shared" si="84"/>
        <v>1350</v>
      </c>
      <c r="F3840" s="5">
        <v>45908</v>
      </c>
      <c r="G3840" s="4">
        <v>20250907</v>
      </c>
      <c r="H3840" s="38" t="str">
        <f>VLOOKUP(B3840,CAJEROS!B:D,3,0)</f>
        <v>Multifuncional</v>
      </c>
      <c r="I3840" s="34" t="s">
        <v>9</v>
      </c>
      <c r="J3840" s="38" t="str">
        <f>VLOOKUP(B3840,CAJEROS!B:E,4,0)</f>
        <v>MF_FLORID3</v>
      </c>
      <c r="K3840" t="s">
        <v>579</v>
      </c>
    </row>
    <row r="3841" spans="1:11">
      <c r="A3841" s="32">
        <v>656</v>
      </c>
      <c r="B3841" s="33">
        <v>5103</v>
      </c>
      <c r="C3841" s="3">
        <v>1031000</v>
      </c>
      <c r="D3841" s="3">
        <v>692950</v>
      </c>
      <c r="E3841" s="7">
        <f t="shared" si="84"/>
        <v>338050</v>
      </c>
      <c r="F3841" s="5">
        <v>45908</v>
      </c>
      <c r="G3841" s="4">
        <v>20250907</v>
      </c>
      <c r="H3841" s="38" t="str">
        <f>VLOOKUP(B3841,CAJEROS!B:D,3,0)</f>
        <v>Multifuncional</v>
      </c>
      <c r="I3841" s="34" t="s">
        <v>9</v>
      </c>
      <c r="J3841" s="38" t="str">
        <f>VLOOKUP(B3841,CAJEROS!B:E,4,0)</f>
        <v>MF_MAYPLAZA</v>
      </c>
      <c r="K3841" t="s">
        <v>579</v>
      </c>
    </row>
    <row r="3842" spans="1:11">
      <c r="A3842" s="32">
        <v>352</v>
      </c>
      <c r="B3842" s="33">
        <v>6618</v>
      </c>
      <c r="C3842" s="3">
        <v>954000</v>
      </c>
      <c r="D3842" s="3"/>
      <c r="E3842" s="7">
        <f t="shared" si="84"/>
        <v>954000</v>
      </c>
      <c r="F3842" s="5">
        <v>45908</v>
      </c>
      <c r="G3842" s="4">
        <v>20250907</v>
      </c>
      <c r="H3842" s="38" t="str">
        <f>VLOOKUP(B3842,CAJEROS!B:D,3,0)</f>
        <v>Multifuncional</v>
      </c>
      <c r="I3842" s="34" t="s">
        <v>9</v>
      </c>
      <c r="J3842" s="38" t="str">
        <f>VLOOKUP(B3842,CAJEROS!B:E,4,0)</f>
        <v>MF_CHIQUINQ</v>
      </c>
      <c r="K3842" t="s">
        <v>579</v>
      </c>
    </row>
    <row r="3843" spans="1:11">
      <c r="A3843" s="32">
        <v>957</v>
      </c>
      <c r="B3843" s="33">
        <v>9512</v>
      </c>
      <c r="C3843" s="3">
        <v>840000</v>
      </c>
      <c r="D3843" s="3">
        <v>344000</v>
      </c>
      <c r="E3843" s="7">
        <f t="shared" si="84"/>
        <v>496000</v>
      </c>
      <c r="F3843" s="5">
        <v>45908</v>
      </c>
      <c r="G3843" s="4">
        <v>20250907</v>
      </c>
      <c r="H3843" s="38" t="str">
        <f>VLOOKUP(B3843,CAJEROS!B:D,3,0)</f>
        <v>Multifuncional</v>
      </c>
      <c r="I3843" s="34" t="s">
        <v>9</v>
      </c>
      <c r="J3843" s="38" t="str">
        <f>VLOOKUP(B3843,CAJEROS!B:E,4,0)</f>
        <v>MFSUCPARAL1</v>
      </c>
      <c r="K3843" t="s">
        <v>579</v>
      </c>
    </row>
    <row r="3844" spans="1:11">
      <c r="A3844" s="32">
        <v>606</v>
      </c>
      <c r="B3844" s="33">
        <v>5201</v>
      </c>
      <c r="C3844" s="3">
        <v>620000</v>
      </c>
      <c r="D3844" s="3"/>
      <c r="E3844" s="7">
        <f t="shared" si="84"/>
        <v>620000</v>
      </c>
      <c r="F3844" s="5">
        <v>45908</v>
      </c>
      <c r="G3844" s="4">
        <v>20250907</v>
      </c>
      <c r="H3844" s="38" t="str">
        <f>VLOOKUP(B3844,CAJEROS!B:D,3,0)</f>
        <v>Multifuncional</v>
      </c>
      <c r="I3844" s="34" t="s">
        <v>9</v>
      </c>
      <c r="J3844" s="38" t="str">
        <f>VLOOKUP(B3844,CAJEROS!B:E,4,0)</f>
        <v>MF_UNITUNJA</v>
      </c>
      <c r="K3844" t="s">
        <v>579</v>
      </c>
    </row>
    <row r="3845" spans="1:11">
      <c r="A3845" s="32">
        <v>291</v>
      </c>
      <c r="B3845" s="33">
        <v>8139</v>
      </c>
      <c r="C3845" s="3">
        <v>600000</v>
      </c>
      <c r="D3845" s="3"/>
      <c r="E3845" s="7">
        <f t="shared" si="84"/>
        <v>600000</v>
      </c>
      <c r="F3845" s="5">
        <v>45908</v>
      </c>
      <c r="G3845" s="4">
        <v>20250907</v>
      </c>
      <c r="H3845" s="38" t="str">
        <f>VLOOKUP(B3845,CAJEROS!B:D,3,0)</f>
        <v>Multifuncional</v>
      </c>
      <c r="I3845" s="34" t="s">
        <v>9</v>
      </c>
      <c r="J3845" s="38" t="str">
        <f>VLOOKUP(B3845,CAJEROS!B:E,4,0)</f>
        <v>MF_LPALMAS2</v>
      </c>
      <c r="K3845" t="s">
        <v>579</v>
      </c>
    </row>
    <row r="3846" spans="1:11">
      <c r="A3846" s="32">
        <v>816</v>
      </c>
      <c r="B3846" s="33">
        <v>5205</v>
      </c>
      <c r="C3846" s="3">
        <v>191000</v>
      </c>
      <c r="D3846" s="3"/>
      <c r="E3846" s="7">
        <f t="shared" si="84"/>
        <v>191000</v>
      </c>
      <c r="F3846" s="5">
        <v>45908</v>
      </c>
      <c r="G3846" s="4">
        <v>20250907</v>
      </c>
      <c r="H3846" s="38" t="str">
        <f>VLOOKUP(B3846,CAJEROS!B:D,3,0)</f>
        <v>Multifuncional</v>
      </c>
      <c r="I3846" s="34" t="s">
        <v>9</v>
      </c>
      <c r="J3846" s="38" t="str">
        <f>VLOOKUP(B3846,CAJEROS!B:E,4,0)</f>
        <v>MF_SUCLLE10</v>
      </c>
      <c r="K3846" t="s">
        <v>579</v>
      </c>
    </row>
    <row r="3847" spans="1:11">
      <c r="A3847" s="32">
        <v>322</v>
      </c>
      <c r="B3847" s="33">
        <v>2444</v>
      </c>
      <c r="C3847" s="3">
        <v>50000</v>
      </c>
      <c r="D3847" s="3"/>
      <c r="E3847" s="7">
        <f t="shared" si="84"/>
        <v>50000</v>
      </c>
      <c r="F3847" s="5">
        <v>45908</v>
      </c>
      <c r="G3847" s="4">
        <v>20250907</v>
      </c>
      <c r="H3847" s="38" t="str">
        <f>VLOOKUP(B3847,CAJEROS!B:D,3,0)</f>
        <v>Multifuncional</v>
      </c>
      <c r="I3847" s="34" t="s">
        <v>9</v>
      </c>
      <c r="J3847" s="38" t="str">
        <f>VLOOKUP(B3847,CAJEROS!B:E,4,0)</f>
        <v>MFSUCSNGIL1</v>
      </c>
      <c r="K3847" t="s">
        <v>579</v>
      </c>
    </row>
    <row r="3848" spans="1:11">
      <c r="A3848" s="32">
        <v>115</v>
      </c>
      <c r="B3848" s="33">
        <v>5080</v>
      </c>
      <c r="C3848" s="3">
        <v>43000</v>
      </c>
      <c r="D3848" s="3">
        <v>40000</v>
      </c>
      <c r="E3848" s="7">
        <f t="shared" si="84"/>
        <v>3000</v>
      </c>
      <c r="F3848" s="5">
        <v>45908</v>
      </c>
      <c r="G3848" s="4">
        <v>20250907</v>
      </c>
      <c r="H3848" s="38" t="str">
        <f>VLOOKUP(B3848,CAJEROS!B:D,3,0)</f>
        <v>Multifuncional</v>
      </c>
      <c r="I3848" s="34" t="s">
        <v>9</v>
      </c>
      <c r="J3848" s="38" t="str">
        <f>VLOOKUP(B3848,CAJEROS!B:E,4,0)</f>
        <v>MF_CIPEREIR</v>
      </c>
      <c r="K3848" t="s">
        <v>579</v>
      </c>
    </row>
    <row r="3849" spans="1:11">
      <c r="A3849" s="32">
        <v>4</v>
      </c>
      <c r="B3849" s="33">
        <v>8630</v>
      </c>
      <c r="C3849" s="3">
        <v>12000</v>
      </c>
      <c r="D3849" s="3"/>
      <c r="E3849" s="7">
        <f t="shared" si="84"/>
        <v>12000</v>
      </c>
      <c r="F3849" s="5">
        <v>45909</v>
      </c>
      <c r="G3849" s="4">
        <v>20250908</v>
      </c>
      <c r="H3849" s="38" t="str">
        <f>VLOOKUP(B3849,CAJEROS!B:D,3,0)</f>
        <v>Multifuncional</v>
      </c>
      <c r="I3849" s="34"/>
      <c r="J3849" s="38" t="str">
        <f>VLOOKUP(B3849,CAJEROS!B:E,4,0)</f>
        <v>MF_SUCLAUR1</v>
      </c>
      <c r="K3849" t="s">
        <v>579</v>
      </c>
    </row>
    <row r="3850" spans="1:11">
      <c r="A3850" s="32">
        <v>60</v>
      </c>
      <c r="B3850" s="33">
        <v>8728</v>
      </c>
      <c r="C3850" s="3">
        <v>1708000</v>
      </c>
      <c r="D3850" s="3"/>
      <c r="E3850" s="7">
        <f t="shared" si="84"/>
        <v>1708000</v>
      </c>
      <c r="F3850" s="5">
        <v>45909</v>
      </c>
      <c r="G3850" s="4">
        <v>20250908</v>
      </c>
      <c r="H3850" s="38" t="str">
        <f>VLOOKUP(B3850,CAJEROS!B:D,3,0)</f>
        <v>Multifuncional</v>
      </c>
      <c r="I3850" s="34"/>
      <c r="J3850" s="38" t="str">
        <f>VLOOKUP(B3850,CAJEROS!B:E,4,0)</f>
        <v>MF_HCALIPR2</v>
      </c>
      <c r="K3850" t="s">
        <v>579</v>
      </c>
    </row>
    <row r="3851" spans="1:11">
      <c r="A3851" s="32">
        <v>60</v>
      </c>
      <c r="B3851" s="33">
        <v>8729</v>
      </c>
      <c r="C3851" s="3">
        <v>500000</v>
      </c>
      <c r="D3851" s="3">
        <v>140000</v>
      </c>
      <c r="E3851" s="7">
        <f t="shared" si="84"/>
        <v>360000</v>
      </c>
      <c r="F3851" s="5">
        <v>45909</v>
      </c>
      <c r="G3851" s="4">
        <v>20250908</v>
      </c>
      <c r="H3851" s="38" t="str">
        <f>VLOOKUP(B3851,CAJEROS!B:D,3,0)</f>
        <v>Multifuncional</v>
      </c>
      <c r="I3851" s="34"/>
      <c r="J3851" s="38" t="str">
        <f>VLOOKUP(B3851,CAJEROS!B:E,4,0)</f>
        <v>MF_HCALIPR3</v>
      </c>
      <c r="K3851" t="s">
        <v>579</v>
      </c>
    </row>
    <row r="3852" spans="1:11">
      <c r="A3852" s="32">
        <v>91</v>
      </c>
      <c r="B3852" s="33">
        <v>7943</v>
      </c>
      <c r="C3852" s="3">
        <v>16898000</v>
      </c>
      <c r="D3852" s="3">
        <v>3000000</v>
      </c>
      <c r="E3852" s="7">
        <f t="shared" si="84"/>
        <v>13898000</v>
      </c>
      <c r="F3852" s="5">
        <v>45909</v>
      </c>
      <c r="G3852" s="4">
        <v>20250908</v>
      </c>
      <c r="H3852" s="38" t="str">
        <f>VLOOKUP(B3852,CAJEROS!B:D,3,0)</f>
        <v>Multifuncional</v>
      </c>
      <c r="I3852" s="34"/>
      <c r="J3852" s="38" t="str">
        <f>VLOOKUP(B3852,CAJEROS!B:E,4,0)</f>
        <v>MF_MONTERI2</v>
      </c>
      <c r="K3852" t="s">
        <v>579</v>
      </c>
    </row>
    <row r="3853" spans="1:11">
      <c r="A3853" s="32">
        <v>96</v>
      </c>
      <c r="B3853" s="33">
        <v>6735</v>
      </c>
      <c r="C3853" s="3">
        <v>879400</v>
      </c>
      <c r="D3853" s="3">
        <f>135000+67000</f>
        <v>202000</v>
      </c>
      <c r="E3853" s="7">
        <f t="shared" si="84"/>
        <v>677400</v>
      </c>
      <c r="F3853" s="5">
        <v>45909</v>
      </c>
      <c r="G3853" s="4">
        <v>20250908</v>
      </c>
      <c r="H3853" s="38" t="str">
        <f>VLOOKUP(B3853,CAJEROS!B:D,3,0)</f>
        <v>Multifuncional</v>
      </c>
      <c r="I3853" s="34"/>
      <c r="J3853" s="38" t="str">
        <f>VLOOKUP(B3853,CAJEROS!B:E,4,0)</f>
        <v>MF_MAICAO</v>
      </c>
      <c r="K3853" t="s">
        <v>579</v>
      </c>
    </row>
    <row r="3854" spans="1:11">
      <c r="A3854" s="32">
        <v>198</v>
      </c>
      <c r="B3854" s="33">
        <v>5179</v>
      </c>
      <c r="C3854" s="3">
        <v>200</v>
      </c>
      <c r="D3854" s="3"/>
      <c r="E3854" s="7">
        <f t="shared" si="84"/>
        <v>200</v>
      </c>
      <c r="F3854" s="5">
        <v>45909</v>
      </c>
      <c r="G3854" s="4">
        <v>20250908</v>
      </c>
      <c r="H3854" s="38" t="str">
        <f>VLOOKUP(B3854,CAJEROS!B:D,3,0)</f>
        <v>Multifuncional</v>
      </c>
      <c r="I3854" s="34"/>
      <c r="J3854" s="38" t="str">
        <f>VLOOKUP(B3854,CAJEROS!B:E,4,0)</f>
        <v>MF_CENTSUBA</v>
      </c>
      <c r="K3854" t="s">
        <v>579</v>
      </c>
    </row>
    <row r="3855" spans="1:11">
      <c r="A3855" s="32">
        <v>348</v>
      </c>
      <c r="B3855" s="33">
        <v>9009</v>
      </c>
      <c r="C3855" s="3">
        <v>446000</v>
      </c>
      <c r="D3855" s="3"/>
      <c r="E3855" s="7">
        <f t="shared" si="84"/>
        <v>446000</v>
      </c>
      <c r="F3855" s="5">
        <v>45909</v>
      </c>
      <c r="G3855" s="4">
        <v>20250908</v>
      </c>
      <c r="H3855" s="38" t="str">
        <f>VLOOKUP(B3855,CAJEROS!B:D,3,0)</f>
        <v>Multifuncional</v>
      </c>
      <c r="I3855" s="34"/>
      <c r="J3855" s="38" t="str">
        <f>VLOOKUP(B3855,CAJEROS!B:E,4,0)</f>
        <v>MF_SANDRES2</v>
      </c>
      <c r="K3855" t="s">
        <v>579</v>
      </c>
    </row>
    <row r="3856" spans="1:11">
      <c r="A3856" s="32">
        <v>430</v>
      </c>
      <c r="B3856" s="33">
        <v>5104</v>
      </c>
      <c r="C3856" s="3">
        <v>18900</v>
      </c>
      <c r="D3856" s="3"/>
      <c r="E3856" s="7">
        <f t="shared" si="84"/>
        <v>18900</v>
      </c>
      <c r="F3856" s="5">
        <v>45909</v>
      </c>
      <c r="G3856" s="4">
        <v>20250908</v>
      </c>
      <c r="H3856" s="38" t="str">
        <f>VLOOKUP(B3856,CAJEROS!B:D,3,0)</f>
        <v>Multifuncional</v>
      </c>
      <c r="I3856" s="34"/>
      <c r="J3856" s="38" t="str">
        <f>VLOOKUP(B3856,CAJEROS!B:E,4,0)</f>
        <v>MF_ZONAROSA</v>
      </c>
      <c r="K3856" t="s">
        <v>579</v>
      </c>
    </row>
    <row r="3857" spans="1:11">
      <c r="A3857" s="32">
        <v>467</v>
      </c>
      <c r="B3857" s="33">
        <v>9051</v>
      </c>
      <c r="C3857" s="3">
        <v>5782900</v>
      </c>
      <c r="D3857" s="3">
        <v>5773250</v>
      </c>
      <c r="E3857" s="7">
        <f t="shared" si="84"/>
        <v>9650</v>
      </c>
      <c r="F3857" s="5">
        <v>45909</v>
      </c>
      <c r="G3857" s="4">
        <v>20250908</v>
      </c>
      <c r="H3857" s="38" t="str">
        <f>VLOOKUP(B3857,CAJEROS!B:D,3,0)</f>
        <v>Multifuncional</v>
      </c>
      <c r="I3857" s="34"/>
      <c r="J3857" s="38" t="str">
        <f>VLOOKUP(B3857,CAJEROS!B:E,4,0)</f>
        <v>MFHDVERPLZ1</v>
      </c>
      <c r="K3857" t="s">
        <v>579</v>
      </c>
    </row>
    <row r="3858" spans="1:11">
      <c r="A3858" s="32">
        <v>495</v>
      </c>
      <c r="B3858" s="33">
        <v>8482</v>
      </c>
      <c r="C3858" s="3">
        <v>2000000</v>
      </c>
      <c r="D3858" s="3">
        <v>590000</v>
      </c>
      <c r="E3858" s="7">
        <f t="shared" si="84"/>
        <v>1410000</v>
      </c>
      <c r="F3858" s="5">
        <v>45909</v>
      </c>
      <c r="G3858" s="4">
        <v>20250908</v>
      </c>
      <c r="H3858" s="38" t="str">
        <f>VLOOKUP(B3858,CAJEROS!B:D,3,0)</f>
        <v>Multifuncional</v>
      </c>
      <c r="I3858" s="34"/>
      <c r="J3858" s="38" t="str">
        <f>VLOOKUP(B3858,CAJEROS!B:E,4,0)</f>
        <v>MF_SUCBOSQ1</v>
      </c>
      <c r="K3858" t="s">
        <v>579</v>
      </c>
    </row>
    <row r="3859" spans="1:11">
      <c r="A3859" s="32">
        <v>781</v>
      </c>
      <c r="B3859" s="33">
        <v>5057</v>
      </c>
      <c r="C3859" s="3">
        <v>8902000</v>
      </c>
      <c r="D3859" s="3"/>
      <c r="E3859" s="7">
        <f t="shared" si="84"/>
        <v>8902000</v>
      </c>
      <c r="F3859" s="5">
        <v>45909</v>
      </c>
      <c r="G3859" s="4">
        <v>20250908</v>
      </c>
      <c r="H3859" s="38" t="str">
        <f>VLOOKUP(B3859,CAJEROS!B:D,3,0)</f>
        <v>Multifuncional</v>
      </c>
      <c r="I3859" s="34"/>
      <c r="J3859" s="38" t="str">
        <f>VLOOKUP(B3859,CAJEROS!B:E,4,0)</f>
        <v>MF_PRPLAZA</v>
      </c>
      <c r="K3859" t="s">
        <v>579</v>
      </c>
    </row>
    <row r="3860" spans="1:11">
      <c r="A3860" s="32">
        <v>879</v>
      </c>
      <c r="B3860" s="33">
        <v>5045</v>
      </c>
      <c r="C3860" s="3">
        <v>10601800</v>
      </c>
      <c r="D3860" s="3"/>
      <c r="E3860" s="7">
        <f t="shared" si="84"/>
        <v>10601800</v>
      </c>
      <c r="F3860" s="5">
        <v>45909</v>
      </c>
      <c r="G3860" s="4">
        <v>20250908</v>
      </c>
      <c r="H3860" s="38" t="str">
        <f>VLOOKUP(B3860,CAJEROS!B:D,3,0)</f>
        <v>Multifuncional</v>
      </c>
      <c r="I3860" s="34"/>
      <c r="J3860" s="38" t="str">
        <f>VLOOKUP(B3860,CAJEROS!B:E,4,0)</f>
        <v>MF_UNPASTO</v>
      </c>
      <c r="K3860" t="s">
        <v>579</v>
      </c>
    </row>
    <row r="3861" spans="1:11">
      <c r="A3861" s="32">
        <v>894</v>
      </c>
      <c r="B3861" s="33">
        <v>6466</v>
      </c>
      <c r="C3861" s="3">
        <v>12360000</v>
      </c>
      <c r="D3861" s="3">
        <v>11050000</v>
      </c>
      <c r="E3861" s="7">
        <f t="shared" si="84"/>
        <v>1310000</v>
      </c>
      <c r="F3861" s="5">
        <v>45909</v>
      </c>
      <c r="G3861" s="4">
        <v>20250908</v>
      </c>
      <c r="H3861" s="38" t="str">
        <f>VLOOKUP(B3861,CAJEROS!B:D,3,0)</f>
        <v>Multifuncional</v>
      </c>
      <c r="I3861" s="34"/>
      <c r="J3861" s="38" t="str">
        <f>VLOOKUP(B3861,CAJEROS!B:E,4,0)</f>
        <v>MF_TUMACO</v>
      </c>
      <c r="K3861" t="s">
        <v>579</v>
      </c>
    </row>
    <row r="3862" spans="1:11">
      <c r="A3862" s="32">
        <v>915</v>
      </c>
      <c r="B3862" s="33">
        <v>8313</v>
      </c>
      <c r="C3862" s="3">
        <v>11650</v>
      </c>
      <c r="D3862" s="3"/>
      <c r="E3862" s="7">
        <f t="shared" ref="E3862:E3925" si="85">+C3862-D3862</f>
        <v>11650</v>
      </c>
      <c r="F3862" s="5">
        <v>45909</v>
      </c>
      <c r="G3862" s="4">
        <v>20250908</v>
      </c>
      <c r="H3862" s="38" t="str">
        <f>VLOOKUP(B3862,CAJEROS!B:D,3,0)</f>
        <v>Multifuncional</v>
      </c>
      <c r="I3862" s="34"/>
      <c r="J3862" s="38" t="str">
        <f>VLOOKUP(B3862,CAJEROS!B:E,4,0)</f>
        <v>MF_BANLABB1</v>
      </c>
      <c r="K3862" t="s">
        <v>579</v>
      </c>
    </row>
    <row r="3863" spans="1:11">
      <c r="A3863" s="32">
        <v>623</v>
      </c>
      <c r="B3863" s="33">
        <v>7375</v>
      </c>
      <c r="C3863" s="3">
        <v>3633000</v>
      </c>
      <c r="D3863" s="3">
        <v>3630000</v>
      </c>
      <c r="E3863" s="7">
        <f t="shared" si="85"/>
        <v>3000</v>
      </c>
      <c r="F3863" s="5">
        <v>45909</v>
      </c>
      <c r="G3863" s="4">
        <v>20250908</v>
      </c>
      <c r="H3863" s="38" t="str">
        <f>VLOOKUP(B3863,CAJEROS!B:D,3,0)</f>
        <v>Multifuncional</v>
      </c>
      <c r="I3863" s="34" t="s">
        <v>9</v>
      </c>
      <c r="J3863" s="38" t="str">
        <f>VLOOKUP(B3863,CAJEROS!B:E,4,0)</f>
        <v>MF_FUNDMAN2</v>
      </c>
      <c r="K3863" t="s">
        <v>579</v>
      </c>
    </row>
    <row r="3864" spans="1:11">
      <c r="A3864" s="32">
        <v>244</v>
      </c>
      <c r="B3864" s="33">
        <v>5129</v>
      </c>
      <c r="C3864" s="3">
        <v>3020000</v>
      </c>
      <c r="D3864" s="3">
        <f>1492000+1307000</f>
        <v>2799000</v>
      </c>
      <c r="E3864" s="7">
        <f t="shared" si="85"/>
        <v>221000</v>
      </c>
      <c r="F3864" s="5">
        <v>45909</v>
      </c>
      <c r="G3864" s="4">
        <v>20250908</v>
      </c>
      <c r="H3864" s="38" t="str">
        <f>VLOOKUP(B3864,CAJEROS!B:D,3,0)</f>
        <v>Multifuncional</v>
      </c>
      <c r="I3864" s="34" t="s">
        <v>9</v>
      </c>
      <c r="J3864" s="38" t="str">
        <f>VLOOKUP(B3864,CAJEROS!B:E,4,0)</f>
        <v>MF_TRIGALAN</v>
      </c>
      <c r="K3864" t="s">
        <v>579</v>
      </c>
    </row>
    <row r="3865" spans="1:11">
      <c r="A3865" s="32">
        <v>20</v>
      </c>
      <c r="B3865" s="33">
        <v>8927</v>
      </c>
      <c r="C3865" s="3">
        <v>2810000</v>
      </c>
      <c r="D3865" s="3"/>
      <c r="E3865" s="7">
        <f t="shared" si="85"/>
        <v>2810000</v>
      </c>
      <c r="F3865" s="5">
        <v>45909</v>
      </c>
      <c r="G3865" s="4">
        <v>20250908</v>
      </c>
      <c r="H3865" s="38" t="str">
        <f>VLOOKUP(B3865,CAJEROS!B:D,3,0)</f>
        <v>Multifuncional</v>
      </c>
      <c r="I3865" s="34" t="s">
        <v>9</v>
      </c>
      <c r="J3865" s="38" t="str">
        <f>VLOOKUP(B3865,CAJEROS!B:E,4,0)</f>
        <v>MFSUCBUCMG2</v>
      </c>
      <c r="K3865" t="s">
        <v>579</v>
      </c>
    </row>
    <row r="3866" spans="1:11">
      <c r="A3866" s="32">
        <v>499</v>
      </c>
      <c r="B3866" s="33">
        <v>9810</v>
      </c>
      <c r="C3866" s="3">
        <v>2623900</v>
      </c>
      <c r="D3866" s="3">
        <v>100000</v>
      </c>
      <c r="E3866" s="7">
        <f t="shared" si="85"/>
        <v>2523900</v>
      </c>
      <c r="F3866" s="5">
        <v>45909</v>
      </c>
      <c r="G3866" s="4">
        <v>20250908</v>
      </c>
      <c r="H3866" s="38" t="str">
        <f>VLOOKUP(B3866,CAJEROS!B:D,3,0)</f>
        <v>Multifuncional</v>
      </c>
      <c r="I3866" s="34" t="s">
        <v>9</v>
      </c>
      <c r="J3866" s="38" t="str">
        <f>VLOOKUP(B3866,CAJEROS!B:E,4,0)</f>
        <v>MF_SUCPARF1</v>
      </c>
      <c r="K3866" t="s">
        <v>579</v>
      </c>
    </row>
    <row r="3867" spans="1:11">
      <c r="A3867" s="32">
        <v>556</v>
      </c>
      <c r="B3867" s="33">
        <v>8333</v>
      </c>
      <c r="C3867" s="3">
        <v>2560000</v>
      </c>
      <c r="D3867" s="3">
        <v>1925000</v>
      </c>
      <c r="E3867" s="7">
        <f t="shared" si="85"/>
        <v>635000</v>
      </c>
      <c r="F3867" s="5">
        <v>45909</v>
      </c>
      <c r="G3867" s="4">
        <v>20250908</v>
      </c>
      <c r="H3867" s="38" t="str">
        <f>VLOOKUP(B3867,CAJEROS!B:D,3,0)</f>
        <v>Multifuncional</v>
      </c>
      <c r="I3867" s="34" t="s">
        <v>9</v>
      </c>
      <c r="J3867" s="38" t="str">
        <f>VLOOKUP(B3867,CAJEROS!B:E,4,0)</f>
        <v>MF_SCARVIB1</v>
      </c>
      <c r="K3867" t="s">
        <v>579</v>
      </c>
    </row>
    <row r="3868" spans="1:11">
      <c r="A3868" s="32">
        <v>750</v>
      </c>
      <c r="B3868" s="33">
        <v>5157</v>
      </c>
      <c r="C3868" s="3">
        <v>2550000</v>
      </c>
      <c r="D3868" s="3"/>
      <c r="E3868" s="7">
        <f t="shared" si="85"/>
        <v>2550000</v>
      </c>
      <c r="F3868" s="5">
        <v>45909</v>
      </c>
      <c r="G3868" s="4">
        <v>20250908</v>
      </c>
      <c r="H3868" s="38" t="str">
        <f>VLOOKUP(B3868,CAJEROS!B:D,3,0)</f>
        <v>Multifuncional</v>
      </c>
      <c r="I3868" s="34" t="s">
        <v>9</v>
      </c>
      <c r="J3868" s="38" t="str">
        <f>VLOOKUP(B3868,CAJEROS!B:E,4,0)</f>
        <v>MF_AVROOSVL</v>
      </c>
      <c r="K3868" t="s">
        <v>579</v>
      </c>
    </row>
    <row r="3869" spans="1:11">
      <c r="A3869" s="32">
        <v>806</v>
      </c>
      <c r="B3869" s="33">
        <v>5156</v>
      </c>
      <c r="C3869" s="3">
        <v>2378600</v>
      </c>
      <c r="D3869" s="3">
        <v>1211000</v>
      </c>
      <c r="E3869" s="7">
        <f t="shared" si="85"/>
        <v>1167600</v>
      </c>
      <c r="F3869" s="5">
        <v>45909</v>
      </c>
      <c r="G3869" s="4">
        <v>20250908</v>
      </c>
      <c r="H3869" s="38" t="str">
        <f>VLOOKUP(B3869,CAJEROS!B:D,3,0)</f>
        <v>Multifuncional</v>
      </c>
      <c r="I3869" s="34" t="s">
        <v>9</v>
      </c>
      <c r="J3869" s="38" t="str">
        <f>VLOOKUP(B3869,CAJEROS!B:E,4,0)</f>
        <v>MF_ALZACIA</v>
      </c>
      <c r="K3869" t="s">
        <v>579</v>
      </c>
    </row>
    <row r="3870" spans="1:11">
      <c r="A3870" s="32">
        <v>941</v>
      </c>
      <c r="B3870" s="33">
        <v>5220</v>
      </c>
      <c r="C3870" s="3">
        <v>2352000</v>
      </c>
      <c r="D3870" s="3">
        <v>2350000</v>
      </c>
      <c r="E3870" s="7">
        <f t="shared" si="85"/>
        <v>2000</v>
      </c>
      <c r="F3870" s="5">
        <v>45909</v>
      </c>
      <c r="G3870" s="4">
        <v>20250908</v>
      </c>
      <c r="H3870" s="38" t="str">
        <f>VLOOKUP(B3870,CAJEROS!B:D,3,0)</f>
        <v>Multifuncional</v>
      </c>
      <c r="I3870" s="34" t="s">
        <v>9</v>
      </c>
      <c r="J3870" s="38" t="str">
        <f>VLOOKUP(B3870,CAJEROS!B:E,4,0)</f>
        <v>MF_NEIVANVA</v>
      </c>
      <c r="K3870" t="s">
        <v>579</v>
      </c>
    </row>
    <row r="3871" spans="1:11">
      <c r="A3871" s="32">
        <v>481</v>
      </c>
      <c r="B3871" s="33">
        <v>1010</v>
      </c>
      <c r="C3871" s="3">
        <v>2214000</v>
      </c>
      <c r="D3871" s="3"/>
      <c r="E3871" s="7">
        <f t="shared" si="85"/>
        <v>2214000</v>
      </c>
      <c r="F3871" s="5">
        <v>45909</v>
      </c>
      <c r="G3871" s="4">
        <v>20250908</v>
      </c>
      <c r="H3871" s="38" t="str">
        <f>VLOOKUP(B3871,CAJEROS!B:D,3,0)</f>
        <v>Multifuncional</v>
      </c>
      <c r="I3871" s="34" t="s">
        <v>9</v>
      </c>
      <c r="J3871" s="38" t="str">
        <f>VLOOKUP(B3871,CAJEROS!B:E,4,0)</f>
        <v>MF_SOLEDAD1</v>
      </c>
      <c r="K3871" t="s">
        <v>579</v>
      </c>
    </row>
    <row r="3872" spans="1:11">
      <c r="A3872" s="32">
        <v>291</v>
      </c>
      <c r="B3872" s="33">
        <v>8139</v>
      </c>
      <c r="C3872" s="3">
        <v>1876000</v>
      </c>
      <c r="D3872" s="3"/>
      <c r="E3872" s="7">
        <f t="shared" si="85"/>
        <v>1876000</v>
      </c>
      <c r="F3872" s="5">
        <v>45909</v>
      </c>
      <c r="G3872" s="4">
        <v>20250908</v>
      </c>
      <c r="H3872" s="38" t="str">
        <f>VLOOKUP(B3872,CAJEROS!B:D,3,0)</f>
        <v>Multifuncional</v>
      </c>
      <c r="I3872" s="34" t="s">
        <v>9</v>
      </c>
      <c r="J3872" s="38" t="str">
        <f>VLOOKUP(B3872,CAJEROS!B:E,4,0)</f>
        <v>MF_LPALMAS2</v>
      </c>
      <c r="K3872" t="s">
        <v>579</v>
      </c>
    </row>
    <row r="3873" spans="1:11">
      <c r="A3873" s="32">
        <v>318</v>
      </c>
      <c r="B3873" s="33">
        <v>7680</v>
      </c>
      <c r="C3873" s="3">
        <v>1639000</v>
      </c>
      <c r="D3873" s="3"/>
      <c r="E3873" s="7">
        <f t="shared" si="85"/>
        <v>1639000</v>
      </c>
      <c r="F3873" s="5">
        <v>45909</v>
      </c>
      <c r="G3873" s="4">
        <v>20250908</v>
      </c>
      <c r="H3873" s="38" t="str">
        <f>VLOOKUP(B3873,CAJEROS!B:D,3,0)</f>
        <v>Multifuncional</v>
      </c>
      <c r="I3873" s="34" t="s">
        <v>9</v>
      </c>
      <c r="J3873" s="38" t="str">
        <f>VLOOKUP(B3873,CAJEROS!B:E,4,0)</f>
        <v>MF_OCANA2</v>
      </c>
      <c r="K3873" t="s">
        <v>579</v>
      </c>
    </row>
    <row r="3874" spans="1:11">
      <c r="A3874" s="32">
        <v>944</v>
      </c>
      <c r="B3874" s="33">
        <v>8354</v>
      </c>
      <c r="C3874" s="3">
        <v>1523000</v>
      </c>
      <c r="D3874" s="3"/>
      <c r="E3874" s="7">
        <f t="shared" si="85"/>
        <v>1523000</v>
      </c>
      <c r="F3874" s="5">
        <v>45909</v>
      </c>
      <c r="G3874" s="4">
        <v>20250908</v>
      </c>
      <c r="H3874" s="38" t="str">
        <f>VLOOKUP(B3874,CAJEROS!B:D,3,0)</f>
        <v>Multifuncional</v>
      </c>
      <c r="I3874" s="34" t="s">
        <v>9</v>
      </c>
      <c r="J3874" s="38" t="str">
        <f>VLOOKUP(B3874,CAJEROS!B:E,4,0)</f>
        <v>MF_SANTABO2</v>
      </c>
      <c r="K3874" t="s">
        <v>579</v>
      </c>
    </row>
    <row r="3875" spans="1:11">
      <c r="A3875" s="32">
        <v>166</v>
      </c>
      <c r="B3875" s="33">
        <v>7940</v>
      </c>
      <c r="C3875" s="3">
        <v>1210000</v>
      </c>
      <c r="D3875" s="3">
        <v>240000</v>
      </c>
      <c r="E3875" s="7">
        <f t="shared" si="85"/>
        <v>970000</v>
      </c>
      <c r="F3875" s="5">
        <v>45909</v>
      </c>
      <c r="G3875" s="4">
        <v>20250908</v>
      </c>
      <c r="H3875" s="38" t="str">
        <f>VLOOKUP(B3875,CAJEROS!B:D,3,0)</f>
        <v>Multifuncional</v>
      </c>
      <c r="I3875" s="34" t="s">
        <v>9</v>
      </c>
      <c r="J3875" s="38" t="str">
        <f>VLOOKUP(B3875,CAJEROS!B:E,4,0)</f>
        <v>MF_ALDELS22</v>
      </c>
      <c r="K3875" t="s">
        <v>579</v>
      </c>
    </row>
    <row r="3876" spans="1:11">
      <c r="A3876" s="32">
        <v>825</v>
      </c>
      <c r="B3876" s="33">
        <v>5023</v>
      </c>
      <c r="C3876" s="3">
        <v>1107700</v>
      </c>
      <c r="D3876" s="3">
        <v>670000</v>
      </c>
      <c r="E3876" s="7">
        <f t="shared" si="85"/>
        <v>437700</v>
      </c>
      <c r="F3876" s="5">
        <v>45909</v>
      </c>
      <c r="G3876" s="4">
        <v>20250908</v>
      </c>
      <c r="H3876" s="38" t="str">
        <f>VLOOKUP(B3876,CAJEROS!B:D,3,0)</f>
        <v>Multifuncional</v>
      </c>
      <c r="I3876" s="34" t="s">
        <v>9</v>
      </c>
      <c r="J3876" s="38" t="str">
        <f>VLOOKUP(B3876,CAJEROS!B:E,4,0)</f>
        <v>MF_ASTROCEN</v>
      </c>
      <c r="K3876" t="s">
        <v>579</v>
      </c>
    </row>
    <row r="3877" spans="1:11">
      <c r="A3877" s="32">
        <v>261</v>
      </c>
      <c r="B3877" s="33">
        <v>5048</v>
      </c>
      <c r="C3877" s="3">
        <v>1030000</v>
      </c>
      <c r="D3877" s="3">
        <v>980000</v>
      </c>
      <c r="E3877" s="7">
        <f t="shared" si="85"/>
        <v>50000</v>
      </c>
      <c r="F3877" s="5">
        <v>45909</v>
      </c>
      <c r="G3877" s="4">
        <v>20250908</v>
      </c>
      <c r="H3877" s="38" t="str">
        <f>VLOOKUP(B3877,CAJEROS!B:D,3,0)</f>
        <v>Multifuncional</v>
      </c>
      <c r="I3877" s="34" t="s">
        <v>9</v>
      </c>
      <c r="J3877" s="38" t="str">
        <f>VLOOKUP(B3877,CAJEROS!B:E,4,0)</f>
        <v>MF_CAMPANA</v>
      </c>
      <c r="K3877" t="s">
        <v>579</v>
      </c>
    </row>
    <row r="3878" spans="1:11">
      <c r="A3878" s="32">
        <v>236</v>
      </c>
      <c r="B3878" s="33">
        <v>8497</v>
      </c>
      <c r="C3878" s="3">
        <v>1000000</v>
      </c>
      <c r="D3878" s="3"/>
      <c r="E3878" s="7">
        <f t="shared" si="85"/>
        <v>1000000</v>
      </c>
      <c r="F3878" s="5">
        <v>45909</v>
      </c>
      <c r="G3878" s="4">
        <v>20250908</v>
      </c>
      <c r="H3878" s="38" t="str">
        <f>VLOOKUP(B3878,CAJEROS!B:D,3,0)</f>
        <v>Multifuncional</v>
      </c>
      <c r="I3878" s="34" t="s">
        <v>9</v>
      </c>
      <c r="J3878" s="38" t="str">
        <f>VLOOKUP(B3878,CAJEROS!B:E,4,0)</f>
        <v>MF_EXITCOL2</v>
      </c>
      <c r="K3878" t="s">
        <v>579</v>
      </c>
    </row>
    <row r="3879" spans="1:11">
      <c r="A3879" s="32">
        <v>15</v>
      </c>
      <c r="B3879" s="33">
        <v>8576</v>
      </c>
      <c r="C3879" s="3">
        <v>905000</v>
      </c>
      <c r="D3879" s="3"/>
      <c r="E3879" s="7">
        <f t="shared" si="85"/>
        <v>905000</v>
      </c>
      <c r="F3879" s="5">
        <v>45909</v>
      </c>
      <c r="G3879" s="4">
        <v>20250908</v>
      </c>
      <c r="H3879" s="38" t="str">
        <f>VLOOKUP(B3879,CAJEROS!B:D,3,0)</f>
        <v>Multifuncional</v>
      </c>
      <c r="I3879" s="34" t="s">
        <v>9</v>
      </c>
      <c r="J3879" s="38" t="str">
        <f>VLOOKUP(B3879,CAJEROS!B:E,4,0)</f>
        <v>MF_HITAGUI1</v>
      </c>
      <c r="K3879" t="s">
        <v>579</v>
      </c>
    </row>
    <row r="3880" spans="1:11">
      <c r="A3880" s="32">
        <v>91</v>
      </c>
      <c r="B3880" s="33">
        <v>5148</v>
      </c>
      <c r="C3880" s="3">
        <v>860000</v>
      </c>
      <c r="D3880" s="3">
        <v>605000</v>
      </c>
      <c r="E3880" s="7">
        <f t="shared" si="85"/>
        <v>255000</v>
      </c>
      <c r="F3880" s="5">
        <v>45909</v>
      </c>
      <c r="G3880" s="4">
        <v>20250908</v>
      </c>
      <c r="H3880" s="38" t="str">
        <f>VLOOKUP(B3880,CAJEROS!B:D,3,0)</f>
        <v>Multifuncional</v>
      </c>
      <c r="I3880" s="34" t="s">
        <v>9</v>
      </c>
      <c r="J3880" s="38" t="str">
        <f>VLOOKUP(B3880,CAJEROS!B:E,4,0)</f>
        <v>MF_MONTERIA</v>
      </c>
      <c r="K3880" t="s">
        <v>579</v>
      </c>
    </row>
    <row r="3881" spans="1:11">
      <c r="A3881" s="32">
        <v>40</v>
      </c>
      <c r="B3881" s="33">
        <v>5142</v>
      </c>
      <c r="C3881" s="3">
        <v>770000</v>
      </c>
      <c r="D3881" s="3"/>
      <c r="E3881" s="7">
        <f t="shared" si="85"/>
        <v>770000</v>
      </c>
      <c r="F3881" s="5">
        <v>45909</v>
      </c>
      <c r="G3881" s="4">
        <v>20250908</v>
      </c>
      <c r="H3881" s="38" t="str">
        <f>VLOOKUP(B3881,CAJEROS!B:D,3,0)</f>
        <v>Multifuncional</v>
      </c>
      <c r="I3881" s="34" t="s">
        <v>9</v>
      </c>
      <c r="J3881" s="38" t="str">
        <f>VLOOKUP(B3881,CAJEROS!B:E,4,0)</f>
        <v>MF_CENTRO93</v>
      </c>
      <c r="K3881" t="s">
        <v>579</v>
      </c>
    </row>
    <row r="3882" spans="1:11">
      <c r="A3882" s="32">
        <v>516</v>
      </c>
      <c r="B3882" s="33">
        <v>9729</v>
      </c>
      <c r="C3882" s="3">
        <v>705000</v>
      </c>
      <c r="D3882" s="3"/>
      <c r="E3882" s="7">
        <f t="shared" si="85"/>
        <v>705000</v>
      </c>
      <c r="F3882" s="5">
        <v>45909</v>
      </c>
      <c r="G3882" s="4">
        <v>20250908</v>
      </c>
      <c r="H3882" s="38" t="str">
        <f>VLOOKUP(B3882,CAJEROS!B:D,3,0)</f>
        <v>Multifuncional</v>
      </c>
      <c r="I3882" s="34" t="s">
        <v>9</v>
      </c>
      <c r="J3882" s="38" t="str">
        <f>VLOOKUP(B3882,CAJEROS!B:E,4,0)</f>
        <v>MF_SUCSTAM1</v>
      </c>
      <c r="K3882" t="s">
        <v>579</v>
      </c>
    </row>
    <row r="3883" spans="1:11">
      <c r="A3883" s="32">
        <v>363</v>
      </c>
      <c r="B3883" s="33">
        <v>5168</v>
      </c>
      <c r="C3883" s="3">
        <v>620500</v>
      </c>
      <c r="D3883" s="3">
        <v>616450</v>
      </c>
      <c r="E3883" s="7">
        <f t="shared" si="85"/>
        <v>4050</v>
      </c>
      <c r="F3883" s="5">
        <v>45909</v>
      </c>
      <c r="G3883" s="4">
        <v>20250908</v>
      </c>
      <c r="H3883" s="38" t="str">
        <f>VLOOKUP(B3883,CAJEROS!B:D,3,0)</f>
        <v>Multifuncional</v>
      </c>
      <c r="I3883" s="34" t="s">
        <v>9</v>
      </c>
      <c r="J3883" s="38" t="str">
        <f>VLOOKUP(B3883,CAJEROS!B:E,4,0)</f>
        <v>MF_YOPAL</v>
      </c>
      <c r="K3883" t="s">
        <v>579</v>
      </c>
    </row>
    <row r="3884" spans="1:11">
      <c r="A3884" s="32">
        <v>667</v>
      </c>
      <c r="B3884" s="33">
        <v>5167</v>
      </c>
      <c r="C3884" s="3">
        <v>580000</v>
      </c>
      <c r="D3884" s="3">
        <v>470000</v>
      </c>
      <c r="E3884" s="7">
        <f t="shared" si="85"/>
        <v>110000</v>
      </c>
      <c r="F3884" s="5">
        <v>45909</v>
      </c>
      <c r="G3884" s="4">
        <v>20250908</v>
      </c>
      <c r="H3884" s="38" t="str">
        <f>VLOOKUP(B3884,CAJEROS!B:D,3,0)</f>
        <v>Multifuncional</v>
      </c>
      <c r="I3884" s="34" t="s">
        <v>9</v>
      </c>
      <c r="J3884" s="38" t="str">
        <f>VLOOKUP(B3884,CAJEROS!B:E,4,0)</f>
        <v>MF_VALVANE1</v>
      </c>
      <c r="K3884" t="s">
        <v>579</v>
      </c>
    </row>
    <row r="3885" spans="1:11">
      <c r="A3885" s="32">
        <v>816</v>
      </c>
      <c r="B3885" s="33">
        <v>5205</v>
      </c>
      <c r="C3885" s="3">
        <v>515000</v>
      </c>
      <c r="D3885" s="3"/>
      <c r="E3885" s="7">
        <f t="shared" si="85"/>
        <v>515000</v>
      </c>
      <c r="F3885" s="5">
        <v>45909</v>
      </c>
      <c r="G3885" s="4">
        <v>20250908</v>
      </c>
      <c r="H3885" s="38" t="str">
        <f>VLOOKUP(B3885,CAJEROS!B:D,3,0)</f>
        <v>Multifuncional</v>
      </c>
      <c r="I3885" s="34" t="s">
        <v>9</v>
      </c>
      <c r="J3885" s="38" t="str">
        <f>VLOOKUP(B3885,CAJEROS!B:E,4,0)</f>
        <v>MF_SUCLLE10</v>
      </c>
      <c r="K3885" t="s">
        <v>579</v>
      </c>
    </row>
    <row r="3886" spans="1:11">
      <c r="A3886" s="32">
        <v>551</v>
      </c>
      <c r="B3886" s="33">
        <v>9643</v>
      </c>
      <c r="C3886" s="3">
        <v>360000</v>
      </c>
      <c r="D3886" s="3">
        <v>325400</v>
      </c>
      <c r="E3886" s="7">
        <f t="shared" si="85"/>
        <v>34600</v>
      </c>
      <c r="F3886" s="5">
        <v>45909</v>
      </c>
      <c r="G3886" s="4">
        <v>20250908</v>
      </c>
      <c r="H3886" s="38" t="str">
        <f>VLOOKUP(B3886,CAJEROS!B:D,3,0)</f>
        <v>Multifuncional</v>
      </c>
      <c r="I3886" s="34" t="s">
        <v>9</v>
      </c>
      <c r="J3886" s="38" t="str">
        <f>VLOOKUP(B3886,CAJEROS!B:E,4,0)</f>
        <v>MFSUCUNIME1</v>
      </c>
      <c r="K3886" t="s">
        <v>579</v>
      </c>
    </row>
    <row r="3887" spans="1:11">
      <c r="A3887" s="32">
        <v>31</v>
      </c>
      <c r="B3887" s="33">
        <v>8737</v>
      </c>
      <c r="C3887" s="3">
        <v>350000</v>
      </c>
      <c r="D3887" s="3"/>
      <c r="E3887" s="7">
        <f t="shared" si="85"/>
        <v>350000</v>
      </c>
      <c r="F3887" s="5">
        <v>45909</v>
      </c>
      <c r="G3887" s="4">
        <v>20250908</v>
      </c>
      <c r="H3887" s="38" t="str">
        <f>VLOOKUP(B3887,CAJEROS!B:D,3,0)</f>
        <v>Multifuncional</v>
      </c>
      <c r="I3887" s="34" t="s">
        <v>9</v>
      </c>
      <c r="J3887" s="38" t="str">
        <f>VLOOKUP(B3887,CAJEROS!B:E,4,0)</f>
        <v>MF_SUCEINT1</v>
      </c>
      <c r="K3887" t="s">
        <v>579</v>
      </c>
    </row>
    <row r="3888" spans="1:11">
      <c r="A3888" s="32">
        <v>379</v>
      </c>
      <c r="B3888" s="33">
        <v>6465</v>
      </c>
      <c r="C3888" s="3">
        <v>313400</v>
      </c>
      <c r="D3888" s="3"/>
      <c r="E3888" s="7">
        <f t="shared" si="85"/>
        <v>313400</v>
      </c>
      <c r="F3888" s="5">
        <v>45909</v>
      </c>
      <c r="G3888" s="4">
        <v>20250908</v>
      </c>
      <c r="H3888" s="38" t="str">
        <f>VLOOKUP(B3888,CAJEROS!B:D,3,0)</f>
        <v>Multifuncional</v>
      </c>
      <c r="I3888" s="34" t="s">
        <v>9</v>
      </c>
      <c r="J3888" s="38" t="str">
        <f>VLOOKUP(B3888,CAJEROS!B:E,4,0)</f>
        <v>MF_SUCTESO1</v>
      </c>
      <c r="K3888" t="s">
        <v>579</v>
      </c>
    </row>
    <row r="3889" spans="1:11">
      <c r="A3889" s="32">
        <v>606</v>
      </c>
      <c r="B3889" s="33">
        <v>5201</v>
      </c>
      <c r="C3889" s="3">
        <v>230000</v>
      </c>
      <c r="D3889" s="3">
        <v>200000</v>
      </c>
      <c r="E3889" s="7">
        <f t="shared" si="85"/>
        <v>30000</v>
      </c>
      <c r="F3889" s="5">
        <v>45909</v>
      </c>
      <c r="G3889" s="4">
        <v>20250908</v>
      </c>
      <c r="H3889" s="38" t="str">
        <f>VLOOKUP(B3889,CAJEROS!B:D,3,0)</f>
        <v>Multifuncional</v>
      </c>
      <c r="I3889" s="34" t="s">
        <v>9</v>
      </c>
      <c r="J3889" s="38" t="str">
        <f>VLOOKUP(B3889,CAJEROS!B:E,4,0)</f>
        <v>MF_UNITUNJA</v>
      </c>
      <c r="K3889" t="s">
        <v>579</v>
      </c>
    </row>
    <row r="3890" spans="1:11">
      <c r="A3890" s="32">
        <v>24</v>
      </c>
      <c r="B3890" s="33">
        <v>5066</v>
      </c>
      <c r="C3890" s="3">
        <v>218850</v>
      </c>
      <c r="D3890" s="3"/>
      <c r="E3890" s="7">
        <f t="shared" si="85"/>
        <v>218850</v>
      </c>
      <c r="F3890" s="5">
        <v>45909</v>
      </c>
      <c r="G3890" s="4">
        <v>20250908</v>
      </c>
      <c r="H3890" s="38" t="str">
        <f>VLOOKUP(B3890,CAJEROS!B:D,3,0)</f>
        <v>Multifuncional</v>
      </c>
      <c r="I3890" s="34" t="s">
        <v>9</v>
      </c>
      <c r="J3890" s="38" t="str">
        <f>VLOOKUP(B3890,CAJEROS!B:E,4,0)</f>
        <v>MF_RIONEGPA</v>
      </c>
      <c r="K3890" t="s">
        <v>579</v>
      </c>
    </row>
    <row r="3891" spans="1:11">
      <c r="A3891" s="32">
        <v>554</v>
      </c>
      <c r="B3891" s="33">
        <v>8295</v>
      </c>
      <c r="C3891" s="3">
        <v>185000</v>
      </c>
      <c r="D3891" s="3"/>
      <c r="E3891" s="7">
        <f t="shared" si="85"/>
        <v>185000</v>
      </c>
      <c r="F3891" s="5">
        <v>45909</v>
      </c>
      <c r="G3891" s="4">
        <v>20250908</v>
      </c>
      <c r="H3891" s="38" t="str">
        <f>VLOOKUP(B3891,CAJEROS!B:D,3,0)</f>
        <v>Multifuncional</v>
      </c>
      <c r="I3891" s="34" t="s">
        <v>9</v>
      </c>
      <c r="J3891" s="38" t="str">
        <f>VLOOKUP(B3891,CAJEROS!B:E,4,0)</f>
        <v>MF_SBUVIII2</v>
      </c>
      <c r="K3891" t="s">
        <v>579</v>
      </c>
    </row>
    <row r="3892" spans="1:11">
      <c r="A3892" s="32">
        <v>221</v>
      </c>
      <c r="B3892" s="33">
        <v>5221</v>
      </c>
      <c r="C3892" s="3">
        <v>164100</v>
      </c>
      <c r="D3892" s="3">
        <v>160000</v>
      </c>
      <c r="E3892" s="7">
        <f t="shared" si="85"/>
        <v>4100</v>
      </c>
      <c r="F3892" s="5">
        <v>45909</v>
      </c>
      <c r="G3892" s="4">
        <v>20250908</v>
      </c>
      <c r="H3892" s="38" t="str">
        <f>VLOOKUP(B3892,CAJEROS!B:D,3,0)</f>
        <v>Multifuncional</v>
      </c>
      <c r="I3892" s="34" t="s">
        <v>9</v>
      </c>
      <c r="J3892" s="38" t="str">
        <f>VLOOKUP(B3892,CAJEROS!B:E,4,0)</f>
        <v>MF_SOACHA</v>
      </c>
      <c r="K3892" t="s">
        <v>579</v>
      </c>
    </row>
    <row r="3893" spans="1:11">
      <c r="A3893" s="32">
        <v>236</v>
      </c>
      <c r="B3893" s="33">
        <v>6242</v>
      </c>
      <c r="C3893" s="3">
        <v>156150</v>
      </c>
      <c r="D3893" s="3">
        <v>50000</v>
      </c>
      <c r="E3893" s="7">
        <f t="shared" si="85"/>
        <v>106150</v>
      </c>
      <c r="F3893" s="5">
        <v>45909</v>
      </c>
      <c r="G3893" s="4">
        <v>20250908</v>
      </c>
      <c r="H3893" s="38" t="str">
        <f>VLOOKUP(B3893,CAJEROS!B:D,3,0)</f>
        <v>Multifuncional</v>
      </c>
      <c r="I3893" s="34" t="s">
        <v>9</v>
      </c>
      <c r="J3893" s="38" t="str">
        <f>VLOOKUP(B3893,CAJEROS!B:E,4,0)</f>
        <v>MF_EXITCOLO</v>
      </c>
      <c r="K3893" t="s">
        <v>579</v>
      </c>
    </row>
    <row r="3894" spans="1:11">
      <c r="A3894" s="32">
        <v>166</v>
      </c>
      <c r="B3894" s="33">
        <v>7939</v>
      </c>
      <c r="C3894" s="3">
        <v>50000</v>
      </c>
      <c r="D3894" s="3"/>
      <c r="E3894" s="7">
        <f t="shared" si="85"/>
        <v>50000</v>
      </c>
      <c r="F3894" s="5">
        <v>45909</v>
      </c>
      <c r="G3894" s="4">
        <v>20250908</v>
      </c>
      <c r="H3894" s="38" t="str">
        <f>VLOOKUP(B3894,CAJEROS!B:D,3,0)</f>
        <v>Multifuncional</v>
      </c>
      <c r="I3894" s="34" t="s">
        <v>9</v>
      </c>
      <c r="J3894" s="38" t="str">
        <f>VLOOKUP(B3894,CAJEROS!B:E,4,0)</f>
        <v>MF_ALDELSI1</v>
      </c>
      <c r="K3894" t="s">
        <v>579</v>
      </c>
    </row>
    <row r="3895" spans="1:11">
      <c r="A3895" s="32">
        <v>343</v>
      </c>
      <c r="B3895" s="33">
        <v>7955</v>
      </c>
      <c r="C3895" s="3">
        <v>90000</v>
      </c>
      <c r="D3895" s="3"/>
      <c r="E3895" s="7">
        <f t="shared" si="85"/>
        <v>90000</v>
      </c>
      <c r="F3895" s="5">
        <v>45909</v>
      </c>
      <c r="G3895" s="4">
        <v>20250908</v>
      </c>
      <c r="H3895" s="38" t="str">
        <f>VLOOKUP(B3895,CAJEROS!B:D,3,0)</f>
        <v>Dispensador</v>
      </c>
      <c r="I3895" s="34"/>
      <c r="J3895" s="38" t="str">
        <f>VLOOKUP(B3895,CAJEROS!B:E,4,0)</f>
        <v>SUCTABIO2</v>
      </c>
      <c r="K3895" t="s">
        <v>579</v>
      </c>
    </row>
    <row r="3896" spans="1:11">
      <c r="A3896" s="32">
        <v>415</v>
      </c>
      <c r="B3896" s="33">
        <v>8617</v>
      </c>
      <c r="C3896" s="3">
        <v>470000</v>
      </c>
      <c r="D3896" s="3">
        <f>50000+30000+50000</f>
        <v>130000</v>
      </c>
      <c r="E3896" s="7">
        <f t="shared" si="85"/>
        <v>340000</v>
      </c>
      <c r="F3896" s="5">
        <v>45909</v>
      </c>
      <c r="G3896" s="4">
        <v>20250908</v>
      </c>
      <c r="H3896" s="38" t="str">
        <f>VLOOKUP(B3896,CAJEROS!B:D,3,0)</f>
        <v>Dispensador</v>
      </c>
      <c r="I3896" s="34"/>
      <c r="J3896" s="38" t="str">
        <f>VLOOKUP(B3896,CAJEROS!B:E,4,0)</f>
        <v>SUCRETIRO2</v>
      </c>
      <c r="K3896" t="s">
        <v>579</v>
      </c>
    </row>
    <row r="3897" spans="1:11">
      <c r="A3897" s="32">
        <v>677</v>
      </c>
      <c r="B3897" s="33">
        <v>6896</v>
      </c>
      <c r="C3897" s="3">
        <v>7810000</v>
      </c>
      <c r="D3897" s="3"/>
      <c r="E3897" s="7">
        <f t="shared" si="85"/>
        <v>7810000</v>
      </c>
      <c r="F3897" s="5">
        <v>45909</v>
      </c>
      <c r="G3897" s="4">
        <v>20250908</v>
      </c>
      <c r="H3897" s="38" t="str">
        <f>VLOOKUP(B3897,CAJEROS!B:D,3,0)</f>
        <v>Dispensador</v>
      </c>
      <c r="I3897" s="34"/>
      <c r="J3897" s="38" t="str">
        <f>VLOOKUP(B3897,CAJEROS!B:E,4,0)</f>
        <v>SUCPLZMERC2</v>
      </c>
      <c r="K3897" t="s">
        <v>579</v>
      </c>
    </row>
    <row r="3898" spans="1:11">
      <c r="A3898" s="32">
        <v>682</v>
      </c>
      <c r="B3898" s="33">
        <v>5959</v>
      </c>
      <c r="C3898" s="3">
        <v>1000000</v>
      </c>
      <c r="D3898" s="3"/>
      <c r="E3898" s="7">
        <f t="shared" si="85"/>
        <v>1000000</v>
      </c>
      <c r="F3898" s="5">
        <v>45909</v>
      </c>
      <c r="G3898" s="4">
        <v>20250908</v>
      </c>
      <c r="H3898" s="38" t="str">
        <f>VLOOKUP(B3898,CAJEROS!B:D,3,0)</f>
        <v>Dispensador</v>
      </c>
      <c r="I3898" s="34"/>
      <c r="J3898" s="38" t="str">
        <f>VLOOKUP(B3898,CAJEROS!B:E,4,0)</f>
        <v>SUC_CCFONT1</v>
      </c>
      <c r="K3898" t="s">
        <v>579</v>
      </c>
    </row>
    <row r="3899" spans="1:11">
      <c r="A3899" s="32">
        <v>682</v>
      </c>
      <c r="B3899" s="33">
        <v>5960</v>
      </c>
      <c r="C3899" s="3">
        <v>340000</v>
      </c>
      <c r="D3899" s="3"/>
      <c r="E3899" s="7">
        <f t="shared" si="85"/>
        <v>340000</v>
      </c>
      <c r="F3899" s="5">
        <v>45909</v>
      </c>
      <c r="G3899" s="4">
        <v>20250908</v>
      </c>
      <c r="H3899" s="38" t="str">
        <f>VLOOKUP(B3899,CAJEROS!B:D,3,0)</f>
        <v>Dispensador</v>
      </c>
      <c r="I3899" s="34"/>
      <c r="J3899" s="38" t="str">
        <f>VLOOKUP(B3899,CAJEROS!B:E,4,0)</f>
        <v>SUC_CCFONT2</v>
      </c>
      <c r="K3899" t="s">
        <v>579</v>
      </c>
    </row>
    <row r="3900" spans="1:11">
      <c r="A3900" s="32">
        <v>728</v>
      </c>
      <c r="B3900" s="33">
        <v>8585</v>
      </c>
      <c r="C3900" s="3">
        <v>100000</v>
      </c>
      <c r="D3900" s="3"/>
      <c r="E3900" s="7">
        <f t="shared" si="85"/>
        <v>100000</v>
      </c>
      <c r="F3900" s="5">
        <v>45909</v>
      </c>
      <c r="G3900" s="4">
        <v>20250908</v>
      </c>
      <c r="H3900" s="38" t="str">
        <f>VLOOKUP(B3900,CAJEROS!B:D,3,0)</f>
        <v>Dispensador</v>
      </c>
      <c r="I3900" s="34"/>
      <c r="J3900" s="38" t="str">
        <f>VLOOKUP(B3900,CAJEROS!B:E,4,0)</f>
        <v>SUCCARTAGO4</v>
      </c>
      <c r="K3900" t="s">
        <v>579</v>
      </c>
    </row>
    <row r="3901" spans="1:11">
      <c r="A3901" s="32">
        <v>481</v>
      </c>
      <c r="B3901" s="33">
        <v>1008</v>
      </c>
      <c r="C3901" s="3">
        <v>10000</v>
      </c>
      <c r="D3901" s="3"/>
      <c r="E3901" s="7">
        <f t="shared" si="85"/>
        <v>10000</v>
      </c>
      <c r="F3901" s="5">
        <v>45909</v>
      </c>
      <c r="G3901" s="4">
        <v>20250908</v>
      </c>
      <c r="H3901" s="38" t="str">
        <f>VLOOKUP(B3901,CAJEROS!B:D,3,0)</f>
        <v>Dispensador</v>
      </c>
      <c r="I3901" s="34" t="s">
        <v>10</v>
      </c>
      <c r="J3901" s="38" t="str">
        <f>VLOOKUP(B3901,CAJEROS!B:E,4,0)</f>
        <v>SUC_SOLEDA4</v>
      </c>
      <c r="K3901" t="s">
        <v>579</v>
      </c>
    </row>
    <row r="3902" spans="1:11">
      <c r="A3902" s="32">
        <v>329</v>
      </c>
      <c r="B3902" s="33">
        <v>3291</v>
      </c>
      <c r="C3902" s="3">
        <v>20000</v>
      </c>
      <c r="D3902" s="3"/>
      <c r="E3902" s="7">
        <f t="shared" si="85"/>
        <v>20000</v>
      </c>
      <c r="F3902" s="5">
        <v>45909</v>
      </c>
      <c r="G3902" s="4">
        <v>20250908</v>
      </c>
      <c r="H3902" s="38" t="str">
        <f>VLOOKUP(B3902,CAJEROS!B:D,3,0)</f>
        <v>Dispensador</v>
      </c>
      <c r="I3902" s="34" t="s">
        <v>10</v>
      </c>
      <c r="J3902" s="38" t="str">
        <f>VLOOKUP(B3902,CAJEROS!B:E,4,0)</f>
        <v>VELEZ</v>
      </c>
      <c r="K3902" t="s">
        <v>579</v>
      </c>
    </row>
    <row r="3903" spans="1:11">
      <c r="A3903" s="32">
        <v>398</v>
      </c>
      <c r="B3903" s="33">
        <v>3527</v>
      </c>
      <c r="C3903" s="3">
        <v>10000</v>
      </c>
      <c r="D3903" s="3"/>
      <c r="E3903" s="7">
        <f t="shared" si="85"/>
        <v>10000</v>
      </c>
      <c r="F3903" s="5">
        <v>45909</v>
      </c>
      <c r="G3903" s="4">
        <v>20250908</v>
      </c>
      <c r="H3903" s="38" t="str">
        <f>VLOOKUP(B3903,CAJEROS!B:D,3,0)</f>
        <v>Dispensador</v>
      </c>
      <c r="I3903" s="34" t="s">
        <v>10</v>
      </c>
      <c r="J3903" s="38" t="str">
        <f>VLOOKUP(B3903,CAJEROS!B:E,4,0)</f>
        <v>SUC_CHINU</v>
      </c>
      <c r="K3903" t="s">
        <v>579</v>
      </c>
    </row>
    <row r="3904" spans="1:11">
      <c r="A3904" s="32">
        <v>358</v>
      </c>
      <c r="B3904" s="33">
        <v>4499</v>
      </c>
      <c r="C3904" s="3">
        <v>10000</v>
      </c>
      <c r="D3904" s="3"/>
      <c r="E3904" s="7">
        <f t="shared" si="85"/>
        <v>10000</v>
      </c>
      <c r="F3904" s="5">
        <v>45909</v>
      </c>
      <c r="G3904" s="4">
        <v>20250908</v>
      </c>
      <c r="H3904" s="38" t="str">
        <f>VLOOKUP(B3904,CAJEROS!B:D,3,0)</f>
        <v>Dispensador</v>
      </c>
      <c r="I3904" s="34" t="s">
        <v>10</v>
      </c>
      <c r="J3904" s="38" t="str">
        <f>VLOOKUP(B3904,CAJEROS!B:E,4,0)</f>
        <v>SUC_SOGAMO1</v>
      </c>
      <c r="K3904" t="s">
        <v>579</v>
      </c>
    </row>
    <row r="3905" spans="1:11">
      <c r="A3905" s="32">
        <v>297</v>
      </c>
      <c r="B3905" s="33">
        <v>4564</v>
      </c>
      <c r="C3905" s="3">
        <v>20000</v>
      </c>
      <c r="D3905" s="3"/>
      <c r="E3905" s="7">
        <f t="shared" si="85"/>
        <v>20000</v>
      </c>
      <c r="F3905" s="5">
        <v>45909</v>
      </c>
      <c r="G3905" s="4">
        <v>20250908</v>
      </c>
      <c r="H3905" s="38" t="str">
        <f>VLOOKUP(B3905,CAJEROS!B:D,3,0)</f>
        <v>Dispensador</v>
      </c>
      <c r="I3905" s="34" t="s">
        <v>10</v>
      </c>
      <c r="J3905" s="38" t="str">
        <f>VLOOKUP(B3905,CAJEROS!B:E,4,0)</f>
        <v>SUC_AGUAC3</v>
      </c>
      <c r="K3905" t="s">
        <v>579</v>
      </c>
    </row>
    <row r="3906" spans="1:11">
      <c r="A3906" s="32">
        <v>81</v>
      </c>
      <c r="B3906" s="33">
        <v>4568</v>
      </c>
      <c r="C3906" s="3">
        <v>10000</v>
      </c>
      <c r="D3906" s="3"/>
      <c r="E3906" s="7">
        <f t="shared" si="85"/>
        <v>10000</v>
      </c>
      <c r="F3906" s="5">
        <v>45909</v>
      </c>
      <c r="G3906" s="4">
        <v>20250908</v>
      </c>
      <c r="H3906" s="38" t="str">
        <f>VLOOKUP(B3906,CAJEROS!B:D,3,0)</f>
        <v>Dispensador</v>
      </c>
      <c r="I3906" s="34" t="s">
        <v>10</v>
      </c>
      <c r="J3906" s="38" t="str">
        <f>VLOOKUP(B3906,CAJEROS!B:E,4,0)</f>
        <v>SUC_KENNED3</v>
      </c>
      <c r="K3906" t="s">
        <v>579</v>
      </c>
    </row>
    <row r="3907" spans="1:11">
      <c r="A3907" s="32">
        <v>453</v>
      </c>
      <c r="B3907" s="33">
        <v>8017</v>
      </c>
      <c r="C3907" s="3">
        <v>20000</v>
      </c>
      <c r="D3907" s="3"/>
      <c r="E3907" s="7">
        <f t="shared" si="85"/>
        <v>20000</v>
      </c>
      <c r="F3907" s="5">
        <v>45909</v>
      </c>
      <c r="G3907" s="4">
        <v>20250908</v>
      </c>
      <c r="H3907" s="38" t="str">
        <f>VLOOKUP(B3907,CAJEROS!B:D,3,0)</f>
        <v>Dispensador</v>
      </c>
      <c r="I3907" s="34" t="s">
        <v>10</v>
      </c>
      <c r="J3907" s="38" t="str">
        <f>VLOOKUP(B3907,CAJEROS!B:E,4,0)</f>
        <v>SUCPITALTO4</v>
      </c>
      <c r="K3907" t="s">
        <v>579</v>
      </c>
    </row>
    <row r="3908" spans="1:11">
      <c r="A3908" s="32">
        <v>4</v>
      </c>
      <c r="B3908" s="33">
        <v>8628</v>
      </c>
      <c r="C3908" s="3">
        <v>20000</v>
      </c>
      <c r="D3908" s="3"/>
      <c r="E3908" s="7">
        <f t="shared" si="85"/>
        <v>20000</v>
      </c>
      <c r="F3908" s="5">
        <v>45909</v>
      </c>
      <c r="G3908" s="4">
        <v>20250908</v>
      </c>
      <c r="H3908" s="38" t="str">
        <f>VLOOKUP(B3908,CAJEROS!B:D,3,0)</f>
        <v>Dispensador</v>
      </c>
      <c r="I3908" s="34" t="s">
        <v>10</v>
      </c>
      <c r="J3908" s="38" t="str">
        <f>VLOOKUP(B3908,CAJEROS!B:E,4,0)</f>
        <v>SUCLAURELE3</v>
      </c>
      <c r="K3908" t="s">
        <v>579</v>
      </c>
    </row>
    <row r="3909" spans="1:11">
      <c r="A3909" s="32">
        <v>541</v>
      </c>
      <c r="B3909" s="33">
        <v>8652</v>
      </c>
      <c r="C3909" s="3">
        <v>10000</v>
      </c>
      <c r="D3909" s="3"/>
      <c r="E3909" s="7">
        <f t="shared" si="85"/>
        <v>10000</v>
      </c>
      <c r="F3909" s="5">
        <v>45909</v>
      </c>
      <c r="G3909" s="4">
        <v>20250908</v>
      </c>
      <c r="H3909" s="38" t="str">
        <f>VLOOKUP(B3909,CAJEROS!B:D,3,0)</f>
        <v>Dispensador</v>
      </c>
      <c r="I3909" s="34" t="s">
        <v>10</v>
      </c>
      <c r="J3909" s="38" t="str">
        <f>VLOOKUP(B3909,CAJEROS!B:E,4,0)</f>
        <v>SUCCALDASP3</v>
      </c>
      <c r="K3909" t="s">
        <v>579</v>
      </c>
    </row>
    <row r="3910" spans="1:11">
      <c r="A3910" s="32">
        <v>225</v>
      </c>
      <c r="B3910" s="33">
        <v>8865</v>
      </c>
      <c r="C3910" s="3">
        <v>20000</v>
      </c>
      <c r="D3910" s="3"/>
      <c r="E3910" s="7">
        <f t="shared" si="85"/>
        <v>20000</v>
      </c>
      <c r="F3910" s="5">
        <v>45909</v>
      </c>
      <c r="G3910" s="4">
        <v>20250908</v>
      </c>
      <c r="H3910" s="38" t="str">
        <f>VLOOKUP(B3910,CAJEROS!B:D,3,0)</f>
        <v>Dispensador</v>
      </c>
      <c r="I3910" s="34" t="s">
        <v>10</v>
      </c>
      <c r="J3910" s="38" t="str">
        <f>VLOOKUP(B3910,CAJEROS!B:E,4,0)</f>
        <v>SMALPLANQS3</v>
      </c>
      <c r="K3910" t="s">
        <v>579</v>
      </c>
    </row>
    <row r="3911" spans="1:11">
      <c r="A3911" s="32">
        <v>499</v>
      </c>
      <c r="B3911" s="33">
        <v>9808</v>
      </c>
      <c r="C3911" s="3">
        <v>10000</v>
      </c>
      <c r="D3911" s="3"/>
      <c r="E3911" s="7">
        <f t="shared" si="85"/>
        <v>10000</v>
      </c>
      <c r="F3911" s="5">
        <v>45909</v>
      </c>
      <c r="G3911" s="4">
        <v>20250908</v>
      </c>
      <c r="H3911" s="38" t="str">
        <f>VLOOKUP(B3911,CAJEROS!B:D,3,0)</f>
        <v>Dispensador</v>
      </c>
      <c r="I3911" s="34" t="s">
        <v>10</v>
      </c>
      <c r="J3911" s="38" t="str">
        <f>VLOOKUP(B3911,CAJEROS!B:E,4,0)</f>
        <v>SUCPARFAB10</v>
      </c>
      <c r="K3911" t="s">
        <v>579</v>
      </c>
    </row>
    <row r="3912" spans="1:11">
      <c r="A3912" s="32">
        <v>1</v>
      </c>
      <c r="B3912" s="33">
        <v>5000</v>
      </c>
      <c r="C3912" s="3">
        <v>6000</v>
      </c>
      <c r="D3912" s="3"/>
      <c r="E3912" s="7">
        <f t="shared" si="85"/>
        <v>6000</v>
      </c>
      <c r="F3912" s="5">
        <v>45909</v>
      </c>
      <c r="G3912" s="4">
        <v>20250908</v>
      </c>
      <c r="H3912" s="38" t="str">
        <f>VLOOKUP(B3912,CAJEROS!B:D,3,0)</f>
        <v>Multifuncional</v>
      </c>
      <c r="I3912" s="34" t="s">
        <v>10</v>
      </c>
      <c r="J3912" s="38" t="str">
        <f>VLOOKUP(B3912,CAJEROS!B:E,4,0)</f>
        <v>MF_CARABOBO</v>
      </c>
      <c r="K3912" t="s">
        <v>579</v>
      </c>
    </row>
    <row r="3913" spans="1:11">
      <c r="A3913" s="32">
        <v>32</v>
      </c>
      <c r="B3913" s="33">
        <v>5027</v>
      </c>
      <c r="C3913" s="3">
        <v>1000</v>
      </c>
      <c r="D3913" s="3"/>
      <c r="E3913" s="7">
        <f t="shared" si="85"/>
        <v>1000</v>
      </c>
      <c r="F3913" s="5">
        <v>45909</v>
      </c>
      <c r="G3913" s="4">
        <v>20250908</v>
      </c>
      <c r="H3913" s="38" t="str">
        <f>VLOOKUP(B3913,CAJEROS!B:D,3,0)</f>
        <v>Multifuncional</v>
      </c>
      <c r="I3913" s="34" t="s">
        <v>10</v>
      </c>
      <c r="J3913" s="38" t="str">
        <f>VLOOKUP(B3913,CAJEROS!B:E,4,0)</f>
        <v>MF_ANTCOUNT</v>
      </c>
      <c r="K3913" t="s">
        <v>579</v>
      </c>
    </row>
    <row r="3914" spans="1:11">
      <c r="A3914" s="32">
        <v>73</v>
      </c>
      <c r="B3914" s="33">
        <v>5108</v>
      </c>
      <c r="C3914" s="3">
        <v>12000</v>
      </c>
      <c r="D3914" s="3"/>
      <c r="E3914" s="7">
        <f t="shared" si="85"/>
        <v>12000</v>
      </c>
      <c r="F3914" s="5">
        <v>45909</v>
      </c>
      <c r="G3914" s="4">
        <v>20250908</v>
      </c>
      <c r="H3914" s="38" t="str">
        <f>VLOOKUP(B3914,CAJEROS!B:D,3,0)</f>
        <v>Multifuncional</v>
      </c>
      <c r="I3914" s="34" t="s">
        <v>10</v>
      </c>
      <c r="J3914" s="38" t="str">
        <f>VLOOKUP(B3914,CAJEROS!B:E,4,0)</f>
        <v>MF_PEREIRA</v>
      </c>
      <c r="K3914" t="s">
        <v>579</v>
      </c>
    </row>
    <row r="3915" spans="1:11">
      <c r="A3915" s="32">
        <v>59</v>
      </c>
      <c r="B3915" s="33">
        <v>3667</v>
      </c>
      <c r="C3915" s="3">
        <v>40000</v>
      </c>
      <c r="D3915" s="3"/>
      <c r="E3915" s="7">
        <f t="shared" si="85"/>
        <v>40000</v>
      </c>
      <c r="F3915" s="5">
        <v>45910</v>
      </c>
      <c r="G3915" s="4">
        <v>20250909</v>
      </c>
      <c r="H3915" s="38" t="str">
        <f>VLOOKUP(B3915,CAJEROS!B:D,3,0)</f>
        <v>Dispensador</v>
      </c>
      <c r="I3915" s="34"/>
      <c r="J3915" s="38" t="str">
        <f>VLOOKUP(B3915,CAJEROS!B:E,4,0)</f>
        <v>AVSANTAN_1</v>
      </c>
      <c r="K3915" t="s">
        <v>579</v>
      </c>
    </row>
    <row r="3916" spans="1:11">
      <c r="A3916" s="32">
        <v>74</v>
      </c>
      <c r="B3916" s="33">
        <v>8273</v>
      </c>
      <c r="C3916" s="3">
        <v>10000</v>
      </c>
      <c r="D3916" s="3"/>
      <c r="E3916" s="7">
        <f t="shared" si="85"/>
        <v>10000</v>
      </c>
      <c r="F3916" s="5">
        <v>45910</v>
      </c>
      <c r="G3916" s="4">
        <v>20250909</v>
      </c>
      <c r="H3916" s="38" t="str">
        <f>VLOOKUP(B3916,CAJEROS!B:D,3,0)</f>
        <v>Dispensador</v>
      </c>
      <c r="I3916" s="34"/>
      <c r="J3916" s="38" t="str">
        <f>VLOOKUP(B3916,CAJEROS!B:E,4,0)</f>
        <v>PASTOPPA_4</v>
      </c>
      <c r="K3916" t="s">
        <v>579</v>
      </c>
    </row>
    <row r="3917" spans="1:11">
      <c r="A3917" s="32">
        <v>108</v>
      </c>
      <c r="B3917" s="33">
        <v>2042</v>
      </c>
      <c r="C3917" s="3">
        <v>7400000</v>
      </c>
      <c r="D3917" s="3"/>
      <c r="E3917" s="7">
        <f t="shared" si="85"/>
        <v>7400000</v>
      </c>
      <c r="F3917" s="5">
        <v>45910</v>
      </c>
      <c r="G3917" s="4">
        <v>20250909</v>
      </c>
      <c r="H3917" s="38" t="str">
        <f>VLOOKUP(B3917,CAJEROS!B:D,3,0)</f>
        <v>Dispensador</v>
      </c>
      <c r="I3917" s="34"/>
      <c r="J3917" s="38" t="str">
        <f>VLOOKUP(B3917,CAJEROS!B:E,4,0)</f>
        <v>SUCPLZAMER5</v>
      </c>
      <c r="K3917" t="s">
        <v>579</v>
      </c>
    </row>
    <row r="3918" spans="1:11">
      <c r="A3918" s="32">
        <v>123</v>
      </c>
      <c r="B3918" s="33">
        <v>4462</v>
      </c>
      <c r="C3918" s="3">
        <v>600000</v>
      </c>
      <c r="D3918" s="3"/>
      <c r="E3918" s="7">
        <f t="shared" si="85"/>
        <v>600000</v>
      </c>
      <c r="F3918" s="5">
        <v>45910</v>
      </c>
      <c r="G3918" s="4">
        <v>20250909</v>
      </c>
      <c r="H3918" s="38" t="str">
        <f>VLOOKUP(B3918,CAJEROS!B:D,3,0)</f>
        <v>Dispensador</v>
      </c>
      <c r="I3918" s="34"/>
      <c r="J3918" s="38" t="str">
        <f>VLOOKUP(B3918,CAJEROS!B:E,4,0)</f>
        <v>CP_RIONEG1</v>
      </c>
      <c r="K3918" t="s">
        <v>579</v>
      </c>
    </row>
    <row r="3919" spans="1:11">
      <c r="A3919" s="32">
        <v>306</v>
      </c>
      <c r="B3919" s="33">
        <v>3062</v>
      </c>
      <c r="C3919" s="3">
        <v>200000</v>
      </c>
      <c r="D3919" s="3"/>
      <c r="E3919" s="7">
        <f t="shared" si="85"/>
        <v>200000</v>
      </c>
      <c r="F3919" s="5">
        <v>45910</v>
      </c>
      <c r="G3919" s="4">
        <v>20250909</v>
      </c>
      <c r="H3919" s="38" t="str">
        <f>VLOOKUP(B3919,CAJEROS!B:D,3,0)</f>
        <v>Dispensador</v>
      </c>
      <c r="I3919" s="34"/>
      <c r="J3919" s="38" t="str">
        <f>VLOOKUP(B3919,CAJEROS!B:E,4,0)</f>
        <v>BBERMEJA_2</v>
      </c>
      <c r="K3919" t="s">
        <v>579</v>
      </c>
    </row>
    <row r="3920" spans="1:11">
      <c r="A3920" s="32">
        <v>306</v>
      </c>
      <c r="B3920" s="33">
        <v>4838</v>
      </c>
      <c r="C3920" s="3">
        <v>480000</v>
      </c>
      <c r="D3920" s="3"/>
      <c r="E3920" s="7">
        <f t="shared" si="85"/>
        <v>480000</v>
      </c>
      <c r="F3920" s="5">
        <v>45910</v>
      </c>
      <c r="G3920" s="4">
        <v>20250909</v>
      </c>
      <c r="H3920" s="38" t="str">
        <f>VLOOKUP(B3920,CAJEROS!B:D,3,0)</f>
        <v>Dispensador</v>
      </c>
      <c r="I3920" s="34"/>
      <c r="J3920" s="38" t="str">
        <f>VLOOKUP(B3920,CAJEROS!B:E,4,0)</f>
        <v>BARRANCAB3</v>
      </c>
      <c r="K3920" t="s">
        <v>579</v>
      </c>
    </row>
    <row r="3921" spans="1:11">
      <c r="A3921" s="32">
        <v>367</v>
      </c>
      <c r="B3921" s="33">
        <v>2223</v>
      </c>
      <c r="C3921" s="3">
        <v>500000</v>
      </c>
      <c r="D3921" s="3">
        <v>30000</v>
      </c>
      <c r="E3921" s="7">
        <f t="shared" si="85"/>
        <v>470000</v>
      </c>
      <c r="F3921" s="5">
        <v>45910</v>
      </c>
      <c r="G3921" s="4">
        <v>20250909</v>
      </c>
      <c r="H3921" s="38" t="str">
        <f>VLOOKUP(B3921,CAJEROS!B:D,3,0)</f>
        <v>Dispensador</v>
      </c>
      <c r="I3921" s="34"/>
      <c r="J3921" s="38" t="str">
        <f>VLOOKUP(B3921,CAJEROS!B:E,4,0)</f>
        <v>OFGRANAME_2</v>
      </c>
      <c r="K3921" t="s">
        <v>579</v>
      </c>
    </row>
    <row r="3922" spans="1:11">
      <c r="A3922" s="32">
        <v>392</v>
      </c>
      <c r="B3922" s="33">
        <v>4793</v>
      </c>
      <c r="C3922" s="3">
        <v>60000</v>
      </c>
      <c r="D3922" s="3"/>
      <c r="E3922" s="7">
        <f t="shared" si="85"/>
        <v>60000</v>
      </c>
      <c r="F3922" s="5">
        <v>45910</v>
      </c>
      <c r="G3922" s="4">
        <v>20250909</v>
      </c>
      <c r="H3922" s="38" t="str">
        <f>VLOOKUP(B3922,CAJEROS!B:D,3,0)</f>
        <v>Dispensador</v>
      </c>
      <c r="I3922" s="34"/>
      <c r="J3922" s="38" t="str">
        <f>VLOOKUP(B3922,CAJEROS!B:E,4,0)</f>
        <v>LADORADA1</v>
      </c>
      <c r="K3922" t="s">
        <v>579</v>
      </c>
    </row>
    <row r="3923" spans="1:11">
      <c r="A3923" s="32">
        <v>392</v>
      </c>
      <c r="B3923" s="33">
        <v>5265</v>
      </c>
      <c r="C3923" s="3">
        <v>2350000</v>
      </c>
      <c r="D3923" s="3">
        <f>840000+750000+500000</f>
        <v>2090000</v>
      </c>
      <c r="E3923" s="7">
        <f t="shared" si="85"/>
        <v>260000</v>
      </c>
      <c r="F3923" s="5">
        <v>45910</v>
      </c>
      <c r="G3923" s="4">
        <v>20250909</v>
      </c>
      <c r="H3923" s="38" t="str">
        <f>VLOOKUP(B3923,CAJEROS!B:D,3,0)</f>
        <v>Dispensador</v>
      </c>
      <c r="I3923" s="34"/>
      <c r="J3923" s="38" t="str">
        <f>VLOOKUP(B3923,CAJEROS!B:E,4,0)</f>
        <v>SUC_LADORA4</v>
      </c>
      <c r="K3923" t="s">
        <v>579</v>
      </c>
    </row>
    <row r="3924" spans="1:11">
      <c r="A3924" s="32">
        <v>439</v>
      </c>
      <c r="B3924" s="33">
        <v>6309</v>
      </c>
      <c r="C3924" s="3">
        <v>1300000</v>
      </c>
      <c r="D3924" s="3">
        <v>200000</v>
      </c>
      <c r="E3924" s="7">
        <f t="shared" si="85"/>
        <v>1100000</v>
      </c>
      <c r="F3924" s="5">
        <v>45910</v>
      </c>
      <c r="G3924" s="4">
        <v>20250909</v>
      </c>
      <c r="H3924" s="38" t="str">
        <f>VLOOKUP(B3924,CAJEROS!B:D,3,0)</f>
        <v>Dispensador</v>
      </c>
      <c r="I3924" s="34"/>
      <c r="J3924" s="38" t="str">
        <f>VLOOKUP(B3924,CAJEROS!B:E,4,0)</f>
        <v>SUC_CAJAMA2</v>
      </c>
      <c r="K3924" t="s">
        <v>579</v>
      </c>
    </row>
    <row r="3925" spans="1:11">
      <c r="A3925" s="32">
        <v>481</v>
      </c>
      <c r="B3925" s="33">
        <v>1008</v>
      </c>
      <c r="C3925" s="3">
        <v>50000</v>
      </c>
      <c r="D3925" s="3"/>
      <c r="E3925" s="7">
        <f t="shared" si="85"/>
        <v>50000</v>
      </c>
      <c r="F3925" s="5">
        <v>45910</v>
      </c>
      <c r="G3925" s="4">
        <v>20250909</v>
      </c>
      <c r="H3925" s="38" t="str">
        <f>VLOOKUP(B3925,CAJEROS!B:D,3,0)</f>
        <v>Dispensador</v>
      </c>
      <c r="I3925" s="34"/>
      <c r="J3925" s="38" t="str">
        <f>VLOOKUP(B3925,CAJEROS!B:E,4,0)</f>
        <v>SUC_SOLEDA4</v>
      </c>
      <c r="K3925" t="s">
        <v>579</v>
      </c>
    </row>
    <row r="3926" spans="1:11">
      <c r="A3926" s="32">
        <v>513</v>
      </c>
      <c r="B3926" s="33">
        <v>4949</v>
      </c>
      <c r="C3926" s="3">
        <v>300000</v>
      </c>
      <c r="D3926" s="3"/>
      <c r="E3926" s="7">
        <f t="shared" ref="E3926:E3989" si="86">+C3926-D3926</f>
        <v>300000</v>
      </c>
      <c r="F3926" s="5">
        <v>45910</v>
      </c>
      <c r="G3926" s="4">
        <v>20250909</v>
      </c>
      <c r="H3926" s="38" t="str">
        <f>VLOOKUP(B3926,CAJEROS!B:D,3,0)</f>
        <v>Dispensador</v>
      </c>
      <c r="I3926" s="34"/>
      <c r="J3926" s="38" t="str">
        <f>VLOOKUP(B3926,CAJEROS!B:E,4,0)</f>
        <v>SUC_AGUARI1</v>
      </c>
      <c r="K3926" t="s">
        <v>579</v>
      </c>
    </row>
    <row r="3927" spans="1:11">
      <c r="A3927" s="32">
        <v>523</v>
      </c>
      <c r="B3927" s="33">
        <v>3997</v>
      </c>
      <c r="C3927" s="3">
        <v>900000</v>
      </c>
      <c r="D3927" s="3"/>
      <c r="E3927" s="7">
        <f t="shared" si="86"/>
        <v>900000</v>
      </c>
      <c r="F3927" s="5">
        <v>45910</v>
      </c>
      <c r="G3927" s="4">
        <v>20250909</v>
      </c>
      <c r="H3927" s="38" t="str">
        <f>VLOOKUP(B3927,CAJEROS!B:D,3,0)</f>
        <v>Dispensador</v>
      </c>
      <c r="I3927" s="34"/>
      <c r="J3927" s="38" t="str">
        <f>VLOOKUP(B3927,CAJEROS!B:E,4,0)</f>
        <v>SUC_OVALLE3</v>
      </c>
      <c r="K3927" t="s">
        <v>579</v>
      </c>
    </row>
    <row r="3928" spans="1:11">
      <c r="A3928" s="32">
        <v>584</v>
      </c>
      <c r="B3928" s="33">
        <v>3068</v>
      </c>
      <c r="C3928" s="3">
        <v>50000</v>
      </c>
      <c r="D3928" s="3"/>
      <c r="E3928" s="7">
        <f t="shared" si="86"/>
        <v>50000</v>
      </c>
      <c r="F3928" s="5">
        <v>45910</v>
      </c>
      <c r="G3928" s="4">
        <v>20250909</v>
      </c>
      <c r="H3928" s="38" t="str">
        <f>VLOOKUP(B3928,CAJEROS!B:D,3,0)</f>
        <v>Dispensador</v>
      </c>
      <c r="I3928" s="34"/>
      <c r="J3928" s="38" t="str">
        <f>VLOOKUP(B3928,CAJEROS!B:E,4,0)</f>
        <v>HALLCHIGOR3</v>
      </c>
      <c r="K3928" t="s">
        <v>579</v>
      </c>
    </row>
    <row r="3929" spans="1:11">
      <c r="A3929" s="32">
        <v>621</v>
      </c>
      <c r="B3929" s="33">
        <v>4267</v>
      </c>
      <c r="C3929" s="3">
        <v>900000</v>
      </c>
      <c r="D3929" s="3"/>
      <c r="E3929" s="7">
        <f t="shared" si="86"/>
        <v>900000</v>
      </c>
      <c r="F3929" s="5">
        <v>45910</v>
      </c>
      <c r="G3929" s="4">
        <v>20250909</v>
      </c>
      <c r="H3929" s="38" t="str">
        <f>VLOOKUP(B3929,CAJEROS!B:D,3,0)</f>
        <v>Dispensador</v>
      </c>
      <c r="I3929" s="34"/>
      <c r="J3929" s="38" t="str">
        <f>VLOOKUP(B3929,CAJEROS!B:E,4,0)</f>
        <v>SUC_YUMBO3</v>
      </c>
      <c r="K3929" t="s">
        <v>579</v>
      </c>
    </row>
    <row r="3930" spans="1:11">
      <c r="A3930" s="32">
        <v>709</v>
      </c>
      <c r="B3930" s="33">
        <v>3426</v>
      </c>
      <c r="C3930" s="3">
        <v>1250000</v>
      </c>
      <c r="D3930" s="3">
        <v>1000000</v>
      </c>
      <c r="E3930" s="7">
        <f t="shared" si="86"/>
        <v>250000</v>
      </c>
      <c r="F3930" s="5">
        <v>45910</v>
      </c>
      <c r="G3930" s="4">
        <v>20250909</v>
      </c>
      <c r="H3930" s="38" t="str">
        <f>VLOOKUP(B3930,CAJEROS!B:D,3,0)</f>
        <v>Dispensador</v>
      </c>
      <c r="I3930" s="34"/>
      <c r="J3930" s="38" t="str">
        <f>VLOOKUP(B3930,CAJEROS!B:E,4,0)</f>
        <v>ABREGO</v>
      </c>
      <c r="K3930" t="s">
        <v>579</v>
      </c>
    </row>
    <row r="3931" spans="1:11">
      <c r="A3931" s="32">
        <v>829</v>
      </c>
      <c r="B3931" s="33">
        <v>5762</v>
      </c>
      <c r="C3931" s="3">
        <v>2300000</v>
      </c>
      <c r="D3931" s="3"/>
      <c r="E3931" s="7">
        <f t="shared" si="86"/>
        <v>2300000</v>
      </c>
      <c r="F3931" s="5">
        <v>45910</v>
      </c>
      <c r="G3931" s="4">
        <v>20250909</v>
      </c>
      <c r="H3931" s="38" t="str">
        <f>VLOOKUP(B3931,CAJEROS!B:D,3,0)</f>
        <v>Dispensador</v>
      </c>
      <c r="I3931" s="34"/>
      <c r="J3931" s="38" t="str">
        <f>VLOOKUP(B3931,CAJEROS!B:E,4,0)</f>
        <v>SUCUNICCAL4</v>
      </c>
      <c r="K3931" t="s">
        <v>579</v>
      </c>
    </row>
    <row r="3932" spans="1:11">
      <c r="A3932" s="32">
        <v>842</v>
      </c>
      <c r="B3932" s="33">
        <v>1645</v>
      </c>
      <c r="C3932" s="3">
        <v>50000</v>
      </c>
      <c r="D3932" s="3"/>
      <c r="E3932" s="7">
        <f t="shared" si="86"/>
        <v>50000</v>
      </c>
      <c r="F3932" s="5">
        <v>45910</v>
      </c>
      <c r="G3932" s="4">
        <v>20250909</v>
      </c>
      <c r="H3932" s="38" t="str">
        <f>VLOOKUP(B3932,CAJEROS!B:D,3,0)</f>
        <v>Dispensador</v>
      </c>
      <c r="I3932" s="34"/>
      <c r="J3932" s="38" t="str">
        <f>VLOOKUP(B3932,CAJEROS!B:E,4,0)</f>
        <v>BVENTURA_1</v>
      </c>
      <c r="K3932" t="s">
        <v>579</v>
      </c>
    </row>
    <row r="3933" spans="1:11">
      <c r="A3933" s="32">
        <v>951</v>
      </c>
      <c r="B3933" s="33">
        <v>7816</v>
      </c>
      <c r="C3933" s="3">
        <v>20000</v>
      </c>
      <c r="D3933" s="3"/>
      <c r="E3933" s="7">
        <f t="shared" si="86"/>
        <v>20000</v>
      </c>
      <c r="F3933" s="5">
        <v>45910</v>
      </c>
      <c r="G3933" s="4">
        <v>20250909</v>
      </c>
      <c r="H3933" s="38" t="str">
        <f>VLOOKUP(B3933,CAJEROS!B:D,3,0)</f>
        <v>Dispensador</v>
      </c>
      <c r="I3933" s="34"/>
      <c r="J3933" s="38" t="str">
        <f>VLOOKUP(B3933,CAJEROS!B:E,4,0)</f>
        <v>AUTOBOSC_4</v>
      </c>
      <c r="K3933" t="s">
        <v>579</v>
      </c>
    </row>
    <row r="3934" spans="1:11">
      <c r="A3934" s="32">
        <v>60</v>
      </c>
      <c r="B3934" s="33">
        <v>8724</v>
      </c>
      <c r="C3934" s="3">
        <v>100000</v>
      </c>
      <c r="D3934" s="3">
        <v>20000</v>
      </c>
      <c r="E3934" s="7">
        <f t="shared" si="86"/>
        <v>80000</v>
      </c>
      <c r="F3934" s="5">
        <v>45910</v>
      </c>
      <c r="G3934" s="4">
        <v>20250909</v>
      </c>
      <c r="H3934" s="38" t="str">
        <f>VLOOKUP(B3934,CAJEROS!B:D,3,0)</f>
        <v>Dispensador</v>
      </c>
      <c r="I3934" s="34" t="s">
        <v>9</v>
      </c>
      <c r="J3934" s="38" t="str">
        <f>VLOOKUP(B3934,CAJEROS!B:E,4,0)</f>
        <v>HALLCALIPR6</v>
      </c>
      <c r="K3934" t="s">
        <v>579</v>
      </c>
    </row>
    <row r="3935" spans="1:11">
      <c r="A3935" s="32">
        <v>78</v>
      </c>
      <c r="B3935" s="33">
        <v>8591</v>
      </c>
      <c r="C3935" s="3">
        <v>50000</v>
      </c>
      <c r="D3935" s="3">
        <v>40000</v>
      </c>
      <c r="E3935" s="7">
        <f t="shared" si="86"/>
        <v>10000</v>
      </c>
      <c r="F3935" s="5">
        <v>45910</v>
      </c>
      <c r="G3935" s="4">
        <v>20250909</v>
      </c>
      <c r="H3935" s="38" t="str">
        <f>VLOOKUP(B3935,CAJEROS!B:D,3,0)</f>
        <v>Dispensador</v>
      </c>
      <c r="I3935" s="34" t="s">
        <v>9</v>
      </c>
      <c r="J3935" s="38" t="str">
        <f>VLOOKUP(B3935,CAJEROS!B:E,4,0)</f>
        <v>HALLCACIQ2</v>
      </c>
      <c r="K3935" t="s">
        <v>579</v>
      </c>
    </row>
    <row r="3936" spans="1:11">
      <c r="A3936" s="32">
        <v>93</v>
      </c>
      <c r="B3936" s="33">
        <v>7227</v>
      </c>
      <c r="C3936" s="3">
        <v>50000</v>
      </c>
      <c r="D3936" s="3"/>
      <c r="E3936" s="7">
        <f t="shared" si="86"/>
        <v>50000</v>
      </c>
      <c r="F3936" s="5">
        <v>45910</v>
      </c>
      <c r="G3936" s="4">
        <v>20250909</v>
      </c>
      <c r="H3936" s="38" t="str">
        <f>VLOOKUP(B3936,CAJEROS!B:D,3,0)</f>
        <v>Dispensador</v>
      </c>
      <c r="I3936" s="34" t="s">
        <v>9</v>
      </c>
      <c r="J3936" s="38" t="str">
        <f>VLOOKUP(B3936,CAJEROS!B:E,4,0)</f>
        <v>SUC_SAHAGUN</v>
      </c>
      <c r="K3936" t="s">
        <v>579</v>
      </c>
    </row>
    <row r="3937" spans="1:11">
      <c r="A3937" s="32">
        <v>96</v>
      </c>
      <c r="B3937" s="33">
        <v>1035</v>
      </c>
      <c r="C3937" s="3">
        <v>80000</v>
      </c>
      <c r="D3937" s="3">
        <v>70000</v>
      </c>
      <c r="E3937" s="7">
        <f t="shared" si="86"/>
        <v>10000</v>
      </c>
      <c r="F3937" s="5">
        <v>45910</v>
      </c>
      <c r="G3937" s="4">
        <v>20250909</v>
      </c>
      <c r="H3937" s="38" t="str">
        <f>VLOOKUP(B3937,CAJEROS!B:D,3,0)</f>
        <v>Dispensador</v>
      </c>
      <c r="I3937" s="34" t="s">
        <v>9</v>
      </c>
      <c r="J3937" s="38" t="str">
        <f>VLOOKUP(B3937,CAJEROS!B:E,4,0)</f>
        <v>SUC_MAICAO1</v>
      </c>
      <c r="K3937" t="s">
        <v>579</v>
      </c>
    </row>
    <row r="3938" spans="1:11">
      <c r="A3938" s="32">
        <v>108</v>
      </c>
      <c r="B3938" s="33">
        <v>2041</v>
      </c>
      <c r="C3938" s="3">
        <v>50000</v>
      </c>
      <c r="D3938" s="3"/>
      <c r="E3938" s="7">
        <f t="shared" si="86"/>
        <v>50000</v>
      </c>
      <c r="F3938" s="5">
        <v>45910</v>
      </c>
      <c r="G3938" s="4">
        <v>20250909</v>
      </c>
      <c r="H3938" s="38" t="str">
        <f>VLOOKUP(B3938,CAJEROS!B:D,3,0)</f>
        <v>Dispensador</v>
      </c>
      <c r="I3938" s="34" t="s">
        <v>9</v>
      </c>
      <c r="J3938" s="38" t="str">
        <f>VLOOKUP(B3938,CAJEROS!B:E,4,0)</f>
        <v>SUCPLZAMER4</v>
      </c>
      <c r="K3938" t="s">
        <v>579</v>
      </c>
    </row>
    <row r="3939" spans="1:11">
      <c r="A3939" s="32">
        <v>141</v>
      </c>
      <c r="B3939" s="33">
        <v>1415</v>
      </c>
      <c r="C3939" s="3">
        <v>1000000</v>
      </c>
      <c r="D3939" s="3"/>
      <c r="E3939" s="7">
        <f t="shared" si="86"/>
        <v>1000000</v>
      </c>
      <c r="F3939" s="5">
        <v>45910</v>
      </c>
      <c r="G3939" s="4">
        <v>20250909</v>
      </c>
      <c r="H3939" s="38" t="str">
        <f>VLOOKUP(B3939,CAJEROS!B:D,3,0)</f>
        <v>Dispensador</v>
      </c>
      <c r="I3939" s="34" t="s">
        <v>9</v>
      </c>
      <c r="J3939" s="38" t="str">
        <f>VLOOKUP(B3939,CAJEROS!B:E,4,0)</f>
        <v>MERCANT_5</v>
      </c>
      <c r="K3939" t="s">
        <v>579</v>
      </c>
    </row>
    <row r="3940" spans="1:11">
      <c r="A3940" s="32">
        <v>185</v>
      </c>
      <c r="B3940" s="33">
        <v>7959</v>
      </c>
      <c r="C3940" s="3">
        <v>370000</v>
      </c>
      <c r="D3940" s="3"/>
      <c r="E3940" s="7">
        <f t="shared" si="86"/>
        <v>370000</v>
      </c>
      <c r="F3940" s="5">
        <v>45910</v>
      </c>
      <c r="G3940" s="4">
        <v>20250909</v>
      </c>
      <c r="H3940" s="38" t="str">
        <f>VLOOKUP(B3940,CAJEROS!B:D,3,0)</f>
        <v>Dispensador</v>
      </c>
      <c r="I3940" s="34" t="s">
        <v>9</v>
      </c>
      <c r="J3940" s="38" t="str">
        <f>VLOOKUP(B3940,CAJEROS!B:E,4,0)</f>
        <v>SUCLLAGRPA3</v>
      </c>
      <c r="K3940" t="s">
        <v>579</v>
      </c>
    </row>
    <row r="3941" spans="1:11">
      <c r="A3941" s="32">
        <v>229</v>
      </c>
      <c r="B3941" s="33">
        <v>8955</v>
      </c>
      <c r="C3941" s="3">
        <v>100000</v>
      </c>
      <c r="D3941" s="3"/>
      <c r="E3941" s="7">
        <f t="shared" si="86"/>
        <v>100000</v>
      </c>
      <c r="F3941" s="5">
        <v>45910</v>
      </c>
      <c r="G3941" s="4">
        <v>20250909</v>
      </c>
      <c r="H3941" s="38" t="str">
        <f>VLOOKUP(B3941,CAJEROS!B:D,3,0)</f>
        <v>Dispensador</v>
      </c>
      <c r="I3941" s="34" t="s">
        <v>9</v>
      </c>
      <c r="J3941" s="38" t="str">
        <f>VLOOKUP(B3941,CAJEROS!B:E,4,0)</f>
        <v>SUCPASERIO1</v>
      </c>
      <c r="K3941" t="s">
        <v>579</v>
      </c>
    </row>
    <row r="3942" spans="1:11">
      <c r="A3942" s="32">
        <v>584</v>
      </c>
      <c r="B3942" s="33">
        <v>6874</v>
      </c>
      <c r="C3942" s="3">
        <v>1820000</v>
      </c>
      <c r="D3942" s="3">
        <v>110000</v>
      </c>
      <c r="E3942" s="7">
        <f t="shared" si="86"/>
        <v>1710000</v>
      </c>
      <c r="F3942" s="5">
        <v>45910</v>
      </c>
      <c r="G3942" s="4">
        <v>20250909</v>
      </c>
      <c r="H3942" s="38" t="str">
        <f>VLOOKUP(B3942,CAJEROS!B:D,3,0)</f>
        <v>Dispensador</v>
      </c>
      <c r="I3942" s="34" t="s">
        <v>9</v>
      </c>
      <c r="J3942" s="38" t="str">
        <f>VLOOKUP(B3942,CAJEROS!B:E,4,0)</f>
        <v>HALLCHIGOR2</v>
      </c>
      <c r="K3942" t="s">
        <v>579</v>
      </c>
    </row>
    <row r="3943" spans="1:11">
      <c r="A3943" s="32">
        <v>705</v>
      </c>
      <c r="B3943" s="33">
        <v>4152</v>
      </c>
      <c r="C3943" s="3">
        <v>110000</v>
      </c>
      <c r="D3943" s="3">
        <f>50000+20000</f>
        <v>70000</v>
      </c>
      <c r="E3943" s="7">
        <f t="shared" si="86"/>
        <v>40000</v>
      </c>
      <c r="F3943" s="5">
        <v>45910</v>
      </c>
      <c r="G3943" s="4">
        <v>20250909</v>
      </c>
      <c r="H3943" s="38" t="str">
        <f>VLOOKUP(B3943,CAJEROS!B:D,3,0)</f>
        <v>Dispensador</v>
      </c>
      <c r="I3943" s="34" t="s">
        <v>9</v>
      </c>
      <c r="J3943" s="38" t="str">
        <f>VLOOKUP(B3943,CAJEROS!B:E,4,0)</f>
        <v>SUC_BAGRE2</v>
      </c>
      <c r="K3943" t="s">
        <v>579</v>
      </c>
    </row>
    <row r="3944" spans="1:11">
      <c r="A3944" s="32">
        <v>732</v>
      </c>
      <c r="B3944" s="33">
        <v>6966</v>
      </c>
      <c r="C3944" s="3">
        <v>150000</v>
      </c>
      <c r="D3944" s="3">
        <v>60000</v>
      </c>
      <c r="E3944" s="7">
        <f t="shared" si="86"/>
        <v>90000</v>
      </c>
      <c r="F3944" s="5">
        <v>45910</v>
      </c>
      <c r="G3944" s="4">
        <v>20250909</v>
      </c>
      <c r="H3944" s="38" t="str">
        <f>VLOOKUP(B3944,CAJEROS!B:D,3,0)</f>
        <v>Dispensador</v>
      </c>
      <c r="I3944" s="34" t="s">
        <v>9</v>
      </c>
      <c r="J3944" s="38" t="str">
        <f>VLOOKUP(B3944,CAJEROS!B:E,4,0)</f>
        <v>ROLDANIL_2</v>
      </c>
      <c r="K3944" t="s">
        <v>579</v>
      </c>
    </row>
    <row r="3945" spans="1:11">
      <c r="A3945" s="32">
        <v>849</v>
      </c>
      <c r="B3945" s="33">
        <v>9723</v>
      </c>
      <c r="C3945" s="3">
        <v>200000</v>
      </c>
      <c r="D3945" s="3"/>
      <c r="E3945" s="7">
        <f t="shared" si="86"/>
        <v>200000</v>
      </c>
      <c r="F3945" s="5">
        <v>45910</v>
      </c>
      <c r="G3945" s="4">
        <v>20250909</v>
      </c>
      <c r="H3945" s="38" t="str">
        <f>VLOOKUP(B3945,CAJEROS!B:D,3,0)</f>
        <v>Dispensador</v>
      </c>
      <c r="I3945" s="34" t="s">
        <v>9</v>
      </c>
      <c r="J3945" s="38" t="str">
        <f>VLOOKUP(B3945,CAJEROS!B:E,4,0)</f>
        <v>SUCUNIVILL4</v>
      </c>
      <c r="K3945" t="s">
        <v>579</v>
      </c>
    </row>
    <row r="3946" spans="1:11">
      <c r="A3946" s="32">
        <v>859</v>
      </c>
      <c r="B3946" s="33">
        <v>5599</v>
      </c>
      <c r="C3946" s="3">
        <v>4800000</v>
      </c>
      <c r="D3946" s="3"/>
      <c r="E3946" s="7">
        <f t="shared" si="86"/>
        <v>4800000</v>
      </c>
      <c r="F3946" s="5">
        <v>45910</v>
      </c>
      <c r="G3946" s="4">
        <v>20250909</v>
      </c>
      <c r="H3946" s="38" t="e">
        <f>VLOOKUP(B3946,CAJEROS!B:D,3,0)</f>
        <v>#N/A</v>
      </c>
      <c r="I3946" s="34" t="s">
        <v>9</v>
      </c>
      <c r="J3946" s="38" t="e">
        <f>VLOOKUP(B3946,CAJEROS!B:E,4,0)</f>
        <v>#N/A</v>
      </c>
      <c r="K3946" t="s">
        <v>579</v>
      </c>
    </row>
    <row r="3947" spans="1:11">
      <c r="A3947" s="32">
        <v>866</v>
      </c>
      <c r="B3947" s="33">
        <v>6260</v>
      </c>
      <c r="C3947" s="3">
        <v>100000</v>
      </c>
      <c r="D3947" s="3"/>
      <c r="E3947" s="7">
        <f t="shared" si="86"/>
        <v>100000</v>
      </c>
      <c r="F3947" s="5">
        <v>45910</v>
      </c>
      <c r="G3947" s="4">
        <v>20250909</v>
      </c>
      <c r="H3947" s="38" t="str">
        <f>VLOOKUP(B3947,CAJEROS!B:D,3,0)</f>
        <v>Dispensador</v>
      </c>
      <c r="I3947" s="34" t="s">
        <v>9</v>
      </c>
      <c r="J3947" s="38" t="str">
        <f>VLOOKUP(B3947,CAJEROS!B:E,4,0)</f>
        <v>SUC_FLORID4</v>
      </c>
      <c r="K3947" t="s">
        <v>579</v>
      </c>
    </row>
    <row r="3948" spans="1:11">
      <c r="A3948" s="32">
        <v>915</v>
      </c>
      <c r="B3948" s="33">
        <v>8315</v>
      </c>
      <c r="C3948" s="3">
        <v>1650000</v>
      </c>
      <c r="D3948" s="3"/>
      <c r="E3948" s="7">
        <f t="shared" si="86"/>
        <v>1650000</v>
      </c>
      <c r="F3948" s="5">
        <v>45910</v>
      </c>
      <c r="G3948" s="4">
        <v>20250909</v>
      </c>
      <c r="H3948" s="38" t="str">
        <f>VLOOKUP(B3948,CAJEROS!B:D,3,0)</f>
        <v>Dispensador</v>
      </c>
      <c r="I3948" s="34" t="s">
        <v>9</v>
      </c>
      <c r="J3948" s="38" t="str">
        <f>VLOOKUP(B3948,CAJEROS!B:E,4,0)</f>
        <v>SUCBANLABB1</v>
      </c>
      <c r="K3948" t="s">
        <v>579</v>
      </c>
    </row>
    <row r="3949" spans="1:11">
      <c r="A3949" s="32">
        <v>944</v>
      </c>
      <c r="B3949" s="33">
        <v>8356</v>
      </c>
      <c r="C3949" s="3">
        <v>50000</v>
      </c>
      <c r="D3949" s="3"/>
      <c r="E3949" s="7">
        <f t="shared" si="86"/>
        <v>50000</v>
      </c>
      <c r="F3949" s="5">
        <v>45910</v>
      </c>
      <c r="G3949" s="4">
        <v>20250909</v>
      </c>
      <c r="H3949" s="38" t="str">
        <f>VLOOKUP(B3949,CAJEROS!B:D,3,0)</f>
        <v>Dispensador</v>
      </c>
      <c r="I3949" s="34" t="s">
        <v>9</v>
      </c>
      <c r="J3949" s="38" t="str">
        <f>VLOOKUP(B3949,CAJEROS!B:E,4,0)</f>
        <v>SUCSANTABO2</v>
      </c>
      <c r="K3949" t="s">
        <v>579</v>
      </c>
    </row>
    <row r="3950" spans="1:11">
      <c r="A3950" s="32">
        <v>74</v>
      </c>
      <c r="B3950" s="33">
        <v>6215</v>
      </c>
      <c r="C3950" s="3">
        <v>4584500</v>
      </c>
      <c r="D3950" s="3"/>
      <c r="E3950" s="7">
        <f t="shared" si="86"/>
        <v>4584500</v>
      </c>
      <c r="F3950" s="5">
        <v>45910</v>
      </c>
      <c r="G3950" s="4">
        <v>20250909</v>
      </c>
      <c r="H3950" s="38" t="str">
        <f>VLOOKUP(B3950,CAJEROS!B:D,3,0)</f>
        <v>Multifuncional</v>
      </c>
      <c r="I3950" s="34"/>
      <c r="J3950" s="38" t="str">
        <f>VLOOKUP(B3950,CAJEROS!B:E,4,0)</f>
        <v>MF_PASTO</v>
      </c>
      <c r="K3950" t="s">
        <v>579</v>
      </c>
    </row>
    <row r="3951" spans="1:11">
      <c r="A3951" s="32">
        <v>138</v>
      </c>
      <c r="B3951" s="33">
        <v>6628</v>
      </c>
      <c r="C3951" s="3">
        <v>111100</v>
      </c>
      <c r="D3951" s="3"/>
      <c r="E3951" s="7">
        <f t="shared" si="86"/>
        <v>111100</v>
      </c>
      <c r="F3951" s="5">
        <v>45910</v>
      </c>
      <c r="G3951" s="4">
        <v>20250909</v>
      </c>
      <c r="H3951" s="38" t="str">
        <f>VLOOKUP(B3951,CAJEROS!B:D,3,0)</f>
        <v>Multifuncional</v>
      </c>
      <c r="I3951" s="34"/>
      <c r="J3951" s="38" t="str">
        <f>VLOOKUP(B3951,CAJEROS!B:E,4,0)</f>
        <v>MF_MOSQUERA</v>
      </c>
      <c r="K3951" t="s">
        <v>579</v>
      </c>
    </row>
    <row r="3952" spans="1:11">
      <c r="A3952" s="32">
        <v>197</v>
      </c>
      <c r="B3952" s="33">
        <v>5084</v>
      </c>
      <c r="C3952" s="3">
        <v>9980000</v>
      </c>
      <c r="D3952" s="3"/>
      <c r="E3952" s="7">
        <f t="shared" si="86"/>
        <v>9980000</v>
      </c>
      <c r="F3952" s="5">
        <v>45910</v>
      </c>
      <c r="G3952" s="4">
        <v>20250909</v>
      </c>
      <c r="H3952" s="38" t="str">
        <f>VLOOKUP(B3952,CAJEROS!B:D,3,0)</f>
        <v>Multifuncional</v>
      </c>
      <c r="I3952" s="34"/>
      <c r="J3952" s="38" t="str">
        <f>VLOOKUP(B3952,CAJEROS!B:E,4,0)</f>
        <v>MF_GUATAPUR</v>
      </c>
      <c r="K3952" t="s">
        <v>579</v>
      </c>
    </row>
    <row r="3953" spans="1:11">
      <c r="A3953" s="32">
        <v>302</v>
      </c>
      <c r="B3953" s="33">
        <v>5170</v>
      </c>
      <c r="C3953" s="3">
        <v>9100000</v>
      </c>
      <c r="D3953" s="3"/>
      <c r="E3953" s="7">
        <f t="shared" si="86"/>
        <v>9100000</v>
      </c>
      <c r="F3953" s="5">
        <v>45910</v>
      </c>
      <c r="G3953" s="4">
        <v>20250909</v>
      </c>
      <c r="H3953" s="38" t="str">
        <f>VLOOKUP(B3953,CAJEROS!B:D,3,0)</f>
        <v>Multifuncional</v>
      </c>
      <c r="I3953" s="34"/>
      <c r="J3953" s="38" t="str">
        <f>VLOOKUP(B3953,CAJEROS!B:E,4,0)</f>
        <v>MF_QUEBRASE</v>
      </c>
      <c r="K3953" t="s">
        <v>579</v>
      </c>
    </row>
    <row r="3954" spans="1:11">
      <c r="A3954" s="32">
        <v>358</v>
      </c>
      <c r="B3954" s="33">
        <v>5149</v>
      </c>
      <c r="C3954" s="3">
        <v>45050</v>
      </c>
      <c r="D3954" s="3"/>
      <c r="E3954" s="7">
        <f t="shared" si="86"/>
        <v>45050</v>
      </c>
      <c r="F3954" s="5">
        <v>45910</v>
      </c>
      <c r="G3954" s="4">
        <v>20250909</v>
      </c>
      <c r="H3954" s="38" t="str">
        <f>VLOOKUP(B3954,CAJEROS!B:D,3,0)</f>
        <v>Multifuncional</v>
      </c>
      <c r="I3954" s="34"/>
      <c r="J3954" s="38" t="str">
        <f>VLOOKUP(B3954,CAJEROS!B:E,4,0)</f>
        <v>MF_SOGAMOSO</v>
      </c>
      <c r="K3954" t="s">
        <v>579</v>
      </c>
    </row>
    <row r="3955" spans="1:11">
      <c r="A3955" s="32">
        <v>361</v>
      </c>
      <c r="B3955" s="33">
        <v>5005</v>
      </c>
      <c r="C3955" s="3">
        <v>15260000</v>
      </c>
      <c r="D3955" s="3"/>
      <c r="E3955" s="7">
        <f t="shared" si="86"/>
        <v>15260000</v>
      </c>
      <c r="F3955" s="5">
        <v>45910</v>
      </c>
      <c r="G3955" s="4">
        <v>20250909</v>
      </c>
      <c r="H3955" s="38" t="str">
        <f>VLOOKUP(B3955,CAJEROS!B:D,3,0)</f>
        <v>Multifuncional</v>
      </c>
      <c r="I3955" s="34"/>
      <c r="J3955" s="38" t="str">
        <f>VLOOKUP(B3955,CAJEROS!B:E,4,0)</f>
        <v>MF_CDPFONTI</v>
      </c>
      <c r="K3955" t="s">
        <v>579</v>
      </c>
    </row>
    <row r="3956" spans="1:11">
      <c r="A3956" s="32">
        <v>367</v>
      </c>
      <c r="B3956" s="33">
        <v>9580</v>
      </c>
      <c r="C3956" s="3">
        <v>1000</v>
      </c>
      <c r="D3956" s="3">
        <v>500</v>
      </c>
      <c r="E3956" s="7">
        <f t="shared" si="86"/>
        <v>500</v>
      </c>
      <c r="F3956" s="5">
        <v>45910</v>
      </c>
      <c r="G3956" s="4">
        <v>20250909</v>
      </c>
      <c r="H3956" s="38" t="str">
        <f>VLOOKUP(B3956,CAJEROS!B:D,3,0)</f>
        <v>Multifuncional</v>
      </c>
      <c r="I3956" s="34"/>
      <c r="J3956" s="38" t="str">
        <f>VLOOKUP(B3956,CAJEROS!B:E,4,0)</f>
        <v>MF_SUCGRAN1</v>
      </c>
      <c r="K3956" t="s">
        <v>579</v>
      </c>
    </row>
    <row r="3957" spans="1:11">
      <c r="A3957" s="32">
        <v>457</v>
      </c>
      <c r="B3957" s="33">
        <v>9004</v>
      </c>
      <c r="C3957" s="3">
        <v>14988000</v>
      </c>
      <c r="D3957" s="3">
        <f>14967950+50</f>
        <v>14968000</v>
      </c>
      <c r="E3957" s="7">
        <f t="shared" si="86"/>
        <v>20000</v>
      </c>
      <c r="F3957" s="5">
        <v>45910</v>
      </c>
      <c r="G3957" s="4">
        <v>20250909</v>
      </c>
      <c r="H3957" s="38" t="str">
        <f>VLOOKUP(B3957,CAJEROS!B:D,3,0)</f>
        <v>Multifuncional</v>
      </c>
      <c r="I3957" s="34"/>
      <c r="J3957" s="38" t="str">
        <f>VLOOKUP(B3957,CAJEROS!B:E,4,0)</f>
        <v>MF_SSANPED1</v>
      </c>
      <c r="K3957" t="s">
        <v>579</v>
      </c>
    </row>
    <row r="3958" spans="1:11">
      <c r="A3958" s="32">
        <v>467</v>
      </c>
      <c r="B3958" s="33">
        <v>9052</v>
      </c>
      <c r="C3958" s="3">
        <v>712300</v>
      </c>
      <c r="D3958" s="3">
        <v>410000</v>
      </c>
      <c r="E3958" s="7">
        <f t="shared" si="86"/>
        <v>302300</v>
      </c>
      <c r="F3958" s="5">
        <v>45910</v>
      </c>
      <c r="G3958" s="4">
        <v>20250909</v>
      </c>
      <c r="H3958" s="38" t="str">
        <f>VLOOKUP(B3958,CAJEROS!B:D,3,0)</f>
        <v>Multifuncional</v>
      </c>
      <c r="I3958" s="34"/>
      <c r="J3958" s="38" t="str">
        <f>VLOOKUP(B3958,CAJEROS!B:E,4,0)</f>
        <v>MFHDVERPLZ2</v>
      </c>
      <c r="K3958" t="s">
        <v>579</v>
      </c>
    </row>
    <row r="3959" spans="1:11">
      <c r="A3959" s="32">
        <v>517</v>
      </c>
      <c r="B3959" s="33">
        <v>5053</v>
      </c>
      <c r="C3959" s="3">
        <v>2316800</v>
      </c>
      <c r="D3959" s="3">
        <v>1810000</v>
      </c>
      <c r="E3959" s="7">
        <f t="shared" si="86"/>
        <v>506800</v>
      </c>
      <c r="F3959" s="5">
        <v>45910</v>
      </c>
      <c r="G3959" s="4">
        <v>20250909</v>
      </c>
      <c r="H3959" s="38" t="str">
        <f>VLOOKUP(B3959,CAJEROS!B:D,3,0)</f>
        <v>Multifuncional</v>
      </c>
      <c r="I3959" s="34"/>
      <c r="J3959" s="38" t="str">
        <f>VLOOKUP(B3959,CAJEROS!B:E,4,0)</f>
        <v>MF_RODADERO</v>
      </c>
      <c r="K3959" t="s">
        <v>579</v>
      </c>
    </row>
    <row r="3960" spans="1:11">
      <c r="A3960" s="32">
        <v>692</v>
      </c>
      <c r="B3960" s="33">
        <v>1516</v>
      </c>
      <c r="C3960" s="3">
        <v>19635200</v>
      </c>
      <c r="D3960" s="3"/>
      <c r="E3960" s="7">
        <f t="shared" si="86"/>
        <v>19635200</v>
      </c>
      <c r="F3960" s="5">
        <v>45910</v>
      </c>
      <c r="G3960" s="4">
        <v>20250909</v>
      </c>
      <c r="H3960" s="38" t="str">
        <f>VLOOKUP(B3960,CAJEROS!B:D,3,0)</f>
        <v>Multifuncional</v>
      </c>
      <c r="I3960" s="34"/>
      <c r="J3960" s="38" t="str">
        <f>VLOOKUP(B3960,CAJEROS!B:E,4,0)</f>
        <v>MFSUCALTPR2</v>
      </c>
      <c r="K3960" t="s">
        <v>579</v>
      </c>
    </row>
    <row r="3961" spans="1:11">
      <c r="A3961" s="32">
        <v>718</v>
      </c>
      <c r="B3961" s="33">
        <v>6248</v>
      </c>
      <c r="C3961" s="3">
        <v>20080000</v>
      </c>
      <c r="D3961" s="3"/>
      <c r="E3961" s="7">
        <f t="shared" si="86"/>
        <v>20080000</v>
      </c>
      <c r="F3961" s="5">
        <v>45910</v>
      </c>
      <c r="G3961" s="4">
        <v>20250909</v>
      </c>
      <c r="H3961" s="38" t="str">
        <f>VLOOKUP(B3961,CAJEROS!B:D,3,0)</f>
        <v>Multifuncional</v>
      </c>
      <c r="I3961" s="34"/>
      <c r="J3961" s="38" t="str">
        <f>VLOOKUP(B3961,CAJEROS!B:E,4,0)</f>
        <v>MF_LAESTACI</v>
      </c>
      <c r="K3961" t="s">
        <v>579</v>
      </c>
    </row>
    <row r="3962" spans="1:11">
      <c r="A3962" s="32">
        <v>777</v>
      </c>
      <c r="B3962" s="33">
        <v>4868</v>
      </c>
      <c r="C3962" s="3">
        <v>260850</v>
      </c>
      <c r="D3962" s="3"/>
      <c r="E3962" s="7">
        <f t="shared" si="86"/>
        <v>260850</v>
      </c>
      <c r="F3962" s="5">
        <v>45910</v>
      </c>
      <c r="G3962" s="4">
        <v>20250909</v>
      </c>
      <c r="H3962" s="38" t="str">
        <f>VLOOKUP(B3962,CAJEROS!B:D,3,0)</f>
        <v>Multifuncional</v>
      </c>
      <c r="I3962" s="34"/>
      <c r="J3962" s="38" t="str">
        <f>VLOOKUP(B3962,CAJEROS!B:E,4,0)</f>
        <v>MFPWASHING2</v>
      </c>
      <c r="K3962" t="s">
        <v>579</v>
      </c>
    </row>
    <row r="3963" spans="1:11">
      <c r="A3963" s="32">
        <v>777</v>
      </c>
      <c r="B3963" s="33">
        <v>5009</v>
      </c>
      <c r="C3963" s="3">
        <v>1355000</v>
      </c>
      <c r="D3963" s="3"/>
      <c r="E3963" s="7">
        <f t="shared" si="86"/>
        <v>1355000</v>
      </c>
      <c r="F3963" s="5">
        <v>45910</v>
      </c>
      <c r="G3963" s="4">
        <v>20250909</v>
      </c>
      <c r="H3963" s="38" t="str">
        <f>VLOOKUP(B3963,CAJEROS!B:D,3,0)</f>
        <v>Multifuncional</v>
      </c>
      <c r="I3963" s="34"/>
      <c r="J3963" s="38" t="str">
        <f>VLOOKUP(B3963,CAJEROS!B:E,4,0)</f>
        <v>MF_PWASHING</v>
      </c>
      <c r="K3963" t="s">
        <v>579</v>
      </c>
    </row>
    <row r="3964" spans="1:11">
      <c r="A3964" s="32">
        <v>829</v>
      </c>
      <c r="B3964" s="33">
        <v>5137</v>
      </c>
      <c r="C3964" s="3">
        <v>7780750</v>
      </c>
      <c r="D3964" s="3"/>
      <c r="E3964" s="7">
        <f t="shared" si="86"/>
        <v>7780750</v>
      </c>
      <c r="F3964" s="5">
        <v>45910</v>
      </c>
      <c r="G3964" s="4">
        <v>20250909</v>
      </c>
      <c r="H3964" s="38" t="str">
        <f>VLOOKUP(B3964,CAJEROS!B:D,3,0)</f>
        <v>Multifuncional</v>
      </c>
      <c r="I3964" s="34"/>
      <c r="J3964" s="38" t="str">
        <f>VLOOKUP(B3964,CAJEROS!B:E,4,0)</f>
        <v>MF_UNICALI1</v>
      </c>
      <c r="K3964" t="s">
        <v>579</v>
      </c>
    </row>
    <row r="3965" spans="1:11">
      <c r="A3965" s="32">
        <v>868</v>
      </c>
      <c r="B3965" s="33">
        <v>6149</v>
      </c>
      <c r="C3965" s="3">
        <v>11745000</v>
      </c>
      <c r="D3965" s="3"/>
      <c r="E3965" s="7">
        <f t="shared" si="86"/>
        <v>11745000</v>
      </c>
      <c r="F3965" s="5">
        <v>45910</v>
      </c>
      <c r="G3965" s="4">
        <v>20250909</v>
      </c>
      <c r="H3965" s="38" t="str">
        <f>VLOOKUP(B3965,CAJEROS!B:D,3,0)</f>
        <v>Multifuncional</v>
      </c>
      <c r="I3965" s="34"/>
      <c r="J3965" s="38" t="str">
        <f>VLOOKUP(B3965,CAJEROS!B:E,4,0)</f>
        <v>MF_POPAYAN1</v>
      </c>
      <c r="K3965" t="s">
        <v>579</v>
      </c>
    </row>
    <row r="3966" spans="1:11">
      <c r="A3966" s="32">
        <v>915</v>
      </c>
      <c r="B3966" s="33">
        <v>8313</v>
      </c>
      <c r="C3966" s="3">
        <v>200</v>
      </c>
      <c r="D3966" s="3"/>
      <c r="E3966" s="7">
        <f t="shared" si="86"/>
        <v>200</v>
      </c>
      <c r="F3966" s="5">
        <v>45910</v>
      </c>
      <c r="G3966" s="4">
        <v>20250909</v>
      </c>
      <c r="H3966" s="38" t="str">
        <f>VLOOKUP(B3966,CAJEROS!B:D,3,0)</f>
        <v>Multifuncional</v>
      </c>
      <c r="I3966" s="34"/>
      <c r="J3966" s="38" t="str">
        <f>VLOOKUP(B3966,CAJEROS!B:E,4,0)</f>
        <v>MF_BANLABB1</v>
      </c>
      <c r="K3966" t="s">
        <v>579</v>
      </c>
    </row>
    <row r="3967" spans="1:11">
      <c r="A3967" s="32">
        <v>352</v>
      </c>
      <c r="B3967" s="33">
        <v>6618</v>
      </c>
      <c r="C3967" s="3">
        <v>3685000</v>
      </c>
      <c r="D3967" s="3"/>
      <c r="E3967" s="7">
        <f t="shared" si="86"/>
        <v>3685000</v>
      </c>
      <c r="F3967" s="5">
        <v>45910</v>
      </c>
      <c r="G3967" s="4">
        <v>20250909</v>
      </c>
      <c r="H3967" s="38" t="str">
        <f>VLOOKUP(B3967,CAJEROS!B:D,3,0)</f>
        <v>Multifuncional</v>
      </c>
      <c r="I3967" s="34" t="s">
        <v>9</v>
      </c>
      <c r="J3967" s="38" t="str">
        <f>VLOOKUP(B3967,CAJEROS!B:E,4,0)</f>
        <v>MF_CHIQUINQ</v>
      </c>
      <c r="K3967" t="s">
        <v>579</v>
      </c>
    </row>
    <row r="3968" spans="1:11">
      <c r="A3968" s="32">
        <v>318</v>
      </c>
      <c r="B3968" s="33">
        <v>5136</v>
      </c>
      <c r="C3968" s="3">
        <v>3495000</v>
      </c>
      <c r="D3968" s="3">
        <v>2990000</v>
      </c>
      <c r="E3968" s="7">
        <f t="shared" si="86"/>
        <v>505000</v>
      </c>
      <c r="F3968" s="5">
        <v>45910</v>
      </c>
      <c r="G3968" s="4">
        <v>20250909</v>
      </c>
      <c r="H3968" s="38" t="str">
        <f>VLOOKUP(B3968,CAJEROS!B:D,3,0)</f>
        <v>Multifuncional</v>
      </c>
      <c r="I3968" s="34" t="s">
        <v>9</v>
      </c>
      <c r="J3968" s="38" t="str">
        <f>VLOOKUP(B3968,CAJEROS!B:E,4,0)</f>
        <v>MF_SUCOCANA</v>
      </c>
      <c r="K3968" t="s">
        <v>579</v>
      </c>
    </row>
    <row r="3969" spans="1:11">
      <c r="A3969" s="32">
        <v>481</v>
      </c>
      <c r="B3969" s="33">
        <v>1010</v>
      </c>
      <c r="C3969" s="3">
        <v>3250000</v>
      </c>
      <c r="D3969" s="3"/>
      <c r="E3969" s="7">
        <f t="shared" si="86"/>
        <v>3250000</v>
      </c>
      <c r="F3969" s="5">
        <v>45910</v>
      </c>
      <c r="G3969" s="4">
        <v>20250909</v>
      </c>
      <c r="H3969" s="38" t="str">
        <f>VLOOKUP(B3969,CAJEROS!B:D,3,0)</f>
        <v>Multifuncional</v>
      </c>
      <c r="I3969" s="34" t="s">
        <v>9</v>
      </c>
      <c r="J3969" s="38" t="str">
        <f>VLOOKUP(B3969,CAJEROS!B:E,4,0)</f>
        <v>MF_SOLEDAD1</v>
      </c>
      <c r="K3969" t="s">
        <v>579</v>
      </c>
    </row>
    <row r="3970" spans="1:11">
      <c r="A3970" s="32">
        <v>291</v>
      </c>
      <c r="B3970" s="33">
        <v>8139</v>
      </c>
      <c r="C3970" s="3">
        <v>2815000</v>
      </c>
      <c r="D3970" s="3">
        <v>291000</v>
      </c>
      <c r="E3970" s="7">
        <f t="shared" si="86"/>
        <v>2524000</v>
      </c>
      <c r="F3970" s="5">
        <v>45910</v>
      </c>
      <c r="G3970" s="4">
        <v>20250909</v>
      </c>
      <c r="H3970" s="38" t="str">
        <f>VLOOKUP(B3970,CAJEROS!B:D,3,0)</f>
        <v>Multifuncional</v>
      </c>
      <c r="I3970" s="34" t="s">
        <v>9</v>
      </c>
      <c r="J3970" s="38" t="str">
        <f>VLOOKUP(B3970,CAJEROS!B:E,4,0)</f>
        <v>MF_LPALMAS2</v>
      </c>
      <c r="K3970" t="s">
        <v>579</v>
      </c>
    </row>
    <row r="3971" spans="1:11">
      <c r="A3971" s="32">
        <v>816</v>
      </c>
      <c r="B3971" s="33">
        <v>5205</v>
      </c>
      <c r="C3971" s="3">
        <v>2710000</v>
      </c>
      <c r="D3971" s="3"/>
      <c r="E3971" s="7">
        <f t="shared" si="86"/>
        <v>2710000</v>
      </c>
      <c r="F3971" s="5">
        <v>45910</v>
      </c>
      <c r="G3971" s="4">
        <v>20250909</v>
      </c>
      <c r="H3971" s="38" t="str">
        <f>VLOOKUP(B3971,CAJEROS!B:D,3,0)</f>
        <v>Multifuncional</v>
      </c>
      <c r="I3971" s="34" t="s">
        <v>9</v>
      </c>
      <c r="J3971" s="38" t="str">
        <f>VLOOKUP(B3971,CAJEROS!B:E,4,0)</f>
        <v>MF_SUCLLE10</v>
      </c>
      <c r="K3971" t="s">
        <v>579</v>
      </c>
    </row>
    <row r="3972" spans="1:11">
      <c r="A3972" s="32">
        <v>331</v>
      </c>
      <c r="B3972" s="33">
        <v>575</v>
      </c>
      <c r="C3972" s="3">
        <v>2637000</v>
      </c>
      <c r="D3972" s="3"/>
      <c r="E3972" s="7">
        <f t="shared" si="86"/>
        <v>2637000</v>
      </c>
      <c r="F3972" s="5">
        <v>45910</v>
      </c>
      <c r="G3972" s="4">
        <v>20250909</v>
      </c>
      <c r="H3972" s="38" t="str">
        <f>VLOOKUP(B3972,CAJEROS!B:D,3,0)</f>
        <v>Multifuncional</v>
      </c>
      <c r="I3972" s="34" t="s">
        <v>9</v>
      </c>
      <c r="J3972" s="38" t="str">
        <f>VLOOKUP(B3972,CAJEROS!B:E,4,0)</f>
        <v>MF_SUCARKA2</v>
      </c>
      <c r="K3972" t="s">
        <v>579</v>
      </c>
    </row>
    <row r="3973" spans="1:11">
      <c r="A3973" s="32">
        <v>15</v>
      </c>
      <c r="B3973" s="33">
        <v>8576</v>
      </c>
      <c r="C3973" s="3">
        <v>2195000</v>
      </c>
      <c r="D3973" s="3">
        <v>2080000</v>
      </c>
      <c r="E3973" s="7">
        <f t="shared" si="86"/>
        <v>115000</v>
      </c>
      <c r="F3973" s="5">
        <v>45910</v>
      </c>
      <c r="G3973" s="4">
        <v>20250909</v>
      </c>
      <c r="H3973" s="38" t="str">
        <f>VLOOKUP(B3973,CAJEROS!B:D,3,0)</f>
        <v>Multifuncional</v>
      </c>
      <c r="I3973" s="34" t="s">
        <v>9</v>
      </c>
      <c r="J3973" s="38" t="str">
        <f>VLOOKUP(B3973,CAJEROS!B:E,4,0)</f>
        <v>MF_HITAGUI1</v>
      </c>
      <c r="K3973" t="s">
        <v>579</v>
      </c>
    </row>
    <row r="3974" spans="1:11">
      <c r="A3974" s="32">
        <v>166</v>
      </c>
      <c r="B3974" s="33">
        <v>7939</v>
      </c>
      <c r="C3974" s="3">
        <v>1710000</v>
      </c>
      <c r="D3974" s="3">
        <v>110000</v>
      </c>
      <c r="E3974" s="7">
        <f t="shared" si="86"/>
        <v>1600000</v>
      </c>
      <c r="F3974" s="5">
        <v>45910</v>
      </c>
      <c r="G3974" s="4">
        <v>20250909</v>
      </c>
      <c r="H3974" s="38" t="str">
        <f>VLOOKUP(B3974,CAJEROS!B:D,3,0)</f>
        <v>Multifuncional</v>
      </c>
      <c r="I3974" s="34" t="s">
        <v>9</v>
      </c>
      <c r="J3974" s="38" t="str">
        <f>VLOOKUP(B3974,CAJEROS!B:E,4,0)</f>
        <v>MF_ALDELSI1</v>
      </c>
      <c r="K3974" t="s">
        <v>579</v>
      </c>
    </row>
    <row r="3975" spans="1:11">
      <c r="A3975" s="32">
        <v>541</v>
      </c>
      <c r="B3975" s="33">
        <v>8660</v>
      </c>
      <c r="C3975" s="3">
        <v>1682000</v>
      </c>
      <c r="D3975" s="3">
        <v>1670000</v>
      </c>
      <c r="E3975" s="7">
        <f t="shared" si="86"/>
        <v>12000</v>
      </c>
      <c r="F3975" s="5">
        <v>45910</v>
      </c>
      <c r="G3975" s="4">
        <v>20250909</v>
      </c>
      <c r="H3975" s="38" t="str">
        <f>VLOOKUP(B3975,CAJEROS!B:D,3,0)</f>
        <v>Multifuncional</v>
      </c>
      <c r="I3975" s="34" t="s">
        <v>9</v>
      </c>
      <c r="J3975" s="38" t="str">
        <f>VLOOKUP(B3975,CAJEROS!B:E,4,0)</f>
        <v>MF_SUCCALP2</v>
      </c>
      <c r="K3975" t="s">
        <v>579</v>
      </c>
    </row>
    <row r="3976" spans="1:11">
      <c r="A3976" s="32">
        <v>745</v>
      </c>
      <c r="B3976" s="33">
        <v>1477</v>
      </c>
      <c r="C3976" s="3">
        <v>1375000</v>
      </c>
      <c r="D3976" s="3">
        <v>1350000</v>
      </c>
      <c r="E3976" s="7">
        <f t="shared" si="86"/>
        <v>25000</v>
      </c>
      <c r="F3976" s="5">
        <v>45910</v>
      </c>
      <c r="G3976" s="4">
        <v>20250909</v>
      </c>
      <c r="H3976" s="38" t="str">
        <f>VLOOKUP(B3976,CAJEROS!B:D,3,0)</f>
        <v>Multifuncional</v>
      </c>
      <c r="I3976" s="34" t="s">
        <v>9</v>
      </c>
      <c r="J3976" s="38" t="str">
        <f>VLOOKUP(B3976,CAJEROS!B:E,4,0)</f>
        <v>MFSUCMALPZ2</v>
      </c>
      <c r="K3976" t="s">
        <v>579</v>
      </c>
    </row>
    <row r="3977" spans="1:11">
      <c r="A3977" s="32">
        <v>292</v>
      </c>
      <c r="B3977" s="33">
        <v>5116</v>
      </c>
      <c r="C3977" s="3">
        <v>1306900</v>
      </c>
      <c r="D3977" s="3">
        <v>913500</v>
      </c>
      <c r="E3977" s="7">
        <f t="shared" si="86"/>
        <v>393400</v>
      </c>
      <c r="F3977" s="5">
        <v>45910</v>
      </c>
      <c r="G3977" s="4">
        <v>20250909</v>
      </c>
      <c r="H3977" s="38" t="str">
        <f>VLOOKUP(B3977,CAJEROS!B:D,3,0)</f>
        <v>Multifuncional</v>
      </c>
      <c r="I3977" s="34" t="s">
        <v>9</v>
      </c>
      <c r="J3977" s="38" t="str">
        <f>VLOOKUP(B3977,CAJEROS!B:E,4,0)</f>
        <v>MF_CONFECCI</v>
      </c>
      <c r="K3977" t="s">
        <v>579</v>
      </c>
    </row>
    <row r="3978" spans="1:11">
      <c r="A3978" s="32">
        <v>432</v>
      </c>
      <c r="B3978" s="33">
        <v>5195</v>
      </c>
      <c r="C3978" s="3">
        <v>1220000</v>
      </c>
      <c r="D3978" s="3"/>
      <c r="E3978" s="7">
        <f t="shared" si="86"/>
        <v>1220000</v>
      </c>
      <c r="F3978" s="5">
        <v>45910</v>
      </c>
      <c r="G3978" s="4">
        <v>20250909</v>
      </c>
      <c r="H3978" s="38" t="str">
        <f>VLOOKUP(B3978,CAJEROS!B:D,3,0)</f>
        <v>Multifuncional</v>
      </c>
      <c r="I3978" s="34" t="s">
        <v>9</v>
      </c>
      <c r="J3978" s="38" t="str">
        <f>VLOOKUP(B3978,CAJEROS!B:E,4,0)</f>
        <v>MF_TTEDLSU1</v>
      </c>
      <c r="K3978" t="s">
        <v>579</v>
      </c>
    </row>
    <row r="3979" spans="1:11">
      <c r="A3979" s="32">
        <v>348</v>
      </c>
      <c r="B3979" s="33">
        <v>6724</v>
      </c>
      <c r="C3979" s="3">
        <v>1171950</v>
      </c>
      <c r="D3979" s="3">
        <v>552000</v>
      </c>
      <c r="E3979" s="7">
        <f t="shared" si="86"/>
        <v>619950</v>
      </c>
      <c r="F3979" s="5">
        <v>45910</v>
      </c>
      <c r="G3979" s="4">
        <v>20250909</v>
      </c>
      <c r="H3979" s="38" t="str">
        <f>VLOOKUP(B3979,CAJEROS!B:D,3,0)</f>
        <v>Multifuncional</v>
      </c>
      <c r="I3979" s="34" t="s">
        <v>9</v>
      </c>
      <c r="J3979" s="38" t="str">
        <f>VLOOKUP(B3979,CAJEROS!B:E,4,0)</f>
        <v>MF_SANANDRE</v>
      </c>
      <c r="K3979" t="s">
        <v>579</v>
      </c>
    </row>
    <row r="3980" spans="1:11">
      <c r="A3980" s="32">
        <v>944</v>
      </c>
      <c r="B3980" s="33">
        <v>8353</v>
      </c>
      <c r="C3980" s="3">
        <v>969900</v>
      </c>
      <c r="D3980" s="3">
        <v>724700</v>
      </c>
      <c r="E3980" s="7">
        <f t="shared" si="86"/>
        <v>245200</v>
      </c>
      <c r="F3980" s="5">
        <v>45910</v>
      </c>
      <c r="G3980" s="4">
        <v>20250909</v>
      </c>
      <c r="H3980" s="38" t="str">
        <f>VLOOKUP(B3980,CAJEROS!B:D,3,0)</f>
        <v>Multifuncional</v>
      </c>
      <c r="I3980" s="34" t="s">
        <v>9</v>
      </c>
      <c r="J3980" s="38" t="str">
        <f>VLOOKUP(B3980,CAJEROS!B:E,4,0)</f>
        <v>MF_SANTABO1</v>
      </c>
      <c r="K3980" t="s">
        <v>579</v>
      </c>
    </row>
    <row r="3981" spans="1:11">
      <c r="A3981" s="32">
        <v>554</v>
      </c>
      <c r="B3981" s="33">
        <v>8294</v>
      </c>
      <c r="C3981" s="3">
        <v>870000</v>
      </c>
      <c r="D3981" s="3"/>
      <c r="E3981" s="7">
        <f t="shared" si="86"/>
        <v>870000</v>
      </c>
      <c r="F3981" s="5">
        <v>45910</v>
      </c>
      <c r="G3981" s="4">
        <v>20250909</v>
      </c>
      <c r="H3981" s="38" t="str">
        <f>VLOOKUP(B3981,CAJEROS!B:D,3,0)</f>
        <v>Multifuncional</v>
      </c>
      <c r="I3981" s="34" t="s">
        <v>9</v>
      </c>
      <c r="J3981" s="38" t="str">
        <f>VLOOKUP(B3981,CAJEROS!B:E,4,0)</f>
        <v>MF_SBUVIII1</v>
      </c>
      <c r="K3981" t="s">
        <v>579</v>
      </c>
    </row>
    <row r="3982" spans="1:11">
      <c r="A3982" s="32">
        <v>287</v>
      </c>
      <c r="B3982" s="33">
        <v>907</v>
      </c>
      <c r="C3982" s="3">
        <v>740000</v>
      </c>
      <c r="D3982" s="3"/>
      <c r="E3982" s="7">
        <f t="shared" si="86"/>
        <v>740000</v>
      </c>
      <c r="F3982" s="5">
        <v>45910</v>
      </c>
      <c r="G3982" s="4">
        <v>20250909</v>
      </c>
      <c r="H3982" s="38" t="str">
        <f>VLOOKUP(B3982,CAJEROS!B:D,3,0)</f>
        <v>Multifuncional</v>
      </c>
      <c r="I3982" s="34" t="s">
        <v>9</v>
      </c>
      <c r="J3982" s="38" t="str">
        <f>VLOOKUP(B3982,CAJEROS!B:E,4,0)</f>
        <v>MFABASTOBGA</v>
      </c>
      <c r="K3982" t="s">
        <v>579</v>
      </c>
    </row>
    <row r="3983" spans="1:11">
      <c r="A3983" s="32">
        <v>279</v>
      </c>
      <c r="B3983" s="33">
        <v>5147</v>
      </c>
      <c r="C3983" s="3">
        <v>712000</v>
      </c>
      <c r="D3983" s="3">
        <v>434000</v>
      </c>
      <c r="E3983" s="7">
        <f t="shared" si="86"/>
        <v>278000</v>
      </c>
      <c r="F3983" s="5">
        <v>45910</v>
      </c>
      <c r="G3983" s="4">
        <v>20250909</v>
      </c>
      <c r="H3983" s="38" t="str">
        <f>VLOOKUP(B3983,CAJEROS!B:D,3,0)</f>
        <v>Multifuncional</v>
      </c>
      <c r="I3983" s="34" t="s">
        <v>9</v>
      </c>
      <c r="J3983" s="38" t="str">
        <f>VLOOKUP(B3983,CAJEROS!B:E,4,0)</f>
        <v>MF_ITAGPARQ</v>
      </c>
      <c r="K3983" t="s">
        <v>579</v>
      </c>
    </row>
    <row r="3984" spans="1:11">
      <c r="A3984" s="32">
        <v>193</v>
      </c>
      <c r="B3984" s="33">
        <v>8537</v>
      </c>
      <c r="C3984" s="3">
        <v>370000</v>
      </c>
      <c r="D3984" s="3">
        <f>230000+68000</f>
        <v>298000</v>
      </c>
      <c r="E3984" s="7">
        <f t="shared" si="86"/>
        <v>72000</v>
      </c>
      <c r="F3984" s="5">
        <v>45910</v>
      </c>
      <c r="G3984" s="4">
        <v>20250909</v>
      </c>
      <c r="H3984" s="38" t="str">
        <f>VLOOKUP(B3984,CAJEROS!B:D,3,0)</f>
        <v>Multifuncional</v>
      </c>
      <c r="I3984" s="34" t="s">
        <v>9</v>
      </c>
      <c r="J3984" s="38" t="str">
        <f>VLOOKUP(B3984,CAJEROS!B:E,4,0)</f>
        <v>MF_HSUCFIC1</v>
      </c>
      <c r="K3984" t="s">
        <v>579</v>
      </c>
    </row>
    <row r="3985" spans="1:11">
      <c r="A3985" s="32">
        <v>907</v>
      </c>
      <c r="B3985" s="33">
        <v>5019</v>
      </c>
      <c r="C3985" s="3">
        <v>280000</v>
      </c>
      <c r="D3985" s="3"/>
      <c r="E3985" s="7">
        <f t="shared" si="86"/>
        <v>280000</v>
      </c>
      <c r="F3985" s="5">
        <v>45910</v>
      </c>
      <c r="G3985" s="4">
        <v>20250909</v>
      </c>
      <c r="H3985" s="38" t="str">
        <f>VLOOKUP(B3985,CAJEROS!B:D,3,0)</f>
        <v>Multifuncional</v>
      </c>
      <c r="I3985" s="34" t="s">
        <v>9</v>
      </c>
      <c r="J3985" s="38" t="str">
        <f>VLOOKUP(B3985,CAJEROS!B:E,4,0)</f>
        <v>MF_FRONTERA</v>
      </c>
      <c r="K3985" t="s">
        <v>579</v>
      </c>
    </row>
    <row r="3986" spans="1:11">
      <c r="A3986" s="32">
        <v>844</v>
      </c>
      <c r="B3986" s="33">
        <v>6169</v>
      </c>
      <c r="C3986" s="3">
        <v>115500</v>
      </c>
      <c r="D3986" s="3">
        <v>66800</v>
      </c>
      <c r="E3986" s="7">
        <f t="shared" si="86"/>
        <v>48700</v>
      </c>
      <c r="F3986" s="5">
        <v>45910</v>
      </c>
      <c r="G3986" s="4">
        <v>20250909</v>
      </c>
      <c r="H3986" s="38" t="str">
        <f>VLOOKUP(B3986,CAJEROS!B:D,3,0)</f>
        <v>Multifuncional</v>
      </c>
      <c r="I3986" s="34" t="s">
        <v>9</v>
      </c>
      <c r="J3986" s="38" t="str">
        <f>VLOOKUP(B3986,CAJEROS!B:E,4,0)</f>
        <v>MF_PRIMAVRA</v>
      </c>
      <c r="K3986" t="s">
        <v>579</v>
      </c>
    </row>
    <row r="3987" spans="1:11">
      <c r="A3987" s="32">
        <v>795</v>
      </c>
      <c r="B3987" s="33">
        <v>1029</v>
      </c>
      <c r="C3987" s="3">
        <v>90000</v>
      </c>
      <c r="D3987" s="3"/>
      <c r="E3987" s="7">
        <f t="shared" si="86"/>
        <v>90000</v>
      </c>
      <c r="F3987" s="5">
        <v>45910</v>
      </c>
      <c r="G3987" s="4">
        <v>20250909</v>
      </c>
      <c r="H3987" s="38" t="str">
        <f>VLOOKUP(B3987,CAJEROS!B:D,3,0)</f>
        <v>Multifuncional</v>
      </c>
      <c r="I3987" s="34" t="s">
        <v>9</v>
      </c>
      <c r="J3987" s="38" t="str">
        <f>VLOOKUP(B3987,CAJEROS!B:E,4,0)</f>
        <v>MFSUCANVER3</v>
      </c>
      <c r="K3987" t="s">
        <v>579</v>
      </c>
    </row>
    <row r="3988" spans="1:11">
      <c r="A3988" s="32">
        <v>681</v>
      </c>
      <c r="B3988" s="33">
        <v>8494</v>
      </c>
      <c r="C3988" s="3">
        <v>10000</v>
      </c>
      <c r="D3988" s="3"/>
      <c r="E3988" s="7">
        <f t="shared" si="86"/>
        <v>10000</v>
      </c>
      <c r="F3988" s="5">
        <v>45910</v>
      </c>
      <c r="G3988" s="4">
        <v>20250909</v>
      </c>
      <c r="H3988" s="38" t="str">
        <f>VLOOKUP(B3988,CAJEROS!B:D,3,0)</f>
        <v>Dispensador</v>
      </c>
      <c r="I3988" s="34" t="s">
        <v>10</v>
      </c>
      <c r="J3988" s="38" t="str">
        <f>VLOOKUP(B3988,CAJEROS!B:E,4,0)</f>
        <v>SUC_CERETE2</v>
      </c>
      <c r="K3988" t="s">
        <v>579</v>
      </c>
    </row>
    <row r="3989" spans="1:11">
      <c r="A3989" s="32">
        <v>716</v>
      </c>
      <c r="B3989" s="33">
        <v>5192</v>
      </c>
      <c r="C3989" s="3">
        <v>5000</v>
      </c>
      <c r="D3989" s="3"/>
      <c r="E3989" s="7">
        <f t="shared" si="86"/>
        <v>5000</v>
      </c>
      <c r="F3989" s="5">
        <v>45910</v>
      </c>
      <c r="G3989" s="4">
        <v>20250909</v>
      </c>
      <c r="H3989" s="38" t="str">
        <f>VLOOKUP(B3989,CAJEROS!B:D,3,0)</f>
        <v>Multifuncional</v>
      </c>
      <c r="I3989" s="34" t="s">
        <v>10</v>
      </c>
      <c r="J3989" s="38" t="str">
        <f>VLOOKUP(B3989,CAJEROS!B:E,4,0)</f>
        <v>MF_AVCGORDS</v>
      </c>
      <c r="K3989" t="s">
        <v>579</v>
      </c>
    </row>
    <row r="3990" spans="1:11">
      <c r="A3990" s="32">
        <v>153</v>
      </c>
      <c r="B3990" s="33">
        <v>9879</v>
      </c>
      <c r="C3990" s="3">
        <v>10000</v>
      </c>
      <c r="D3990" s="3"/>
      <c r="E3990" s="7">
        <f t="shared" ref="E3990:E4053" si="87">+C3990-D3990</f>
        <v>10000</v>
      </c>
      <c r="F3990" s="5">
        <v>45910</v>
      </c>
      <c r="G3990" s="4">
        <v>20250909</v>
      </c>
      <c r="H3990" s="38" t="str">
        <f>VLOOKUP(B3990,CAJEROS!B:D,3,0)</f>
        <v>Dispensador</v>
      </c>
      <c r="I3990" s="34" t="s">
        <v>10</v>
      </c>
      <c r="J3990" s="38" t="str">
        <f>VLOOKUP(B3990,CAJEROS!B:E,4,0)</f>
        <v>EXITOIBAG_1</v>
      </c>
      <c r="K3990" t="s">
        <v>579</v>
      </c>
    </row>
    <row r="3991" spans="1:11">
      <c r="A3991" s="32">
        <v>884</v>
      </c>
      <c r="B3991" s="33">
        <v>3962</v>
      </c>
      <c r="C3991" s="3">
        <v>10000</v>
      </c>
      <c r="D3991" s="3"/>
      <c r="E3991" s="7">
        <f t="shared" si="87"/>
        <v>10000</v>
      </c>
      <c r="F3991" s="5">
        <v>45910</v>
      </c>
      <c r="G3991" s="4">
        <v>20250909</v>
      </c>
      <c r="H3991" s="38" t="str">
        <f>VLOOKUP(B3991,CAJEROS!B:D,3,0)</f>
        <v>Dispensador</v>
      </c>
      <c r="I3991" s="34" t="s">
        <v>10</v>
      </c>
      <c r="J3991" s="38" t="str">
        <f>VLOOKUP(B3991,CAJEROS!B:E,4,0)</f>
        <v>SUCSANMART1</v>
      </c>
      <c r="K3991" t="s">
        <v>579</v>
      </c>
    </row>
    <row r="3992" spans="1:11">
      <c r="A3992" s="32">
        <v>385</v>
      </c>
      <c r="B3992" s="33">
        <v>1826</v>
      </c>
      <c r="C3992" s="3">
        <v>10000</v>
      </c>
      <c r="D3992" s="3"/>
      <c r="E3992" s="7">
        <f t="shared" si="87"/>
        <v>10000</v>
      </c>
      <c r="F3992" s="5">
        <v>45910</v>
      </c>
      <c r="G3992" s="4">
        <v>20250909</v>
      </c>
      <c r="H3992" s="38" t="str">
        <f>VLOOKUP(B3992,CAJEROS!B:D,3,0)</f>
        <v>Dispensador</v>
      </c>
      <c r="I3992" s="34" t="s">
        <v>10</v>
      </c>
      <c r="J3992" s="38" t="str">
        <f>VLOOKUP(B3992,CAJEROS!B:E,4,0)</f>
        <v>OFVILLETA1</v>
      </c>
      <c r="K3992" t="s">
        <v>579</v>
      </c>
    </row>
    <row r="3993" spans="1:11">
      <c r="A3993" s="32">
        <v>556</v>
      </c>
      <c r="B3993" s="33">
        <v>8333</v>
      </c>
      <c r="C3993" s="3">
        <v>10000</v>
      </c>
      <c r="D3993" s="3"/>
      <c r="E3993" s="7">
        <f t="shared" si="87"/>
        <v>10000</v>
      </c>
      <c r="F3993" s="5">
        <v>45910</v>
      </c>
      <c r="G3993" s="4">
        <v>20250909</v>
      </c>
      <c r="H3993" s="38" t="str">
        <f>VLOOKUP(B3993,CAJEROS!B:D,3,0)</f>
        <v>Multifuncional</v>
      </c>
      <c r="I3993" s="34" t="s">
        <v>10</v>
      </c>
      <c r="J3993" s="38" t="str">
        <f>VLOOKUP(B3993,CAJEROS!B:E,4,0)</f>
        <v>MF_SCARVIB1</v>
      </c>
      <c r="K3993" t="s">
        <v>579</v>
      </c>
    </row>
    <row r="3994" spans="1:11">
      <c r="A3994" s="32">
        <v>4</v>
      </c>
      <c r="B3994" s="33">
        <v>8626</v>
      </c>
      <c r="C3994" s="3">
        <v>1250000</v>
      </c>
      <c r="D3994" s="3">
        <f>1050000+70000+100000</f>
        <v>1220000</v>
      </c>
      <c r="E3994" s="7">
        <f t="shared" si="87"/>
        <v>30000</v>
      </c>
      <c r="F3994" s="5">
        <v>45911</v>
      </c>
      <c r="G3994" s="4">
        <v>20250910</v>
      </c>
      <c r="H3994" s="38" t="str">
        <f>VLOOKUP(B3994,CAJEROS!B:D,3,0)</f>
        <v>Dispensador</v>
      </c>
      <c r="I3994" s="34"/>
      <c r="J3994" s="38" t="str">
        <f>VLOOKUP(B3994,CAJEROS!B:E,4,0)</f>
        <v>SUCLAURELE1</v>
      </c>
      <c r="K3994" t="s">
        <v>579</v>
      </c>
    </row>
    <row r="3995" spans="1:11">
      <c r="A3995" s="32">
        <v>61</v>
      </c>
      <c r="B3995" s="33">
        <v>782</v>
      </c>
      <c r="C3995" s="3">
        <v>190000</v>
      </c>
      <c r="D3995" s="3"/>
      <c r="E3995" s="7">
        <f t="shared" si="87"/>
        <v>190000</v>
      </c>
      <c r="F3995" s="5">
        <v>45911</v>
      </c>
      <c r="G3995" s="4">
        <v>20250910</v>
      </c>
      <c r="H3995" s="38" t="str">
        <f>VLOOKUP(B3995,CAJEROS!B:D,3,0)</f>
        <v>Dispensador</v>
      </c>
      <c r="I3995" s="34"/>
      <c r="J3995" s="38" t="str">
        <f>VLOOKUP(B3995,CAJEROS!B:E,4,0)</f>
        <v>SUCLAESTAC2</v>
      </c>
      <c r="K3995" t="s">
        <v>579</v>
      </c>
    </row>
    <row r="3996" spans="1:11">
      <c r="A3996" s="32">
        <v>85</v>
      </c>
      <c r="B3996" s="33">
        <v>8973</v>
      </c>
      <c r="C3996" s="3">
        <v>210000</v>
      </c>
      <c r="D3996" s="3"/>
      <c r="E3996" s="7">
        <f t="shared" si="87"/>
        <v>210000</v>
      </c>
      <c r="F3996" s="5">
        <v>45911</v>
      </c>
      <c r="G3996" s="4">
        <v>20250910</v>
      </c>
      <c r="H3996" s="38" t="str">
        <f>VLOOKUP(B3996,CAJEROS!B:D,3,0)</f>
        <v>Dispensador</v>
      </c>
      <c r="I3996" s="34"/>
      <c r="J3996" s="38" t="str">
        <f>VLOOKUP(B3996,CAJEROS!B:E,4,0)</f>
        <v>SUCSERZUL_4</v>
      </c>
      <c r="K3996" t="s">
        <v>579</v>
      </c>
    </row>
    <row r="3997" spans="1:11">
      <c r="A3997" s="32">
        <v>96</v>
      </c>
      <c r="B3997" s="33">
        <v>1036</v>
      </c>
      <c r="C3997" s="3">
        <v>50000</v>
      </c>
      <c r="D3997" s="3"/>
      <c r="E3997" s="7">
        <f t="shared" si="87"/>
        <v>50000</v>
      </c>
      <c r="F3997" s="5">
        <v>45911</v>
      </c>
      <c r="G3997" s="4">
        <v>20250910</v>
      </c>
      <c r="H3997" s="38" t="str">
        <f>VLOOKUP(B3997,CAJEROS!B:D,3,0)</f>
        <v>Dispensador</v>
      </c>
      <c r="I3997" s="34"/>
      <c r="J3997" s="38" t="str">
        <f>VLOOKUP(B3997,CAJEROS!B:E,4,0)</f>
        <v>SUC_MAICAO2</v>
      </c>
      <c r="K3997" t="s">
        <v>579</v>
      </c>
    </row>
    <row r="3998" spans="1:11">
      <c r="A3998" s="32">
        <v>111</v>
      </c>
      <c r="B3998" s="33">
        <v>3654</v>
      </c>
      <c r="C3998" s="3">
        <v>20000</v>
      </c>
      <c r="D3998" s="3"/>
      <c r="E3998" s="7">
        <f t="shared" si="87"/>
        <v>20000</v>
      </c>
      <c r="F3998" s="5">
        <v>45911</v>
      </c>
      <c r="G3998" s="4">
        <v>20250910</v>
      </c>
      <c r="H3998" s="38" t="str">
        <f>VLOOKUP(B3998,CAJEROS!B:D,3,0)</f>
        <v>Dispensador</v>
      </c>
      <c r="I3998" s="34"/>
      <c r="J3998" s="38" t="str">
        <f>VLOOKUP(B3998,CAJEROS!B:E,4,0)</f>
        <v>SUC_COROZ2</v>
      </c>
      <c r="K3998" t="s">
        <v>579</v>
      </c>
    </row>
    <row r="3999" spans="1:11">
      <c r="A3999" s="32">
        <v>261</v>
      </c>
      <c r="B3999" s="33">
        <v>8475</v>
      </c>
      <c r="C3999" s="3">
        <v>180000</v>
      </c>
      <c r="D3999" s="3"/>
      <c r="E3999" s="7">
        <f t="shared" si="87"/>
        <v>180000</v>
      </c>
      <c r="F3999" s="5">
        <v>45911</v>
      </c>
      <c r="G3999" s="4">
        <v>20250910</v>
      </c>
      <c r="H3999" s="38" t="str">
        <f>VLOOKUP(B3999,CAJEROS!B:D,3,0)</f>
        <v>Dispensador</v>
      </c>
      <c r="I3999" s="34"/>
      <c r="J3999" s="38" t="str">
        <f>VLOOKUP(B3999,CAJEROS!B:E,4,0)</f>
        <v>SUCAMPA1</v>
      </c>
      <c r="K3999" t="s">
        <v>579</v>
      </c>
    </row>
    <row r="4000" spans="1:11">
      <c r="A4000" s="32">
        <v>305</v>
      </c>
      <c r="B4000" s="33">
        <v>7722</v>
      </c>
      <c r="C4000" s="3">
        <v>100000</v>
      </c>
      <c r="D4000" s="3"/>
      <c r="E4000" s="7">
        <f t="shared" si="87"/>
        <v>100000</v>
      </c>
      <c r="F4000" s="5">
        <v>45911</v>
      </c>
      <c r="G4000" s="4">
        <v>20250910</v>
      </c>
      <c r="H4000" s="38" t="str">
        <f>VLOOKUP(B4000,CAJEROS!B:D,3,0)</f>
        <v>Dispensador</v>
      </c>
      <c r="I4000" s="34"/>
      <c r="J4000" s="38" t="str">
        <f>VLOOKUP(B4000,CAJEROS!B:E,4,0)</f>
        <v>VILLACASAN4</v>
      </c>
      <c r="K4000" t="s">
        <v>579</v>
      </c>
    </row>
    <row r="4001" spans="1:11">
      <c r="A4001" s="32">
        <v>318</v>
      </c>
      <c r="B4001" s="33">
        <v>5348</v>
      </c>
      <c r="C4001" s="3">
        <v>200000</v>
      </c>
      <c r="D4001" s="3"/>
      <c r="E4001" s="7">
        <f t="shared" si="87"/>
        <v>200000</v>
      </c>
      <c r="F4001" s="5">
        <v>45911</v>
      </c>
      <c r="G4001" s="4">
        <v>20250910</v>
      </c>
      <c r="H4001" s="38" t="str">
        <f>VLOOKUP(B4001,CAJEROS!B:D,3,0)</f>
        <v>Dispensador</v>
      </c>
      <c r="I4001" s="34"/>
      <c r="J4001" s="38" t="str">
        <f>VLOOKUP(B4001,CAJEROS!B:E,4,0)</f>
        <v>SUC_OCANA1</v>
      </c>
      <c r="K4001" t="s">
        <v>579</v>
      </c>
    </row>
    <row r="4002" spans="1:11">
      <c r="A4002" s="32">
        <v>422</v>
      </c>
      <c r="B4002" s="33">
        <v>4555</v>
      </c>
      <c r="C4002" s="3">
        <v>670000</v>
      </c>
      <c r="D4002" s="3">
        <f>260000+350000</f>
        <v>610000</v>
      </c>
      <c r="E4002" s="7">
        <f t="shared" si="87"/>
        <v>60000</v>
      </c>
      <c r="F4002" s="5">
        <v>45911</v>
      </c>
      <c r="G4002" s="4">
        <v>20250910</v>
      </c>
      <c r="H4002" s="38" t="str">
        <f>VLOOKUP(B4002,CAJEROS!B:D,3,0)</f>
        <v>Dispensador</v>
      </c>
      <c r="I4002" s="34"/>
      <c r="J4002" s="38" t="str">
        <f>VLOOKUP(B4002,CAJEROS!B:E,4,0)</f>
        <v>CHAPARRAL_2</v>
      </c>
      <c r="K4002" t="s">
        <v>579</v>
      </c>
    </row>
    <row r="4003" spans="1:11">
      <c r="A4003" s="32">
        <v>507</v>
      </c>
      <c r="B4003" s="33">
        <v>1727</v>
      </c>
      <c r="C4003" s="3">
        <v>300000</v>
      </c>
      <c r="D4003" s="3"/>
      <c r="E4003" s="7">
        <f t="shared" si="87"/>
        <v>300000</v>
      </c>
      <c r="F4003" s="5">
        <v>45911</v>
      </c>
      <c r="G4003" s="4">
        <v>20250910</v>
      </c>
      <c r="H4003" s="38" t="str">
        <f>VLOOKUP(B4003,CAJEROS!B:D,3,0)</f>
        <v>Dispensador</v>
      </c>
      <c r="I4003" s="34"/>
      <c r="J4003" s="38" t="str">
        <f>VLOOKUP(B4003,CAJEROS!B:E,4,0)</f>
        <v>OFSANTOLU3</v>
      </c>
      <c r="K4003" t="s">
        <v>579</v>
      </c>
    </row>
    <row r="4004" spans="1:11">
      <c r="A4004" s="32">
        <v>721</v>
      </c>
      <c r="B4004" s="33">
        <v>8895</v>
      </c>
      <c r="C4004" s="3">
        <v>10000</v>
      </c>
      <c r="D4004" s="3"/>
      <c r="E4004" s="7">
        <f t="shared" si="87"/>
        <v>10000</v>
      </c>
      <c r="F4004" s="5">
        <v>45911</v>
      </c>
      <c r="G4004" s="4">
        <v>20250910</v>
      </c>
      <c r="H4004" s="38" t="str">
        <f>VLOOKUP(B4004,CAJEROS!B:D,3,0)</f>
        <v>Dispensador</v>
      </c>
      <c r="I4004" s="34"/>
      <c r="J4004" s="38" t="str">
        <f>VLOOKUP(B4004,CAJEROS!B:E,4,0)</f>
        <v>SUCHALLAGO5</v>
      </c>
      <c r="K4004" t="s">
        <v>579</v>
      </c>
    </row>
    <row r="4005" spans="1:11">
      <c r="A4005" s="32">
        <v>743</v>
      </c>
      <c r="B4005" s="33">
        <v>5697</v>
      </c>
      <c r="C4005" s="3">
        <v>1900000</v>
      </c>
      <c r="D4005" s="3">
        <v>166300</v>
      </c>
      <c r="E4005" s="7">
        <f t="shared" si="87"/>
        <v>1733700</v>
      </c>
      <c r="F4005" s="5">
        <v>45911</v>
      </c>
      <c r="G4005" s="4">
        <v>20250910</v>
      </c>
      <c r="H4005" s="38" t="str">
        <f>VLOOKUP(B4005,CAJEROS!B:D,3,0)</f>
        <v>Dispensador</v>
      </c>
      <c r="I4005" s="34"/>
      <c r="J4005" s="38" t="str">
        <f>VLOOKUP(B4005,CAJEROS!B:E,4,0)</f>
        <v>SUC_NORTHP3</v>
      </c>
      <c r="K4005" t="s">
        <v>579</v>
      </c>
    </row>
    <row r="4006" spans="1:11">
      <c r="A4006" s="32">
        <v>782</v>
      </c>
      <c r="B4006" s="33">
        <v>9855</v>
      </c>
      <c r="C4006" s="3">
        <v>200000</v>
      </c>
      <c r="D4006" s="3">
        <v>150000</v>
      </c>
      <c r="E4006" s="7">
        <f t="shared" si="87"/>
        <v>50000</v>
      </c>
      <c r="F4006" s="5">
        <v>45911</v>
      </c>
      <c r="G4006" s="4">
        <v>20250910</v>
      </c>
      <c r="H4006" s="38" t="str">
        <f>VLOOKUP(B4006,CAJEROS!B:D,3,0)</f>
        <v>Dispensador</v>
      </c>
      <c r="I4006" s="34"/>
      <c r="J4006" s="38" t="str">
        <f>VLOOKUP(B4006,CAJEROS!B:E,4,0)</f>
        <v>SUCSEVILLA2</v>
      </c>
      <c r="K4006" t="s">
        <v>579</v>
      </c>
    </row>
    <row r="4007" spans="1:11">
      <c r="A4007" s="32">
        <v>882</v>
      </c>
      <c r="B4007" s="33">
        <v>3510</v>
      </c>
      <c r="C4007" s="3">
        <v>790000</v>
      </c>
      <c r="D4007" s="3">
        <v>150000</v>
      </c>
      <c r="E4007" s="7">
        <f t="shared" si="87"/>
        <v>640000</v>
      </c>
      <c r="F4007" s="5">
        <v>45911</v>
      </c>
      <c r="G4007" s="4">
        <v>20250910</v>
      </c>
      <c r="H4007" s="38" t="str">
        <f>VLOOKUP(B4007,CAJEROS!B:D,3,0)</f>
        <v>Dispensador</v>
      </c>
      <c r="I4007" s="34"/>
      <c r="J4007" s="38" t="str">
        <f>VLOOKUP(B4007,CAJEROS!B:E,4,0)</f>
        <v>LIBERTADOR1</v>
      </c>
      <c r="K4007" t="s">
        <v>579</v>
      </c>
    </row>
    <row r="4008" spans="1:11">
      <c r="A4008" s="32">
        <v>890</v>
      </c>
      <c r="B4008" s="33">
        <v>3897</v>
      </c>
      <c r="C4008" s="3">
        <v>50000</v>
      </c>
      <c r="D4008" s="3"/>
      <c r="E4008" s="7">
        <f t="shared" si="87"/>
        <v>50000</v>
      </c>
      <c r="F4008" s="5">
        <v>45911</v>
      </c>
      <c r="G4008" s="4">
        <v>20250910</v>
      </c>
      <c r="H4008" s="38" t="str">
        <f>VLOOKUP(B4008,CAJEROS!B:D,3,0)</f>
        <v>Dispensador</v>
      </c>
      <c r="I4008" s="34"/>
      <c r="J4008" s="38" t="str">
        <f>VLOOKUP(B4008,CAJEROS!B:E,4,0)</f>
        <v>SUC_ACACI2</v>
      </c>
      <c r="K4008" t="s">
        <v>579</v>
      </c>
    </row>
    <row r="4009" spans="1:11">
      <c r="A4009" s="32">
        <v>894</v>
      </c>
      <c r="B4009" s="33">
        <v>4232</v>
      </c>
      <c r="C4009" s="3">
        <v>1000000</v>
      </c>
      <c r="D4009" s="3"/>
      <c r="E4009" s="7">
        <f t="shared" si="87"/>
        <v>1000000</v>
      </c>
      <c r="F4009" s="5">
        <v>45911</v>
      </c>
      <c r="G4009" s="4">
        <v>20250910</v>
      </c>
      <c r="H4009" s="38" t="str">
        <f>VLOOKUP(B4009,CAJEROS!B:D,3,0)</f>
        <v>Dispensador</v>
      </c>
      <c r="I4009" s="34"/>
      <c r="J4009" s="38" t="str">
        <f>VLOOKUP(B4009,CAJEROS!B:E,4,0)</f>
        <v>AUTO_TUMA1</v>
      </c>
      <c r="K4009" t="s">
        <v>579</v>
      </c>
    </row>
    <row r="4010" spans="1:11">
      <c r="A4010" s="32">
        <v>305</v>
      </c>
      <c r="B4010" s="33">
        <v>4897</v>
      </c>
      <c r="C4010" s="3">
        <v>230000</v>
      </c>
      <c r="D4010" s="3"/>
      <c r="E4010" s="7">
        <f t="shared" si="87"/>
        <v>230000</v>
      </c>
      <c r="F4010" s="5">
        <v>45911</v>
      </c>
      <c r="G4010" s="4">
        <v>20250910</v>
      </c>
      <c r="H4010" s="38" t="str">
        <f>VLOOKUP(B4010,CAJEROS!B:D,3,0)</f>
        <v>Dispensador</v>
      </c>
      <c r="I4010" s="34" t="s">
        <v>9</v>
      </c>
      <c r="J4010" s="38" t="str">
        <f>VLOOKUP(B4010,CAJEROS!B:E,4,0)</f>
        <v>SUC_VILLAN3</v>
      </c>
      <c r="K4010" t="s">
        <v>579</v>
      </c>
    </row>
    <row r="4011" spans="1:11">
      <c r="A4011" s="32">
        <v>335</v>
      </c>
      <c r="B4011" s="33">
        <v>5741</v>
      </c>
      <c r="C4011" s="3">
        <v>40000</v>
      </c>
      <c r="D4011" s="3"/>
      <c r="E4011" s="7">
        <f t="shared" si="87"/>
        <v>40000</v>
      </c>
      <c r="F4011" s="5">
        <v>45911</v>
      </c>
      <c r="G4011" s="4">
        <v>20250910</v>
      </c>
      <c r="H4011" s="38" t="str">
        <f>VLOOKUP(B4011,CAJEROS!B:D,3,0)</f>
        <v>Dispensador</v>
      </c>
      <c r="I4011" s="34" t="s">
        <v>9</v>
      </c>
      <c r="J4011" s="38" t="str">
        <f>VLOOKUP(B4011,CAJEROS!B:E,4,0)</f>
        <v>SUC_CAJICA5</v>
      </c>
      <c r="K4011" t="s">
        <v>579</v>
      </c>
    </row>
    <row r="4012" spans="1:11">
      <c r="A4012" s="32">
        <v>451</v>
      </c>
      <c r="B4012" s="33">
        <v>4967</v>
      </c>
      <c r="C4012" s="3">
        <v>100000</v>
      </c>
      <c r="D4012" s="3"/>
      <c r="E4012" s="7">
        <f t="shared" si="87"/>
        <v>100000</v>
      </c>
      <c r="F4012" s="5">
        <v>45911</v>
      </c>
      <c r="G4012" s="4">
        <v>20250910</v>
      </c>
      <c r="H4012" s="38" t="str">
        <f>VLOOKUP(B4012,CAJEROS!B:D,3,0)</f>
        <v>Dispensador</v>
      </c>
      <c r="I4012" s="34" t="s">
        <v>9</v>
      </c>
      <c r="J4012" s="38" t="str">
        <f>VLOOKUP(B4012,CAJEROS!B:E,4,0)</f>
        <v>SUCPTOASIS2</v>
      </c>
      <c r="K4012" t="s">
        <v>579</v>
      </c>
    </row>
    <row r="4013" spans="1:11">
      <c r="A4013" s="32">
        <v>523</v>
      </c>
      <c r="B4013" s="33">
        <v>3997</v>
      </c>
      <c r="C4013" s="3">
        <v>100000</v>
      </c>
      <c r="D4013" s="3"/>
      <c r="E4013" s="7">
        <f t="shared" si="87"/>
        <v>100000</v>
      </c>
      <c r="F4013" s="5">
        <v>45911</v>
      </c>
      <c r="G4013" s="4">
        <v>20250910</v>
      </c>
      <c r="H4013" s="38" t="str">
        <f>VLOOKUP(B4013,CAJEROS!B:D,3,0)</f>
        <v>Dispensador</v>
      </c>
      <c r="I4013" s="34" t="s">
        <v>9</v>
      </c>
      <c r="J4013" s="38" t="str">
        <f>VLOOKUP(B4013,CAJEROS!B:E,4,0)</f>
        <v>SUC_OVALLE3</v>
      </c>
      <c r="K4013" t="s">
        <v>579</v>
      </c>
    </row>
    <row r="4014" spans="1:11">
      <c r="A4014" s="32">
        <v>829</v>
      </c>
      <c r="B4014" s="33">
        <v>1157</v>
      </c>
      <c r="C4014" s="3">
        <v>100000</v>
      </c>
      <c r="D4014" s="3"/>
      <c r="E4014" s="7">
        <f t="shared" si="87"/>
        <v>100000</v>
      </c>
      <c r="F4014" s="5">
        <v>45911</v>
      </c>
      <c r="G4014" s="4">
        <v>20250910</v>
      </c>
      <c r="H4014" s="38" t="str">
        <f>VLOOKUP(B4014,CAJEROS!B:D,3,0)</f>
        <v>Dispensador</v>
      </c>
      <c r="I4014" s="34" t="s">
        <v>9</v>
      </c>
      <c r="J4014" s="38" t="str">
        <f>VLOOKUP(B4014,CAJEROS!B:E,4,0)</f>
        <v>SUCUNICCAL3</v>
      </c>
      <c r="K4014" t="s">
        <v>579</v>
      </c>
    </row>
    <row r="4015" spans="1:11">
      <c r="A4015" s="32">
        <v>16</v>
      </c>
      <c r="B4015" s="33">
        <v>5219</v>
      </c>
      <c r="C4015" s="3">
        <v>6203900</v>
      </c>
      <c r="D4015" s="3"/>
      <c r="E4015" s="7">
        <f t="shared" si="87"/>
        <v>6203900</v>
      </c>
      <c r="F4015" s="5">
        <v>45911</v>
      </c>
      <c r="G4015" s="4">
        <v>20250910</v>
      </c>
      <c r="H4015" s="38" t="str">
        <f>VLOOKUP(B4015,CAJEROS!B:D,3,0)</f>
        <v>Multifuncional</v>
      </c>
      <c r="I4015" s="34"/>
      <c r="J4015" s="38" t="str">
        <f>VLOOKUP(B4015,CAJEROS!B:E,4,0)</f>
        <v>MF_AEOLAYA</v>
      </c>
      <c r="K4015" t="s">
        <v>579</v>
      </c>
    </row>
    <row r="4016" spans="1:11">
      <c r="A4016" s="32">
        <v>24</v>
      </c>
      <c r="B4016" s="33">
        <v>5066</v>
      </c>
      <c r="C4016" s="3">
        <v>10880000</v>
      </c>
      <c r="D4016" s="3">
        <v>2300000</v>
      </c>
      <c r="E4016" s="7">
        <f t="shared" si="87"/>
        <v>8580000</v>
      </c>
      <c r="F4016" s="5">
        <v>45911</v>
      </c>
      <c r="G4016" s="4">
        <v>20250910</v>
      </c>
      <c r="H4016" s="38" t="str">
        <f>VLOOKUP(B4016,CAJEROS!B:D,3,0)</f>
        <v>Multifuncional</v>
      </c>
      <c r="I4016" s="34"/>
      <c r="J4016" s="38" t="str">
        <f>VLOOKUP(B4016,CAJEROS!B:E,4,0)</f>
        <v>MF_RIONEGPA</v>
      </c>
      <c r="K4016" t="s">
        <v>579</v>
      </c>
    </row>
    <row r="4017" spans="1:11">
      <c r="A4017" s="32">
        <v>33</v>
      </c>
      <c r="B4017" s="33">
        <v>8861</v>
      </c>
      <c r="C4017" s="3">
        <v>1762000</v>
      </c>
      <c r="D4017" s="3">
        <v>1000000</v>
      </c>
      <c r="E4017" s="7">
        <f t="shared" si="87"/>
        <v>762000</v>
      </c>
      <c r="F4017" s="5">
        <v>45911</v>
      </c>
      <c r="G4017" s="4">
        <v>20250910</v>
      </c>
      <c r="H4017" s="38" t="str">
        <f>VLOOKUP(B4017,CAJEROS!B:D,3,0)</f>
        <v>Multifuncional</v>
      </c>
      <c r="I4017" s="34"/>
      <c r="J4017" s="38" t="str">
        <f>VLOOKUP(B4017,CAJEROS!B:E,4,0)</f>
        <v>MF_SPOLCLU1</v>
      </c>
      <c r="K4017" t="s">
        <v>579</v>
      </c>
    </row>
    <row r="4018" spans="1:11">
      <c r="A4018" s="32">
        <v>79</v>
      </c>
      <c r="B4018" s="33">
        <v>6245</v>
      </c>
      <c r="C4018" s="3">
        <v>9939600</v>
      </c>
      <c r="D4018" s="3">
        <v>8898400</v>
      </c>
      <c r="E4018" s="7">
        <f t="shared" si="87"/>
        <v>1041200</v>
      </c>
      <c r="F4018" s="5">
        <v>45911</v>
      </c>
      <c r="G4018" s="4">
        <v>20250910</v>
      </c>
      <c r="H4018" s="38" t="str">
        <f>VLOOKUP(B4018,CAJEROS!B:D,3,0)</f>
        <v>Multifuncional</v>
      </c>
      <c r="I4018" s="34"/>
      <c r="J4018" s="38" t="str">
        <f>VLOOKUP(B4018,CAJEROS!B:E,4,0)</f>
        <v>MF_LAQUINTA</v>
      </c>
      <c r="K4018" t="s">
        <v>579</v>
      </c>
    </row>
    <row r="4019" spans="1:11">
      <c r="A4019" s="32">
        <v>88</v>
      </c>
      <c r="B4019" s="33">
        <v>5111</v>
      </c>
      <c r="C4019" s="3">
        <v>500</v>
      </c>
      <c r="D4019" s="3"/>
      <c r="E4019" s="7">
        <f t="shared" si="87"/>
        <v>500</v>
      </c>
      <c r="F4019" s="5">
        <v>45911</v>
      </c>
      <c r="G4019" s="4">
        <v>20250910</v>
      </c>
      <c r="H4019" s="38" t="str">
        <f>VLOOKUP(B4019,CAJEROS!B:D,3,0)</f>
        <v>Multifuncional</v>
      </c>
      <c r="I4019" s="34"/>
      <c r="J4019" s="38" t="str">
        <f>VLOOKUP(B4019,CAJEROS!B:E,4,0)</f>
        <v>MF_CUCUTPAL</v>
      </c>
      <c r="K4019" t="s">
        <v>579</v>
      </c>
    </row>
    <row r="4020" spans="1:11">
      <c r="A4020" s="32">
        <v>231</v>
      </c>
      <c r="B4020" s="33">
        <v>6243</v>
      </c>
      <c r="C4020" s="3">
        <v>2000</v>
      </c>
      <c r="D4020" s="3"/>
      <c r="E4020" s="7">
        <f t="shared" si="87"/>
        <v>2000</v>
      </c>
      <c r="F4020" s="5">
        <v>45911</v>
      </c>
      <c r="G4020" s="4">
        <v>20250910</v>
      </c>
      <c r="H4020" s="38" t="str">
        <f>VLOOKUP(B4020,CAJEROS!B:D,3,0)</f>
        <v>Multifuncional</v>
      </c>
      <c r="I4020" s="34"/>
      <c r="J4020" s="38" t="str">
        <f>VLOOKUP(B4020,CAJEROS!B:E,4,0)</f>
        <v>MF_RICAURTE</v>
      </c>
      <c r="K4020" t="s">
        <v>579</v>
      </c>
    </row>
    <row r="4021" spans="1:11">
      <c r="A4021" s="32">
        <v>250</v>
      </c>
      <c r="B4021" s="33">
        <v>5197</v>
      </c>
      <c r="C4021" s="3">
        <v>9901000</v>
      </c>
      <c r="D4021" s="3">
        <f>100000+380000+1064500+330000</f>
        <v>1874500</v>
      </c>
      <c r="E4021" s="7">
        <f t="shared" si="87"/>
        <v>8026500</v>
      </c>
      <c r="F4021" s="5">
        <v>45911</v>
      </c>
      <c r="G4021" s="4">
        <v>20250910</v>
      </c>
      <c r="H4021" s="38" t="str">
        <f>VLOOKUP(B4021,CAJEROS!B:D,3,0)</f>
        <v>Multifuncional</v>
      </c>
      <c r="I4021" s="34"/>
      <c r="J4021" s="38" t="str">
        <f>VLOOKUP(B4021,CAJEROS!B:E,4,0)</f>
        <v>MF_MODELIA</v>
      </c>
      <c r="K4021" t="s">
        <v>579</v>
      </c>
    </row>
    <row r="4022" spans="1:11">
      <c r="A4022" s="32">
        <v>275</v>
      </c>
      <c r="B4022" s="33">
        <v>5034</v>
      </c>
      <c r="C4022" s="3">
        <v>407100</v>
      </c>
      <c r="D4022" s="3"/>
      <c r="E4022" s="7">
        <f t="shared" si="87"/>
        <v>407100</v>
      </c>
      <c r="F4022" s="5">
        <v>45911</v>
      </c>
      <c r="G4022" s="4">
        <v>20250910</v>
      </c>
      <c r="H4022" s="38" t="str">
        <f>VLOOKUP(B4022,CAJEROS!B:D,3,0)</f>
        <v>Multifuncional</v>
      </c>
      <c r="I4022" s="34"/>
      <c r="J4022" s="38" t="str">
        <f>VLOOKUP(B4022,CAJEROS!B:E,4,0)</f>
        <v>MF_BOUENVIG</v>
      </c>
      <c r="K4022" t="s">
        <v>579</v>
      </c>
    </row>
    <row r="4023" spans="1:11">
      <c r="A4023" s="32">
        <v>430</v>
      </c>
      <c r="B4023" s="33">
        <v>5104</v>
      </c>
      <c r="C4023" s="3">
        <v>56000</v>
      </c>
      <c r="D4023" s="3"/>
      <c r="E4023" s="7">
        <f t="shared" si="87"/>
        <v>56000</v>
      </c>
      <c r="F4023" s="5">
        <v>45911</v>
      </c>
      <c r="G4023" s="4">
        <v>20250910</v>
      </c>
      <c r="H4023" s="38" t="str">
        <f>VLOOKUP(B4023,CAJEROS!B:D,3,0)</f>
        <v>Multifuncional</v>
      </c>
      <c r="I4023" s="34"/>
      <c r="J4023" s="38" t="str">
        <f>VLOOKUP(B4023,CAJEROS!B:E,4,0)</f>
        <v>MF_ZONAROSA</v>
      </c>
      <c r="K4023" t="s">
        <v>579</v>
      </c>
    </row>
    <row r="4024" spans="1:11">
      <c r="A4024" s="32">
        <v>477</v>
      </c>
      <c r="B4024" s="33">
        <v>6251</v>
      </c>
      <c r="C4024" s="3">
        <v>6840000</v>
      </c>
      <c r="D4024" s="3"/>
      <c r="E4024" s="7">
        <f t="shared" si="87"/>
        <v>6840000</v>
      </c>
      <c r="F4024" s="5">
        <v>45911</v>
      </c>
      <c r="G4024" s="4">
        <v>20250910</v>
      </c>
      <c r="H4024" s="38" t="str">
        <f>VLOOKUP(B4024,CAJEROS!B:D,3,0)</f>
        <v>Multifuncional</v>
      </c>
      <c r="I4024" s="34"/>
      <c r="J4024" s="38" t="str">
        <f>VLOOKUP(B4024,CAJEROS!B:E,4,0)</f>
        <v>MF_GRANCENT</v>
      </c>
      <c r="K4024" t="s">
        <v>579</v>
      </c>
    </row>
    <row r="4025" spans="1:11">
      <c r="A4025" s="32">
        <v>698</v>
      </c>
      <c r="B4025" s="33">
        <v>5187</v>
      </c>
      <c r="C4025" s="3">
        <v>18100</v>
      </c>
      <c r="D4025" s="3"/>
      <c r="E4025" s="7">
        <f t="shared" si="87"/>
        <v>18100</v>
      </c>
      <c r="F4025" s="5">
        <v>45911</v>
      </c>
      <c r="G4025" s="4">
        <v>20250910</v>
      </c>
      <c r="H4025" s="38" t="str">
        <f>VLOOKUP(B4025,CAJEROS!B:D,3,0)</f>
        <v>Multifuncional</v>
      </c>
      <c r="I4025" s="34"/>
      <c r="J4025" s="38" t="str">
        <f>VLOOKUP(B4025,CAJEROS!B:E,4,0)</f>
        <v>MF_SCLLE79</v>
      </c>
      <c r="K4025" t="s">
        <v>579</v>
      </c>
    </row>
    <row r="4026" spans="1:11">
      <c r="A4026" s="32">
        <v>741</v>
      </c>
      <c r="B4026" s="33">
        <v>6843</v>
      </c>
      <c r="C4026" s="3">
        <v>653200</v>
      </c>
      <c r="D4026" s="3"/>
      <c r="E4026" s="7">
        <f t="shared" si="87"/>
        <v>653200</v>
      </c>
      <c r="F4026" s="5">
        <v>45911</v>
      </c>
      <c r="G4026" s="4">
        <v>20250910</v>
      </c>
      <c r="H4026" s="38" t="str">
        <f>VLOOKUP(B4026,CAJEROS!B:D,3,0)</f>
        <v>Multifuncional</v>
      </c>
      <c r="I4026" s="34"/>
      <c r="J4026" s="38" t="str">
        <f>VLOOKUP(B4026,CAJEROS!B:E,4,0)</f>
        <v>MFSUC_IDEO1</v>
      </c>
      <c r="K4026" t="s">
        <v>579</v>
      </c>
    </row>
    <row r="4027" spans="1:11">
      <c r="A4027" s="32">
        <v>779</v>
      </c>
      <c r="B4027" s="33">
        <v>5013</v>
      </c>
      <c r="C4027" s="3">
        <v>4220000</v>
      </c>
      <c r="D4027" s="3"/>
      <c r="E4027" s="7">
        <f t="shared" si="87"/>
        <v>4220000</v>
      </c>
      <c r="F4027" s="5">
        <v>45911</v>
      </c>
      <c r="G4027" s="4">
        <v>20250910</v>
      </c>
      <c r="H4027" s="38" t="str">
        <f>VLOOKUP(B4027,CAJEROS!B:D,3,0)</f>
        <v>Multifuncional</v>
      </c>
      <c r="I4027" s="34"/>
      <c r="J4027" s="38" t="str">
        <f>VLOOKUP(B4027,CAJEROS!B:E,4,0)</f>
        <v>MF_BUENASM1</v>
      </c>
      <c r="K4027" t="s">
        <v>579</v>
      </c>
    </row>
    <row r="4028" spans="1:11">
      <c r="A4028" s="32">
        <v>824</v>
      </c>
      <c r="B4028" s="33">
        <v>5040</v>
      </c>
      <c r="C4028" s="3">
        <v>1880000</v>
      </c>
      <c r="D4028" s="3"/>
      <c r="E4028" s="7">
        <f t="shared" si="87"/>
        <v>1880000</v>
      </c>
      <c r="F4028" s="5">
        <v>45911</v>
      </c>
      <c r="G4028" s="4">
        <v>20250910</v>
      </c>
      <c r="H4028" s="38" t="str">
        <f>VLOOKUP(B4028,CAJEROS!B:D,3,0)</f>
        <v>Multifuncional</v>
      </c>
      <c r="I4028" s="34"/>
      <c r="J4028" s="38" t="str">
        <f>VLOOKUP(B4028,CAJEROS!B:E,4,0)</f>
        <v>MF_VENPLAZA</v>
      </c>
      <c r="K4028" t="s">
        <v>579</v>
      </c>
    </row>
    <row r="4029" spans="1:11">
      <c r="A4029" s="32">
        <v>890</v>
      </c>
      <c r="B4029" s="33">
        <v>9584</v>
      </c>
      <c r="C4029" s="3">
        <v>168000</v>
      </c>
      <c r="D4029" s="3"/>
      <c r="E4029" s="7">
        <f t="shared" si="87"/>
        <v>168000</v>
      </c>
      <c r="F4029" s="5">
        <v>45911</v>
      </c>
      <c r="G4029" s="4">
        <v>20250910</v>
      </c>
      <c r="H4029" s="38" t="str">
        <f>VLOOKUP(B4029,CAJEROS!B:D,3,0)</f>
        <v>Multifuncional</v>
      </c>
      <c r="I4029" s="34"/>
      <c r="J4029" s="38" t="str">
        <f>VLOOKUP(B4029,CAJEROS!B:E,4,0)</f>
        <v>MFSUCACACI1</v>
      </c>
      <c r="K4029" t="s">
        <v>579</v>
      </c>
    </row>
    <row r="4030" spans="1:11">
      <c r="A4030" s="32">
        <v>571</v>
      </c>
      <c r="B4030" s="33">
        <v>6150</v>
      </c>
      <c r="C4030" s="3">
        <v>3400000</v>
      </c>
      <c r="D4030" s="3">
        <v>3377500</v>
      </c>
      <c r="E4030" s="7">
        <f t="shared" si="87"/>
        <v>22500</v>
      </c>
      <c r="F4030" s="5">
        <v>45911</v>
      </c>
      <c r="G4030" s="4">
        <v>20250910</v>
      </c>
      <c r="H4030" s="38" t="str">
        <f>VLOOKUP(B4030,CAJEROS!B:D,3,0)</f>
        <v>Multifuncional</v>
      </c>
      <c r="I4030" s="34" t="s">
        <v>9</v>
      </c>
      <c r="J4030" s="38" t="str">
        <f>VLOOKUP(B4030,CAJEROS!B:E,4,0)</f>
        <v>MF_PALATIN</v>
      </c>
      <c r="K4030" t="s">
        <v>579</v>
      </c>
    </row>
    <row r="4031" spans="1:11">
      <c r="A4031" s="32">
        <v>358</v>
      </c>
      <c r="B4031" s="33">
        <v>5149</v>
      </c>
      <c r="C4031" s="3">
        <v>2995000</v>
      </c>
      <c r="D4031" s="3">
        <v>2990000</v>
      </c>
      <c r="E4031" s="7">
        <f t="shared" si="87"/>
        <v>5000</v>
      </c>
      <c r="F4031" s="5">
        <v>45911</v>
      </c>
      <c r="G4031" s="4">
        <v>20250910</v>
      </c>
      <c r="H4031" s="38" t="str">
        <f>VLOOKUP(B4031,CAJEROS!B:D,3,0)</f>
        <v>Multifuncional</v>
      </c>
      <c r="I4031" s="34" t="s">
        <v>9</v>
      </c>
      <c r="J4031" s="38" t="str">
        <f>VLOOKUP(B4031,CAJEROS!B:E,4,0)</f>
        <v>MF_SOGAMOSO</v>
      </c>
      <c r="K4031" t="s">
        <v>579</v>
      </c>
    </row>
    <row r="4032" spans="1:11">
      <c r="A4032" s="32">
        <v>392</v>
      </c>
      <c r="B4032" s="33">
        <v>5064</v>
      </c>
      <c r="C4032" s="3">
        <v>2903000</v>
      </c>
      <c r="D4032" s="3">
        <v>2805000</v>
      </c>
      <c r="E4032" s="7">
        <f t="shared" si="87"/>
        <v>98000</v>
      </c>
      <c r="F4032" s="5">
        <v>45911</v>
      </c>
      <c r="G4032" s="4">
        <v>20250910</v>
      </c>
      <c r="H4032" s="38" t="str">
        <f>VLOOKUP(B4032,CAJEROS!B:D,3,0)</f>
        <v>Multifuncional</v>
      </c>
      <c r="I4032" s="34" t="s">
        <v>9</v>
      </c>
      <c r="J4032" s="38" t="str">
        <f>VLOOKUP(B4032,CAJEROS!B:E,4,0)</f>
        <v>MF_LADORADA</v>
      </c>
      <c r="K4032" t="s">
        <v>579</v>
      </c>
    </row>
    <row r="4033" spans="1:11">
      <c r="A4033" s="32">
        <v>777</v>
      </c>
      <c r="B4033" s="33">
        <v>5009</v>
      </c>
      <c r="C4033" s="3">
        <v>2725000</v>
      </c>
      <c r="D4033" s="3">
        <v>1409000</v>
      </c>
      <c r="E4033" s="7">
        <f t="shared" si="87"/>
        <v>1316000</v>
      </c>
      <c r="F4033" s="5">
        <v>45911</v>
      </c>
      <c r="G4033" s="4">
        <v>20250910</v>
      </c>
      <c r="H4033" s="38" t="str">
        <f>VLOOKUP(B4033,CAJEROS!B:D,3,0)</f>
        <v>Multifuncional</v>
      </c>
      <c r="I4033" s="34" t="s">
        <v>9</v>
      </c>
      <c r="J4033" s="38" t="str">
        <f>VLOOKUP(B4033,CAJEROS!B:E,4,0)</f>
        <v>MF_PWASHING</v>
      </c>
      <c r="K4033" t="s">
        <v>579</v>
      </c>
    </row>
    <row r="4034" spans="1:11">
      <c r="A4034" s="32">
        <v>15</v>
      </c>
      <c r="B4034" s="33">
        <v>8577</v>
      </c>
      <c r="C4034" s="3">
        <v>2640000</v>
      </c>
      <c r="D4034" s="3">
        <f>5000+2590000</f>
        <v>2595000</v>
      </c>
      <c r="E4034" s="7">
        <f t="shared" si="87"/>
        <v>45000</v>
      </c>
      <c r="F4034" s="5">
        <v>45911</v>
      </c>
      <c r="G4034" s="4">
        <v>20250910</v>
      </c>
      <c r="H4034" s="38" t="str">
        <f>VLOOKUP(B4034,CAJEROS!B:D,3,0)</f>
        <v>Multifuncional</v>
      </c>
      <c r="I4034" s="34" t="s">
        <v>9</v>
      </c>
      <c r="J4034" s="38" t="str">
        <f>VLOOKUP(B4034,CAJEROS!B:E,4,0)</f>
        <v>MF_HITAGUI2</v>
      </c>
      <c r="K4034" t="s">
        <v>579</v>
      </c>
    </row>
    <row r="4035" spans="1:11">
      <c r="A4035" s="32">
        <v>442</v>
      </c>
      <c r="B4035" s="33">
        <v>8888</v>
      </c>
      <c r="C4035" s="3">
        <v>2535000</v>
      </c>
      <c r="D4035" s="3">
        <v>2245000</v>
      </c>
      <c r="E4035" s="7">
        <f t="shared" si="87"/>
        <v>290000</v>
      </c>
      <c r="F4035" s="5">
        <v>45911</v>
      </c>
      <c r="G4035" s="4">
        <v>20250910</v>
      </c>
      <c r="H4035" s="38" t="str">
        <f>VLOOKUP(B4035,CAJEROS!B:D,3,0)</f>
        <v>Multifuncional</v>
      </c>
      <c r="I4035" s="34" t="s">
        <v>9</v>
      </c>
      <c r="J4035" s="38" t="str">
        <f>VLOOKUP(B4035,CAJEROS!B:E,4,0)</f>
        <v>MFVIVABQUI2</v>
      </c>
      <c r="K4035" t="s">
        <v>579</v>
      </c>
    </row>
    <row r="4036" spans="1:11">
      <c r="A4036" s="32">
        <v>762</v>
      </c>
      <c r="B4036" s="33">
        <v>5181</v>
      </c>
      <c r="C4036" s="3">
        <v>2100000</v>
      </c>
      <c r="D4036" s="3">
        <v>600000</v>
      </c>
      <c r="E4036" s="7">
        <f t="shared" si="87"/>
        <v>1500000</v>
      </c>
      <c r="F4036" s="5">
        <v>45911</v>
      </c>
      <c r="G4036" s="4">
        <v>20250910</v>
      </c>
      <c r="H4036" s="38" t="str">
        <f>VLOOKUP(B4036,CAJEROS!B:D,3,0)</f>
        <v>Multifuncional</v>
      </c>
      <c r="I4036" s="34" t="s">
        <v>9</v>
      </c>
      <c r="J4036" s="38" t="str">
        <f>VLOOKUP(B4036,CAJEROS!B:E,4,0)</f>
        <v>MF_HERRADU1</v>
      </c>
      <c r="K4036" t="s">
        <v>579</v>
      </c>
    </row>
    <row r="4037" spans="1:11">
      <c r="A4037" s="32">
        <v>554</v>
      </c>
      <c r="B4037" s="33">
        <v>8295</v>
      </c>
      <c r="C4037" s="3">
        <v>1845000</v>
      </c>
      <c r="D4037" s="3"/>
      <c r="E4037" s="7">
        <f t="shared" si="87"/>
        <v>1845000</v>
      </c>
      <c r="F4037" s="5">
        <v>45911</v>
      </c>
      <c r="G4037" s="4">
        <v>20250910</v>
      </c>
      <c r="H4037" s="38" t="str">
        <f>VLOOKUP(B4037,CAJEROS!B:D,3,0)</f>
        <v>Multifuncional</v>
      </c>
      <c r="I4037" s="34" t="s">
        <v>9</v>
      </c>
      <c r="J4037" s="38" t="str">
        <f>VLOOKUP(B4037,CAJEROS!B:E,4,0)</f>
        <v>MF_SBUVIII2</v>
      </c>
      <c r="K4037" t="s">
        <v>579</v>
      </c>
    </row>
    <row r="4038" spans="1:11">
      <c r="A4038" s="32">
        <v>68</v>
      </c>
      <c r="B4038" s="33">
        <v>5135</v>
      </c>
      <c r="C4038" s="3">
        <v>1836000</v>
      </c>
      <c r="D4038" s="3"/>
      <c r="E4038" s="7">
        <f t="shared" si="87"/>
        <v>1836000</v>
      </c>
      <c r="F4038" s="5">
        <v>45911</v>
      </c>
      <c r="G4038" s="4">
        <v>20250910</v>
      </c>
      <c r="H4038" s="38" t="str">
        <f>VLOOKUP(B4038,CAJEROS!B:D,3,0)</f>
        <v>Multifuncional</v>
      </c>
      <c r="I4038" s="34" t="s">
        <v>9</v>
      </c>
      <c r="J4038" s="38" t="str">
        <f>VLOOKUP(B4038,CAJEROS!B:E,4,0)</f>
        <v>MF_IBAGUE</v>
      </c>
      <c r="K4038" t="s">
        <v>579</v>
      </c>
    </row>
    <row r="4039" spans="1:11">
      <c r="A4039" s="32">
        <v>348</v>
      </c>
      <c r="B4039" s="33">
        <v>9009</v>
      </c>
      <c r="C4039" s="3">
        <v>1773000</v>
      </c>
      <c r="D4039" s="3"/>
      <c r="E4039" s="7">
        <f t="shared" si="87"/>
        <v>1773000</v>
      </c>
      <c r="F4039" s="5">
        <v>45911</v>
      </c>
      <c r="G4039" s="4">
        <v>20250910</v>
      </c>
      <c r="H4039" s="38" t="str">
        <f>VLOOKUP(B4039,CAJEROS!B:D,3,0)</f>
        <v>Multifuncional</v>
      </c>
      <c r="I4039" s="34" t="s">
        <v>9</v>
      </c>
      <c r="J4039" s="38" t="str">
        <f>VLOOKUP(B4039,CAJEROS!B:E,4,0)</f>
        <v>MF_SANDRES2</v>
      </c>
      <c r="K4039" t="s">
        <v>579</v>
      </c>
    </row>
    <row r="4040" spans="1:11">
      <c r="A4040" s="32">
        <v>523</v>
      </c>
      <c r="B4040" s="33">
        <v>5082</v>
      </c>
      <c r="C4040" s="3">
        <v>1670000</v>
      </c>
      <c r="D4040" s="3"/>
      <c r="E4040" s="7">
        <f t="shared" si="87"/>
        <v>1670000</v>
      </c>
      <c r="F4040" s="5">
        <v>45911</v>
      </c>
      <c r="G4040" s="4">
        <v>20250910</v>
      </c>
      <c r="H4040" s="38" t="str">
        <f>VLOOKUP(B4040,CAJEROS!B:D,3,0)</f>
        <v>Multifuncional</v>
      </c>
      <c r="I4040" s="34" t="s">
        <v>9</v>
      </c>
      <c r="J4040" s="38" t="str">
        <f>VLOOKUP(B4040,CAJEROS!B:E,4,0)</f>
        <v>MF_OVALLEDU</v>
      </c>
      <c r="K4040" t="s">
        <v>579</v>
      </c>
    </row>
    <row r="4041" spans="1:11">
      <c r="A4041" s="32">
        <v>395</v>
      </c>
      <c r="B4041" s="33">
        <v>1529</v>
      </c>
      <c r="C4041" s="3">
        <v>1540000</v>
      </c>
      <c r="D4041" s="3">
        <v>1135000</v>
      </c>
      <c r="E4041" s="7">
        <f t="shared" si="87"/>
        <v>405000</v>
      </c>
      <c r="F4041" s="5">
        <v>45911</v>
      </c>
      <c r="G4041" s="4">
        <v>20250910</v>
      </c>
      <c r="H4041" s="38" t="str">
        <f>VLOOKUP(B4041,CAJEROS!B:D,3,0)</f>
        <v>Multifuncional</v>
      </c>
      <c r="I4041" s="34" t="s">
        <v>9</v>
      </c>
      <c r="J4041" s="38" t="str">
        <f>VLOOKUP(B4041,CAJEROS!B:E,4,0)</f>
        <v>SUCMFVIVCI2</v>
      </c>
      <c r="K4041" t="s">
        <v>579</v>
      </c>
    </row>
    <row r="4042" spans="1:11">
      <c r="A4042" s="32">
        <v>915</v>
      </c>
      <c r="B4042" s="33">
        <v>8314</v>
      </c>
      <c r="C4042" s="3">
        <v>1540000</v>
      </c>
      <c r="D4042" s="3">
        <f>530000+900000</f>
        <v>1430000</v>
      </c>
      <c r="E4042" s="7">
        <f t="shared" si="87"/>
        <v>110000</v>
      </c>
      <c r="F4042" s="5">
        <v>45911</v>
      </c>
      <c r="G4042" s="4">
        <v>20250910</v>
      </c>
      <c r="H4042" s="38" t="str">
        <f>VLOOKUP(B4042,CAJEROS!B:D,3,0)</f>
        <v>Multifuncional</v>
      </c>
      <c r="I4042" s="34" t="s">
        <v>9</v>
      </c>
      <c r="J4042" s="38" t="str">
        <f>VLOOKUP(B4042,CAJEROS!B:E,4,0)</f>
        <v>MF_BANLABB2</v>
      </c>
      <c r="K4042" t="s">
        <v>579</v>
      </c>
    </row>
    <row r="4043" spans="1:11">
      <c r="A4043" s="32">
        <v>383</v>
      </c>
      <c r="B4043" s="33">
        <v>5194</v>
      </c>
      <c r="C4043" s="3">
        <v>1100000</v>
      </c>
      <c r="D4043" s="3">
        <v>745000</v>
      </c>
      <c r="E4043" s="7">
        <f t="shared" si="87"/>
        <v>355000</v>
      </c>
      <c r="F4043" s="5">
        <v>45911</v>
      </c>
      <c r="G4043" s="4">
        <v>20250910</v>
      </c>
      <c r="H4043" s="38" t="str">
        <f>VLOOKUP(B4043,CAJEROS!B:D,3,0)</f>
        <v>Multifuncional</v>
      </c>
      <c r="I4043" s="34" t="s">
        <v>9</v>
      </c>
      <c r="J4043" s="38" t="str">
        <f>VLOOKUP(B4043,CAJEROS!B:E,4,0)</f>
        <v>MF_MADRID</v>
      </c>
      <c r="K4043" t="s">
        <v>579</v>
      </c>
    </row>
    <row r="4044" spans="1:11">
      <c r="A4044" s="32">
        <v>302</v>
      </c>
      <c r="B4044" s="33">
        <v>5170</v>
      </c>
      <c r="C4044" s="3">
        <v>980000</v>
      </c>
      <c r="D4044" s="3"/>
      <c r="E4044" s="7">
        <f t="shared" si="87"/>
        <v>980000</v>
      </c>
      <c r="F4044" s="5">
        <v>45911</v>
      </c>
      <c r="G4044" s="4">
        <v>20250910</v>
      </c>
      <c r="H4044" s="38" t="str">
        <f>VLOOKUP(B4044,CAJEROS!B:D,3,0)</f>
        <v>Multifuncional</v>
      </c>
      <c r="I4044" s="34" t="s">
        <v>9</v>
      </c>
      <c r="J4044" s="38" t="str">
        <f>VLOOKUP(B4044,CAJEROS!B:E,4,0)</f>
        <v>MF_QUEBRASE</v>
      </c>
      <c r="K4044" t="s">
        <v>579</v>
      </c>
    </row>
    <row r="4045" spans="1:11">
      <c r="A4045" s="32">
        <v>916</v>
      </c>
      <c r="B4045" s="33">
        <v>5052</v>
      </c>
      <c r="C4045" s="3">
        <v>760000</v>
      </c>
      <c r="D4045" s="3"/>
      <c r="E4045" s="7">
        <f t="shared" si="87"/>
        <v>760000</v>
      </c>
      <c r="F4045" s="5">
        <v>45911</v>
      </c>
      <c r="G4045" s="4">
        <v>20250910</v>
      </c>
      <c r="H4045" s="38" t="str">
        <f>VLOOKUP(B4045,CAJEROS!B:D,3,0)</f>
        <v>Multifuncional</v>
      </c>
      <c r="I4045" s="34" t="s">
        <v>9</v>
      </c>
      <c r="J4045" s="38" t="str">
        <f>VLOOKUP(B4045,CAJEROS!B:E,4,0)</f>
        <v>MF_OCEANMAL</v>
      </c>
      <c r="K4045" t="s">
        <v>579</v>
      </c>
    </row>
    <row r="4046" spans="1:11">
      <c r="A4046" s="32">
        <v>517</v>
      </c>
      <c r="B4046" s="33">
        <v>5053</v>
      </c>
      <c r="C4046" s="3">
        <v>720200</v>
      </c>
      <c r="D4046" s="3"/>
      <c r="E4046" s="7">
        <f t="shared" si="87"/>
        <v>720200</v>
      </c>
      <c r="F4046" s="5">
        <v>45911</v>
      </c>
      <c r="G4046" s="4">
        <v>20250910</v>
      </c>
      <c r="H4046" s="38" t="str">
        <f>VLOOKUP(B4046,CAJEROS!B:D,3,0)</f>
        <v>Multifuncional</v>
      </c>
      <c r="I4046" s="34" t="s">
        <v>9</v>
      </c>
      <c r="J4046" s="38" t="str">
        <f>VLOOKUP(B4046,CAJEROS!B:E,4,0)</f>
        <v>MF_RODADERO</v>
      </c>
      <c r="K4046" t="s">
        <v>579</v>
      </c>
    </row>
    <row r="4047" spans="1:11">
      <c r="A4047" s="32">
        <v>829</v>
      </c>
      <c r="B4047" s="33">
        <v>5137</v>
      </c>
      <c r="C4047" s="3">
        <v>515000</v>
      </c>
      <c r="D4047" s="3">
        <v>395000</v>
      </c>
      <c r="E4047" s="7">
        <f t="shared" si="87"/>
        <v>120000</v>
      </c>
      <c r="F4047" s="5">
        <v>45911</v>
      </c>
      <c r="G4047" s="4">
        <v>20250910</v>
      </c>
      <c r="H4047" s="38" t="str">
        <f>VLOOKUP(B4047,CAJEROS!B:D,3,0)</f>
        <v>Multifuncional</v>
      </c>
      <c r="I4047" s="34" t="s">
        <v>9</v>
      </c>
      <c r="J4047" s="38" t="str">
        <f>VLOOKUP(B4047,CAJEROS!B:E,4,0)</f>
        <v>MF_UNICALI1</v>
      </c>
      <c r="K4047" t="s">
        <v>579</v>
      </c>
    </row>
    <row r="4048" spans="1:11">
      <c r="A4048" s="32">
        <v>556</v>
      </c>
      <c r="B4048" s="33">
        <v>8333</v>
      </c>
      <c r="C4048" s="3">
        <v>500000</v>
      </c>
      <c r="D4048" s="3">
        <v>480000</v>
      </c>
      <c r="E4048" s="7">
        <f t="shared" si="87"/>
        <v>20000</v>
      </c>
      <c r="F4048" s="5">
        <v>45911</v>
      </c>
      <c r="G4048" s="4">
        <v>20250910</v>
      </c>
      <c r="H4048" s="38" t="str">
        <f>VLOOKUP(B4048,CAJEROS!B:D,3,0)</f>
        <v>Multifuncional</v>
      </c>
      <c r="I4048" s="34" t="s">
        <v>9</v>
      </c>
      <c r="J4048" s="38" t="str">
        <f>VLOOKUP(B4048,CAJEROS!B:E,4,0)</f>
        <v>MF_SCARVIB1</v>
      </c>
      <c r="K4048" t="s">
        <v>579</v>
      </c>
    </row>
    <row r="4049" spans="1:11">
      <c r="A4049" s="32">
        <v>91</v>
      </c>
      <c r="B4049" s="33">
        <v>5148</v>
      </c>
      <c r="C4049" s="3">
        <v>450000</v>
      </c>
      <c r="D4049" s="3">
        <v>346000</v>
      </c>
      <c r="E4049" s="7">
        <f t="shared" si="87"/>
        <v>104000</v>
      </c>
      <c r="F4049" s="5">
        <v>45911</v>
      </c>
      <c r="G4049" s="4">
        <v>20250910</v>
      </c>
      <c r="H4049" s="38" t="str">
        <f>VLOOKUP(B4049,CAJEROS!B:D,3,0)</f>
        <v>Multifuncional</v>
      </c>
      <c r="I4049" s="34" t="s">
        <v>9</v>
      </c>
      <c r="J4049" s="38" t="str">
        <f>VLOOKUP(B4049,CAJEROS!B:E,4,0)</f>
        <v>MF_MONTERIA</v>
      </c>
      <c r="K4049" t="s">
        <v>579</v>
      </c>
    </row>
    <row r="4050" spans="1:11">
      <c r="A4050" s="32">
        <v>197</v>
      </c>
      <c r="B4050" s="33">
        <v>5084</v>
      </c>
      <c r="C4050" s="3">
        <v>290000</v>
      </c>
      <c r="D4050" s="3"/>
      <c r="E4050" s="7">
        <f t="shared" si="87"/>
        <v>290000</v>
      </c>
      <c r="F4050" s="5">
        <v>45911</v>
      </c>
      <c r="G4050" s="4">
        <v>20250910</v>
      </c>
      <c r="H4050" s="38" t="str">
        <f>VLOOKUP(B4050,CAJEROS!B:D,3,0)</f>
        <v>Multifuncional</v>
      </c>
      <c r="I4050" s="34" t="s">
        <v>9</v>
      </c>
      <c r="J4050" s="38" t="str">
        <f>VLOOKUP(B4050,CAJEROS!B:E,4,0)</f>
        <v>MF_GUATAPUR</v>
      </c>
      <c r="K4050" t="s">
        <v>579</v>
      </c>
    </row>
    <row r="4051" spans="1:11">
      <c r="A4051" s="32">
        <v>73</v>
      </c>
      <c r="B4051" s="33">
        <v>5108</v>
      </c>
      <c r="C4051" s="3">
        <v>116850</v>
      </c>
      <c r="D4051" s="3">
        <f>50000+50000</f>
        <v>100000</v>
      </c>
      <c r="E4051" s="7">
        <f t="shared" si="87"/>
        <v>16850</v>
      </c>
      <c r="F4051" s="5">
        <v>45911</v>
      </c>
      <c r="G4051" s="4">
        <v>20250910</v>
      </c>
      <c r="H4051" s="38" t="str">
        <f>VLOOKUP(B4051,CAJEROS!B:D,3,0)</f>
        <v>Multifuncional</v>
      </c>
      <c r="I4051" s="34" t="s">
        <v>9</v>
      </c>
      <c r="J4051" s="38" t="str">
        <f>VLOOKUP(B4051,CAJEROS!B:E,4,0)</f>
        <v>MF_PEREIRA</v>
      </c>
      <c r="K4051" t="s">
        <v>579</v>
      </c>
    </row>
    <row r="4052" spans="1:11">
      <c r="A4052" s="32">
        <v>154</v>
      </c>
      <c r="B4052" s="33">
        <v>5041</v>
      </c>
      <c r="C4052" s="3">
        <v>70000</v>
      </c>
      <c r="D4052" s="3">
        <v>60000</v>
      </c>
      <c r="E4052" s="7">
        <f t="shared" si="87"/>
        <v>10000</v>
      </c>
      <c r="F4052" s="5">
        <v>45911</v>
      </c>
      <c r="G4052" s="4">
        <v>20250910</v>
      </c>
      <c r="H4052" s="38" t="str">
        <f>VLOOKUP(B4052,CAJEROS!B:D,3,0)</f>
        <v>Multifuncional</v>
      </c>
      <c r="I4052" s="34" t="s">
        <v>9</v>
      </c>
      <c r="J4052" s="38" t="str">
        <f>VLOOKUP(B4052,CAJEROS!B:E,4,0)</f>
        <v>MF_CMAYOR</v>
      </c>
      <c r="K4052" t="s">
        <v>579</v>
      </c>
    </row>
    <row r="4053" spans="1:11">
      <c r="A4053" s="32">
        <v>825</v>
      </c>
      <c r="B4053" s="33">
        <v>5023</v>
      </c>
      <c r="C4053" s="3">
        <v>70000</v>
      </c>
      <c r="D4053" s="3"/>
      <c r="E4053" s="7">
        <f t="shared" si="87"/>
        <v>70000</v>
      </c>
      <c r="F4053" s="5">
        <v>45911</v>
      </c>
      <c r="G4053" s="4">
        <v>20250910</v>
      </c>
      <c r="H4053" s="38" t="str">
        <f>VLOOKUP(B4053,CAJEROS!B:D,3,0)</f>
        <v>Multifuncional</v>
      </c>
      <c r="I4053" s="34" t="s">
        <v>9</v>
      </c>
      <c r="J4053" s="38" t="str">
        <f>VLOOKUP(B4053,CAJEROS!B:E,4,0)</f>
        <v>MF_ASTROCEN</v>
      </c>
      <c r="K4053" t="s">
        <v>579</v>
      </c>
    </row>
    <row r="4054" spans="1:11">
      <c r="A4054" s="32">
        <v>237</v>
      </c>
      <c r="B4054" s="33">
        <v>6467</v>
      </c>
      <c r="C4054" s="3">
        <v>500</v>
      </c>
      <c r="D4054" s="3"/>
      <c r="E4054" s="7">
        <f t="shared" ref="E4054:E4117" si="88">+C4054-D4054</f>
        <v>500</v>
      </c>
      <c r="F4054" s="5">
        <v>45911</v>
      </c>
      <c r="G4054" s="4">
        <v>20250910</v>
      </c>
      <c r="H4054" s="38" t="str">
        <f>VLOOKUP(B4054,CAJEROS!B:D,3,0)</f>
        <v>Multifuncional</v>
      </c>
      <c r="I4054" s="34" t="s">
        <v>10</v>
      </c>
      <c r="J4054" s="38" t="str">
        <f>VLOOKUP(B4054,CAJEROS!B:E,4,0)</f>
        <v>MF_DORADOPL</v>
      </c>
      <c r="K4054" t="s">
        <v>579</v>
      </c>
    </row>
    <row r="4055" spans="1:11">
      <c r="A4055" s="32">
        <v>363</v>
      </c>
      <c r="B4055" s="33">
        <v>5168</v>
      </c>
      <c r="C4055" s="3">
        <v>10000</v>
      </c>
      <c r="D4055" s="3"/>
      <c r="E4055" s="7">
        <f t="shared" si="88"/>
        <v>10000</v>
      </c>
      <c r="F4055" s="5">
        <v>45911</v>
      </c>
      <c r="G4055" s="4">
        <v>20250910</v>
      </c>
      <c r="H4055" s="38" t="str">
        <f>VLOOKUP(B4055,CAJEROS!B:D,3,0)</f>
        <v>Multifuncional</v>
      </c>
      <c r="I4055" s="34" t="s">
        <v>10</v>
      </c>
      <c r="J4055" s="38" t="str">
        <f>VLOOKUP(B4055,CAJEROS!B:E,4,0)</f>
        <v>MF_YOPAL</v>
      </c>
      <c r="K4055" t="s">
        <v>579</v>
      </c>
    </row>
    <row r="4056" spans="1:11">
      <c r="A4056" s="32">
        <v>348</v>
      </c>
      <c r="B4056" s="33">
        <v>9007</v>
      </c>
      <c r="C4056" s="3">
        <v>20000</v>
      </c>
      <c r="D4056" s="3"/>
      <c r="E4056" s="7">
        <f t="shared" si="88"/>
        <v>20000</v>
      </c>
      <c r="F4056" s="5">
        <v>45911</v>
      </c>
      <c r="G4056" s="4">
        <v>20250910</v>
      </c>
      <c r="H4056" s="38" t="str">
        <f>VLOOKUP(B4056,CAJEROS!B:D,3,0)</f>
        <v>Dispensador</v>
      </c>
      <c r="I4056" s="34" t="s">
        <v>10</v>
      </c>
      <c r="J4056" s="38" t="str">
        <f>VLOOKUP(B4056,CAJEROS!B:E,4,0)</f>
        <v>SUCSANDRES7</v>
      </c>
      <c r="K4056" t="s">
        <v>579</v>
      </c>
    </row>
    <row r="4057" spans="1:11">
      <c r="A4057" s="32">
        <v>777</v>
      </c>
      <c r="B4057" s="33">
        <v>8637</v>
      </c>
      <c r="C4057" s="3">
        <v>10000</v>
      </c>
      <c r="D4057" s="3"/>
      <c r="E4057" s="7">
        <f t="shared" si="88"/>
        <v>10000</v>
      </c>
      <c r="F4057" s="5">
        <v>45911</v>
      </c>
      <c r="G4057" s="4">
        <v>20250910</v>
      </c>
      <c r="H4057" s="38" t="str">
        <f>VLOOKUP(B4057,CAJEROS!B:D,3,0)</f>
        <v>Dispensador</v>
      </c>
      <c r="I4057" s="34" t="s">
        <v>10</v>
      </c>
      <c r="J4057" s="38" t="str">
        <f>VLOOKUP(B4057,CAJEROS!B:E,4,0)</f>
        <v>SUCPARWASH3</v>
      </c>
      <c r="K4057" t="s">
        <v>579</v>
      </c>
    </row>
    <row r="4058" spans="1:11">
      <c r="A4058" s="32">
        <v>828</v>
      </c>
      <c r="B4058" s="33">
        <v>8331</v>
      </c>
      <c r="C4058" s="3">
        <v>20000</v>
      </c>
      <c r="D4058" s="3"/>
      <c r="E4058" s="7">
        <f t="shared" si="88"/>
        <v>20000</v>
      </c>
      <c r="F4058" s="5">
        <v>45911</v>
      </c>
      <c r="G4058" s="4">
        <v>20250910</v>
      </c>
      <c r="H4058" s="38" t="str">
        <f>VLOOKUP(B4058,CAJEROS!B:D,3,0)</f>
        <v>Dispensador</v>
      </c>
      <c r="I4058" s="34" t="s">
        <v>10</v>
      </c>
      <c r="J4058" s="38" t="str">
        <f>VLOOKUP(B4058,CAJEROS!B:E,4,0)</f>
        <v>SUC_SANJOS3</v>
      </c>
      <c r="K4058" t="s">
        <v>579</v>
      </c>
    </row>
    <row r="4059" spans="1:11">
      <c r="A4059" s="32">
        <v>60</v>
      </c>
      <c r="B4059" s="33">
        <v>8727</v>
      </c>
      <c r="C4059" s="3">
        <v>1000</v>
      </c>
      <c r="D4059" s="3"/>
      <c r="E4059" s="7">
        <f t="shared" si="88"/>
        <v>1000</v>
      </c>
      <c r="F4059" s="5">
        <v>45911</v>
      </c>
      <c r="G4059" s="4">
        <v>20250910</v>
      </c>
      <c r="H4059" s="38" t="str">
        <f>VLOOKUP(B4059,CAJEROS!B:D,3,0)</f>
        <v>Multifuncional</v>
      </c>
      <c r="I4059" s="34" t="s">
        <v>10</v>
      </c>
      <c r="J4059" s="38" t="str">
        <f>VLOOKUP(B4059,CAJEROS!B:E,4,0)</f>
        <v>MF_HCALIPR1</v>
      </c>
      <c r="K4059" t="s">
        <v>579</v>
      </c>
    </row>
    <row r="4060" spans="1:11">
      <c r="A4060" s="32">
        <v>347</v>
      </c>
      <c r="B4060" s="33">
        <v>4782</v>
      </c>
      <c r="C4060" s="3">
        <v>20000</v>
      </c>
      <c r="D4060" s="3"/>
      <c r="E4060" s="7">
        <f t="shared" si="88"/>
        <v>20000</v>
      </c>
      <c r="F4060" s="5">
        <v>45911</v>
      </c>
      <c r="G4060" s="4">
        <v>20250910</v>
      </c>
      <c r="H4060" s="38" t="str">
        <f>VLOOKUP(B4060,CAJEROS!B:D,3,0)</f>
        <v>Dispensador</v>
      </c>
      <c r="I4060" s="34" t="s">
        <v>10</v>
      </c>
      <c r="J4060" s="38" t="str">
        <f>VLOOKUP(B4060,CAJEROS!B:E,4,0)</f>
        <v>SUC_MANRIQ1</v>
      </c>
      <c r="K4060" t="s">
        <v>579</v>
      </c>
    </row>
    <row r="4061" spans="1:11">
      <c r="A4061" s="32">
        <v>689</v>
      </c>
      <c r="B4061" s="33">
        <v>4549</v>
      </c>
      <c r="C4061" s="3">
        <v>10000</v>
      </c>
      <c r="D4061" s="3"/>
      <c r="E4061" s="7">
        <f t="shared" si="88"/>
        <v>10000</v>
      </c>
      <c r="F4061" s="5">
        <v>45911</v>
      </c>
      <c r="G4061" s="4">
        <v>20250910</v>
      </c>
      <c r="H4061" s="38" t="str">
        <f>VLOOKUP(B4061,CAJEROS!B:D,3,0)</f>
        <v>Dispensador</v>
      </c>
      <c r="I4061" s="34" t="s">
        <v>10</v>
      </c>
      <c r="J4061" s="38" t="str">
        <f>VLOOKUP(B4061,CAJEROS!B:E,4,0)</f>
        <v>METROP_BOG1</v>
      </c>
      <c r="K4061" t="s">
        <v>579</v>
      </c>
    </row>
    <row r="4062" spans="1:11">
      <c r="A4062" s="32">
        <v>53</v>
      </c>
      <c r="B4062" s="33">
        <v>5141</v>
      </c>
      <c r="C4062" s="3">
        <v>5882500</v>
      </c>
      <c r="D4062" s="3">
        <f>790000+900000</f>
        <v>1690000</v>
      </c>
      <c r="E4062" s="7">
        <f t="shared" si="88"/>
        <v>4192500</v>
      </c>
      <c r="F4062" s="5">
        <v>45912</v>
      </c>
      <c r="G4062" s="4">
        <v>20250911</v>
      </c>
      <c r="H4062" s="38" t="str">
        <f>VLOOKUP(B4062,CAJEROS!B:D,3,0)</f>
        <v>Multifuncional</v>
      </c>
      <c r="I4062" s="34"/>
      <c r="J4062" s="38" t="str">
        <f>VLOOKUP(B4062,CAJEROS!B:E,4,0)</f>
        <v>MF_CARRDECI</v>
      </c>
      <c r="K4062" t="s">
        <v>579</v>
      </c>
    </row>
    <row r="4063" spans="1:11">
      <c r="A4063" s="32">
        <v>70</v>
      </c>
      <c r="B4063" s="33">
        <v>5164</v>
      </c>
      <c r="C4063" s="3">
        <v>5496000</v>
      </c>
      <c r="D4063" s="3"/>
      <c r="E4063" s="7">
        <f t="shared" si="88"/>
        <v>5496000</v>
      </c>
      <c r="F4063" s="5">
        <v>45912</v>
      </c>
      <c r="G4063" s="4">
        <v>20250911</v>
      </c>
      <c r="H4063" s="38" t="str">
        <f>VLOOKUP(B4063,CAJEROS!B:D,3,0)</f>
        <v>Multifuncional</v>
      </c>
      <c r="I4063" s="34"/>
      <c r="J4063" s="38" t="str">
        <f>VLOOKUP(B4063,CAJEROS!B:E,4,0)</f>
        <v>MF_MANIZALE</v>
      </c>
      <c r="K4063" t="s">
        <v>579</v>
      </c>
    </row>
    <row r="4064" spans="1:11">
      <c r="A4064" s="32">
        <v>76</v>
      </c>
      <c r="B4064" s="33">
        <v>5126</v>
      </c>
      <c r="C4064" s="3">
        <v>9451200</v>
      </c>
      <c r="D4064" s="3">
        <v>120000</v>
      </c>
      <c r="E4064" s="7">
        <f t="shared" si="88"/>
        <v>9331200</v>
      </c>
      <c r="F4064" s="5">
        <v>45912</v>
      </c>
      <c r="G4064" s="4">
        <v>20250911</v>
      </c>
      <c r="H4064" s="38" t="str">
        <f>VLOOKUP(B4064,CAJEROS!B:D,3,0)</f>
        <v>Multifuncional</v>
      </c>
      <c r="I4064" s="34"/>
      <c r="J4064" s="38" t="str">
        <f>VLOOKUP(B4064,CAJEROS!B:E,4,0)</f>
        <v>MF_NEIVA</v>
      </c>
      <c r="K4064" t="s">
        <v>579</v>
      </c>
    </row>
    <row r="4065" spans="1:11">
      <c r="A4065" s="32">
        <v>101</v>
      </c>
      <c r="B4065" s="33">
        <v>5128</v>
      </c>
      <c r="C4065" s="3">
        <v>10049000</v>
      </c>
      <c r="D4065" s="3"/>
      <c r="E4065" s="7">
        <f t="shared" si="88"/>
        <v>10049000</v>
      </c>
      <c r="F4065" s="5">
        <v>45912</v>
      </c>
      <c r="G4065" s="4">
        <v>20250911</v>
      </c>
      <c r="H4065" s="38" t="str">
        <f>VLOOKUP(B4065,CAJEROS!B:D,3,0)</f>
        <v>Multifuncional</v>
      </c>
      <c r="I4065" s="34"/>
      <c r="J4065" s="38" t="str">
        <f>VLOOKUP(B4065,CAJEROS!B:E,4,0)</f>
        <v>MF_MULTDRIV</v>
      </c>
      <c r="K4065" t="s">
        <v>579</v>
      </c>
    </row>
    <row r="4066" spans="1:11">
      <c r="A4066" s="32">
        <v>138</v>
      </c>
      <c r="B4066" s="33">
        <v>6628</v>
      </c>
      <c r="C4066" s="3">
        <v>560200</v>
      </c>
      <c r="D4066" s="3"/>
      <c r="E4066" s="7">
        <f t="shared" si="88"/>
        <v>560200</v>
      </c>
      <c r="F4066" s="5">
        <v>45912</v>
      </c>
      <c r="G4066" s="4">
        <v>20250911</v>
      </c>
      <c r="H4066" s="38" t="str">
        <f>VLOOKUP(B4066,CAJEROS!B:D,3,0)</f>
        <v>Multifuncional</v>
      </c>
      <c r="I4066" s="34"/>
      <c r="J4066" s="38" t="str">
        <f>VLOOKUP(B4066,CAJEROS!B:E,4,0)</f>
        <v>MF_MOSQUERA</v>
      </c>
      <c r="K4066" t="s">
        <v>579</v>
      </c>
    </row>
    <row r="4067" spans="1:11">
      <c r="A4067" s="32">
        <v>388</v>
      </c>
      <c r="B4067" s="33">
        <v>5169</v>
      </c>
      <c r="C4067" s="3">
        <v>700000</v>
      </c>
      <c r="D4067" s="3"/>
      <c r="E4067" s="7">
        <f t="shared" si="88"/>
        <v>700000</v>
      </c>
      <c r="F4067" s="5">
        <v>45912</v>
      </c>
      <c r="G4067" s="4">
        <v>20250911</v>
      </c>
      <c r="H4067" s="38" t="str">
        <f>VLOOKUP(B4067,CAJEROS!B:D,3,0)</f>
        <v>Multifuncional</v>
      </c>
      <c r="I4067" s="34"/>
      <c r="J4067" s="38" t="str">
        <f>VLOOKUP(B4067,CAJEROS!B:E,4,0)</f>
        <v>MF_SUCHAYU1</v>
      </c>
      <c r="K4067" t="s">
        <v>579</v>
      </c>
    </row>
    <row r="4068" spans="1:11">
      <c r="A4068" s="32">
        <v>442</v>
      </c>
      <c r="B4068" s="33">
        <v>8887</v>
      </c>
      <c r="C4068" s="3">
        <v>4505000</v>
      </c>
      <c r="D4068" s="3">
        <v>1020000</v>
      </c>
      <c r="E4068" s="7">
        <f t="shared" si="88"/>
        <v>3485000</v>
      </c>
      <c r="F4068" s="5">
        <v>45912</v>
      </c>
      <c r="G4068" s="4">
        <v>20250910</v>
      </c>
      <c r="H4068" s="38" t="str">
        <f>VLOOKUP(B4068,CAJEROS!B:D,3,0)</f>
        <v>Multifuncional</v>
      </c>
      <c r="I4068" s="34"/>
      <c r="J4068" s="38" t="str">
        <f>VLOOKUP(B4068,CAJEROS!B:E,4,0)</f>
        <v>MFVIVABQUI1</v>
      </c>
      <c r="K4068" t="s">
        <v>579</v>
      </c>
    </row>
    <row r="4069" spans="1:11">
      <c r="A4069" s="32">
        <v>495</v>
      </c>
      <c r="B4069" s="33">
        <v>8482</v>
      </c>
      <c r="C4069" s="3">
        <v>38500</v>
      </c>
      <c r="D4069" s="3"/>
      <c r="E4069" s="7">
        <f t="shared" si="88"/>
        <v>38500</v>
      </c>
      <c r="F4069" s="5">
        <v>45912</v>
      </c>
      <c r="G4069" s="4">
        <v>20250911</v>
      </c>
      <c r="H4069" s="38" t="str">
        <f>VLOOKUP(B4069,CAJEROS!B:D,3,0)</f>
        <v>Multifuncional</v>
      </c>
      <c r="I4069" s="34"/>
      <c r="J4069" s="38" t="str">
        <f>VLOOKUP(B4069,CAJEROS!B:E,4,0)</f>
        <v>MF_SUCBOSQ1</v>
      </c>
      <c r="K4069" t="s">
        <v>579</v>
      </c>
    </row>
    <row r="4070" spans="1:11">
      <c r="A4070" s="32">
        <v>516</v>
      </c>
      <c r="B4070" s="33">
        <v>9729</v>
      </c>
      <c r="C4070" s="3">
        <v>2044700</v>
      </c>
      <c r="D4070" s="3">
        <f>1843000+50050</f>
        <v>1893050</v>
      </c>
      <c r="E4070" s="7">
        <f t="shared" si="88"/>
        <v>151650</v>
      </c>
      <c r="F4070" s="5">
        <v>45912</v>
      </c>
      <c r="G4070" s="4">
        <v>20250911</v>
      </c>
      <c r="H4070" s="38" t="str">
        <f>VLOOKUP(B4070,CAJEROS!B:D,3,0)</f>
        <v>Multifuncional</v>
      </c>
      <c r="I4070" s="34"/>
      <c r="J4070" s="38" t="str">
        <f>VLOOKUP(B4070,CAJEROS!B:E,4,0)</f>
        <v>MF_SUCSTAM1</v>
      </c>
      <c r="K4070" t="s">
        <v>579</v>
      </c>
    </row>
    <row r="4071" spans="1:11">
      <c r="A4071" s="32">
        <v>682</v>
      </c>
      <c r="B4071" s="33">
        <v>5049</v>
      </c>
      <c r="C4071" s="3">
        <v>1000000</v>
      </c>
      <c r="D4071" s="3"/>
      <c r="E4071" s="7">
        <f t="shared" si="88"/>
        <v>1000000</v>
      </c>
      <c r="F4071" s="5">
        <v>45912</v>
      </c>
      <c r="G4071" s="4">
        <v>20250911</v>
      </c>
      <c r="H4071" s="38" t="str">
        <f>VLOOKUP(B4071,CAJEROS!B:D,3,0)</f>
        <v>Multifuncional</v>
      </c>
      <c r="I4071" s="34"/>
      <c r="J4071" s="38" t="str">
        <f>VLOOKUP(B4071,CAJEROS!B:E,4,0)</f>
        <v>MF_CCFONTA1</v>
      </c>
      <c r="K4071" t="s">
        <v>579</v>
      </c>
    </row>
    <row r="4072" spans="1:11">
      <c r="A4072" s="32">
        <v>693</v>
      </c>
      <c r="B4072" s="33">
        <v>7979</v>
      </c>
      <c r="C4072" s="3">
        <v>8814000</v>
      </c>
      <c r="D4072" s="3">
        <v>184950</v>
      </c>
      <c r="E4072" s="7">
        <f t="shared" si="88"/>
        <v>8629050</v>
      </c>
      <c r="F4072" s="5">
        <v>45912</v>
      </c>
      <c r="G4072" s="4">
        <v>20250911</v>
      </c>
      <c r="H4072" s="38" t="str">
        <f>VLOOKUP(B4072,CAJEROS!B:D,3,0)</f>
        <v>Multifuncional</v>
      </c>
      <c r="I4072" s="34"/>
      <c r="J4072" s="38" t="str">
        <f>VLOOKUP(B4072,CAJEROS!B:E,4,0)</f>
        <v>MF_CCSNTAF3</v>
      </c>
      <c r="K4072" t="s">
        <v>579</v>
      </c>
    </row>
    <row r="4073" spans="1:11">
      <c r="A4073" s="32">
        <v>750</v>
      </c>
      <c r="B4073" s="33">
        <v>5157</v>
      </c>
      <c r="C4073" s="3">
        <v>1030000</v>
      </c>
      <c r="D4073" s="3"/>
      <c r="E4073" s="7">
        <f t="shared" si="88"/>
        <v>1030000</v>
      </c>
      <c r="F4073" s="5">
        <v>45912</v>
      </c>
      <c r="G4073" s="4">
        <v>20250911</v>
      </c>
      <c r="H4073" s="38" t="str">
        <f>VLOOKUP(B4073,CAJEROS!B:D,3,0)</f>
        <v>Multifuncional</v>
      </c>
      <c r="I4073" s="34"/>
      <c r="J4073" s="38" t="str">
        <f>VLOOKUP(B4073,CAJEROS!B:E,4,0)</f>
        <v>MF_AVROOSVL</v>
      </c>
      <c r="K4073" t="s">
        <v>579</v>
      </c>
    </row>
    <row r="4074" spans="1:11">
      <c r="A4074" s="32">
        <v>796</v>
      </c>
      <c r="B4074" s="33">
        <v>6911</v>
      </c>
      <c r="C4074" s="3">
        <v>100</v>
      </c>
      <c r="D4074" s="3"/>
      <c r="E4074" s="7">
        <f t="shared" si="88"/>
        <v>100</v>
      </c>
      <c r="F4074" s="5">
        <v>45912</v>
      </c>
      <c r="G4074" s="4">
        <v>20250911</v>
      </c>
      <c r="H4074" s="38" t="str">
        <f>VLOOKUP(B4074,CAJEROS!B:D,3,0)</f>
        <v>Multifuncional</v>
      </c>
      <c r="I4074" s="34"/>
      <c r="J4074" s="38" t="str">
        <f>VLOOKUP(B4074,CAJEROS!B:E,4,0)</f>
        <v>MF_GIRON</v>
      </c>
      <c r="K4074" t="s">
        <v>579</v>
      </c>
    </row>
    <row r="4075" spans="1:11">
      <c r="A4075" s="32">
        <v>845</v>
      </c>
      <c r="B4075" s="33">
        <v>9232</v>
      </c>
      <c r="C4075" s="3">
        <v>14018000</v>
      </c>
      <c r="D4075" s="3"/>
      <c r="E4075" s="7">
        <f t="shared" si="88"/>
        <v>14018000</v>
      </c>
      <c r="F4075" s="5">
        <v>45912</v>
      </c>
      <c r="G4075" s="4">
        <v>20250911</v>
      </c>
      <c r="H4075" s="38" t="str">
        <f>VLOOKUP(B4075,CAJEROS!B:D,3,0)</f>
        <v>Multifuncional</v>
      </c>
      <c r="I4075" s="34"/>
      <c r="J4075" s="38" t="str">
        <f>VLOOKUP(B4075,CAJEROS!B:E,4,0)</f>
        <v>MFSUCLAPLT1</v>
      </c>
      <c r="K4075" t="s">
        <v>579</v>
      </c>
    </row>
    <row r="4076" spans="1:11">
      <c r="A4076" s="32">
        <v>848</v>
      </c>
      <c r="B4076" s="33">
        <v>7374</v>
      </c>
      <c r="C4076" s="3">
        <v>7191500</v>
      </c>
      <c r="D4076" s="3">
        <f>1185000+2701000</f>
        <v>3886000</v>
      </c>
      <c r="E4076" s="7">
        <f t="shared" si="88"/>
        <v>3305500</v>
      </c>
      <c r="F4076" s="5">
        <v>45912</v>
      </c>
      <c r="G4076" s="4">
        <v>20250911</v>
      </c>
      <c r="H4076" s="38" t="str">
        <f>VLOOKUP(B4076,CAJEROS!B:D,3,0)</f>
        <v>Multifuncional</v>
      </c>
      <c r="I4076" s="34"/>
      <c r="J4076" s="38" t="str">
        <f>VLOOKUP(B4076,CAJEROS!B:E,4,0)</f>
        <v>MF_BUGA</v>
      </c>
      <c r="K4076" t="s">
        <v>579</v>
      </c>
    </row>
    <row r="4077" spans="1:11">
      <c r="A4077" s="32">
        <v>849</v>
      </c>
      <c r="B4077" s="33">
        <v>9725</v>
      </c>
      <c r="C4077" s="3">
        <v>5300000</v>
      </c>
      <c r="D4077" s="3"/>
      <c r="E4077" s="7">
        <f t="shared" si="88"/>
        <v>5300000</v>
      </c>
      <c r="F4077" s="5">
        <v>45912</v>
      </c>
      <c r="G4077" s="4">
        <v>20250911</v>
      </c>
      <c r="H4077" s="38" t="str">
        <f>VLOOKUP(B4077,CAJEROS!B:D,3,0)</f>
        <v>Multifuncional</v>
      </c>
      <c r="I4077" s="34"/>
      <c r="J4077" s="38" t="str">
        <f>VLOOKUP(B4077,CAJEROS!B:E,4,0)</f>
        <v>MF_SUNIVIL2</v>
      </c>
      <c r="K4077" t="s">
        <v>579</v>
      </c>
    </row>
    <row r="4078" spans="1:11">
      <c r="A4078" s="32">
        <v>852</v>
      </c>
      <c r="B4078" s="33">
        <v>5050</v>
      </c>
      <c r="C4078" s="3">
        <v>1069950</v>
      </c>
      <c r="D4078" s="3">
        <f>21600+84500</f>
        <v>106100</v>
      </c>
      <c r="E4078" s="7">
        <f t="shared" si="88"/>
        <v>963850</v>
      </c>
      <c r="F4078" s="5">
        <v>45912</v>
      </c>
      <c r="G4078" s="4">
        <v>20250911</v>
      </c>
      <c r="H4078" s="38" t="str">
        <f>VLOOKUP(B4078,CAJEROS!B:D,3,0)</f>
        <v>Multifuncional</v>
      </c>
      <c r="I4078" s="34"/>
      <c r="J4078" s="38" t="str">
        <f>VLOOKUP(B4078,CAJEROS!B:E,4,0)</f>
        <v>MF_VICPLAZA</v>
      </c>
      <c r="K4078" t="s">
        <v>579</v>
      </c>
    </row>
    <row r="4079" spans="1:11">
      <c r="A4079" s="32">
        <v>879</v>
      </c>
      <c r="B4079" s="33">
        <v>5045</v>
      </c>
      <c r="C4079" s="3">
        <v>6539800</v>
      </c>
      <c r="D4079" s="3"/>
      <c r="E4079" s="7">
        <f t="shared" si="88"/>
        <v>6539800</v>
      </c>
      <c r="F4079" s="5">
        <v>45912</v>
      </c>
      <c r="G4079" s="4">
        <v>20250911</v>
      </c>
      <c r="H4079" s="38" t="str">
        <f>VLOOKUP(B4079,CAJEROS!B:D,3,0)</f>
        <v>Multifuncional</v>
      </c>
      <c r="I4079" s="34"/>
      <c r="J4079" s="38" t="str">
        <f>VLOOKUP(B4079,CAJEROS!B:E,4,0)</f>
        <v>MF_UNPASTO</v>
      </c>
      <c r="K4079" t="s">
        <v>579</v>
      </c>
    </row>
    <row r="4080" spans="1:11">
      <c r="A4080" s="32">
        <v>890</v>
      </c>
      <c r="B4080" s="33">
        <v>9584</v>
      </c>
      <c r="C4080" s="3">
        <v>1305100</v>
      </c>
      <c r="D4080" s="3"/>
      <c r="E4080" s="7">
        <f t="shared" si="88"/>
        <v>1305100</v>
      </c>
      <c r="F4080" s="5">
        <v>45912</v>
      </c>
      <c r="G4080" s="4">
        <v>20250911</v>
      </c>
      <c r="H4080" s="38" t="str">
        <f>VLOOKUP(B4080,CAJEROS!B:D,3,0)</f>
        <v>Multifuncional</v>
      </c>
      <c r="I4080" s="34"/>
      <c r="J4080" s="38" t="str">
        <f>VLOOKUP(B4080,CAJEROS!B:E,4,0)</f>
        <v>MFSUCACACI1</v>
      </c>
      <c r="K4080" t="s">
        <v>579</v>
      </c>
    </row>
    <row r="4081" spans="1:11">
      <c r="A4081" s="32">
        <v>606</v>
      </c>
      <c r="B4081" s="33">
        <v>5201</v>
      </c>
      <c r="C4081" s="3">
        <v>3440000</v>
      </c>
      <c r="D4081" s="3">
        <v>2420000</v>
      </c>
      <c r="E4081" s="7">
        <f t="shared" si="88"/>
        <v>1020000</v>
      </c>
      <c r="F4081" s="5">
        <v>45912</v>
      </c>
      <c r="G4081" s="4">
        <v>20250911</v>
      </c>
      <c r="H4081" s="38" t="str">
        <f>VLOOKUP(B4081,CAJEROS!B:D,3,0)</f>
        <v>Multifuncional</v>
      </c>
      <c r="I4081" s="34" t="s">
        <v>9</v>
      </c>
      <c r="J4081" s="38" t="str">
        <f>VLOOKUP(B4081,CAJEROS!B:E,4,0)</f>
        <v>MF_UNITUNJA</v>
      </c>
      <c r="K4081" t="s">
        <v>579</v>
      </c>
    </row>
    <row r="4082" spans="1:11">
      <c r="A4082" s="32">
        <v>812</v>
      </c>
      <c r="B4082" s="33">
        <v>5144</v>
      </c>
      <c r="C4082" s="3">
        <v>3040000</v>
      </c>
      <c r="D4082" s="3">
        <v>2100000</v>
      </c>
      <c r="E4082" s="7">
        <f t="shared" si="88"/>
        <v>940000</v>
      </c>
      <c r="F4082" s="5">
        <v>45912</v>
      </c>
      <c r="G4082" s="4">
        <v>20250911</v>
      </c>
      <c r="H4082" s="38" t="str">
        <f>VLOOKUP(B4082,CAJEROS!B:D,3,0)</f>
        <v>Multifuncional</v>
      </c>
      <c r="I4082" s="34" t="s">
        <v>9</v>
      </c>
      <c r="J4082" s="38" t="str">
        <f>VLOOKUP(B4082,CAJEROS!B:E,4,0)</f>
        <v>MF_CHPICHPE</v>
      </c>
      <c r="K4082" t="s">
        <v>579</v>
      </c>
    </row>
    <row r="4083" spans="1:11">
      <c r="A4083" s="32">
        <v>554</v>
      </c>
      <c r="B4083" s="33">
        <v>8294</v>
      </c>
      <c r="C4083" s="3">
        <v>2180000</v>
      </c>
      <c r="D4083" s="3"/>
      <c r="E4083" s="7">
        <f t="shared" si="88"/>
        <v>2180000</v>
      </c>
      <c r="F4083" s="5">
        <v>45912</v>
      </c>
      <c r="G4083" s="4">
        <v>20250911</v>
      </c>
      <c r="H4083" s="38" t="str">
        <f>VLOOKUP(B4083,CAJEROS!B:D,3,0)</f>
        <v>Multifuncional</v>
      </c>
      <c r="I4083" s="34" t="s">
        <v>9</v>
      </c>
      <c r="J4083" s="38" t="str">
        <f>VLOOKUP(B4083,CAJEROS!B:E,4,0)</f>
        <v>MF_SBUVIII1</v>
      </c>
      <c r="K4083" t="s">
        <v>579</v>
      </c>
    </row>
    <row r="4084" spans="1:11">
      <c r="A4084" s="32">
        <v>656</v>
      </c>
      <c r="B4084" s="33">
        <v>5103</v>
      </c>
      <c r="C4084" s="3">
        <v>2169000</v>
      </c>
      <c r="D4084" s="3">
        <f>1574000+224000</f>
        <v>1798000</v>
      </c>
      <c r="E4084" s="7">
        <f t="shared" si="88"/>
        <v>371000</v>
      </c>
      <c r="F4084" s="5">
        <v>45912</v>
      </c>
      <c r="G4084" s="4">
        <v>20250911</v>
      </c>
      <c r="H4084" s="38" t="str">
        <f>VLOOKUP(B4084,CAJEROS!B:D,3,0)</f>
        <v>Multifuncional</v>
      </c>
      <c r="I4084" s="34" t="s">
        <v>9</v>
      </c>
      <c r="J4084" s="38" t="str">
        <f>VLOOKUP(B4084,CAJEROS!B:E,4,0)</f>
        <v>MF_MAYPLAZA</v>
      </c>
      <c r="K4084" t="s">
        <v>579</v>
      </c>
    </row>
    <row r="4085" spans="1:11">
      <c r="A4085" s="32">
        <v>556</v>
      </c>
      <c r="B4085" s="33">
        <v>8333</v>
      </c>
      <c r="C4085" s="3">
        <v>1840000</v>
      </c>
      <c r="D4085" s="3"/>
      <c r="E4085" s="7">
        <f t="shared" si="88"/>
        <v>1840000</v>
      </c>
      <c r="F4085" s="5">
        <v>45912</v>
      </c>
      <c r="G4085" s="4">
        <v>20250911</v>
      </c>
      <c r="H4085" s="38" t="str">
        <f>VLOOKUP(B4085,CAJEROS!B:D,3,0)</f>
        <v>Multifuncional</v>
      </c>
      <c r="I4085" s="34" t="s">
        <v>9</v>
      </c>
      <c r="J4085" s="38" t="str">
        <f>VLOOKUP(B4085,CAJEROS!B:E,4,0)</f>
        <v>MF_SCARVIB1</v>
      </c>
      <c r="K4085" t="s">
        <v>579</v>
      </c>
    </row>
    <row r="4086" spans="1:11">
      <c r="A4086" s="32">
        <v>481</v>
      </c>
      <c r="B4086" s="33">
        <v>1010</v>
      </c>
      <c r="C4086" s="3">
        <v>1720000</v>
      </c>
      <c r="D4086" s="3"/>
      <c r="E4086" s="7">
        <f t="shared" si="88"/>
        <v>1720000</v>
      </c>
      <c r="F4086" s="5">
        <v>45912</v>
      </c>
      <c r="G4086" s="4">
        <v>20250911</v>
      </c>
      <c r="H4086" s="38" t="str">
        <f>VLOOKUP(B4086,CAJEROS!B:D,3,0)</f>
        <v>Multifuncional</v>
      </c>
      <c r="I4086" s="34" t="s">
        <v>9</v>
      </c>
      <c r="J4086" s="38" t="str">
        <f>VLOOKUP(B4086,CAJEROS!B:E,4,0)</f>
        <v>MF_SOLEDAD1</v>
      </c>
      <c r="K4086" t="s">
        <v>579</v>
      </c>
    </row>
    <row r="4087" spans="1:11">
      <c r="A4087" s="32">
        <v>432</v>
      </c>
      <c r="B4087" s="33">
        <v>5195</v>
      </c>
      <c r="C4087" s="3">
        <v>1620000</v>
      </c>
      <c r="D4087" s="3"/>
      <c r="E4087" s="7">
        <f t="shared" si="88"/>
        <v>1620000</v>
      </c>
      <c r="F4087" s="5">
        <v>45912</v>
      </c>
      <c r="G4087" s="4">
        <v>20250911</v>
      </c>
      <c r="H4087" s="38" t="str">
        <f>VLOOKUP(B4087,CAJEROS!B:D,3,0)</f>
        <v>Multifuncional</v>
      </c>
      <c r="I4087" s="34" t="s">
        <v>9</v>
      </c>
      <c r="J4087" s="38" t="str">
        <f>VLOOKUP(B4087,CAJEROS!B:E,4,0)</f>
        <v>MF_TTEDLSU1</v>
      </c>
      <c r="K4087" t="s">
        <v>579</v>
      </c>
    </row>
    <row r="4088" spans="1:11">
      <c r="A4088" s="32">
        <v>96</v>
      </c>
      <c r="B4088" s="33">
        <v>6735</v>
      </c>
      <c r="C4088" s="3">
        <v>1615000</v>
      </c>
      <c r="D4088" s="3"/>
      <c r="E4088" s="7">
        <f t="shared" si="88"/>
        <v>1615000</v>
      </c>
      <c r="F4088" s="5">
        <v>45912</v>
      </c>
      <c r="G4088" s="4">
        <v>20250911</v>
      </c>
      <c r="H4088" s="38" t="str">
        <f>VLOOKUP(B4088,CAJEROS!B:D,3,0)</f>
        <v>Multifuncional</v>
      </c>
      <c r="I4088" s="34" t="s">
        <v>9</v>
      </c>
      <c r="J4088" s="38" t="str">
        <f>VLOOKUP(B4088,CAJEROS!B:E,4,0)</f>
        <v>MF_MAICAO</v>
      </c>
      <c r="K4088" t="s">
        <v>579</v>
      </c>
    </row>
    <row r="4089" spans="1:11">
      <c r="A4089" s="32">
        <v>237</v>
      </c>
      <c r="B4089" s="33">
        <v>6467</v>
      </c>
      <c r="C4089" s="3">
        <v>1410500</v>
      </c>
      <c r="D4089" s="3">
        <f>1389000+4950</f>
        <v>1393950</v>
      </c>
      <c r="E4089" s="7">
        <f t="shared" si="88"/>
        <v>16550</v>
      </c>
      <c r="F4089" s="5">
        <v>45912</v>
      </c>
      <c r="G4089" s="4">
        <v>20250911</v>
      </c>
      <c r="H4089" s="38" t="str">
        <f>VLOOKUP(B4089,CAJEROS!B:D,3,0)</f>
        <v>Multifuncional</v>
      </c>
      <c r="I4089" s="34" t="s">
        <v>9</v>
      </c>
      <c r="J4089" s="38" t="str">
        <f>VLOOKUP(B4089,CAJEROS!B:E,4,0)</f>
        <v>MF_DORADOPL</v>
      </c>
      <c r="K4089" t="s">
        <v>579</v>
      </c>
    </row>
    <row r="4090" spans="1:11">
      <c r="A4090" s="32">
        <v>944</v>
      </c>
      <c r="B4090" s="33">
        <v>8354</v>
      </c>
      <c r="C4090" s="3">
        <v>1200000</v>
      </c>
      <c r="D4090" s="3"/>
      <c r="E4090" s="7">
        <f t="shared" si="88"/>
        <v>1200000</v>
      </c>
      <c r="F4090" s="5">
        <v>45912</v>
      </c>
      <c r="G4090" s="4">
        <v>20250911</v>
      </c>
      <c r="H4090" s="38" t="str">
        <f>VLOOKUP(B4090,CAJEROS!B:D,3,0)</f>
        <v>Multifuncional</v>
      </c>
      <c r="I4090" s="34" t="s">
        <v>9</v>
      </c>
      <c r="J4090" s="38" t="str">
        <f>VLOOKUP(B4090,CAJEROS!B:E,4,0)</f>
        <v>MF_SANTABO2</v>
      </c>
      <c r="K4090" t="s">
        <v>579</v>
      </c>
    </row>
    <row r="4091" spans="1:11">
      <c r="A4091" s="32">
        <v>820</v>
      </c>
      <c r="B4091" s="33">
        <v>6174</v>
      </c>
      <c r="C4091" s="3">
        <v>1190000</v>
      </c>
      <c r="D4091" s="3">
        <v>1143300</v>
      </c>
      <c r="E4091" s="7">
        <f t="shared" si="88"/>
        <v>46700</v>
      </c>
      <c r="F4091" s="5">
        <v>45912</v>
      </c>
      <c r="G4091" s="4">
        <v>20250911</v>
      </c>
      <c r="H4091" s="38" t="str">
        <f>VLOOKUP(B4091,CAJEROS!B:D,3,0)</f>
        <v>Multifuncional</v>
      </c>
      <c r="I4091" s="34" t="s">
        <v>9</v>
      </c>
      <c r="J4091" s="38" t="str">
        <f>VLOOKUP(B4091,CAJEROS!B:E,4,0)</f>
        <v>MF_AVCERO</v>
      </c>
      <c r="K4091" t="s">
        <v>579</v>
      </c>
    </row>
    <row r="4092" spans="1:11">
      <c r="A4092" s="32">
        <v>651</v>
      </c>
      <c r="B4092" s="33">
        <v>7318</v>
      </c>
      <c r="C4092" s="3">
        <v>1167000</v>
      </c>
      <c r="D4092" s="3">
        <v>1125000</v>
      </c>
      <c r="E4092" s="7">
        <f t="shared" si="88"/>
        <v>42000</v>
      </c>
      <c r="F4092" s="5">
        <v>45912</v>
      </c>
      <c r="G4092" s="4">
        <v>20250911</v>
      </c>
      <c r="H4092" s="38" t="str">
        <f>VLOOKUP(B4092,CAJEROS!B:D,3,0)</f>
        <v>Multifuncional</v>
      </c>
      <c r="I4092" s="34" t="s">
        <v>9</v>
      </c>
      <c r="J4092" s="38" t="str">
        <f>VLOOKUP(B4092,CAJEROS!B:E,4,0)</f>
        <v>MF_BARBOSA2</v>
      </c>
      <c r="K4092" t="s">
        <v>579</v>
      </c>
    </row>
    <row r="4093" spans="1:11">
      <c r="A4093" s="32">
        <v>419</v>
      </c>
      <c r="B4093" s="33">
        <v>5077</v>
      </c>
      <c r="C4093" s="3">
        <v>1140000</v>
      </c>
      <c r="D4093" s="3">
        <v>386800</v>
      </c>
      <c r="E4093" s="7">
        <f t="shared" si="88"/>
        <v>753200</v>
      </c>
      <c r="F4093" s="5">
        <v>45912</v>
      </c>
      <c r="G4093" s="4">
        <v>20250911</v>
      </c>
      <c r="H4093" s="38" t="str">
        <f>VLOOKUP(B4093,CAJEROS!B:D,3,0)</f>
        <v>Multifuncional</v>
      </c>
      <c r="I4093" s="34" t="s">
        <v>9</v>
      </c>
      <c r="J4093" s="38" t="str">
        <f>VLOOKUP(B4093,CAJEROS!B:E,4,0)</f>
        <v>MF_CPUNIBOG</v>
      </c>
      <c r="K4093" t="s">
        <v>579</v>
      </c>
    </row>
    <row r="4094" spans="1:11">
      <c r="A4094" s="32">
        <v>517</v>
      </c>
      <c r="B4094" s="33">
        <v>5053</v>
      </c>
      <c r="C4094" s="3">
        <v>990000</v>
      </c>
      <c r="D4094" s="3"/>
      <c r="E4094" s="7">
        <f t="shared" si="88"/>
        <v>990000</v>
      </c>
      <c r="F4094" s="5">
        <v>45912</v>
      </c>
      <c r="G4094" s="4">
        <v>20250911</v>
      </c>
      <c r="H4094" s="38" t="str">
        <f>VLOOKUP(B4094,CAJEROS!B:D,3,0)</f>
        <v>Multifuncional</v>
      </c>
      <c r="I4094" s="34" t="s">
        <v>9</v>
      </c>
      <c r="J4094" s="38" t="str">
        <f>VLOOKUP(B4094,CAJEROS!B:E,4,0)</f>
        <v>MF_RODADERO</v>
      </c>
      <c r="K4094" t="s">
        <v>579</v>
      </c>
    </row>
    <row r="4095" spans="1:11">
      <c r="A4095" s="32">
        <v>721</v>
      </c>
      <c r="B4095" s="33">
        <v>8896</v>
      </c>
      <c r="C4095" s="3">
        <v>700000</v>
      </c>
      <c r="D4095" s="3"/>
      <c r="E4095" s="7">
        <f t="shared" si="88"/>
        <v>700000</v>
      </c>
      <c r="F4095" s="5">
        <v>45912</v>
      </c>
      <c r="G4095" s="4">
        <v>20250911</v>
      </c>
      <c r="H4095" s="38" t="str">
        <f>VLOOKUP(B4095,CAJEROS!B:D,3,0)</f>
        <v>Multifuncional</v>
      </c>
      <c r="I4095" s="34" t="s">
        <v>9</v>
      </c>
      <c r="J4095" s="38" t="str">
        <f>VLOOKUP(B4095,CAJEROS!B:E,4,0)</f>
        <v>MFSUCLAGO1</v>
      </c>
      <c r="K4095" t="s">
        <v>579</v>
      </c>
    </row>
    <row r="4096" spans="1:11">
      <c r="A4096" s="32">
        <v>844</v>
      </c>
      <c r="B4096" s="33">
        <v>6169</v>
      </c>
      <c r="C4096" s="3">
        <v>480000</v>
      </c>
      <c r="D4096" s="3">
        <v>80000</v>
      </c>
      <c r="E4096" s="7">
        <f t="shared" si="88"/>
        <v>400000</v>
      </c>
      <c r="F4096" s="5">
        <v>45912</v>
      </c>
      <c r="G4096" s="4">
        <v>20250911</v>
      </c>
      <c r="H4096" s="38" t="str">
        <f>VLOOKUP(B4096,CAJEROS!B:D,3,0)</f>
        <v>Multifuncional</v>
      </c>
      <c r="I4096" s="34" t="s">
        <v>9</v>
      </c>
      <c r="J4096" s="38" t="str">
        <f>VLOOKUP(B4096,CAJEROS!B:E,4,0)</f>
        <v>MF_PRIMAVRA</v>
      </c>
      <c r="K4096" t="s">
        <v>579</v>
      </c>
    </row>
    <row r="4097" spans="1:11">
      <c r="A4097" s="32">
        <v>361</v>
      </c>
      <c r="B4097" s="33">
        <v>5005</v>
      </c>
      <c r="C4097" s="3">
        <v>400000</v>
      </c>
      <c r="D4097" s="3"/>
      <c r="E4097" s="7">
        <f t="shared" si="88"/>
        <v>400000</v>
      </c>
      <c r="F4097" s="5">
        <v>45912</v>
      </c>
      <c r="G4097" s="4">
        <v>20250911</v>
      </c>
      <c r="H4097" s="38" t="str">
        <f>VLOOKUP(B4097,CAJEROS!B:D,3,0)</f>
        <v>Multifuncional</v>
      </c>
      <c r="I4097" s="34" t="s">
        <v>9</v>
      </c>
      <c r="J4097" s="38" t="str">
        <f>VLOOKUP(B4097,CAJEROS!B:E,4,0)</f>
        <v>MF_CDPFONTI</v>
      </c>
      <c r="K4097" t="s">
        <v>579</v>
      </c>
    </row>
    <row r="4098" spans="1:11">
      <c r="A4098" s="32">
        <v>287</v>
      </c>
      <c r="B4098" s="33">
        <v>907</v>
      </c>
      <c r="C4098" s="3">
        <v>310000</v>
      </c>
      <c r="D4098" s="3"/>
      <c r="E4098" s="7">
        <f t="shared" si="88"/>
        <v>310000</v>
      </c>
      <c r="F4098" s="5">
        <v>45912</v>
      </c>
      <c r="G4098" s="4">
        <v>20250911</v>
      </c>
      <c r="H4098" s="38" t="str">
        <f>VLOOKUP(B4098,CAJEROS!B:D,3,0)</f>
        <v>Multifuncional</v>
      </c>
      <c r="I4098" s="34" t="s">
        <v>9</v>
      </c>
      <c r="J4098" s="38" t="str">
        <f>VLOOKUP(B4098,CAJEROS!B:E,4,0)</f>
        <v>MFABASTOBGA</v>
      </c>
      <c r="K4098" t="s">
        <v>579</v>
      </c>
    </row>
    <row r="4099" spans="1:11">
      <c r="A4099" s="32">
        <v>762</v>
      </c>
      <c r="B4099" s="33">
        <v>5181</v>
      </c>
      <c r="C4099" s="3">
        <v>310000</v>
      </c>
      <c r="D4099" s="3">
        <v>218000</v>
      </c>
      <c r="E4099" s="7">
        <f t="shared" si="88"/>
        <v>92000</v>
      </c>
      <c r="F4099" s="5">
        <v>45912</v>
      </c>
      <c r="G4099" s="4">
        <v>20250911</v>
      </c>
      <c r="H4099" s="38" t="str">
        <f>VLOOKUP(B4099,CAJEROS!B:D,3,0)</f>
        <v>Multifuncional</v>
      </c>
      <c r="I4099" s="34" t="s">
        <v>9</v>
      </c>
      <c r="J4099" s="38" t="str">
        <f>VLOOKUP(B4099,CAJEROS!B:E,4,0)</f>
        <v>MF_HERRADU1</v>
      </c>
      <c r="K4099" t="s">
        <v>579</v>
      </c>
    </row>
    <row r="4100" spans="1:11">
      <c r="A4100" s="32">
        <v>824</v>
      </c>
      <c r="B4100" s="33">
        <v>5040</v>
      </c>
      <c r="C4100" s="3">
        <v>270000</v>
      </c>
      <c r="D4100" s="3"/>
      <c r="E4100" s="7">
        <f t="shared" si="88"/>
        <v>270000</v>
      </c>
      <c r="F4100" s="5">
        <v>45912</v>
      </c>
      <c r="G4100" s="4">
        <v>20250911</v>
      </c>
      <c r="H4100" s="38" t="str">
        <f>VLOOKUP(B4100,CAJEROS!B:D,3,0)</f>
        <v>Multifuncional</v>
      </c>
      <c r="I4100" s="34" t="s">
        <v>9</v>
      </c>
      <c r="J4100" s="38" t="str">
        <f>VLOOKUP(B4100,CAJEROS!B:E,4,0)</f>
        <v>MF_VENPLAZA</v>
      </c>
      <c r="K4100" t="s">
        <v>579</v>
      </c>
    </row>
    <row r="4101" spans="1:11">
      <c r="A4101" s="32">
        <v>197</v>
      </c>
      <c r="B4101" s="33">
        <v>5084</v>
      </c>
      <c r="C4101" s="3">
        <v>250000</v>
      </c>
      <c r="D4101" s="3"/>
      <c r="E4101" s="7">
        <f t="shared" si="88"/>
        <v>250000</v>
      </c>
      <c r="F4101" s="5">
        <v>45912</v>
      </c>
      <c r="G4101" s="4">
        <v>20250911</v>
      </c>
      <c r="H4101" s="38" t="str">
        <f>VLOOKUP(B4101,CAJEROS!B:D,3,0)</f>
        <v>Multifuncional</v>
      </c>
      <c r="I4101" s="34" t="s">
        <v>9</v>
      </c>
      <c r="J4101" s="38" t="str">
        <f>VLOOKUP(B4101,CAJEROS!B:E,4,0)</f>
        <v>MF_GUATAPUR</v>
      </c>
      <c r="K4101" t="s">
        <v>579</v>
      </c>
    </row>
    <row r="4102" spans="1:11">
      <c r="A4102" s="32">
        <v>551</v>
      </c>
      <c r="B4102" s="33">
        <v>9644</v>
      </c>
      <c r="C4102" s="3">
        <v>234950</v>
      </c>
      <c r="D4102" s="3"/>
      <c r="E4102" s="7">
        <f t="shared" si="88"/>
        <v>234950</v>
      </c>
      <c r="F4102" s="5">
        <v>45912</v>
      </c>
      <c r="G4102" s="4">
        <v>20250911</v>
      </c>
      <c r="H4102" s="38" t="str">
        <f>VLOOKUP(B4102,CAJEROS!B:D,3,0)</f>
        <v>Multifuncional</v>
      </c>
      <c r="I4102" s="34" t="s">
        <v>9</v>
      </c>
      <c r="J4102" s="38" t="str">
        <f>VLOOKUP(B4102,CAJEROS!B:E,4,0)</f>
        <v>MFSUCUNIME2</v>
      </c>
      <c r="K4102" t="s">
        <v>579</v>
      </c>
    </row>
    <row r="4103" spans="1:11">
      <c r="A4103" s="32">
        <v>745</v>
      </c>
      <c r="B4103" s="33">
        <v>1477</v>
      </c>
      <c r="C4103" s="3">
        <v>195000</v>
      </c>
      <c r="D4103" s="3"/>
      <c r="E4103" s="7">
        <f t="shared" si="88"/>
        <v>195000</v>
      </c>
      <c r="F4103" s="5">
        <v>45912</v>
      </c>
      <c r="G4103" s="4">
        <v>20250911</v>
      </c>
      <c r="H4103" s="38" t="str">
        <f>VLOOKUP(B4103,CAJEROS!B:D,3,0)</f>
        <v>Multifuncional</v>
      </c>
      <c r="I4103" s="34" t="s">
        <v>9</v>
      </c>
      <c r="J4103" s="38" t="str">
        <f>VLOOKUP(B4103,CAJEROS!B:E,4,0)</f>
        <v>MFSUCMALPZ2</v>
      </c>
      <c r="K4103" t="s">
        <v>579</v>
      </c>
    </row>
    <row r="4104" spans="1:11">
      <c r="A4104" s="32">
        <v>927</v>
      </c>
      <c r="B4104" s="33">
        <v>5143</v>
      </c>
      <c r="C4104" s="3">
        <v>180000</v>
      </c>
      <c r="D4104" s="3"/>
      <c r="E4104" s="7">
        <f t="shared" si="88"/>
        <v>180000</v>
      </c>
      <c r="F4104" s="5">
        <v>45912</v>
      </c>
      <c r="G4104" s="4">
        <v>20250911</v>
      </c>
      <c r="H4104" s="38" t="str">
        <f>VLOOKUP(B4104,CAJEROS!B:D,3,0)</f>
        <v>Multifuncional</v>
      </c>
      <c r="I4104" s="34" t="s">
        <v>9</v>
      </c>
      <c r="J4104" s="38" t="str">
        <f>VLOOKUP(B4104,CAJEROS!B:E,4,0)</f>
        <v>MF_SUCMOCOA</v>
      </c>
      <c r="K4104" t="s">
        <v>579</v>
      </c>
    </row>
    <row r="4105" spans="1:11">
      <c r="A4105" s="32">
        <v>250</v>
      </c>
      <c r="B4105" s="33">
        <v>5197</v>
      </c>
      <c r="C4105" s="3">
        <v>150000</v>
      </c>
      <c r="D4105" s="3"/>
      <c r="E4105" s="7">
        <f t="shared" si="88"/>
        <v>150000</v>
      </c>
      <c r="F4105" s="5">
        <v>45912</v>
      </c>
      <c r="G4105" s="4">
        <v>20250911</v>
      </c>
      <c r="H4105" s="38" t="str">
        <f>VLOOKUP(B4105,CAJEROS!B:D,3,0)</f>
        <v>Multifuncional</v>
      </c>
      <c r="I4105" s="34" t="s">
        <v>9</v>
      </c>
      <c r="J4105" s="38" t="str">
        <f>VLOOKUP(B4105,CAJEROS!B:E,4,0)</f>
        <v>MF_MODELIA</v>
      </c>
      <c r="K4105" t="s">
        <v>579</v>
      </c>
    </row>
    <row r="4106" spans="1:11">
      <c r="A4106" s="32">
        <v>455</v>
      </c>
      <c r="B4106" s="33">
        <v>5206</v>
      </c>
      <c r="C4106" s="3">
        <v>130200</v>
      </c>
      <c r="D4106" s="3">
        <v>124000</v>
      </c>
      <c r="E4106" s="7">
        <f t="shared" si="88"/>
        <v>6200</v>
      </c>
      <c r="F4106" s="5">
        <v>45912</v>
      </c>
      <c r="G4106" s="4">
        <v>20250911</v>
      </c>
      <c r="H4106" s="38" t="str">
        <f>VLOOKUP(B4106,CAJEROS!B:D,3,0)</f>
        <v>Multifuncional</v>
      </c>
      <c r="I4106" s="34" t="s">
        <v>9</v>
      </c>
      <c r="J4106" s="38" t="str">
        <f>VLOOKUP(B4106,CAJEROS!B:E,4,0)</f>
        <v>MF_CEIBAS1</v>
      </c>
      <c r="K4106" t="s">
        <v>579</v>
      </c>
    </row>
    <row r="4107" spans="1:11">
      <c r="A4107" s="32">
        <v>829</v>
      </c>
      <c r="B4107" s="33">
        <v>5137</v>
      </c>
      <c r="C4107" s="3">
        <v>89000</v>
      </c>
      <c r="D4107" s="3"/>
      <c r="E4107" s="7">
        <f t="shared" si="88"/>
        <v>89000</v>
      </c>
      <c r="F4107" s="5">
        <v>45912</v>
      </c>
      <c r="G4107" s="4">
        <v>20250911</v>
      </c>
      <c r="H4107" s="38" t="str">
        <f>VLOOKUP(B4107,CAJEROS!B:D,3,0)</f>
        <v>Multifuncional</v>
      </c>
      <c r="I4107" s="34" t="s">
        <v>9</v>
      </c>
      <c r="J4107" s="38" t="str">
        <f>VLOOKUP(B4107,CAJEROS!B:E,4,0)</f>
        <v>MF_UNICALI1</v>
      </c>
      <c r="K4107" t="s">
        <v>579</v>
      </c>
    </row>
    <row r="4108" spans="1:11">
      <c r="A4108" s="32">
        <v>54</v>
      </c>
      <c r="B4108" s="33">
        <v>6204</v>
      </c>
      <c r="C4108" s="3">
        <v>80000</v>
      </c>
      <c r="D4108" s="3"/>
      <c r="E4108" s="7">
        <f t="shared" si="88"/>
        <v>80000</v>
      </c>
      <c r="F4108" s="5">
        <v>45912</v>
      </c>
      <c r="G4108" s="4">
        <v>20250911</v>
      </c>
      <c r="H4108" s="38" t="str">
        <f>VLOOKUP(B4108,CAJEROS!B:D,3,0)</f>
        <v>Multifuncional</v>
      </c>
      <c r="I4108" s="34" t="s">
        <v>9</v>
      </c>
      <c r="J4108" s="38" t="str">
        <f>VLOOKUP(B4108,CAJEROS!B:E,4,0)</f>
        <v>MF_CALLE122</v>
      </c>
      <c r="K4108" t="s">
        <v>579</v>
      </c>
    </row>
    <row r="4109" spans="1:11">
      <c r="A4109" s="32">
        <v>24</v>
      </c>
      <c r="B4109" s="33">
        <v>5066</v>
      </c>
      <c r="C4109" s="3">
        <v>35000</v>
      </c>
      <c r="D4109" s="3"/>
      <c r="E4109" s="7">
        <f t="shared" si="88"/>
        <v>35000</v>
      </c>
      <c r="F4109" s="5">
        <v>45912</v>
      </c>
      <c r="G4109" s="4">
        <v>20250911</v>
      </c>
      <c r="H4109" s="38" t="str">
        <f>VLOOKUP(B4109,CAJEROS!B:D,3,0)</f>
        <v>Multifuncional</v>
      </c>
      <c r="I4109" s="34" t="s">
        <v>9</v>
      </c>
      <c r="J4109" s="38" t="str">
        <f>VLOOKUP(B4109,CAJEROS!B:E,4,0)</f>
        <v>MF_RIONEGPA</v>
      </c>
      <c r="K4109" t="s">
        <v>579</v>
      </c>
    </row>
    <row r="4110" spans="1:11">
      <c r="A4110" s="32">
        <v>85</v>
      </c>
      <c r="B4110" s="33">
        <v>8971</v>
      </c>
      <c r="C4110" s="3">
        <v>10000</v>
      </c>
      <c r="D4110" s="3"/>
      <c r="E4110" s="7">
        <f t="shared" si="88"/>
        <v>10000</v>
      </c>
      <c r="F4110" s="5">
        <v>45912</v>
      </c>
      <c r="G4110" s="4">
        <v>20250911</v>
      </c>
      <c r="H4110" s="38" t="str">
        <f>VLOOKUP(B4110,CAJEROS!B:D,3,0)</f>
        <v>Dispensador</v>
      </c>
      <c r="I4110" s="34"/>
      <c r="J4110" s="38" t="str">
        <f>VLOOKUP(B4110,CAJEROS!B:E,4,0)</f>
        <v>SUCSERZUL_2</v>
      </c>
      <c r="K4110" t="s">
        <v>579</v>
      </c>
    </row>
    <row r="4111" spans="1:11">
      <c r="A4111" s="32">
        <v>101</v>
      </c>
      <c r="B4111" s="33">
        <v>4867</v>
      </c>
      <c r="C4111" s="3">
        <v>6720000</v>
      </c>
      <c r="D4111" s="3">
        <v>6680000</v>
      </c>
      <c r="E4111" s="7">
        <f t="shared" si="88"/>
        <v>40000</v>
      </c>
      <c r="F4111" s="5">
        <v>45912</v>
      </c>
      <c r="G4111" s="4">
        <v>20250911</v>
      </c>
      <c r="H4111" s="38" t="str">
        <f>VLOOKUP(B4111,CAJEROS!B:D,3,0)</f>
        <v>Dispensador</v>
      </c>
      <c r="I4111" s="34"/>
      <c r="J4111" s="38" t="str">
        <f>VLOOKUP(B4111,CAJEROS!B:E,4,0)</f>
        <v>SUC_MDRIVE3</v>
      </c>
      <c r="K4111" t="s">
        <v>579</v>
      </c>
    </row>
    <row r="4112" spans="1:11">
      <c r="A4112" s="32">
        <v>166</v>
      </c>
      <c r="B4112" s="33">
        <v>7928</v>
      </c>
      <c r="C4112" s="3">
        <v>600000</v>
      </c>
      <c r="D4112" s="3"/>
      <c r="E4112" s="7">
        <f t="shared" si="88"/>
        <v>600000</v>
      </c>
      <c r="F4112" s="5">
        <v>45912</v>
      </c>
      <c r="G4112" s="4">
        <v>20250911</v>
      </c>
      <c r="H4112" s="38" t="str">
        <f>VLOOKUP(B4112,CAJEROS!B:D,3,0)</f>
        <v>Dispensador</v>
      </c>
      <c r="I4112" s="34"/>
      <c r="J4112" s="38" t="str">
        <f>VLOOKUP(B4112,CAJEROS!B:E,4,0)</f>
        <v>SUCALMSIN2</v>
      </c>
      <c r="K4112" t="s">
        <v>579</v>
      </c>
    </row>
    <row r="4113" spans="1:11">
      <c r="A4113" s="32">
        <v>202</v>
      </c>
      <c r="B4113" s="33">
        <v>2020</v>
      </c>
      <c r="C4113" s="3">
        <v>20000</v>
      </c>
      <c r="D4113" s="3"/>
      <c r="E4113" s="7">
        <f t="shared" si="88"/>
        <v>20000</v>
      </c>
      <c r="F4113" s="5">
        <v>45912</v>
      </c>
      <c r="G4113" s="4">
        <v>20250911</v>
      </c>
      <c r="H4113" s="38" t="str">
        <f>VLOOKUP(B4113,CAJEROS!B:D,3,0)</f>
        <v>Dispensador</v>
      </c>
      <c r="I4113" s="34"/>
      <c r="J4113" s="38" t="str">
        <f>VLOOKUP(B4113,CAJEROS!B:E,4,0)</f>
        <v>SUC_AVPEPE1</v>
      </c>
      <c r="K4113" t="s">
        <v>579</v>
      </c>
    </row>
    <row r="4114" spans="1:11">
      <c r="A4114" s="32">
        <v>240</v>
      </c>
      <c r="B4114" s="33">
        <v>6372</v>
      </c>
      <c r="C4114" s="3">
        <v>500000</v>
      </c>
      <c r="D4114" s="3"/>
      <c r="E4114" s="7">
        <f t="shared" si="88"/>
        <v>500000</v>
      </c>
      <c r="F4114" s="5">
        <v>45912</v>
      </c>
      <c r="G4114" s="4">
        <v>20250911</v>
      </c>
      <c r="H4114" s="38" t="str">
        <f>VLOOKUP(B4114,CAJEROS!B:D,3,0)</f>
        <v>Dispensador</v>
      </c>
      <c r="I4114" s="34"/>
      <c r="J4114" s="38" t="str">
        <f>VLOOKUP(B4114,CAJEROS!B:E,4,0)</f>
        <v>STAFEANTI_2</v>
      </c>
      <c r="K4114" t="s">
        <v>579</v>
      </c>
    </row>
    <row r="4115" spans="1:11">
      <c r="A4115" s="32">
        <v>292</v>
      </c>
      <c r="B4115" s="33">
        <v>5426</v>
      </c>
      <c r="C4115" s="3">
        <v>40000</v>
      </c>
      <c r="D4115" s="3"/>
      <c r="E4115" s="7">
        <f t="shared" si="88"/>
        <v>40000</v>
      </c>
      <c r="F4115" s="5">
        <v>45912</v>
      </c>
      <c r="G4115" s="4">
        <v>20250911</v>
      </c>
      <c r="H4115" s="38" t="str">
        <f>VLOOKUP(B4115,CAJEROS!B:D,3,0)</f>
        <v>Dispensador</v>
      </c>
      <c r="I4115" s="34"/>
      <c r="J4115" s="38" t="str">
        <f>VLOOKUP(B4115,CAJEROS!B:E,4,0)</f>
        <v>CONFECCION5</v>
      </c>
      <c r="K4115" t="s">
        <v>579</v>
      </c>
    </row>
    <row r="4116" spans="1:11">
      <c r="A4116" s="32">
        <v>322</v>
      </c>
      <c r="B4116" s="33">
        <v>2442</v>
      </c>
      <c r="C4116" s="3">
        <v>100000</v>
      </c>
      <c r="D4116" s="3">
        <v>10000</v>
      </c>
      <c r="E4116" s="7">
        <f t="shared" si="88"/>
        <v>90000</v>
      </c>
      <c r="F4116" s="5">
        <v>45912</v>
      </c>
      <c r="G4116" s="4">
        <v>20250911</v>
      </c>
      <c r="H4116" s="38" t="str">
        <f>VLOOKUP(B4116,CAJEROS!B:D,3,0)</f>
        <v>Dispensador</v>
      </c>
      <c r="I4116" s="34"/>
      <c r="J4116" s="38" t="str">
        <f>VLOOKUP(B4116,CAJEROS!B:E,4,0)</f>
        <v>SUCSANGIL2</v>
      </c>
      <c r="K4116" t="s">
        <v>579</v>
      </c>
    </row>
    <row r="4117" spans="1:11">
      <c r="A4117" s="32">
        <v>332</v>
      </c>
      <c r="B4117" s="33">
        <v>2553</v>
      </c>
      <c r="C4117" s="3">
        <v>1360000</v>
      </c>
      <c r="D4117" s="3">
        <v>800000</v>
      </c>
      <c r="E4117" s="7">
        <f t="shared" si="88"/>
        <v>560000</v>
      </c>
      <c r="F4117" s="5">
        <v>45912</v>
      </c>
      <c r="G4117" s="4">
        <v>20250911</v>
      </c>
      <c r="H4117" s="38" t="str">
        <f>VLOOKUP(B4117,CAJEROS!B:D,3,0)</f>
        <v>Dispensador</v>
      </c>
      <c r="I4117" s="34"/>
      <c r="J4117" s="38" t="str">
        <f>VLOOKUP(B4117,CAJEROS!B:E,4,0)</f>
        <v>ZIPAQUIRA_2</v>
      </c>
      <c r="K4117" t="s">
        <v>579</v>
      </c>
    </row>
    <row r="4118" spans="1:11">
      <c r="A4118" s="32">
        <v>332</v>
      </c>
      <c r="B4118" s="33">
        <v>2559</v>
      </c>
      <c r="C4118" s="3">
        <v>680000</v>
      </c>
      <c r="D4118" s="3">
        <v>660000</v>
      </c>
      <c r="E4118" s="7">
        <f t="shared" ref="E4118:E4181" si="89">+C4118-D4118</f>
        <v>20000</v>
      </c>
      <c r="F4118" s="5">
        <v>45912</v>
      </c>
      <c r="G4118" s="4">
        <v>20250911</v>
      </c>
      <c r="H4118" s="38" t="str">
        <f>VLOOKUP(B4118,CAJEROS!B:D,3,0)</f>
        <v>Dispensador</v>
      </c>
      <c r="I4118" s="34"/>
      <c r="J4118" s="38" t="str">
        <f>VLOOKUP(B4118,CAJEROS!B:E,4,0)</f>
        <v>ZIPAQUIRA_4</v>
      </c>
      <c r="K4118" t="s">
        <v>579</v>
      </c>
    </row>
    <row r="4119" spans="1:11">
      <c r="A4119" s="32">
        <v>360</v>
      </c>
      <c r="B4119" s="33">
        <v>2856</v>
      </c>
      <c r="C4119" s="3">
        <v>70000</v>
      </c>
      <c r="D4119" s="3"/>
      <c r="E4119" s="7">
        <f t="shared" si="89"/>
        <v>70000</v>
      </c>
      <c r="F4119" s="5">
        <v>45912</v>
      </c>
      <c r="G4119" s="4">
        <v>20250911</v>
      </c>
      <c r="H4119" s="38" t="str">
        <f>VLOOKUP(B4119,CAJEROS!B:D,3,0)</f>
        <v>Dispensador</v>
      </c>
      <c r="I4119" s="34"/>
      <c r="J4119" s="38" t="str">
        <f>VLOOKUP(B4119,CAJEROS!B:E,4,0)</f>
        <v>_ESTADIO_2_</v>
      </c>
      <c r="K4119" t="s">
        <v>579</v>
      </c>
    </row>
    <row r="4120" spans="1:11">
      <c r="A4120" s="32">
        <v>365</v>
      </c>
      <c r="B4120" s="33">
        <v>454</v>
      </c>
      <c r="C4120" s="3">
        <v>100000</v>
      </c>
      <c r="D4120" s="3"/>
      <c r="E4120" s="7">
        <f t="shared" si="89"/>
        <v>100000</v>
      </c>
      <c r="F4120" s="5">
        <v>45912</v>
      </c>
      <c r="G4120" s="4">
        <v>20250911</v>
      </c>
      <c r="H4120" s="38" t="str">
        <f>VLOOKUP(B4120,CAJEROS!B:D,3,0)</f>
        <v>Dispensador</v>
      </c>
      <c r="I4120" s="34"/>
      <c r="J4120" s="38" t="str">
        <f>VLOOKUP(B4120,CAJEROS!B:E,4,0)</f>
        <v>AGUAZUL1</v>
      </c>
      <c r="K4120" t="s">
        <v>579</v>
      </c>
    </row>
    <row r="4121" spans="1:11">
      <c r="A4121" s="32">
        <v>372</v>
      </c>
      <c r="B4121" s="33">
        <v>7917</v>
      </c>
      <c r="C4121" s="3">
        <v>190000</v>
      </c>
      <c r="D4121" s="3"/>
      <c r="E4121" s="7">
        <f t="shared" si="89"/>
        <v>190000</v>
      </c>
      <c r="F4121" s="5">
        <v>45912</v>
      </c>
      <c r="G4121" s="4">
        <v>20250911</v>
      </c>
      <c r="H4121" s="38" t="str">
        <f>VLOOKUP(B4121,CAJEROS!B:D,3,0)</f>
        <v>Dispensador</v>
      </c>
      <c r="I4121" s="34"/>
      <c r="J4121" s="38" t="str">
        <f>VLOOKUP(B4121,CAJEROS!B:E,4,0)</f>
        <v>SUCFACATA_3</v>
      </c>
      <c r="K4121" t="s">
        <v>579</v>
      </c>
    </row>
    <row r="4122" spans="1:11">
      <c r="A4122" s="32">
        <v>422</v>
      </c>
      <c r="B4122" s="33">
        <v>4221</v>
      </c>
      <c r="C4122" s="3">
        <v>100000</v>
      </c>
      <c r="D4122" s="3"/>
      <c r="E4122" s="7">
        <f t="shared" si="89"/>
        <v>100000</v>
      </c>
      <c r="F4122" s="5">
        <v>45912</v>
      </c>
      <c r="G4122" s="4">
        <v>20250911</v>
      </c>
      <c r="H4122" s="38" t="str">
        <f>VLOOKUP(B4122,CAJEROS!B:D,3,0)</f>
        <v>Dispensador</v>
      </c>
      <c r="I4122" s="34"/>
      <c r="J4122" s="38" t="str">
        <f>VLOOKUP(B4122,CAJEROS!B:E,4,0)</f>
        <v>CHAPARRAL</v>
      </c>
      <c r="K4122" t="s">
        <v>579</v>
      </c>
    </row>
    <row r="4123" spans="1:11">
      <c r="A4123" s="32">
        <v>442</v>
      </c>
      <c r="B4123" s="33">
        <v>8885</v>
      </c>
      <c r="C4123" s="3">
        <v>60000</v>
      </c>
      <c r="D4123" s="3"/>
      <c r="E4123" s="7">
        <f t="shared" si="89"/>
        <v>60000</v>
      </c>
      <c r="F4123" s="5">
        <v>45912</v>
      </c>
      <c r="G4123" s="4">
        <v>20250911</v>
      </c>
      <c r="H4123" s="38" t="str">
        <f>VLOOKUP(B4123,CAJEROS!B:D,3,0)</f>
        <v>Dispensador</v>
      </c>
      <c r="I4123" s="34"/>
      <c r="J4123" s="38" t="str">
        <f>VLOOKUP(B4123,CAJEROS!B:E,4,0)</f>
        <v>VIVABQUILA3</v>
      </c>
      <c r="K4123" t="s">
        <v>579</v>
      </c>
    </row>
    <row r="4124" spans="1:11">
      <c r="A4124" s="32">
        <v>442</v>
      </c>
      <c r="B4124" s="33">
        <v>8886</v>
      </c>
      <c r="C4124" s="3">
        <v>50000</v>
      </c>
      <c r="D4124" s="3"/>
      <c r="E4124" s="7">
        <f t="shared" si="89"/>
        <v>50000</v>
      </c>
      <c r="F4124" s="5">
        <v>45912</v>
      </c>
      <c r="G4124" s="4">
        <v>20250911</v>
      </c>
      <c r="H4124" s="38" t="str">
        <f>VLOOKUP(B4124,CAJEROS!B:D,3,0)</f>
        <v>Dispensador</v>
      </c>
      <c r="I4124" s="34"/>
      <c r="J4124" s="38" t="str">
        <f>VLOOKUP(B4124,CAJEROS!B:E,4,0)</f>
        <v>VIVABQUILA4</v>
      </c>
      <c r="K4124" t="s">
        <v>579</v>
      </c>
    </row>
    <row r="4125" spans="1:11">
      <c r="A4125" s="32">
        <v>509</v>
      </c>
      <c r="B4125" s="33">
        <v>8778</v>
      </c>
      <c r="C4125" s="3">
        <v>1480000</v>
      </c>
      <c r="D4125" s="3"/>
      <c r="E4125" s="7">
        <f t="shared" si="89"/>
        <v>1480000</v>
      </c>
      <c r="F4125" s="5">
        <v>45912</v>
      </c>
      <c r="G4125" s="4">
        <v>20250911</v>
      </c>
      <c r="H4125" s="38" t="str">
        <f>VLOOKUP(B4125,CAJEROS!B:D,3,0)</f>
        <v>Dispensador</v>
      </c>
      <c r="I4125" s="34"/>
      <c r="J4125" s="38" t="str">
        <f>VLOOKUP(B4125,CAJEROS!B:E,4,0)</f>
        <v>SUCTURBA1</v>
      </c>
      <c r="K4125" t="s">
        <v>579</v>
      </c>
    </row>
    <row r="4126" spans="1:11">
      <c r="A4126" s="32">
        <v>509</v>
      </c>
      <c r="B4126" s="33">
        <v>8779</v>
      </c>
      <c r="C4126" s="3">
        <v>870000</v>
      </c>
      <c r="D4126" s="3"/>
      <c r="E4126" s="7">
        <f t="shared" si="89"/>
        <v>870000</v>
      </c>
      <c r="F4126" s="5">
        <v>45912</v>
      </c>
      <c r="G4126" s="4">
        <v>20250911</v>
      </c>
      <c r="H4126" s="38" t="str">
        <f>VLOOKUP(B4126,CAJEROS!B:D,3,0)</f>
        <v>Dispensador</v>
      </c>
      <c r="I4126" s="34"/>
      <c r="J4126" s="38" t="str">
        <f>VLOOKUP(B4126,CAJEROS!B:E,4,0)</f>
        <v>SUCTURBA2</v>
      </c>
      <c r="K4126" t="s">
        <v>579</v>
      </c>
    </row>
    <row r="4127" spans="1:11">
      <c r="A4127" s="32">
        <v>512</v>
      </c>
      <c r="B4127" s="33">
        <v>4167</v>
      </c>
      <c r="C4127" s="3">
        <v>30000</v>
      </c>
      <c r="D4127" s="3"/>
      <c r="E4127" s="7">
        <f t="shared" si="89"/>
        <v>30000</v>
      </c>
      <c r="F4127" s="5">
        <v>45912</v>
      </c>
      <c r="G4127" s="4">
        <v>20250911</v>
      </c>
      <c r="H4127" s="38" t="str">
        <f>VLOOKUP(B4127,CAJEROS!B:D,3,0)</f>
        <v>Dispensador</v>
      </c>
      <c r="I4127" s="34"/>
      <c r="J4127" s="38" t="str">
        <f>VLOOKUP(B4127,CAJEROS!B:E,4,0)</f>
        <v>SUC_PLATO1</v>
      </c>
      <c r="K4127" t="s">
        <v>579</v>
      </c>
    </row>
    <row r="4128" spans="1:11">
      <c r="A4128" s="32">
        <v>516</v>
      </c>
      <c r="B4128" s="33">
        <v>9727</v>
      </c>
      <c r="C4128" s="3">
        <v>10000</v>
      </c>
      <c r="D4128" s="3"/>
      <c r="E4128" s="7">
        <f t="shared" si="89"/>
        <v>10000</v>
      </c>
      <c r="F4128" s="5">
        <v>45912</v>
      </c>
      <c r="G4128" s="4">
        <v>20250911</v>
      </c>
      <c r="H4128" s="38" t="str">
        <f>VLOOKUP(B4128,CAJEROS!B:D,3,0)</f>
        <v>Dispensador</v>
      </c>
      <c r="I4128" s="34"/>
      <c r="J4128" s="38" t="str">
        <f>VLOOKUP(B4128,CAJEROS!B:E,4,0)</f>
        <v>SUCSTAMART2</v>
      </c>
      <c r="K4128" t="s">
        <v>579</v>
      </c>
    </row>
    <row r="4129" spans="1:11">
      <c r="A4129" s="32">
        <v>642</v>
      </c>
      <c r="B4129" s="33">
        <v>1949</v>
      </c>
      <c r="C4129" s="3">
        <v>610000</v>
      </c>
      <c r="D4129" s="3">
        <v>500000</v>
      </c>
      <c r="E4129" s="7">
        <f t="shared" si="89"/>
        <v>110000</v>
      </c>
      <c r="F4129" s="5">
        <v>45912</v>
      </c>
      <c r="G4129" s="4">
        <v>20250911</v>
      </c>
      <c r="H4129" s="38" t="str">
        <f>VLOOKUP(B4129,CAJEROS!B:D,3,0)</f>
        <v>Dispensador</v>
      </c>
      <c r="I4129" s="34"/>
      <c r="J4129" s="38" t="str">
        <f>VLOOKUP(B4129,CAJEROS!B:E,4,0)</f>
        <v>SANTAROSOS1</v>
      </c>
      <c r="K4129" t="s">
        <v>579</v>
      </c>
    </row>
    <row r="4130" spans="1:11">
      <c r="A4130" s="32">
        <v>677</v>
      </c>
      <c r="B4130" s="33">
        <v>6896</v>
      </c>
      <c r="C4130" s="3">
        <v>1150000</v>
      </c>
      <c r="D4130" s="3"/>
      <c r="E4130" s="7">
        <f t="shared" si="89"/>
        <v>1150000</v>
      </c>
      <c r="F4130" s="5">
        <v>45912</v>
      </c>
      <c r="G4130" s="4">
        <v>20250911</v>
      </c>
      <c r="H4130" s="38" t="str">
        <f>VLOOKUP(B4130,CAJEROS!B:D,3,0)</f>
        <v>Dispensador</v>
      </c>
      <c r="I4130" s="34"/>
      <c r="J4130" s="38" t="str">
        <f>VLOOKUP(B4130,CAJEROS!B:E,4,0)</f>
        <v>SUCPLZMERC2</v>
      </c>
      <c r="K4130" t="s">
        <v>579</v>
      </c>
    </row>
    <row r="4131" spans="1:11">
      <c r="A4131" s="32">
        <v>780</v>
      </c>
      <c r="B4131" s="33">
        <v>4713</v>
      </c>
      <c r="C4131" s="3">
        <v>700000</v>
      </c>
      <c r="D4131" s="3"/>
      <c r="E4131" s="7">
        <f t="shared" si="89"/>
        <v>700000</v>
      </c>
      <c r="F4131" s="5">
        <v>45912</v>
      </c>
      <c r="G4131" s="4">
        <v>20250911</v>
      </c>
      <c r="H4131" s="38" t="str">
        <f>VLOOKUP(B4131,CAJEROS!B:D,3,0)</f>
        <v>Dispensador</v>
      </c>
      <c r="I4131" s="34"/>
      <c r="J4131" s="38" t="str">
        <f>VLOOKUP(B4131,CAJEROS!B:E,4,0)</f>
        <v>SUCREALMIN1</v>
      </c>
      <c r="K4131" t="s">
        <v>579</v>
      </c>
    </row>
    <row r="4132" spans="1:11">
      <c r="A4132" s="32">
        <v>840</v>
      </c>
      <c r="B4132" s="33">
        <v>4332</v>
      </c>
      <c r="C4132" s="3">
        <v>20000</v>
      </c>
      <c r="D4132" s="3"/>
      <c r="E4132" s="7">
        <f t="shared" si="89"/>
        <v>20000</v>
      </c>
      <c r="F4132" s="5">
        <v>45912</v>
      </c>
      <c r="G4132" s="4">
        <v>20250911</v>
      </c>
      <c r="H4132" s="38" t="str">
        <f>VLOOKUP(B4132,CAJEROS!B:D,3,0)</f>
        <v>Dispensador</v>
      </c>
      <c r="I4132" s="34"/>
      <c r="J4132" s="38" t="str">
        <f>VLOOKUP(B4132,CAJEROS!B:E,4,0)</f>
        <v>SUC_PAZARI2</v>
      </c>
      <c r="K4132" t="s">
        <v>579</v>
      </c>
    </row>
    <row r="4133" spans="1:11">
      <c r="A4133" s="32">
        <v>848</v>
      </c>
      <c r="B4133" s="33">
        <v>4740</v>
      </c>
      <c r="C4133" s="3">
        <v>9950000</v>
      </c>
      <c r="D4133" s="3">
        <v>9780000</v>
      </c>
      <c r="E4133" s="7">
        <f t="shared" si="89"/>
        <v>170000</v>
      </c>
      <c r="F4133" s="5">
        <v>45912</v>
      </c>
      <c r="G4133" s="4">
        <v>20250911</v>
      </c>
      <c r="H4133" s="38" t="str">
        <f>VLOOKUP(B4133,CAJEROS!B:D,3,0)</f>
        <v>Dispensador</v>
      </c>
      <c r="I4133" s="34"/>
      <c r="J4133" s="38" t="str">
        <f>VLOOKUP(B4133,CAJEROS!B:E,4,0)</f>
        <v>PQECABAL_3</v>
      </c>
      <c r="K4133" t="s">
        <v>579</v>
      </c>
    </row>
    <row r="4134" spans="1:11">
      <c r="A4134" s="32">
        <v>866</v>
      </c>
      <c r="B4134" s="33">
        <v>467</v>
      </c>
      <c r="C4134" s="3">
        <v>460000</v>
      </c>
      <c r="D4134" s="3"/>
      <c r="E4134" s="7">
        <f t="shared" si="89"/>
        <v>460000</v>
      </c>
      <c r="F4134" s="5">
        <v>45912</v>
      </c>
      <c r="G4134" s="4">
        <v>20250911</v>
      </c>
      <c r="H4134" s="38" t="str">
        <f>VLOOKUP(B4134,CAJEROS!B:D,3,0)</f>
        <v>Dispensador</v>
      </c>
      <c r="I4134" s="34"/>
      <c r="J4134" s="38" t="str">
        <f>VLOOKUP(B4134,CAJEROS!B:E,4,0)</f>
        <v>OFCFLORIDA2</v>
      </c>
      <c r="K4134" t="s">
        <v>579</v>
      </c>
    </row>
    <row r="4135" spans="1:11">
      <c r="A4135" s="32">
        <v>78</v>
      </c>
      <c r="B4135" s="33">
        <v>8591</v>
      </c>
      <c r="C4135" s="3">
        <v>1040000</v>
      </c>
      <c r="D4135" s="3">
        <v>40000</v>
      </c>
      <c r="E4135" s="7">
        <f t="shared" si="89"/>
        <v>1000000</v>
      </c>
      <c r="F4135" s="5">
        <v>45912</v>
      </c>
      <c r="G4135" s="4">
        <v>20250911</v>
      </c>
      <c r="H4135" s="38" t="str">
        <f>VLOOKUP(B4135,CAJEROS!B:D,3,0)</f>
        <v>Dispensador</v>
      </c>
      <c r="I4135" s="34" t="s">
        <v>9</v>
      </c>
      <c r="J4135" s="38" t="str">
        <f>VLOOKUP(B4135,CAJEROS!B:E,4,0)</f>
        <v>HALLCACIQ2</v>
      </c>
      <c r="K4135" t="s">
        <v>579</v>
      </c>
    </row>
    <row r="4136" spans="1:11">
      <c r="A4136" s="32">
        <v>111</v>
      </c>
      <c r="B4136" s="33">
        <v>3654</v>
      </c>
      <c r="C4136" s="3">
        <v>350000</v>
      </c>
      <c r="D4136" s="3"/>
      <c r="E4136" s="7">
        <f t="shared" si="89"/>
        <v>350000</v>
      </c>
      <c r="F4136" s="5">
        <v>45912</v>
      </c>
      <c r="G4136" s="4">
        <v>20250911</v>
      </c>
      <c r="H4136" s="38" t="str">
        <f>VLOOKUP(B4136,CAJEROS!B:D,3,0)</f>
        <v>Dispensador</v>
      </c>
      <c r="I4136" s="34" t="s">
        <v>9</v>
      </c>
      <c r="J4136" s="38" t="str">
        <f>VLOOKUP(B4136,CAJEROS!B:E,4,0)</f>
        <v>SUC_COROZ2</v>
      </c>
      <c r="K4136" t="s">
        <v>579</v>
      </c>
    </row>
    <row r="4137" spans="1:11">
      <c r="A4137" s="32">
        <v>211</v>
      </c>
      <c r="B4137" s="33">
        <v>5308</v>
      </c>
      <c r="C4137" s="3">
        <v>50000</v>
      </c>
      <c r="D4137" s="3"/>
      <c r="E4137" s="7">
        <f t="shared" si="89"/>
        <v>50000</v>
      </c>
      <c r="F4137" s="5">
        <v>45912</v>
      </c>
      <c r="G4137" s="4">
        <v>20250911</v>
      </c>
      <c r="H4137" s="38" t="str">
        <f>VLOOKUP(B4137,CAJEROS!B:D,3,0)</f>
        <v>Dispensador</v>
      </c>
      <c r="I4137" s="34" t="s">
        <v>9</v>
      </c>
      <c r="J4137" s="38" t="str">
        <f>VLOOKUP(B4137,CAJEROS!B:E,4,0)</f>
        <v>SUC_INDUST1</v>
      </c>
      <c r="K4137" t="s">
        <v>579</v>
      </c>
    </row>
    <row r="4138" spans="1:11">
      <c r="A4138" s="32">
        <v>318</v>
      </c>
      <c r="B4138" s="33">
        <v>5348</v>
      </c>
      <c r="C4138" s="3">
        <v>6300000</v>
      </c>
      <c r="D4138" s="3">
        <v>6290000</v>
      </c>
      <c r="E4138" s="7">
        <f t="shared" si="89"/>
        <v>10000</v>
      </c>
      <c r="F4138" s="5">
        <v>45912</v>
      </c>
      <c r="G4138" s="4">
        <v>20250911</v>
      </c>
      <c r="H4138" s="38" t="str">
        <f>VLOOKUP(B4138,CAJEROS!B:D,3,0)</f>
        <v>Dispensador</v>
      </c>
      <c r="I4138" s="34" t="s">
        <v>9</v>
      </c>
      <c r="J4138" s="38" t="str">
        <f>VLOOKUP(B4138,CAJEROS!B:E,4,0)</f>
        <v>SUC_OCANA1</v>
      </c>
      <c r="K4138" t="s">
        <v>579</v>
      </c>
    </row>
    <row r="4139" spans="1:11">
      <c r="A4139" s="32">
        <v>516</v>
      </c>
      <c r="B4139" s="33">
        <v>9726</v>
      </c>
      <c r="C4139" s="3">
        <v>1000000</v>
      </c>
      <c r="D4139" s="3"/>
      <c r="E4139" s="7">
        <f t="shared" si="89"/>
        <v>1000000</v>
      </c>
      <c r="F4139" s="5">
        <v>45912</v>
      </c>
      <c r="G4139" s="4">
        <v>20250911</v>
      </c>
      <c r="H4139" s="38" t="str">
        <f>VLOOKUP(B4139,CAJEROS!B:D,3,0)</f>
        <v>Dispensador</v>
      </c>
      <c r="I4139" s="34" t="s">
        <v>9</v>
      </c>
      <c r="J4139" s="38" t="str">
        <f>VLOOKUP(B4139,CAJEROS!B:E,4,0)</f>
        <v>SUCSTAMART1</v>
      </c>
      <c r="K4139" t="s">
        <v>579</v>
      </c>
    </row>
    <row r="4140" spans="1:11">
      <c r="A4140" s="32">
        <v>682</v>
      </c>
      <c r="B4140" s="33">
        <v>5959</v>
      </c>
      <c r="C4140" s="3">
        <v>150000</v>
      </c>
      <c r="D4140" s="3"/>
      <c r="E4140" s="7">
        <f t="shared" si="89"/>
        <v>150000</v>
      </c>
      <c r="F4140" s="5">
        <v>45912</v>
      </c>
      <c r="G4140" s="4">
        <v>20250911</v>
      </c>
      <c r="H4140" s="38" t="str">
        <f>VLOOKUP(B4140,CAJEROS!B:D,3,0)</f>
        <v>Dispensador</v>
      </c>
      <c r="I4140" s="34" t="s">
        <v>9</v>
      </c>
      <c r="J4140" s="38" t="str">
        <f>VLOOKUP(B4140,CAJEROS!B:E,4,0)</f>
        <v>SUC_CCFONT1</v>
      </c>
      <c r="K4140" t="s">
        <v>579</v>
      </c>
    </row>
    <row r="4141" spans="1:11">
      <c r="A4141" s="32">
        <v>704</v>
      </c>
      <c r="B4141" s="33">
        <v>4647</v>
      </c>
      <c r="C4141" s="3">
        <v>750000</v>
      </c>
      <c r="D4141" s="3"/>
      <c r="E4141" s="7">
        <f t="shared" si="89"/>
        <v>750000</v>
      </c>
      <c r="F4141" s="5">
        <v>45912</v>
      </c>
      <c r="G4141" s="4">
        <v>20250911</v>
      </c>
      <c r="H4141" s="38" t="str">
        <f>VLOOKUP(B4141,CAJEROS!B:D,3,0)</f>
        <v>Dispensador</v>
      </c>
      <c r="I4141" s="34" t="s">
        <v>9</v>
      </c>
      <c r="J4141" s="38" t="str">
        <f>VLOOKUP(B4141,CAJEROS!B:E,4,0)</f>
        <v>SUC_LOMCES2</v>
      </c>
      <c r="K4141" t="s">
        <v>579</v>
      </c>
    </row>
    <row r="4142" spans="1:11">
      <c r="A4142" s="32">
        <v>864</v>
      </c>
      <c r="B4142" s="33">
        <v>5377</v>
      </c>
      <c r="C4142" s="3">
        <v>610000</v>
      </c>
      <c r="D4142" s="3">
        <v>600000</v>
      </c>
      <c r="E4142" s="7">
        <f t="shared" si="89"/>
        <v>10000</v>
      </c>
      <c r="F4142" s="5">
        <v>45912</v>
      </c>
      <c r="G4142" s="4">
        <v>20250911</v>
      </c>
      <c r="H4142" s="38" t="str">
        <f>VLOOKUP(B4142,CAJEROS!B:D,3,0)</f>
        <v>Dispensador</v>
      </c>
      <c r="I4142" s="34" t="s">
        <v>9</v>
      </c>
      <c r="J4142" s="38" t="str">
        <f>VLOOKUP(B4142,CAJEROS!B:E,4,0)</f>
        <v>SUC_PRADER3</v>
      </c>
      <c r="K4142" t="s">
        <v>579</v>
      </c>
    </row>
    <row r="4143" spans="1:11">
      <c r="A4143" s="32">
        <v>882</v>
      </c>
      <c r="B4143" s="33">
        <v>3510</v>
      </c>
      <c r="C4143" s="3">
        <v>70000</v>
      </c>
      <c r="D4143" s="3"/>
      <c r="E4143" s="7">
        <f t="shared" si="89"/>
        <v>70000</v>
      </c>
      <c r="F4143" s="5">
        <v>45912</v>
      </c>
      <c r="G4143" s="4">
        <v>20250911</v>
      </c>
      <c r="H4143" s="38" t="str">
        <f>VLOOKUP(B4143,CAJEROS!B:D,3,0)</f>
        <v>Dispensador</v>
      </c>
      <c r="I4143" s="34" t="s">
        <v>9</v>
      </c>
      <c r="J4143" s="38" t="str">
        <f>VLOOKUP(B4143,CAJEROS!B:E,4,0)</f>
        <v>LIBERTADOR1</v>
      </c>
      <c r="K4143" t="s">
        <v>579</v>
      </c>
    </row>
    <row r="4144" spans="1:11">
      <c r="A4144" s="32">
        <v>24</v>
      </c>
      <c r="B4144" s="33">
        <v>5294</v>
      </c>
      <c r="C4144" s="3">
        <v>580000</v>
      </c>
      <c r="D4144" s="3">
        <v>350000</v>
      </c>
      <c r="E4144" s="7">
        <f t="shared" si="89"/>
        <v>230000</v>
      </c>
      <c r="F4144" s="5">
        <v>45915</v>
      </c>
      <c r="G4144" s="4">
        <v>20250912</v>
      </c>
      <c r="H4144" s="38" t="str">
        <f>VLOOKUP(B4144,CAJEROS!B:D,3,0)</f>
        <v>Dispensador</v>
      </c>
      <c r="I4144" s="34"/>
      <c r="J4144" s="38" t="str">
        <f>VLOOKUP(B4144,CAJEROS!B:E,4,0)</f>
        <v>SUC_RIONEG6</v>
      </c>
      <c r="K4144" t="s">
        <v>579</v>
      </c>
    </row>
    <row r="4145" spans="1:11">
      <c r="A4145" s="32">
        <v>285</v>
      </c>
      <c r="B4145" s="33">
        <v>1436</v>
      </c>
      <c r="C4145" s="3">
        <v>200000</v>
      </c>
      <c r="D4145" s="3"/>
      <c r="E4145" s="7">
        <f t="shared" si="89"/>
        <v>200000</v>
      </c>
      <c r="F4145" s="5">
        <v>45915</v>
      </c>
      <c r="G4145" s="4">
        <v>20250912</v>
      </c>
      <c r="H4145" s="38" t="str">
        <f>VLOOKUP(B4145,CAJEROS!B:D,3,0)</f>
        <v>Dispensador</v>
      </c>
      <c r="I4145" s="34"/>
      <c r="J4145" s="38" t="str">
        <f>VLOOKUP(B4145,CAJEROS!B:E,4,0)</f>
        <v>GARZON_1</v>
      </c>
      <c r="K4145" t="s">
        <v>579</v>
      </c>
    </row>
    <row r="4146" spans="1:11">
      <c r="A4146" s="32">
        <v>285</v>
      </c>
      <c r="B4146" s="33">
        <v>1437</v>
      </c>
      <c r="C4146" s="3">
        <v>2380000</v>
      </c>
      <c r="D4146" s="3">
        <v>10000</v>
      </c>
      <c r="E4146" s="7">
        <f t="shared" si="89"/>
        <v>2370000</v>
      </c>
      <c r="F4146" s="5">
        <v>45915</v>
      </c>
      <c r="G4146" s="4">
        <v>20250912</v>
      </c>
      <c r="H4146" s="38" t="str">
        <f>VLOOKUP(B4146,CAJEROS!B:D,3,0)</f>
        <v>Dispensador</v>
      </c>
      <c r="I4146" s="34"/>
      <c r="J4146" s="38" t="str">
        <f>VLOOKUP(B4146,CAJEROS!B:E,4,0)</f>
        <v>GARZON_2</v>
      </c>
      <c r="K4146" t="s">
        <v>579</v>
      </c>
    </row>
    <row r="4147" spans="1:11">
      <c r="A4147" s="32">
        <v>285</v>
      </c>
      <c r="B4147" s="33">
        <v>6053</v>
      </c>
      <c r="C4147" s="3">
        <v>3100000</v>
      </c>
      <c r="D4147" s="3"/>
      <c r="E4147" s="7">
        <f t="shared" si="89"/>
        <v>3100000</v>
      </c>
      <c r="F4147" s="5">
        <v>45915</v>
      </c>
      <c r="G4147" s="4">
        <v>20250912</v>
      </c>
      <c r="H4147" s="38" t="str">
        <f>VLOOKUP(B4147,CAJEROS!B:D,3,0)</f>
        <v>Dispensador</v>
      </c>
      <c r="I4147" s="34"/>
      <c r="J4147" s="38" t="str">
        <f>VLOOKUP(B4147,CAJEROS!B:E,4,0)</f>
        <v>GARZON3</v>
      </c>
      <c r="K4147" t="s">
        <v>579</v>
      </c>
    </row>
    <row r="4148" spans="1:11">
      <c r="A4148" s="32">
        <v>451</v>
      </c>
      <c r="B4148" s="33">
        <v>3799</v>
      </c>
      <c r="C4148" s="3">
        <v>500000</v>
      </c>
      <c r="D4148" s="3"/>
      <c r="E4148" s="7">
        <f t="shared" si="89"/>
        <v>500000</v>
      </c>
      <c r="F4148" s="5">
        <v>45915</v>
      </c>
      <c r="G4148" s="4">
        <v>20250912</v>
      </c>
      <c r="H4148" s="38" t="str">
        <f>VLOOKUP(B4148,CAJEROS!B:D,3,0)</f>
        <v>Dispensador</v>
      </c>
      <c r="I4148" s="34"/>
      <c r="J4148" s="38" t="str">
        <f>VLOOKUP(B4148,CAJEROS!B:E,4,0)</f>
        <v>SUC_PASIS1</v>
      </c>
      <c r="K4148" t="s">
        <v>579</v>
      </c>
    </row>
    <row r="4149" spans="1:11">
      <c r="A4149" s="32">
        <v>454</v>
      </c>
      <c r="B4149" s="33">
        <v>1884</v>
      </c>
      <c r="C4149" s="3">
        <v>500000</v>
      </c>
      <c r="D4149" s="3"/>
      <c r="E4149" s="7">
        <f t="shared" si="89"/>
        <v>500000</v>
      </c>
      <c r="F4149" s="5">
        <v>45915</v>
      </c>
      <c r="G4149" s="4">
        <v>20250912</v>
      </c>
      <c r="H4149" s="38" t="str">
        <f>VLOOKUP(B4149,CAJEROS!B:D,3,0)</f>
        <v>Dispensador</v>
      </c>
      <c r="I4149" s="34"/>
      <c r="J4149" s="38" t="str">
        <f>VLOOKUP(B4149,CAJEROS!B:E,4,0)</f>
        <v>5TAVENIDA1</v>
      </c>
      <c r="K4149" t="s">
        <v>579</v>
      </c>
    </row>
    <row r="4150" spans="1:11">
      <c r="A4150" s="32">
        <v>728</v>
      </c>
      <c r="B4150" s="33">
        <v>8582</v>
      </c>
      <c r="C4150" s="3">
        <v>500000</v>
      </c>
      <c r="D4150" s="3"/>
      <c r="E4150" s="7">
        <f t="shared" si="89"/>
        <v>500000</v>
      </c>
      <c r="F4150" s="5">
        <v>45915</v>
      </c>
      <c r="G4150" s="4">
        <v>20250912</v>
      </c>
      <c r="H4150" s="38" t="str">
        <f>VLOOKUP(B4150,CAJEROS!B:D,3,0)</f>
        <v>Dispensador</v>
      </c>
      <c r="I4150" s="34"/>
      <c r="J4150" s="38" t="str">
        <f>VLOOKUP(B4150,CAJEROS!B:E,4,0)</f>
        <v>SUCCARTAGO1</v>
      </c>
      <c r="K4150" t="s">
        <v>579</v>
      </c>
    </row>
    <row r="4151" spans="1:11">
      <c r="A4151" s="32">
        <v>972</v>
      </c>
      <c r="B4151" s="33">
        <v>3913</v>
      </c>
      <c r="C4151" s="3">
        <v>1100000</v>
      </c>
      <c r="D4151" s="3"/>
      <c r="E4151" s="7">
        <f t="shared" si="89"/>
        <v>1100000</v>
      </c>
      <c r="F4151" s="5">
        <v>45915</v>
      </c>
      <c r="G4151" s="4">
        <v>20250912</v>
      </c>
      <c r="H4151" s="38" t="str">
        <f>VLOOKUP(B4151,CAJEROS!B:D,3,0)</f>
        <v>Dispensador</v>
      </c>
      <c r="I4151" s="34"/>
      <c r="J4151" s="38" t="str">
        <f>VLOOKUP(B4151,CAJEROS!B:E,4,0)</f>
        <v>SUC_UPAST2</v>
      </c>
      <c r="K4151" t="s">
        <v>579</v>
      </c>
    </row>
    <row r="4152" spans="1:11">
      <c r="A4152" s="32">
        <v>19</v>
      </c>
      <c r="B4152" s="33">
        <v>1449</v>
      </c>
      <c r="C4152" s="3">
        <v>5600000</v>
      </c>
      <c r="D4152" s="3">
        <v>1800000</v>
      </c>
      <c r="E4152" s="7">
        <f t="shared" si="89"/>
        <v>3800000</v>
      </c>
      <c r="F4152" s="5">
        <v>45915</v>
      </c>
      <c r="G4152" s="4">
        <v>20250914</v>
      </c>
      <c r="H4152" s="38" t="str">
        <f>VLOOKUP(B4152,CAJEROS!B:D,3,0)</f>
        <v>Dispensador</v>
      </c>
      <c r="I4152" s="34" t="s">
        <v>9</v>
      </c>
      <c r="J4152" s="38" t="str">
        <f>VLOOKUP(B4152,CAJEROS!B:E,4,0)</f>
        <v>ENVIGADO_2</v>
      </c>
      <c r="K4152" t="s">
        <v>579</v>
      </c>
    </row>
    <row r="4153" spans="1:11">
      <c r="A4153" s="32">
        <v>38</v>
      </c>
      <c r="B4153" s="33">
        <v>6554</v>
      </c>
      <c r="C4153" s="3">
        <v>260000</v>
      </c>
      <c r="D4153" s="3">
        <v>250000</v>
      </c>
      <c r="E4153" s="7">
        <f t="shared" si="89"/>
        <v>10000</v>
      </c>
      <c r="F4153" s="5">
        <v>45915</v>
      </c>
      <c r="G4153" s="4">
        <v>20250914</v>
      </c>
      <c r="H4153" s="38" t="str">
        <f>VLOOKUP(B4153,CAJEROS!B:D,3,0)</f>
        <v>Dispensador</v>
      </c>
      <c r="I4153" s="34" t="s">
        <v>9</v>
      </c>
      <c r="J4153" s="38" t="str">
        <f>VLOOKUP(B4153,CAJEROS!B:E,4,0)</f>
        <v>PAIPA2</v>
      </c>
      <c r="K4153" t="s">
        <v>579</v>
      </c>
    </row>
    <row r="4154" spans="1:11">
      <c r="A4154" s="32">
        <v>57</v>
      </c>
      <c r="B4154" s="33">
        <v>9929</v>
      </c>
      <c r="C4154" s="3">
        <v>600000</v>
      </c>
      <c r="D4154" s="3">
        <v>70000</v>
      </c>
      <c r="E4154" s="7">
        <f t="shared" si="89"/>
        <v>530000</v>
      </c>
      <c r="F4154" s="5">
        <v>45915</v>
      </c>
      <c r="G4154" s="4">
        <v>20250914</v>
      </c>
      <c r="H4154" s="38" t="str">
        <f>VLOOKUP(B4154,CAJEROS!B:D,3,0)</f>
        <v>Dispensador</v>
      </c>
      <c r="I4154" s="34" t="s">
        <v>9</v>
      </c>
      <c r="J4154" s="38" t="str">
        <f>VLOOKUP(B4154,CAJEROS!B:E,4,0)</f>
        <v>SUC_VILLAO1</v>
      </c>
      <c r="K4154" t="s">
        <v>579</v>
      </c>
    </row>
    <row r="4155" spans="1:11">
      <c r="A4155" s="32">
        <v>163</v>
      </c>
      <c r="B4155" s="33">
        <v>5553</v>
      </c>
      <c r="C4155" s="3">
        <v>40000</v>
      </c>
      <c r="D4155" s="3"/>
      <c r="E4155" s="7">
        <f t="shared" si="89"/>
        <v>40000</v>
      </c>
      <c r="F4155" s="5">
        <v>45915</v>
      </c>
      <c r="G4155" s="4">
        <v>20250914</v>
      </c>
      <c r="H4155" s="38" t="str">
        <f>VLOOKUP(B4155,CAJEROS!B:D,3,0)</f>
        <v>Dispensador</v>
      </c>
      <c r="I4155" s="34" t="s">
        <v>9</v>
      </c>
      <c r="J4155" s="38" t="str">
        <f>VLOOKUP(B4155,CAJEROS!B:E,4,0)</f>
        <v>PTO_BERRIO1</v>
      </c>
      <c r="K4155" t="s">
        <v>579</v>
      </c>
    </row>
    <row r="4156" spans="1:11">
      <c r="A4156" s="32">
        <v>229</v>
      </c>
      <c r="B4156" s="33">
        <v>8956</v>
      </c>
      <c r="C4156" s="3">
        <v>30000</v>
      </c>
      <c r="D4156" s="3"/>
      <c r="E4156" s="7">
        <f t="shared" si="89"/>
        <v>30000</v>
      </c>
      <c r="F4156" s="5">
        <v>45915</v>
      </c>
      <c r="G4156" s="4">
        <v>20250914</v>
      </c>
      <c r="H4156" s="38" t="str">
        <f>VLOOKUP(B4156,CAJEROS!B:D,3,0)</f>
        <v>Dispensador</v>
      </c>
      <c r="I4156" s="34" t="s">
        <v>9</v>
      </c>
      <c r="J4156" s="38" t="str">
        <f>VLOOKUP(B4156,CAJEROS!B:E,4,0)</f>
        <v>SUCPASERIO2</v>
      </c>
      <c r="K4156" t="s">
        <v>579</v>
      </c>
    </row>
    <row r="4157" spans="1:11">
      <c r="A4157" s="32">
        <v>264</v>
      </c>
      <c r="B4157" s="33">
        <v>9903</v>
      </c>
      <c r="C4157" s="3">
        <v>200000</v>
      </c>
      <c r="D4157" s="3"/>
      <c r="E4157" s="7">
        <f t="shared" si="89"/>
        <v>200000</v>
      </c>
      <c r="F4157" s="5">
        <v>45915</v>
      </c>
      <c r="G4157" s="4">
        <v>20250914</v>
      </c>
      <c r="H4157" s="38" t="str">
        <f>VLOOKUP(B4157,CAJEROS!B:D,3,0)</f>
        <v>Dispensador</v>
      </c>
      <c r="I4157" s="34" t="s">
        <v>9</v>
      </c>
      <c r="J4157" s="38" t="str">
        <f>VLOOKUP(B4157,CAJEROS!B:E,4,0)</f>
        <v>SUCFUSAGAS1</v>
      </c>
      <c r="K4157" t="s">
        <v>579</v>
      </c>
    </row>
    <row r="4158" spans="1:11">
      <c r="A4158" s="32">
        <v>348</v>
      </c>
      <c r="B4158" s="33">
        <v>9007</v>
      </c>
      <c r="C4158" s="3">
        <v>350000</v>
      </c>
      <c r="D4158" s="3">
        <f>100000+170000</f>
        <v>270000</v>
      </c>
      <c r="E4158" s="7">
        <f t="shared" si="89"/>
        <v>80000</v>
      </c>
      <c r="F4158" s="5">
        <v>45915</v>
      </c>
      <c r="G4158" s="4">
        <v>20250914</v>
      </c>
      <c r="H4158" s="38" t="str">
        <f>VLOOKUP(B4158,CAJEROS!B:D,3,0)</f>
        <v>Dispensador</v>
      </c>
      <c r="I4158" s="34" t="s">
        <v>9</v>
      </c>
      <c r="J4158" s="38" t="str">
        <f>VLOOKUP(B4158,CAJEROS!B:E,4,0)</f>
        <v>SUCSANDRES7</v>
      </c>
      <c r="K4158" t="s">
        <v>579</v>
      </c>
    </row>
    <row r="4159" spans="1:11">
      <c r="A4159" s="32">
        <v>427</v>
      </c>
      <c r="B4159" s="33">
        <v>4271</v>
      </c>
      <c r="C4159" s="3">
        <v>130000</v>
      </c>
      <c r="D4159" s="3"/>
      <c r="E4159" s="7">
        <f t="shared" si="89"/>
        <v>130000</v>
      </c>
      <c r="F4159" s="5">
        <v>45915</v>
      </c>
      <c r="G4159" s="4">
        <v>20250914</v>
      </c>
      <c r="H4159" s="38" t="str">
        <f>VLOOKUP(B4159,CAJEROS!B:D,3,0)</f>
        <v>Dispensador</v>
      </c>
      <c r="I4159" s="34" t="s">
        <v>9</v>
      </c>
      <c r="J4159" s="38" t="str">
        <f>VLOOKUP(B4159,CAJEROS!B:E,4,0)</f>
        <v>SALDANA</v>
      </c>
      <c r="K4159" t="s">
        <v>579</v>
      </c>
    </row>
    <row r="4160" spans="1:11">
      <c r="A4160" s="32">
        <v>512</v>
      </c>
      <c r="B4160" s="33">
        <v>4718</v>
      </c>
      <c r="C4160" s="3">
        <v>420000</v>
      </c>
      <c r="D4160" s="3">
        <f>300000+100000</f>
        <v>400000</v>
      </c>
      <c r="E4160" s="7">
        <f t="shared" si="89"/>
        <v>20000</v>
      </c>
      <c r="F4160" s="5">
        <v>45915</v>
      </c>
      <c r="G4160" s="4">
        <v>20250914</v>
      </c>
      <c r="H4160" s="38" t="str">
        <f>VLOOKUP(B4160,CAJEROS!B:D,3,0)</f>
        <v>Dispensador</v>
      </c>
      <c r="I4160" s="34" t="s">
        <v>9</v>
      </c>
      <c r="J4160" s="38" t="str">
        <f>VLOOKUP(B4160,CAJEROS!B:E,4,0)</f>
        <v>SUC_PLATO3</v>
      </c>
      <c r="K4160" t="s">
        <v>579</v>
      </c>
    </row>
    <row r="4161" spans="1:11">
      <c r="A4161" s="32">
        <v>724</v>
      </c>
      <c r="B4161" s="33">
        <v>6894</v>
      </c>
      <c r="C4161" s="3">
        <v>600000</v>
      </c>
      <c r="D4161" s="3"/>
      <c r="E4161" s="7">
        <f t="shared" si="89"/>
        <v>600000</v>
      </c>
      <c r="F4161" s="5">
        <v>45915</v>
      </c>
      <c r="G4161" s="4">
        <v>20250914</v>
      </c>
      <c r="H4161" s="38" t="str">
        <f>VLOOKUP(B4161,CAJEROS!B:D,3,0)</f>
        <v>Dispensador</v>
      </c>
      <c r="I4161" s="34" t="s">
        <v>9</v>
      </c>
      <c r="J4161" s="38" t="str">
        <f>VLOOKUP(B4161,CAJEROS!B:E,4,0)</f>
        <v>SUC_FONSEC3</v>
      </c>
      <c r="K4161" t="s">
        <v>579</v>
      </c>
    </row>
    <row r="4162" spans="1:11">
      <c r="A4162" s="32">
        <v>743</v>
      </c>
      <c r="B4162" s="33">
        <v>5697</v>
      </c>
      <c r="C4162" s="3">
        <v>100000</v>
      </c>
      <c r="D4162" s="3"/>
      <c r="E4162" s="7">
        <f t="shared" si="89"/>
        <v>100000</v>
      </c>
      <c r="F4162" s="5">
        <v>45915</v>
      </c>
      <c r="G4162" s="4">
        <v>20250914</v>
      </c>
      <c r="H4162" s="38" t="str">
        <f>VLOOKUP(B4162,CAJEROS!B:D,3,0)</f>
        <v>Dispensador</v>
      </c>
      <c r="I4162" s="34" t="s">
        <v>9</v>
      </c>
      <c r="J4162" s="38" t="str">
        <f>VLOOKUP(B4162,CAJEROS!B:E,4,0)</f>
        <v>SUC_NORTHP3</v>
      </c>
      <c r="K4162" t="s">
        <v>579</v>
      </c>
    </row>
    <row r="4163" spans="1:11">
      <c r="A4163" s="32">
        <v>832</v>
      </c>
      <c r="B4163" s="33">
        <v>4767</v>
      </c>
      <c r="C4163" s="3">
        <v>1200000</v>
      </c>
      <c r="D4163" s="3">
        <v>1000000</v>
      </c>
      <c r="E4163" s="7">
        <f t="shared" si="89"/>
        <v>200000</v>
      </c>
      <c r="F4163" s="5">
        <v>45915</v>
      </c>
      <c r="G4163" s="4">
        <v>20250914</v>
      </c>
      <c r="H4163" s="38" t="str">
        <f>VLOOKUP(B4163,CAJEROS!B:D,3,0)</f>
        <v>Dispensador</v>
      </c>
      <c r="I4163" s="34" t="s">
        <v>9</v>
      </c>
      <c r="J4163" s="38" t="str">
        <f>VLOOKUP(B4163,CAJEROS!B:E,4,0)</f>
        <v>SUC_SANTAN1</v>
      </c>
      <c r="K4163" t="s">
        <v>579</v>
      </c>
    </row>
    <row r="4164" spans="1:11">
      <c r="A4164" s="32">
        <v>944</v>
      </c>
      <c r="B4164" s="33">
        <v>8356</v>
      </c>
      <c r="C4164" s="3">
        <v>250000</v>
      </c>
      <c r="D4164" s="3">
        <v>200000</v>
      </c>
      <c r="E4164" s="7">
        <f t="shared" si="89"/>
        <v>50000</v>
      </c>
      <c r="F4164" s="5">
        <v>45915</v>
      </c>
      <c r="G4164" s="4">
        <v>20250914</v>
      </c>
      <c r="H4164" s="38" t="str">
        <f>VLOOKUP(B4164,CAJEROS!B:D,3,0)</f>
        <v>Dispensador</v>
      </c>
      <c r="I4164" s="34" t="s">
        <v>9</v>
      </c>
      <c r="J4164" s="38" t="str">
        <f>VLOOKUP(B4164,CAJEROS!B:E,4,0)</f>
        <v>SUCSANTABO2</v>
      </c>
      <c r="K4164" t="s">
        <v>579</v>
      </c>
    </row>
    <row r="4165" spans="1:11">
      <c r="A4165" s="32">
        <v>96</v>
      </c>
      <c r="B4165" s="33">
        <v>1036</v>
      </c>
      <c r="C4165" s="3">
        <v>490000</v>
      </c>
      <c r="D4165" s="3"/>
      <c r="E4165" s="7">
        <f t="shared" si="89"/>
        <v>490000</v>
      </c>
      <c r="F4165" s="5">
        <v>45915</v>
      </c>
      <c r="G4165" s="4">
        <v>20250912</v>
      </c>
      <c r="H4165" s="38" t="str">
        <f>VLOOKUP(B4165,CAJEROS!B:D,3,0)</f>
        <v>Dispensador</v>
      </c>
      <c r="I4165" s="34" t="s">
        <v>9</v>
      </c>
      <c r="J4165" s="38" t="str">
        <f>VLOOKUP(B4165,CAJEROS!B:E,4,0)</f>
        <v>SUC_MAICAO2</v>
      </c>
      <c r="K4165" t="s">
        <v>579</v>
      </c>
    </row>
    <row r="4166" spans="1:11">
      <c r="A4166" s="32">
        <v>601</v>
      </c>
      <c r="B4166" s="33">
        <v>6423</v>
      </c>
      <c r="C4166" s="3">
        <v>910000</v>
      </c>
      <c r="D4166" s="3"/>
      <c r="E4166" s="7">
        <f t="shared" si="89"/>
        <v>910000</v>
      </c>
      <c r="F4166" s="5">
        <v>45915</v>
      </c>
      <c r="G4166" s="4">
        <v>20250912</v>
      </c>
      <c r="H4166" s="38" t="str">
        <f>VLOOKUP(B4166,CAJEROS!B:D,3,0)</f>
        <v>Dispensador</v>
      </c>
      <c r="I4166" s="34" t="s">
        <v>9</v>
      </c>
      <c r="J4166" s="38" t="str">
        <f>VLOOKUP(B4166,CAJEROS!B:E,4,0)</f>
        <v>SUC_PQCOL3</v>
      </c>
      <c r="K4166" t="s">
        <v>579</v>
      </c>
    </row>
    <row r="4167" spans="1:11">
      <c r="A4167" s="32">
        <v>15</v>
      </c>
      <c r="B4167" s="33">
        <v>8578</v>
      </c>
      <c r="C4167" s="3">
        <v>790000</v>
      </c>
      <c r="D4167" s="3"/>
      <c r="E4167" s="7">
        <f t="shared" si="89"/>
        <v>790000</v>
      </c>
      <c r="F4167" s="5">
        <v>45915</v>
      </c>
      <c r="G4167" s="4">
        <v>20250912</v>
      </c>
      <c r="H4167" s="38" t="str">
        <f>VLOOKUP(B4167,CAJEROS!B:D,3,0)</f>
        <v>Multifuncional</v>
      </c>
      <c r="I4167" s="34"/>
      <c r="J4167" s="38" t="str">
        <f>VLOOKUP(B4167,CAJEROS!B:E,4,0)</f>
        <v>MF_HITAGUI3</v>
      </c>
      <c r="K4167" t="s">
        <v>579</v>
      </c>
    </row>
    <row r="4168" spans="1:11">
      <c r="A4168" s="32">
        <v>285</v>
      </c>
      <c r="B4168" s="33">
        <v>5228</v>
      </c>
      <c r="C4168" s="3">
        <v>12460500</v>
      </c>
      <c r="D4168" s="3"/>
      <c r="E4168" s="7">
        <f t="shared" si="89"/>
        <v>12460500</v>
      </c>
      <c r="F4168" s="5">
        <v>45915</v>
      </c>
      <c r="G4168" s="4">
        <v>20250912</v>
      </c>
      <c r="H4168" s="38" t="str">
        <f>VLOOKUP(B4168,CAJEROS!B:D,3,0)</f>
        <v>Multifuncional</v>
      </c>
      <c r="I4168" s="34"/>
      <c r="J4168" s="38" t="str">
        <f>VLOOKUP(B4168,CAJEROS!B:E,4,0)</f>
        <v>MF_GARZON</v>
      </c>
      <c r="K4168" t="s">
        <v>579</v>
      </c>
    </row>
    <row r="4169" spans="1:11">
      <c r="A4169" s="32">
        <v>348</v>
      </c>
      <c r="B4169" s="33">
        <v>9009</v>
      </c>
      <c r="C4169" s="3">
        <v>1227000</v>
      </c>
      <c r="D4169" s="3"/>
      <c r="E4169" s="7">
        <f t="shared" si="89"/>
        <v>1227000</v>
      </c>
      <c r="F4169" s="5">
        <v>45915</v>
      </c>
      <c r="G4169" s="4">
        <v>20250912</v>
      </c>
      <c r="H4169" s="38" t="str">
        <f>VLOOKUP(B4169,CAJEROS!B:D,3,0)</f>
        <v>Multifuncional</v>
      </c>
      <c r="I4169" s="34"/>
      <c r="J4169" s="38" t="str">
        <f>VLOOKUP(B4169,CAJEROS!B:E,4,0)</f>
        <v>MF_SANDRES2</v>
      </c>
      <c r="K4169" t="s">
        <v>579</v>
      </c>
    </row>
    <row r="4170" spans="1:11">
      <c r="A4170" s="32">
        <v>453</v>
      </c>
      <c r="B4170" s="33">
        <v>8018</v>
      </c>
      <c r="C4170" s="3">
        <v>3520000</v>
      </c>
      <c r="D4170" s="3">
        <f>486800+260000</f>
        <v>746800</v>
      </c>
      <c r="E4170" s="7">
        <f t="shared" si="89"/>
        <v>2773200</v>
      </c>
      <c r="F4170" s="5">
        <v>45915</v>
      </c>
      <c r="G4170" s="4">
        <v>20250912</v>
      </c>
      <c r="H4170" s="38" t="str">
        <f>VLOOKUP(B4170,CAJEROS!B:D,3,0)</f>
        <v>Multifuncional</v>
      </c>
      <c r="I4170" s="34"/>
      <c r="J4170" s="38" t="str">
        <f>VLOOKUP(B4170,CAJEROS!B:E,4,0)</f>
        <v>MFSUCPITAL1</v>
      </c>
      <c r="K4170" t="s">
        <v>579</v>
      </c>
    </row>
    <row r="4171" spans="1:11">
      <c r="A4171" s="32">
        <v>454</v>
      </c>
      <c r="B4171" s="33">
        <v>5231</v>
      </c>
      <c r="C4171" s="3">
        <v>18580500</v>
      </c>
      <c r="D4171" s="3"/>
      <c r="E4171" s="7">
        <f t="shared" si="89"/>
        <v>18580500</v>
      </c>
      <c r="F4171" s="5">
        <v>45915</v>
      </c>
      <c r="G4171" s="4">
        <v>20250912</v>
      </c>
      <c r="H4171" s="38" t="str">
        <f>VLOOKUP(B4171,CAJEROS!B:D,3,0)</f>
        <v>Multifuncional</v>
      </c>
      <c r="I4171" s="34"/>
      <c r="J4171" s="38" t="str">
        <f>VLOOKUP(B4171,CAJEROS!B:E,4,0)</f>
        <v>MF_5TAVENID</v>
      </c>
      <c r="K4171" t="s">
        <v>579</v>
      </c>
    </row>
    <row r="4172" spans="1:11">
      <c r="A4172" s="32">
        <v>536</v>
      </c>
      <c r="B4172" s="33">
        <v>6927</v>
      </c>
      <c r="C4172" s="3">
        <v>34655800</v>
      </c>
      <c r="D4172" s="3">
        <v>10000000</v>
      </c>
      <c r="E4172" s="7">
        <f t="shared" si="89"/>
        <v>24655800</v>
      </c>
      <c r="F4172" s="5">
        <v>45915</v>
      </c>
      <c r="G4172" s="4">
        <v>20250912</v>
      </c>
      <c r="H4172" s="38" t="str">
        <f>VLOOKUP(B4172,CAJEROS!B:D,3,0)</f>
        <v>Multifuncional</v>
      </c>
      <c r="I4172" s="34"/>
      <c r="J4172" s="38" t="str">
        <f>VLOOKUP(B4172,CAJEROS!B:E,4,0)</f>
        <v>MF_QUIBDO</v>
      </c>
      <c r="K4172" t="s">
        <v>579</v>
      </c>
    </row>
    <row r="4173" spans="1:11">
      <c r="A4173" s="32">
        <v>659</v>
      </c>
      <c r="B4173" s="33">
        <v>5102</v>
      </c>
      <c r="C4173" s="3">
        <v>1904000</v>
      </c>
      <c r="D4173" s="3"/>
      <c r="E4173" s="7">
        <f t="shared" si="89"/>
        <v>1904000</v>
      </c>
      <c r="F4173" s="5">
        <v>45915</v>
      </c>
      <c r="G4173" s="4">
        <v>20250912</v>
      </c>
      <c r="H4173" s="38" t="str">
        <f>VLOOKUP(B4173,CAJEROS!B:D,3,0)</f>
        <v>Multifuncional</v>
      </c>
      <c r="I4173" s="34"/>
      <c r="J4173" s="38" t="str">
        <f>VLOOKUP(B4173,CAJEROS!B:E,4,0)</f>
        <v>MF_GIRARDOT</v>
      </c>
      <c r="K4173" t="s">
        <v>579</v>
      </c>
    </row>
    <row r="4174" spans="1:11">
      <c r="A4174" s="32">
        <v>674</v>
      </c>
      <c r="B4174" s="33">
        <v>5200</v>
      </c>
      <c r="C4174" s="3">
        <v>850000</v>
      </c>
      <c r="D4174" s="3">
        <f>190000+400000</f>
        <v>590000</v>
      </c>
      <c r="E4174" s="7">
        <f t="shared" si="89"/>
        <v>260000</v>
      </c>
      <c r="F4174" s="5">
        <v>45915</v>
      </c>
      <c r="G4174" s="4">
        <v>20250912</v>
      </c>
      <c r="H4174" s="38" t="str">
        <f>VLOOKUP(B4174,CAJEROS!B:D,3,0)</f>
        <v>Multifuncional</v>
      </c>
      <c r="I4174" s="34"/>
      <c r="J4174" s="38" t="str">
        <f>VLOOKUP(B4174,CAJEROS!B:E,4,0)</f>
        <v>MF_AV68FLOR</v>
      </c>
      <c r="K4174" t="s">
        <v>579</v>
      </c>
    </row>
    <row r="4175" spans="1:11">
      <c r="A4175" s="32">
        <v>779</v>
      </c>
      <c r="B4175" s="33">
        <v>5013</v>
      </c>
      <c r="C4175" s="3">
        <v>2009050</v>
      </c>
      <c r="D4175" s="3"/>
      <c r="E4175" s="7">
        <f t="shared" si="89"/>
        <v>2009050</v>
      </c>
      <c r="F4175" s="5">
        <v>45915</v>
      </c>
      <c r="G4175" s="4">
        <v>20250912</v>
      </c>
      <c r="H4175" s="38" t="str">
        <f>VLOOKUP(B4175,CAJEROS!B:D,3,0)</f>
        <v>Multifuncional</v>
      </c>
      <c r="I4175" s="34"/>
      <c r="J4175" s="38" t="str">
        <f>VLOOKUP(B4175,CAJEROS!B:E,4,0)</f>
        <v>MF_BUENASM1</v>
      </c>
      <c r="K4175" t="s">
        <v>579</v>
      </c>
    </row>
    <row r="4176" spans="1:11">
      <c r="A4176" s="32">
        <v>888</v>
      </c>
      <c r="B4176" s="33">
        <v>6818</v>
      </c>
      <c r="C4176" s="3">
        <v>1472000</v>
      </c>
      <c r="D4176" s="3"/>
      <c r="E4176" s="7">
        <f t="shared" si="89"/>
        <v>1472000</v>
      </c>
      <c r="F4176" s="5">
        <v>45915</v>
      </c>
      <c r="G4176" s="4">
        <v>20250912</v>
      </c>
      <c r="H4176" s="38" t="str">
        <f>VLOOKUP(B4176,CAJEROS!B:D,3,0)</f>
        <v>Multifuncional</v>
      </c>
      <c r="I4176" s="34"/>
      <c r="J4176" s="38" t="str">
        <f>VLOOKUP(B4176,CAJEROS!B:E,4,0)</f>
        <v>MF_IPIALES</v>
      </c>
      <c r="K4176" t="s">
        <v>579</v>
      </c>
    </row>
    <row r="4177" spans="1:11">
      <c r="A4177" s="32">
        <v>716</v>
      </c>
      <c r="B4177" s="33">
        <v>5192</v>
      </c>
      <c r="C4177" s="3">
        <v>3995000</v>
      </c>
      <c r="D4177" s="3"/>
      <c r="E4177" s="7">
        <f t="shared" si="89"/>
        <v>3995000</v>
      </c>
      <c r="F4177" s="5">
        <v>45915</v>
      </c>
      <c r="G4177" s="4">
        <v>20250914</v>
      </c>
      <c r="H4177" s="38" t="str">
        <f>VLOOKUP(B4177,CAJEROS!B:D,3,0)</f>
        <v>Multifuncional</v>
      </c>
      <c r="I4177" s="34" t="s">
        <v>9</v>
      </c>
      <c r="J4177" s="38" t="str">
        <f>VLOOKUP(B4177,CAJEROS!B:E,4,0)</f>
        <v>MF_AVCGORDS</v>
      </c>
      <c r="K4177" t="s">
        <v>579</v>
      </c>
    </row>
    <row r="4178" spans="1:11">
      <c r="A4178" s="32">
        <v>812</v>
      </c>
      <c r="B4178" s="33">
        <v>5144</v>
      </c>
      <c r="C4178" s="3">
        <v>3520000</v>
      </c>
      <c r="D4178" s="3">
        <v>2634400</v>
      </c>
      <c r="E4178" s="7">
        <f t="shared" si="89"/>
        <v>885600</v>
      </c>
      <c r="F4178" s="5">
        <v>45915</v>
      </c>
      <c r="G4178" s="4">
        <v>20250914</v>
      </c>
      <c r="H4178" s="38" t="str">
        <f>VLOOKUP(B4178,CAJEROS!B:D,3,0)</f>
        <v>Multifuncional</v>
      </c>
      <c r="I4178" s="34" t="s">
        <v>9</v>
      </c>
      <c r="J4178" s="38" t="str">
        <f>VLOOKUP(B4178,CAJEROS!B:E,4,0)</f>
        <v>MF_CHPICHPE</v>
      </c>
      <c r="K4178" t="s">
        <v>579</v>
      </c>
    </row>
    <row r="4179" spans="1:11">
      <c r="A4179" s="32">
        <v>509</v>
      </c>
      <c r="B4179" s="33">
        <v>8835</v>
      </c>
      <c r="C4179" s="3">
        <v>3460000</v>
      </c>
      <c r="D4179" s="3">
        <f>39000+827700</f>
        <v>866700</v>
      </c>
      <c r="E4179" s="7">
        <f t="shared" si="89"/>
        <v>2593300</v>
      </c>
      <c r="F4179" s="5">
        <v>45915</v>
      </c>
      <c r="G4179" s="4">
        <v>20250914</v>
      </c>
      <c r="H4179" s="38" t="str">
        <f>VLOOKUP(B4179,CAJEROS!B:D,3,0)</f>
        <v>Multifuncional</v>
      </c>
      <c r="I4179" s="34" t="s">
        <v>9</v>
      </c>
      <c r="J4179" s="38" t="str">
        <f>VLOOKUP(B4179,CAJEROS!B:E,4,0)</f>
        <v>MFTSUCURB1</v>
      </c>
      <c r="K4179" t="s">
        <v>579</v>
      </c>
    </row>
    <row r="4180" spans="1:11">
      <c r="A4180" s="32">
        <v>957</v>
      </c>
      <c r="B4180" s="33">
        <v>9512</v>
      </c>
      <c r="C4180" s="3">
        <v>3274000</v>
      </c>
      <c r="D4180" s="3"/>
      <c r="E4180" s="7">
        <f t="shared" si="89"/>
        <v>3274000</v>
      </c>
      <c r="F4180" s="5">
        <v>45915</v>
      </c>
      <c r="G4180" s="4">
        <v>20250914</v>
      </c>
      <c r="H4180" s="38" t="str">
        <f>VLOOKUP(B4180,CAJEROS!B:D,3,0)</f>
        <v>Multifuncional</v>
      </c>
      <c r="I4180" s="34" t="s">
        <v>9</v>
      </c>
      <c r="J4180" s="38" t="str">
        <f>VLOOKUP(B4180,CAJEROS!B:E,4,0)</f>
        <v>MFSUCPARAL1</v>
      </c>
      <c r="K4180" t="s">
        <v>579</v>
      </c>
    </row>
    <row r="4181" spans="1:11">
      <c r="A4181" s="32">
        <v>944</v>
      </c>
      <c r="B4181" s="33">
        <v>8353</v>
      </c>
      <c r="C4181" s="3">
        <v>2905000</v>
      </c>
      <c r="D4181" s="3">
        <v>2465000</v>
      </c>
      <c r="E4181" s="7">
        <f t="shared" si="89"/>
        <v>440000</v>
      </c>
      <c r="F4181" s="5">
        <v>45915</v>
      </c>
      <c r="G4181" s="4">
        <v>20250914</v>
      </c>
      <c r="H4181" s="38" t="str">
        <f>VLOOKUP(B4181,CAJEROS!B:D,3,0)</f>
        <v>Multifuncional</v>
      </c>
      <c r="I4181" s="34" t="s">
        <v>9</v>
      </c>
      <c r="J4181" s="38" t="str">
        <f>VLOOKUP(B4181,CAJEROS!B:E,4,0)</f>
        <v>MF_SANTABO1</v>
      </c>
      <c r="K4181" t="s">
        <v>579</v>
      </c>
    </row>
    <row r="4182" spans="1:11">
      <c r="A4182" s="32">
        <v>721</v>
      </c>
      <c r="B4182" s="33">
        <v>8896</v>
      </c>
      <c r="C4182" s="3">
        <v>2510000</v>
      </c>
      <c r="D4182" s="3"/>
      <c r="E4182" s="7">
        <f t="shared" ref="E4182:E4245" si="90">+C4182-D4182</f>
        <v>2510000</v>
      </c>
      <c r="F4182" s="5">
        <v>45915</v>
      </c>
      <c r="G4182" s="4">
        <v>20250914</v>
      </c>
      <c r="H4182" s="38" t="str">
        <f>VLOOKUP(B4182,CAJEROS!B:D,3,0)</f>
        <v>Multifuncional</v>
      </c>
      <c r="I4182" s="34" t="s">
        <v>9</v>
      </c>
      <c r="J4182" s="38" t="str">
        <f>VLOOKUP(B4182,CAJEROS!B:E,4,0)</f>
        <v>MFSUCLAGO1</v>
      </c>
      <c r="K4182" t="s">
        <v>579</v>
      </c>
    </row>
    <row r="4183" spans="1:11">
      <c r="A4183" s="32">
        <v>750</v>
      </c>
      <c r="B4183" s="33">
        <v>5157</v>
      </c>
      <c r="C4183" s="3">
        <v>2350000</v>
      </c>
      <c r="D4183" s="3"/>
      <c r="E4183" s="7">
        <f t="shared" si="90"/>
        <v>2350000</v>
      </c>
      <c r="F4183" s="5">
        <v>45915</v>
      </c>
      <c r="G4183" s="4">
        <v>20250914</v>
      </c>
      <c r="H4183" s="38" t="str">
        <f>VLOOKUP(B4183,CAJEROS!B:D,3,0)</f>
        <v>Multifuncional</v>
      </c>
      <c r="I4183" s="34" t="s">
        <v>9</v>
      </c>
      <c r="J4183" s="38" t="str">
        <f>VLOOKUP(B4183,CAJEROS!B:E,4,0)</f>
        <v>MF_AVROOSVL</v>
      </c>
      <c r="K4183" t="s">
        <v>579</v>
      </c>
    </row>
    <row r="4184" spans="1:11">
      <c r="A4184" s="32">
        <v>664</v>
      </c>
      <c r="B4184" s="33">
        <v>5191</v>
      </c>
      <c r="C4184" s="3">
        <v>2243000</v>
      </c>
      <c r="D4184" s="3"/>
      <c r="E4184" s="7">
        <f t="shared" si="90"/>
        <v>2243000</v>
      </c>
      <c r="F4184" s="5">
        <v>45915</v>
      </c>
      <c r="G4184" s="4">
        <v>20250914</v>
      </c>
      <c r="H4184" s="38" t="str">
        <f>VLOOKUP(B4184,CAJEROS!B:D,3,0)</f>
        <v>Multifuncional</v>
      </c>
      <c r="I4184" s="34" t="s">
        <v>9</v>
      </c>
      <c r="J4184" s="38" t="str">
        <f>VLOOKUP(B4184,CAJEROS!B:E,4,0)</f>
        <v>MF_CORABAST</v>
      </c>
      <c r="K4184" t="s">
        <v>579</v>
      </c>
    </row>
    <row r="4185" spans="1:11">
      <c r="A4185" s="32">
        <v>166</v>
      </c>
      <c r="B4185" s="33">
        <v>7940</v>
      </c>
      <c r="C4185" s="3">
        <v>2170500</v>
      </c>
      <c r="D4185" s="3">
        <v>2075000</v>
      </c>
      <c r="E4185" s="7">
        <f t="shared" si="90"/>
        <v>95500</v>
      </c>
      <c r="F4185" s="5">
        <v>45915</v>
      </c>
      <c r="G4185" s="4">
        <v>20250914</v>
      </c>
      <c r="H4185" s="38" t="str">
        <f>VLOOKUP(B4185,CAJEROS!B:D,3,0)</f>
        <v>Multifuncional</v>
      </c>
      <c r="I4185" s="34" t="s">
        <v>9</v>
      </c>
      <c r="J4185" s="38" t="str">
        <f>VLOOKUP(B4185,CAJEROS!B:E,4,0)</f>
        <v>MF_ALDELS22</v>
      </c>
      <c r="K4185" t="s">
        <v>579</v>
      </c>
    </row>
    <row r="4186" spans="1:11">
      <c r="A4186" s="32">
        <v>101</v>
      </c>
      <c r="B4186" s="33">
        <v>5128</v>
      </c>
      <c r="C4186" s="3">
        <v>1680000</v>
      </c>
      <c r="D4186" s="3">
        <v>1570000</v>
      </c>
      <c r="E4186" s="7">
        <f t="shared" si="90"/>
        <v>110000</v>
      </c>
      <c r="F4186" s="5">
        <v>45915</v>
      </c>
      <c r="G4186" s="4">
        <v>20250914</v>
      </c>
      <c r="H4186" s="38" t="str">
        <f>VLOOKUP(B4186,CAJEROS!B:D,3,0)</f>
        <v>Multifuncional</v>
      </c>
      <c r="I4186" s="34" t="s">
        <v>9</v>
      </c>
      <c r="J4186" s="38" t="str">
        <f>VLOOKUP(B4186,CAJEROS!B:E,4,0)</f>
        <v>MF_MULTDRIV</v>
      </c>
      <c r="K4186" t="s">
        <v>579</v>
      </c>
    </row>
    <row r="4187" spans="1:11">
      <c r="A4187" s="32">
        <v>267</v>
      </c>
      <c r="B4187" s="33">
        <v>6186</v>
      </c>
      <c r="C4187" s="3">
        <v>1570000</v>
      </c>
      <c r="D4187" s="3"/>
      <c r="E4187" s="7">
        <f t="shared" si="90"/>
        <v>1570000</v>
      </c>
      <c r="F4187" s="5">
        <v>45915</v>
      </c>
      <c r="G4187" s="4">
        <v>20250914</v>
      </c>
      <c r="H4187" s="38" t="str">
        <f>VLOOKUP(B4187,CAJEROS!B:D,3,0)</f>
        <v>Multifuncional</v>
      </c>
      <c r="I4187" s="34" t="s">
        <v>9</v>
      </c>
      <c r="J4187" s="38" t="str">
        <f>VLOOKUP(B4187,CAJEROS!B:E,4,0)</f>
        <v>MF_VISITACI</v>
      </c>
      <c r="K4187" t="s">
        <v>579</v>
      </c>
    </row>
    <row r="4188" spans="1:11">
      <c r="A4188" s="32">
        <v>481</v>
      </c>
      <c r="B4188" s="33">
        <v>1010</v>
      </c>
      <c r="C4188" s="3">
        <v>1190000</v>
      </c>
      <c r="D4188" s="3"/>
      <c r="E4188" s="7">
        <f t="shared" si="90"/>
        <v>1190000</v>
      </c>
      <c r="F4188" s="5">
        <v>45915</v>
      </c>
      <c r="G4188" s="4">
        <v>20250914</v>
      </c>
      <c r="H4188" s="38" t="str">
        <f>VLOOKUP(B4188,CAJEROS!B:D,3,0)</f>
        <v>Multifuncional</v>
      </c>
      <c r="I4188" s="34" t="s">
        <v>9</v>
      </c>
      <c r="J4188" s="38" t="str">
        <f>VLOOKUP(B4188,CAJEROS!B:E,4,0)</f>
        <v>MF_SOLEDAD1</v>
      </c>
      <c r="K4188" t="s">
        <v>579</v>
      </c>
    </row>
    <row r="4189" spans="1:11">
      <c r="A4189" s="32">
        <v>745</v>
      </c>
      <c r="B4189" s="33">
        <v>1477</v>
      </c>
      <c r="C4189" s="3">
        <v>1160000</v>
      </c>
      <c r="D4189" s="3"/>
      <c r="E4189" s="7">
        <f t="shared" si="90"/>
        <v>1160000</v>
      </c>
      <c r="F4189" s="5">
        <v>45915</v>
      </c>
      <c r="G4189" s="4">
        <v>20250914</v>
      </c>
      <c r="H4189" s="38" t="str">
        <f>VLOOKUP(B4189,CAJEROS!B:D,3,0)</f>
        <v>Multifuncional</v>
      </c>
      <c r="I4189" s="34" t="s">
        <v>9</v>
      </c>
      <c r="J4189" s="38" t="str">
        <f>VLOOKUP(B4189,CAJEROS!B:E,4,0)</f>
        <v>MFSUCMALPZ2</v>
      </c>
      <c r="K4189" t="s">
        <v>579</v>
      </c>
    </row>
    <row r="4190" spans="1:11">
      <c r="A4190" s="32">
        <v>438</v>
      </c>
      <c r="B4190" s="33">
        <v>1565</v>
      </c>
      <c r="C4190" s="3">
        <v>1060000</v>
      </c>
      <c r="D4190" s="3">
        <v>190000</v>
      </c>
      <c r="E4190" s="7">
        <f t="shared" si="90"/>
        <v>870000</v>
      </c>
      <c r="F4190" s="5">
        <v>45915</v>
      </c>
      <c r="G4190" s="4">
        <v>20250914</v>
      </c>
      <c r="H4190" s="38" t="str">
        <f>VLOOKUP(B4190,CAJEROS!B:D,3,0)</f>
        <v>Multifuncional</v>
      </c>
      <c r="I4190" s="34" t="s">
        <v>9</v>
      </c>
      <c r="J4190" s="38" t="str">
        <f>VLOOKUP(B4190,CAJEROS!B:E,4,0)</f>
        <v>MFSUCANDES1</v>
      </c>
      <c r="K4190" t="s">
        <v>579</v>
      </c>
    </row>
    <row r="4191" spans="1:11">
      <c r="A4191" s="32">
        <v>844</v>
      </c>
      <c r="B4191" s="33">
        <v>6169</v>
      </c>
      <c r="C4191" s="3">
        <v>890000</v>
      </c>
      <c r="D4191" s="3">
        <v>780000</v>
      </c>
      <c r="E4191" s="7">
        <f t="shared" si="90"/>
        <v>110000</v>
      </c>
      <c r="F4191" s="5">
        <v>45915</v>
      </c>
      <c r="G4191" s="4">
        <v>20250914</v>
      </c>
      <c r="H4191" s="38" t="str">
        <f>VLOOKUP(B4191,CAJEROS!B:D,3,0)</f>
        <v>Multifuncional</v>
      </c>
      <c r="I4191" s="34" t="s">
        <v>9</v>
      </c>
      <c r="J4191" s="38" t="str">
        <f>VLOOKUP(B4191,CAJEROS!B:E,4,0)</f>
        <v>MF_PRIMAVRA</v>
      </c>
      <c r="K4191" t="s">
        <v>579</v>
      </c>
    </row>
    <row r="4192" spans="1:11">
      <c r="A4192" s="32">
        <v>944</v>
      </c>
      <c r="B4192" s="33">
        <v>8354</v>
      </c>
      <c r="C4192" s="3">
        <v>780000</v>
      </c>
      <c r="D4192" s="3"/>
      <c r="E4192" s="7">
        <f t="shared" si="90"/>
        <v>780000</v>
      </c>
      <c r="F4192" s="5">
        <v>45915</v>
      </c>
      <c r="G4192" s="4">
        <v>20250914</v>
      </c>
      <c r="H4192" s="38" t="str">
        <f>VLOOKUP(B4192,CAJEROS!B:D,3,0)</f>
        <v>Multifuncional</v>
      </c>
      <c r="I4192" s="34" t="s">
        <v>9</v>
      </c>
      <c r="J4192" s="38" t="str">
        <f>VLOOKUP(B4192,CAJEROS!B:E,4,0)</f>
        <v>MF_SANTABO2</v>
      </c>
      <c r="K4192" t="s">
        <v>579</v>
      </c>
    </row>
    <row r="4193" spans="1:11">
      <c r="A4193" s="32">
        <v>20</v>
      </c>
      <c r="B4193" s="33">
        <v>6839</v>
      </c>
      <c r="C4193" s="3">
        <v>590000</v>
      </c>
      <c r="D4193" s="3">
        <v>549900</v>
      </c>
      <c r="E4193" s="7">
        <f t="shared" si="90"/>
        <v>40100</v>
      </c>
      <c r="F4193" s="5">
        <v>45915</v>
      </c>
      <c r="G4193" s="4">
        <v>20250914</v>
      </c>
      <c r="H4193" s="38" t="str">
        <f>VLOOKUP(B4193,CAJEROS!B:D,3,0)</f>
        <v>Multifuncional</v>
      </c>
      <c r="I4193" s="34" t="s">
        <v>9</v>
      </c>
      <c r="J4193" s="38" t="str">
        <f>VLOOKUP(B4193,CAJEROS!B:E,4,0)</f>
        <v>MF_BUCMANG3</v>
      </c>
      <c r="K4193" t="s">
        <v>579</v>
      </c>
    </row>
    <row r="4194" spans="1:11">
      <c r="A4194" s="32">
        <v>419</v>
      </c>
      <c r="B4194" s="33">
        <v>5077</v>
      </c>
      <c r="C4194" s="3">
        <v>590000</v>
      </c>
      <c r="D4194" s="3"/>
      <c r="E4194" s="7">
        <f t="shared" si="90"/>
        <v>590000</v>
      </c>
      <c r="F4194" s="5">
        <v>45915</v>
      </c>
      <c r="G4194" s="4">
        <v>20250914</v>
      </c>
      <c r="H4194" s="38" t="str">
        <f>VLOOKUP(B4194,CAJEROS!B:D,3,0)</f>
        <v>Multifuncional</v>
      </c>
      <c r="I4194" s="34" t="s">
        <v>9</v>
      </c>
      <c r="J4194" s="38" t="str">
        <f>VLOOKUP(B4194,CAJEROS!B:E,4,0)</f>
        <v>MF_CPUNIBOG</v>
      </c>
      <c r="K4194" t="s">
        <v>579</v>
      </c>
    </row>
    <row r="4195" spans="1:11">
      <c r="A4195" s="32">
        <v>927</v>
      </c>
      <c r="B4195" s="33">
        <v>5143</v>
      </c>
      <c r="C4195" s="3">
        <v>570000</v>
      </c>
      <c r="D4195" s="3"/>
      <c r="E4195" s="7">
        <f t="shared" si="90"/>
        <v>570000</v>
      </c>
      <c r="F4195" s="5">
        <v>45915</v>
      </c>
      <c r="G4195" s="4">
        <v>20250914</v>
      </c>
      <c r="H4195" s="38" t="str">
        <f>VLOOKUP(B4195,CAJEROS!B:D,3,0)</f>
        <v>Multifuncional</v>
      </c>
      <c r="I4195" s="34" t="s">
        <v>9</v>
      </c>
      <c r="J4195" s="38" t="str">
        <f>VLOOKUP(B4195,CAJEROS!B:E,4,0)</f>
        <v>MF_SUCMOCOA</v>
      </c>
      <c r="K4195" t="s">
        <v>579</v>
      </c>
    </row>
    <row r="4196" spans="1:11">
      <c r="A4196" s="32">
        <v>781</v>
      </c>
      <c r="B4196" s="33">
        <v>5057</v>
      </c>
      <c r="C4196" s="3">
        <v>450000</v>
      </c>
      <c r="D4196" s="3"/>
      <c r="E4196" s="7">
        <f t="shared" si="90"/>
        <v>450000</v>
      </c>
      <c r="F4196" s="5">
        <v>45915</v>
      </c>
      <c r="G4196" s="4">
        <v>20250914</v>
      </c>
      <c r="H4196" s="38" t="str">
        <f>VLOOKUP(B4196,CAJEROS!B:D,3,0)</f>
        <v>Multifuncional</v>
      </c>
      <c r="I4196" s="34" t="s">
        <v>9</v>
      </c>
      <c r="J4196" s="38" t="str">
        <f>VLOOKUP(B4196,CAJEROS!B:E,4,0)</f>
        <v>MF_PRPLAZA</v>
      </c>
      <c r="K4196" t="s">
        <v>579</v>
      </c>
    </row>
    <row r="4197" spans="1:11">
      <c r="A4197" s="32">
        <v>824</v>
      </c>
      <c r="B4197" s="33">
        <v>5040</v>
      </c>
      <c r="C4197" s="3">
        <v>350000</v>
      </c>
      <c r="D4197" s="3"/>
      <c r="E4197" s="7">
        <f t="shared" si="90"/>
        <v>350000</v>
      </c>
      <c r="F4197" s="5">
        <v>45915</v>
      </c>
      <c r="G4197" s="4">
        <v>20250914</v>
      </c>
      <c r="H4197" s="38" t="str">
        <f>VLOOKUP(B4197,CAJEROS!B:D,3,0)</f>
        <v>Multifuncional</v>
      </c>
      <c r="I4197" s="34" t="s">
        <v>9</v>
      </c>
      <c r="J4197" s="38" t="str">
        <f>VLOOKUP(B4197,CAJEROS!B:E,4,0)</f>
        <v>MF_VENPLAZA</v>
      </c>
      <c r="K4197" t="s">
        <v>579</v>
      </c>
    </row>
    <row r="4198" spans="1:11">
      <c r="A4198" s="32">
        <v>74</v>
      </c>
      <c r="B4198" s="33">
        <v>6215</v>
      </c>
      <c r="C4198" s="3">
        <v>348600</v>
      </c>
      <c r="D4198" s="3"/>
      <c r="E4198" s="7">
        <f t="shared" si="90"/>
        <v>348600</v>
      </c>
      <c r="F4198" s="5">
        <v>45915</v>
      </c>
      <c r="G4198" s="4">
        <v>20250914</v>
      </c>
      <c r="H4198" s="38" t="str">
        <f>VLOOKUP(B4198,CAJEROS!B:D,3,0)</f>
        <v>Multifuncional</v>
      </c>
      <c r="I4198" s="34" t="s">
        <v>9</v>
      </c>
      <c r="J4198" s="38" t="str">
        <f>VLOOKUP(B4198,CAJEROS!B:E,4,0)</f>
        <v>MF_PASTO</v>
      </c>
      <c r="K4198" t="s">
        <v>579</v>
      </c>
    </row>
    <row r="4199" spans="1:11">
      <c r="A4199" s="32">
        <v>551</v>
      </c>
      <c r="B4199" s="33">
        <v>9644</v>
      </c>
      <c r="C4199" s="3">
        <v>330000</v>
      </c>
      <c r="D4199" s="3"/>
      <c r="E4199" s="7">
        <f t="shared" si="90"/>
        <v>330000</v>
      </c>
      <c r="F4199" s="5">
        <v>45915</v>
      </c>
      <c r="G4199" s="4">
        <v>20250914</v>
      </c>
      <c r="H4199" s="38" t="str">
        <f>VLOOKUP(B4199,CAJEROS!B:D,3,0)</f>
        <v>Multifuncional</v>
      </c>
      <c r="I4199" s="34" t="s">
        <v>9</v>
      </c>
      <c r="J4199" s="38" t="str">
        <f>VLOOKUP(B4199,CAJEROS!B:E,4,0)</f>
        <v>MFSUCUNIME2</v>
      </c>
      <c r="K4199" t="s">
        <v>579</v>
      </c>
    </row>
    <row r="4200" spans="1:11">
      <c r="A4200" s="32">
        <v>53</v>
      </c>
      <c r="B4200" s="33">
        <v>5141</v>
      </c>
      <c r="C4200" s="3">
        <v>320000</v>
      </c>
      <c r="D4200" s="3"/>
      <c r="E4200" s="7">
        <f t="shared" si="90"/>
        <v>320000</v>
      </c>
      <c r="F4200" s="5">
        <v>45915</v>
      </c>
      <c r="G4200" s="4">
        <v>20250914</v>
      </c>
      <c r="H4200" s="38" t="str">
        <f>VLOOKUP(B4200,CAJEROS!B:D,3,0)</f>
        <v>Multifuncional</v>
      </c>
      <c r="I4200" s="34" t="s">
        <v>9</v>
      </c>
      <c r="J4200" s="38" t="str">
        <f>VLOOKUP(B4200,CAJEROS!B:E,4,0)</f>
        <v>MF_CARRDECI</v>
      </c>
      <c r="K4200" t="s">
        <v>579</v>
      </c>
    </row>
    <row r="4201" spans="1:11">
      <c r="A4201" s="32">
        <v>154</v>
      </c>
      <c r="B4201" s="33">
        <v>5041</v>
      </c>
      <c r="C4201" s="3">
        <v>250000</v>
      </c>
      <c r="D4201" s="3"/>
      <c r="E4201" s="7">
        <f t="shared" si="90"/>
        <v>250000</v>
      </c>
      <c r="F4201" s="5">
        <v>45915</v>
      </c>
      <c r="G4201" s="4">
        <v>20250914</v>
      </c>
      <c r="H4201" s="38" t="str">
        <f>VLOOKUP(B4201,CAJEROS!B:D,3,0)</f>
        <v>Multifuncional</v>
      </c>
      <c r="I4201" s="34" t="s">
        <v>9</v>
      </c>
      <c r="J4201" s="38" t="str">
        <f>VLOOKUP(B4201,CAJEROS!B:E,4,0)</f>
        <v>MF_CMAYOR</v>
      </c>
      <c r="K4201" t="s">
        <v>579</v>
      </c>
    </row>
    <row r="4202" spans="1:11">
      <c r="A4202" s="32">
        <v>769</v>
      </c>
      <c r="B4202" s="33">
        <v>5051</v>
      </c>
      <c r="C4202" s="3">
        <v>209450</v>
      </c>
      <c r="D4202" s="3">
        <v>136000</v>
      </c>
      <c r="E4202" s="7">
        <f t="shared" si="90"/>
        <v>73450</v>
      </c>
      <c r="F4202" s="5">
        <v>45915</v>
      </c>
      <c r="G4202" s="4">
        <v>20250914</v>
      </c>
      <c r="H4202" s="38" t="str">
        <f>VLOOKUP(B4202,CAJEROS!B:D,3,0)</f>
        <v>Multifuncional</v>
      </c>
      <c r="I4202" s="34" t="s">
        <v>9</v>
      </c>
      <c r="J4202" s="38" t="str">
        <f>VLOOKUP(B4202,CAJEROS!B:E,4,0)</f>
        <v>MF_SUCPPRA2</v>
      </c>
      <c r="K4202" t="s">
        <v>579</v>
      </c>
    </row>
    <row r="4203" spans="1:11">
      <c r="A4203" s="32">
        <v>322</v>
      </c>
      <c r="B4203" s="33">
        <v>2444</v>
      </c>
      <c r="C4203" s="3">
        <v>180000</v>
      </c>
      <c r="D4203" s="3">
        <v>160000</v>
      </c>
      <c r="E4203" s="7">
        <f t="shared" si="90"/>
        <v>20000</v>
      </c>
      <c r="F4203" s="5">
        <v>45915</v>
      </c>
      <c r="G4203" s="4">
        <v>20250914</v>
      </c>
      <c r="H4203" s="38" t="str">
        <f>VLOOKUP(B4203,CAJEROS!B:D,3,0)</f>
        <v>Multifuncional</v>
      </c>
      <c r="I4203" s="34" t="s">
        <v>9</v>
      </c>
      <c r="J4203" s="38" t="str">
        <f>VLOOKUP(B4203,CAJEROS!B:E,4,0)</f>
        <v>MFSUCSNGIL1</v>
      </c>
      <c r="K4203" t="s">
        <v>579</v>
      </c>
    </row>
    <row r="4204" spans="1:11">
      <c r="A4204" s="32">
        <v>777</v>
      </c>
      <c r="B4204" s="33">
        <v>4868</v>
      </c>
      <c r="C4204" s="3">
        <v>50800</v>
      </c>
      <c r="D4204" s="3"/>
      <c r="E4204" s="7">
        <f t="shared" si="90"/>
        <v>50800</v>
      </c>
      <c r="F4204" s="5">
        <v>45915</v>
      </c>
      <c r="G4204" s="4">
        <v>20250914</v>
      </c>
      <c r="H4204" s="38" t="str">
        <f>VLOOKUP(B4204,CAJEROS!B:D,3,0)</f>
        <v>Multifuncional</v>
      </c>
      <c r="I4204" s="34" t="s">
        <v>9</v>
      </c>
      <c r="J4204" s="38" t="str">
        <f>VLOOKUP(B4204,CAJEROS!B:E,4,0)</f>
        <v>MFPWASHING2</v>
      </c>
      <c r="K4204" t="s">
        <v>579</v>
      </c>
    </row>
    <row r="4205" spans="1:11">
      <c r="A4205" s="32">
        <v>19</v>
      </c>
      <c r="B4205" s="33">
        <v>1449</v>
      </c>
      <c r="C4205" s="3">
        <v>100000</v>
      </c>
      <c r="D4205" s="3"/>
      <c r="E4205" s="7">
        <f t="shared" si="90"/>
        <v>100000</v>
      </c>
      <c r="F4205" s="5">
        <v>45916</v>
      </c>
      <c r="G4205" s="4">
        <v>20250915</v>
      </c>
      <c r="H4205" s="38" t="str">
        <f>VLOOKUP(B4205,CAJEROS!B:D,3,0)</f>
        <v>Dispensador</v>
      </c>
      <c r="I4205" s="34"/>
      <c r="J4205" s="38" t="str">
        <f>VLOOKUP(B4205,CAJEROS!B:E,4,0)</f>
        <v>ENVIGADO_2</v>
      </c>
      <c r="K4205" t="s">
        <v>579</v>
      </c>
    </row>
    <row r="4206" spans="1:11">
      <c r="A4206" s="32">
        <v>229</v>
      </c>
      <c r="B4206" s="33">
        <v>8956</v>
      </c>
      <c r="C4206" s="3">
        <v>250000</v>
      </c>
      <c r="D4206" s="3"/>
      <c r="E4206" s="7">
        <f t="shared" si="90"/>
        <v>250000</v>
      </c>
      <c r="F4206" s="5">
        <v>45916</v>
      </c>
      <c r="G4206" s="4">
        <v>20250915</v>
      </c>
      <c r="H4206" s="38" t="str">
        <f>VLOOKUP(B4206,CAJEROS!B:D,3,0)</f>
        <v>Dispensador</v>
      </c>
      <c r="I4206" s="34"/>
      <c r="J4206" s="38" t="str">
        <f>VLOOKUP(B4206,CAJEROS!B:E,4,0)</f>
        <v>SUCPASERIO2</v>
      </c>
      <c r="K4206" t="s">
        <v>579</v>
      </c>
    </row>
    <row r="4207" spans="1:11">
      <c r="A4207" s="32">
        <v>335</v>
      </c>
      <c r="B4207" s="33">
        <v>3966</v>
      </c>
      <c r="C4207" s="3">
        <v>30000</v>
      </c>
      <c r="D4207" s="3"/>
      <c r="E4207" s="7">
        <f t="shared" si="90"/>
        <v>30000</v>
      </c>
      <c r="F4207" s="5">
        <v>45916</v>
      </c>
      <c r="G4207" s="4">
        <v>20250915</v>
      </c>
      <c r="H4207" s="38" t="str">
        <f>VLOOKUP(B4207,CAJEROS!B:D,3,0)</f>
        <v>Dispensador</v>
      </c>
      <c r="I4207" s="34"/>
      <c r="J4207" s="38" t="str">
        <f>VLOOKUP(B4207,CAJEROS!B:E,4,0)</f>
        <v>SUC_CAJIC_4</v>
      </c>
      <c r="K4207" t="s">
        <v>579</v>
      </c>
    </row>
    <row r="4208" spans="1:11">
      <c r="A4208" s="32">
        <v>536</v>
      </c>
      <c r="B4208" s="33">
        <v>4796</v>
      </c>
      <c r="C4208" s="3">
        <v>100000</v>
      </c>
      <c r="D4208" s="3"/>
      <c r="E4208" s="7">
        <f t="shared" si="90"/>
        <v>100000</v>
      </c>
      <c r="F4208" s="5">
        <v>45916</v>
      </c>
      <c r="G4208" s="4">
        <v>20250915</v>
      </c>
      <c r="H4208" s="38" t="str">
        <f>VLOOKUP(B4208,CAJEROS!B:D,3,0)</f>
        <v>Dispensador</v>
      </c>
      <c r="I4208" s="34"/>
      <c r="J4208" s="38" t="str">
        <f>VLOOKUP(B4208,CAJEROS!B:E,4,0)</f>
        <v>SUC_QUIBDO3</v>
      </c>
      <c r="K4208" t="s">
        <v>579</v>
      </c>
    </row>
    <row r="4209" spans="1:11">
      <c r="A4209" s="32">
        <v>682</v>
      </c>
      <c r="B4209" s="33">
        <v>5959</v>
      </c>
      <c r="C4209" s="3">
        <v>1100000</v>
      </c>
      <c r="D4209" s="3"/>
      <c r="E4209" s="7">
        <f t="shared" si="90"/>
        <v>1100000</v>
      </c>
      <c r="F4209" s="5">
        <v>45916</v>
      </c>
      <c r="G4209" s="4">
        <v>20250915</v>
      </c>
      <c r="H4209" s="38" t="str">
        <f>VLOOKUP(B4209,CAJEROS!B:D,3,0)</f>
        <v>Dispensador</v>
      </c>
      <c r="I4209" s="34"/>
      <c r="J4209" s="38" t="str">
        <f>VLOOKUP(B4209,CAJEROS!B:E,4,0)</f>
        <v>SUC_CCFONT1</v>
      </c>
      <c r="K4209" t="s">
        <v>579</v>
      </c>
    </row>
    <row r="4210" spans="1:11">
      <c r="A4210" s="32">
        <v>6</v>
      </c>
      <c r="B4210" s="33">
        <v>5001</v>
      </c>
      <c r="C4210" s="3">
        <v>2716000</v>
      </c>
      <c r="D4210" s="3">
        <f>2286000+750</f>
        <v>2286750</v>
      </c>
      <c r="E4210" s="7">
        <f t="shared" si="90"/>
        <v>429250</v>
      </c>
      <c r="F4210" s="5">
        <v>45916</v>
      </c>
      <c r="G4210" s="4">
        <v>20250915</v>
      </c>
      <c r="H4210" s="38" t="str">
        <f>VLOOKUP(B4210,CAJEROS!B:D,3,0)</f>
        <v>Multifuncional</v>
      </c>
      <c r="I4210" s="34"/>
      <c r="J4210" s="38" t="str">
        <f>VLOOKUP(B4210,CAJEROS!B:E,4,0)</f>
        <v>MF_AVJUNIN</v>
      </c>
      <c r="K4210" t="s">
        <v>579</v>
      </c>
    </row>
    <row r="4211" spans="1:11">
      <c r="A4211" s="32">
        <v>33</v>
      </c>
      <c r="B4211" s="33">
        <v>8861</v>
      </c>
      <c r="C4211" s="3">
        <v>1000000</v>
      </c>
      <c r="D4211" s="3"/>
      <c r="E4211" s="7">
        <f t="shared" si="90"/>
        <v>1000000</v>
      </c>
      <c r="F4211" s="5">
        <v>45916</v>
      </c>
      <c r="G4211" s="4">
        <v>20250915</v>
      </c>
      <c r="H4211" s="38" t="str">
        <f>VLOOKUP(B4211,CAJEROS!B:D,3,0)</f>
        <v>Multifuncional</v>
      </c>
      <c r="I4211" s="34"/>
      <c r="J4211" s="38" t="str">
        <f>VLOOKUP(B4211,CAJEROS!B:E,4,0)</f>
        <v>MF_SPOLCLU1</v>
      </c>
      <c r="K4211" t="s">
        <v>579</v>
      </c>
    </row>
    <row r="4212" spans="1:11">
      <c r="A4212" s="32">
        <v>168</v>
      </c>
      <c r="B4212" s="33">
        <v>5224</v>
      </c>
      <c r="C4212" s="3">
        <v>5000</v>
      </c>
      <c r="D4212" s="3"/>
      <c r="E4212" s="7">
        <f t="shared" si="90"/>
        <v>5000</v>
      </c>
      <c r="F4212" s="5">
        <v>45916</v>
      </c>
      <c r="G4212" s="4">
        <v>20250915</v>
      </c>
      <c r="H4212" s="38" t="str">
        <f>VLOOKUP(B4212,CAJEROS!B:D,3,0)</f>
        <v>Multifuncional</v>
      </c>
      <c r="I4212" s="34"/>
      <c r="J4212" s="38" t="str">
        <f>VLOOKUP(B4212,CAJEROS!B:E,4,0)</f>
        <v>MF_TOBERIN</v>
      </c>
      <c r="K4212" t="s">
        <v>579</v>
      </c>
    </row>
    <row r="4213" spans="1:11">
      <c r="A4213" s="32">
        <v>178</v>
      </c>
      <c r="B4213" s="33">
        <v>6218</v>
      </c>
      <c r="C4213" s="3">
        <v>6800000</v>
      </c>
      <c r="D4213" s="3">
        <f>571950+595000+160000</f>
        <v>1326950</v>
      </c>
      <c r="E4213" s="7">
        <f t="shared" si="90"/>
        <v>5473050</v>
      </c>
      <c r="F4213" s="5">
        <v>45916</v>
      </c>
      <c r="G4213" s="4">
        <v>20250915</v>
      </c>
      <c r="H4213" s="38" t="str">
        <f>VLOOKUP(B4213,CAJEROS!B:D,3,0)</f>
        <v>Multifuncional</v>
      </c>
      <c r="I4213" s="34"/>
      <c r="J4213" s="38" t="str">
        <f>VLOOKUP(B4213,CAJEROS!B:E,4,0)</f>
        <v>MF_CFINANCI</v>
      </c>
      <c r="K4213" t="s">
        <v>579</v>
      </c>
    </row>
    <row r="4214" spans="1:11">
      <c r="A4214" s="32">
        <v>229</v>
      </c>
      <c r="B4214" s="33">
        <v>9605</v>
      </c>
      <c r="C4214" s="3">
        <v>6000</v>
      </c>
      <c r="D4214" s="3"/>
      <c r="E4214" s="7">
        <f t="shared" si="90"/>
        <v>6000</v>
      </c>
      <c r="F4214" s="5">
        <v>45916</v>
      </c>
      <c r="G4214" s="4">
        <v>20250915</v>
      </c>
      <c r="H4214" s="38" t="str">
        <f>VLOOKUP(B4214,CAJEROS!B:D,3,0)</f>
        <v>Multifuncional</v>
      </c>
      <c r="I4214" s="34"/>
      <c r="J4214" s="38" t="str">
        <f>VLOOKUP(B4214,CAJEROS!B:E,4,0)</f>
        <v>MFSUCPASER2</v>
      </c>
      <c r="K4214" t="s">
        <v>579</v>
      </c>
    </row>
    <row r="4215" spans="1:11">
      <c r="A4215" s="32">
        <v>442</v>
      </c>
      <c r="B4215" s="33">
        <v>8888</v>
      </c>
      <c r="C4215" s="3">
        <v>8965000</v>
      </c>
      <c r="D4215" s="3"/>
      <c r="E4215" s="7">
        <f t="shared" si="90"/>
        <v>8965000</v>
      </c>
      <c r="F4215" s="5">
        <v>45916</v>
      </c>
      <c r="G4215" s="4">
        <v>20250915</v>
      </c>
      <c r="H4215" s="38" t="str">
        <f>VLOOKUP(B4215,CAJEROS!B:D,3,0)</f>
        <v>Multifuncional</v>
      </c>
      <c r="I4215" s="34"/>
      <c r="J4215" s="38" t="str">
        <f>VLOOKUP(B4215,CAJEROS!B:E,4,0)</f>
        <v>MFVIVABQUI2</v>
      </c>
      <c r="K4215" t="s">
        <v>579</v>
      </c>
    </row>
    <row r="4216" spans="1:11">
      <c r="A4216" s="32">
        <v>623</v>
      </c>
      <c r="B4216" s="33">
        <v>7375</v>
      </c>
      <c r="C4216" s="3">
        <v>2050</v>
      </c>
      <c r="D4216" s="3"/>
      <c r="E4216" s="7">
        <f t="shared" si="90"/>
        <v>2050</v>
      </c>
      <c r="F4216" s="5">
        <v>45916</v>
      </c>
      <c r="G4216" s="4">
        <v>20250915</v>
      </c>
      <c r="H4216" s="38" t="str">
        <f>VLOOKUP(B4216,CAJEROS!B:D,3,0)</f>
        <v>Multifuncional</v>
      </c>
      <c r="I4216" s="34"/>
      <c r="J4216" s="38" t="str">
        <f>VLOOKUP(B4216,CAJEROS!B:E,4,0)</f>
        <v>MF_FUNDMAN2</v>
      </c>
      <c r="K4216" t="s">
        <v>579</v>
      </c>
    </row>
    <row r="4217" spans="1:11">
      <c r="A4217" s="32">
        <v>843</v>
      </c>
      <c r="B4217" s="33">
        <v>6716</v>
      </c>
      <c r="C4217" s="3">
        <v>1500</v>
      </c>
      <c r="D4217" s="3"/>
      <c r="E4217" s="7">
        <f t="shared" si="90"/>
        <v>1500</v>
      </c>
      <c r="F4217" s="5">
        <v>45916</v>
      </c>
      <c r="G4217" s="4">
        <v>20250915</v>
      </c>
      <c r="H4217" s="38" t="str">
        <f>VLOOKUP(B4217,CAJEROS!B:D,3,0)</f>
        <v>Multifuncional</v>
      </c>
      <c r="I4217" s="34"/>
      <c r="J4217" s="38" t="str">
        <f>VLOOKUP(B4217,CAJEROS!B:E,4,0)</f>
        <v>MF_CPBUENAV</v>
      </c>
      <c r="K4217" t="s">
        <v>579</v>
      </c>
    </row>
    <row r="4218" spans="1:11">
      <c r="A4218" s="32">
        <v>916</v>
      </c>
      <c r="B4218" s="33">
        <v>5052</v>
      </c>
      <c r="C4218" s="3">
        <v>876000</v>
      </c>
      <c r="D4218" s="3"/>
      <c r="E4218" s="7">
        <f t="shared" si="90"/>
        <v>876000</v>
      </c>
      <c r="F4218" s="5">
        <v>45916</v>
      </c>
      <c r="G4218" s="4">
        <v>20250915</v>
      </c>
      <c r="H4218" s="38" t="str">
        <f>VLOOKUP(B4218,CAJEROS!B:D,3,0)</f>
        <v>Multifuncional</v>
      </c>
      <c r="I4218" s="34"/>
      <c r="J4218" s="38" t="str">
        <f>VLOOKUP(B4218,CAJEROS!B:E,4,0)</f>
        <v>MF_OCEANMAL</v>
      </c>
      <c r="K4218" t="s">
        <v>579</v>
      </c>
    </row>
    <row r="4219" spans="1:11">
      <c r="A4219" s="32">
        <v>779</v>
      </c>
      <c r="B4219" s="33">
        <v>5013</v>
      </c>
      <c r="C4219" s="3">
        <v>2880000</v>
      </c>
      <c r="D4219" s="3"/>
      <c r="E4219" s="7">
        <f t="shared" si="90"/>
        <v>2880000</v>
      </c>
      <c r="F4219" s="5">
        <v>45916</v>
      </c>
      <c r="G4219" s="4">
        <v>20250915</v>
      </c>
      <c r="H4219" s="38" t="str">
        <f>VLOOKUP(B4219,CAJEROS!B:D,3,0)</f>
        <v>Multifuncional</v>
      </c>
      <c r="I4219" s="34" t="s">
        <v>9</v>
      </c>
      <c r="J4219" s="38" t="str">
        <f>VLOOKUP(B4219,CAJEROS!B:E,4,0)</f>
        <v>MF_BUENASM1</v>
      </c>
      <c r="K4219" t="s">
        <v>579</v>
      </c>
    </row>
    <row r="4220" spans="1:11">
      <c r="A4220" s="32">
        <v>907</v>
      </c>
      <c r="B4220" s="33">
        <v>5019</v>
      </c>
      <c r="C4220" s="3">
        <v>2720000</v>
      </c>
      <c r="D4220" s="3">
        <v>640000</v>
      </c>
      <c r="E4220" s="7">
        <f t="shared" si="90"/>
        <v>2080000</v>
      </c>
      <c r="F4220" s="5">
        <v>45916</v>
      </c>
      <c r="G4220" s="4">
        <v>20250915</v>
      </c>
      <c r="H4220" s="38" t="str">
        <f>VLOOKUP(B4220,CAJEROS!B:D,3,0)</f>
        <v>Multifuncional</v>
      </c>
      <c r="I4220" s="34" t="s">
        <v>9</v>
      </c>
      <c r="J4220" s="38" t="str">
        <f>VLOOKUP(B4220,CAJEROS!B:E,4,0)</f>
        <v>MF_FRONTERA</v>
      </c>
      <c r="K4220" t="s">
        <v>579</v>
      </c>
    </row>
    <row r="4221" spans="1:11">
      <c r="A4221" s="32">
        <v>430</v>
      </c>
      <c r="B4221" s="33">
        <v>5104</v>
      </c>
      <c r="C4221" s="3">
        <v>2695000</v>
      </c>
      <c r="D4221" s="3">
        <v>1067950</v>
      </c>
      <c r="E4221" s="7">
        <f t="shared" si="90"/>
        <v>1627050</v>
      </c>
      <c r="F4221" s="5">
        <v>45916</v>
      </c>
      <c r="G4221" s="4">
        <v>20250915</v>
      </c>
      <c r="H4221" s="38" t="str">
        <f>VLOOKUP(B4221,CAJEROS!B:D,3,0)</f>
        <v>Multifuncional</v>
      </c>
      <c r="I4221" s="34" t="s">
        <v>9</v>
      </c>
      <c r="J4221" s="38" t="str">
        <f>VLOOKUP(B4221,CAJEROS!B:E,4,0)</f>
        <v>MF_ZONAROSA</v>
      </c>
      <c r="K4221" t="s">
        <v>579</v>
      </c>
    </row>
    <row r="4222" spans="1:11">
      <c r="A4222" s="32">
        <v>477</v>
      </c>
      <c r="B4222" s="33">
        <v>6251</v>
      </c>
      <c r="C4222" s="3">
        <v>2530000</v>
      </c>
      <c r="D4222" s="3">
        <v>2140000</v>
      </c>
      <c r="E4222" s="7">
        <f t="shared" si="90"/>
        <v>390000</v>
      </c>
      <c r="F4222" s="5">
        <v>45916</v>
      </c>
      <c r="G4222" s="4">
        <v>20250915</v>
      </c>
      <c r="H4222" s="38" t="str">
        <f>VLOOKUP(B4222,CAJEROS!B:D,3,0)</f>
        <v>Multifuncional</v>
      </c>
      <c r="I4222" s="34" t="s">
        <v>9</v>
      </c>
      <c r="J4222" s="38" t="str">
        <f>VLOOKUP(B4222,CAJEROS!B:E,4,0)</f>
        <v>MF_GRANCENT</v>
      </c>
      <c r="K4222" t="s">
        <v>579</v>
      </c>
    </row>
    <row r="4223" spans="1:11">
      <c r="A4223" s="32">
        <v>745</v>
      </c>
      <c r="B4223" s="33">
        <v>1477</v>
      </c>
      <c r="C4223" s="3">
        <v>2445000</v>
      </c>
      <c r="D4223" s="3">
        <v>2005000</v>
      </c>
      <c r="E4223" s="7">
        <f t="shared" si="90"/>
        <v>440000</v>
      </c>
      <c r="F4223" s="5">
        <v>45916</v>
      </c>
      <c r="G4223" s="4">
        <v>20250915</v>
      </c>
      <c r="H4223" s="38" t="str">
        <f>VLOOKUP(B4223,CAJEROS!B:D,3,0)</f>
        <v>Multifuncional</v>
      </c>
      <c r="I4223" s="34" t="s">
        <v>9</v>
      </c>
      <c r="J4223" s="38" t="str">
        <f>VLOOKUP(B4223,CAJEROS!B:E,4,0)</f>
        <v>MFSUCMALPZ2</v>
      </c>
      <c r="K4223" t="s">
        <v>579</v>
      </c>
    </row>
    <row r="4224" spans="1:11">
      <c r="A4224" s="32">
        <v>57</v>
      </c>
      <c r="B4224" s="33">
        <v>9963</v>
      </c>
      <c r="C4224" s="3">
        <v>2420000</v>
      </c>
      <c r="D4224" s="3"/>
      <c r="E4224" s="7">
        <f t="shared" si="90"/>
        <v>2420000</v>
      </c>
      <c r="F4224" s="5">
        <v>45916</v>
      </c>
      <c r="G4224" s="4">
        <v>20250915</v>
      </c>
      <c r="H4224" s="38" t="str">
        <f>VLOOKUP(B4224,CAJEROS!B:D,3,0)</f>
        <v>Multifuncional</v>
      </c>
      <c r="I4224" s="34" t="s">
        <v>9</v>
      </c>
      <c r="J4224" s="38" t="str">
        <f>VLOOKUP(B4224,CAJEROS!B:E,4,0)</f>
        <v>MF_VILLAVI1</v>
      </c>
      <c r="K4224" t="s">
        <v>579</v>
      </c>
    </row>
    <row r="4225" spans="1:11">
      <c r="A4225" s="32">
        <v>74</v>
      </c>
      <c r="B4225" s="33">
        <v>6215</v>
      </c>
      <c r="C4225" s="3">
        <v>2258000</v>
      </c>
      <c r="D4225" s="3"/>
      <c r="E4225" s="7">
        <f t="shared" si="90"/>
        <v>2258000</v>
      </c>
      <c r="F4225" s="5">
        <v>45916</v>
      </c>
      <c r="G4225" s="4">
        <v>20250915</v>
      </c>
      <c r="H4225" s="38" t="str">
        <f>VLOOKUP(B4225,CAJEROS!B:D,3,0)</f>
        <v>Multifuncional</v>
      </c>
      <c r="I4225" s="34" t="s">
        <v>9</v>
      </c>
      <c r="J4225" s="38" t="str">
        <f>VLOOKUP(B4225,CAJEROS!B:E,4,0)</f>
        <v>MF_PASTO</v>
      </c>
      <c r="K4225" t="s">
        <v>579</v>
      </c>
    </row>
    <row r="4226" spans="1:11">
      <c r="A4226" s="32">
        <v>19</v>
      </c>
      <c r="B4226" s="33">
        <v>5078</v>
      </c>
      <c r="C4226" s="3">
        <v>2167000</v>
      </c>
      <c r="D4226" s="3">
        <v>1678000</v>
      </c>
      <c r="E4226" s="7">
        <f t="shared" si="90"/>
        <v>489000</v>
      </c>
      <c r="F4226" s="5">
        <v>45916</v>
      </c>
      <c r="G4226" s="4">
        <v>20250915</v>
      </c>
      <c r="H4226" s="38" t="str">
        <f>VLOOKUP(B4226,CAJEROS!B:D,3,0)</f>
        <v>Multifuncional</v>
      </c>
      <c r="I4226" s="34" t="s">
        <v>9</v>
      </c>
      <c r="J4226" s="38" t="str">
        <f>VLOOKUP(B4226,CAJEROS!B:E,4,0)</f>
        <v>MF_SUCENVIG</v>
      </c>
      <c r="K4226" t="s">
        <v>579</v>
      </c>
    </row>
    <row r="4227" spans="1:11">
      <c r="A4227" s="32">
        <v>849</v>
      </c>
      <c r="B4227" s="33">
        <v>9725</v>
      </c>
      <c r="C4227" s="3">
        <v>2099800</v>
      </c>
      <c r="D4227" s="3"/>
      <c r="E4227" s="7">
        <f t="shared" si="90"/>
        <v>2099800</v>
      </c>
      <c r="F4227" s="5">
        <v>45916</v>
      </c>
      <c r="G4227" s="4">
        <v>20250915</v>
      </c>
      <c r="H4227" s="38" t="str">
        <f>VLOOKUP(B4227,CAJEROS!B:D,3,0)</f>
        <v>Multifuncional</v>
      </c>
      <c r="I4227" s="34" t="s">
        <v>9</v>
      </c>
      <c r="J4227" s="38" t="str">
        <f>VLOOKUP(B4227,CAJEROS!B:E,4,0)</f>
        <v>MF_SUNIVIL2</v>
      </c>
      <c r="K4227" t="s">
        <v>579</v>
      </c>
    </row>
    <row r="4228" spans="1:11">
      <c r="A4228" s="32">
        <v>845</v>
      </c>
      <c r="B4228" s="33">
        <v>9232</v>
      </c>
      <c r="C4228" s="3">
        <v>2060000</v>
      </c>
      <c r="D4228" s="3"/>
      <c r="E4228" s="7">
        <f t="shared" si="90"/>
        <v>2060000</v>
      </c>
      <c r="F4228" s="5">
        <v>45916</v>
      </c>
      <c r="G4228" s="4">
        <v>20250915</v>
      </c>
      <c r="H4228" s="38" t="str">
        <f>VLOOKUP(B4228,CAJEROS!B:D,3,0)</f>
        <v>Multifuncional</v>
      </c>
      <c r="I4228" s="34" t="s">
        <v>9</v>
      </c>
      <c r="J4228" s="38" t="str">
        <f>VLOOKUP(B4228,CAJEROS!B:E,4,0)</f>
        <v>MFSUCLAPLT1</v>
      </c>
      <c r="K4228" t="s">
        <v>579</v>
      </c>
    </row>
    <row r="4229" spans="1:11">
      <c r="A4229" s="32">
        <v>693</v>
      </c>
      <c r="B4229" s="33">
        <v>7979</v>
      </c>
      <c r="C4229" s="3">
        <v>2000000</v>
      </c>
      <c r="D4229" s="3"/>
      <c r="E4229" s="7">
        <f t="shared" si="90"/>
        <v>2000000</v>
      </c>
      <c r="F4229" s="5">
        <v>45916</v>
      </c>
      <c r="G4229" s="4">
        <v>20250915</v>
      </c>
      <c r="H4229" s="38" t="str">
        <f>VLOOKUP(B4229,CAJEROS!B:D,3,0)</f>
        <v>Multifuncional</v>
      </c>
      <c r="I4229" s="34" t="s">
        <v>9</v>
      </c>
      <c r="J4229" s="38" t="str">
        <f>VLOOKUP(B4229,CAJEROS!B:E,4,0)</f>
        <v>MF_CCSNTAF3</v>
      </c>
      <c r="K4229" t="s">
        <v>579</v>
      </c>
    </row>
    <row r="4230" spans="1:11">
      <c r="A4230" s="32">
        <v>824</v>
      </c>
      <c r="B4230" s="33">
        <v>5040</v>
      </c>
      <c r="C4230" s="3">
        <v>1930000</v>
      </c>
      <c r="D4230" s="3"/>
      <c r="E4230" s="7">
        <f t="shared" si="90"/>
        <v>1930000</v>
      </c>
      <c r="F4230" s="5">
        <v>45916</v>
      </c>
      <c r="G4230" s="4">
        <v>20250915</v>
      </c>
      <c r="H4230" s="38" t="str">
        <f>VLOOKUP(B4230,CAJEROS!B:D,3,0)</f>
        <v>Multifuncional</v>
      </c>
      <c r="I4230" s="34" t="s">
        <v>9</v>
      </c>
      <c r="J4230" s="38" t="str">
        <f>VLOOKUP(B4230,CAJEROS!B:E,4,0)</f>
        <v>MF_VENPLAZA</v>
      </c>
      <c r="K4230" t="s">
        <v>579</v>
      </c>
    </row>
    <row r="4231" spans="1:11">
      <c r="A4231" s="32">
        <v>331</v>
      </c>
      <c r="B4231" s="33">
        <v>574</v>
      </c>
      <c r="C4231" s="3">
        <v>1840000</v>
      </c>
      <c r="D4231" s="3"/>
      <c r="E4231" s="7">
        <f t="shared" si="90"/>
        <v>1840000</v>
      </c>
      <c r="F4231" s="5">
        <v>45916</v>
      </c>
      <c r="G4231" s="4">
        <v>20250915</v>
      </c>
      <c r="H4231" s="38" t="str">
        <f>VLOOKUP(B4231,CAJEROS!B:D,3,0)</f>
        <v>Multifuncional</v>
      </c>
      <c r="I4231" s="34" t="s">
        <v>9</v>
      </c>
      <c r="J4231" s="38" t="str">
        <f>VLOOKUP(B4231,CAJEROS!B:E,4,0)</f>
        <v>MF_SUCARKA1</v>
      </c>
      <c r="K4231" t="s">
        <v>579</v>
      </c>
    </row>
    <row r="4232" spans="1:11">
      <c r="A4232" s="32">
        <v>262</v>
      </c>
      <c r="B4232" s="33">
        <v>5153</v>
      </c>
      <c r="C4232" s="3">
        <v>1835000</v>
      </c>
      <c r="D4232" s="3">
        <f>110000+1599950</f>
        <v>1709950</v>
      </c>
      <c r="E4232" s="7">
        <f t="shared" si="90"/>
        <v>125050</v>
      </c>
      <c r="F4232" s="5">
        <v>45916</v>
      </c>
      <c r="G4232" s="4">
        <v>20250915</v>
      </c>
      <c r="H4232" s="38" t="str">
        <f>VLOOKUP(B4232,CAJEROS!B:D,3,0)</f>
        <v>Multifuncional</v>
      </c>
      <c r="I4232" s="34" t="s">
        <v>9</v>
      </c>
      <c r="J4232" s="38" t="str">
        <f>VLOOKUP(B4232,CAJEROS!B:E,4,0)</f>
        <v>MF_DUITAMA</v>
      </c>
      <c r="K4232" t="s">
        <v>579</v>
      </c>
    </row>
    <row r="4233" spans="1:11">
      <c r="A4233" s="32">
        <v>725</v>
      </c>
      <c r="B4233" s="33">
        <v>5166</v>
      </c>
      <c r="C4233" s="3">
        <v>998000</v>
      </c>
      <c r="D4233" s="3">
        <v>980000</v>
      </c>
      <c r="E4233" s="7">
        <f t="shared" si="90"/>
        <v>18000</v>
      </c>
      <c r="F4233" s="5">
        <v>45916</v>
      </c>
      <c r="G4233" s="4">
        <v>20250915</v>
      </c>
      <c r="H4233" s="38" t="str">
        <f>VLOOKUP(B4233,CAJEROS!B:D,3,0)</f>
        <v>Multifuncional</v>
      </c>
      <c r="I4233" s="34" t="s">
        <v>9</v>
      </c>
      <c r="J4233" s="38" t="str">
        <f>VLOOKUP(B4233,CAJEROS!B:E,4,0)</f>
        <v>MF_DOSQUEBR</v>
      </c>
      <c r="K4233" t="s">
        <v>579</v>
      </c>
    </row>
    <row r="4234" spans="1:11">
      <c r="A4234" s="32">
        <v>24</v>
      </c>
      <c r="B4234" s="33">
        <v>5066</v>
      </c>
      <c r="C4234" s="3">
        <v>945000</v>
      </c>
      <c r="D4234" s="3"/>
      <c r="E4234" s="7">
        <f t="shared" si="90"/>
        <v>945000</v>
      </c>
      <c r="F4234" s="5">
        <v>45916</v>
      </c>
      <c r="G4234" s="4">
        <v>20250915</v>
      </c>
      <c r="H4234" s="38" t="str">
        <f>VLOOKUP(B4234,CAJEROS!B:D,3,0)</f>
        <v>Multifuncional</v>
      </c>
      <c r="I4234" s="34" t="s">
        <v>9</v>
      </c>
      <c r="J4234" s="38" t="str">
        <f>VLOOKUP(B4234,CAJEROS!B:E,4,0)</f>
        <v>MF_RIONEGPA</v>
      </c>
      <c r="K4234" t="s">
        <v>579</v>
      </c>
    </row>
    <row r="4235" spans="1:11">
      <c r="A4235" s="32">
        <v>721</v>
      </c>
      <c r="B4235" s="33">
        <v>8897</v>
      </c>
      <c r="C4235" s="3">
        <v>905000</v>
      </c>
      <c r="D4235" s="3">
        <v>183000</v>
      </c>
      <c r="E4235" s="7">
        <f t="shared" si="90"/>
        <v>722000</v>
      </c>
      <c r="F4235" s="5">
        <v>45916</v>
      </c>
      <c r="G4235" s="4">
        <v>20250915</v>
      </c>
      <c r="H4235" s="38" t="str">
        <f>VLOOKUP(B4235,CAJEROS!B:D,3,0)</f>
        <v>Multifuncional</v>
      </c>
      <c r="I4235" s="34" t="s">
        <v>9</v>
      </c>
      <c r="J4235" s="38" t="str">
        <f>VLOOKUP(B4235,CAJEROS!B:E,4,0)</f>
        <v>MFSUCLAGO2</v>
      </c>
      <c r="K4235" t="s">
        <v>579</v>
      </c>
    </row>
    <row r="4236" spans="1:11">
      <c r="A4236" s="32">
        <v>363</v>
      </c>
      <c r="B4236" s="33">
        <v>5168</v>
      </c>
      <c r="C4236" s="3">
        <v>875000</v>
      </c>
      <c r="D4236" s="3"/>
      <c r="E4236" s="7">
        <f t="shared" si="90"/>
        <v>875000</v>
      </c>
      <c r="F4236" s="5">
        <v>45916</v>
      </c>
      <c r="G4236" s="4">
        <v>20250915</v>
      </c>
      <c r="H4236" s="38" t="str">
        <f>VLOOKUP(B4236,CAJEROS!B:D,3,0)</f>
        <v>Multifuncional</v>
      </c>
      <c r="I4236" s="34" t="s">
        <v>9</v>
      </c>
      <c r="J4236" s="38" t="str">
        <f>VLOOKUP(B4236,CAJEROS!B:E,4,0)</f>
        <v>MF_YOPAL</v>
      </c>
      <c r="K4236" t="s">
        <v>579</v>
      </c>
    </row>
    <row r="4237" spans="1:11">
      <c r="A4237" s="32">
        <v>825</v>
      </c>
      <c r="B4237" s="33">
        <v>5023</v>
      </c>
      <c r="C4237" s="3">
        <v>800000</v>
      </c>
      <c r="D4237" s="3">
        <v>690000</v>
      </c>
      <c r="E4237" s="7">
        <f t="shared" si="90"/>
        <v>110000</v>
      </c>
      <c r="F4237" s="5">
        <v>45916</v>
      </c>
      <c r="G4237" s="4">
        <v>20250915</v>
      </c>
      <c r="H4237" s="38" t="str">
        <f>VLOOKUP(B4237,CAJEROS!B:D,3,0)</f>
        <v>Multifuncional</v>
      </c>
      <c r="I4237" s="34" t="s">
        <v>9</v>
      </c>
      <c r="J4237" s="38" t="str">
        <f>VLOOKUP(B4237,CAJEROS!B:E,4,0)</f>
        <v>MF_ASTROCEN</v>
      </c>
      <c r="K4237" t="s">
        <v>579</v>
      </c>
    </row>
    <row r="4238" spans="1:11">
      <c r="A4238" s="32">
        <v>721</v>
      </c>
      <c r="B4238" s="33">
        <v>8896</v>
      </c>
      <c r="C4238" s="3">
        <v>780000</v>
      </c>
      <c r="D4238" s="3"/>
      <c r="E4238" s="7">
        <f t="shared" si="90"/>
        <v>780000</v>
      </c>
      <c r="F4238" s="5">
        <v>45916</v>
      </c>
      <c r="G4238" s="4">
        <v>20250915</v>
      </c>
      <c r="H4238" s="38" t="str">
        <f>VLOOKUP(B4238,CAJEROS!B:D,3,0)</f>
        <v>Multifuncional</v>
      </c>
      <c r="I4238" s="34" t="s">
        <v>9</v>
      </c>
      <c r="J4238" s="38" t="str">
        <f>VLOOKUP(B4238,CAJEROS!B:E,4,0)</f>
        <v>MFSUCLAGO1</v>
      </c>
      <c r="K4238" t="s">
        <v>579</v>
      </c>
    </row>
    <row r="4239" spans="1:11">
      <c r="A4239" s="32">
        <v>551</v>
      </c>
      <c r="B4239" s="33">
        <v>9644</v>
      </c>
      <c r="C4239" s="3">
        <v>770000</v>
      </c>
      <c r="D4239" s="3">
        <v>670000</v>
      </c>
      <c r="E4239" s="7">
        <f t="shared" si="90"/>
        <v>100000</v>
      </c>
      <c r="F4239" s="5">
        <v>45916</v>
      </c>
      <c r="G4239" s="4">
        <v>20250915</v>
      </c>
      <c r="H4239" s="38" t="str">
        <f>VLOOKUP(B4239,CAJEROS!B:D,3,0)</f>
        <v>Multifuncional</v>
      </c>
      <c r="I4239" s="34" t="s">
        <v>9</v>
      </c>
      <c r="J4239" s="38" t="str">
        <f>VLOOKUP(B4239,CAJEROS!B:E,4,0)</f>
        <v>MFSUCUNIME2</v>
      </c>
      <c r="K4239" t="s">
        <v>579</v>
      </c>
    </row>
    <row r="4240" spans="1:11">
      <c r="A4240" s="32">
        <v>291</v>
      </c>
      <c r="B4240" s="33">
        <v>8139</v>
      </c>
      <c r="C4240" s="3">
        <v>743000</v>
      </c>
      <c r="D4240" s="3"/>
      <c r="E4240" s="7">
        <f t="shared" si="90"/>
        <v>743000</v>
      </c>
      <c r="F4240" s="5">
        <v>45916</v>
      </c>
      <c r="G4240" s="4">
        <v>20250915</v>
      </c>
      <c r="H4240" s="38" t="str">
        <f>VLOOKUP(B4240,CAJEROS!B:D,3,0)</f>
        <v>Multifuncional</v>
      </c>
      <c r="I4240" s="34" t="s">
        <v>9</v>
      </c>
      <c r="J4240" s="38" t="str">
        <f>VLOOKUP(B4240,CAJEROS!B:E,4,0)</f>
        <v>MF_LPALMAS2</v>
      </c>
      <c r="K4240" t="s">
        <v>579</v>
      </c>
    </row>
    <row r="4241" spans="1:11">
      <c r="A4241" s="32">
        <v>442</v>
      </c>
      <c r="B4241" s="33">
        <v>8887</v>
      </c>
      <c r="C4241" s="3">
        <v>541000</v>
      </c>
      <c r="D4241" s="3"/>
      <c r="E4241" s="7">
        <f t="shared" si="90"/>
        <v>541000</v>
      </c>
      <c r="F4241" s="5">
        <v>45916</v>
      </c>
      <c r="G4241" s="4">
        <v>20250915</v>
      </c>
      <c r="H4241" s="38" t="str">
        <f>VLOOKUP(B4241,CAJEROS!B:D,3,0)</f>
        <v>Multifuncional</v>
      </c>
      <c r="I4241" s="34" t="s">
        <v>9</v>
      </c>
      <c r="J4241" s="38" t="str">
        <f>VLOOKUP(B4241,CAJEROS!B:E,4,0)</f>
        <v>MFVIVABQUI1</v>
      </c>
      <c r="K4241" t="s">
        <v>579</v>
      </c>
    </row>
    <row r="4242" spans="1:11">
      <c r="A4242" s="32">
        <v>781</v>
      </c>
      <c r="B4242" s="33">
        <v>5057</v>
      </c>
      <c r="C4242" s="3">
        <v>460000</v>
      </c>
      <c r="D4242" s="3"/>
      <c r="E4242" s="7">
        <f t="shared" si="90"/>
        <v>460000</v>
      </c>
      <c r="F4242" s="5">
        <v>45916</v>
      </c>
      <c r="G4242" s="4">
        <v>20250915</v>
      </c>
      <c r="H4242" s="38" t="str">
        <f>VLOOKUP(B4242,CAJEROS!B:D,3,0)</f>
        <v>Multifuncional</v>
      </c>
      <c r="I4242" s="34" t="s">
        <v>9</v>
      </c>
      <c r="J4242" s="38" t="str">
        <f>VLOOKUP(B4242,CAJEROS!B:E,4,0)</f>
        <v>MF_PRPLAZA</v>
      </c>
      <c r="K4242" t="s">
        <v>579</v>
      </c>
    </row>
    <row r="4243" spans="1:11">
      <c r="A4243" s="32">
        <v>236</v>
      </c>
      <c r="B4243" s="33">
        <v>6242</v>
      </c>
      <c r="C4243" s="3">
        <v>260000</v>
      </c>
      <c r="D4243" s="3"/>
      <c r="E4243" s="7">
        <f t="shared" si="90"/>
        <v>260000</v>
      </c>
      <c r="F4243" s="5">
        <v>45916</v>
      </c>
      <c r="G4243" s="4">
        <v>20250915</v>
      </c>
      <c r="H4243" s="38" t="str">
        <f>VLOOKUP(B4243,CAJEROS!B:D,3,0)</f>
        <v>Multifuncional</v>
      </c>
      <c r="I4243" s="34" t="s">
        <v>9</v>
      </c>
      <c r="J4243" s="38" t="str">
        <f>VLOOKUP(B4243,CAJEROS!B:E,4,0)</f>
        <v>MF_EXITCOLO</v>
      </c>
      <c r="K4243" t="s">
        <v>579</v>
      </c>
    </row>
    <row r="4244" spans="1:11">
      <c r="A4244" s="32">
        <v>682</v>
      </c>
      <c r="B4244" s="33">
        <v>5049</v>
      </c>
      <c r="C4244" s="3">
        <v>130000</v>
      </c>
      <c r="D4244" s="3"/>
      <c r="E4244" s="7">
        <f t="shared" si="90"/>
        <v>130000</v>
      </c>
      <c r="F4244" s="5">
        <v>45916</v>
      </c>
      <c r="G4244" s="4">
        <v>20250915</v>
      </c>
      <c r="H4244" s="38" t="str">
        <f>VLOOKUP(B4244,CAJEROS!B:D,3,0)</f>
        <v>Multifuncional</v>
      </c>
      <c r="I4244" s="34" t="s">
        <v>9</v>
      </c>
      <c r="J4244" s="38" t="str">
        <f>VLOOKUP(B4244,CAJEROS!B:E,4,0)</f>
        <v>MF_CCFONTA1</v>
      </c>
      <c r="K4244" t="s">
        <v>579</v>
      </c>
    </row>
    <row r="4245" spans="1:11">
      <c r="A4245" s="32">
        <v>261</v>
      </c>
      <c r="B4245" s="33">
        <v>5048</v>
      </c>
      <c r="C4245" s="3">
        <v>125000</v>
      </c>
      <c r="D4245" s="3"/>
      <c r="E4245" s="7">
        <f t="shared" si="90"/>
        <v>125000</v>
      </c>
      <c r="F4245" s="5">
        <v>45916</v>
      </c>
      <c r="G4245" s="4">
        <v>20250915</v>
      </c>
      <c r="H4245" s="38" t="str">
        <f>VLOOKUP(B4245,CAJEROS!B:D,3,0)</f>
        <v>Multifuncional</v>
      </c>
      <c r="I4245" s="34" t="s">
        <v>9</v>
      </c>
      <c r="J4245" s="38" t="str">
        <f>VLOOKUP(B4245,CAJEROS!B:E,4,0)</f>
        <v>MF_CAMPANA</v>
      </c>
      <c r="K4245" t="s">
        <v>579</v>
      </c>
    </row>
    <row r="4246" spans="1:11">
      <c r="A4246" s="32">
        <v>53</v>
      </c>
      <c r="B4246" s="33">
        <v>5141</v>
      </c>
      <c r="C4246" s="3">
        <v>60000</v>
      </c>
      <c r="D4246" s="3"/>
      <c r="E4246" s="7">
        <f t="shared" ref="E4246:E4309" si="91">+C4246-D4246</f>
        <v>60000</v>
      </c>
      <c r="F4246" s="5">
        <v>45916</v>
      </c>
      <c r="G4246" s="4">
        <v>20250915</v>
      </c>
      <c r="H4246" s="38" t="str">
        <f>VLOOKUP(B4246,CAJEROS!B:D,3,0)</f>
        <v>Multifuncional</v>
      </c>
      <c r="I4246" s="34" t="s">
        <v>9</v>
      </c>
      <c r="J4246" s="38" t="str">
        <f>VLOOKUP(B4246,CAJEROS!B:E,4,0)</f>
        <v>MF_CARRDECI</v>
      </c>
      <c r="K4246" t="s">
        <v>579</v>
      </c>
    </row>
    <row r="4247" spans="1:11">
      <c r="A4247" s="32">
        <v>76</v>
      </c>
      <c r="B4247" s="33">
        <v>5126</v>
      </c>
      <c r="C4247" s="3">
        <v>55000</v>
      </c>
      <c r="D4247" s="3">
        <f>10000+35000</f>
        <v>45000</v>
      </c>
      <c r="E4247" s="7">
        <f t="shared" si="91"/>
        <v>10000</v>
      </c>
      <c r="F4247" s="5">
        <v>45916</v>
      </c>
      <c r="G4247" s="4">
        <v>20250915</v>
      </c>
      <c r="H4247" s="38" t="str">
        <f>VLOOKUP(B4247,CAJEROS!B:D,3,0)</f>
        <v>Multifuncional</v>
      </c>
      <c r="I4247" s="34" t="s">
        <v>9</v>
      </c>
      <c r="J4247" s="38" t="str">
        <f>VLOOKUP(B4247,CAJEROS!B:E,4,0)</f>
        <v>MF_NEIVA</v>
      </c>
      <c r="K4247" t="s">
        <v>579</v>
      </c>
    </row>
    <row r="4248" spans="1:11">
      <c r="A4248" s="32">
        <v>690</v>
      </c>
      <c r="B4248" s="33">
        <v>6180</v>
      </c>
      <c r="C4248" s="3">
        <v>35000</v>
      </c>
      <c r="D4248" s="3"/>
      <c r="E4248" s="7">
        <f t="shared" si="91"/>
        <v>35000</v>
      </c>
      <c r="F4248" s="5">
        <v>45916</v>
      </c>
      <c r="G4248" s="4">
        <v>20250915</v>
      </c>
      <c r="H4248" s="38" t="str">
        <f>VLOOKUP(B4248,CAJEROS!B:D,3,0)</f>
        <v>Multifuncional</v>
      </c>
      <c r="I4248" s="34" t="s">
        <v>9</v>
      </c>
      <c r="J4248" s="38" t="str">
        <f>VLOOKUP(B4248,CAJEROS!B:E,4,0)</f>
        <v>MF_HTQENDAM</v>
      </c>
      <c r="K4248" t="s">
        <v>579</v>
      </c>
    </row>
    <row r="4249" spans="1:11">
      <c r="A4249" s="32">
        <v>108</v>
      </c>
      <c r="B4249" s="33">
        <v>1740</v>
      </c>
      <c r="C4249" s="3">
        <v>200000</v>
      </c>
      <c r="D4249" s="3"/>
      <c r="E4249" s="7">
        <f t="shared" si="91"/>
        <v>200000</v>
      </c>
      <c r="F4249" s="5">
        <v>45916</v>
      </c>
      <c r="G4249" s="4">
        <v>20250915</v>
      </c>
      <c r="H4249" s="38" t="str">
        <f>VLOOKUP(B4249,CAJEROS!B:D,3,0)</f>
        <v>Dispensador</v>
      </c>
      <c r="I4249" s="34" t="s">
        <v>9</v>
      </c>
      <c r="J4249" s="38" t="str">
        <f>VLOOKUP(B4249,CAJEROS!B:E,4,0)</f>
        <v>SUCPLZAMER3</v>
      </c>
      <c r="K4249" t="s">
        <v>579</v>
      </c>
    </row>
    <row r="4250" spans="1:11">
      <c r="A4250" s="32">
        <v>185</v>
      </c>
      <c r="B4250" s="33">
        <v>3253</v>
      </c>
      <c r="C4250" s="3">
        <v>830000</v>
      </c>
      <c r="D4250" s="3"/>
      <c r="E4250" s="7">
        <f t="shared" si="91"/>
        <v>830000</v>
      </c>
      <c r="F4250" s="5">
        <v>45916</v>
      </c>
      <c r="G4250" s="4">
        <v>20250915</v>
      </c>
      <c r="H4250" s="38" t="str">
        <f>VLOOKUP(B4250,CAJEROS!B:D,3,0)</f>
        <v>Dispensador</v>
      </c>
      <c r="I4250" s="34" t="s">
        <v>9</v>
      </c>
      <c r="J4250" s="38" t="str">
        <f>VLOOKUP(B4250,CAJEROS!B:E,4,0)</f>
        <v>SUCLLAGRPA2</v>
      </c>
      <c r="K4250" t="s">
        <v>579</v>
      </c>
    </row>
    <row r="4251" spans="1:11">
      <c r="A4251" s="32">
        <v>186</v>
      </c>
      <c r="B4251" s="33">
        <v>6509</v>
      </c>
      <c r="C4251" s="3">
        <v>610000</v>
      </c>
      <c r="D4251" s="3"/>
      <c r="E4251" s="7">
        <f t="shared" si="91"/>
        <v>610000</v>
      </c>
      <c r="F4251" s="5">
        <v>45916</v>
      </c>
      <c r="G4251" s="4">
        <v>20250915</v>
      </c>
      <c r="H4251" s="38" t="str">
        <f>VLOOKUP(B4251,CAJEROS!B:D,3,0)</f>
        <v>Dispensador</v>
      </c>
      <c r="I4251" s="34" t="s">
        <v>9</v>
      </c>
      <c r="J4251" s="38" t="str">
        <f>VLOOKUP(B4251,CAJEROS!B:E,4,0)</f>
        <v>SUC_GALERI2</v>
      </c>
      <c r="K4251" t="s">
        <v>579</v>
      </c>
    </row>
    <row r="4252" spans="1:11">
      <c r="A4252" s="32">
        <v>331</v>
      </c>
      <c r="B4252" s="33">
        <v>8343</v>
      </c>
      <c r="C4252" s="3">
        <v>50000</v>
      </c>
      <c r="D4252" s="3">
        <v>20000</v>
      </c>
      <c r="E4252" s="7">
        <f t="shared" si="91"/>
        <v>30000</v>
      </c>
      <c r="F4252" s="5">
        <v>45916</v>
      </c>
      <c r="G4252" s="4">
        <v>20250915</v>
      </c>
      <c r="H4252" s="38" t="str">
        <f>VLOOKUP(B4252,CAJEROS!B:D,3,0)</f>
        <v>Dispensador</v>
      </c>
      <c r="I4252" s="34" t="s">
        <v>9</v>
      </c>
      <c r="J4252" s="38" t="str">
        <f>VLOOKUP(B4252,CAJEROS!B:E,4,0)</f>
        <v>SUCARKADIA2</v>
      </c>
      <c r="K4252" t="s">
        <v>579</v>
      </c>
    </row>
    <row r="4253" spans="1:11">
      <c r="A4253" s="32">
        <v>372</v>
      </c>
      <c r="B4253" s="33">
        <v>7917</v>
      </c>
      <c r="C4253" s="3">
        <v>60000</v>
      </c>
      <c r="D4253" s="3">
        <v>40000</v>
      </c>
      <c r="E4253" s="7">
        <f t="shared" si="91"/>
        <v>20000</v>
      </c>
      <c r="F4253" s="5">
        <v>45916</v>
      </c>
      <c r="G4253" s="4">
        <v>20250915</v>
      </c>
      <c r="H4253" s="38" t="str">
        <f>VLOOKUP(B4253,CAJEROS!B:D,3,0)</f>
        <v>Dispensador</v>
      </c>
      <c r="I4253" s="34" t="s">
        <v>9</v>
      </c>
      <c r="J4253" s="38" t="str">
        <f>VLOOKUP(B4253,CAJEROS!B:E,4,0)</f>
        <v>SUCFACATA_3</v>
      </c>
      <c r="K4253" t="s">
        <v>579</v>
      </c>
    </row>
    <row r="4254" spans="1:11">
      <c r="A4254" s="32">
        <v>392</v>
      </c>
      <c r="B4254" s="33">
        <v>5265</v>
      </c>
      <c r="C4254" s="3">
        <v>50000</v>
      </c>
      <c r="D4254" s="3"/>
      <c r="E4254" s="7">
        <f t="shared" si="91"/>
        <v>50000</v>
      </c>
      <c r="F4254" s="5">
        <v>45916</v>
      </c>
      <c r="G4254" s="4">
        <v>20250915</v>
      </c>
      <c r="H4254" s="38" t="str">
        <f>VLOOKUP(B4254,CAJEROS!B:D,3,0)</f>
        <v>Dispensador</v>
      </c>
      <c r="I4254" s="34" t="s">
        <v>9</v>
      </c>
      <c r="J4254" s="38" t="str">
        <f>VLOOKUP(B4254,CAJEROS!B:E,4,0)</f>
        <v>SUC_LADORA4</v>
      </c>
      <c r="K4254" t="s">
        <v>579</v>
      </c>
    </row>
    <row r="4255" spans="1:11">
      <c r="A4255" s="32">
        <v>866</v>
      </c>
      <c r="B4255" s="33">
        <v>6260</v>
      </c>
      <c r="C4255" s="3">
        <v>100000</v>
      </c>
      <c r="D4255" s="3"/>
      <c r="E4255" s="7">
        <f t="shared" si="91"/>
        <v>100000</v>
      </c>
      <c r="F4255" s="5">
        <v>45916</v>
      </c>
      <c r="G4255" s="4">
        <v>20250915</v>
      </c>
      <c r="H4255" s="38" t="str">
        <f>VLOOKUP(B4255,CAJEROS!B:D,3,0)</f>
        <v>Dispensador</v>
      </c>
      <c r="I4255" s="34" t="s">
        <v>9</v>
      </c>
      <c r="J4255" s="38" t="str">
        <f>VLOOKUP(B4255,CAJEROS!B:E,4,0)</f>
        <v>SUC_FLORID4</v>
      </c>
      <c r="K4255" t="s">
        <v>579</v>
      </c>
    </row>
    <row r="4256" spans="1:11">
      <c r="A4256" s="32">
        <v>61</v>
      </c>
      <c r="B4256" s="33">
        <v>783</v>
      </c>
      <c r="C4256" s="3">
        <v>10000</v>
      </c>
      <c r="D4256" s="3"/>
      <c r="E4256" s="7">
        <f t="shared" si="91"/>
        <v>10000</v>
      </c>
      <c r="F4256" s="5">
        <v>45916</v>
      </c>
      <c r="G4256" s="4">
        <v>20250915</v>
      </c>
      <c r="H4256" s="38" t="str">
        <f>VLOOKUP(B4256,CAJEROS!B:D,3,0)</f>
        <v>Dispensador</v>
      </c>
      <c r="I4256" s="34" t="s">
        <v>10</v>
      </c>
      <c r="J4256" s="38" t="str">
        <f>VLOOKUP(B4256,CAJEROS!B:E,4,0)</f>
        <v>SUCLAESTAC3</v>
      </c>
      <c r="K4256" t="s">
        <v>579</v>
      </c>
    </row>
    <row r="4257" spans="1:11">
      <c r="A4257" s="32">
        <v>329</v>
      </c>
      <c r="B4257" s="33">
        <v>3291</v>
      </c>
      <c r="C4257" s="3">
        <v>20000</v>
      </c>
      <c r="D4257" s="3"/>
      <c r="E4257" s="7">
        <f t="shared" si="91"/>
        <v>20000</v>
      </c>
      <c r="F4257" s="5">
        <v>45916</v>
      </c>
      <c r="G4257" s="4">
        <v>20250915</v>
      </c>
      <c r="H4257" s="38" t="str">
        <f>VLOOKUP(B4257,CAJEROS!B:D,3,0)</f>
        <v>Dispensador</v>
      </c>
      <c r="I4257" s="34" t="s">
        <v>10</v>
      </c>
      <c r="J4257" s="38" t="str">
        <f>VLOOKUP(B4257,CAJEROS!B:E,4,0)</f>
        <v>VELEZ</v>
      </c>
      <c r="K4257" t="s">
        <v>579</v>
      </c>
    </row>
    <row r="4258" spans="1:11">
      <c r="A4258" s="32">
        <v>358</v>
      </c>
      <c r="B4258" s="33">
        <v>4499</v>
      </c>
      <c r="C4258" s="3">
        <v>10000</v>
      </c>
      <c r="D4258" s="3"/>
      <c r="E4258" s="7">
        <f t="shared" si="91"/>
        <v>10000</v>
      </c>
      <c r="F4258" s="5">
        <v>45916</v>
      </c>
      <c r="G4258" s="4">
        <v>20250915</v>
      </c>
      <c r="H4258" s="38" t="str">
        <f>VLOOKUP(B4258,CAJEROS!B:D,3,0)</f>
        <v>Dispensador</v>
      </c>
      <c r="I4258" s="34" t="s">
        <v>10</v>
      </c>
      <c r="J4258" s="38" t="str">
        <f>VLOOKUP(B4258,CAJEROS!B:E,4,0)</f>
        <v>SUC_SOGAMO1</v>
      </c>
      <c r="K4258" t="s">
        <v>579</v>
      </c>
    </row>
    <row r="4259" spans="1:11">
      <c r="A4259" s="32">
        <v>305</v>
      </c>
      <c r="B4259" s="33">
        <v>4897</v>
      </c>
      <c r="C4259" s="3">
        <v>10000</v>
      </c>
      <c r="D4259" s="3"/>
      <c r="E4259" s="7">
        <f t="shared" si="91"/>
        <v>10000</v>
      </c>
      <c r="F4259" s="5">
        <v>45916</v>
      </c>
      <c r="G4259" s="4">
        <v>20250915</v>
      </c>
      <c r="H4259" s="38" t="str">
        <f>VLOOKUP(B4259,CAJEROS!B:D,3,0)</f>
        <v>Dispensador</v>
      </c>
      <c r="I4259" s="34" t="s">
        <v>10</v>
      </c>
      <c r="J4259" s="38" t="str">
        <f>VLOOKUP(B4259,CAJEROS!B:E,4,0)</f>
        <v>SUC_VILLAN3</v>
      </c>
      <c r="K4259" t="s">
        <v>579</v>
      </c>
    </row>
    <row r="4260" spans="1:11">
      <c r="A4260" s="32">
        <v>966</v>
      </c>
      <c r="B4260" s="33">
        <v>6290</v>
      </c>
      <c r="C4260" s="3">
        <v>10000</v>
      </c>
      <c r="D4260" s="3"/>
      <c r="E4260" s="7">
        <f t="shared" si="91"/>
        <v>10000</v>
      </c>
      <c r="F4260" s="5">
        <v>45916</v>
      </c>
      <c r="G4260" s="4">
        <v>20250915</v>
      </c>
      <c r="H4260" s="38" t="str">
        <f>VLOOKUP(B4260,CAJEROS!B:D,3,0)</f>
        <v>Dispensador</v>
      </c>
      <c r="I4260" s="34" t="s">
        <v>10</v>
      </c>
      <c r="J4260" s="38" t="str">
        <f>VLOOKUP(B4260,CAJEROS!B:E,4,0)</f>
        <v>MONTELIBA_2</v>
      </c>
      <c r="K4260" t="s">
        <v>579</v>
      </c>
    </row>
    <row r="4261" spans="1:11">
      <c r="A4261" s="32">
        <v>38</v>
      </c>
      <c r="B4261" s="33">
        <v>6554</v>
      </c>
      <c r="C4261" s="3">
        <v>10000</v>
      </c>
      <c r="D4261" s="3"/>
      <c r="E4261" s="7">
        <f t="shared" si="91"/>
        <v>10000</v>
      </c>
      <c r="F4261" s="5">
        <v>45916</v>
      </c>
      <c r="G4261" s="4">
        <v>20250915</v>
      </c>
      <c r="H4261" s="38" t="str">
        <f>VLOOKUP(B4261,CAJEROS!B:D,3,0)</f>
        <v>Dispensador</v>
      </c>
      <c r="I4261" s="34" t="s">
        <v>10</v>
      </c>
      <c r="J4261" s="38" t="str">
        <f>VLOOKUP(B4261,CAJEROS!B:E,4,0)</f>
        <v>PAIPA2</v>
      </c>
      <c r="K4261" t="s">
        <v>579</v>
      </c>
    </row>
    <row r="4262" spans="1:11">
      <c r="A4262" s="32">
        <v>77</v>
      </c>
      <c r="B4262" s="33">
        <v>4853</v>
      </c>
      <c r="C4262" s="3">
        <v>490000</v>
      </c>
      <c r="D4262" s="3"/>
      <c r="E4262" s="7">
        <f t="shared" si="91"/>
        <v>490000</v>
      </c>
      <c r="F4262" s="5">
        <v>45917</v>
      </c>
      <c r="G4262" s="4">
        <v>20250916</v>
      </c>
      <c r="H4262" s="38" t="str">
        <f>VLOOKUP(B4262,CAJEROS!B:D,3,0)</f>
        <v>Dispensador</v>
      </c>
      <c r="I4262" s="34"/>
      <c r="J4262" s="38" t="str">
        <f>VLOOKUP(B4262,CAJEROS!B:E,4,0)</f>
        <v>SUC_TEQUEN1</v>
      </c>
      <c r="K4262" t="s">
        <v>579</v>
      </c>
    </row>
    <row r="4263" spans="1:11">
      <c r="A4263" s="32">
        <v>91</v>
      </c>
      <c r="B4263" s="33">
        <v>4730</v>
      </c>
      <c r="C4263" s="3">
        <v>30000</v>
      </c>
      <c r="D4263" s="3"/>
      <c r="E4263" s="7">
        <f t="shared" si="91"/>
        <v>30000</v>
      </c>
      <c r="F4263" s="5">
        <v>45917</v>
      </c>
      <c r="G4263" s="4">
        <v>20250916</v>
      </c>
      <c r="H4263" s="38" t="str">
        <f>VLOOKUP(B4263,CAJEROS!B:D,3,0)</f>
        <v>Dispensador</v>
      </c>
      <c r="I4263" s="34"/>
      <c r="J4263" s="38" t="str">
        <f>VLOOKUP(B4263,CAJEROS!B:E,4,0)</f>
        <v>MONTERIA_1</v>
      </c>
      <c r="K4263" t="s">
        <v>579</v>
      </c>
    </row>
    <row r="4264" spans="1:11">
      <c r="A4264" s="32">
        <v>91</v>
      </c>
      <c r="B4264" s="33">
        <v>4731</v>
      </c>
      <c r="C4264" s="3">
        <v>290000</v>
      </c>
      <c r="D4264" s="3"/>
      <c r="E4264" s="7">
        <f t="shared" si="91"/>
        <v>290000</v>
      </c>
      <c r="F4264" s="5">
        <v>45917</v>
      </c>
      <c r="G4264" s="4">
        <v>20250916</v>
      </c>
      <c r="H4264" s="38" t="str">
        <f>VLOOKUP(B4264,CAJEROS!B:D,3,0)</f>
        <v>Dispensador</v>
      </c>
      <c r="I4264" s="34"/>
      <c r="J4264" s="38" t="str">
        <f>VLOOKUP(B4264,CAJEROS!B:E,4,0)</f>
        <v>MONTERIA_2</v>
      </c>
      <c r="K4264" t="s">
        <v>579</v>
      </c>
    </row>
    <row r="4265" spans="1:11">
      <c r="A4265" s="32">
        <v>325</v>
      </c>
      <c r="B4265" s="33">
        <v>5574</v>
      </c>
      <c r="C4265" s="3">
        <v>70000</v>
      </c>
      <c r="D4265" s="3"/>
      <c r="E4265" s="7">
        <f t="shared" si="91"/>
        <v>70000</v>
      </c>
      <c r="F4265" s="5">
        <v>45917</v>
      </c>
      <c r="G4265" s="4">
        <v>20250916</v>
      </c>
      <c r="H4265" s="38" t="str">
        <f>VLOOKUP(B4265,CAJEROS!B:D,3,0)</f>
        <v>Dispensador</v>
      </c>
      <c r="I4265" s="34"/>
      <c r="J4265" s="38" t="str">
        <f>VLOOKUP(B4265,CAJEROS!B:E,4,0)</f>
        <v>SANTUARI1</v>
      </c>
      <c r="K4265" t="s">
        <v>579</v>
      </c>
    </row>
    <row r="4266" spans="1:11">
      <c r="A4266" s="32">
        <v>325</v>
      </c>
      <c r="B4266" s="33">
        <v>5575</v>
      </c>
      <c r="C4266" s="3">
        <v>960000</v>
      </c>
      <c r="D4266" s="3">
        <v>40000</v>
      </c>
      <c r="E4266" s="7">
        <f t="shared" si="91"/>
        <v>920000</v>
      </c>
      <c r="F4266" s="5">
        <v>45917</v>
      </c>
      <c r="G4266" s="4">
        <v>20250916</v>
      </c>
      <c r="H4266" s="38" t="str">
        <f>VLOOKUP(B4266,CAJEROS!B:D,3,0)</f>
        <v>Dispensador</v>
      </c>
      <c r="I4266" s="34"/>
      <c r="J4266" s="38" t="str">
        <f>VLOOKUP(B4266,CAJEROS!B:E,4,0)</f>
        <v>SANTUARI2</v>
      </c>
      <c r="K4266" t="s">
        <v>579</v>
      </c>
    </row>
    <row r="4267" spans="1:11">
      <c r="A4267" s="32">
        <v>384</v>
      </c>
      <c r="B4267" s="33">
        <v>3842</v>
      </c>
      <c r="C4267" s="3">
        <v>1180000</v>
      </c>
      <c r="D4267" s="3">
        <v>80000</v>
      </c>
      <c r="E4267" s="7">
        <f t="shared" si="91"/>
        <v>1100000</v>
      </c>
      <c r="F4267" s="5">
        <v>45917</v>
      </c>
      <c r="G4267" s="4">
        <v>20250916</v>
      </c>
      <c r="H4267" s="38" t="str">
        <f>VLOOKUP(B4267,CAJEROS!B:D,3,0)</f>
        <v>Dispensador</v>
      </c>
      <c r="I4267" s="34"/>
      <c r="J4267" s="38" t="str">
        <f>VLOOKUP(B4267,CAJEROS!B:E,4,0)</f>
        <v>ANAPOIMA_2</v>
      </c>
      <c r="K4267" t="s">
        <v>579</v>
      </c>
    </row>
    <row r="4268" spans="1:11">
      <c r="A4268" s="32">
        <v>395</v>
      </c>
      <c r="B4268" s="33">
        <v>1539</v>
      </c>
      <c r="C4268" s="3">
        <v>1000000</v>
      </c>
      <c r="D4268" s="3"/>
      <c r="E4268" s="7">
        <f t="shared" si="91"/>
        <v>1000000</v>
      </c>
      <c r="F4268" s="5">
        <v>45917</v>
      </c>
      <c r="G4268" s="4">
        <v>20250916</v>
      </c>
      <c r="H4268" s="38" t="str">
        <f>VLOOKUP(B4268,CAJEROS!B:D,3,0)</f>
        <v>Dispensador</v>
      </c>
      <c r="I4268" s="34"/>
      <c r="J4268" s="38" t="str">
        <f>VLOOKUP(B4268,CAJEROS!B:E,4,0)</f>
        <v>SUCVIVAVCI8</v>
      </c>
      <c r="K4268" t="s">
        <v>579</v>
      </c>
    </row>
    <row r="4269" spans="1:11">
      <c r="A4269" s="32">
        <v>438</v>
      </c>
      <c r="B4269" s="33">
        <v>4380</v>
      </c>
      <c r="C4269" s="3">
        <v>1640000</v>
      </c>
      <c r="D4269" s="3">
        <v>500000</v>
      </c>
      <c r="E4269" s="7">
        <f t="shared" si="91"/>
        <v>1140000</v>
      </c>
      <c r="F4269" s="5">
        <v>45917</v>
      </c>
      <c r="G4269" s="4">
        <v>20250916</v>
      </c>
      <c r="H4269" s="38" t="str">
        <f>VLOOKUP(B4269,CAJEROS!B:D,3,0)</f>
        <v>Dispensador</v>
      </c>
      <c r="I4269" s="34"/>
      <c r="J4269" s="38" t="str">
        <f>VLOOKUP(B4269,CAJEROS!B:E,4,0)</f>
        <v>ANDES</v>
      </c>
      <c r="K4269" t="s">
        <v>579</v>
      </c>
    </row>
    <row r="4270" spans="1:11">
      <c r="A4270" s="32">
        <v>455</v>
      </c>
      <c r="B4270" s="33">
        <v>5974</v>
      </c>
      <c r="C4270" s="3">
        <v>2590000</v>
      </c>
      <c r="D4270" s="3">
        <v>770000</v>
      </c>
      <c r="E4270" s="7">
        <f t="shared" si="91"/>
        <v>1820000</v>
      </c>
      <c r="F4270" s="5">
        <v>45917</v>
      </c>
      <c r="G4270" s="4">
        <v>20250916</v>
      </c>
      <c r="H4270" s="38" t="str">
        <f>VLOOKUP(B4270,CAJEROS!B:D,3,0)</f>
        <v>Dispensador</v>
      </c>
      <c r="I4270" s="34"/>
      <c r="J4270" s="38" t="str">
        <f>VLOOKUP(B4270,CAJEROS!B:E,4,0)</f>
        <v>SUC_CEIBAS1</v>
      </c>
      <c r="K4270" t="s">
        <v>579</v>
      </c>
    </row>
    <row r="4271" spans="1:11">
      <c r="A4271" s="32">
        <v>537</v>
      </c>
      <c r="B4271" s="33">
        <v>5370</v>
      </c>
      <c r="C4271" s="3">
        <v>100000</v>
      </c>
      <c r="D4271" s="3"/>
      <c r="E4271" s="7">
        <f t="shared" si="91"/>
        <v>100000</v>
      </c>
      <c r="F4271" s="5">
        <v>45917</v>
      </c>
      <c r="G4271" s="4">
        <v>20250916</v>
      </c>
      <c r="H4271" s="38" t="str">
        <f>VLOOKUP(B4271,CAJEROS!B:D,3,0)</f>
        <v>Dispensador</v>
      </c>
      <c r="I4271" s="34"/>
      <c r="J4271" s="38" t="str">
        <f>VLOOKUP(B4271,CAJEROS!B:E,4,0)</f>
        <v>ENTRERRIOS</v>
      </c>
      <c r="K4271" t="s">
        <v>579</v>
      </c>
    </row>
    <row r="4272" spans="1:11">
      <c r="A4272" s="32">
        <v>733</v>
      </c>
      <c r="B4272" s="33">
        <v>5337</v>
      </c>
      <c r="C4272" s="3">
        <v>5350000</v>
      </c>
      <c r="D4272" s="3"/>
      <c r="E4272" s="7">
        <f t="shared" si="91"/>
        <v>5350000</v>
      </c>
      <c r="F4272" s="5">
        <v>45917</v>
      </c>
      <c r="G4272" s="4">
        <v>20250916</v>
      </c>
      <c r="H4272" s="38" t="str">
        <f>VLOOKUP(B4272,CAJEROS!B:D,3,0)</f>
        <v>Dispensador</v>
      </c>
      <c r="I4272" s="34"/>
      <c r="J4272" s="38" t="str">
        <f>VLOOKUP(B4272,CAJEROS!B:E,4,0)</f>
        <v>LAUNIONVAL1</v>
      </c>
      <c r="K4272" t="s">
        <v>579</v>
      </c>
    </row>
    <row r="4273" spans="1:11">
      <c r="A4273" s="32">
        <v>769</v>
      </c>
      <c r="B4273" s="33">
        <v>8675</v>
      </c>
      <c r="C4273" s="3">
        <v>290000</v>
      </c>
      <c r="D4273" s="3"/>
      <c r="E4273" s="7">
        <f t="shared" si="91"/>
        <v>290000</v>
      </c>
      <c r="F4273" s="5">
        <v>45917</v>
      </c>
      <c r="G4273" s="4">
        <v>20250916</v>
      </c>
      <c r="H4273" s="38" t="str">
        <f>VLOOKUP(B4273,CAJEROS!B:D,3,0)</f>
        <v>Dispensador</v>
      </c>
      <c r="I4273" s="34"/>
      <c r="J4273" s="38" t="str">
        <f>VLOOKUP(B4273,CAJEROS!B:E,4,0)</f>
        <v>SUCPORPRAD4</v>
      </c>
      <c r="K4273" t="s">
        <v>579</v>
      </c>
    </row>
    <row r="4274" spans="1:11">
      <c r="A4274" s="32">
        <v>38</v>
      </c>
      <c r="B4274" s="33">
        <v>6553</v>
      </c>
      <c r="C4274" s="3">
        <v>200000</v>
      </c>
      <c r="D4274" s="3">
        <v>150000</v>
      </c>
      <c r="E4274" s="7">
        <f t="shared" si="91"/>
        <v>50000</v>
      </c>
      <c r="F4274" s="5">
        <v>45917</v>
      </c>
      <c r="G4274" s="4">
        <v>20250916</v>
      </c>
      <c r="H4274" s="38" t="str">
        <f>VLOOKUP(B4274,CAJEROS!B:D,3,0)</f>
        <v>Dispensador</v>
      </c>
      <c r="I4274" s="34" t="s">
        <v>9</v>
      </c>
      <c r="J4274" s="38" t="str">
        <f>VLOOKUP(B4274,CAJEROS!B:E,4,0)</f>
        <v>PAIPA1</v>
      </c>
      <c r="K4274" t="s">
        <v>579</v>
      </c>
    </row>
    <row r="4275" spans="1:11">
      <c r="A4275" s="32">
        <v>96</v>
      </c>
      <c r="B4275" s="33">
        <v>1036</v>
      </c>
      <c r="C4275" s="3">
        <v>100000</v>
      </c>
      <c r="D4275" s="3"/>
      <c r="E4275" s="7">
        <f t="shared" si="91"/>
        <v>100000</v>
      </c>
      <c r="F4275" s="5">
        <v>45917</v>
      </c>
      <c r="G4275" s="4">
        <v>20250916</v>
      </c>
      <c r="H4275" s="38" t="str">
        <f>VLOOKUP(B4275,CAJEROS!B:D,3,0)</f>
        <v>Dispensador</v>
      </c>
      <c r="I4275" s="34" t="s">
        <v>9</v>
      </c>
      <c r="J4275" s="38" t="str">
        <f>VLOOKUP(B4275,CAJEROS!B:E,4,0)</f>
        <v>SUC_MAICAO2</v>
      </c>
      <c r="K4275" t="s">
        <v>579</v>
      </c>
    </row>
    <row r="4276" spans="1:11">
      <c r="A4276" s="32">
        <v>153</v>
      </c>
      <c r="B4276" s="33">
        <v>9882</v>
      </c>
      <c r="C4276" s="3">
        <v>100000</v>
      </c>
      <c r="D4276" s="3"/>
      <c r="E4276" s="7">
        <f t="shared" si="91"/>
        <v>100000</v>
      </c>
      <c r="F4276" s="5">
        <v>45917</v>
      </c>
      <c r="G4276" s="4">
        <v>20250916</v>
      </c>
      <c r="H4276" s="38" t="str">
        <f>VLOOKUP(B4276,CAJEROS!B:D,3,0)</f>
        <v>Dispensador</v>
      </c>
      <c r="I4276" s="34" t="s">
        <v>9</v>
      </c>
      <c r="J4276" s="38" t="str">
        <f>VLOOKUP(B4276,CAJEROS!B:E,4,0)</f>
        <v>EXITOIBAG_4</v>
      </c>
      <c r="K4276" t="s">
        <v>579</v>
      </c>
    </row>
    <row r="4277" spans="1:11">
      <c r="A4277" s="32">
        <v>159</v>
      </c>
      <c r="B4277" s="33">
        <v>1143</v>
      </c>
      <c r="C4277" s="3">
        <v>100000</v>
      </c>
      <c r="D4277" s="3"/>
      <c r="E4277" s="7">
        <f t="shared" si="91"/>
        <v>100000</v>
      </c>
      <c r="F4277" s="5">
        <v>45917</v>
      </c>
      <c r="G4277" s="4">
        <v>20250916</v>
      </c>
      <c r="H4277" s="38" t="str">
        <f>VLOOKUP(B4277,CAJEROS!B:D,3,0)</f>
        <v>Dispensador</v>
      </c>
      <c r="I4277" s="34" t="s">
        <v>9</v>
      </c>
      <c r="J4277" s="38" t="str">
        <f>VLOOKUP(B4277,CAJEROS!B:E,4,0)</f>
        <v>FUNZA2</v>
      </c>
      <c r="K4277" t="s">
        <v>579</v>
      </c>
    </row>
    <row r="4278" spans="1:11">
      <c r="A4278" s="32">
        <v>348</v>
      </c>
      <c r="B4278" s="33">
        <v>9007</v>
      </c>
      <c r="C4278" s="3">
        <v>50000</v>
      </c>
      <c r="D4278" s="3"/>
      <c r="E4278" s="7">
        <f t="shared" si="91"/>
        <v>50000</v>
      </c>
      <c r="F4278" s="5">
        <v>45917</v>
      </c>
      <c r="G4278" s="4">
        <v>20250916</v>
      </c>
      <c r="H4278" s="38" t="str">
        <f>VLOOKUP(B4278,CAJEROS!B:D,3,0)</f>
        <v>Dispensador</v>
      </c>
      <c r="I4278" s="34" t="s">
        <v>9</v>
      </c>
      <c r="J4278" s="38" t="str">
        <f>VLOOKUP(B4278,CAJEROS!B:E,4,0)</f>
        <v>SUCSANDRES7</v>
      </c>
      <c r="K4278" t="s">
        <v>579</v>
      </c>
    </row>
    <row r="4279" spans="1:11">
      <c r="A4279" s="32">
        <v>426</v>
      </c>
      <c r="B4279" s="33">
        <v>7819</v>
      </c>
      <c r="C4279" s="3">
        <v>50000</v>
      </c>
      <c r="D4279" s="3"/>
      <c r="E4279" s="7">
        <f t="shared" si="91"/>
        <v>50000</v>
      </c>
      <c r="F4279" s="5">
        <v>45917</v>
      </c>
      <c r="G4279" s="4">
        <v>20250916</v>
      </c>
      <c r="H4279" s="38" t="str">
        <f>VLOOKUP(B4279,CAJEROS!B:D,3,0)</f>
        <v>Dispensador</v>
      </c>
      <c r="I4279" s="34" t="s">
        <v>9</v>
      </c>
      <c r="J4279" s="38" t="str">
        <f>VLOOKUP(B4279,CAJEROS!B:E,4,0)</f>
        <v>PURIFICACI2</v>
      </c>
      <c r="K4279" t="s">
        <v>579</v>
      </c>
    </row>
    <row r="4280" spans="1:11">
      <c r="A4280" s="32">
        <v>473</v>
      </c>
      <c r="B4280" s="33">
        <v>3442</v>
      </c>
      <c r="C4280" s="3">
        <v>1330000</v>
      </c>
      <c r="D4280" s="3">
        <f>580000+720000</f>
        <v>1300000</v>
      </c>
      <c r="E4280" s="7">
        <f t="shared" si="91"/>
        <v>30000</v>
      </c>
      <c r="F4280" s="5">
        <v>45917</v>
      </c>
      <c r="G4280" s="4">
        <v>20250916</v>
      </c>
      <c r="H4280" s="38" t="str">
        <f>VLOOKUP(B4280,CAJEROS!B:D,3,0)</f>
        <v>Dispensador</v>
      </c>
      <c r="I4280" s="34" t="s">
        <v>9</v>
      </c>
      <c r="J4280" s="38" t="str">
        <f>VLOOKUP(B4280,CAJEROS!B:E,4,0)</f>
        <v>VICAGUAN2</v>
      </c>
      <c r="K4280" t="s">
        <v>579</v>
      </c>
    </row>
    <row r="4281" spans="1:11">
      <c r="A4281" s="32">
        <v>513</v>
      </c>
      <c r="B4281" s="33">
        <v>5130</v>
      </c>
      <c r="C4281" s="3">
        <v>30000</v>
      </c>
      <c r="D4281" s="3"/>
      <c r="E4281" s="7">
        <f t="shared" si="91"/>
        <v>30000</v>
      </c>
      <c r="F4281" s="5">
        <v>45917</v>
      </c>
      <c r="G4281" s="4">
        <v>20250916</v>
      </c>
      <c r="H4281" s="38" t="str">
        <f>VLOOKUP(B4281,CAJEROS!B:D,3,0)</f>
        <v>Dispensador</v>
      </c>
      <c r="I4281" s="34" t="s">
        <v>9</v>
      </c>
      <c r="J4281" s="38" t="str">
        <f>VLOOKUP(B4281,CAJEROS!B:E,4,0)</f>
        <v>SUC_AGUARI2</v>
      </c>
      <c r="K4281" t="s">
        <v>579</v>
      </c>
    </row>
    <row r="4282" spans="1:11">
      <c r="A4282" s="32">
        <v>705</v>
      </c>
      <c r="B4282" s="33">
        <v>4151</v>
      </c>
      <c r="C4282" s="3">
        <v>100000</v>
      </c>
      <c r="D4282" s="3"/>
      <c r="E4282" s="7">
        <f t="shared" si="91"/>
        <v>100000</v>
      </c>
      <c r="F4282" s="5">
        <v>45917</v>
      </c>
      <c r="G4282" s="4">
        <v>20250916</v>
      </c>
      <c r="H4282" s="38" t="str">
        <f>VLOOKUP(B4282,CAJEROS!B:D,3,0)</f>
        <v>Dispensador</v>
      </c>
      <c r="I4282" s="34" t="s">
        <v>9</v>
      </c>
      <c r="J4282" s="38" t="str">
        <f>VLOOKUP(B4282,CAJEROS!B:E,4,0)</f>
        <v>SUC_BAGRE1</v>
      </c>
      <c r="K4282" t="s">
        <v>579</v>
      </c>
    </row>
    <row r="4283" spans="1:11">
      <c r="A4283" s="32">
        <v>829</v>
      </c>
      <c r="B4283" s="33">
        <v>1157</v>
      </c>
      <c r="C4283" s="3">
        <v>30000</v>
      </c>
      <c r="D4283" s="3"/>
      <c r="E4283" s="7">
        <f t="shared" si="91"/>
        <v>30000</v>
      </c>
      <c r="F4283" s="5">
        <v>45917</v>
      </c>
      <c r="G4283" s="4">
        <v>20250916</v>
      </c>
      <c r="H4283" s="38" t="str">
        <f>VLOOKUP(B4283,CAJEROS!B:D,3,0)</f>
        <v>Dispensador</v>
      </c>
      <c r="I4283" s="34" t="s">
        <v>9</v>
      </c>
      <c r="J4283" s="38" t="str">
        <f>VLOOKUP(B4283,CAJEROS!B:E,4,0)</f>
        <v>SUCUNICCAL3</v>
      </c>
      <c r="K4283" t="s">
        <v>579</v>
      </c>
    </row>
    <row r="4284" spans="1:11">
      <c r="A4284" s="32">
        <v>844</v>
      </c>
      <c r="B4284" s="33">
        <v>6157</v>
      </c>
      <c r="C4284" s="3">
        <v>140000</v>
      </c>
      <c r="D4284" s="3"/>
      <c r="E4284" s="7">
        <f t="shared" si="91"/>
        <v>140000</v>
      </c>
      <c r="F4284" s="5">
        <v>45917</v>
      </c>
      <c r="G4284" s="4">
        <v>20250916</v>
      </c>
      <c r="H4284" s="38" t="str">
        <f>VLOOKUP(B4284,CAJEROS!B:D,3,0)</f>
        <v>Dispensador</v>
      </c>
      <c r="I4284" s="34" t="s">
        <v>9</v>
      </c>
      <c r="J4284" s="38" t="str">
        <f>VLOOKUP(B4284,CAJEROS!B:E,4,0)</f>
        <v>SUCCCPRIMA3</v>
      </c>
      <c r="K4284" t="s">
        <v>579</v>
      </c>
    </row>
    <row r="4285" spans="1:11">
      <c r="A4285" s="32">
        <v>882</v>
      </c>
      <c r="B4285" s="33">
        <v>3510</v>
      </c>
      <c r="C4285" s="3">
        <v>50000</v>
      </c>
      <c r="D4285" s="3"/>
      <c r="E4285" s="7">
        <f t="shared" si="91"/>
        <v>50000</v>
      </c>
      <c r="F4285" s="5">
        <v>45917</v>
      </c>
      <c r="G4285" s="4">
        <v>20250916</v>
      </c>
      <c r="H4285" s="38" t="str">
        <f>VLOOKUP(B4285,CAJEROS!B:D,3,0)</f>
        <v>Dispensador</v>
      </c>
      <c r="I4285" s="34" t="s">
        <v>9</v>
      </c>
      <c r="J4285" s="38" t="str">
        <f>VLOOKUP(B4285,CAJEROS!B:E,4,0)</f>
        <v>LIBERTADOR1</v>
      </c>
      <c r="K4285" t="s">
        <v>579</v>
      </c>
    </row>
    <row r="4286" spans="1:11">
      <c r="A4286" s="32">
        <v>943</v>
      </c>
      <c r="B4286" s="33">
        <v>7348</v>
      </c>
      <c r="C4286" s="3">
        <v>100000</v>
      </c>
      <c r="D4286" s="3"/>
      <c r="E4286" s="7">
        <f t="shared" si="91"/>
        <v>100000</v>
      </c>
      <c r="F4286" s="5">
        <v>45917</v>
      </c>
      <c r="G4286" s="4">
        <v>20250916</v>
      </c>
      <c r="H4286" s="38" t="str">
        <f>VLOOKUP(B4286,CAJEROS!B:D,3,0)</f>
        <v>Dispensador</v>
      </c>
      <c r="I4286" s="34" t="s">
        <v>9</v>
      </c>
      <c r="J4286" s="38" t="str">
        <f>VLOOKUP(B4286,CAJEROS!B:E,4,0)</f>
        <v>LETICIA_3</v>
      </c>
      <c r="K4286" t="s">
        <v>579</v>
      </c>
    </row>
    <row r="4287" spans="1:11">
      <c r="A4287" s="32">
        <v>944</v>
      </c>
      <c r="B4287" s="33">
        <v>8356</v>
      </c>
      <c r="C4287" s="3">
        <v>1500000</v>
      </c>
      <c r="D4287" s="3">
        <v>1000000</v>
      </c>
      <c r="E4287" s="7">
        <f t="shared" si="91"/>
        <v>500000</v>
      </c>
      <c r="F4287" s="5">
        <v>45917</v>
      </c>
      <c r="G4287" s="4">
        <v>20250916</v>
      </c>
      <c r="H4287" s="38" t="str">
        <f>VLOOKUP(B4287,CAJEROS!B:D,3,0)</f>
        <v>Dispensador</v>
      </c>
      <c r="I4287" s="34" t="s">
        <v>9</v>
      </c>
      <c r="J4287" s="38" t="str">
        <f>VLOOKUP(B4287,CAJEROS!B:E,4,0)</f>
        <v>SUCSANTABO2</v>
      </c>
      <c r="K4287" t="s">
        <v>579</v>
      </c>
    </row>
    <row r="4288" spans="1:11">
      <c r="A4288" s="32">
        <v>60</v>
      </c>
      <c r="B4288" s="33">
        <v>8728</v>
      </c>
      <c r="C4288" s="3">
        <v>6188400</v>
      </c>
      <c r="D4288" s="3"/>
      <c r="E4288" s="7">
        <f t="shared" si="91"/>
        <v>6188400</v>
      </c>
      <c r="F4288" s="5">
        <v>45917</v>
      </c>
      <c r="G4288" s="4">
        <v>20250916</v>
      </c>
      <c r="H4288" s="38" t="str">
        <f>VLOOKUP(B4288,CAJEROS!B:D,3,0)</f>
        <v>Multifuncional</v>
      </c>
      <c r="I4288" s="34"/>
      <c r="J4288" s="38" t="str">
        <f>VLOOKUP(B4288,CAJEROS!B:E,4,0)</f>
        <v>MF_HCALIPR2</v>
      </c>
      <c r="K4288" t="s">
        <v>579</v>
      </c>
    </row>
    <row r="4289" spans="1:11">
      <c r="A4289" s="32">
        <v>73</v>
      </c>
      <c r="B4289" s="33">
        <v>5108</v>
      </c>
      <c r="C4289" s="3">
        <v>9830000</v>
      </c>
      <c r="D4289" s="3"/>
      <c r="E4289" s="7">
        <f t="shared" si="91"/>
        <v>9830000</v>
      </c>
      <c r="F4289" s="5">
        <v>45917</v>
      </c>
      <c r="G4289" s="4">
        <v>20250916</v>
      </c>
      <c r="H4289" s="38" t="str">
        <f>VLOOKUP(B4289,CAJEROS!B:D,3,0)</f>
        <v>Multifuncional</v>
      </c>
      <c r="I4289" s="34"/>
      <c r="J4289" s="38" t="str">
        <f>VLOOKUP(B4289,CAJEROS!B:E,4,0)</f>
        <v>MF_PEREIRA</v>
      </c>
      <c r="K4289" t="s">
        <v>579</v>
      </c>
    </row>
    <row r="4290" spans="1:11">
      <c r="A4290" s="32">
        <v>91</v>
      </c>
      <c r="B4290" s="33">
        <v>7943</v>
      </c>
      <c r="C4290" s="3">
        <v>3681950</v>
      </c>
      <c r="D4290" s="3"/>
      <c r="E4290" s="7">
        <f t="shared" si="91"/>
        <v>3681950</v>
      </c>
      <c r="F4290" s="5">
        <v>45917</v>
      </c>
      <c r="G4290" s="4">
        <v>20250916</v>
      </c>
      <c r="H4290" s="38" t="str">
        <f>VLOOKUP(B4290,CAJEROS!B:D,3,0)</f>
        <v>Multifuncional</v>
      </c>
      <c r="I4290" s="34"/>
      <c r="J4290" s="38" t="str">
        <f>VLOOKUP(B4290,CAJEROS!B:E,4,0)</f>
        <v>MF_MONTERI2</v>
      </c>
      <c r="K4290" t="s">
        <v>579</v>
      </c>
    </row>
    <row r="4291" spans="1:11">
      <c r="A4291" s="32">
        <v>167</v>
      </c>
      <c r="B4291" s="33">
        <v>5030</v>
      </c>
      <c r="C4291" s="3">
        <v>2500</v>
      </c>
      <c r="D4291" s="3"/>
      <c r="E4291" s="7">
        <f t="shared" si="91"/>
        <v>2500</v>
      </c>
      <c r="F4291" s="5">
        <v>45917</v>
      </c>
      <c r="G4291" s="4">
        <v>20250916</v>
      </c>
      <c r="H4291" s="38" t="str">
        <f>VLOOKUP(B4291,CAJEROS!B:D,3,0)</f>
        <v>Multifuncional</v>
      </c>
      <c r="I4291" s="34"/>
      <c r="J4291" s="38" t="str">
        <f>VLOOKUP(B4291,CAJEROS!B:E,4,0)</f>
        <v>MF_AVENID82</v>
      </c>
      <c r="K4291" t="s">
        <v>579</v>
      </c>
    </row>
    <row r="4292" spans="1:11">
      <c r="A4292" s="32">
        <v>172</v>
      </c>
      <c r="B4292" s="33">
        <v>7429</v>
      </c>
      <c r="C4292" s="3">
        <v>11950</v>
      </c>
      <c r="D4292" s="3"/>
      <c r="E4292" s="7">
        <f t="shared" si="91"/>
        <v>11950</v>
      </c>
      <c r="F4292" s="5">
        <v>45917</v>
      </c>
      <c r="G4292" s="4">
        <v>20250916</v>
      </c>
      <c r="H4292" s="38" t="str">
        <f>VLOOKUP(B4292,CAJEROS!B:D,3,0)</f>
        <v>Multifuncional</v>
      </c>
      <c r="I4292" s="34"/>
      <c r="J4292" s="38" t="str">
        <f>VLOOKUP(B4292,CAJEROS!B:E,4,0)</f>
        <v>MF_TELEPORT</v>
      </c>
      <c r="K4292" t="s">
        <v>579</v>
      </c>
    </row>
    <row r="4293" spans="1:11">
      <c r="A4293" s="32">
        <v>265</v>
      </c>
      <c r="B4293" s="33">
        <v>5083</v>
      </c>
      <c r="C4293" s="3">
        <v>10500000</v>
      </c>
      <c r="D4293" s="3">
        <f>505000+4645000+4034000</f>
        <v>9184000</v>
      </c>
      <c r="E4293" s="7">
        <f t="shared" si="91"/>
        <v>1316000</v>
      </c>
      <c r="F4293" s="5">
        <v>45917</v>
      </c>
      <c r="G4293" s="4">
        <v>20250916</v>
      </c>
      <c r="H4293" s="38" t="str">
        <f>VLOOKUP(B4293,CAJEROS!B:D,3,0)</f>
        <v>Multifuncional</v>
      </c>
      <c r="I4293" s="34"/>
      <c r="J4293" s="38" t="str">
        <f>VLOOKUP(B4293,CAJEROS!B:E,4,0)</f>
        <v>MF_VALLELIL</v>
      </c>
      <c r="K4293" t="s">
        <v>579</v>
      </c>
    </row>
    <row r="4294" spans="1:11">
      <c r="A4294" s="32">
        <v>300</v>
      </c>
      <c r="B4294" s="33">
        <v>5139</v>
      </c>
      <c r="C4294" s="3">
        <v>41000</v>
      </c>
      <c r="D4294" s="3"/>
      <c r="E4294" s="7">
        <f t="shared" si="91"/>
        <v>41000</v>
      </c>
      <c r="F4294" s="5">
        <v>45917</v>
      </c>
      <c r="G4294" s="4">
        <v>20250916</v>
      </c>
      <c r="H4294" s="38" t="str">
        <f>VLOOKUP(B4294,CAJEROS!B:D,3,0)</f>
        <v>Multifuncional</v>
      </c>
      <c r="I4294" s="34"/>
      <c r="J4294" s="38" t="str">
        <f>VLOOKUP(B4294,CAJEROS!B:E,4,0)</f>
        <v>MF_AUTOP98</v>
      </c>
      <c r="K4294" t="s">
        <v>579</v>
      </c>
    </row>
    <row r="4295" spans="1:11">
      <c r="A4295" s="32">
        <v>442</v>
      </c>
      <c r="B4295" s="33">
        <v>8887</v>
      </c>
      <c r="C4295" s="3">
        <v>65000</v>
      </c>
      <c r="D4295" s="3"/>
      <c r="E4295" s="7">
        <f t="shared" si="91"/>
        <v>65000</v>
      </c>
      <c r="F4295" s="5">
        <v>45917</v>
      </c>
      <c r="G4295" s="4">
        <v>20250916</v>
      </c>
      <c r="H4295" s="38" t="str">
        <f>VLOOKUP(B4295,CAJEROS!B:D,3,0)</f>
        <v>Multifuncional</v>
      </c>
      <c r="I4295" s="34"/>
      <c r="J4295" s="38" t="str">
        <f>VLOOKUP(B4295,CAJEROS!B:E,4,0)</f>
        <v>MFVIVABQUI1</v>
      </c>
      <c r="K4295" t="s">
        <v>579</v>
      </c>
    </row>
    <row r="4296" spans="1:11">
      <c r="A4296" s="32">
        <v>455</v>
      </c>
      <c r="B4296" s="33">
        <v>5206</v>
      </c>
      <c r="C4296" s="3">
        <v>4273250</v>
      </c>
      <c r="D4296" s="3"/>
      <c r="E4296" s="7">
        <f t="shared" si="91"/>
        <v>4273250</v>
      </c>
      <c r="F4296" s="5">
        <v>45917</v>
      </c>
      <c r="G4296" s="4">
        <v>20250916</v>
      </c>
      <c r="H4296" s="38" t="str">
        <f>VLOOKUP(B4296,CAJEROS!B:D,3,0)</f>
        <v>Multifuncional</v>
      </c>
      <c r="I4296" s="34"/>
      <c r="J4296" s="38" t="str">
        <f>VLOOKUP(B4296,CAJEROS!B:E,4,0)</f>
        <v>MF_CEIBAS1</v>
      </c>
      <c r="K4296" t="s">
        <v>579</v>
      </c>
    </row>
    <row r="4297" spans="1:11">
      <c r="A4297" s="32">
        <v>467</v>
      </c>
      <c r="B4297" s="33">
        <v>9052</v>
      </c>
      <c r="C4297" s="3">
        <v>43199800</v>
      </c>
      <c r="D4297" s="3">
        <f>35000000+570000+1468000</f>
        <v>37038000</v>
      </c>
      <c r="E4297" s="7">
        <f t="shared" si="91"/>
        <v>6161800</v>
      </c>
      <c r="F4297" s="5">
        <v>45917</v>
      </c>
      <c r="G4297" s="4">
        <v>20250916</v>
      </c>
      <c r="H4297" s="38" t="str">
        <f>VLOOKUP(B4297,CAJEROS!B:D,3,0)</f>
        <v>Multifuncional</v>
      </c>
      <c r="I4297" s="34"/>
      <c r="J4297" s="38" t="str">
        <f>VLOOKUP(B4297,CAJEROS!B:E,4,0)</f>
        <v>MFHDVERPLZ2</v>
      </c>
      <c r="K4297" t="s">
        <v>579</v>
      </c>
    </row>
    <row r="4298" spans="1:11">
      <c r="A4298" s="32">
        <v>481</v>
      </c>
      <c r="B4298" s="33">
        <v>1011</v>
      </c>
      <c r="C4298" s="3">
        <v>5300000</v>
      </c>
      <c r="D4298" s="3"/>
      <c r="E4298" s="7">
        <f t="shared" si="91"/>
        <v>5300000</v>
      </c>
      <c r="F4298" s="5">
        <v>45917</v>
      </c>
      <c r="G4298" s="4">
        <v>20250916</v>
      </c>
      <c r="H4298" s="38" t="str">
        <f>VLOOKUP(B4298,CAJEROS!B:D,3,0)</f>
        <v>Multifuncional</v>
      </c>
      <c r="I4298" s="34"/>
      <c r="J4298" s="38" t="str">
        <f>VLOOKUP(B4298,CAJEROS!B:E,4,0)</f>
        <v>MF_SOLEDAD2</v>
      </c>
      <c r="K4298" t="s">
        <v>579</v>
      </c>
    </row>
    <row r="4299" spans="1:11">
      <c r="A4299" s="32">
        <v>499</v>
      </c>
      <c r="B4299" s="33">
        <v>9810</v>
      </c>
      <c r="C4299" s="3">
        <v>3340500</v>
      </c>
      <c r="D4299" s="3"/>
      <c r="E4299" s="7">
        <f t="shared" si="91"/>
        <v>3340500</v>
      </c>
      <c r="F4299" s="5">
        <v>45917</v>
      </c>
      <c r="G4299" s="4">
        <v>20250916</v>
      </c>
      <c r="H4299" s="38" t="str">
        <f>VLOOKUP(B4299,CAJEROS!B:D,3,0)</f>
        <v>Multifuncional</v>
      </c>
      <c r="I4299" s="34"/>
      <c r="J4299" s="38" t="str">
        <f>VLOOKUP(B4299,CAJEROS!B:E,4,0)</f>
        <v>MF_SUCPARF1</v>
      </c>
      <c r="K4299" t="s">
        <v>579</v>
      </c>
    </row>
    <row r="4300" spans="1:11">
      <c r="A4300" s="32">
        <v>569</v>
      </c>
      <c r="B4300" s="33">
        <v>8129</v>
      </c>
      <c r="C4300" s="3">
        <v>6303900</v>
      </c>
      <c r="D4300" s="3">
        <v>702000</v>
      </c>
      <c r="E4300" s="7">
        <f t="shared" si="91"/>
        <v>5601900</v>
      </c>
      <c r="F4300" s="5">
        <v>45917</v>
      </c>
      <c r="G4300" s="4">
        <v>20250916</v>
      </c>
      <c r="H4300" s="38" t="str">
        <f>VLOOKUP(B4300,CAJEROS!B:D,3,0)</f>
        <v>Multifuncional</v>
      </c>
      <c r="I4300" s="34"/>
      <c r="J4300" s="38" t="str">
        <f>VLOOKUP(B4300,CAJEROS!B:E,4,0)</f>
        <v>MF_BUENMON2</v>
      </c>
      <c r="K4300" t="s">
        <v>579</v>
      </c>
    </row>
    <row r="4301" spans="1:11">
      <c r="A4301" s="32">
        <v>601</v>
      </c>
      <c r="B4301" s="33">
        <v>6407</v>
      </c>
      <c r="C4301" s="3">
        <v>38852700</v>
      </c>
      <c r="D4301" s="3"/>
      <c r="E4301" s="7">
        <f t="shared" si="91"/>
        <v>38852700</v>
      </c>
      <c r="F4301" s="5">
        <v>45917</v>
      </c>
      <c r="G4301" s="4">
        <v>20250916</v>
      </c>
      <c r="H4301" s="38" t="str">
        <f>VLOOKUP(B4301,CAJEROS!B:D,3,0)</f>
        <v>Multifuncional</v>
      </c>
      <c r="I4301" s="34"/>
      <c r="J4301" s="38" t="str">
        <f>VLOOKUP(B4301,CAJEROS!B:E,4,0)</f>
        <v>MF_COLINACA</v>
      </c>
      <c r="K4301" t="s">
        <v>579</v>
      </c>
    </row>
    <row r="4302" spans="1:11">
      <c r="A4302" s="32">
        <v>609</v>
      </c>
      <c r="B4302" s="33">
        <v>7888</v>
      </c>
      <c r="C4302" s="3">
        <v>21570000</v>
      </c>
      <c r="D4302" s="3"/>
      <c r="E4302" s="7">
        <f t="shared" si="91"/>
        <v>21570000</v>
      </c>
      <c r="F4302" s="5">
        <v>45917</v>
      </c>
      <c r="G4302" s="4">
        <v>20250916</v>
      </c>
      <c r="H4302" s="38" t="str">
        <f>VLOOKUP(B4302,CAJEROS!B:D,3,0)</f>
        <v>Multifuncional</v>
      </c>
      <c r="I4302" s="34"/>
      <c r="J4302" s="38" t="str">
        <f>VLOOKUP(B4302,CAJEROS!B:E,4,0)</f>
        <v>MFSUCABAST2</v>
      </c>
      <c r="K4302" t="s">
        <v>579</v>
      </c>
    </row>
    <row r="4303" spans="1:11">
      <c r="A4303" s="32">
        <v>692</v>
      </c>
      <c r="B4303" s="33">
        <v>1516</v>
      </c>
      <c r="C4303" s="3">
        <v>10000000</v>
      </c>
      <c r="D4303" s="3"/>
      <c r="E4303" s="7">
        <f t="shared" si="91"/>
        <v>10000000</v>
      </c>
      <c r="F4303" s="5">
        <v>45917</v>
      </c>
      <c r="G4303" s="4">
        <v>20250916</v>
      </c>
      <c r="H4303" s="38" t="str">
        <f>VLOOKUP(B4303,CAJEROS!B:D,3,0)</f>
        <v>Multifuncional</v>
      </c>
      <c r="I4303" s="34"/>
      <c r="J4303" s="38" t="str">
        <f>VLOOKUP(B4303,CAJEROS!B:E,4,0)</f>
        <v>MFSUCALTPR2</v>
      </c>
      <c r="K4303" t="s">
        <v>579</v>
      </c>
    </row>
    <row r="4304" spans="1:11">
      <c r="A4304" s="32">
        <v>721</v>
      </c>
      <c r="B4304" s="33">
        <v>8896</v>
      </c>
      <c r="C4304" s="3">
        <v>6133050</v>
      </c>
      <c r="D4304" s="3"/>
      <c r="E4304" s="7">
        <f t="shared" si="91"/>
        <v>6133050</v>
      </c>
      <c r="F4304" s="5">
        <v>45917</v>
      </c>
      <c r="G4304" s="4">
        <v>20250916</v>
      </c>
      <c r="H4304" s="38" t="str">
        <f>VLOOKUP(B4304,CAJEROS!B:D,3,0)</f>
        <v>Multifuncional</v>
      </c>
      <c r="I4304" s="34"/>
      <c r="J4304" s="38" t="str">
        <f>VLOOKUP(B4304,CAJEROS!B:E,4,0)</f>
        <v>MFSUCLAGO1</v>
      </c>
      <c r="K4304" t="s">
        <v>579</v>
      </c>
    </row>
    <row r="4305" spans="1:11">
      <c r="A4305" s="32">
        <v>769</v>
      </c>
      <c r="B4305" s="33">
        <v>5051</v>
      </c>
      <c r="C4305" s="3">
        <v>4300</v>
      </c>
      <c r="D4305" s="3">
        <v>2000</v>
      </c>
      <c r="E4305" s="7">
        <f t="shared" si="91"/>
        <v>2300</v>
      </c>
      <c r="F4305" s="5">
        <v>45917</v>
      </c>
      <c r="G4305" s="4">
        <v>20250916</v>
      </c>
      <c r="H4305" s="38" t="str">
        <f>VLOOKUP(B4305,CAJEROS!B:D,3,0)</f>
        <v>Multifuncional</v>
      </c>
      <c r="I4305" s="34"/>
      <c r="J4305" s="38" t="str">
        <f>VLOOKUP(B4305,CAJEROS!B:E,4,0)</f>
        <v>MF_SUCPPRA2</v>
      </c>
      <c r="K4305" t="s">
        <v>579</v>
      </c>
    </row>
    <row r="4306" spans="1:11">
      <c r="A4306" s="32">
        <v>824</v>
      </c>
      <c r="B4306" s="33">
        <v>5040</v>
      </c>
      <c r="C4306" s="3">
        <v>24450000</v>
      </c>
      <c r="D4306" s="3">
        <f>11034950+697700</f>
        <v>11732650</v>
      </c>
      <c r="E4306" s="7">
        <f t="shared" si="91"/>
        <v>12717350</v>
      </c>
      <c r="F4306" s="5">
        <v>45917</v>
      </c>
      <c r="G4306" s="4">
        <v>20250916</v>
      </c>
      <c r="H4306" s="38" t="str">
        <f>VLOOKUP(B4306,CAJEROS!B:D,3,0)</f>
        <v>Multifuncional</v>
      </c>
      <c r="I4306" s="34"/>
      <c r="J4306" s="38" t="str">
        <f>VLOOKUP(B4306,CAJEROS!B:E,4,0)</f>
        <v>MF_VENPLAZA</v>
      </c>
      <c r="K4306" t="s">
        <v>579</v>
      </c>
    </row>
    <row r="4307" spans="1:11">
      <c r="A4307" s="32">
        <v>927</v>
      </c>
      <c r="B4307" s="33">
        <v>5143</v>
      </c>
      <c r="C4307" s="3">
        <v>2190000</v>
      </c>
      <c r="D4307" s="3"/>
      <c r="E4307" s="7">
        <f t="shared" si="91"/>
        <v>2190000</v>
      </c>
      <c r="F4307" s="5">
        <v>45917</v>
      </c>
      <c r="G4307" s="4">
        <v>20250916</v>
      </c>
      <c r="H4307" s="38" t="str">
        <f>VLOOKUP(B4307,CAJEROS!B:D,3,0)</f>
        <v>Multifuncional</v>
      </c>
      <c r="I4307" s="34"/>
      <c r="J4307" s="38" t="str">
        <f>VLOOKUP(B4307,CAJEROS!B:E,4,0)</f>
        <v>MF_SUCMOCOA</v>
      </c>
      <c r="K4307" t="s">
        <v>579</v>
      </c>
    </row>
    <row r="4308" spans="1:11">
      <c r="A4308" s="32">
        <v>793</v>
      </c>
      <c r="B4308" s="33">
        <v>5216</v>
      </c>
      <c r="C4308" s="3">
        <v>3350000</v>
      </c>
      <c r="D4308" s="3">
        <v>2495000</v>
      </c>
      <c r="E4308" s="7">
        <f t="shared" si="91"/>
        <v>855000</v>
      </c>
      <c r="F4308" s="5">
        <v>45917</v>
      </c>
      <c r="G4308" s="4">
        <v>20250916</v>
      </c>
      <c r="H4308" s="38" t="str">
        <f>VLOOKUP(B4308,CAJEROS!B:D,3,0)</f>
        <v>Multifuncional</v>
      </c>
      <c r="I4308" s="34" t="s">
        <v>9</v>
      </c>
      <c r="J4308" s="38" t="str">
        <f>VLOOKUP(B4308,CAJEROS!B:E,4,0)</f>
        <v>MF_PROFENAL</v>
      </c>
      <c r="K4308" t="s">
        <v>579</v>
      </c>
    </row>
    <row r="4309" spans="1:11">
      <c r="A4309" s="32">
        <v>829</v>
      </c>
      <c r="B4309" s="33">
        <v>5137</v>
      </c>
      <c r="C4309" s="3">
        <v>3221750</v>
      </c>
      <c r="D4309" s="3">
        <v>550350</v>
      </c>
      <c r="E4309" s="7">
        <f t="shared" si="91"/>
        <v>2671400</v>
      </c>
      <c r="F4309" s="5">
        <v>45917</v>
      </c>
      <c r="G4309" s="4">
        <v>20250916</v>
      </c>
      <c r="H4309" s="38" t="str">
        <f>VLOOKUP(B4309,CAJEROS!B:D,3,0)</f>
        <v>Multifuncional</v>
      </c>
      <c r="I4309" s="34" t="s">
        <v>9</v>
      </c>
      <c r="J4309" s="38" t="str">
        <f>VLOOKUP(B4309,CAJEROS!B:E,4,0)</f>
        <v>MF_UNICALI1</v>
      </c>
      <c r="K4309" t="s">
        <v>579</v>
      </c>
    </row>
    <row r="4310" spans="1:11">
      <c r="A4310" s="32">
        <v>849</v>
      </c>
      <c r="B4310" s="33">
        <v>9725</v>
      </c>
      <c r="C4310" s="3">
        <v>3020200</v>
      </c>
      <c r="D4310" s="3"/>
      <c r="E4310" s="7">
        <f t="shared" ref="E4310:E4373" si="92">+C4310-D4310</f>
        <v>3020200</v>
      </c>
      <c r="F4310" s="5">
        <v>45917</v>
      </c>
      <c r="G4310" s="4">
        <v>20250916</v>
      </c>
      <c r="H4310" s="38" t="str">
        <f>VLOOKUP(B4310,CAJEROS!B:D,3,0)</f>
        <v>Multifuncional</v>
      </c>
      <c r="I4310" s="34" t="s">
        <v>9</v>
      </c>
      <c r="J4310" s="38" t="str">
        <f>VLOOKUP(B4310,CAJEROS!B:E,4,0)</f>
        <v>MF_SUNIVIL2</v>
      </c>
      <c r="K4310" t="s">
        <v>579</v>
      </c>
    </row>
    <row r="4311" spans="1:11">
      <c r="A4311" s="32">
        <v>291</v>
      </c>
      <c r="B4311" s="33">
        <v>8139</v>
      </c>
      <c r="C4311" s="3">
        <v>3012000</v>
      </c>
      <c r="D4311" s="3"/>
      <c r="E4311" s="7">
        <f t="shared" si="92"/>
        <v>3012000</v>
      </c>
      <c r="F4311" s="5">
        <v>45917</v>
      </c>
      <c r="G4311" s="4">
        <v>20250916</v>
      </c>
      <c r="H4311" s="38" t="str">
        <f>VLOOKUP(B4311,CAJEROS!B:D,3,0)</f>
        <v>Multifuncional</v>
      </c>
      <c r="I4311" s="34" t="s">
        <v>9</v>
      </c>
      <c r="J4311" s="38" t="str">
        <f>VLOOKUP(B4311,CAJEROS!B:E,4,0)</f>
        <v>MF_LPALMAS2</v>
      </c>
      <c r="K4311" t="s">
        <v>579</v>
      </c>
    </row>
    <row r="4312" spans="1:11">
      <c r="A4312" s="32">
        <v>20</v>
      </c>
      <c r="B4312" s="33">
        <v>6839</v>
      </c>
      <c r="C4312" s="3">
        <v>2920000</v>
      </c>
      <c r="D4312" s="3">
        <f>980000+215000+1150000</f>
        <v>2345000</v>
      </c>
      <c r="E4312" s="7">
        <f t="shared" si="92"/>
        <v>575000</v>
      </c>
      <c r="F4312" s="5">
        <v>45917</v>
      </c>
      <c r="G4312" s="4">
        <v>20250916</v>
      </c>
      <c r="H4312" s="38" t="str">
        <f>VLOOKUP(B4312,CAJEROS!B:D,3,0)</f>
        <v>Multifuncional</v>
      </c>
      <c r="I4312" s="34" t="s">
        <v>9</v>
      </c>
      <c r="J4312" s="38" t="str">
        <f>VLOOKUP(B4312,CAJEROS!B:E,4,0)</f>
        <v>MF_BUCMANG3</v>
      </c>
      <c r="K4312" t="s">
        <v>579</v>
      </c>
    </row>
    <row r="4313" spans="1:11">
      <c r="A4313" s="32">
        <v>60</v>
      </c>
      <c r="B4313" s="33">
        <v>8727</v>
      </c>
      <c r="C4313" s="3">
        <v>2775000</v>
      </c>
      <c r="D4313" s="3"/>
      <c r="E4313" s="7">
        <f t="shared" si="92"/>
        <v>2775000</v>
      </c>
      <c r="F4313" s="5">
        <v>45917</v>
      </c>
      <c r="G4313" s="4">
        <v>20250916</v>
      </c>
      <c r="H4313" s="38" t="str">
        <f>VLOOKUP(B4313,CAJEROS!B:D,3,0)</f>
        <v>Multifuncional</v>
      </c>
      <c r="I4313" s="34" t="s">
        <v>9</v>
      </c>
      <c r="J4313" s="38" t="str">
        <f>VLOOKUP(B4313,CAJEROS!B:E,4,0)</f>
        <v>MF_HCALIPR1</v>
      </c>
      <c r="K4313" t="s">
        <v>579</v>
      </c>
    </row>
    <row r="4314" spans="1:11">
      <c r="A4314" s="32">
        <v>115</v>
      </c>
      <c r="B4314" s="33">
        <v>5080</v>
      </c>
      <c r="C4314" s="3">
        <v>2230000</v>
      </c>
      <c r="D4314" s="3">
        <v>790000</v>
      </c>
      <c r="E4314" s="7">
        <f t="shared" si="92"/>
        <v>1440000</v>
      </c>
      <c r="F4314" s="5">
        <v>45917</v>
      </c>
      <c r="G4314" s="4">
        <v>20250916</v>
      </c>
      <c r="H4314" s="38" t="str">
        <f>VLOOKUP(B4314,CAJEROS!B:D,3,0)</f>
        <v>Multifuncional</v>
      </c>
      <c r="I4314" s="34" t="s">
        <v>9</v>
      </c>
      <c r="J4314" s="38" t="str">
        <f>VLOOKUP(B4314,CAJEROS!B:E,4,0)</f>
        <v>MF_CIPEREIR</v>
      </c>
      <c r="K4314" t="s">
        <v>579</v>
      </c>
    </row>
    <row r="4315" spans="1:11">
      <c r="A4315" s="32">
        <v>690</v>
      </c>
      <c r="B4315" s="33">
        <v>6180</v>
      </c>
      <c r="C4315" s="3">
        <v>1870000</v>
      </c>
      <c r="D4315" s="3">
        <f>1143700+620000</f>
        <v>1763700</v>
      </c>
      <c r="E4315" s="7">
        <f t="shared" si="92"/>
        <v>106300</v>
      </c>
      <c r="F4315" s="5">
        <v>45917</v>
      </c>
      <c r="G4315" s="4">
        <v>20250916</v>
      </c>
      <c r="H4315" s="38" t="str">
        <f>VLOOKUP(B4315,CAJEROS!B:D,3,0)</f>
        <v>Multifuncional</v>
      </c>
      <c r="I4315" s="34" t="s">
        <v>9</v>
      </c>
      <c r="J4315" s="38" t="str">
        <f>VLOOKUP(B4315,CAJEROS!B:E,4,0)</f>
        <v>MF_HTQENDAM</v>
      </c>
      <c r="K4315" t="s">
        <v>579</v>
      </c>
    </row>
    <row r="4316" spans="1:11">
      <c r="A4316" s="32">
        <v>15</v>
      </c>
      <c r="B4316" s="33">
        <v>8576</v>
      </c>
      <c r="C4316" s="3">
        <v>1860000</v>
      </c>
      <c r="D4316" s="3">
        <v>1260000</v>
      </c>
      <c r="E4316" s="7">
        <f t="shared" si="92"/>
        <v>600000</v>
      </c>
      <c r="F4316" s="5">
        <v>45917</v>
      </c>
      <c r="G4316" s="4">
        <v>20250916</v>
      </c>
      <c r="H4316" s="38" t="str">
        <f>VLOOKUP(B4316,CAJEROS!B:D,3,0)</f>
        <v>Multifuncional</v>
      </c>
      <c r="I4316" s="34" t="s">
        <v>9</v>
      </c>
      <c r="J4316" s="38" t="str">
        <f>VLOOKUP(B4316,CAJEROS!B:E,4,0)</f>
        <v>MF_HITAGUI1</v>
      </c>
      <c r="K4316" t="s">
        <v>579</v>
      </c>
    </row>
    <row r="4317" spans="1:11">
      <c r="A4317" s="32">
        <v>57</v>
      </c>
      <c r="B4317" s="33">
        <v>9963</v>
      </c>
      <c r="C4317" s="3">
        <v>1440000</v>
      </c>
      <c r="D4317" s="3"/>
      <c r="E4317" s="7">
        <f t="shared" si="92"/>
        <v>1440000</v>
      </c>
      <c r="F4317" s="5">
        <v>45917</v>
      </c>
      <c r="G4317" s="4">
        <v>20250916</v>
      </c>
      <c r="H4317" s="38" t="str">
        <f>VLOOKUP(B4317,CAJEROS!B:D,3,0)</f>
        <v>Multifuncional</v>
      </c>
      <c r="I4317" s="34" t="s">
        <v>9</v>
      </c>
      <c r="J4317" s="38" t="str">
        <f>VLOOKUP(B4317,CAJEROS!B:E,4,0)</f>
        <v>MF_VILLAVI1</v>
      </c>
      <c r="K4317" t="s">
        <v>579</v>
      </c>
    </row>
    <row r="4318" spans="1:11">
      <c r="A4318" s="32">
        <v>499</v>
      </c>
      <c r="B4318" s="33">
        <v>9811</v>
      </c>
      <c r="C4318" s="3">
        <v>1440000</v>
      </c>
      <c r="D4318" s="3">
        <v>1398700</v>
      </c>
      <c r="E4318" s="7">
        <f t="shared" si="92"/>
        <v>41300</v>
      </c>
      <c r="F4318" s="5">
        <v>45917</v>
      </c>
      <c r="G4318" s="4">
        <v>20250916</v>
      </c>
      <c r="H4318" s="38" t="str">
        <f>VLOOKUP(B4318,CAJEROS!B:D,3,0)</f>
        <v>Multifuncional</v>
      </c>
      <c r="I4318" s="34" t="s">
        <v>9</v>
      </c>
      <c r="J4318" s="38" t="str">
        <f>VLOOKUP(B4318,CAJEROS!B:E,4,0)</f>
        <v>MF_SUCPLZF2</v>
      </c>
      <c r="K4318" t="s">
        <v>579</v>
      </c>
    </row>
    <row r="4319" spans="1:11">
      <c r="A4319" s="32">
        <v>779</v>
      </c>
      <c r="B4319" s="33">
        <v>5013</v>
      </c>
      <c r="C4319" s="3">
        <v>1410000</v>
      </c>
      <c r="D4319" s="3"/>
      <c r="E4319" s="7">
        <f t="shared" si="92"/>
        <v>1410000</v>
      </c>
      <c r="F4319" s="5">
        <v>45917</v>
      </c>
      <c r="G4319" s="4">
        <v>20250916</v>
      </c>
      <c r="H4319" s="38" t="str">
        <f>VLOOKUP(B4319,CAJEROS!B:D,3,0)</f>
        <v>Multifuncional</v>
      </c>
      <c r="I4319" s="34" t="s">
        <v>9</v>
      </c>
      <c r="J4319" s="38" t="str">
        <f>VLOOKUP(B4319,CAJEROS!B:E,4,0)</f>
        <v>MF_BUENASM1</v>
      </c>
      <c r="K4319" t="s">
        <v>579</v>
      </c>
    </row>
    <row r="4320" spans="1:11">
      <c r="A4320" s="32">
        <v>348</v>
      </c>
      <c r="B4320" s="33">
        <v>6724</v>
      </c>
      <c r="C4320" s="3">
        <v>1386000</v>
      </c>
      <c r="D4320" s="3">
        <v>836000</v>
      </c>
      <c r="E4320" s="7">
        <f t="shared" si="92"/>
        <v>550000</v>
      </c>
      <c r="F4320" s="5">
        <v>45917</v>
      </c>
      <c r="G4320" s="4">
        <v>20250916</v>
      </c>
      <c r="H4320" s="38" t="str">
        <f>VLOOKUP(B4320,CAJEROS!B:D,3,0)</f>
        <v>Multifuncional</v>
      </c>
      <c r="I4320" s="34" t="s">
        <v>9</v>
      </c>
      <c r="J4320" s="38" t="str">
        <f>VLOOKUP(B4320,CAJEROS!B:E,4,0)</f>
        <v>MF_SANANDRE</v>
      </c>
      <c r="K4320" t="s">
        <v>579</v>
      </c>
    </row>
    <row r="4321" spans="1:11">
      <c r="A4321" s="32">
        <v>168</v>
      </c>
      <c r="B4321" s="33">
        <v>5224</v>
      </c>
      <c r="C4321" s="3">
        <v>1180000</v>
      </c>
      <c r="D4321" s="3"/>
      <c r="E4321" s="7">
        <f t="shared" si="92"/>
        <v>1180000</v>
      </c>
      <c r="F4321" s="5">
        <v>45917</v>
      </c>
      <c r="G4321" s="4">
        <v>20250916</v>
      </c>
      <c r="H4321" s="38" t="str">
        <f>VLOOKUP(B4321,CAJEROS!B:D,3,0)</f>
        <v>Multifuncional</v>
      </c>
      <c r="I4321" s="34" t="s">
        <v>9</v>
      </c>
      <c r="J4321" s="38" t="str">
        <f>VLOOKUP(B4321,CAJEROS!B:E,4,0)</f>
        <v>MF_TOBERIN</v>
      </c>
      <c r="K4321" t="s">
        <v>579</v>
      </c>
    </row>
    <row r="4322" spans="1:11">
      <c r="A4322" s="32">
        <v>258</v>
      </c>
      <c r="B4322" s="33">
        <v>5155</v>
      </c>
      <c r="C4322" s="3">
        <v>1125000</v>
      </c>
      <c r="D4322" s="3">
        <v>1119000</v>
      </c>
      <c r="E4322" s="7">
        <f t="shared" si="92"/>
        <v>6000</v>
      </c>
      <c r="F4322" s="5">
        <v>45917</v>
      </c>
      <c r="G4322" s="4">
        <v>20250916</v>
      </c>
      <c r="H4322" s="38" t="str">
        <f>VLOOKUP(B4322,CAJEROS!B:D,3,0)</f>
        <v>Multifuncional</v>
      </c>
      <c r="I4322" s="34" t="s">
        <v>9</v>
      </c>
      <c r="J4322" s="38" t="str">
        <f>VLOOKUP(B4322,CAJEROS!B:E,4,0)</f>
        <v>MF_TUNJA</v>
      </c>
      <c r="K4322" t="s">
        <v>579</v>
      </c>
    </row>
    <row r="4323" spans="1:11">
      <c r="A4323" s="32">
        <v>916</v>
      </c>
      <c r="B4323" s="33">
        <v>5052</v>
      </c>
      <c r="C4323" s="3">
        <v>824000</v>
      </c>
      <c r="D4323" s="3"/>
      <c r="E4323" s="7">
        <f t="shared" si="92"/>
        <v>824000</v>
      </c>
      <c r="F4323" s="5">
        <v>45917</v>
      </c>
      <c r="G4323" s="4">
        <v>20250916</v>
      </c>
      <c r="H4323" s="38" t="str">
        <f>VLOOKUP(B4323,CAJEROS!B:D,3,0)</f>
        <v>Multifuncional</v>
      </c>
      <c r="I4323" s="34" t="s">
        <v>9</v>
      </c>
      <c r="J4323" s="38" t="str">
        <f>VLOOKUP(B4323,CAJEROS!B:E,4,0)</f>
        <v>MF_OCEANMAL</v>
      </c>
      <c r="K4323" t="s">
        <v>579</v>
      </c>
    </row>
    <row r="4324" spans="1:11">
      <c r="A4324" s="32">
        <v>795</v>
      </c>
      <c r="B4324" s="33">
        <v>1028</v>
      </c>
      <c r="C4324" s="3">
        <v>800000</v>
      </c>
      <c r="D4324" s="3">
        <v>350000</v>
      </c>
      <c r="E4324" s="7">
        <f t="shared" si="92"/>
        <v>450000</v>
      </c>
      <c r="F4324" s="5">
        <v>45917</v>
      </c>
      <c r="G4324" s="4">
        <v>20250916</v>
      </c>
      <c r="H4324" s="38" t="str">
        <f>VLOOKUP(B4324,CAJEROS!B:D,3,0)</f>
        <v>Multifuncional</v>
      </c>
      <c r="I4324" s="34" t="s">
        <v>9</v>
      </c>
      <c r="J4324" s="38" t="str">
        <f>VLOOKUP(B4324,CAJEROS!B:E,4,0)</f>
        <v>MFSUCANVER2</v>
      </c>
      <c r="K4324" t="s">
        <v>579</v>
      </c>
    </row>
    <row r="4325" spans="1:11">
      <c r="A4325" s="32">
        <v>237</v>
      </c>
      <c r="B4325" s="33">
        <v>6467</v>
      </c>
      <c r="C4325" s="3">
        <v>500700</v>
      </c>
      <c r="D4325" s="3">
        <v>500000</v>
      </c>
      <c r="E4325" s="7">
        <f t="shared" si="92"/>
        <v>700</v>
      </c>
      <c r="F4325" s="5">
        <v>45917</v>
      </c>
      <c r="G4325" s="4">
        <v>20250916</v>
      </c>
      <c r="H4325" s="38" t="str">
        <f>VLOOKUP(B4325,CAJEROS!B:D,3,0)</f>
        <v>Multifuncional</v>
      </c>
      <c r="I4325" s="34" t="s">
        <v>9</v>
      </c>
      <c r="J4325" s="38" t="str">
        <f>VLOOKUP(B4325,CAJEROS!B:E,4,0)</f>
        <v>MF_DORADOPL</v>
      </c>
      <c r="K4325" t="s">
        <v>579</v>
      </c>
    </row>
    <row r="4326" spans="1:11">
      <c r="A4326" s="32">
        <v>812</v>
      </c>
      <c r="B4326" s="33">
        <v>5144</v>
      </c>
      <c r="C4326" s="3">
        <v>280500</v>
      </c>
      <c r="D4326" s="3"/>
      <c r="E4326" s="7">
        <f t="shared" si="92"/>
        <v>280500</v>
      </c>
      <c r="F4326" s="5">
        <v>45917</v>
      </c>
      <c r="G4326" s="4">
        <v>20250916</v>
      </c>
      <c r="H4326" s="38" t="str">
        <f>VLOOKUP(B4326,CAJEROS!B:D,3,0)</f>
        <v>Multifuncional</v>
      </c>
      <c r="I4326" s="34" t="s">
        <v>9</v>
      </c>
      <c r="J4326" s="38" t="str">
        <f>VLOOKUP(B4326,CAJEROS!B:E,4,0)</f>
        <v>MF_CHPICHPE</v>
      </c>
      <c r="K4326" t="s">
        <v>579</v>
      </c>
    </row>
    <row r="4327" spans="1:11">
      <c r="A4327" s="32">
        <v>517</v>
      </c>
      <c r="B4327" s="33">
        <v>5053</v>
      </c>
      <c r="C4327" s="3">
        <v>170000</v>
      </c>
      <c r="D4327" s="3"/>
      <c r="E4327" s="7">
        <f t="shared" si="92"/>
        <v>170000</v>
      </c>
      <c r="F4327" s="5">
        <v>45917</v>
      </c>
      <c r="G4327" s="4">
        <v>20250916</v>
      </c>
      <c r="H4327" s="38" t="str">
        <f>VLOOKUP(B4327,CAJEROS!B:D,3,0)</f>
        <v>Multifuncional</v>
      </c>
      <c r="I4327" s="34" t="s">
        <v>9</v>
      </c>
      <c r="J4327" s="38" t="str">
        <f>VLOOKUP(B4327,CAJEROS!B:E,4,0)</f>
        <v>MF_RODADERO</v>
      </c>
      <c r="K4327" t="s">
        <v>579</v>
      </c>
    </row>
    <row r="4328" spans="1:11">
      <c r="A4328" s="32">
        <v>716</v>
      </c>
      <c r="B4328" s="33">
        <v>5192</v>
      </c>
      <c r="C4328" s="3">
        <v>160000</v>
      </c>
      <c r="D4328" s="3"/>
      <c r="E4328" s="7">
        <f t="shared" si="92"/>
        <v>160000</v>
      </c>
      <c r="F4328" s="5">
        <v>45917</v>
      </c>
      <c r="G4328" s="4">
        <v>20250916</v>
      </c>
      <c r="H4328" s="38" t="str">
        <f>VLOOKUP(B4328,CAJEROS!B:D,3,0)</f>
        <v>Multifuncional</v>
      </c>
      <c r="I4328" s="34" t="s">
        <v>9</v>
      </c>
      <c r="J4328" s="38" t="str">
        <f>VLOOKUP(B4328,CAJEROS!B:E,4,0)</f>
        <v>MF_AVCGORDS</v>
      </c>
      <c r="K4328" t="s">
        <v>579</v>
      </c>
    </row>
    <row r="4329" spans="1:11">
      <c r="A4329" s="32">
        <v>810</v>
      </c>
      <c r="B4329" s="33">
        <v>8204</v>
      </c>
      <c r="C4329" s="3">
        <v>55000</v>
      </c>
      <c r="D4329" s="3"/>
      <c r="E4329" s="7">
        <f t="shared" si="92"/>
        <v>55000</v>
      </c>
      <c r="F4329" s="5">
        <v>45917</v>
      </c>
      <c r="G4329" s="4">
        <v>20250916</v>
      </c>
      <c r="H4329" s="38" t="str">
        <f>VLOOKUP(B4329,CAJEROS!B:D,3,0)</f>
        <v>Multifuncional</v>
      </c>
      <c r="I4329" s="34" t="s">
        <v>9</v>
      </c>
      <c r="J4329" s="38" t="str">
        <f>VLOOKUP(B4329,CAJEROS!B:E,4,0)</f>
        <v>MF_OESTE</v>
      </c>
      <c r="K4329" t="s">
        <v>579</v>
      </c>
    </row>
    <row r="4330" spans="1:11">
      <c r="A4330" s="32">
        <v>631</v>
      </c>
      <c r="B4330" s="33">
        <v>2615</v>
      </c>
      <c r="C4330" s="3">
        <v>20000</v>
      </c>
      <c r="D4330" s="3"/>
      <c r="E4330" s="7">
        <f t="shared" si="92"/>
        <v>20000</v>
      </c>
      <c r="F4330" s="5">
        <v>45917</v>
      </c>
      <c r="G4330" s="4">
        <v>20250916</v>
      </c>
      <c r="H4330" s="38" t="str">
        <f>VLOOKUP(B4330,CAJEROS!B:D,3,0)</f>
        <v>Dispensador</v>
      </c>
      <c r="I4330" s="34" t="s">
        <v>10</v>
      </c>
      <c r="J4330" s="38" t="str">
        <f>VLOOKUP(B4330,CAJEROS!B:E,4,0)</f>
        <v>SUCURIBIA_1</v>
      </c>
      <c r="K4330" t="s">
        <v>579</v>
      </c>
    </row>
    <row r="4331" spans="1:11">
      <c r="A4331" s="32">
        <v>943</v>
      </c>
      <c r="B4331" s="33">
        <v>3427</v>
      </c>
      <c r="C4331" s="3">
        <v>20000</v>
      </c>
      <c r="D4331" s="3"/>
      <c r="E4331" s="7">
        <f t="shared" si="92"/>
        <v>20000</v>
      </c>
      <c r="F4331" s="5">
        <v>45917</v>
      </c>
      <c r="G4331" s="4">
        <v>20250916</v>
      </c>
      <c r="H4331" s="38" t="str">
        <f>VLOOKUP(B4331,CAJEROS!B:D,3,0)</f>
        <v>Dispensador</v>
      </c>
      <c r="I4331" s="34" t="s">
        <v>10</v>
      </c>
      <c r="J4331" s="38" t="str">
        <f>VLOOKUP(B4331,CAJEROS!B:E,4,0)</f>
        <v>LETICIA_1</v>
      </c>
      <c r="K4331" t="s">
        <v>579</v>
      </c>
    </row>
    <row r="4332" spans="1:11">
      <c r="A4332" s="32">
        <v>595</v>
      </c>
      <c r="B4332" s="33">
        <v>3697</v>
      </c>
      <c r="C4332" s="3">
        <v>10000</v>
      </c>
      <c r="D4332" s="3"/>
      <c r="E4332" s="7">
        <f t="shared" si="92"/>
        <v>10000</v>
      </c>
      <c r="F4332" s="5">
        <v>45917</v>
      </c>
      <c r="G4332" s="4">
        <v>20250916</v>
      </c>
      <c r="H4332" s="38" t="str">
        <f>VLOOKUP(B4332,CAJEROS!B:D,3,0)</f>
        <v>Dispensador</v>
      </c>
      <c r="I4332" s="34" t="s">
        <v>10</v>
      </c>
      <c r="J4332" s="38" t="str">
        <f>VLOOKUP(B4332,CAJEROS!B:E,4,0)</f>
        <v>SUC_BARAN1</v>
      </c>
      <c r="K4332" t="s">
        <v>579</v>
      </c>
    </row>
    <row r="4333" spans="1:11">
      <c r="A4333" s="32">
        <v>163</v>
      </c>
      <c r="B4333" s="33">
        <v>5554</v>
      </c>
      <c r="C4333" s="3">
        <v>20000</v>
      </c>
      <c r="D4333" s="3"/>
      <c r="E4333" s="7">
        <f t="shared" si="92"/>
        <v>20000</v>
      </c>
      <c r="F4333" s="5">
        <v>45917</v>
      </c>
      <c r="G4333" s="4">
        <v>20250916</v>
      </c>
      <c r="H4333" s="38" t="str">
        <f>VLOOKUP(B4333,CAJEROS!B:D,3,0)</f>
        <v>Dispensador</v>
      </c>
      <c r="I4333" s="34" t="s">
        <v>10</v>
      </c>
      <c r="J4333" s="38" t="str">
        <f>VLOOKUP(B4333,CAJEROS!B:E,4,0)</f>
        <v>PTO_BERRIO2</v>
      </c>
      <c r="K4333" t="s">
        <v>579</v>
      </c>
    </row>
    <row r="4334" spans="1:11">
      <c r="A4334" s="32">
        <v>595</v>
      </c>
      <c r="B4334" s="33">
        <v>5928</v>
      </c>
      <c r="C4334" s="3">
        <v>10000</v>
      </c>
      <c r="D4334" s="3"/>
      <c r="E4334" s="7">
        <f t="shared" si="92"/>
        <v>10000</v>
      </c>
      <c r="F4334" s="5">
        <v>45917</v>
      </c>
      <c r="G4334" s="4">
        <v>20250916</v>
      </c>
      <c r="H4334" s="38" t="str">
        <f>VLOOKUP(B4334,CAJEROS!B:D,3,0)</f>
        <v>Dispensador</v>
      </c>
      <c r="I4334" s="34" t="s">
        <v>10</v>
      </c>
      <c r="J4334" s="38" t="str">
        <f>VLOOKUP(B4334,CAJEROS!B:E,4,0)</f>
        <v>SUC_BARAN2</v>
      </c>
      <c r="K4334" t="s">
        <v>579</v>
      </c>
    </row>
    <row r="4335" spans="1:11">
      <c r="A4335" s="32">
        <v>343</v>
      </c>
      <c r="B4335" s="33">
        <v>7954</v>
      </c>
      <c r="C4335" s="3">
        <v>20000</v>
      </c>
      <c r="D4335" s="3"/>
      <c r="E4335" s="7">
        <f t="shared" si="92"/>
        <v>20000</v>
      </c>
      <c r="F4335" s="5">
        <v>45917</v>
      </c>
      <c r="G4335" s="4">
        <v>20250916</v>
      </c>
      <c r="H4335" s="38" t="str">
        <f>VLOOKUP(B4335,CAJEROS!B:D,3,0)</f>
        <v>Dispensador</v>
      </c>
      <c r="I4335" s="34" t="s">
        <v>10</v>
      </c>
      <c r="J4335" s="38" t="str">
        <f>VLOOKUP(B4335,CAJEROS!B:E,4,0)</f>
        <v>SUCTABIO1</v>
      </c>
      <c r="K4335" t="s">
        <v>579</v>
      </c>
    </row>
    <row r="4336" spans="1:11">
      <c r="A4336" s="32">
        <v>343</v>
      </c>
      <c r="B4336" s="33">
        <v>7955</v>
      </c>
      <c r="C4336" s="3">
        <v>10000</v>
      </c>
      <c r="D4336" s="3"/>
      <c r="E4336" s="7">
        <f t="shared" si="92"/>
        <v>10000</v>
      </c>
      <c r="F4336" s="5">
        <v>45917</v>
      </c>
      <c r="G4336" s="4">
        <v>20250916</v>
      </c>
      <c r="H4336" s="38" t="str">
        <f>VLOOKUP(B4336,CAJEROS!B:D,3,0)</f>
        <v>Dispensador</v>
      </c>
      <c r="I4336" s="34" t="s">
        <v>10</v>
      </c>
      <c r="J4336" s="38" t="str">
        <f>VLOOKUP(B4336,CAJEROS!B:E,4,0)</f>
        <v>SUCTABIO2</v>
      </c>
      <c r="K4336" t="s">
        <v>579</v>
      </c>
    </row>
    <row r="4337" spans="1:11">
      <c r="A4337" s="32">
        <v>91</v>
      </c>
      <c r="B4337" s="33">
        <v>8165</v>
      </c>
      <c r="C4337" s="3">
        <v>20000</v>
      </c>
      <c r="D4337" s="3"/>
      <c r="E4337" s="7">
        <f t="shared" si="92"/>
        <v>20000</v>
      </c>
      <c r="F4337" s="5">
        <v>45917</v>
      </c>
      <c r="G4337" s="4">
        <v>20250916</v>
      </c>
      <c r="H4337" s="38" t="str">
        <f>VLOOKUP(B4337,CAJEROS!B:D,3,0)</f>
        <v>Dispensador</v>
      </c>
      <c r="I4337" s="34" t="s">
        <v>10</v>
      </c>
      <c r="J4337" s="38" t="str">
        <f>VLOOKUP(B4337,CAJEROS!B:E,4,0)</f>
        <v>SUC_MONTER7</v>
      </c>
      <c r="K4337" t="s">
        <v>579</v>
      </c>
    </row>
    <row r="4338" spans="1:11">
      <c r="A4338" s="32">
        <v>331</v>
      </c>
      <c r="B4338" s="33">
        <v>8344</v>
      </c>
      <c r="C4338" s="3">
        <v>10000</v>
      </c>
      <c r="D4338" s="3"/>
      <c r="E4338" s="7">
        <f t="shared" si="92"/>
        <v>10000</v>
      </c>
      <c r="F4338" s="5">
        <v>45917</v>
      </c>
      <c r="G4338" s="4">
        <v>20250916</v>
      </c>
      <c r="H4338" s="38" t="str">
        <f>VLOOKUP(B4338,CAJEROS!B:D,3,0)</f>
        <v>Dispensador</v>
      </c>
      <c r="I4338" s="34" t="s">
        <v>10</v>
      </c>
      <c r="J4338" s="38" t="str">
        <f>VLOOKUP(B4338,CAJEROS!B:E,4,0)</f>
        <v>SUCARKADIA3</v>
      </c>
      <c r="K4338" t="s">
        <v>579</v>
      </c>
    </row>
    <row r="4339" spans="1:11">
      <c r="A4339" s="32">
        <v>399</v>
      </c>
      <c r="B4339" s="33">
        <v>8625</v>
      </c>
      <c r="C4339" s="3">
        <v>20000</v>
      </c>
      <c r="D4339" s="3"/>
      <c r="E4339" s="7">
        <f t="shared" si="92"/>
        <v>20000</v>
      </c>
      <c r="F4339" s="5">
        <v>45917</v>
      </c>
      <c r="G4339" s="4">
        <v>20250916</v>
      </c>
      <c r="H4339" s="38" t="str">
        <f>VLOOKUP(B4339,CAJEROS!B:D,3,0)</f>
        <v>Dispensador</v>
      </c>
      <c r="I4339" s="34" t="s">
        <v>10</v>
      </c>
      <c r="J4339" s="38" t="str">
        <f>VLOOKUP(B4339,CAJEROS!B:E,4,0)</f>
        <v>SUCGIRARDO5</v>
      </c>
      <c r="K4339" t="s">
        <v>579</v>
      </c>
    </row>
    <row r="4340" spans="1:11">
      <c r="A4340" s="32">
        <v>959</v>
      </c>
      <c r="B4340" s="33">
        <v>9265</v>
      </c>
      <c r="C4340" s="3">
        <v>200000</v>
      </c>
      <c r="D4340" s="3"/>
      <c r="E4340" s="7">
        <f t="shared" si="92"/>
        <v>200000</v>
      </c>
      <c r="F4340" s="5">
        <v>45917</v>
      </c>
      <c r="G4340" s="4">
        <v>0</v>
      </c>
      <c r="H4340" s="38" t="str">
        <f>VLOOKUP(B4340,CAJEROS!B:D,3,0)</f>
        <v>Multifuncional</v>
      </c>
      <c r="I4340" s="34" t="s">
        <v>580</v>
      </c>
      <c r="J4340" s="38" t="str">
        <f>VLOOKUP(B4340,CAJEROS!B:E,4,0)</f>
        <v>MFSUCTURBO1</v>
      </c>
      <c r="K4340" t="s">
        <v>579</v>
      </c>
    </row>
    <row r="4341" spans="1:11">
      <c r="A4341" s="32">
        <v>213</v>
      </c>
      <c r="B4341" s="33">
        <v>5594</v>
      </c>
      <c r="C4341" s="3">
        <v>2000000</v>
      </c>
      <c r="D4341" s="3"/>
      <c r="E4341" s="7">
        <f t="shared" si="92"/>
        <v>2000000</v>
      </c>
      <c r="F4341" s="5">
        <v>45917</v>
      </c>
      <c r="G4341" s="4">
        <v>0</v>
      </c>
      <c r="H4341" s="38" t="str">
        <f>VLOOKUP(B4341,CAJEROS!B:D,3,0)</f>
        <v>Dispensador</v>
      </c>
      <c r="I4341" s="34" t="s">
        <v>580</v>
      </c>
      <c r="J4341" s="38" t="str">
        <f>VLOOKUP(B4341,CAJEROS!B:E,4,0)</f>
        <v>CCMILPLAZA1</v>
      </c>
      <c r="K4341" t="s">
        <v>579</v>
      </c>
    </row>
    <row r="4342" spans="1:11">
      <c r="A4342" s="32">
        <v>723</v>
      </c>
      <c r="B4342" s="33">
        <v>5046</v>
      </c>
      <c r="C4342" s="3">
        <v>1950000</v>
      </c>
      <c r="D4342" s="3"/>
      <c r="E4342" s="7">
        <f t="shared" si="92"/>
        <v>1950000</v>
      </c>
      <c r="F4342" s="5">
        <v>45917</v>
      </c>
      <c r="G4342" s="4">
        <v>0</v>
      </c>
      <c r="H4342" s="38" t="str">
        <f>VLOOKUP(B4342,CAJEROS!B:D,3,0)</f>
        <v>Multifuncional</v>
      </c>
      <c r="I4342" s="34" t="s">
        <v>580</v>
      </c>
      <c r="J4342" s="38" t="str">
        <f>VLOOKUP(B4342,CAJEROS!B:E,4,0)</f>
        <v>MF_PARBOLED</v>
      </c>
      <c r="K4342" t="s">
        <v>579</v>
      </c>
    </row>
    <row r="4343" spans="1:11">
      <c r="A4343" s="32">
        <v>422</v>
      </c>
      <c r="B4343" s="33">
        <v>4555</v>
      </c>
      <c r="C4343" s="3">
        <v>700000</v>
      </c>
      <c r="D4343" s="3"/>
      <c r="E4343" s="7">
        <f t="shared" si="92"/>
        <v>700000</v>
      </c>
      <c r="F4343" s="5">
        <v>45917</v>
      </c>
      <c r="G4343" s="4">
        <v>0</v>
      </c>
      <c r="H4343" s="38" t="str">
        <f>VLOOKUP(B4343,CAJEROS!B:D,3,0)</f>
        <v>Dispensador</v>
      </c>
      <c r="I4343" s="34" t="s">
        <v>580</v>
      </c>
      <c r="J4343" s="38" t="str">
        <f>VLOOKUP(B4343,CAJEROS!B:E,4,0)</f>
        <v>CHAPARRAL_2</v>
      </c>
      <c r="K4343" t="s">
        <v>579</v>
      </c>
    </row>
    <row r="4344" spans="1:11">
      <c r="A4344" s="32">
        <v>419</v>
      </c>
      <c r="B4344" s="33">
        <v>5077</v>
      </c>
      <c r="C4344" s="3">
        <v>2000000</v>
      </c>
      <c r="D4344" s="3"/>
      <c r="E4344" s="7">
        <f t="shared" si="92"/>
        <v>2000000</v>
      </c>
      <c r="F4344" s="5">
        <v>45917</v>
      </c>
      <c r="G4344" s="4">
        <v>0</v>
      </c>
      <c r="H4344" s="38" t="str">
        <f>VLOOKUP(B4344,CAJEROS!B:D,3,0)</f>
        <v>Multifuncional</v>
      </c>
      <c r="I4344" s="34" t="s">
        <v>580</v>
      </c>
      <c r="J4344" s="38" t="str">
        <f>VLOOKUP(B4344,CAJEROS!B:E,4,0)</f>
        <v>MF_CPUNIBOG</v>
      </c>
      <c r="K4344" t="s">
        <v>579</v>
      </c>
    </row>
    <row r="4345" spans="1:11">
      <c r="A4345" s="32">
        <v>959</v>
      </c>
      <c r="B4345" s="33">
        <v>9265</v>
      </c>
      <c r="C4345" s="3">
        <v>100000</v>
      </c>
      <c r="D4345" s="3"/>
      <c r="E4345" s="7">
        <f t="shared" si="92"/>
        <v>100000</v>
      </c>
      <c r="F4345" s="5">
        <v>45917</v>
      </c>
      <c r="G4345" s="4">
        <v>0</v>
      </c>
      <c r="H4345" s="38" t="str">
        <f>VLOOKUP(B4345,CAJEROS!B:D,3,0)</f>
        <v>Multifuncional</v>
      </c>
      <c r="I4345" s="34" t="s">
        <v>580</v>
      </c>
      <c r="J4345" s="38" t="str">
        <f>VLOOKUP(B4345,CAJEROS!B:E,4,0)</f>
        <v>MFSUCTURBO1</v>
      </c>
      <c r="K4345" t="s">
        <v>579</v>
      </c>
    </row>
    <row r="4346" spans="1:11">
      <c r="A4346" s="32">
        <v>451</v>
      </c>
      <c r="B4346" s="33">
        <v>9434</v>
      </c>
      <c r="C4346" s="3">
        <v>1000000</v>
      </c>
      <c r="D4346" s="3"/>
      <c r="E4346" s="7">
        <f t="shared" si="92"/>
        <v>1000000</v>
      </c>
      <c r="F4346" s="5">
        <v>45917</v>
      </c>
      <c r="G4346" s="4">
        <v>0</v>
      </c>
      <c r="H4346" s="38" t="str">
        <f>VLOOKUP(B4346,CAJEROS!B:D,3,0)</f>
        <v>Multifuncional</v>
      </c>
      <c r="I4346" s="34" t="s">
        <v>580</v>
      </c>
      <c r="J4346" s="38" t="str">
        <f>VLOOKUP(B4346,CAJEROS!B:E,4,0)</f>
        <v>MFPTOASIS1</v>
      </c>
      <c r="K4346" t="s">
        <v>579</v>
      </c>
    </row>
    <row r="4347" spans="1:11">
      <c r="A4347" s="32">
        <v>957</v>
      </c>
      <c r="B4347" s="33">
        <v>9512</v>
      </c>
      <c r="C4347" s="3">
        <v>100000</v>
      </c>
      <c r="D4347" s="3"/>
      <c r="E4347" s="7">
        <f t="shared" si="92"/>
        <v>100000</v>
      </c>
      <c r="F4347" s="5">
        <v>45917</v>
      </c>
      <c r="G4347" s="4">
        <v>0</v>
      </c>
      <c r="H4347" s="38" t="str">
        <f>VLOOKUP(B4347,CAJEROS!B:D,3,0)</f>
        <v>Multifuncional</v>
      </c>
      <c r="I4347" s="34" t="s">
        <v>580</v>
      </c>
      <c r="J4347" s="38" t="str">
        <f>VLOOKUP(B4347,CAJEROS!B:E,4,0)</f>
        <v>MFSUCPARAL1</v>
      </c>
      <c r="K4347" t="s">
        <v>579</v>
      </c>
    </row>
    <row r="4348" spans="1:11">
      <c r="A4348" s="32">
        <v>367</v>
      </c>
      <c r="B4348" s="33">
        <v>9580</v>
      </c>
      <c r="C4348" s="3">
        <v>1000000</v>
      </c>
      <c r="D4348" s="3"/>
      <c r="E4348" s="7">
        <f t="shared" si="92"/>
        <v>1000000</v>
      </c>
      <c r="F4348" s="5">
        <v>45917</v>
      </c>
      <c r="G4348" s="4">
        <v>0</v>
      </c>
      <c r="H4348" s="38" t="str">
        <f>VLOOKUP(B4348,CAJEROS!B:D,3,0)</f>
        <v>Multifuncional</v>
      </c>
      <c r="I4348" s="34" t="s">
        <v>580</v>
      </c>
      <c r="J4348" s="38" t="str">
        <f>VLOOKUP(B4348,CAJEROS!B:E,4,0)</f>
        <v>MF_SUCGRAN1</v>
      </c>
      <c r="K4348" t="s">
        <v>579</v>
      </c>
    </row>
    <row r="4349" spans="1:11">
      <c r="A4349" s="32">
        <v>584</v>
      </c>
      <c r="B4349" s="33">
        <v>6874</v>
      </c>
      <c r="C4349" s="3">
        <v>2700000</v>
      </c>
      <c r="D4349" s="3"/>
      <c r="E4349" s="7">
        <f t="shared" si="92"/>
        <v>2700000</v>
      </c>
      <c r="F4349" s="5">
        <v>45917</v>
      </c>
      <c r="G4349" s="4">
        <v>0</v>
      </c>
      <c r="H4349" s="38" t="str">
        <f>VLOOKUP(B4349,CAJEROS!B:D,3,0)</f>
        <v>Dispensador</v>
      </c>
      <c r="I4349" s="34" t="s">
        <v>580</v>
      </c>
      <c r="J4349" s="38" t="str">
        <f>VLOOKUP(B4349,CAJEROS!B:E,4,0)</f>
        <v>HALLCHIGOR2</v>
      </c>
      <c r="K4349" t="s">
        <v>579</v>
      </c>
    </row>
    <row r="4350" spans="1:11">
      <c r="A4350" s="32">
        <v>959</v>
      </c>
      <c r="B4350" s="33">
        <v>9265</v>
      </c>
      <c r="C4350" s="3">
        <v>200000</v>
      </c>
      <c r="D4350" s="3"/>
      <c r="E4350" s="7">
        <f t="shared" si="92"/>
        <v>200000</v>
      </c>
      <c r="F4350" s="5">
        <v>45917</v>
      </c>
      <c r="G4350" s="4">
        <v>0</v>
      </c>
      <c r="H4350" s="38" t="str">
        <f>VLOOKUP(B4350,CAJEROS!B:D,3,0)</f>
        <v>Multifuncional</v>
      </c>
      <c r="I4350" s="34" t="s">
        <v>580</v>
      </c>
      <c r="J4350" s="38" t="str">
        <f>VLOOKUP(B4350,CAJEROS!B:E,4,0)</f>
        <v>MFSUCTURBO1</v>
      </c>
      <c r="K4350" t="s">
        <v>579</v>
      </c>
    </row>
    <row r="4351" spans="1:11">
      <c r="A4351" s="32">
        <v>15</v>
      </c>
      <c r="B4351" s="33">
        <v>8573</v>
      </c>
      <c r="C4351" s="3">
        <v>430000</v>
      </c>
      <c r="D4351" s="3"/>
      <c r="E4351" s="7">
        <f t="shared" si="92"/>
        <v>430000</v>
      </c>
      <c r="F4351" s="5">
        <v>45917</v>
      </c>
      <c r="G4351" s="4">
        <v>0</v>
      </c>
      <c r="H4351" s="38" t="str">
        <f>VLOOKUP(B4351,CAJEROS!B:D,3,0)</f>
        <v>Dispensador</v>
      </c>
      <c r="I4351" s="34" t="s">
        <v>580</v>
      </c>
      <c r="J4351" s="38" t="str">
        <f>VLOOKUP(B4351,CAJEROS!B:E,4,0)</f>
        <v>HALLITAGUI3</v>
      </c>
      <c r="K4351" t="s">
        <v>579</v>
      </c>
    </row>
    <row r="4352" spans="1:11">
      <c r="A4352" s="32">
        <v>959</v>
      </c>
      <c r="B4352" s="33">
        <v>9265</v>
      </c>
      <c r="C4352" s="3">
        <v>120000</v>
      </c>
      <c r="D4352" s="3"/>
      <c r="E4352" s="7">
        <f t="shared" si="92"/>
        <v>120000</v>
      </c>
      <c r="F4352" s="5">
        <v>45917</v>
      </c>
      <c r="G4352" s="4">
        <v>0</v>
      </c>
      <c r="H4352" s="38" t="str">
        <f>VLOOKUP(B4352,CAJEROS!B:D,3,0)</f>
        <v>Multifuncional</v>
      </c>
      <c r="I4352" s="34" t="s">
        <v>580</v>
      </c>
      <c r="J4352" s="38" t="str">
        <f>VLOOKUP(B4352,CAJEROS!B:E,4,0)</f>
        <v>MFSUCTURBO1</v>
      </c>
      <c r="K4352" t="s">
        <v>579</v>
      </c>
    </row>
    <row r="4353" spans="1:11">
      <c r="A4353" s="32">
        <v>959</v>
      </c>
      <c r="B4353" s="33">
        <v>9265</v>
      </c>
      <c r="C4353" s="3">
        <v>100000</v>
      </c>
      <c r="D4353" s="3"/>
      <c r="E4353" s="7">
        <f t="shared" si="92"/>
        <v>100000</v>
      </c>
      <c r="F4353" s="5">
        <v>45917</v>
      </c>
      <c r="G4353" s="4">
        <v>0</v>
      </c>
      <c r="H4353" s="38" t="str">
        <f>VLOOKUP(B4353,CAJEROS!B:D,3,0)</f>
        <v>Multifuncional</v>
      </c>
      <c r="I4353" s="34" t="s">
        <v>580</v>
      </c>
      <c r="J4353" s="38" t="str">
        <f>VLOOKUP(B4353,CAJEROS!B:E,4,0)</f>
        <v>MFSUCTURBO1</v>
      </c>
      <c r="K4353" t="s">
        <v>579</v>
      </c>
    </row>
    <row r="4354" spans="1:11">
      <c r="A4354" s="32">
        <v>78</v>
      </c>
      <c r="B4354" s="33">
        <v>8594</v>
      </c>
      <c r="C4354" s="3">
        <v>100000</v>
      </c>
      <c r="D4354" s="3"/>
      <c r="E4354" s="7">
        <f t="shared" si="92"/>
        <v>100000</v>
      </c>
      <c r="F4354" s="5">
        <v>45917</v>
      </c>
      <c r="G4354" s="4">
        <v>0</v>
      </c>
      <c r="H4354" s="38" t="str">
        <f>VLOOKUP(B4354,CAJEROS!B:D,3,0)</f>
        <v>Multifuncional</v>
      </c>
      <c r="I4354" s="34" t="s">
        <v>580</v>
      </c>
      <c r="J4354" s="38" t="str">
        <f>VLOOKUP(B4354,CAJEROS!B:E,4,0)</f>
        <v>MF_CACIQUE2</v>
      </c>
      <c r="K4354" t="s">
        <v>579</v>
      </c>
    </row>
    <row r="4355" spans="1:11">
      <c r="A4355" s="32">
        <v>329</v>
      </c>
      <c r="B4355" s="33">
        <v>3291</v>
      </c>
      <c r="C4355" s="3">
        <v>1410000</v>
      </c>
      <c r="D4355" s="3"/>
      <c r="E4355" s="7">
        <f t="shared" si="92"/>
        <v>1410000</v>
      </c>
      <c r="F4355" s="5">
        <v>45917</v>
      </c>
      <c r="G4355" s="4">
        <v>0</v>
      </c>
      <c r="H4355" s="38" t="str">
        <f>VLOOKUP(B4355,CAJEROS!B:D,3,0)</f>
        <v>Dispensador</v>
      </c>
      <c r="I4355" s="34" t="s">
        <v>580</v>
      </c>
      <c r="J4355" s="38" t="str">
        <f>VLOOKUP(B4355,CAJEROS!B:E,4,0)</f>
        <v>VELEZ</v>
      </c>
      <c r="K4355" t="s">
        <v>579</v>
      </c>
    </row>
    <row r="4356" spans="1:11">
      <c r="A4356" s="32">
        <v>541</v>
      </c>
      <c r="B4356" s="33">
        <v>8657</v>
      </c>
      <c r="C4356" s="3">
        <v>20000</v>
      </c>
      <c r="D4356" s="3"/>
      <c r="E4356" s="7">
        <f t="shared" si="92"/>
        <v>20000</v>
      </c>
      <c r="F4356" s="5">
        <v>45917</v>
      </c>
      <c r="G4356" s="4">
        <v>0</v>
      </c>
      <c r="H4356" s="38" t="str">
        <f>VLOOKUP(B4356,CAJEROS!B:D,3,0)</f>
        <v>Dispensador</v>
      </c>
      <c r="I4356" s="34" t="s">
        <v>580</v>
      </c>
      <c r="J4356" s="38" t="str">
        <f>VLOOKUP(B4356,CAJEROS!B:E,4,0)</f>
        <v>SUCCALDASP8</v>
      </c>
      <c r="K4356" t="s">
        <v>579</v>
      </c>
    </row>
    <row r="4357" spans="1:11">
      <c r="A4357" s="32">
        <v>651</v>
      </c>
      <c r="B4357" s="33">
        <v>7318</v>
      </c>
      <c r="C4357" s="3">
        <v>1000000</v>
      </c>
      <c r="D4357" s="3"/>
      <c r="E4357" s="7">
        <f t="shared" si="92"/>
        <v>1000000</v>
      </c>
      <c r="F4357" s="5">
        <v>45917</v>
      </c>
      <c r="G4357" s="4">
        <v>0</v>
      </c>
      <c r="H4357" s="38" t="str">
        <f>VLOOKUP(B4357,CAJEROS!B:D,3,0)</f>
        <v>Multifuncional</v>
      </c>
      <c r="I4357" s="34" t="s">
        <v>580</v>
      </c>
      <c r="J4357" s="38" t="str">
        <f>VLOOKUP(B4357,CAJEROS!B:E,4,0)</f>
        <v>MF_BARBOSA2</v>
      </c>
      <c r="K4357" t="s">
        <v>579</v>
      </c>
    </row>
    <row r="4358" spans="1:11">
      <c r="A4358" s="32">
        <v>959</v>
      </c>
      <c r="B4358" s="33">
        <v>9265</v>
      </c>
      <c r="C4358" s="3">
        <v>750000</v>
      </c>
      <c r="D4358" s="3"/>
      <c r="E4358" s="7">
        <f t="shared" si="92"/>
        <v>750000</v>
      </c>
      <c r="F4358" s="5">
        <v>45917</v>
      </c>
      <c r="G4358" s="4">
        <v>0</v>
      </c>
      <c r="H4358" s="38" t="str">
        <f>VLOOKUP(B4358,CAJEROS!B:D,3,0)</f>
        <v>Multifuncional</v>
      </c>
      <c r="I4358" s="34" t="s">
        <v>580</v>
      </c>
      <c r="J4358" s="38" t="str">
        <f>VLOOKUP(B4358,CAJEROS!B:E,4,0)</f>
        <v>MFSUCTURBO1</v>
      </c>
      <c r="K4358" t="s">
        <v>579</v>
      </c>
    </row>
    <row r="4359" spans="1:11">
      <c r="A4359" s="32">
        <v>8</v>
      </c>
      <c r="B4359" s="33">
        <v>5655</v>
      </c>
      <c r="C4359" s="3">
        <v>410000</v>
      </c>
      <c r="D4359" s="3"/>
      <c r="E4359" s="7">
        <f t="shared" si="92"/>
        <v>410000</v>
      </c>
      <c r="F4359" s="5">
        <v>45918</v>
      </c>
      <c r="G4359" s="4">
        <v>20250917</v>
      </c>
      <c r="H4359" s="38" t="str">
        <f>VLOOKUP(B4359,CAJEROS!B:D,3,0)</f>
        <v>Dispensador</v>
      </c>
      <c r="I4359" s="34"/>
      <c r="J4359" s="38" t="str">
        <f>VLOOKUP(B4359,CAJEROS!B:E,4,0)</f>
        <v>SUC_LAPLAY1</v>
      </c>
      <c r="K4359" t="s">
        <v>579</v>
      </c>
    </row>
    <row r="4360" spans="1:11">
      <c r="A4360" s="32">
        <v>213</v>
      </c>
      <c r="B4360" s="33">
        <v>5594</v>
      </c>
      <c r="C4360" s="3">
        <v>6810000</v>
      </c>
      <c r="D4360" s="3"/>
      <c r="E4360" s="7">
        <f t="shared" si="92"/>
        <v>6810000</v>
      </c>
      <c r="F4360" s="5">
        <v>45918</v>
      </c>
      <c r="G4360" s="4">
        <v>20250917</v>
      </c>
      <c r="H4360" s="38" t="str">
        <f>VLOOKUP(B4360,CAJEROS!B:D,3,0)</f>
        <v>Dispensador</v>
      </c>
      <c r="I4360" s="34"/>
      <c r="J4360" s="38" t="str">
        <f>VLOOKUP(B4360,CAJEROS!B:E,4,0)</f>
        <v>CCMILPLAZA1</v>
      </c>
      <c r="K4360" t="s">
        <v>579</v>
      </c>
    </row>
    <row r="4361" spans="1:11">
      <c r="A4361" s="32">
        <v>213</v>
      </c>
      <c r="B4361" s="33">
        <v>5595</v>
      </c>
      <c r="C4361" s="3">
        <v>1200000</v>
      </c>
      <c r="D4361" s="3"/>
      <c r="E4361" s="7">
        <f t="shared" si="92"/>
        <v>1200000</v>
      </c>
      <c r="F4361" s="5">
        <v>45918</v>
      </c>
      <c r="G4361" s="4">
        <v>20250917</v>
      </c>
      <c r="H4361" s="38" t="str">
        <f>VLOOKUP(B4361,CAJEROS!B:D,3,0)</f>
        <v>Dispensador</v>
      </c>
      <c r="I4361" s="34"/>
      <c r="J4361" s="38" t="str">
        <f>VLOOKUP(B4361,CAJEROS!B:E,4,0)</f>
        <v>CCMILPLAZA2</v>
      </c>
      <c r="K4361" t="s">
        <v>579</v>
      </c>
    </row>
    <row r="4362" spans="1:11">
      <c r="A4362" s="32">
        <v>334</v>
      </c>
      <c r="B4362" s="33">
        <v>8801</v>
      </c>
      <c r="C4362" s="3">
        <v>10000</v>
      </c>
      <c r="D4362" s="3"/>
      <c r="E4362" s="7">
        <f t="shared" si="92"/>
        <v>10000</v>
      </c>
      <c r="F4362" s="5">
        <v>45918</v>
      </c>
      <c r="G4362" s="4">
        <v>20250917</v>
      </c>
      <c r="H4362" s="38" t="str">
        <f>VLOOKUP(B4362,CAJEROS!B:D,3,0)</f>
        <v>Dispensador</v>
      </c>
      <c r="I4362" s="34"/>
      <c r="J4362" s="38" t="str">
        <f>VLOOKUP(B4362,CAJEROS!B:E,4,0)</f>
        <v>SUCPENOL_1</v>
      </c>
      <c r="K4362" t="s">
        <v>579</v>
      </c>
    </row>
    <row r="4363" spans="1:11">
      <c r="A4363" s="32">
        <v>348</v>
      </c>
      <c r="B4363" s="33">
        <v>9006</v>
      </c>
      <c r="C4363" s="3">
        <v>500000</v>
      </c>
      <c r="D4363" s="3">
        <v>100000</v>
      </c>
      <c r="E4363" s="7">
        <f t="shared" si="92"/>
        <v>400000</v>
      </c>
      <c r="F4363" s="5">
        <v>45918</v>
      </c>
      <c r="G4363" s="4">
        <v>20250917</v>
      </c>
      <c r="H4363" s="38" t="str">
        <f>VLOOKUP(B4363,CAJEROS!B:D,3,0)</f>
        <v>Dispensador</v>
      </c>
      <c r="I4363" s="34"/>
      <c r="J4363" s="38" t="str">
        <f>VLOOKUP(B4363,CAJEROS!B:E,4,0)</f>
        <v>SUCSANDRES6</v>
      </c>
      <c r="K4363" t="s">
        <v>579</v>
      </c>
    </row>
    <row r="4364" spans="1:11">
      <c r="A4364" s="32">
        <v>457</v>
      </c>
      <c r="B4364" s="33">
        <v>9000</v>
      </c>
      <c r="C4364" s="3">
        <v>210000</v>
      </c>
      <c r="D4364" s="3"/>
      <c r="E4364" s="7">
        <f t="shared" si="92"/>
        <v>210000</v>
      </c>
      <c r="F4364" s="5">
        <v>45918</v>
      </c>
      <c r="G4364" s="4">
        <v>20250917</v>
      </c>
      <c r="H4364" s="38" t="str">
        <f>VLOOKUP(B4364,CAJEROS!B:D,3,0)</f>
        <v>Dispensador</v>
      </c>
      <c r="I4364" s="34"/>
      <c r="J4364" s="38" t="str">
        <f>VLOOKUP(B4364,CAJEROS!B:E,4,0)</f>
        <v>SUCSANPEDR1</v>
      </c>
      <c r="K4364" t="s">
        <v>579</v>
      </c>
    </row>
    <row r="4365" spans="1:11">
      <c r="A4365" s="32">
        <v>459</v>
      </c>
      <c r="B4365" s="33">
        <v>4591</v>
      </c>
      <c r="C4365" s="3">
        <v>90000</v>
      </c>
      <c r="D4365" s="3"/>
      <c r="E4365" s="7">
        <f t="shared" si="92"/>
        <v>90000</v>
      </c>
      <c r="F4365" s="5">
        <v>45918</v>
      </c>
      <c r="G4365" s="4">
        <v>20250917</v>
      </c>
      <c r="H4365" s="38" t="str">
        <f>VLOOKUP(B4365,CAJEROS!B:D,3,0)</f>
        <v>Dispensador</v>
      </c>
      <c r="I4365" s="34"/>
      <c r="J4365" s="38" t="str">
        <f>VLOOKUP(B4365,CAJEROS!B:E,4,0)</f>
        <v>CAMPOALEGRE</v>
      </c>
      <c r="K4365" t="s">
        <v>579</v>
      </c>
    </row>
    <row r="4366" spans="1:11">
      <c r="A4366" s="32">
        <v>486</v>
      </c>
      <c r="B4366" s="33">
        <v>5748</v>
      </c>
      <c r="C4366" s="3">
        <v>300000</v>
      </c>
      <c r="D4366" s="3"/>
      <c r="E4366" s="7">
        <f t="shared" si="92"/>
        <v>300000</v>
      </c>
      <c r="F4366" s="5">
        <v>45918</v>
      </c>
      <c r="G4366" s="4">
        <v>20250917</v>
      </c>
      <c r="H4366" s="38" t="str">
        <f>VLOOKUP(B4366,CAJEROS!B:D,3,0)</f>
        <v>Dispensador</v>
      </c>
      <c r="I4366" s="34"/>
      <c r="J4366" s="38" t="str">
        <f>VLOOKUP(B4366,CAJEROS!B:E,4,0)</f>
        <v>SUC_SNICOL3</v>
      </c>
      <c r="K4366" t="s">
        <v>579</v>
      </c>
    </row>
    <row r="4367" spans="1:11">
      <c r="A4367" s="32">
        <v>536</v>
      </c>
      <c r="B4367" s="33">
        <v>5362</v>
      </c>
      <c r="C4367" s="3">
        <v>20000</v>
      </c>
      <c r="D4367" s="3"/>
      <c r="E4367" s="7">
        <f t="shared" si="92"/>
        <v>20000</v>
      </c>
      <c r="F4367" s="5">
        <v>45918</v>
      </c>
      <c r="G4367" s="4">
        <v>20250917</v>
      </c>
      <c r="H4367" s="38" t="str">
        <f>VLOOKUP(B4367,CAJEROS!B:D,3,0)</f>
        <v>Dispensador</v>
      </c>
      <c r="I4367" s="34"/>
      <c r="J4367" s="38" t="str">
        <f>VLOOKUP(B4367,CAJEROS!B:E,4,0)</f>
        <v>QUIBDO_2</v>
      </c>
      <c r="K4367" t="s">
        <v>579</v>
      </c>
    </row>
    <row r="4368" spans="1:11">
      <c r="A4368" s="32">
        <v>536</v>
      </c>
      <c r="B4368" s="33">
        <v>6914</v>
      </c>
      <c r="C4368" s="3">
        <v>110000</v>
      </c>
      <c r="D4368" s="3"/>
      <c r="E4368" s="7">
        <f t="shared" si="92"/>
        <v>110000</v>
      </c>
      <c r="F4368" s="5">
        <v>45918</v>
      </c>
      <c r="G4368" s="4">
        <v>20250917</v>
      </c>
      <c r="H4368" s="38" t="str">
        <f>VLOOKUP(B4368,CAJEROS!B:D,3,0)</f>
        <v>Dispensador</v>
      </c>
      <c r="I4368" s="34"/>
      <c r="J4368" s="38" t="str">
        <f>VLOOKUP(B4368,CAJEROS!B:E,4,0)</f>
        <v>SUC_QUIBDO6</v>
      </c>
      <c r="K4368" t="s">
        <v>579</v>
      </c>
    </row>
    <row r="4369" spans="1:11">
      <c r="A4369" s="32">
        <v>541</v>
      </c>
      <c r="B4369" s="33">
        <v>8651</v>
      </c>
      <c r="C4369" s="3">
        <v>60000</v>
      </c>
      <c r="D4369" s="3"/>
      <c r="E4369" s="7">
        <f t="shared" si="92"/>
        <v>60000</v>
      </c>
      <c r="F4369" s="5">
        <v>45918</v>
      </c>
      <c r="G4369" s="4">
        <v>20250917</v>
      </c>
      <c r="H4369" s="38" t="str">
        <f>VLOOKUP(B4369,CAJEROS!B:D,3,0)</f>
        <v>Dispensador</v>
      </c>
      <c r="I4369" s="34"/>
      <c r="J4369" s="38" t="str">
        <f>VLOOKUP(B4369,CAJEROS!B:E,4,0)</f>
        <v>SUCCALDASP2</v>
      </c>
      <c r="K4369" t="s">
        <v>579</v>
      </c>
    </row>
    <row r="4370" spans="1:11">
      <c r="A4370" s="32">
        <v>541</v>
      </c>
      <c r="B4370" s="33">
        <v>8652</v>
      </c>
      <c r="C4370" s="3">
        <v>50000</v>
      </c>
      <c r="D4370" s="3"/>
      <c r="E4370" s="7">
        <f t="shared" si="92"/>
        <v>50000</v>
      </c>
      <c r="F4370" s="5">
        <v>45918</v>
      </c>
      <c r="G4370" s="4">
        <v>20250917</v>
      </c>
      <c r="H4370" s="38" t="str">
        <f>VLOOKUP(B4370,CAJEROS!B:D,3,0)</f>
        <v>Dispensador</v>
      </c>
      <c r="I4370" s="34"/>
      <c r="J4370" s="38" t="str">
        <f>VLOOKUP(B4370,CAJEROS!B:E,4,0)</f>
        <v>SUCCALDASP3</v>
      </c>
      <c r="K4370" t="s">
        <v>579</v>
      </c>
    </row>
    <row r="4371" spans="1:11">
      <c r="A4371" s="32">
        <v>554</v>
      </c>
      <c r="B4371" s="33">
        <v>8297</v>
      </c>
      <c r="C4371" s="3">
        <v>180000</v>
      </c>
      <c r="D4371" s="3"/>
      <c r="E4371" s="7">
        <f t="shared" si="92"/>
        <v>180000</v>
      </c>
      <c r="F4371" s="5">
        <v>45918</v>
      </c>
      <c r="G4371" s="4">
        <v>20250917</v>
      </c>
      <c r="H4371" s="38" t="str">
        <f>VLOOKUP(B4371,CAJEROS!B:D,3,0)</f>
        <v>Dispensador</v>
      </c>
      <c r="I4371" s="34"/>
      <c r="J4371" s="38" t="str">
        <f>VLOOKUP(B4371,CAJEROS!B:E,4,0)</f>
        <v>SUCBUEVIII2</v>
      </c>
      <c r="K4371" t="s">
        <v>579</v>
      </c>
    </row>
    <row r="4372" spans="1:11">
      <c r="A4372" s="32">
        <v>583</v>
      </c>
      <c r="B4372" s="33">
        <v>5691</v>
      </c>
      <c r="C4372" s="3">
        <v>150000</v>
      </c>
      <c r="D4372" s="3">
        <v>50000</v>
      </c>
      <c r="E4372" s="7">
        <f t="shared" si="92"/>
        <v>100000</v>
      </c>
      <c r="F4372" s="5">
        <v>45918</v>
      </c>
      <c r="G4372" s="4">
        <v>20250917</v>
      </c>
      <c r="H4372" s="38" t="str">
        <f>VLOOKUP(B4372,CAJEROS!B:D,3,0)</f>
        <v>Dispensador</v>
      </c>
      <c r="I4372" s="34"/>
      <c r="J4372" s="38" t="str">
        <f>VLOOKUP(B4372,CAJEROS!B:E,4,0)</f>
        <v>SUCRIOSUCI1</v>
      </c>
      <c r="K4372" t="s">
        <v>579</v>
      </c>
    </row>
    <row r="4373" spans="1:11">
      <c r="A4373" s="32">
        <v>651</v>
      </c>
      <c r="B4373" s="33">
        <v>6511</v>
      </c>
      <c r="C4373" s="3">
        <v>7420000</v>
      </c>
      <c r="D4373" s="3"/>
      <c r="E4373" s="7">
        <f t="shared" si="92"/>
        <v>7420000</v>
      </c>
      <c r="F4373" s="5">
        <v>45918</v>
      </c>
      <c r="G4373" s="4">
        <v>20250917</v>
      </c>
      <c r="H4373" s="38" t="str">
        <f>VLOOKUP(B4373,CAJEROS!B:D,3,0)</f>
        <v>Dispensador</v>
      </c>
      <c r="I4373" s="34"/>
      <c r="J4373" s="38" t="str">
        <f>VLOOKUP(B4373,CAJEROS!B:E,4,0)</f>
        <v>BARBOSA</v>
      </c>
      <c r="K4373" t="s">
        <v>579</v>
      </c>
    </row>
    <row r="4374" spans="1:11">
      <c r="A4374" s="32">
        <v>672</v>
      </c>
      <c r="B4374" s="33">
        <v>8374</v>
      </c>
      <c r="C4374" s="3">
        <v>6300000</v>
      </c>
      <c r="D4374" s="3"/>
      <c r="E4374" s="7">
        <f t="shared" ref="E4374:E4437" si="93">+C4374-D4374</f>
        <v>6300000</v>
      </c>
      <c r="F4374" s="5">
        <v>45918</v>
      </c>
      <c r="G4374" s="4">
        <v>20250917</v>
      </c>
      <c r="H4374" s="38" t="str">
        <f>VLOOKUP(B4374,CAJEROS!B:D,3,0)</f>
        <v>Dispensador</v>
      </c>
      <c r="I4374" s="34"/>
      <c r="J4374" s="38" t="str">
        <f>VLOOKUP(B4374,CAJEROS!B:E,4,0)</f>
        <v>SUCSONSON_1</v>
      </c>
      <c r="K4374" t="s">
        <v>579</v>
      </c>
    </row>
    <row r="4375" spans="1:11">
      <c r="A4375" s="32">
        <v>678</v>
      </c>
      <c r="B4375" s="33">
        <v>6014</v>
      </c>
      <c r="C4375" s="3">
        <v>20880000</v>
      </c>
      <c r="D4375" s="3"/>
      <c r="E4375" s="7">
        <f t="shared" si="93"/>
        <v>20880000</v>
      </c>
      <c r="F4375" s="5">
        <v>45918</v>
      </c>
      <c r="G4375" s="4">
        <v>20250917</v>
      </c>
      <c r="H4375" s="38" t="str">
        <f>VLOOKUP(B4375,CAJEROS!B:D,3,0)</f>
        <v>Dispensador</v>
      </c>
      <c r="I4375" s="34"/>
      <c r="J4375" s="38" t="str">
        <f>VLOOKUP(B4375,CAJEROS!B:E,4,0)</f>
        <v>PASEOCAST_5</v>
      </c>
      <c r="K4375" t="s">
        <v>579</v>
      </c>
    </row>
    <row r="4376" spans="1:11">
      <c r="A4376" s="32">
        <v>793</v>
      </c>
      <c r="B4376" s="33">
        <v>8469</v>
      </c>
      <c r="C4376" s="3">
        <v>5100000</v>
      </c>
      <c r="D4376" s="3"/>
      <c r="E4376" s="7">
        <f t="shared" si="93"/>
        <v>5100000</v>
      </c>
      <c r="F4376" s="5">
        <v>45918</v>
      </c>
      <c r="G4376" s="4">
        <v>20250917</v>
      </c>
      <c r="H4376" s="38" t="str">
        <f>VLOOKUP(B4376,CAJEROS!B:D,3,0)</f>
        <v>Dispensador</v>
      </c>
      <c r="I4376" s="34"/>
      <c r="J4376" s="38" t="str">
        <f>VLOOKUP(B4376,CAJEROS!B:E,4,0)</f>
        <v>OFPROFESI_1</v>
      </c>
      <c r="K4376" t="s">
        <v>579</v>
      </c>
    </row>
    <row r="4377" spans="1:11">
      <c r="A4377" s="32">
        <v>828</v>
      </c>
      <c r="B4377" s="33">
        <v>2235</v>
      </c>
      <c r="C4377" s="3">
        <v>250000</v>
      </c>
      <c r="D4377" s="3"/>
      <c r="E4377" s="7">
        <f t="shared" si="93"/>
        <v>250000</v>
      </c>
      <c r="F4377" s="5">
        <v>45918</v>
      </c>
      <c r="G4377" s="4">
        <v>20250917</v>
      </c>
      <c r="H4377" s="38" t="str">
        <f>VLOOKUP(B4377,CAJEROS!B:D,3,0)</f>
        <v>Dispensador</v>
      </c>
      <c r="I4377" s="34"/>
      <c r="J4377" s="38" t="str">
        <f>VLOOKUP(B4377,CAJEROS!B:E,4,0)</f>
        <v>SUC_SANJOS5</v>
      </c>
      <c r="K4377" t="s">
        <v>579</v>
      </c>
    </row>
    <row r="4378" spans="1:11">
      <c r="A4378" s="32">
        <v>828</v>
      </c>
      <c r="B4378" s="33">
        <v>3101</v>
      </c>
      <c r="C4378" s="3">
        <v>20000</v>
      </c>
      <c r="D4378" s="3"/>
      <c r="E4378" s="7">
        <f t="shared" si="93"/>
        <v>20000</v>
      </c>
      <c r="F4378" s="5">
        <v>45918</v>
      </c>
      <c r="G4378" s="4">
        <v>20250917</v>
      </c>
      <c r="H4378" s="38" t="str">
        <f>VLOOKUP(B4378,CAJEROS!B:D,3,0)</f>
        <v>Dispensador</v>
      </c>
      <c r="I4378" s="34"/>
      <c r="J4378" s="38" t="str">
        <f>VLOOKUP(B4378,CAJEROS!B:E,4,0)</f>
        <v>SUC_SANJOS1</v>
      </c>
      <c r="K4378" t="s">
        <v>579</v>
      </c>
    </row>
    <row r="4379" spans="1:11">
      <c r="A4379" s="32">
        <v>828</v>
      </c>
      <c r="B4379" s="33">
        <v>8331</v>
      </c>
      <c r="C4379" s="3">
        <v>40000</v>
      </c>
      <c r="D4379" s="3"/>
      <c r="E4379" s="7">
        <f t="shared" si="93"/>
        <v>40000</v>
      </c>
      <c r="F4379" s="5">
        <v>45918</v>
      </c>
      <c r="G4379" s="4">
        <v>20250917</v>
      </c>
      <c r="H4379" s="38" t="str">
        <f>VLOOKUP(B4379,CAJEROS!B:D,3,0)</f>
        <v>Dispensador</v>
      </c>
      <c r="I4379" s="34"/>
      <c r="J4379" s="38" t="str">
        <f>VLOOKUP(B4379,CAJEROS!B:E,4,0)</f>
        <v>SUC_SANJOS3</v>
      </c>
      <c r="K4379" t="s">
        <v>579</v>
      </c>
    </row>
    <row r="4380" spans="1:11">
      <c r="A4380" s="32">
        <v>829</v>
      </c>
      <c r="B4380" s="33">
        <v>1157</v>
      </c>
      <c r="C4380" s="3">
        <v>530000</v>
      </c>
      <c r="D4380" s="3"/>
      <c r="E4380" s="7">
        <f t="shared" si="93"/>
        <v>530000</v>
      </c>
      <c r="F4380" s="5">
        <v>45918</v>
      </c>
      <c r="G4380" s="4">
        <v>20250917</v>
      </c>
      <c r="H4380" s="38" t="str">
        <f>VLOOKUP(B4380,CAJEROS!B:D,3,0)</f>
        <v>Dispensador</v>
      </c>
      <c r="I4380" s="34"/>
      <c r="J4380" s="38" t="str">
        <f>VLOOKUP(B4380,CAJEROS!B:E,4,0)</f>
        <v>SUCUNICCAL3</v>
      </c>
      <c r="K4380" t="s">
        <v>579</v>
      </c>
    </row>
    <row r="4381" spans="1:11">
      <c r="A4381" s="32">
        <v>842</v>
      </c>
      <c r="B4381" s="33">
        <v>1646</v>
      </c>
      <c r="C4381" s="3">
        <v>100000</v>
      </c>
      <c r="D4381" s="3"/>
      <c r="E4381" s="7">
        <f t="shared" si="93"/>
        <v>100000</v>
      </c>
      <c r="F4381" s="5">
        <v>45918</v>
      </c>
      <c r="G4381" s="4">
        <v>20250917</v>
      </c>
      <c r="H4381" s="38" t="str">
        <f>VLOOKUP(B4381,CAJEROS!B:D,3,0)</f>
        <v>Dispensador</v>
      </c>
      <c r="I4381" s="34"/>
      <c r="J4381" s="38" t="str">
        <f>VLOOKUP(B4381,CAJEROS!B:E,4,0)</f>
        <v>BVENTURA_2</v>
      </c>
      <c r="K4381" t="s">
        <v>579</v>
      </c>
    </row>
    <row r="4382" spans="1:11">
      <c r="A4382" s="32">
        <v>57</v>
      </c>
      <c r="B4382" s="33">
        <v>9931</v>
      </c>
      <c r="C4382" s="3">
        <v>2700000</v>
      </c>
      <c r="D4382" s="3">
        <f>1180000+1000000</f>
        <v>2180000</v>
      </c>
      <c r="E4382" s="7">
        <f t="shared" si="93"/>
        <v>520000</v>
      </c>
      <c r="F4382" s="5">
        <v>45918</v>
      </c>
      <c r="G4382" s="4">
        <v>20250917</v>
      </c>
      <c r="H4382" s="38" t="str">
        <f>VLOOKUP(B4382,CAJEROS!B:D,3,0)</f>
        <v>Dispensador</v>
      </c>
      <c r="I4382" s="34" t="s">
        <v>9</v>
      </c>
      <c r="J4382" s="38" t="str">
        <f>VLOOKUP(B4382,CAJEROS!B:E,4,0)</f>
        <v>SUC_VILLAO3</v>
      </c>
      <c r="K4382" t="s">
        <v>579</v>
      </c>
    </row>
    <row r="4383" spans="1:11">
      <c r="A4383" s="32">
        <v>59</v>
      </c>
      <c r="B4383" s="33">
        <v>3667</v>
      </c>
      <c r="C4383" s="3">
        <v>8000000</v>
      </c>
      <c r="D4383" s="3">
        <v>50000</v>
      </c>
      <c r="E4383" s="7">
        <f t="shared" si="93"/>
        <v>7950000</v>
      </c>
      <c r="F4383" s="5">
        <v>45918</v>
      </c>
      <c r="G4383" s="4">
        <v>20250917</v>
      </c>
      <c r="H4383" s="38" t="str">
        <f>VLOOKUP(B4383,CAJEROS!B:D,3,0)</f>
        <v>Dispensador</v>
      </c>
      <c r="I4383" s="34" t="s">
        <v>9</v>
      </c>
      <c r="J4383" s="38" t="str">
        <f>VLOOKUP(B4383,CAJEROS!B:E,4,0)</f>
        <v>AVSANTAN_1</v>
      </c>
      <c r="K4383" t="s">
        <v>579</v>
      </c>
    </row>
    <row r="4384" spans="1:11">
      <c r="A4384" s="32">
        <v>91</v>
      </c>
      <c r="B4384" s="33">
        <v>4731</v>
      </c>
      <c r="C4384" s="3">
        <v>2010000</v>
      </c>
      <c r="D4384" s="3"/>
      <c r="E4384" s="7">
        <f t="shared" si="93"/>
        <v>2010000</v>
      </c>
      <c r="F4384" s="5">
        <v>45918</v>
      </c>
      <c r="G4384" s="4">
        <v>20250917</v>
      </c>
      <c r="H4384" s="38" t="str">
        <f>VLOOKUP(B4384,CAJEROS!B:D,3,0)</f>
        <v>Dispensador</v>
      </c>
      <c r="I4384" s="34" t="s">
        <v>9</v>
      </c>
      <c r="J4384" s="38" t="str">
        <f>VLOOKUP(B4384,CAJEROS!B:E,4,0)</f>
        <v>MONTERIA_2</v>
      </c>
      <c r="K4384" t="s">
        <v>579</v>
      </c>
    </row>
    <row r="4385" spans="1:11">
      <c r="A4385" s="32">
        <v>96</v>
      </c>
      <c r="B4385" s="33">
        <v>1036</v>
      </c>
      <c r="C4385" s="3">
        <v>230000</v>
      </c>
      <c r="D4385" s="3"/>
      <c r="E4385" s="7">
        <f t="shared" si="93"/>
        <v>230000</v>
      </c>
      <c r="F4385" s="5">
        <v>45918</v>
      </c>
      <c r="G4385" s="4">
        <v>20250917</v>
      </c>
      <c r="H4385" s="38" t="str">
        <f>VLOOKUP(B4385,CAJEROS!B:D,3,0)</f>
        <v>Dispensador</v>
      </c>
      <c r="I4385" s="34" t="s">
        <v>9</v>
      </c>
      <c r="J4385" s="38" t="str">
        <f>VLOOKUP(B4385,CAJEROS!B:E,4,0)</f>
        <v>SUC_MAICAO2</v>
      </c>
      <c r="K4385" t="s">
        <v>579</v>
      </c>
    </row>
    <row r="4386" spans="1:11">
      <c r="A4386" s="32">
        <v>348</v>
      </c>
      <c r="B4386" s="33">
        <v>3481</v>
      </c>
      <c r="C4386" s="3">
        <v>50000</v>
      </c>
      <c r="D4386" s="3"/>
      <c r="E4386" s="7">
        <f t="shared" si="93"/>
        <v>50000</v>
      </c>
      <c r="F4386" s="5">
        <v>45918</v>
      </c>
      <c r="G4386" s="4">
        <v>20250917</v>
      </c>
      <c r="H4386" s="38" t="str">
        <f>VLOOKUP(B4386,CAJEROS!B:D,3,0)</f>
        <v>Dispensador</v>
      </c>
      <c r="I4386" s="34" t="s">
        <v>9</v>
      </c>
      <c r="J4386" s="38" t="str">
        <f>VLOOKUP(B4386,CAJEROS!B:E,4,0)</f>
        <v>SUCSANDRES2</v>
      </c>
      <c r="K4386" t="s">
        <v>579</v>
      </c>
    </row>
    <row r="4387" spans="1:11">
      <c r="A4387" s="32">
        <v>358</v>
      </c>
      <c r="B4387" s="33">
        <v>4499</v>
      </c>
      <c r="C4387" s="3">
        <v>40000</v>
      </c>
      <c r="D4387" s="3">
        <v>30000</v>
      </c>
      <c r="E4387" s="7">
        <f t="shared" si="93"/>
        <v>10000</v>
      </c>
      <c r="F4387" s="5">
        <v>45918</v>
      </c>
      <c r="G4387" s="4">
        <v>20250917</v>
      </c>
      <c r="H4387" s="38" t="str">
        <f>VLOOKUP(B4387,CAJEROS!B:D,3,0)</f>
        <v>Dispensador</v>
      </c>
      <c r="I4387" s="34" t="s">
        <v>9</v>
      </c>
      <c r="J4387" s="38" t="str">
        <f>VLOOKUP(B4387,CAJEROS!B:E,4,0)</f>
        <v>SUC_SOGAMO1</v>
      </c>
      <c r="K4387" t="s">
        <v>579</v>
      </c>
    </row>
    <row r="4388" spans="1:11">
      <c r="A4388" s="32">
        <v>466</v>
      </c>
      <c r="B4388" s="33">
        <v>6596</v>
      </c>
      <c r="C4388" s="3">
        <v>50000</v>
      </c>
      <c r="D4388" s="3"/>
      <c r="E4388" s="7">
        <f t="shared" si="93"/>
        <v>50000</v>
      </c>
      <c r="F4388" s="5">
        <v>45918</v>
      </c>
      <c r="G4388" s="4">
        <v>20250917</v>
      </c>
      <c r="H4388" s="38" t="str">
        <f>VLOOKUP(B4388,CAJEROS!B:D,3,0)</f>
        <v>Dispensador</v>
      </c>
      <c r="I4388" s="34" t="s">
        <v>9</v>
      </c>
      <c r="J4388" s="38" t="str">
        <f>VLOOKUP(B4388,CAJEROS!B:E,4,0)</f>
        <v>SUC_FLOREN1</v>
      </c>
      <c r="K4388" t="s">
        <v>579</v>
      </c>
    </row>
    <row r="4389" spans="1:11">
      <c r="A4389" s="32">
        <v>481</v>
      </c>
      <c r="B4389" s="33">
        <v>1006</v>
      </c>
      <c r="C4389" s="3">
        <v>50000</v>
      </c>
      <c r="D4389" s="3"/>
      <c r="E4389" s="7">
        <f t="shared" si="93"/>
        <v>50000</v>
      </c>
      <c r="F4389" s="5">
        <v>45918</v>
      </c>
      <c r="G4389" s="4">
        <v>20250917</v>
      </c>
      <c r="H4389" s="38" t="str">
        <f>VLOOKUP(B4389,CAJEROS!B:D,3,0)</f>
        <v>Dispensador</v>
      </c>
      <c r="I4389" s="34" t="s">
        <v>9</v>
      </c>
      <c r="J4389" s="38" t="str">
        <f>VLOOKUP(B4389,CAJEROS!B:E,4,0)</f>
        <v>SUC_SOLEDA2</v>
      </c>
      <c r="K4389" t="s">
        <v>579</v>
      </c>
    </row>
    <row r="4390" spans="1:11">
      <c r="A4390" s="32">
        <v>567</v>
      </c>
      <c r="B4390" s="33">
        <v>2423</v>
      </c>
      <c r="C4390" s="3">
        <v>2160000</v>
      </c>
      <c r="D4390" s="3">
        <v>1960000</v>
      </c>
      <c r="E4390" s="7">
        <f t="shared" si="93"/>
        <v>200000</v>
      </c>
      <c r="F4390" s="5">
        <v>45918</v>
      </c>
      <c r="G4390" s="4">
        <v>20250917</v>
      </c>
      <c r="H4390" s="38" t="str">
        <f>VLOOKUP(B4390,CAJEROS!B:D,3,0)</f>
        <v>Dispensador</v>
      </c>
      <c r="I4390" s="34" t="s">
        <v>9</v>
      </c>
      <c r="J4390" s="38" t="str">
        <f>VLOOKUP(B4390,CAJEROS!B:E,4,0)</f>
        <v>VENECIA_1_R</v>
      </c>
      <c r="K4390" t="s">
        <v>579</v>
      </c>
    </row>
    <row r="4391" spans="1:11">
      <c r="A4391" s="32">
        <v>595</v>
      </c>
      <c r="B4391" s="33">
        <v>5928</v>
      </c>
      <c r="C4391" s="3">
        <v>200000</v>
      </c>
      <c r="D4391" s="3"/>
      <c r="E4391" s="7">
        <f t="shared" si="93"/>
        <v>200000</v>
      </c>
      <c r="F4391" s="5">
        <v>45918</v>
      </c>
      <c r="G4391" s="4">
        <v>20250917</v>
      </c>
      <c r="H4391" s="38" t="str">
        <f>VLOOKUP(B4391,CAJEROS!B:D,3,0)</f>
        <v>Dispensador</v>
      </c>
      <c r="I4391" s="34" t="s">
        <v>9</v>
      </c>
      <c r="J4391" s="38" t="str">
        <f>VLOOKUP(B4391,CAJEROS!B:E,4,0)</f>
        <v>SUC_BARAN2</v>
      </c>
      <c r="K4391" t="s">
        <v>579</v>
      </c>
    </row>
    <row r="4392" spans="1:11">
      <c r="A4392" s="32">
        <v>741</v>
      </c>
      <c r="B4392" s="33">
        <v>6842</v>
      </c>
      <c r="C4392" s="3">
        <v>200000</v>
      </c>
      <c r="D4392" s="3">
        <v>100000</v>
      </c>
      <c r="E4392" s="7">
        <f t="shared" si="93"/>
        <v>100000</v>
      </c>
      <c r="F4392" s="5">
        <v>45918</v>
      </c>
      <c r="G4392" s="4">
        <v>20250917</v>
      </c>
      <c r="H4392" s="38" t="str">
        <f>VLOOKUP(B4392,CAJEROS!B:D,3,0)</f>
        <v>Dispensador</v>
      </c>
      <c r="I4392" s="34" t="s">
        <v>9</v>
      </c>
      <c r="J4392" s="38" t="str">
        <f>VLOOKUP(B4392,CAJEROS!B:E,4,0)</f>
        <v>SUC_IDEO_2</v>
      </c>
      <c r="K4392" t="s">
        <v>579</v>
      </c>
    </row>
    <row r="4393" spans="1:11">
      <c r="A4393" s="32">
        <v>848</v>
      </c>
      <c r="B4393" s="33">
        <v>4740</v>
      </c>
      <c r="C4393" s="3">
        <v>2290000</v>
      </c>
      <c r="D4393" s="3"/>
      <c r="E4393" s="7">
        <f t="shared" si="93"/>
        <v>2290000</v>
      </c>
      <c r="F4393" s="5">
        <v>45918</v>
      </c>
      <c r="G4393" s="4">
        <v>20250917</v>
      </c>
      <c r="H4393" s="38" t="str">
        <f>VLOOKUP(B4393,CAJEROS!B:D,3,0)</f>
        <v>Dispensador</v>
      </c>
      <c r="I4393" s="34" t="s">
        <v>9</v>
      </c>
      <c r="J4393" s="38" t="str">
        <f>VLOOKUP(B4393,CAJEROS!B:E,4,0)</f>
        <v>PQECABAL_3</v>
      </c>
      <c r="K4393" t="s">
        <v>579</v>
      </c>
    </row>
    <row r="4394" spans="1:11">
      <c r="A4394" s="32">
        <v>16</v>
      </c>
      <c r="B4394" s="33">
        <v>5219</v>
      </c>
      <c r="C4394" s="3">
        <v>7000</v>
      </c>
      <c r="D4394" s="3"/>
      <c r="E4394" s="7">
        <f t="shared" si="93"/>
        <v>7000</v>
      </c>
      <c r="F4394" s="5">
        <v>45918</v>
      </c>
      <c r="G4394" s="4">
        <v>20250917</v>
      </c>
      <c r="H4394" s="38" t="str">
        <f>VLOOKUP(B4394,CAJEROS!B:D,3,0)</f>
        <v>Multifuncional</v>
      </c>
      <c r="I4394" s="34"/>
      <c r="J4394" s="38" t="str">
        <f>VLOOKUP(B4394,CAJEROS!B:E,4,0)</f>
        <v>MF_AEOLAYA</v>
      </c>
      <c r="K4394" t="s">
        <v>579</v>
      </c>
    </row>
    <row r="4395" spans="1:11">
      <c r="A4395" s="32">
        <v>60</v>
      </c>
      <c r="B4395" s="33">
        <v>8727</v>
      </c>
      <c r="C4395" s="3">
        <v>1100000</v>
      </c>
      <c r="D4395" s="3">
        <v>100000</v>
      </c>
      <c r="E4395" s="7">
        <f t="shared" si="93"/>
        <v>1000000</v>
      </c>
      <c r="F4395" s="5">
        <v>45918</v>
      </c>
      <c r="G4395" s="4">
        <v>20250917</v>
      </c>
      <c r="H4395" s="38" t="str">
        <f>VLOOKUP(B4395,CAJEROS!B:D,3,0)</f>
        <v>Multifuncional</v>
      </c>
      <c r="I4395" s="34"/>
      <c r="J4395" s="38" t="str">
        <f>VLOOKUP(B4395,CAJEROS!B:E,4,0)</f>
        <v>MF_HCALIPR1</v>
      </c>
      <c r="K4395" t="s">
        <v>579</v>
      </c>
    </row>
    <row r="4396" spans="1:11">
      <c r="A4396" s="32">
        <v>60</v>
      </c>
      <c r="B4396" s="33">
        <v>8728</v>
      </c>
      <c r="C4396" s="3">
        <v>800</v>
      </c>
      <c r="D4396" s="3"/>
      <c r="E4396" s="7">
        <f t="shared" si="93"/>
        <v>800</v>
      </c>
      <c r="F4396" s="5">
        <v>45918</v>
      </c>
      <c r="G4396" s="4">
        <v>20250917</v>
      </c>
      <c r="H4396" s="38" t="str">
        <f>VLOOKUP(B4396,CAJEROS!B:D,3,0)</f>
        <v>Multifuncional</v>
      </c>
      <c r="I4396" s="34"/>
      <c r="J4396" s="38" t="str">
        <f>VLOOKUP(B4396,CAJEROS!B:E,4,0)</f>
        <v>MF_HCALIPR2</v>
      </c>
      <c r="K4396" t="s">
        <v>579</v>
      </c>
    </row>
    <row r="4397" spans="1:11">
      <c r="A4397" s="32">
        <v>60</v>
      </c>
      <c r="B4397" s="33">
        <v>8729</v>
      </c>
      <c r="C4397" s="3">
        <v>250000</v>
      </c>
      <c r="D4397" s="3"/>
      <c r="E4397" s="7">
        <f t="shared" si="93"/>
        <v>250000</v>
      </c>
      <c r="F4397" s="5">
        <v>45918</v>
      </c>
      <c r="G4397" s="4">
        <v>20250917</v>
      </c>
      <c r="H4397" s="38" t="str">
        <f>VLOOKUP(B4397,CAJEROS!B:D,3,0)</f>
        <v>Multifuncional</v>
      </c>
      <c r="I4397" s="34"/>
      <c r="J4397" s="38" t="str">
        <f>VLOOKUP(B4397,CAJEROS!B:E,4,0)</f>
        <v>MF_HCALIPR3</v>
      </c>
      <c r="K4397" t="s">
        <v>579</v>
      </c>
    </row>
    <row r="4398" spans="1:11">
      <c r="A4398" s="32">
        <v>64</v>
      </c>
      <c r="B4398" s="33">
        <v>9306</v>
      </c>
      <c r="C4398" s="3">
        <v>50000</v>
      </c>
      <c r="D4398" s="3"/>
      <c r="E4398" s="7">
        <f t="shared" si="93"/>
        <v>50000</v>
      </c>
      <c r="F4398" s="5">
        <v>45918</v>
      </c>
      <c r="G4398" s="4">
        <v>20250917</v>
      </c>
      <c r="H4398" s="38" t="str">
        <f>VLOOKUP(B4398,CAJEROS!B:D,3,0)</f>
        <v>Multifuncional</v>
      </c>
      <c r="I4398" s="34"/>
      <c r="J4398" s="38" t="str">
        <f>VLOOKUP(B4398,CAJEROS!B:E,4,0)</f>
        <v>MFSUCVIPA1</v>
      </c>
      <c r="K4398" t="s">
        <v>579</v>
      </c>
    </row>
    <row r="4399" spans="1:11">
      <c r="A4399" s="32">
        <v>78</v>
      </c>
      <c r="B4399" s="33">
        <v>8594</v>
      </c>
      <c r="C4399" s="3">
        <v>850</v>
      </c>
      <c r="D4399" s="3"/>
      <c r="E4399" s="7">
        <f t="shared" si="93"/>
        <v>850</v>
      </c>
      <c r="F4399" s="5">
        <v>45918</v>
      </c>
      <c r="G4399" s="4">
        <v>20250917</v>
      </c>
      <c r="H4399" s="38" t="str">
        <f>VLOOKUP(B4399,CAJEROS!B:D,3,0)</f>
        <v>Multifuncional</v>
      </c>
      <c r="I4399" s="34"/>
      <c r="J4399" s="38" t="str">
        <f>VLOOKUP(B4399,CAJEROS!B:E,4,0)</f>
        <v>MF_CACIQUE2</v>
      </c>
      <c r="K4399" t="s">
        <v>579</v>
      </c>
    </row>
    <row r="4400" spans="1:11">
      <c r="A4400" s="32">
        <v>172</v>
      </c>
      <c r="B4400" s="33">
        <v>7429</v>
      </c>
      <c r="C4400" s="3">
        <v>600000</v>
      </c>
      <c r="D4400" s="3"/>
      <c r="E4400" s="7">
        <f t="shared" si="93"/>
        <v>600000</v>
      </c>
      <c r="F4400" s="5">
        <v>45918</v>
      </c>
      <c r="G4400" s="4">
        <v>20250917</v>
      </c>
      <c r="H4400" s="38" t="str">
        <f>VLOOKUP(B4400,CAJEROS!B:D,3,0)</f>
        <v>Multifuncional</v>
      </c>
      <c r="I4400" s="34"/>
      <c r="J4400" s="38" t="str">
        <f>VLOOKUP(B4400,CAJEROS!B:E,4,0)</f>
        <v>MF_TELEPORT</v>
      </c>
      <c r="K4400" t="s">
        <v>579</v>
      </c>
    </row>
    <row r="4401" spans="1:11">
      <c r="A4401" s="32">
        <v>244</v>
      </c>
      <c r="B4401" s="33">
        <v>5129</v>
      </c>
      <c r="C4401" s="3">
        <v>7110050</v>
      </c>
      <c r="D4401" s="3"/>
      <c r="E4401" s="7">
        <f t="shared" si="93"/>
        <v>7110050</v>
      </c>
      <c r="F4401" s="5">
        <v>45918</v>
      </c>
      <c r="G4401" s="4">
        <v>20250917</v>
      </c>
      <c r="H4401" s="38" t="str">
        <f>VLOOKUP(B4401,CAJEROS!B:D,3,0)</f>
        <v>Multifuncional</v>
      </c>
      <c r="I4401" s="34"/>
      <c r="J4401" s="38" t="str">
        <f>VLOOKUP(B4401,CAJEROS!B:E,4,0)</f>
        <v>MF_TRIGALAN</v>
      </c>
      <c r="K4401" t="s">
        <v>579</v>
      </c>
    </row>
    <row r="4402" spans="1:11">
      <c r="A4402" s="32">
        <v>253</v>
      </c>
      <c r="B4402" s="33">
        <v>5176</v>
      </c>
      <c r="C4402" s="3">
        <v>9964200</v>
      </c>
      <c r="D4402" s="3">
        <f>1700400+3090000</f>
        <v>4790400</v>
      </c>
      <c r="E4402" s="7">
        <f t="shared" si="93"/>
        <v>5173800</v>
      </c>
      <c r="F4402" s="5">
        <v>45918</v>
      </c>
      <c r="G4402" s="4">
        <v>20250917</v>
      </c>
      <c r="H4402" s="38" t="str">
        <f>VLOOKUP(B4402,CAJEROS!B:D,3,0)</f>
        <v>Multifuncional</v>
      </c>
      <c r="I4402" s="34"/>
      <c r="J4402" s="38" t="str">
        <f>VLOOKUP(B4402,CAJEROS!B:E,4,0)</f>
        <v>MF_SPTANORT</v>
      </c>
      <c r="K4402" t="s">
        <v>579</v>
      </c>
    </row>
    <row r="4403" spans="1:11">
      <c r="A4403" s="32">
        <v>361</v>
      </c>
      <c r="B4403" s="33">
        <v>5005</v>
      </c>
      <c r="C4403" s="3">
        <v>1272000</v>
      </c>
      <c r="D4403" s="3"/>
      <c r="E4403" s="7">
        <f t="shared" si="93"/>
        <v>1272000</v>
      </c>
      <c r="F4403" s="5">
        <v>45918</v>
      </c>
      <c r="G4403" s="4">
        <v>20250917</v>
      </c>
      <c r="H4403" s="38" t="str">
        <f>VLOOKUP(B4403,CAJEROS!B:D,3,0)</f>
        <v>Multifuncional</v>
      </c>
      <c r="I4403" s="34"/>
      <c r="J4403" s="38" t="str">
        <f>VLOOKUP(B4403,CAJEROS!B:E,4,0)</f>
        <v>MF_CDPFONTI</v>
      </c>
      <c r="K4403" t="s">
        <v>579</v>
      </c>
    </row>
    <row r="4404" spans="1:11">
      <c r="A4404" s="32">
        <v>383</v>
      </c>
      <c r="B4404" s="33">
        <v>5194</v>
      </c>
      <c r="C4404" s="3">
        <v>2163400</v>
      </c>
      <c r="D4404" s="3">
        <f>1130000+620000</f>
        <v>1750000</v>
      </c>
      <c r="E4404" s="7">
        <f t="shared" si="93"/>
        <v>413400</v>
      </c>
      <c r="F4404" s="5">
        <v>45918</v>
      </c>
      <c r="G4404" s="4">
        <v>20250917</v>
      </c>
      <c r="H4404" s="38" t="str">
        <f>VLOOKUP(B4404,CAJEROS!B:D,3,0)</f>
        <v>Multifuncional</v>
      </c>
      <c r="I4404" s="34"/>
      <c r="J4404" s="38" t="str">
        <f>VLOOKUP(B4404,CAJEROS!B:E,4,0)</f>
        <v>MF_MADRID</v>
      </c>
      <c r="K4404" t="s">
        <v>579</v>
      </c>
    </row>
    <row r="4405" spans="1:11">
      <c r="A4405" s="32">
        <v>392</v>
      </c>
      <c r="B4405" s="33">
        <v>5064</v>
      </c>
      <c r="C4405" s="3">
        <v>1338100</v>
      </c>
      <c r="D4405" s="3">
        <v>100</v>
      </c>
      <c r="E4405" s="7">
        <f t="shared" si="93"/>
        <v>1338000</v>
      </c>
      <c r="F4405" s="5">
        <v>45918</v>
      </c>
      <c r="G4405" s="4">
        <v>20250917</v>
      </c>
      <c r="H4405" s="38" t="str">
        <f>VLOOKUP(B4405,CAJEROS!B:D,3,0)</f>
        <v>Multifuncional</v>
      </c>
      <c r="I4405" s="34"/>
      <c r="J4405" s="38" t="str">
        <f>VLOOKUP(B4405,CAJEROS!B:E,4,0)</f>
        <v>MF_LADORADA</v>
      </c>
      <c r="K4405" t="s">
        <v>579</v>
      </c>
    </row>
    <row r="4406" spans="1:11">
      <c r="A4406" s="32">
        <v>486</v>
      </c>
      <c r="B4406" s="33">
        <v>5081</v>
      </c>
      <c r="C4406" s="3">
        <v>17941800</v>
      </c>
      <c r="D4406" s="3">
        <v>350000</v>
      </c>
      <c r="E4406" s="7">
        <f t="shared" si="93"/>
        <v>17591800</v>
      </c>
      <c r="F4406" s="5">
        <v>45918</v>
      </c>
      <c r="G4406" s="4">
        <v>20250917</v>
      </c>
      <c r="H4406" s="38" t="str">
        <f>VLOOKUP(B4406,CAJEROS!B:D,3,0)</f>
        <v>Multifuncional</v>
      </c>
      <c r="I4406" s="34"/>
      <c r="J4406" s="38" t="str">
        <f>VLOOKUP(B4406,CAJEROS!B:E,4,0)</f>
        <v>MF_SANNIBA1</v>
      </c>
      <c r="K4406" t="s">
        <v>579</v>
      </c>
    </row>
    <row r="4407" spans="1:11">
      <c r="A4407" s="32">
        <v>541</v>
      </c>
      <c r="B4407" s="33">
        <v>5185</v>
      </c>
      <c r="C4407" s="3">
        <v>13942000</v>
      </c>
      <c r="D4407" s="3"/>
      <c r="E4407" s="7">
        <f t="shared" si="93"/>
        <v>13942000</v>
      </c>
      <c r="F4407" s="5">
        <v>45918</v>
      </c>
      <c r="G4407" s="4">
        <v>20250917</v>
      </c>
      <c r="H4407" s="38" t="str">
        <f>VLOOKUP(B4407,CAJEROS!B:D,3,0)</f>
        <v>Multifuncional</v>
      </c>
      <c r="I4407" s="34"/>
      <c r="J4407" s="38" t="str">
        <f>VLOOKUP(B4407,CAJEROS!B:E,4,0)</f>
        <v>MF_PARQCALD</v>
      </c>
      <c r="K4407" t="s">
        <v>579</v>
      </c>
    </row>
    <row r="4408" spans="1:11">
      <c r="A4408" s="32">
        <v>554</v>
      </c>
      <c r="B4408" s="33">
        <v>8294</v>
      </c>
      <c r="C4408" s="3">
        <v>9653050</v>
      </c>
      <c r="D4408" s="3"/>
      <c r="E4408" s="7">
        <f t="shared" si="93"/>
        <v>9653050</v>
      </c>
      <c r="F4408" s="5">
        <v>45918</v>
      </c>
      <c r="G4408" s="4">
        <v>20250917</v>
      </c>
      <c r="H4408" s="38" t="str">
        <f>VLOOKUP(B4408,CAJEROS!B:D,3,0)</f>
        <v>Multifuncional</v>
      </c>
      <c r="I4408" s="34"/>
      <c r="J4408" s="38" t="str">
        <f>VLOOKUP(B4408,CAJEROS!B:E,4,0)</f>
        <v>MF_SBUVIII1</v>
      </c>
      <c r="K4408" t="s">
        <v>579</v>
      </c>
    </row>
    <row r="4409" spans="1:11">
      <c r="A4409" s="32">
        <v>554</v>
      </c>
      <c r="B4409" s="33">
        <v>8295</v>
      </c>
      <c r="C4409" s="3">
        <v>848500</v>
      </c>
      <c r="D4409" s="3"/>
      <c r="E4409" s="7">
        <f t="shared" si="93"/>
        <v>848500</v>
      </c>
      <c r="F4409" s="5">
        <v>45918</v>
      </c>
      <c r="G4409" s="4">
        <v>20250917</v>
      </c>
      <c r="H4409" s="38" t="str">
        <f>VLOOKUP(B4409,CAJEROS!B:D,3,0)</f>
        <v>Multifuncional</v>
      </c>
      <c r="I4409" s="34"/>
      <c r="J4409" s="38" t="str">
        <f>VLOOKUP(B4409,CAJEROS!B:E,4,0)</f>
        <v>MF_SBUVIII2</v>
      </c>
      <c r="K4409" t="s">
        <v>579</v>
      </c>
    </row>
    <row r="4410" spans="1:11">
      <c r="A4410" s="32">
        <v>634</v>
      </c>
      <c r="B4410" s="33">
        <v>5087</v>
      </c>
      <c r="C4410" s="3">
        <v>100000</v>
      </c>
      <c r="D4410" s="3"/>
      <c r="E4410" s="7">
        <f t="shared" si="93"/>
        <v>100000</v>
      </c>
      <c r="F4410" s="5">
        <v>45918</v>
      </c>
      <c r="G4410" s="4">
        <v>20250917</v>
      </c>
      <c r="H4410" s="38" t="str">
        <f>VLOOKUP(B4410,CAJEROS!B:D,3,0)</f>
        <v>Multifuncional</v>
      </c>
      <c r="I4410" s="34"/>
      <c r="J4410" s="38" t="str">
        <f>VLOOKUP(B4410,CAJEROS!B:E,4,0)</f>
        <v>MF_AVENI127</v>
      </c>
      <c r="K4410" t="s">
        <v>579</v>
      </c>
    </row>
    <row r="4411" spans="1:11">
      <c r="A4411" s="32">
        <v>652</v>
      </c>
      <c r="B4411" s="33">
        <v>5070</v>
      </c>
      <c r="C4411" s="3">
        <v>20350</v>
      </c>
      <c r="D4411" s="3">
        <v>16900</v>
      </c>
      <c r="E4411" s="7">
        <f t="shared" si="93"/>
        <v>3450</v>
      </c>
      <c r="F4411" s="5">
        <v>45918</v>
      </c>
      <c r="G4411" s="4">
        <v>20250917</v>
      </c>
      <c r="H4411" s="38" t="str">
        <f>VLOOKUP(B4411,CAJEROS!B:D,3,0)</f>
        <v>Multifuncional</v>
      </c>
      <c r="I4411" s="34"/>
      <c r="J4411" s="38" t="str">
        <f>VLOOKUP(B4411,CAJEROS!B:E,4,0)</f>
        <v>MF_CHICO94</v>
      </c>
      <c r="K4411" t="s">
        <v>579</v>
      </c>
    </row>
    <row r="4412" spans="1:11">
      <c r="A4412" s="32">
        <v>664</v>
      </c>
      <c r="B4412" s="33">
        <v>5191</v>
      </c>
      <c r="C4412" s="3">
        <v>18097000</v>
      </c>
      <c r="D4412" s="3"/>
      <c r="E4412" s="7">
        <f t="shared" si="93"/>
        <v>18097000</v>
      </c>
      <c r="F4412" s="5">
        <v>45918</v>
      </c>
      <c r="G4412" s="4">
        <v>20250917</v>
      </c>
      <c r="H4412" s="38" t="str">
        <f>VLOOKUP(B4412,CAJEROS!B:D,3,0)</f>
        <v>Multifuncional</v>
      </c>
      <c r="I4412" s="34"/>
      <c r="J4412" s="38" t="str">
        <f>VLOOKUP(B4412,CAJEROS!B:E,4,0)</f>
        <v>MF_CORABAST</v>
      </c>
      <c r="K4412" t="s">
        <v>579</v>
      </c>
    </row>
    <row r="4413" spans="1:11">
      <c r="A4413" s="32">
        <v>741</v>
      </c>
      <c r="B4413" s="33">
        <v>6843</v>
      </c>
      <c r="C4413" s="3">
        <v>444000</v>
      </c>
      <c r="D4413" s="3"/>
      <c r="E4413" s="7">
        <f t="shared" si="93"/>
        <v>444000</v>
      </c>
      <c r="F4413" s="5">
        <v>45918</v>
      </c>
      <c r="G4413" s="4">
        <v>20250917</v>
      </c>
      <c r="H4413" s="38" t="str">
        <f>VLOOKUP(B4413,CAJEROS!B:D,3,0)</f>
        <v>Multifuncional</v>
      </c>
      <c r="I4413" s="34"/>
      <c r="J4413" s="38" t="str">
        <f>VLOOKUP(B4413,CAJEROS!B:E,4,0)</f>
        <v>MFSUC_IDEO1</v>
      </c>
      <c r="K4413" t="s">
        <v>579</v>
      </c>
    </row>
    <row r="4414" spans="1:11">
      <c r="A4414" s="32">
        <v>795</v>
      </c>
      <c r="B4414" s="33">
        <v>1029</v>
      </c>
      <c r="C4414" s="3">
        <v>4240000</v>
      </c>
      <c r="D4414" s="3"/>
      <c r="E4414" s="7">
        <f t="shared" si="93"/>
        <v>4240000</v>
      </c>
      <c r="F4414" s="5">
        <v>45918</v>
      </c>
      <c r="G4414" s="4">
        <v>20250917</v>
      </c>
      <c r="H4414" s="38" t="str">
        <f>VLOOKUP(B4414,CAJEROS!B:D,3,0)</f>
        <v>Multifuncional</v>
      </c>
      <c r="I4414" s="34"/>
      <c r="J4414" s="38" t="str">
        <f>VLOOKUP(B4414,CAJEROS!B:E,4,0)</f>
        <v>MFSUCANVER3</v>
      </c>
      <c r="K4414" t="s">
        <v>579</v>
      </c>
    </row>
    <row r="4415" spans="1:11">
      <c r="A4415" s="32">
        <v>868</v>
      </c>
      <c r="B4415" s="33">
        <v>6149</v>
      </c>
      <c r="C4415" s="3">
        <v>1150000</v>
      </c>
      <c r="D4415" s="3"/>
      <c r="E4415" s="7">
        <f t="shared" si="93"/>
        <v>1150000</v>
      </c>
      <c r="F4415" s="5">
        <v>45918</v>
      </c>
      <c r="G4415" s="4">
        <v>20250917</v>
      </c>
      <c r="H4415" s="38" t="str">
        <f>VLOOKUP(B4415,CAJEROS!B:D,3,0)</f>
        <v>Multifuncional</v>
      </c>
      <c r="I4415" s="34"/>
      <c r="J4415" s="38" t="str">
        <f>VLOOKUP(B4415,CAJEROS!B:E,4,0)</f>
        <v>MF_POPAYAN1</v>
      </c>
      <c r="K4415" t="s">
        <v>579</v>
      </c>
    </row>
    <row r="4416" spans="1:11">
      <c r="A4416" s="32">
        <v>890</v>
      </c>
      <c r="B4416" s="33">
        <v>9584</v>
      </c>
      <c r="C4416" s="3">
        <v>11145000</v>
      </c>
      <c r="D4416" s="3"/>
      <c r="E4416" s="7">
        <f t="shared" si="93"/>
        <v>11145000</v>
      </c>
      <c r="F4416" s="5">
        <v>45918</v>
      </c>
      <c r="G4416" s="4">
        <v>20250917</v>
      </c>
      <c r="H4416" s="38" t="str">
        <f>VLOOKUP(B4416,CAJEROS!B:D,3,0)</f>
        <v>Multifuncional</v>
      </c>
      <c r="I4416" s="34"/>
      <c r="J4416" s="38" t="str">
        <f>VLOOKUP(B4416,CAJEROS!B:E,4,0)</f>
        <v>MFSUCACACI1</v>
      </c>
      <c r="K4416" t="s">
        <v>579</v>
      </c>
    </row>
    <row r="4417" spans="1:11">
      <c r="A4417" s="32">
        <v>907</v>
      </c>
      <c r="B4417" s="33">
        <v>5019</v>
      </c>
      <c r="C4417" s="3">
        <v>1081500</v>
      </c>
      <c r="D4417" s="3"/>
      <c r="E4417" s="7">
        <f t="shared" si="93"/>
        <v>1081500</v>
      </c>
      <c r="F4417" s="5">
        <v>45918</v>
      </c>
      <c r="G4417" s="4">
        <v>20250917</v>
      </c>
      <c r="H4417" s="38" t="str">
        <f>VLOOKUP(B4417,CAJEROS!B:D,3,0)</f>
        <v>Multifuncional</v>
      </c>
      <c r="I4417" s="34"/>
      <c r="J4417" s="38" t="str">
        <f>VLOOKUP(B4417,CAJEROS!B:E,4,0)</f>
        <v>MF_FRONTERA</v>
      </c>
      <c r="K4417" t="s">
        <v>579</v>
      </c>
    </row>
    <row r="4418" spans="1:11">
      <c r="A4418" s="32">
        <v>941</v>
      </c>
      <c r="B4418" s="33">
        <v>5220</v>
      </c>
      <c r="C4418" s="3">
        <v>13160000</v>
      </c>
      <c r="D4418" s="3"/>
      <c r="E4418" s="7">
        <f t="shared" si="93"/>
        <v>13160000</v>
      </c>
      <c r="F4418" s="5">
        <v>45918</v>
      </c>
      <c r="G4418" s="4">
        <v>20250917</v>
      </c>
      <c r="H4418" s="38" t="str">
        <f>VLOOKUP(B4418,CAJEROS!B:D,3,0)</f>
        <v>Multifuncional</v>
      </c>
      <c r="I4418" s="34"/>
      <c r="J4418" s="38" t="str">
        <f>VLOOKUP(B4418,CAJEROS!B:E,4,0)</f>
        <v>MF_NEIVANVA</v>
      </c>
      <c r="K4418" t="s">
        <v>579</v>
      </c>
    </row>
    <row r="4419" spans="1:11">
      <c r="A4419" s="32">
        <v>957</v>
      </c>
      <c r="B4419" s="33">
        <v>9513</v>
      </c>
      <c r="C4419" s="3">
        <v>9800000</v>
      </c>
      <c r="D4419" s="3"/>
      <c r="E4419" s="7">
        <f t="shared" si="93"/>
        <v>9800000</v>
      </c>
      <c r="F4419" s="5">
        <v>45918</v>
      </c>
      <c r="G4419" s="4">
        <v>20250917</v>
      </c>
      <c r="H4419" s="38" t="str">
        <f>VLOOKUP(B4419,CAJEROS!B:D,3,0)</f>
        <v>Multifuncional</v>
      </c>
      <c r="I4419" s="34"/>
      <c r="J4419" s="38" t="str">
        <f>VLOOKUP(B4419,CAJEROS!B:E,4,0)</f>
        <v>MFSUCPARAL2</v>
      </c>
      <c r="K4419" t="s">
        <v>579</v>
      </c>
    </row>
    <row r="4420" spans="1:11">
      <c r="A4420" s="32">
        <v>348</v>
      </c>
      <c r="B4420" s="33">
        <v>6724</v>
      </c>
      <c r="C4420" s="3">
        <v>3153000</v>
      </c>
      <c r="D4420" s="3"/>
      <c r="E4420" s="7">
        <f t="shared" si="93"/>
        <v>3153000</v>
      </c>
      <c r="F4420" s="5">
        <v>45918</v>
      </c>
      <c r="G4420" s="4">
        <v>20250917</v>
      </c>
      <c r="H4420" s="38" t="str">
        <f>VLOOKUP(B4420,CAJEROS!B:D,3,0)</f>
        <v>Multifuncional</v>
      </c>
      <c r="I4420" s="34" t="s">
        <v>9</v>
      </c>
      <c r="J4420" s="38" t="str">
        <f>VLOOKUP(B4420,CAJEROS!B:E,4,0)</f>
        <v>MF_SANANDRE</v>
      </c>
      <c r="K4420" t="s">
        <v>579</v>
      </c>
    </row>
    <row r="4421" spans="1:11">
      <c r="A4421" s="32">
        <v>419</v>
      </c>
      <c r="B4421" s="33">
        <v>5077</v>
      </c>
      <c r="C4421" s="3">
        <v>3122500</v>
      </c>
      <c r="D4421" s="3">
        <v>2837800</v>
      </c>
      <c r="E4421" s="7">
        <f t="shared" si="93"/>
        <v>284700</v>
      </c>
      <c r="F4421" s="5">
        <v>45918</v>
      </c>
      <c r="G4421" s="4">
        <v>20250917</v>
      </c>
      <c r="H4421" s="38" t="str">
        <f>VLOOKUP(B4421,CAJEROS!B:D,3,0)</f>
        <v>Multifuncional</v>
      </c>
      <c r="I4421" s="34" t="s">
        <v>9</v>
      </c>
      <c r="J4421" s="38" t="str">
        <f>VLOOKUP(B4421,CAJEROS!B:E,4,0)</f>
        <v>MF_CPUNIBOG</v>
      </c>
      <c r="K4421" t="s">
        <v>579</v>
      </c>
    </row>
    <row r="4422" spans="1:11">
      <c r="A4422" s="32">
        <v>750</v>
      </c>
      <c r="B4422" s="33">
        <v>5157</v>
      </c>
      <c r="C4422" s="3">
        <v>3050000</v>
      </c>
      <c r="D4422" s="3">
        <v>1570000</v>
      </c>
      <c r="E4422" s="7">
        <f t="shared" si="93"/>
        <v>1480000</v>
      </c>
      <c r="F4422" s="5">
        <v>45918</v>
      </c>
      <c r="G4422" s="4">
        <v>20250917</v>
      </c>
      <c r="H4422" s="38" t="str">
        <f>VLOOKUP(B4422,CAJEROS!B:D,3,0)</f>
        <v>Multifuncional</v>
      </c>
      <c r="I4422" s="34" t="s">
        <v>9</v>
      </c>
      <c r="J4422" s="38" t="str">
        <f>VLOOKUP(B4422,CAJEROS!B:E,4,0)</f>
        <v>MF_AVROOSVL</v>
      </c>
      <c r="K4422" t="s">
        <v>579</v>
      </c>
    </row>
    <row r="4423" spans="1:11">
      <c r="A4423" s="32">
        <v>348</v>
      </c>
      <c r="B4423" s="33">
        <v>192</v>
      </c>
      <c r="C4423" s="3">
        <v>2950000</v>
      </c>
      <c r="D4423" s="3">
        <v>2949950</v>
      </c>
      <c r="E4423" s="7">
        <f t="shared" si="93"/>
        <v>50</v>
      </c>
      <c r="F4423" s="5">
        <v>45918</v>
      </c>
      <c r="G4423" s="4">
        <v>20250917</v>
      </c>
      <c r="H4423" s="38" t="str">
        <f>VLOOKUP(B4423,CAJEROS!B:D,3,0)</f>
        <v>Multifuncional</v>
      </c>
      <c r="I4423" s="34" t="s">
        <v>9</v>
      </c>
      <c r="J4423" s="38" t="str">
        <f>VLOOKUP(B4423,CAJEROS!B:E,4,0)</f>
        <v>MF_SANDRES3</v>
      </c>
      <c r="K4423" t="s">
        <v>579</v>
      </c>
    </row>
    <row r="4424" spans="1:11">
      <c r="A4424" s="32">
        <v>944</v>
      </c>
      <c r="B4424" s="33">
        <v>2228</v>
      </c>
      <c r="C4424" s="3">
        <v>2925000</v>
      </c>
      <c r="D4424" s="3">
        <f>2855000+60300</f>
        <v>2915300</v>
      </c>
      <c r="E4424" s="7">
        <f t="shared" si="93"/>
        <v>9700</v>
      </c>
      <c r="F4424" s="5">
        <v>45918</v>
      </c>
      <c r="G4424" s="4">
        <v>20250917</v>
      </c>
      <c r="H4424" s="38" t="str">
        <f>VLOOKUP(B4424,CAJEROS!B:D,3,0)</f>
        <v>Multifuncional</v>
      </c>
      <c r="I4424" s="34" t="s">
        <v>9</v>
      </c>
      <c r="J4424" s="38" t="str">
        <f>VLOOKUP(B4424,CAJEROS!B:E,4,0)</f>
        <v>MF_SANTABO3</v>
      </c>
      <c r="K4424" t="s">
        <v>579</v>
      </c>
    </row>
    <row r="4425" spans="1:11">
      <c r="A4425" s="32">
        <v>379</v>
      </c>
      <c r="B4425" s="33">
        <v>6465</v>
      </c>
      <c r="C4425" s="3">
        <v>2550000</v>
      </c>
      <c r="D4425" s="3"/>
      <c r="E4425" s="7">
        <f t="shared" si="93"/>
        <v>2550000</v>
      </c>
      <c r="F4425" s="5">
        <v>45918</v>
      </c>
      <c r="G4425" s="4">
        <v>20250917</v>
      </c>
      <c r="H4425" s="38" t="str">
        <f>VLOOKUP(B4425,CAJEROS!B:D,3,0)</f>
        <v>Multifuncional</v>
      </c>
      <c r="I4425" s="34" t="s">
        <v>9</v>
      </c>
      <c r="J4425" s="38" t="str">
        <f>VLOOKUP(B4425,CAJEROS!B:E,4,0)</f>
        <v>MF_SUCTESO1</v>
      </c>
      <c r="K4425" t="s">
        <v>579</v>
      </c>
    </row>
    <row r="4426" spans="1:11">
      <c r="A4426" s="32">
        <v>395</v>
      </c>
      <c r="B4426" s="33">
        <v>1529</v>
      </c>
      <c r="C4426" s="3">
        <v>2070000</v>
      </c>
      <c r="D4426" s="3"/>
      <c r="E4426" s="7">
        <f t="shared" si="93"/>
        <v>2070000</v>
      </c>
      <c r="F4426" s="5">
        <v>45918</v>
      </c>
      <c r="G4426" s="4">
        <v>20250917</v>
      </c>
      <c r="H4426" s="38" t="str">
        <f>VLOOKUP(B4426,CAJEROS!B:D,3,0)</f>
        <v>Multifuncional</v>
      </c>
      <c r="I4426" s="34" t="s">
        <v>9</v>
      </c>
      <c r="J4426" s="38" t="str">
        <f>VLOOKUP(B4426,CAJEROS!B:E,4,0)</f>
        <v>SUCMFVIVCI2</v>
      </c>
      <c r="K4426" t="s">
        <v>579</v>
      </c>
    </row>
    <row r="4427" spans="1:11">
      <c r="A4427" s="32">
        <v>318</v>
      </c>
      <c r="B4427" s="33">
        <v>7680</v>
      </c>
      <c r="C4427" s="3">
        <v>1805000</v>
      </c>
      <c r="D4427" s="3"/>
      <c r="E4427" s="7">
        <f t="shared" si="93"/>
        <v>1805000</v>
      </c>
      <c r="F4427" s="5">
        <v>45918</v>
      </c>
      <c r="G4427" s="4">
        <v>20250917</v>
      </c>
      <c r="H4427" s="38" t="str">
        <f>VLOOKUP(B4427,CAJEROS!B:D,3,0)</f>
        <v>Multifuncional</v>
      </c>
      <c r="I4427" s="34" t="s">
        <v>9</v>
      </c>
      <c r="J4427" s="38" t="str">
        <f>VLOOKUP(B4427,CAJEROS!B:E,4,0)</f>
        <v>MF_OCANA2</v>
      </c>
      <c r="K4427" t="s">
        <v>579</v>
      </c>
    </row>
    <row r="4428" spans="1:11">
      <c r="A4428" s="32">
        <v>825</v>
      </c>
      <c r="B4428" s="33">
        <v>5023</v>
      </c>
      <c r="C4428" s="3">
        <v>1740000</v>
      </c>
      <c r="D4428" s="3"/>
      <c r="E4428" s="7">
        <f t="shared" si="93"/>
        <v>1740000</v>
      </c>
      <c r="F4428" s="5">
        <v>45918</v>
      </c>
      <c r="G4428" s="4">
        <v>20250917</v>
      </c>
      <c r="H4428" s="38" t="str">
        <f>VLOOKUP(B4428,CAJEROS!B:D,3,0)</f>
        <v>Multifuncional</v>
      </c>
      <c r="I4428" s="34" t="s">
        <v>9</v>
      </c>
      <c r="J4428" s="38" t="str">
        <f>VLOOKUP(B4428,CAJEROS!B:E,4,0)</f>
        <v>MF_ASTROCEN</v>
      </c>
      <c r="K4428" t="s">
        <v>579</v>
      </c>
    </row>
    <row r="4429" spans="1:11">
      <c r="A4429" s="32">
        <v>70</v>
      </c>
      <c r="B4429" s="33">
        <v>5164</v>
      </c>
      <c r="C4429" s="3">
        <v>1212500</v>
      </c>
      <c r="D4429" s="3"/>
      <c r="E4429" s="7">
        <f t="shared" si="93"/>
        <v>1212500</v>
      </c>
      <c r="F4429" s="5">
        <v>45918</v>
      </c>
      <c r="G4429" s="4">
        <v>20250917</v>
      </c>
      <c r="H4429" s="38" t="str">
        <f>VLOOKUP(B4429,CAJEROS!B:D,3,0)</f>
        <v>Multifuncional</v>
      </c>
      <c r="I4429" s="34" t="s">
        <v>9</v>
      </c>
      <c r="J4429" s="38" t="str">
        <f>VLOOKUP(B4429,CAJEROS!B:E,4,0)</f>
        <v>MF_MANIZALE</v>
      </c>
      <c r="K4429" t="s">
        <v>579</v>
      </c>
    </row>
    <row r="4430" spans="1:11">
      <c r="A4430" s="32">
        <v>944</v>
      </c>
      <c r="B4430" s="33">
        <v>8354</v>
      </c>
      <c r="C4430" s="3">
        <v>1135000</v>
      </c>
      <c r="D4430" s="3"/>
      <c r="E4430" s="7">
        <f t="shared" si="93"/>
        <v>1135000</v>
      </c>
      <c r="F4430" s="5">
        <v>45918</v>
      </c>
      <c r="G4430" s="4">
        <v>20250917</v>
      </c>
      <c r="H4430" s="38" t="str">
        <f>VLOOKUP(B4430,CAJEROS!B:D,3,0)</f>
        <v>Multifuncional</v>
      </c>
      <c r="I4430" s="34" t="s">
        <v>9</v>
      </c>
      <c r="J4430" s="38" t="str">
        <f>VLOOKUP(B4430,CAJEROS!B:E,4,0)</f>
        <v>MF_SANTABO2</v>
      </c>
      <c r="K4430" t="s">
        <v>579</v>
      </c>
    </row>
    <row r="4431" spans="1:11">
      <c r="A4431" s="32">
        <v>849</v>
      </c>
      <c r="B4431" s="33">
        <v>9724</v>
      </c>
      <c r="C4431" s="3">
        <v>950000</v>
      </c>
      <c r="D4431" s="3">
        <v>450000</v>
      </c>
      <c r="E4431" s="7">
        <f t="shared" si="93"/>
        <v>500000</v>
      </c>
      <c r="F4431" s="5">
        <v>45918</v>
      </c>
      <c r="G4431" s="4">
        <v>20250917</v>
      </c>
      <c r="H4431" s="38" t="str">
        <f>VLOOKUP(B4431,CAJEROS!B:D,3,0)</f>
        <v>Multifuncional</v>
      </c>
      <c r="I4431" s="34" t="s">
        <v>9</v>
      </c>
      <c r="J4431" s="38" t="str">
        <f>VLOOKUP(B4431,CAJEROS!B:E,4,0)</f>
        <v>MF_SUNIVIL1</v>
      </c>
      <c r="K4431" t="s">
        <v>579</v>
      </c>
    </row>
    <row r="4432" spans="1:11">
      <c r="A4432" s="32">
        <v>716</v>
      </c>
      <c r="B4432" s="33">
        <v>5192</v>
      </c>
      <c r="C4432" s="3">
        <v>390000</v>
      </c>
      <c r="D4432" s="3"/>
      <c r="E4432" s="7">
        <f t="shared" si="93"/>
        <v>390000</v>
      </c>
      <c r="F4432" s="5">
        <v>45918</v>
      </c>
      <c r="G4432" s="4">
        <v>20250917</v>
      </c>
      <c r="H4432" s="38" t="str">
        <f>VLOOKUP(B4432,CAJEROS!B:D,3,0)</f>
        <v>Multifuncional</v>
      </c>
      <c r="I4432" s="34" t="s">
        <v>9</v>
      </c>
      <c r="J4432" s="38" t="str">
        <f>VLOOKUP(B4432,CAJEROS!B:E,4,0)</f>
        <v>MF_AVCGORDS</v>
      </c>
      <c r="K4432" t="s">
        <v>579</v>
      </c>
    </row>
    <row r="4433" spans="1:11">
      <c r="A4433" s="32">
        <v>517</v>
      </c>
      <c r="B4433" s="33">
        <v>5053</v>
      </c>
      <c r="C4433" s="3">
        <v>230000</v>
      </c>
      <c r="D4433" s="3"/>
      <c r="E4433" s="7">
        <f t="shared" si="93"/>
        <v>230000</v>
      </c>
      <c r="F4433" s="5">
        <v>45918</v>
      </c>
      <c r="G4433" s="4">
        <v>20250917</v>
      </c>
      <c r="H4433" s="38" t="str">
        <f>VLOOKUP(B4433,CAJEROS!B:D,3,0)</f>
        <v>Multifuncional</v>
      </c>
      <c r="I4433" s="34" t="s">
        <v>9</v>
      </c>
      <c r="J4433" s="38" t="str">
        <f>VLOOKUP(B4433,CAJEROS!B:E,4,0)</f>
        <v>MF_RODADERO</v>
      </c>
      <c r="K4433" t="s">
        <v>579</v>
      </c>
    </row>
    <row r="4434" spans="1:11">
      <c r="A4434" s="32">
        <v>167</v>
      </c>
      <c r="B4434" s="33">
        <v>5030</v>
      </c>
      <c r="C4434" s="3">
        <v>210000</v>
      </c>
      <c r="D4434" s="3"/>
      <c r="E4434" s="7">
        <f t="shared" si="93"/>
        <v>210000</v>
      </c>
      <c r="F4434" s="5">
        <v>45918</v>
      </c>
      <c r="G4434" s="4">
        <v>20250917</v>
      </c>
      <c r="H4434" s="38" t="str">
        <f>VLOOKUP(B4434,CAJEROS!B:D,3,0)</f>
        <v>Multifuncional</v>
      </c>
      <c r="I4434" s="34" t="s">
        <v>9</v>
      </c>
      <c r="J4434" s="38" t="str">
        <f>VLOOKUP(B4434,CAJEROS!B:E,4,0)</f>
        <v>MF_AVENID82</v>
      </c>
      <c r="K4434" t="s">
        <v>579</v>
      </c>
    </row>
    <row r="4435" spans="1:11">
      <c r="A4435" s="32">
        <v>277</v>
      </c>
      <c r="B4435" s="33">
        <v>5021</v>
      </c>
      <c r="C4435" s="3">
        <v>210000</v>
      </c>
      <c r="D4435" s="3"/>
      <c r="E4435" s="7">
        <f t="shared" si="93"/>
        <v>210000</v>
      </c>
      <c r="F4435" s="5">
        <v>45918</v>
      </c>
      <c r="G4435" s="4">
        <v>20250917</v>
      </c>
      <c r="H4435" s="38" t="str">
        <f>VLOOKUP(B4435,CAJEROS!B:D,3,0)</f>
        <v>Multifuncional</v>
      </c>
      <c r="I4435" s="34" t="s">
        <v>9</v>
      </c>
      <c r="J4435" s="38" t="str">
        <f>VLOOKUP(B4435,CAJEROS!B:E,4,0)</f>
        <v>MF_CCMAYOR1</v>
      </c>
      <c r="K4435" t="s">
        <v>579</v>
      </c>
    </row>
    <row r="4436" spans="1:11">
      <c r="A4436" s="32">
        <v>57</v>
      </c>
      <c r="B4436" s="33">
        <v>9963</v>
      </c>
      <c r="C4436" s="3">
        <v>160000</v>
      </c>
      <c r="D4436" s="3"/>
      <c r="E4436" s="7">
        <f t="shared" si="93"/>
        <v>160000</v>
      </c>
      <c r="F4436" s="5">
        <v>45918</v>
      </c>
      <c r="G4436" s="4">
        <v>20250917</v>
      </c>
      <c r="H4436" s="38" t="str">
        <f>VLOOKUP(B4436,CAJEROS!B:D,3,0)</f>
        <v>Multifuncional</v>
      </c>
      <c r="I4436" s="34" t="s">
        <v>9</v>
      </c>
      <c r="J4436" s="38" t="str">
        <f>VLOOKUP(B4436,CAJEROS!B:E,4,0)</f>
        <v>MF_VILLAVI1</v>
      </c>
      <c r="K4436" t="s">
        <v>579</v>
      </c>
    </row>
    <row r="4437" spans="1:11">
      <c r="A4437" s="32">
        <v>916</v>
      </c>
      <c r="B4437" s="33">
        <v>5052</v>
      </c>
      <c r="C4437" s="3">
        <v>141400</v>
      </c>
      <c r="D4437" s="3"/>
      <c r="E4437" s="7">
        <f t="shared" si="93"/>
        <v>141400</v>
      </c>
      <c r="F4437" s="5">
        <v>45918</v>
      </c>
      <c r="G4437" s="4">
        <v>20250917</v>
      </c>
      <c r="H4437" s="38" t="str">
        <f>VLOOKUP(B4437,CAJEROS!B:D,3,0)</f>
        <v>Multifuncional</v>
      </c>
      <c r="I4437" s="34" t="s">
        <v>9</v>
      </c>
      <c r="J4437" s="38" t="str">
        <f>VLOOKUP(B4437,CAJEROS!B:E,4,0)</f>
        <v>MF_OCEANMAL</v>
      </c>
      <c r="K4437" t="s">
        <v>579</v>
      </c>
    </row>
    <row r="4438" spans="1:11">
      <c r="A4438" s="32">
        <v>332</v>
      </c>
      <c r="B4438" s="33">
        <v>7569</v>
      </c>
      <c r="C4438" s="3">
        <v>50000</v>
      </c>
      <c r="D4438" s="3"/>
      <c r="E4438" s="7">
        <f t="shared" ref="E4438:E4501" si="94">+C4438-D4438</f>
        <v>50000</v>
      </c>
      <c r="F4438" s="5">
        <v>45918</v>
      </c>
      <c r="G4438" s="4">
        <v>20250917</v>
      </c>
      <c r="H4438" s="38" t="str">
        <f>VLOOKUP(B4438,CAJEROS!B:D,3,0)</f>
        <v>Multifuncional</v>
      </c>
      <c r="I4438" s="34" t="s">
        <v>9</v>
      </c>
      <c r="J4438" s="38" t="str">
        <f>VLOOKUP(B4438,CAJEROS!B:E,4,0)</f>
        <v>MF_ZIPAQUI2</v>
      </c>
      <c r="K4438" t="s">
        <v>579</v>
      </c>
    </row>
    <row r="4439" spans="1:11">
      <c r="A4439" s="32">
        <v>178</v>
      </c>
      <c r="B4439" s="33">
        <v>6218</v>
      </c>
      <c r="C4439" s="3">
        <v>47000</v>
      </c>
      <c r="D4439" s="3"/>
      <c r="E4439" s="7">
        <f t="shared" si="94"/>
        <v>47000</v>
      </c>
      <c r="F4439" s="5">
        <v>45918</v>
      </c>
      <c r="G4439" s="4">
        <v>20250917</v>
      </c>
      <c r="H4439" s="38" t="str">
        <f>VLOOKUP(B4439,CAJEROS!B:D,3,0)</f>
        <v>Multifuncional</v>
      </c>
      <c r="I4439" s="34" t="s">
        <v>9</v>
      </c>
      <c r="J4439" s="38" t="str">
        <f>VLOOKUP(B4439,CAJEROS!B:E,4,0)</f>
        <v>MF_CFINANCI</v>
      </c>
      <c r="K4439" t="s">
        <v>579</v>
      </c>
    </row>
    <row r="4440" spans="1:11">
      <c r="A4440" s="32">
        <v>769</v>
      </c>
      <c r="B4440" s="33">
        <v>5051</v>
      </c>
      <c r="C4440" s="3">
        <v>10000</v>
      </c>
      <c r="D4440" s="3"/>
      <c r="E4440" s="7">
        <f t="shared" si="94"/>
        <v>10000</v>
      </c>
      <c r="F4440" s="5">
        <v>45918</v>
      </c>
      <c r="G4440" s="4">
        <v>20250917</v>
      </c>
      <c r="H4440" s="38" t="str">
        <f>VLOOKUP(B4440,CAJEROS!B:D,3,0)</f>
        <v>Multifuncional</v>
      </c>
      <c r="I4440" s="34" t="s">
        <v>10</v>
      </c>
      <c r="J4440" s="38" t="str">
        <f>VLOOKUP(B4440,CAJEROS!B:E,4,0)</f>
        <v>MF_SUCPPRA2</v>
      </c>
      <c r="K4440" t="s">
        <v>579</v>
      </c>
    </row>
    <row r="4441" spans="1:11">
      <c r="A4441" s="32">
        <v>91</v>
      </c>
      <c r="B4441" s="33">
        <v>8164</v>
      </c>
      <c r="C4441" s="3">
        <v>20000</v>
      </c>
      <c r="D4441" s="3"/>
      <c r="E4441" s="7">
        <f t="shared" si="94"/>
        <v>20000</v>
      </c>
      <c r="F4441" s="5">
        <v>45918</v>
      </c>
      <c r="G4441" s="4">
        <v>20250917</v>
      </c>
      <c r="H4441" s="38" t="str">
        <f>VLOOKUP(B4441,CAJEROS!B:D,3,0)</f>
        <v>Dispensador</v>
      </c>
      <c r="I4441" s="34" t="s">
        <v>10</v>
      </c>
      <c r="J4441" s="38" t="str">
        <f>VLOOKUP(B4441,CAJEROS!B:E,4,0)</f>
        <v>SUC_MONTER6</v>
      </c>
      <c r="K4441" t="s">
        <v>579</v>
      </c>
    </row>
    <row r="4442" spans="1:11">
      <c r="A4442" s="32">
        <v>503</v>
      </c>
      <c r="B4442" s="33">
        <v>5031</v>
      </c>
      <c r="C4442" s="3">
        <v>10000</v>
      </c>
      <c r="D4442" s="3"/>
      <c r="E4442" s="7">
        <f t="shared" si="94"/>
        <v>10000</v>
      </c>
      <c r="F4442" s="5">
        <v>45918</v>
      </c>
      <c r="G4442" s="4">
        <v>20250917</v>
      </c>
      <c r="H4442" s="38" t="str">
        <f>VLOOKUP(B4442,CAJEROS!B:D,3,0)</f>
        <v>Dispensador</v>
      </c>
      <c r="I4442" s="34" t="s">
        <v>10</v>
      </c>
      <c r="J4442" s="38" t="str">
        <f>VLOOKUP(B4442,CAJEROS!B:E,4,0)</f>
        <v>YARUMAL1</v>
      </c>
      <c r="K4442" t="s">
        <v>579</v>
      </c>
    </row>
    <row r="4443" spans="1:11">
      <c r="A4443" s="32">
        <v>88</v>
      </c>
      <c r="B4443" s="33">
        <v>5111</v>
      </c>
      <c r="C4443" s="3">
        <v>5000</v>
      </c>
      <c r="D4443" s="3"/>
      <c r="E4443" s="7">
        <f t="shared" si="94"/>
        <v>5000</v>
      </c>
      <c r="F4443" s="5">
        <v>45918</v>
      </c>
      <c r="G4443" s="4">
        <v>20250917</v>
      </c>
      <c r="H4443" s="38" t="str">
        <f>VLOOKUP(B4443,CAJEROS!B:D,3,0)</f>
        <v>Multifuncional</v>
      </c>
      <c r="I4443" s="34" t="s">
        <v>10</v>
      </c>
      <c r="J4443" s="38" t="str">
        <f>VLOOKUP(B4443,CAJEROS!B:E,4,0)</f>
        <v>MF_CUCUTPAL</v>
      </c>
      <c r="K4443" t="s">
        <v>579</v>
      </c>
    </row>
    <row r="4444" spans="1:11">
      <c r="A4444" s="32">
        <v>330</v>
      </c>
      <c r="B4444" s="33">
        <v>4406</v>
      </c>
      <c r="C4444" s="3">
        <v>10000</v>
      </c>
      <c r="D4444" s="3"/>
      <c r="E4444" s="7">
        <f t="shared" si="94"/>
        <v>10000</v>
      </c>
      <c r="F4444" s="5">
        <v>45918</v>
      </c>
      <c r="G4444" s="4">
        <v>20250917</v>
      </c>
      <c r="H4444" s="38" t="str">
        <f>VLOOKUP(B4444,CAJEROS!B:D,3,0)</f>
        <v>Dispensador</v>
      </c>
      <c r="I4444" s="34" t="s">
        <v>10</v>
      </c>
      <c r="J4444" s="38" t="str">
        <f>VLOOKUP(B4444,CAJEROS!B:E,4,0)</f>
        <v>SUC_MALAMB1</v>
      </c>
      <c r="K4444" t="s">
        <v>579</v>
      </c>
    </row>
    <row r="4445" spans="1:11">
      <c r="A4445" s="32">
        <v>317</v>
      </c>
      <c r="B4445" s="33">
        <v>3402</v>
      </c>
      <c r="C4445" s="3">
        <v>10000</v>
      </c>
      <c r="D4445" s="3"/>
      <c r="E4445" s="7">
        <f t="shared" si="94"/>
        <v>10000</v>
      </c>
      <c r="F4445" s="5">
        <v>45918</v>
      </c>
      <c r="G4445" s="4">
        <v>20250917</v>
      </c>
      <c r="H4445" s="38" t="str">
        <f>VLOOKUP(B4445,CAJEROS!B:D,3,0)</f>
        <v>Dispensador</v>
      </c>
      <c r="I4445" s="34" t="s">
        <v>10</v>
      </c>
      <c r="J4445" s="38" t="str">
        <f>VLOOKUP(B4445,CAJEROS!B:E,4,0)</f>
        <v>SUCARAUCA_1</v>
      </c>
      <c r="K4445" t="s">
        <v>579</v>
      </c>
    </row>
    <row r="4446" spans="1:11">
      <c r="A4446" s="32">
        <v>81</v>
      </c>
      <c r="B4446" s="33">
        <v>4568</v>
      </c>
      <c r="C4446" s="3">
        <v>10000</v>
      </c>
      <c r="D4446" s="3"/>
      <c r="E4446" s="7">
        <f t="shared" si="94"/>
        <v>10000</v>
      </c>
      <c r="F4446" s="5">
        <v>45918</v>
      </c>
      <c r="G4446" s="4">
        <v>20250917</v>
      </c>
      <c r="H4446" s="38" t="str">
        <f>VLOOKUP(B4446,CAJEROS!B:D,3,0)</f>
        <v>Dispensador</v>
      </c>
      <c r="I4446" s="34" t="s">
        <v>10</v>
      </c>
      <c r="J4446" s="38" t="str">
        <f>VLOOKUP(B4446,CAJEROS!B:E,4,0)</f>
        <v>SUC_KENNED3</v>
      </c>
      <c r="K4446" t="s">
        <v>579</v>
      </c>
    </row>
    <row r="4447" spans="1:11">
      <c r="A4447" s="32">
        <v>733</v>
      </c>
      <c r="B4447" s="33">
        <v>5466</v>
      </c>
      <c r="C4447" s="3">
        <v>500000</v>
      </c>
      <c r="D4447" s="3"/>
      <c r="E4447" s="7">
        <f t="shared" si="94"/>
        <v>500000</v>
      </c>
      <c r="F4447" s="5">
        <v>45917</v>
      </c>
      <c r="G4447" s="4">
        <v>0</v>
      </c>
      <c r="H4447" s="38" t="str">
        <f>VLOOKUP(B4447,CAJEROS!B:D,3,0)</f>
        <v>Dispensador</v>
      </c>
      <c r="I4447" s="34" t="s">
        <v>580</v>
      </c>
      <c r="J4447" s="38" t="str">
        <f>VLOOKUP(B4447,CAJEROS!B:E,4,0)</f>
        <v>UNIONVALL2</v>
      </c>
      <c r="K4447" t="s">
        <v>579</v>
      </c>
    </row>
    <row r="4448" spans="1:11">
      <c r="A4448" s="32">
        <v>15</v>
      </c>
      <c r="B4448" s="33">
        <v>8573</v>
      </c>
      <c r="C4448" s="3">
        <v>50000</v>
      </c>
      <c r="D4448" s="3"/>
      <c r="E4448" s="7">
        <f t="shared" si="94"/>
        <v>50000</v>
      </c>
      <c r="F4448" s="5">
        <v>45917</v>
      </c>
      <c r="G4448" s="4">
        <v>0</v>
      </c>
      <c r="H4448" s="38" t="str">
        <f>VLOOKUP(B4448,CAJEROS!B:D,3,0)</f>
        <v>Dispensador</v>
      </c>
      <c r="I4448" s="34" t="s">
        <v>580</v>
      </c>
      <c r="J4448" s="38" t="str">
        <f>VLOOKUP(B4448,CAJEROS!B:E,4,0)</f>
        <v>HALLITAGUI3</v>
      </c>
      <c r="K4448" t="s">
        <v>579</v>
      </c>
    </row>
    <row r="4449" spans="1:11">
      <c r="A4449" s="32">
        <v>348</v>
      </c>
      <c r="B4449" s="33">
        <v>9009</v>
      </c>
      <c r="C4449" s="3">
        <v>200000</v>
      </c>
      <c r="D4449" s="3"/>
      <c r="E4449" s="7">
        <f t="shared" si="94"/>
        <v>200000</v>
      </c>
      <c r="F4449" s="5">
        <v>45917</v>
      </c>
      <c r="G4449" s="4">
        <v>0</v>
      </c>
      <c r="H4449" s="38" t="str">
        <f>VLOOKUP(B4449,CAJEROS!B:D,3,0)</f>
        <v>Multifuncional</v>
      </c>
      <c r="I4449" s="34" t="s">
        <v>580</v>
      </c>
      <c r="J4449" s="38" t="str">
        <f>VLOOKUP(B4449,CAJEROS!B:E,4,0)</f>
        <v>MF_SANDRES2</v>
      </c>
      <c r="K4449" t="s">
        <v>579</v>
      </c>
    </row>
    <row r="4450" spans="1:11">
      <c r="A4450" s="32">
        <v>7</v>
      </c>
      <c r="B4450" s="33">
        <v>7812</v>
      </c>
      <c r="C4450" s="3">
        <v>300000</v>
      </c>
      <c r="D4450" s="3"/>
      <c r="E4450" s="7">
        <f t="shared" si="94"/>
        <v>300000</v>
      </c>
      <c r="F4450" s="5">
        <v>45917</v>
      </c>
      <c r="G4450" s="4">
        <v>0</v>
      </c>
      <c r="H4450" s="38" t="str">
        <f>VLOOKUP(B4450,CAJEROS!B:D,3,0)</f>
        <v>Multifuncional</v>
      </c>
      <c r="I4450" s="34" t="s">
        <v>580</v>
      </c>
      <c r="J4450" s="38" t="str">
        <f>VLOOKUP(B4450,CAJEROS!B:E,4,0)</f>
        <v>MF_LOSMOLI3</v>
      </c>
      <c r="K4450" t="s">
        <v>579</v>
      </c>
    </row>
    <row r="4451" spans="1:11">
      <c r="A4451" s="32">
        <v>927</v>
      </c>
      <c r="B4451" s="33">
        <v>5750</v>
      </c>
      <c r="C4451" s="3">
        <v>900000</v>
      </c>
      <c r="D4451" s="3"/>
      <c r="E4451" s="7">
        <f t="shared" si="94"/>
        <v>900000</v>
      </c>
      <c r="F4451" s="5">
        <v>45917</v>
      </c>
      <c r="G4451" s="4">
        <v>0</v>
      </c>
      <c r="H4451" s="38" t="str">
        <f>VLOOKUP(B4451,CAJEROS!B:D,3,0)</f>
        <v>Dispensador</v>
      </c>
      <c r="I4451" s="34" t="s">
        <v>580</v>
      </c>
      <c r="J4451" s="38" t="str">
        <f>VLOOKUP(B4451,CAJEROS!B:E,4,0)</f>
        <v>SUC_MOCOA2</v>
      </c>
      <c r="K4451" t="s">
        <v>579</v>
      </c>
    </row>
    <row r="4452" spans="1:11">
      <c r="A4452" s="32">
        <v>764</v>
      </c>
      <c r="B4452" s="33">
        <v>6715</v>
      </c>
      <c r="C4452" s="3">
        <v>5466000</v>
      </c>
      <c r="D4452" s="3"/>
      <c r="E4452" s="7">
        <f t="shared" si="94"/>
        <v>5466000</v>
      </c>
      <c r="F4452" s="5">
        <v>45919</v>
      </c>
      <c r="G4452" s="4">
        <v>20250918</v>
      </c>
      <c r="H4452" s="38" t="str">
        <f>VLOOKUP(B4452,CAJEROS!B:D,3,0)</f>
        <v>Multifuncional</v>
      </c>
      <c r="I4452" s="34"/>
      <c r="J4452" s="38" t="str">
        <f>VLOOKUP(B4452,CAJEROS!B:E,4,0)</f>
        <v>MF_JAMUNDI</v>
      </c>
      <c r="K4452" t="s">
        <v>579</v>
      </c>
    </row>
    <row r="4453" spans="1:11">
      <c r="A4453" s="32">
        <v>1</v>
      </c>
      <c r="B4453" s="33">
        <v>5000</v>
      </c>
      <c r="C4453" s="3">
        <v>50</v>
      </c>
      <c r="D4453" s="3"/>
      <c r="E4453" s="7">
        <f t="shared" si="94"/>
        <v>50</v>
      </c>
      <c r="F4453" s="5">
        <v>45919</v>
      </c>
      <c r="G4453" s="4">
        <v>20250918</v>
      </c>
      <c r="H4453" s="38" t="str">
        <f>VLOOKUP(B4453,CAJEROS!B:D,3,0)</f>
        <v>Multifuncional</v>
      </c>
      <c r="I4453" s="34"/>
      <c r="J4453" s="38" t="str">
        <f>VLOOKUP(B4453,CAJEROS!B:E,4,0)</f>
        <v>MF_CARABOBO</v>
      </c>
      <c r="K4453" t="s">
        <v>579</v>
      </c>
    </row>
    <row r="4454" spans="1:11">
      <c r="A4454" s="32">
        <v>4</v>
      </c>
      <c r="B4454" s="33">
        <v>8630</v>
      </c>
      <c r="C4454" s="3">
        <v>6664850</v>
      </c>
      <c r="D4454" s="3">
        <f>560000+1836900+1177000</f>
        <v>3573900</v>
      </c>
      <c r="E4454" s="7">
        <f t="shared" si="94"/>
        <v>3090950</v>
      </c>
      <c r="F4454" s="5">
        <v>45919</v>
      </c>
      <c r="G4454" s="4">
        <v>20250918</v>
      </c>
      <c r="H4454" s="38" t="str">
        <f>VLOOKUP(B4454,CAJEROS!B:D,3,0)</f>
        <v>Multifuncional</v>
      </c>
      <c r="I4454" s="34"/>
      <c r="J4454" s="38" t="str">
        <f>VLOOKUP(B4454,CAJEROS!B:E,4,0)</f>
        <v>MF_SUCLAUR1</v>
      </c>
      <c r="K4454" t="s">
        <v>579</v>
      </c>
    </row>
    <row r="4455" spans="1:11">
      <c r="A4455" s="32">
        <v>30</v>
      </c>
      <c r="B4455" s="33">
        <v>6172</v>
      </c>
      <c r="C4455" s="3">
        <v>4000000</v>
      </c>
      <c r="D4455" s="3"/>
      <c r="E4455" s="7">
        <f t="shared" si="94"/>
        <v>4000000</v>
      </c>
      <c r="F4455" s="5">
        <v>45919</v>
      </c>
      <c r="G4455" s="4">
        <v>20250918</v>
      </c>
      <c r="H4455" s="38" t="str">
        <f>VLOOKUP(B4455,CAJEROS!B:D,3,0)</f>
        <v>Multifuncional</v>
      </c>
      <c r="I4455" s="34"/>
      <c r="J4455" s="38" t="str">
        <f>VLOOKUP(B4455,CAJEROS!B:E,4,0)</f>
        <v>MF_CROCTAV1</v>
      </c>
      <c r="K4455" t="s">
        <v>579</v>
      </c>
    </row>
    <row r="4456" spans="1:11">
      <c r="A4456" s="32">
        <v>79</v>
      </c>
      <c r="B4456" s="33">
        <v>6245</v>
      </c>
      <c r="C4456" s="3">
        <v>6064950</v>
      </c>
      <c r="D4456" s="3"/>
      <c r="E4456" s="7">
        <f t="shared" si="94"/>
        <v>6064950</v>
      </c>
      <c r="F4456" s="5">
        <v>45919</v>
      </c>
      <c r="G4456" s="4">
        <v>20250918</v>
      </c>
      <c r="H4456" s="38" t="str">
        <f>VLOOKUP(B4456,CAJEROS!B:D,3,0)</f>
        <v>Multifuncional</v>
      </c>
      <c r="I4456" s="34"/>
      <c r="J4456" s="38" t="str">
        <f>VLOOKUP(B4456,CAJEROS!B:E,4,0)</f>
        <v>MF_LAQUINTA</v>
      </c>
      <c r="K4456" t="s">
        <v>579</v>
      </c>
    </row>
    <row r="4457" spans="1:11">
      <c r="A4457" s="32">
        <v>101</v>
      </c>
      <c r="B4457" s="33">
        <v>5128</v>
      </c>
      <c r="C4457" s="3">
        <v>10795000</v>
      </c>
      <c r="D4457" s="3"/>
      <c r="E4457" s="7">
        <f t="shared" si="94"/>
        <v>10795000</v>
      </c>
      <c r="F4457" s="5">
        <v>45919</v>
      </c>
      <c r="G4457" s="4">
        <v>20250918</v>
      </c>
      <c r="H4457" s="38" t="str">
        <f>VLOOKUP(B4457,CAJEROS!B:D,3,0)</f>
        <v>Multifuncional</v>
      </c>
      <c r="I4457" s="34"/>
      <c r="J4457" s="38" t="str">
        <f>VLOOKUP(B4457,CAJEROS!B:E,4,0)</f>
        <v>MF_MULTDRIV</v>
      </c>
      <c r="K4457" t="s">
        <v>579</v>
      </c>
    </row>
    <row r="4458" spans="1:11">
      <c r="A4458" s="32">
        <v>123</v>
      </c>
      <c r="B4458" s="33">
        <v>7134</v>
      </c>
      <c r="C4458" s="3">
        <v>19350</v>
      </c>
      <c r="D4458" s="3"/>
      <c r="E4458" s="7">
        <f t="shared" si="94"/>
        <v>19350</v>
      </c>
      <c r="F4458" s="5">
        <v>45919</v>
      </c>
      <c r="G4458" s="4">
        <v>20250918</v>
      </c>
      <c r="H4458" s="38" t="str">
        <f>VLOOKUP(B4458,CAJEROS!B:D,3,0)</f>
        <v>Multifuncional</v>
      </c>
      <c r="I4458" s="34"/>
      <c r="J4458" s="38" t="str">
        <f>VLOOKUP(B4458,CAJEROS!B:E,4,0)</f>
        <v>MF_CPRIONE2</v>
      </c>
      <c r="K4458" t="s">
        <v>579</v>
      </c>
    </row>
    <row r="4459" spans="1:11">
      <c r="A4459" s="32">
        <v>231</v>
      </c>
      <c r="B4459" s="33">
        <v>6243</v>
      </c>
      <c r="C4459" s="3">
        <v>124000</v>
      </c>
      <c r="D4459" s="3"/>
      <c r="E4459" s="7">
        <f t="shared" si="94"/>
        <v>124000</v>
      </c>
      <c r="F4459" s="5">
        <v>45919</v>
      </c>
      <c r="G4459" s="4">
        <v>20250918</v>
      </c>
      <c r="H4459" s="38" t="str">
        <f>VLOOKUP(B4459,CAJEROS!B:D,3,0)</f>
        <v>Multifuncional</v>
      </c>
      <c r="I4459" s="34"/>
      <c r="J4459" s="38" t="str">
        <f>VLOOKUP(B4459,CAJEROS!B:E,4,0)</f>
        <v>MF_RICAURTE</v>
      </c>
      <c r="K4459" t="s">
        <v>579</v>
      </c>
    </row>
    <row r="4460" spans="1:11">
      <c r="A4460" s="32">
        <v>253</v>
      </c>
      <c r="B4460" s="33">
        <v>5176</v>
      </c>
      <c r="C4460" s="3">
        <v>5450</v>
      </c>
      <c r="D4460" s="3"/>
      <c r="E4460" s="7">
        <f t="shared" si="94"/>
        <v>5450</v>
      </c>
      <c r="F4460" s="5">
        <v>45919</v>
      </c>
      <c r="G4460" s="4">
        <v>20250918</v>
      </c>
      <c r="H4460" s="38" t="str">
        <f>VLOOKUP(B4460,CAJEROS!B:D,3,0)</f>
        <v>Multifuncional</v>
      </c>
      <c r="I4460" s="34"/>
      <c r="J4460" s="38" t="str">
        <f>VLOOKUP(B4460,CAJEROS!B:E,4,0)</f>
        <v>MF_SPTANORT</v>
      </c>
      <c r="K4460" t="s">
        <v>579</v>
      </c>
    </row>
    <row r="4461" spans="1:11">
      <c r="A4461" s="32">
        <v>302</v>
      </c>
      <c r="B4461" s="33">
        <v>5170</v>
      </c>
      <c r="C4461" s="3">
        <v>9249000</v>
      </c>
      <c r="D4461" s="3"/>
      <c r="E4461" s="7">
        <f t="shared" si="94"/>
        <v>9249000</v>
      </c>
      <c r="F4461" s="5">
        <v>45919</v>
      </c>
      <c r="G4461" s="4">
        <v>20250918</v>
      </c>
      <c r="H4461" s="38" t="str">
        <f>VLOOKUP(B4461,CAJEROS!B:D,3,0)</f>
        <v>Multifuncional</v>
      </c>
      <c r="I4461" s="34"/>
      <c r="J4461" s="38" t="str">
        <f>VLOOKUP(B4461,CAJEROS!B:E,4,0)</f>
        <v>MF_QUEBRASE</v>
      </c>
      <c r="K4461" t="s">
        <v>579</v>
      </c>
    </row>
    <row r="4462" spans="1:11">
      <c r="A4462" s="32">
        <v>467</v>
      </c>
      <c r="B4462" s="33">
        <v>9052</v>
      </c>
      <c r="C4462" s="3">
        <v>19900</v>
      </c>
      <c r="D4462" s="3"/>
      <c r="E4462" s="7">
        <f t="shared" si="94"/>
        <v>19900</v>
      </c>
      <c r="F4462" s="5">
        <v>45919</v>
      </c>
      <c r="G4462" s="4">
        <v>20250918</v>
      </c>
      <c r="H4462" s="38" t="str">
        <f>VLOOKUP(B4462,CAJEROS!B:D,3,0)</f>
        <v>Multifuncional</v>
      </c>
      <c r="I4462" s="34"/>
      <c r="J4462" s="38" t="str">
        <f>VLOOKUP(B4462,CAJEROS!B:E,4,0)</f>
        <v>MFHDVERPLZ2</v>
      </c>
      <c r="K4462" t="s">
        <v>579</v>
      </c>
    </row>
    <row r="4463" spans="1:11">
      <c r="A4463" s="32">
        <v>556</v>
      </c>
      <c r="B4463" s="33">
        <v>8333</v>
      </c>
      <c r="C4463" s="3">
        <v>7700000</v>
      </c>
      <c r="D4463" s="3">
        <v>2700000</v>
      </c>
      <c r="E4463" s="7">
        <f t="shared" si="94"/>
        <v>5000000</v>
      </c>
      <c r="F4463" s="5">
        <v>45919</v>
      </c>
      <c r="G4463" s="4">
        <v>20250918</v>
      </c>
      <c r="H4463" s="38" t="str">
        <f>VLOOKUP(B4463,CAJEROS!B:D,3,0)</f>
        <v>Multifuncional</v>
      </c>
      <c r="I4463" s="34"/>
      <c r="J4463" s="38" t="str">
        <f>VLOOKUP(B4463,CAJEROS!B:E,4,0)</f>
        <v>MF_SCARVIB1</v>
      </c>
      <c r="K4463" t="s">
        <v>579</v>
      </c>
    </row>
    <row r="4464" spans="1:11">
      <c r="A4464" s="32">
        <v>779</v>
      </c>
      <c r="B4464" s="33">
        <v>8684</v>
      </c>
      <c r="C4464" s="3">
        <v>48900</v>
      </c>
      <c r="D4464" s="3"/>
      <c r="E4464" s="7">
        <f t="shared" si="94"/>
        <v>48900</v>
      </c>
      <c r="F4464" s="5">
        <v>45919</v>
      </c>
      <c r="G4464" s="4">
        <v>20250918</v>
      </c>
      <c r="H4464" s="38" t="str">
        <f>VLOOKUP(B4464,CAJEROS!B:D,3,0)</f>
        <v>Multifuncional</v>
      </c>
      <c r="I4464" s="34"/>
      <c r="J4464" s="38" t="str">
        <f>VLOOKUP(B4464,CAJEROS!B:E,4,0)</f>
        <v>MF_BUENVSM2</v>
      </c>
      <c r="K4464" t="s">
        <v>579</v>
      </c>
    </row>
    <row r="4465" spans="1:11">
      <c r="A4465" s="32">
        <v>888</v>
      </c>
      <c r="B4465" s="33">
        <v>6818</v>
      </c>
      <c r="C4465" s="3">
        <v>5000</v>
      </c>
      <c r="D4465" s="3"/>
      <c r="E4465" s="7">
        <f t="shared" si="94"/>
        <v>5000</v>
      </c>
      <c r="F4465" s="5">
        <v>45919</v>
      </c>
      <c r="G4465" s="4">
        <v>20250918</v>
      </c>
      <c r="H4465" s="38" t="str">
        <f>VLOOKUP(B4465,CAJEROS!B:D,3,0)</f>
        <v>Multifuncional</v>
      </c>
      <c r="I4465" s="34"/>
      <c r="J4465" s="38" t="str">
        <f>VLOOKUP(B4465,CAJEROS!B:E,4,0)</f>
        <v>MF_IPIALES</v>
      </c>
      <c r="K4465" t="s">
        <v>579</v>
      </c>
    </row>
    <row r="4466" spans="1:11">
      <c r="A4466" s="32">
        <v>432</v>
      </c>
      <c r="B4466" s="33">
        <v>5195</v>
      </c>
      <c r="C4466" s="3">
        <v>3390000</v>
      </c>
      <c r="D4466" s="3">
        <v>1890000</v>
      </c>
      <c r="E4466" s="7">
        <f t="shared" si="94"/>
        <v>1500000</v>
      </c>
      <c r="F4466" s="5">
        <v>45919</v>
      </c>
      <c r="G4466" s="4">
        <v>20250918</v>
      </c>
      <c r="H4466" s="38" t="str">
        <f>VLOOKUP(B4466,CAJEROS!B:D,3,0)</f>
        <v>Multifuncional</v>
      </c>
      <c r="I4466" s="34" t="s">
        <v>9</v>
      </c>
      <c r="J4466" s="38" t="str">
        <f>VLOOKUP(B4466,CAJEROS!B:E,4,0)</f>
        <v>MF_TTEDLSU1</v>
      </c>
      <c r="K4466" t="s">
        <v>579</v>
      </c>
    </row>
    <row r="4467" spans="1:11">
      <c r="A4467" s="32">
        <v>554</v>
      </c>
      <c r="B4467" s="33">
        <v>8295</v>
      </c>
      <c r="C4467" s="3">
        <v>2794000</v>
      </c>
      <c r="D4467" s="3">
        <v>2735000</v>
      </c>
      <c r="E4467" s="7">
        <f t="shared" si="94"/>
        <v>59000</v>
      </c>
      <c r="F4467" s="5">
        <v>45919</v>
      </c>
      <c r="G4467" s="4">
        <v>20250918</v>
      </c>
      <c r="H4467" s="38" t="str">
        <f>VLOOKUP(B4467,CAJEROS!B:D,3,0)</f>
        <v>Multifuncional</v>
      </c>
      <c r="I4467" s="34" t="s">
        <v>9</v>
      </c>
      <c r="J4467" s="38" t="str">
        <f>VLOOKUP(B4467,CAJEROS!B:E,4,0)</f>
        <v>MF_SBUVIII2</v>
      </c>
      <c r="K4467" t="s">
        <v>579</v>
      </c>
    </row>
    <row r="4468" spans="1:11">
      <c r="A4468" s="32">
        <v>20</v>
      </c>
      <c r="B4468" s="33">
        <v>9204</v>
      </c>
      <c r="C4468" s="3">
        <v>2684600</v>
      </c>
      <c r="D4468" s="3">
        <v>390000</v>
      </c>
      <c r="E4468" s="7">
        <f t="shared" si="94"/>
        <v>2294600</v>
      </c>
      <c r="F4468" s="5">
        <v>45919</v>
      </c>
      <c r="G4468" s="4">
        <v>20250918</v>
      </c>
      <c r="H4468" s="38" t="str">
        <f>VLOOKUP(B4468,CAJEROS!B:D,3,0)</f>
        <v>Multifuncional</v>
      </c>
      <c r="I4468" s="34" t="s">
        <v>9</v>
      </c>
      <c r="J4468" s="38" t="str">
        <f>VLOOKUP(B4468,CAJEROS!B:E,4,0)</f>
        <v>MF_BUCMANGA</v>
      </c>
      <c r="K4468" t="s">
        <v>579</v>
      </c>
    </row>
    <row r="4469" spans="1:11">
      <c r="A4469" s="32">
        <v>762</v>
      </c>
      <c r="B4469" s="33">
        <v>5181</v>
      </c>
      <c r="C4469" s="3">
        <v>2645000</v>
      </c>
      <c r="D4469" s="3">
        <v>2465000</v>
      </c>
      <c r="E4469" s="7">
        <f t="shared" si="94"/>
        <v>180000</v>
      </c>
      <c r="F4469" s="5">
        <v>45919</v>
      </c>
      <c r="G4469" s="4">
        <v>20250918</v>
      </c>
      <c r="H4469" s="38" t="str">
        <f>VLOOKUP(B4469,CAJEROS!B:D,3,0)</f>
        <v>Multifuncional</v>
      </c>
      <c r="I4469" s="34" t="s">
        <v>9</v>
      </c>
      <c r="J4469" s="38" t="str">
        <f>VLOOKUP(B4469,CAJEROS!B:E,4,0)</f>
        <v>MF_HERRADU1</v>
      </c>
      <c r="K4469" t="s">
        <v>579</v>
      </c>
    </row>
    <row r="4470" spans="1:11">
      <c r="A4470" s="32">
        <v>70</v>
      </c>
      <c r="B4470" s="33">
        <v>5164</v>
      </c>
      <c r="C4470" s="3">
        <v>2530000</v>
      </c>
      <c r="D4470" s="3">
        <v>2430000</v>
      </c>
      <c r="E4470" s="7">
        <f t="shared" si="94"/>
        <v>100000</v>
      </c>
      <c r="F4470" s="5">
        <v>45919</v>
      </c>
      <c r="G4470" s="4">
        <v>20250918</v>
      </c>
      <c r="H4470" s="38" t="str">
        <f>VLOOKUP(B4470,CAJEROS!B:D,3,0)</f>
        <v>Multifuncional</v>
      </c>
      <c r="I4470" s="34" t="s">
        <v>9</v>
      </c>
      <c r="J4470" s="38" t="str">
        <f>VLOOKUP(B4470,CAJEROS!B:E,4,0)</f>
        <v>MF_MANIZALE</v>
      </c>
      <c r="K4470" t="s">
        <v>579</v>
      </c>
    </row>
    <row r="4471" spans="1:11">
      <c r="A4471" s="32">
        <v>250</v>
      </c>
      <c r="B4471" s="33">
        <v>5197</v>
      </c>
      <c r="C4471" s="3">
        <v>2290000</v>
      </c>
      <c r="D4471" s="3"/>
      <c r="E4471" s="7">
        <f t="shared" si="94"/>
        <v>2290000</v>
      </c>
      <c r="F4471" s="5">
        <v>45919</v>
      </c>
      <c r="G4471" s="4">
        <v>20250918</v>
      </c>
      <c r="H4471" s="38" t="str">
        <f>VLOOKUP(B4471,CAJEROS!B:D,3,0)</f>
        <v>Multifuncional</v>
      </c>
      <c r="I4471" s="34" t="s">
        <v>9</v>
      </c>
      <c r="J4471" s="38" t="str">
        <f>VLOOKUP(B4471,CAJEROS!B:E,4,0)</f>
        <v>MF_MODELIA</v>
      </c>
      <c r="K4471" t="s">
        <v>579</v>
      </c>
    </row>
    <row r="4472" spans="1:11">
      <c r="A4472" s="32">
        <v>625</v>
      </c>
      <c r="B4472" s="33">
        <v>6096</v>
      </c>
      <c r="C4472" s="3">
        <v>2100000</v>
      </c>
      <c r="D4472" s="3"/>
      <c r="E4472" s="7">
        <f t="shared" si="94"/>
        <v>2100000</v>
      </c>
      <c r="F4472" s="5">
        <v>45919</v>
      </c>
      <c r="G4472" s="4">
        <v>20250918</v>
      </c>
      <c r="H4472" s="38" t="str">
        <f>VLOOKUP(B4472,CAJEROS!B:D,3,0)</f>
        <v>Multifuncional</v>
      </c>
      <c r="I4472" s="34" t="s">
        <v>9</v>
      </c>
      <c r="J4472" s="38" t="str">
        <f>VLOOKUP(B4472,CAJEROS!B:E,4,0)</f>
        <v>MF_BTRISTE</v>
      </c>
      <c r="K4472" t="s">
        <v>579</v>
      </c>
    </row>
    <row r="4473" spans="1:11">
      <c r="A4473" s="32">
        <v>229</v>
      </c>
      <c r="B4473" s="33">
        <v>9604</v>
      </c>
      <c r="C4473" s="3">
        <v>2040500</v>
      </c>
      <c r="D4473" s="3">
        <v>1245000</v>
      </c>
      <c r="E4473" s="7">
        <f t="shared" si="94"/>
        <v>795500</v>
      </c>
      <c r="F4473" s="5">
        <v>45919</v>
      </c>
      <c r="G4473" s="4">
        <v>20250918</v>
      </c>
      <c r="H4473" s="38" t="str">
        <f>VLOOKUP(B4473,CAJEROS!B:D,3,0)</f>
        <v>Multifuncional</v>
      </c>
      <c r="I4473" s="34" t="s">
        <v>9</v>
      </c>
      <c r="J4473" s="38" t="str">
        <f>VLOOKUP(B4473,CAJEROS!B:E,4,0)</f>
        <v>MFSUCPASER1</v>
      </c>
      <c r="K4473" t="s">
        <v>579</v>
      </c>
    </row>
    <row r="4474" spans="1:11">
      <c r="A4474" s="32">
        <v>944</v>
      </c>
      <c r="B4474" s="33">
        <v>8353</v>
      </c>
      <c r="C4474" s="3">
        <v>2040000</v>
      </c>
      <c r="D4474" s="3"/>
      <c r="E4474" s="7">
        <f t="shared" si="94"/>
        <v>2040000</v>
      </c>
      <c r="F4474" s="5">
        <v>45919</v>
      </c>
      <c r="G4474" s="4">
        <v>20250918</v>
      </c>
      <c r="H4474" s="38" t="str">
        <f>VLOOKUP(B4474,CAJEROS!B:D,3,0)</f>
        <v>Multifuncional</v>
      </c>
      <c r="I4474" s="34" t="s">
        <v>9</v>
      </c>
      <c r="J4474" s="38" t="str">
        <f>VLOOKUP(B4474,CAJEROS!B:E,4,0)</f>
        <v>MF_SANTABO1</v>
      </c>
      <c r="K4474" t="s">
        <v>579</v>
      </c>
    </row>
    <row r="4475" spans="1:11">
      <c r="A4475" s="32">
        <v>820</v>
      </c>
      <c r="B4475" s="33">
        <v>6174</v>
      </c>
      <c r="C4475" s="3">
        <v>1975150</v>
      </c>
      <c r="D4475" s="3">
        <v>1959550</v>
      </c>
      <c r="E4475" s="7">
        <f t="shared" si="94"/>
        <v>15600</v>
      </c>
      <c r="F4475" s="5">
        <v>45919</v>
      </c>
      <c r="G4475" s="4">
        <v>20250918</v>
      </c>
      <c r="H4475" s="38" t="str">
        <f>VLOOKUP(B4475,CAJEROS!B:D,3,0)</f>
        <v>Multifuncional</v>
      </c>
      <c r="I4475" s="34" t="s">
        <v>9</v>
      </c>
      <c r="J4475" s="38" t="str">
        <f>VLOOKUP(B4475,CAJEROS!B:E,4,0)</f>
        <v>MF_AVCERO</v>
      </c>
      <c r="K4475" t="s">
        <v>579</v>
      </c>
    </row>
    <row r="4476" spans="1:11">
      <c r="A4476" s="32">
        <v>237</v>
      </c>
      <c r="B4476" s="33">
        <v>6467</v>
      </c>
      <c r="C4476" s="3">
        <v>1950000</v>
      </c>
      <c r="D4476" s="3">
        <v>1800000</v>
      </c>
      <c r="E4476" s="7">
        <f t="shared" si="94"/>
        <v>150000</v>
      </c>
      <c r="F4476" s="5">
        <v>45919</v>
      </c>
      <c r="G4476" s="4">
        <v>20250918</v>
      </c>
      <c r="H4476" s="38" t="str">
        <f>VLOOKUP(B4476,CAJEROS!B:D,3,0)</f>
        <v>Multifuncional</v>
      </c>
      <c r="I4476" s="34" t="s">
        <v>9</v>
      </c>
      <c r="J4476" s="38" t="str">
        <f>VLOOKUP(B4476,CAJEROS!B:E,4,0)</f>
        <v>MF_DORADOPL</v>
      </c>
      <c r="K4476" t="s">
        <v>579</v>
      </c>
    </row>
    <row r="4477" spans="1:11">
      <c r="A4477" s="32">
        <v>944</v>
      </c>
      <c r="B4477" s="33">
        <v>2228</v>
      </c>
      <c r="C4477" s="3">
        <v>1535000</v>
      </c>
      <c r="D4477" s="3"/>
      <c r="E4477" s="7">
        <f t="shared" si="94"/>
        <v>1535000</v>
      </c>
      <c r="F4477" s="5">
        <v>45919</v>
      </c>
      <c r="G4477" s="4">
        <v>20250918</v>
      </c>
      <c r="H4477" s="38" t="str">
        <f>VLOOKUP(B4477,CAJEROS!B:D,3,0)</f>
        <v>Multifuncional</v>
      </c>
      <c r="I4477" s="34" t="s">
        <v>9</v>
      </c>
      <c r="J4477" s="38" t="str">
        <f>VLOOKUP(B4477,CAJEROS!B:E,4,0)</f>
        <v>MF_SANTABO3</v>
      </c>
      <c r="K4477" t="s">
        <v>579</v>
      </c>
    </row>
    <row r="4478" spans="1:11">
      <c r="A4478" s="32">
        <v>198</v>
      </c>
      <c r="B4478" s="33">
        <v>5179</v>
      </c>
      <c r="C4478" s="3">
        <v>1255000</v>
      </c>
      <c r="D4478" s="3"/>
      <c r="E4478" s="7">
        <f t="shared" si="94"/>
        <v>1255000</v>
      </c>
      <c r="F4478" s="5">
        <v>45919</v>
      </c>
      <c r="G4478" s="4">
        <v>20250918</v>
      </c>
      <c r="H4478" s="38" t="str">
        <f>VLOOKUP(B4478,CAJEROS!B:D,3,0)</f>
        <v>Multifuncional</v>
      </c>
      <c r="I4478" s="34" t="s">
        <v>9</v>
      </c>
      <c r="J4478" s="38" t="str">
        <f>VLOOKUP(B4478,CAJEROS!B:E,4,0)</f>
        <v>MF_CENTSUBA</v>
      </c>
      <c r="K4478" t="s">
        <v>579</v>
      </c>
    </row>
    <row r="4479" spans="1:11">
      <c r="A4479" s="32">
        <v>571</v>
      </c>
      <c r="B4479" s="33">
        <v>6150</v>
      </c>
      <c r="C4479" s="3">
        <v>1075000</v>
      </c>
      <c r="D4479" s="3">
        <v>980000</v>
      </c>
      <c r="E4479" s="7">
        <f t="shared" si="94"/>
        <v>95000</v>
      </c>
      <c r="F4479" s="5">
        <v>45919</v>
      </c>
      <c r="G4479" s="4">
        <v>20250918</v>
      </c>
      <c r="H4479" s="38" t="str">
        <f>VLOOKUP(B4479,CAJEROS!B:D,3,0)</f>
        <v>Multifuncional</v>
      </c>
      <c r="I4479" s="34" t="s">
        <v>9</v>
      </c>
      <c r="J4479" s="38" t="str">
        <f>VLOOKUP(B4479,CAJEROS!B:E,4,0)</f>
        <v>MF_PALATIN</v>
      </c>
      <c r="K4479" t="s">
        <v>579</v>
      </c>
    </row>
    <row r="4480" spans="1:11">
      <c r="A4480" s="32">
        <v>258</v>
      </c>
      <c r="B4480" s="33">
        <v>5155</v>
      </c>
      <c r="C4480" s="3">
        <v>1040000</v>
      </c>
      <c r="D4480" s="3">
        <v>930000</v>
      </c>
      <c r="E4480" s="7">
        <f t="shared" si="94"/>
        <v>110000</v>
      </c>
      <c r="F4480" s="5">
        <v>45919</v>
      </c>
      <c r="G4480" s="4">
        <v>20250918</v>
      </c>
      <c r="H4480" s="38" t="str">
        <f>VLOOKUP(B4480,CAJEROS!B:D,3,0)</f>
        <v>Multifuncional</v>
      </c>
      <c r="I4480" s="34" t="s">
        <v>9</v>
      </c>
      <c r="J4480" s="38" t="str">
        <f>VLOOKUP(B4480,CAJEROS!B:E,4,0)</f>
        <v>MF_TUNJA</v>
      </c>
      <c r="K4480" t="s">
        <v>579</v>
      </c>
    </row>
    <row r="4481" spans="1:11">
      <c r="A4481" s="32">
        <v>31</v>
      </c>
      <c r="B4481" s="33">
        <v>8737</v>
      </c>
      <c r="C4481" s="3">
        <v>990000</v>
      </c>
      <c r="D4481" s="3">
        <v>830000</v>
      </c>
      <c r="E4481" s="7">
        <f t="shared" si="94"/>
        <v>160000</v>
      </c>
      <c r="F4481" s="5">
        <v>45919</v>
      </c>
      <c r="G4481" s="4">
        <v>20250918</v>
      </c>
      <c r="H4481" s="38" t="str">
        <f>VLOOKUP(B4481,CAJEROS!B:D,3,0)</f>
        <v>Multifuncional</v>
      </c>
      <c r="I4481" s="34" t="s">
        <v>9</v>
      </c>
      <c r="J4481" s="38" t="str">
        <f>VLOOKUP(B4481,CAJEROS!B:E,4,0)</f>
        <v>MF_SUCEINT1</v>
      </c>
      <c r="K4481" t="s">
        <v>579</v>
      </c>
    </row>
    <row r="4482" spans="1:11">
      <c r="A4482" s="32">
        <v>716</v>
      </c>
      <c r="B4482" s="33">
        <v>5192</v>
      </c>
      <c r="C4482" s="3">
        <v>610000</v>
      </c>
      <c r="D4482" s="3">
        <v>55000</v>
      </c>
      <c r="E4482" s="7">
        <f t="shared" si="94"/>
        <v>555000</v>
      </c>
      <c r="F4482" s="5">
        <v>45919</v>
      </c>
      <c r="G4482" s="4">
        <v>20250918</v>
      </c>
      <c r="H4482" s="38" t="str">
        <f>VLOOKUP(B4482,CAJEROS!B:D,3,0)</f>
        <v>Multifuncional</v>
      </c>
      <c r="I4482" s="34" t="s">
        <v>9</v>
      </c>
      <c r="J4482" s="38" t="str">
        <f>VLOOKUP(B4482,CAJEROS!B:E,4,0)</f>
        <v>MF_AVCGORDS</v>
      </c>
      <c r="K4482" t="s">
        <v>579</v>
      </c>
    </row>
    <row r="4483" spans="1:11">
      <c r="A4483" s="32">
        <v>15</v>
      </c>
      <c r="B4483" s="33">
        <v>8578</v>
      </c>
      <c r="C4483" s="3">
        <v>560000</v>
      </c>
      <c r="D4483" s="3"/>
      <c r="E4483" s="7">
        <f t="shared" si="94"/>
        <v>560000</v>
      </c>
      <c r="F4483" s="5">
        <v>45919</v>
      </c>
      <c r="G4483" s="4">
        <v>20250918</v>
      </c>
      <c r="H4483" s="38" t="str">
        <f>VLOOKUP(B4483,CAJEROS!B:D,3,0)</f>
        <v>Multifuncional</v>
      </c>
      <c r="I4483" s="34" t="s">
        <v>9</v>
      </c>
      <c r="J4483" s="38" t="str">
        <f>VLOOKUP(B4483,CAJEROS!B:E,4,0)</f>
        <v>MF_HITAGUI3</v>
      </c>
      <c r="K4483" t="s">
        <v>579</v>
      </c>
    </row>
    <row r="4484" spans="1:11">
      <c r="A4484" s="32">
        <v>96</v>
      </c>
      <c r="B4484" s="33">
        <v>6735</v>
      </c>
      <c r="C4484" s="3">
        <v>380000</v>
      </c>
      <c r="D4484" s="3"/>
      <c r="E4484" s="7">
        <f t="shared" si="94"/>
        <v>380000</v>
      </c>
      <c r="F4484" s="5">
        <v>45919</v>
      </c>
      <c r="G4484" s="4">
        <v>20250918</v>
      </c>
      <c r="H4484" s="38" t="str">
        <f>VLOOKUP(B4484,CAJEROS!B:D,3,0)</f>
        <v>Multifuncional</v>
      </c>
      <c r="I4484" s="34" t="s">
        <v>9</v>
      </c>
      <c r="J4484" s="38" t="str">
        <f>VLOOKUP(B4484,CAJEROS!B:E,4,0)</f>
        <v>MF_MAICAO</v>
      </c>
      <c r="K4484" t="s">
        <v>579</v>
      </c>
    </row>
    <row r="4485" spans="1:11">
      <c r="A4485" s="32">
        <v>516</v>
      </c>
      <c r="B4485" s="33">
        <v>9729</v>
      </c>
      <c r="C4485" s="3">
        <v>380000</v>
      </c>
      <c r="D4485" s="3"/>
      <c r="E4485" s="7">
        <f t="shared" si="94"/>
        <v>380000</v>
      </c>
      <c r="F4485" s="5">
        <v>45919</v>
      </c>
      <c r="G4485" s="4">
        <v>20250918</v>
      </c>
      <c r="H4485" s="38" t="str">
        <f>VLOOKUP(B4485,CAJEROS!B:D,3,0)</f>
        <v>Multifuncional</v>
      </c>
      <c r="I4485" s="34" t="s">
        <v>9</v>
      </c>
      <c r="J4485" s="38" t="str">
        <f>VLOOKUP(B4485,CAJEROS!B:E,4,0)</f>
        <v>MF_SUCSTAM1</v>
      </c>
      <c r="K4485" t="s">
        <v>579</v>
      </c>
    </row>
    <row r="4486" spans="1:11">
      <c r="A4486" s="32">
        <v>721</v>
      </c>
      <c r="B4486" s="33">
        <v>8896</v>
      </c>
      <c r="C4486" s="3">
        <v>320000</v>
      </c>
      <c r="D4486" s="3"/>
      <c r="E4486" s="7">
        <f t="shared" si="94"/>
        <v>320000</v>
      </c>
      <c r="F4486" s="5">
        <v>45919</v>
      </c>
      <c r="G4486" s="4">
        <v>20250918</v>
      </c>
      <c r="H4486" s="38" t="str">
        <f>VLOOKUP(B4486,CAJEROS!B:D,3,0)</f>
        <v>Multifuncional</v>
      </c>
      <c r="I4486" s="34" t="s">
        <v>9</v>
      </c>
      <c r="J4486" s="38" t="str">
        <f>VLOOKUP(B4486,CAJEROS!B:E,4,0)</f>
        <v>MFSUCLAGO1</v>
      </c>
      <c r="K4486" t="s">
        <v>579</v>
      </c>
    </row>
    <row r="4487" spans="1:11">
      <c r="A4487" s="32">
        <v>941</v>
      </c>
      <c r="B4487" s="33">
        <v>5220</v>
      </c>
      <c r="C4487" s="3">
        <v>278000</v>
      </c>
      <c r="D4487" s="3"/>
      <c r="E4487" s="7">
        <f t="shared" si="94"/>
        <v>278000</v>
      </c>
      <c r="F4487" s="5">
        <v>45919</v>
      </c>
      <c r="G4487" s="4">
        <v>20250918</v>
      </c>
      <c r="H4487" s="38" t="str">
        <f>VLOOKUP(B4487,CAJEROS!B:D,3,0)</f>
        <v>Multifuncional</v>
      </c>
      <c r="I4487" s="34" t="s">
        <v>9</v>
      </c>
      <c r="J4487" s="38" t="str">
        <f>VLOOKUP(B4487,CAJEROS!B:E,4,0)</f>
        <v>MF_NEIVANVA</v>
      </c>
      <c r="K4487" t="s">
        <v>579</v>
      </c>
    </row>
    <row r="4488" spans="1:11">
      <c r="A4488" s="32">
        <v>60</v>
      </c>
      <c r="B4488" s="33">
        <v>8729</v>
      </c>
      <c r="C4488" s="3">
        <v>200000</v>
      </c>
      <c r="D4488" s="3"/>
      <c r="E4488" s="7">
        <f t="shared" si="94"/>
        <v>200000</v>
      </c>
      <c r="F4488" s="5">
        <v>45919</v>
      </c>
      <c r="G4488" s="4">
        <v>20250918</v>
      </c>
      <c r="H4488" s="38" t="str">
        <f>VLOOKUP(B4488,CAJEROS!B:D,3,0)</f>
        <v>Multifuncional</v>
      </c>
      <c r="I4488" s="34" t="s">
        <v>9</v>
      </c>
      <c r="J4488" s="38" t="str">
        <f>VLOOKUP(B4488,CAJEROS!B:E,4,0)</f>
        <v>MF_HCALIPR3</v>
      </c>
      <c r="K4488" t="s">
        <v>579</v>
      </c>
    </row>
    <row r="4489" spans="1:11">
      <c r="A4489" s="32">
        <v>318</v>
      </c>
      <c r="B4489" s="33">
        <v>5136</v>
      </c>
      <c r="C4489" s="3">
        <v>195800</v>
      </c>
      <c r="D4489" s="3"/>
      <c r="E4489" s="7">
        <f t="shared" si="94"/>
        <v>195800</v>
      </c>
      <c r="F4489" s="5">
        <v>45919</v>
      </c>
      <c r="G4489" s="4">
        <v>20250918</v>
      </c>
      <c r="H4489" s="38" t="str">
        <f>VLOOKUP(B4489,CAJEROS!B:D,3,0)</f>
        <v>Multifuncional</v>
      </c>
      <c r="I4489" s="34" t="s">
        <v>9</v>
      </c>
      <c r="J4489" s="38" t="str">
        <f>VLOOKUP(B4489,CAJEROS!B:E,4,0)</f>
        <v>MF_SUCOCANA</v>
      </c>
      <c r="K4489" t="s">
        <v>579</v>
      </c>
    </row>
    <row r="4490" spans="1:11">
      <c r="A4490" s="32">
        <v>793</v>
      </c>
      <c r="B4490" s="33">
        <v>5216</v>
      </c>
      <c r="C4490" s="3">
        <v>175000</v>
      </c>
      <c r="D4490" s="3"/>
      <c r="E4490" s="7">
        <f t="shared" si="94"/>
        <v>175000</v>
      </c>
      <c r="F4490" s="5">
        <v>45919</v>
      </c>
      <c r="G4490" s="4">
        <v>20250918</v>
      </c>
      <c r="H4490" s="38" t="str">
        <f>VLOOKUP(B4490,CAJEROS!B:D,3,0)</f>
        <v>Multifuncional</v>
      </c>
      <c r="I4490" s="34" t="s">
        <v>9</v>
      </c>
      <c r="J4490" s="38" t="str">
        <f>VLOOKUP(B4490,CAJEROS!B:E,4,0)</f>
        <v>MF_PROFENAL</v>
      </c>
      <c r="K4490" t="s">
        <v>579</v>
      </c>
    </row>
    <row r="4491" spans="1:11">
      <c r="A4491" s="32">
        <v>455</v>
      </c>
      <c r="B4491" s="33">
        <v>5206</v>
      </c>
      <c r="C4491" s="3">
        <v>151500</v>
      </c>
      <c r="D4491" s="3"/>
      <c r="E4491" s="7">
        <f t="shared" si="94"/>
        <v>151500</v>
      </c>
      <c r="F4491" s="5">
        <v>45919</v>
      </c>
      <c r="G4491" s="4">
        <v>20250918</v>
      </c>
      <c r="H4491" s="38" t="str">
        <f>VLOOKUP(B4491,CAJEROS!B:D,3,0)</f>
        <v>Multifuncional</v>
      </c>
      <c r="I4491" s="34" t="s">
        <v>9</v>
      </c>
      <c r="J4491" s="38" t="str">
        <f>VLOOKUP(B4491,CAJEROS!B:E,4,0)</f>
        <v>MF_CEIBAS1</v>
      </c>
      <c r="K4491" t="s">
        <v>579</v>
      </c>
    </row>
    <row r="4492" spans="1:11">
      <c r="A4492" s="32">
        <v>54</v>
      </c>
      <c r="B4492" s="33">
        <v>6204</v>
      </c>
      <c r="C4492" s="3">
        <v>150000</v>
      </c>
      <c r="D4492" s="3"/>
      <c r="E4492" s="7">
        <f t="shared" si="94"/>
        <v>150000</v>
      </c>
      <c r="F4492" s="5">
        <v>45919</v>
      </c>
      <c r="G4492" s="4">
        <v>20250918</v>
      </c>
      <c r="H4492" s="38" t="str">
        <f>VLOOKUP(B4492,CAJEROS!B:D,3,0)</f>
        <v>Multifuncional</v>
      </c>
      <c r="I4492" s="34" t="s">
        <v>9</v>
      </c>
      <c r="J4492" s="38" t="str">
        <f>VLOOKUP(B4492,CAJEROS!B:E,4,0)</f>
        <v>MF_CALLE122</v>
      </c>
      <c r="K4492" t="s">
        <v>579</v>
      </c>
    </row>
    <row r="4493" spans="1:11">
      <c r="A4493" s="32">
        <v>916</v>
      </c>
      <c r="B4493" s="33">
        <v>5052</v>
      </c>
      <c r="C4493" s="3">
        <v>130000</v>
      </c>
      <c r="D4493" s="3"/>
      <c r="E4493" s="7">
        <f t="shared" si="94"/>
        <v>130000</v>
      </c>
      <c r="F4493" s="5">
        <v>45919</v>
      </c>
      <c r="G4493" s="4">
        <v>20250918</v>
      </c>
      <c r="H4493" s="38" t="str">
        <f>VLOOKUP(B4493,CAJEROS!B:D,3,0)</f>
        <v>Multifuncional</v>
      </c>
      <c r="I4493" s="34" t="s">
        <v>9</v>
      </c>
      <c r="J4493" s="38" t="str">
        <f>VLOOKUP(B4493,CAJEROS!B:E,4,0)</f>
        <v>MF_OCEANMAL</v>
      </c>
      <c r="K4493" t="s">
        <v>579</v>
      </c>
    </row>
    <row r="4494" spans="1:11">
      <c r="A4494" s="32">
        <v>73</v>
      </c>
      <c r="B4494" s="33">
        <v>5108</v>
      </c>
      <c r="C4494" s="3">
        <v>100000</v>
      </c>
      <c r="D4494" s="3"/>
      <c r="E4494" s="7">
        <f t="shared" si="94"/>
        <v>100000</v>
      </c>
      <c r="F4494" s="5">
        <v>45919</v>
      </c>
      <c r="G4494" s="4">
        <v>20250918</v>
      </c>
      <c r="H4494" s="38" t="str">
        <f>VLOOKUP(B4494,CAJEROS!B:D,3,0)</f>
        <v>Multifuncional</v>
      </c>
      <c r="I4494" s="34" t="s">
        <v>9</v>
      </c>
      <c r="J4494" s="38" t="str">
        <f>VLOOKUP(B4494,CAJEROS!B:E,4,0)</f>
        <v>MF_PEREIRA</v>
      </c>
      <c r="K4494" t="s">
        <v>579</v>
      </c>
    </row>
    <row r="4495" spans="1:11">
      <c r="A4495" s="32">
        <v>76</v>
      </c>
      <c r="B4495" s="33">
        <v>5126</v>
      </c>
      <c r="C4495" s="3">
        <v>100000</v>
      </c>
      <c r="D4495" s="3"/>
      <c r="E4495" s="7">
        <f t="shared" si="94"/>
        <v>100000</v>
      </c>
      <c r="F4495" s="5">
        <v>45919</v>
      </c>
      <c r="G4495" s="4">
        <v>20250918</v>
      </c>
      <c r="H4495" s="38" t="str">
        <f>VLOOKUP(B4495,CAJEROS!B:D,3,0)</f>
        <v>Multifuncional</v>
      </c>
      <c r="I4495" s="34" t="s">
        <v>9</v>
      </c>
      <c r="J4495" s="38" t="str">
        <f>VLOOKUP(B4495,CAJEROS!B:E,4,0)</f>
        <v>MF_NEIVA</v>
      </c>
      <c r="K4495" t="s">
        <v>579</v>
      </c>
    </row>
    <row r="4496" spans="1:11">
      <c r="A4496" s="32">
        <v>844</v>
      </c>
      <c r="B4496" s="33">
        <v>6169</v>
      </c>
      <c r="C4496" s="3">
        <v>100000</v>
      </c>
      <c r="D4496" s="3"/>
      <c r="E4496" s="7">
        <f t="shared" si="94"/>
        <v>100000</v>
      </c>
      <c r="F4496" s="5">
        <v>45919</v>
      </c>
      <c r="G4496" s="4">
        <v>20250918</v>
      </c>
      <c r="H4496" s="38" t="str">
        <f>VLOOKUP(B4496,CAJEROS!B:D,3,0)</f>
        <v>Multifuncional</v>
      </c>
      <c r="I4496" s="34" t="s">
        <v>9</v>
      </c>
      <c r="J4496" s="38" t="str">
        <f>VLOOKUP(B4496,CAJEROS!B:E,4,0)</f>
        <v>MF_PRIMAVRA</v>
      </c>
      <c r="K4496" t="s">
        <v>579</v>
      </c>
    </row>
    <row r="4497" spans="1:11">
      <c r="A4497" s="32">
        <v>453</v>
      </c>
      <c r="B4497" s="33">
        <v>8018</v>
      </c>
      <c r="C4497" s="3">
        <v>50000</v>
      </c>
      <c r="D4497" s="3"/>
      <c r="E4497" s="7">
        <f t="shared" si="94"/>
        <v>50000</v>
      </c>
      <c r="F4497" s="5">
        <v>45919</v>
      </c>
      <c r="G4497" s="4">
        <v>20250918</v>
      </c>
      <c r="H4497" s="38" t="str">
        <f>VLOOKUP(B4497,CAJEROS!B:D,3,0)</f>
        <v>Multifuncional</v>
      </c>
      <c r="I4497" s="34" t="s">
        <v>9</v>
      </c>
      <c r="J4497" s="38" t="str">
        <f>VLOOKUP(B4497,CAJEROS!B:E,4,0)</f>
        <v>MFSUCPITAL1</v>
      </c>
      <c r="K4497" t="s">
        <v>579</v>
      </c>
    </row>
    <row r="4498" spans="1:11">
      <c r="A4498" s="32">
        <v>163</v>
      </c>
      <c r="B4498" s="33">
        <v>5553</v>
      </c>
      <c r="C4498" s="3">
        <v>250000</v>
      </c>
      <c r="D4498" s="3"/>
      <c r="E4498" s="7">
        <f t="shared" si="94"/>
        <v>250000</v>
      </c>
      <c r="F4498" s="5">
        <v>45919</v>
      </c>
      <c r="G4498" s="4">
        <v>20250918</v>
      </c>
      <c r="H4498" s="38" t="str">
        <f>VLOOKUP(B4498,CAJEROS!B:D,3,0)</f>
        <v>Dispensador</v>
      </c>
      <c r="I4498" s="34"/>
      <c r="J4498" s="38" t="str">
        <f>VLOOKUP(B4498,CAJEROS!B:E,4,0)</f>
        <v>PTO_BERRIO1</v>
      </c>
      <c r="K4498" t="s">
        <v>579</v>
      </c>
    </row>
    <row r="4499" spans="1:11">
      <c r="A4499" s="32">
        <v>163</v>
      </c>
      <c r="B4499" s="33">
        <v>5554</v>
      </c>
      <c r="C4499" s="3">
        <v>530000</v>
      </c>
      <c r="D4499" s="3"/>
      <c r="E4499" s="7">
        <f t="shared" si="94"/>
        <v>530000</v>
      </c>
      <c r="F4499" s="5">
        <v>45919</v>
      </c>
      <c r="G4499" s="4">
        <v>20250918</v>
      </c>
      <c r="H4499" s="38" t="str">
        <f>VLOOKUP(B4499,CAJEROS!B:D,3,0)</f>
        <v>Dispensador</v>
      </c>
      <c r="I4499" s="34"/>
      <c r="J4499" s="38" t="str">
        <f>VLOOKUP(B4499,CAJEROS!B:E,4,0)</f>
        <v>PTO_BERRIO2</v>
      </c>
      <c r="K4499" t="s">
        <v>579</v>
      </c>
    </row>
    <row r="4500" spans="1:11">
      <c r="A4500" s="32">
        <v>216</v>
      </c>
      <c r="B4500" s="33">
        <v>4434</v>
      </c>
      <c r="C4500" s="3">
        <v>20000</v>
      </c>
      <c r="D4500" s="3"/>
      <c r="E4500" s="7">
        <f t="shared" si="94"/>
        <v>20000</v>
      </c>
      <c r="F4500" s="5">
        <v>45919</v>
      </c>
      <c r="G4500" s="4">
        <v>20250918</v>
      </c>
      <c r="H4500" s="38" t="str">
        <f>VLOOKUP(B4500,CAJEROS!B:D,3,0)</f>
        <v>Dispensador</v>
      </c>
      <c r="I4500" s="34"/>
      <c r="J4500" s="38" t="str">
        <f>VLOOKUP(B4500,CAJEROS!B:E,4,0)</f>
        <v>SUC_SABANA2</v>
      </c>
      <c r="K4500" t="s">
        <v>579</v>
      </c>
    </row>
    <row r="4501" spans="1:11">
      <c r="A4501" s="32">
        <v>232</v>
      </c>
      <c r="B4501" s="33">
        <v>4062</v>
      </c>
      <c r="C4501" s="3">
        <v>1300000</v>
      </c>
      <c r="D4501" s="3"/>
      <c r="E4501" s="7">
        <f t="shared" si="94"/>
        <v>1300000</v>
      </c>
      <c r="F4501" s="5">
        <v>45919</v>
      </c>
      <c r="G4501" s="4">
        <v>20250918</v>
      </c>
      <c r="H4501" s="38" t="str">
        <f>VLOOKUP(B4501,CAJEROS!B:D,3,0)</f>
        <v>Dispensador</v>
      </c>
      <c r="I4501" s="34"/>
      <c r="J4501" s="38" t="str">
        <f>VLOOKUP(B4501,CAJEROS!B:E,4,0)</f>
        <v>SUC_GUASCA1</v>
      </c>
      <c r="K4501" t="s">
        <v>579</v>
      </c>
    </row>
    <row r="4502" spans="1:11">
      <c r="A4502" s="32">
        <v>254</v>
      </c>
      <c r="B4502" s="33">
        <v>9212</v>
      </c>
      <c r="C4502" s="3">
        <v>2600000</v>
      </c>
      <c r="D4502" s="3"/>
      <c r="E4502" s="7">
        <f t="shared" ref="E4502:E4565" si="95">+C4502-D4502</f>
        <v>2600000</v>
      </c>
      <c r="F4502" s="5">
        <v>45919</v>
      </c>
      <c r="G4502" s="4">
        <v>20250918</v>
      </c>
      <c r="H4502" s="38" t="str">
        <f>VLOOKUP(B4502,CAJEROS!B:D,3,0)</f>
        <v>Dispensador</v>
      </c>
      <c r="I4502" s="34"/>
      <c r="J4502" s="38" t="str">
        <f>VLOOKUP(B4502,CAJEROS!B:E,4,0)</f>
        <v>PTOBOYACA2</v>
      </c>
      <c r="K4502" t="s">
        <v>579</v>
      </c>
    </row>
    <row r="4503" spans="1:11">
      <c r="A4503" s="32">
        <v>348</v>
      </c>
      <c r="B4503" s="33">
        <v>5649</v>
      </c>
      <c r="C4503" s="3">
        <v>100000</v>
      </c>
      <c r="D4503" s="3"/>
      <c r="E4503" s="7">
        <f t="shared" si="95"/>
        <v>100000</v>
      </c>
      <c r="F4503" s="5">
        <v>45919</v>
      </c>
      <c r="G4503" s="4">
        <v>20250918</v>
      </c>
      <c r="H4503" s="38" t="str">
        <f>VLOOKUP(B4503,CAJEROS!B:D,3,0)</f>
        <v>Dispensador</v>
      </c>
      <c r="I4503" s="34"/>
      <c r="J4503" s="38" t="str">
        <f>VLOOKUP(B4503,CAJEROS!B:E,4,0)</f>
        <v>SUCSANDRES5</v>
      </c>
      <c r="K4503" t="s">
        <v>579</v>
      </c>
    </row>
    <row r="4504" spans="1:11">
      <c r="A4504" s="32">
        <v>348</v>
      </c>
      <c r="B4504" s="33">
        <v>9007</v>
      </c>
      <c r="C4504" s="3">
        <v>300000</v>
      </c>
      <c r="D4504" s="3"/>
      <c r="E4504" s="7">
        <f t="shared" si="95"/>
        <v>300000</v>
      </c>
      <c r="F4504" s="5">
        <v>45919</v>
      </c>
      <c r="G4504" s="4">
        <v>20250918</v>
      </c>
      <c r="H4504" s="38" t="str">
        <f>VLOOKUP(B4504,CAJEROS!B:D,3,0)</f>
        <v>Dispensador</v>
      </c>
      <c r="I4504" s="34"/>
      <c r="J4504" s="38" t="str">
        <f>VLOOKUP(B4504,CAJEROS!B:E,4,0)</f>
        <v>SUCSANDRES7</v>
      </c>
      <c r="K4504" t="s">
        <v>579</v>
      </c>
    </row>
    <row r="4505" spans="1:11">
      <c r="A4505" s="32">
        <v>413</v>
      </c>
      <c r="B4505" s="33">
        <v>4636</v>
      </c>
      <c r="C4505" s="3">
        <v>20000</v>
      </c>
      <c r="D4505" s="3"/>
      <c r="E4505" s="7">
        <f t="shared" si="95"/>
        <v>20000</v>
      </c>
      <c r="F4505" s="5">
        <v>45919</v>
      </c>
      <c r="G4505" s="4">
        <v>20250918</v>
      </c>
      <c r="H4505" s="38" t="str">
        <f>VLOOKUP(B4505,CAJEROS!B:D,3,0)</f>
        <v>Dispensador</v>
      </c>
      <c r="I4505" s="34"/>
      <c r="J4505" s="38" t="str">
        <f>VLOOKUP(B4505,CAJEROS!B:E,4,0)</f>
        <v>SUC_MELGAR3</v>
      </c>
      <c r="K4505" t="s">
        <v>579</v>
      </c>
    </row>
    <row r="4506" spans="1:11">
      <c r="A4506" s="32">
        <v>482</v>
      </c>
      <c r="B4506" s="33">
        <v>8620</v>
      </c>
      <c r="C4506" s="3">
        <v>790000</v>
      </c>
      <c r="D4506" s="3">
        <v>100000</v>
      </c>
      <c r="E4506" s="7">
        <f t="shared" si="95"/>
        <v>690000</v>
      </c>
      <c r="F4506" s="5">
        <v>45919</v>
      </c>
      <c r="G4506" s="4">
        <v>20250918</v>
      </c>
      <c r="H4506" s="38" t="str">
        <f>VLOOKUP(B4506,CAJEROS!B:D,3,0)</f>
        <v>Dispensador</v>
      </c>
      <c r="I4506" s="34"/>
      <c r="J4506" s="38" t="str">
        <f>VLOOKUP(B4506,CAJEROS!B:E,4,0)</f>
        <v>SUC_CIENAG1</v>
      </c>
      <c r="K4506" t="s">
        <v>579</v>
      </c>
    </row>
    <row r="4507" spans="1:11">
      <c r="A4507" s="32">
        <v>556</v>
      </c>
      <c r="B4507" s="33">
        <v>8335</v>
      </c>
      <c r="C4507" s="3">
        <v>600000</v>
      </c>
      <c r="D4507" s="3"/>
      <c r="E4507" s="7">
        <f t="shared" si="95"/>
        <v>600000</v>
      </c>
      <c r="F4507" s="5">
        <v>45919</v>
      </c>
      <c r="G4507" s="4">
        <v>20250918</v>
      </c>
      <c r="H4507" s="38" t="str">
        <f>VLOOKUP(B4507,CAJEROS!B:D,3,0)</f>
        <v>Dispensador</v>
      </c>
      <c r="I4507" s="34"/>
      <c r="J4507" s="38" t="str">
        <f>VLOOKUP(B4507,CAJEROS!B:E,4,0)</f>
        <v>SUCCARVIBO2</v>
      </c>
      <c r="K4507" t="s">
        <v>579</v>
      </c>
    </row>
    <row r="4508" spans="1:11">
      <c r="A4508" s="32">
        <v>802</v>
      </c>
      <c r="B4508" s="33">
        <v>2711</v>
      </c>
      <c r="C4508" s="3">
        <v>50000</v>
      </c>
      <c r="D4508" s="3"/>
      <c r="E4508" s="7">
        <f t="shared" si="95"/>
        <v>50000</v>
      </c>
      <c r="F4508" s="5">
        <v>45919</v>
      </c>
      <c r="G4508" s="4">
        <v>20250918</v>
      </c>
      <c r="H4508" s="38" t="str">
        <f>VLOOKUP(B4508,CAJEROS!B:D,3,0)</f>
        <v>Dispensador</v>
      </c>
      <c r="I4508" s="34"/>
      <c r="J4508" s="38" t="str">
        <f>VLOOKUP(B4508,CAJEROS!B:E,4,0)</f>
        <v>SUPUERLOP_1</v>
      </c>
      <c r="K4508" t="s">
        <v>579</v>
      </c>
    </row>
    <row r="4509" spans="1:11">
      <c r="A4509" s="32">
        <v>846</v>
      </c>
      <c r="B4509" s="33">
        <v>4376</v>
      </c>
      <c r="C4509" s="3">
        <v>70000</v>
      </c>
      <c r="D4509" s="3"/>
      <c r="E4509" s="7">
        <f t="shared" si="95"/>
        <v>70000</v>
      </c>
      <c r="F4509" s="5">
        <v>45919</v>
      </c>
      <c r="G4509" s="4">
        <v>20250918</v>
      </c>
      <c r="H4509" s="38" t="str">
        <f>VLOOKUP(B4509,CAJEROS!B:D,3,0)</f>
        <v>Dispensador</v>
      </c>
      <c r="I4509" s="34"/>
      <c r="J4509" s="38" t="str">
        <f>VLOOKUP(B4509,CAJEROS!B:E,4,0)</f>
        <v>SUC_CUMAR1</v>
      </c>
      <c r="K4509" t="s">
        <v>579</v>
      </c>
    </row>
    <row r="4510" spans="1:11">
      <c r="A4510" s="32">
        <v>846</v>
      </c>
      <c r="B4510" s="33">
        <v>9410</v>
      </c>
      <c r="C4510" s="3">
        <v>60000</v>
      </c>
      <c r="D4510" s="3"/>
      <c r="E4510" s="7">
        <f t="shared" si="95"/>
        <v>60000</v>
      </c>
      <c r="F4510" s="5">
        <v>45919</v>
      </c>
      <c r="G4510" s="4">
        <v>20250918</v>
      </c>
      <c r="H4510" s="38" t="str">
        <f>VLOOKUP(B4510,CAJEROS!B:D,3,0)</f>
        <v>Dispensador</v>
      </c>
      <c r="I4510" s="34"/>
      <c r="J4510" s="38" t="str">
        <f>VLOOKUP(B4510,CAJEROS!B:E,4,0)</f>
        <v>SUC_CUMAR3</v>
      </c>
      <c r="K4510" t="s">
        <v>579</v>
      </c>
    </row>
    <row r="4511" spans="1:11">
      <c r="A4511" s="32">
        <v>38</v>
      </c>
      <c r="B4511" s="33">
        <v>6553</v>
      </c>
      <c r="C4511" s="3">
        <v>50000</v>
      </c>
      <c r="D4511" s="3"/>
      <c r="E4511" s="7">
        <f t="shared" si="95"/>
        <v>50000</v>
      </c>
      <c r="F4511" s="5">
        <v>45919</v>
      </c>
      <c r="G4511" s="4">
        <v>20250918</v>
      </c>
      <c r="H4511" s="38" t="str">
        <f>VLOOKUP(B4511,CAJEROS!B:D,3,0)</f>
        <v>Dispensador</v>
      </c>
      <c r="I4511" s="34" t="s">
        <v>9</v>
      </c>
      <c r="J4511" s="38" t="str">
        <f>VLOOKUP(B4511,CAJEROS!B:E,4,0)</f>
        <v>PAIPA1</v>
      </c>
      <c r="K4511" t="s">
        <v>579</v>
      </c>
    </row>
    <row r="4512" spans="1:11">
      <c r="A4512" s="32">
        <v>73</v>
      </c>
      <c r="B4512" s="33">
        <v>6483</v>
      </c>
      <c r="C4512" s="3">
        <v>50000</v>
      </c>
      <c r="D4512" s="3"/>
      <c r="E4512" s="7">
        <f t="shared" si="95"/>
        <v>50000</v>
      </c>
      <c r="F4512" s="5">
        <v>45919</v>
      </c>
      <c r="G4512" s="4">
        <v>20250918</v>
      </c>
      <c r="H4512" s="38" t="str">
        <f>VLOOKUP(B4512,CAJEROS!B:D,3,0)</f>
        <v>Dispensador</v>
      </c>
      <c r="I4512" s="34" t="s">
        <v>9</v>
      </c>
      <c r="J4512" s="38" t="str">
        <f>VLOOKUP(B4512,CAJEROS!B:E,4,0)</f>
        <v>OFPEREIRA5</v>
      </c>
      <c r="K4512" t="s">
        <v>579</v>
      </c>
    </row>
    <row r="4513" spans="1:11">
      <c r="A4513" s="32">
        <v>96</v>
      </c>
      <c r="B4513" s="33">
        <v>1036</v>
      </c>
      <c r="C4513" s="3">
        <v>250000</v>
      </c>
      <c r="D4513" s="3"/>
      <c r="E4513" s="7">
        <f t="shared" si="95"/>
        <v>250000</v>
      </c>
      <c r="F4513" s="5">
        <v>45919</v>
      </c>
      <c r="G4513" s="4">
        <v>20250918</v>
      </c>
      <c r="H4513" s="38" t="str">
        <f>VLOOKUP(B4513,CAJEROS!B:D,3,0)</f>
        <v>Dispensador</v>
      </c>
      <c r="I4513" s="34" t="s">
        <v>9</v>
      </c>
      <c r="J4513" s="38" t="str">
        <f>VLOOKUP(B4513,CAJEROS!B:E,4,0)</f>
        <v>SUC_MAICAO2</v>
      </c>
      <c r="K4513" t="s">
        <v>579</v>
      </c>
    </row>
    <row r="4514" spans="1:11">
      <c r="A4514" s="32">
        <v>193</v>
      </c>
      <c r="B4514" s="33">
        <v>8534</v>
      </c>
      <c r="C4514" s="3">
        <v>550000</v>
      </c>
      <c r="D4514" s="3"/>
      <c r="E4514" s="7">
        <f t="shared" si="95"/>
        <v>550000</v>
      </c>
      <c r="F4514" s="5">
        <v>45919</v>
      </c>
      <c r="G4514" s="4">
        <v>20250918</v>
      </c>
      <c r="H4514" s="38" t="str">
        <f>VLOOKUP(B4514,CAJEROS!B:D,3,0)</f>
        <v>Dispensador</v>
      </c>
      <c r="I4514" s="34" t="s">
        <v>9</v>
      </c>
      <c r="J4514" s="38" t="str">
        <f>VLOOKUP(B4514,CAJEROS!B:E,4,0)</f>
        <v>HALLSUCFIC4</v>
      </c>
      <c r="K4514" t="s">
        <v>579</v>
      </c>
    </row>
    <row r="4515" spans="1:11">
      <c r="A4515" s="32">
        <v>348</v>
      </c>
      <c r="B4515" s="33">
        <v>3480</v>
      </c>
      <c r="C4515" s="3">
        <v>70000</v>
      </c>
      <c r="D4515" s="3"/>
      <c r="E4515" s="7">
        <f t="shared" si="95"/>
        <v>70000</v>
      </c>
      <c r="F4515" s="5">
        <v>45919</v>
      </c>
      <c r="G4515" s="4">
        <v>20250918</v>
      </c>
      <c r="H4515" s="38" t="str">
        <f>VLOOKUP(B4515,CAJEROS!B:D,3,0)</f>
        <v>Dispensador</v>
      </c>
      <c r="I4515" s="34" t="s">
        <v>9</v>
      </c>
      <c r="J4515" s="38" t="str">
        <f>VLOOKUP(B4515,CAJEROS!B:E,4,0)</f>
        <v>SUCSANDRES1</v>
      </c>
      <c r="K4515" t="s">
        <v>579</v>
      </c>
    </row>
    <row r="4516" spans="1:11">
      <c r="A4516" s="32">
        <v>451</v>
      </c>
      <c r="B4516" s="33">
        <v>4967</v>
      </c>
      <c r="C4516" s="3">
        <v>200000</v>
      </c>
      <c r="D4516" s="3"/>
      <c r="E4516" s="7">
        <f t="shared" si="95"/>
        <v>200000</v>
      </c>
      <c r="F4516" s="5">
        <v>45919</v>
      </c>
      <c r="G4516" s="4">
        <v>20250918</v>
      </c>
      <c r="H4516" s="38" t="str">
        <f>VLOOKUP(B4516,CAJEROS!B:D,3,0)</f>
        <v>Dispensador</v>
      </c>
      <c r="I4516" s="34" t="s">
        <v>9</v>
      </c>
      <c r="J4516" s="38" t="str">
        <f>VLOOKUP(B4516,CAJEROS!B:E,4,0)</f>
        <v>SUCPTOASIS2</v>
      </c>
      <c r="K4516" t="s">
        <v>579</v>
      </c>
    </row>
    <row r="4517" spans="1:11">
      <c r="A4517" s="32">
        <v>457</v>
      </c>
      <c r="B4517" s="33">
        <v>9000</v>
      </c>
      <c r="C4517" s="3">
        <v>40000</v>
      </c>
      <c r="D4517" s="3"/>
      <c r="E4517" s="7">
        <f t="shared" si="95"/>
        <v>40000</v>
      </c>
      <c r="F4517" s="5">
        <v>45919</v>
      </c>
      <c r="G4517" s="4">
        <v>20250918</v>
      </c>
      <c r="H4517" s="38" t="str">
        <f>VLOOKUP(B4517,CAJEROS!B:D,3,0)</f>
        <v>Dispensador</v>
      </c>
      <c r="I4517" s="34" t="s">
        <v>9</v>
      </c>
      <c r="J4517" s="38" t="str">
        <f>VLOOKUP(B4517,CAJEROS!B:E,4,0)</f>
        <v>SUCSANPEDR1</v>
      </c>
      <c r="K4517" t="s">
        <v>579</v>
      </c>
    </row>
    <row r="4518" spans="1:11">
      <c r="A4518" s="32">
        <v>467</v>
      </c>
      <c r="B4518" s="33">
        <v>8915</v>
      </c>
      <c r="C4518" s="3">
        <v>6590000</v>
      </c>
      <c r="D4518" s="3"/>
      <c r="E4518" s="7">
        <f t="shared" si="95"/>
        <v>6590000</v>
      </c>
      <c r="F4518" s="5">
        <v>45919</v>
      </c>
      <c r="G4518" s="4">
        <v>20250918</v>
      </c>
      <c r="H4518" s="38" t="str">
        <f>VLOOKUP(B4518,CAJEROS!B:D,3,0)</f>
        <v>Dispensador</v>
      </c>
      <c r="I4518" s="34" t="s">
        <v>9</v>
      </c>
      <c r="J4518" s="38" t="str">
        <f>VLOOKUP(B4518,CAJEROS!B:E,4,0)</f>
        <v>HDIVERPLZ_5</v>
      </c>
      <c r="K4518" t="s">
        <v>579</v>
      </c>
    </row>
    <row r="4519" spans="1:11">
      <c r="A4519" s="32">
        <v>467</v>
      </c>
      <c r="B4519" s="33">
        <v>8916</v>
      </c>
      <c r="C4519" s="3">
        <v>800000</v>
      </c>
      <c r="D4519" s="3"/>
      <c r="E4519" s="7">
        <f t="shared" si="95"/>
        <v>800000</v>
      </c>
      <c r="F4519" s="5">
        <v>45919</v>
      </c>
      <c r="G4519" s="4">
        <v>20250918</v>
      </c>
      <c r="H4519" s="38" t="str">
        <f>VLOOKUP(B4519,CAJEROS!B:D,3,0)</f>
        <v>Dispensador</v>
      </c>
      <c r="I4519" s="34" t="s">
        <v>9</v>
      </c>
      <c r="J4519" s="38" t="str">
        <f>VLOOKUP(B4519,CAJEROS!B:E,4,0)</f>
        <v>HDIVERPLZ_6</v>
      </c>
      <c r="K4519" t="s">
        <v>579</v>
      </c>
    </row>
    <row r="4520" spans="1:11">
      <c r="A4520" s="32">
        <v>467</v>
      </c>
      <c r="B4520" s="33">
        <v>8917</v>
      </c>
      <c r="C4520" s="3">
        <v>900000</v>
      </c>
      <c r="D4520" s="3"/>
      <c r="E4520" s="7">
        <f t="shared" si="95"/>
        <v>900000</v>
      </c>
      <c r="F4520" s="5">
        <v>45919</v>
      </c>
      <c r="G4520" s="4">
        <v>20250918</v>
      </c>
      <c r="H4520" s="38" t="str">
        <f>VLOOKUP(B4520,CAJEROS!B:D,3,0)</f>
        <v>Dispensador</v>
      </c>
      <c r="I4520" s="34" t="s">
        <v>9</v>
      </c>
      <c r="J4520" s="38" t="str">
        <f>VLOOKUP(B4520,CAJEROS!B:E,4,0)</f>
        <v>HDIVERPLZ_7</v>
      </c>
      <c r="K4520" t="s">
        <v>579</v>
      </c>
    </row>
    <row r="4521" spans="1:11">
      <c r="A4521" s="32">
        <v>523</v>
      </c>
      <c r="B4521" s="33">
        <v>3997</v>
      </c>
      <c r="C4521" s="3">
        <v>100000</v>
      </c>
      <c r="D4521" s="3"/>
      <c r="E4521" s="7">
        <f t="shared" si="95"/>
        <v>100000</v>
      </c>
      <c r="F4521" s="5">
        <v>45919</v>
      </c>
      <c r="G4521" s="4">
        <v>20250918</v>
      </c>
      <c r="H4521" s="38" t="str">
        <f>VLOOKUP(B4521,CAJEROS!B:D,3,0)</f>
        <v>Dispensador</v>
      </c>
      <c r="I4521" s="34" t="s">
        <v>9</v>
      </c>
      <c r="J4521" s="38" t="str">
        <f>VLOOKUP(B4521,CAJEROS!B:E,4,0)</f>
        <v>SUC_OVALLE3</v>
      </c>
      <c r="K4521" t="s">
        <v>579</v>
      </c>
    </row>
    <row r="4522" spans="1:11">
      <c r="A4522" s="32">
        <v>531</v>
      </c>
      <c r="B4522" s="33">
        <v>3943</v>
      </c>
      <c r="C4522" s="3">
        <v>500000</v>
      </c>
      <c r="D4522" s="3"/>
      <c r="E4522" s="7">
        <f t="shared" si="95"/>
        <v>500000</v>
      </c>
      <c r="F4522" s="5">
        <v>45919</v>
      </c>
      <c r="G4522" s="4">
        <v>20250918</v>
      </c>
      <c r="H4522" s="38" t="str">
        <f>VLOOKUP(B4522,CAJEROS!B:D,3,0)</f>
        <v>Dispensador</v>
      </c>
      <c r="I4522" s="34" t="s">
        <v>9</v>
      </c>
      <c r="J4522" s="38" t="str">
        <f>VLOOKUP(B4522,CAJEROS!B:E,4,0)</f>
        <v>SUC_SANMA1</v>
      </c>
      <c r="K4522" t="s">
        <v>579</v>
      </c>
    </row>
    <row r="4523" spans="1:11">
      <c r="A4523" s="32">
        <v>631</v>
      </c>
      <c r="B4523" s="33">
        <v>2616</v>
      </c>
      <c r="C4523" s="3">
        <v>400000</v>
      </c>
      <c r="D4523" s="3"/>
      <c r="E4523" s="7">
        <f t="shared" si="95"/>
        <v>400000</v>
      </c>
      <c r="F4523" s="5">
        <v>45919</v>
      </c>
      <c r="G4523" s="4">
        <v>20250918</v>
      </c>
      <c r="H4523" s="38" t="str">
        <f>VLOOKUP(B4523,CAJEROS!B:D,3,0)</f>
        <v>Dispensador</v>
      </c>
      <c r="I4523" s="34" t="s">
        <v>9</v>
      </c>
      <c r="J4523" s="38" t="str">
        <f>VLOOKUP(B4523,CAJEROS!B:E,4,0)</f>
        <v>SUCURIBIA_2</v>
      </c>
      <c r="K4523" t="s">
        <v>579</v>
      </c>
    </row>
    <row r="4524" spans="1:11">
      <c r="A4524" s="32">
        <v>705</v>
      </c>
      <c r="B4524" s="33">
        <v>4151</v>
      </c>
      <c r="C4524" s="3">
        <v>50000</v>
      </c>
      <c r="D4524" s="3"/>
      <c r="E4524" s="7">
        <f t="shared" si="95"/>
        <v>50000</v>
      </c>
      <c r="F4524" s="5">
        <v>45919</v>
      </c>
      <c r="G4524" s="4">
        <v>20250918</v>
      </c>
      <c r="H4524" s="38" t="str">
        <f>VLOOKUP(B4524,CAJEROS!B:D,3,0)</f>
        <v>Dispensador</v>
      </c>
      <c r="I4524" s="34" t="s">
        <v>9</v>
      </c>
      <c r="J4524" s="38" t="str">
        <f>VLOOKUP(B4524,CAJEROS!B:E,4,0)</f>
        <v>SUC_BAGRE1</v>
      </c>
      <c r="K4524" t="s">
        <v>579</v>
      </c>
    </row>
    <row r="4525" spans="1:11">
      <c r="A4525" s="32">
        <v>792</v>
      </c>
      <c r="B4525" s="33">
        <v>4512</v>
      </c>
      <c r="C4525" s="3">
        <v>50000</v>
      </c>
      <c r="D4525" s="3"/>
      <c r="E4525" s="7">
        <f t="shared" si="95"/>
        <v>50000</v>
      </c>
      <c r="F4525" s="5">
        <v>45922</v>
      </c>
      <c r="G4525" s="4">
        <v>20250919</v>
      </c>
      <c r="H4525" s="38" t="str">
        <f>VLOOKUP(B4525,CAJEROS!B:D,3,0)</f>
        <v>Dispensador</v>
      </c>
      <c r="I4525" s="34"/>
      <c r="J4525" s="38" t="str">
        <f>VLOOKUP(B4525,CAJEROS!B:E,4,0)</f>
        <v>PASEOCOM2</v>
      </c>
      <c r="K4525" t="s">
        <v>579</v>
      </c>
    </row>
    <row r="4526" spans="1:11">
      <c r="A4526" s="32">
        <v>211</v>
      </c>
      <c r="B4526" s="33">
        <v>5308</v>
      </c>
      <c r="C4526" s="3">
        <v>990000</v>
      </c>
      <c r="D4526" s="3">
        <v>860000</v>
      </c>
      <c r="E4526" s="7">
        <f t="shared" si="95"/>
        <v>130000</v>
      </c>
      <c r="F4526" s="5">
        <v>45922</v>
      </c>
      <c r="G4526" s="4">
        <v>20250921</v>
      </c>
      <c r="H4526" s="38" t="str">
        <f>VLOOKUP(B4526,CAJEROS!B:D,3,0)</f>
        <v>Dispensador</v>
      </c>
      <c r="I4526" s="34" t="s">
        <v>9</v>
      </c>
      <c r="J4526" s="38" t="str">
        <f>VLOOKUP(B4526,CAJEROS!B:E,4,0)</f>
        <v>SUC_INDUST1</v>
      </c>
      <c r="K4526" t="s">
        <v>579</v>
      </c>
    </row>
    <row r="4527" spans="1:11">
      <c r="A4527" s="32">
        <v>330</v>
      </c>
      <c r="B4527" s="33">
        <v>6747</v>
      </c>
      <c r="C4527" s="3">
        <v>100000</v>
      </c>
      <c r="D4527" s="3">
        <v>10000</v>
      </c>
      <c r="E4527" s="7">
        <f t="shared" si="95"/>
        <v>90000</v>
      </c>
      <c r="F4527" s="5">
        <v>45922</v>
      </c>
      <c r="G4527" s="4">
        <v>20250921</v>
      </c>
      <c r="H4527" s="38" t="str">
        <f>VLOOKUP(B4527,CAJEROS!B:D,3,0)</f>
        <v>Dispensador</v>
      </c>
      <c r="I4527" s="34" t="s">
        <v>9</v>
      </c>
      <c r="J4527" s="38" t="str">
        <f>VLOOKUP(B4527,CAJEROS!B:E,4,0)</f>
        <v>SUC_MALAMB3</v>
      </c>
      <c r="K4527" t="s">
        <v>579</v>
      </c>
    </row>
    <row r="4528" spans="1:11">
      <c r="A4528" s="32">
        <v>348</v>
      </c>
      <c r="B4528" s="33">
        <v>5649</v>
      </c>
      <c r="C4528" s="3">
        <v>100000</v>
      </c>
      <c r="D4528" s="3"/>
      <c r="E4528" s="7">
        <f t="shared" si="95"/>
        <v>100000</v>
      </c>
      <c r="F4528" s="5">
        <v>45922</v>
      </c>
      <c r="G4528" s="4">
        <v>20250921</v>
      </c>
      <c r="H4528" s="38" t="str">
        <f>VLOOKUP(B4528,CAJEROS!B:D,3,0)</f>
        <v>Dispensador</v>
      </c>
      <c r="I4528" s="34" t="s">
        <v>9</v>
      </c>
      <c r="J4528" s="38" t="str">
        <f>VLOOKUP(B4528,CAJEROS!B:E,4,0)</f>
        <v>SUCSANDRES5</v>
      </c>
      <c r="K4528" t="s">
        <v>579</v>
      </c>
    </row>
    <row r="4529" spans="1:11">
      <c r="A4529" s="32">
        <v>392</v>
      </c>
      <c r="B4529" s="33">
        <v>5265</v>
      </c>
      <c r="C4529" s="3">
        <v>100000</v>
      </c>
      <c r="D4529" s="3"/>
      <c r="E4529" s="7">
        <f t="shared" si="95"/>
        <v>100000</v>
      </c>
      <c r="F4529" s="5">
        <v>45922</v>
      </c>
      <c r="G4529" s="4">
        <v>20250921</v>
      </c>
      <c r="H4529" s="38" t="str">
        <f>VLOOKUP(B4529,CAJEROS!B:D,3,0)</f>
        <v>Dispensador</v>
      </c>
      <c r="I4529" s="34" t="s">
        <v>9</v>
      </c>
      <c r="J4529" s="38" t="str">
        <f>VLOOKUP(B4529,CAJEROS!B:E,4,0)</f>
        <v>SUC_LADORA4</v>
      </c>
      <c r="K4529" t="s">
        <v>579</v>
      </c>
    </row>
    <row r="4530" spans="1:11">
      <c r="A4530" s="32">
        <v>451</v>
      </c>
      <c r="B4530" s="33">
        <v>4967</v>
      </c>
      <c r="C4530" s="3">
        <v>100000</v>
      </c>
      <c r="D4530" s="3"/>
      <c r="E4530" s="7">
        <f t="shared" si="95"/>
        <v>100000</v>
      </c>
      <c r="F4530" s="5">
        <v>45922</v>
      </c>
      <c r="G4530" s="4">
        <v>20250921</v>
      </c>
      <c r="H4530" s="38" t="str">
        <f>VLOOKUP(B4530,CAJEROS!B:D,3,0)</f>
        <v>Dispensador</v>
      </c>
      <c r="I4530" s="34" t="s">
        <v>9</v>
      </c>
      <c r="J4530" s="38" t="str">
        <f>VLOOKUP(B4530,CAJEROS!B:E,4,0)</f>
        <v>SUCPTOASIS2</v>
      </c>
      <c r="K4530" t="s">
        <v>579</v>
      </c>
    </row>
    <row r="4531" spans="1:11">
      <c r="A4531" s="32">
        <v>499</v>
      </c>
      <c r="B4531" s="33">
        <v>9809</v>
      </c>
      <c r="C4531" s="3">
        <v>70000</v>
      </c>
      <c r="D4531" s="3"/>
      <c r="E4531" s="7">
        <f t="shared" si="95"/>
        <v>70000</v>
      </c>
      <c r="F4531" s="5">
        <v>45922</v>
      </c>
      <c r="G4531" s="4">
        <v>20250921</v>
      </c>
      <c r="H4531" s="38" t="str">
        <f>VLOOKUP(B4531,CAJEROS!B:D,3,0)</f>
        <v>Dispensador</v>
      </c>
      <c r="I4531" s="34" t="s">
        <v>9</v>
      </c>
      <c r="J4531" s="38" t="str">
        <f>VLOOKUP(B4531,CAJEROS!B:E,4,0)</f>
        <v>SUCPARFAB11</v>
      </c>
      <c r="K4531" t="s">
        <v>579</v>
      </c>
    </row>
    <row r="4532" spans="1:11">
      <c r="A4532" s="32">
        <v>509</v>
      </c>
      <c r="B4532" s="33">
        <v>8779</v>
      </c>
      <c r="C4532" s="3">
        <v>140000</v>
      </c>
      <c r="D4532" s="3"/>
      <c r="E4532" s="7">
        <f t="shared" si="95"/>
        <v>140000</v>
      </c>
      <c r="F4532" s="5">
        <v>45922</v>
      </c>
      <c r="G4532" s="4">
        <v>20250921</v>
      </c>
      <c r="H4532" s="38" t="str">
        <f>VLOOKUP(B4532,CAJEROS!B:D,3,0)</f>
        <v>Dispensador</v>
      </c>
      <c r="I4532" s="34" t="s">
        <v>9</v>
      </c>
      <c r="J4532" s="38" t="str">
        <f>VLOOKUP(B4532,CAJEROS!B:E,4,0)</f>
        <v>SUCTURBA2</v>
      </c>
      <c r="K4532" t="s">
        <v>579</v>
      </c>
    </row>
    <row r="4533" spans="1:11">
      <c r="A4533" s="32">
        <v>536</v>
      </c>
      <c r="B4533" s="33">
        <v>8993</v>
      </c>
      <c r="C4533" s="3">
        <v>300000</v>
      </c>
      <c r="D4533" s="3"/>
      <c r="E4533" s="7">
        <f t="shared" si="95"/>
        <v>300000</v>
      </c>
      <c r="F4533" s="5">
        <v>45922</v>
      </c>
      <c r="G4533" s="4">
        <v>20250921</v>
      </c>
      <c r="H4533" s="38" t="str">
        <f>VLOOKUP(B4533,CAJEROS!B:D,3,0)</f>
        <v>Dispensador</v>
      </c>
      <c r="I4533" s="34" t="s">
        <v>9</v>
      </c>
      <c r="J4533" s="38" t="str">
        <f>VLOOKUP(B4533,CAJEROS!B:E,4,0)</f>
        <v>SUC_QUIBDO8</v>
      </c>
      <c r="K4533" t="s">
        <v>579</v>
      </c>
    </row>
    <row r="4534" spans="1:11">
      <c r="A4534" s="32">
        <v>601</v>
      </c>
      <c r="B4534" s="33">
        <v>6424</v>
      </c>
      <c r="C4534" s="3">
        <v>280000</v>
      </c>
      <c r="D4534" s="3">
        <v>30000</v>
      </c>
      <c r="E4534" s="7">
        <f t="shared" si="95"/>
        <v>250000</v>
      </c>
      <c r="F4534" s="5">
        <v>45922</v>
      </c>
      <c r="G4534" s="4">
        <v>20250921</v>
      </c>
      <c r="H4534" s="38" t="str">
        <f>VLOOKUP(B4534,CAJEROS!B:D,3,0)</f>
        <v>Dispensador</v>
      </c>
      <c r="I4534" s="34" t="s">
        <v>9</v>
      </c>
      <c r="J4534" s="38" t="str">
        <f>VLOOKUP(B4534,CAJEROS!B:E,4,0)</f>
        <v>SUC_PQCOL4</v>
      </c>
      <c r="K4534" t="s">
        <v>579</v>
      </c>
    </row>
    <row r="4535" spans="1:11">
      <c r="A4535" s="32">
        <v>705</v>
      </c>
      <c r="B4535" s="33">
        <v>4151</v>
      </c>
      <c r="C4535" s="3">
        <v>100000</v>
      </c>
      <c r="D4535" s="3"/>
      <c r="E4535" s="7">
        <f t="shared" si="95"/>
        <v>100000</v>
      </c>
      <c r="F4535" s="5">
        <v>45922</v>
      </c>
      <c r="G4535" s="4">
        <v>20250921</v>
      </c>
      <c r="H4535" s="38" t="str">
        <f>VLOOKUP(B4535,CAJEROS!B:D,3,0)</f>
        <v>Dispensador</v>
      </c>
      <c r="I4535" s="34" t="s">
        <v>9</v>
      </c>
      <c r="J4535" s="38" t="str">
        <f>VLOOKUP(B4535,CAJEROS!B:E,4,0)</f>
        <v>SUC_BAGRE1</v>
      </c>
      <c r="K4535" t="s">
        <v>579</v>
      </c>
    </row>
    <row r="4536" spans="1:11">
      <c r="A4536" s="32">
        <v>745</v>
      </c>
      <c r="B4536" s="33">
        <v>1471</v>
      </c>
      <c r="C4536" s="3">
        <v>80000</v>
      </c>
      <c r="D4536" s="3"/>
      <c r="E4536" s="7">
        <f t="shared" si="95"/>
        <v>80000</v>
      </c>
      <c r="F4536" s="5">
        <v>45922</v>
      </c>
      <c r="G4536" s="4">
        <v>20250921</v>
      </c>
      <c r="H4536" s="38" t="str">
        <f>VLOOKUP(B4536,CAJEROS!B:D,3,0)</f>
        <v>Dispensador</v>
      </c>
      <c r="I4536" s="34" t="s">
        <v>9</v>
      </c>
      <c r="J4536" s="38" t="str">
        <f>VLOOKUP(B4536,CAJEROS!B:E,4,0)</f>
        <v>SUCMALPLAZ1</v>
      </c>
      <c r="K4536" t="s">
        <v>579</v>
      </c>
    </row>
    <row r="4537" spans="1:11">
      <c r="A4537" s="32">
        <v>789</v>
      </c>
      <c r="B4537" s="33">
        <v>5660</v>
      </c>
      <c r="C4537" s="3">
        <v>30000</v>
      </c>
      <c r="D4537" s="3"/>
      <c r="E4537" s="7">
        <f t="shared" si="95"/>
        <v>30000</v>
      </c>
      <c r="F4537" s="5">
        <v>45922</v>
      </c>
      <c r="G4537" s="4">
        <v>20250921</v>
      </c>
      <c r="H4537" s="38" t="str">
        <f>VLOOKUP(B4537,CAJEROS!B:D,3,0)</f>
        <v>Dispensador</v>
      </c>
      <c r="I4537" s="34" t="s">
        <v>9</v>
      </c>
      <c r="J4537" s="38" t="str">
        <f>VLOOKUP(B4537,CAJEROS!B:E,4,0)</f>
        <v>MANGA1</v>
      </c>
      <c r="K4537" t="s">
        <v>579</v>
      </c>
    </row>
    <row r="4538" spans="1:11">
      <c r="A4538" s="32">
        <v>16</v>
      </c>
      <c r="B4538" s="33">
        <v>5219</v>
      </c>
      <c r="C4538" s="3">
        <v>1990000</v>
      </c>
      <c r="D4538" s="3"/>
      <c r="E4538" s="7">
        <f t="shared" si="95"/>
        <v>1990000</v>
      </c>
      <c r="F4538" s="5">
        <v>45922</v>
      </c>
      <c r="G4538" s="4">
        <v>20250919</v>
      </c>
      <c r="H4538" s="38" t="str">
        <f>VLOOKUP(B4538,CAJEROS!B:D,3,0)</f>
        <v>Multifuncional</v>
      </c>
      <c r="I4538" s="34"/>
      <c r="J4538" s="38" t="str">
        <f>VLOOKUP(B4538,CAJEROS!B:E,4,0)</f>
        <v>MF_AEOLAYA</v>
      </c>
      <c r="K4538" t="s">
        <v>579</v>
      </c>
    </row>
    <row r="4539" spans="1:11">
      <c r="A4539" s="32">
        <v>20</v>
      </c>
      <c r="B4539" s="33">
        <v>8927</v>
      </c>
      <c r="C4539" s="3">
        <v>585000</v>
      </c>
      <c r="D4539" s="3"/>
      <c r="E4539" s="7">
        <f t="shared" si="95"/>
        <v>585000</v>
      </c>
      <c r="F4539" s="5">
        <v>45922</v>
      </c>
      <c r="G4539" s="4">
        <v>20250919</v>
      </c>
      <c r="H4539" s="38" t="str">
        <f>VLOOKUP(B4539,CAJEROS!B:D,3,0)</f>
        <v>Multifuncional</v>
      </c>
      <c r="I4539" s="34"/>
      <c r="J4539" s="38" t="str">
        <f>VLOOKUP(B4539,CAJEROS!B:E,4,0)</f>
        <v>MFSUCBUCMG2</v>
      </c>
      <c r="K4539" t="s">
        <v>579</v>
      </c>
    </row>
    <row r="4540" spans="1:11">
      <c r="A4540" s="32">
        <v>93</v>
      </c>
      <c r="B4540" s="33">
        <v>7126</v>
      </c>
      <c r="C4540" s="3">
        <v>22000</v>
      </c>
      <c r="D4540" s="3"/>
      <c r="E4540" s="7">
        <f t="shared" si="95"/>
        <v>22000</v>
      </c>
      <c r="F4540" s="5">
        <v>45922</v>
      </c>
      <c r="G4540" s="4">
        <v>20250919</v>
      </c>
      <c r="H4540" s="38" t="str">
        <f>VLOOKUP(B4540,CAJEROS!B:D,3,0)</f>
        <v>Multifuncional</v>
      </c>
      <c r="I4540" s="34"/>
      <c r="J4540" s="38" t="str">
        <f>VLOOKUP(B4540,CAJEROS!B:E,4,0)</f>
        <v>MF_SAHAGUN</v>
      </c>
      <c r="K4540" t="s">
        <v>579</v>
      </c>
    </row>
    <row r="4541" spans="1:11">
      <c r="A4541" s="32">
        <v>318</v>
      </c>
      <c r="B4541" s="33">
        <v>7680</v>
      </c>
      <c r="C4541" s="3">
        <v>6690000</v>
      </c>
      <c r="D4541" s="3"/>
      <c r="E4541" s="7">
        <f t="shared" si="95"/>
        <v>6690000</v>
      </c>
      <c r="F4541" s="5">
        <v>45922</v>
      </c>
      <c r="G4541" s="4">
        <v>20250919</v>
      </c>
      <c r="H4541" s="38" t="str">
        <f>VLOOKUP(B4541,CAJEROS!B:D,3,0)</f>
        <v>Multifuncional</v>
      </c>
      <c r="I4541" s="34"/>
      <c r="J4541" s="38" t="str">
        <f>VLOOKUP(B4541,CAJEROS!B:E,4,0)</f>
        <v>MF_OCANA2</v>
      </c>
      <c r="K4541" t="s">
        <v>579</v>
      </c>
    </row>
    <row r="4542" spans="1:11">
      <c r="A4542" s="32">
        <v>506</v>
      </c>
      <c r="B4542" s="33">
        <v>7316</v>
      </c>
      <c r="C4542" s="3">
        <v>706950</v>
      </c>
      <c r="D4542" s="3"/>
      <c r="E4542" s="7">
        <f t="shared" si="95"/>
        <v>706950</v>
      </c>
      <c r="F4542" s="5">
        <v>45922</v>
      </c>
      <c r="G4542" s="4">
        <v>20250919</v>
      </c>
      <c r="H4542" s="38" t="str">
        <f>VLOOKUP(B4542,CAJEROS!B:D,3,0)</f>
        <v>Multifuncional</v>
      </c>
      <c r="I4542" s="34"/>
      <c r="J4542" s="38" t="str">
        <f>VLOOKUP(B4542,CAJEROS!B:E,4,0)</f>
        <v>MF_SINCELE2</v>
      </c>
      <c r="K4542" t="s">
        <v>579</v>
      </c>
    </row>
    <row r="4543" spans="1:11">
      <c r="A4543" s="32">
        <v>523</v>
      </c>
      <c r="B4543" s="33">
        <v>5082</v>
      </c>
      <c r="C4543" s="3">
        <v>5945000</v>
      </c>
      <c r="D4543" s="3">
        <v>1727000</v>
      </c>
      <c r="E4543" s="7">
        <f t="shared" si="95"/>
        <v>4218000</v>
      </c>
      <c r="F4543" s="5">
        <v>45922</v>
      </c>
      <c r="G4543" s="4">
        <v>20250919</v>
      </c>
      <c r="H4543" s="38" t="str">
        <f>VLOOKUP(B4543,CAJEROS!B:D,3,0)</f>
        <v>Multifuncional</v>
      </c>
      <c r="I4543" s="34"/>
      <c r="J4543" s="38" t="str">
        <f>VLOOKUP(B4543,CAJEROS!B:E,4,0)</f>
        <v>MF_OVALLEDU</v>
      </c>
      <c r="K4543" t="s">
        <v>579</v>
      </c>
    </row>
    <row r="4544" spans="1:11">
      <c r="A4544" s="32">
        <v>848</v>
      </c>
      <c r="B4544" s="33">
        <v>7374</v>
      </c>
      <c r="C4544" s="3">
        <v>10000</v>
      </c>
      <c r="D4544" s="3"/>
      <c r="E4544" s="7">
        <f t="shared" si="95"/>
        <v>10000</v>
      </c>
      <c r="F4544" s="5">
        <v>45922</v>
      </c>
      <c r="G4544" s="4">
        <v>20250919</v>
      </c>
      <c r="H4544" s="38" t="str">
        <f>VLOOKUP(B4544,CAJEROS!B:D,3,0)</f>
        <v>Multifuncional</v>
      </c>
      <c r="I4544" s="34"/>
      <c r="J4544" s="38" t="str">
        <f>VLOOKUP(B4544,CAJEROS!B:E,4,0)</f>
        <v>MF_BUGA</v>
      </c>
      <c r="K4544" t="s">
        <v>579</v>
      </c>
    </row>
    <row r="4545" spans="1:11">
      <c r="A4545" s="32">
        <v>849</v>
      </c>
      <c r="B4545" s="33">
        <v>9725</v>
      </c>
      <c r="C4545" s="3">
        <v>15330000</v>
      </c>
      <c r="D4545" s="3"/>
      <c r="E4545" s="7">
        <f t="shared" si="95"/>
        <v>15330000</v>
      </c>
      <c r="F4545" s="5">
        <v>45922</v>
      </c>
      <c r="G4545" s="4">
        <v>20250919</v>
      </c>
      <c r="H4545" s="38" t="str">
        <f>VLOOKUP(B4545,CAJEROS!B:D,3,0)</f>
        <v>Multifuncional</v>
      </c>
      <c r="I4545" s="34"/>
      <c r="J4545" s="38" t="str">
        <f>VLOOKUP(B4545,CAJEROS!B:E,4,0)</f>
        <v>MF_SUNIVIL2</v>
      </c>
      <c r="K4545" t="s">
        <v>579</v>
      </c>
    </row>
    <row r="4546" spans="1:11">
      <c r="A4546" s="32">
        <v>915</v>
      </c>
      <c r="B4546" s="33">
        <v>8314</v>
      </c>
      <c r="C4546" s="3">
        <v>1695000</v>
      </c>
      <c r="D4546" s="3">
        <v>923000</v>
      </c>
      <c r="E4546" s="7">
        <f t="shared" si="95"/>
        <v>772000</v>
      </c>
      <c r="F4546" s="5">
        <v>45922</v>
      </c>
      <c r="G4546" s="4">
        <v>20250919</v>
      </c>
      <c r="H4546" s="38" t="str">
        <f>VLOOKUP(B4546,CAJEROS!B:D,3,0)</f>
        <v>Multifuncional</v>
      </c>
      <c r="I4546" s="34"/>
      <c r="J4546" s="38" t="str">
        <f>VLOOKUP(B4546,CAJEROS!B:E,4,0)</f>
        <v>MF_BANLABB2</v>
      </c>
      <c r="K4546" t="s">
        <v>579</v>
      </c>
    </row>
    <row r="4547" spans="1:11">
      <c r="A4547" s="32">
        <v>957</v>
      </c>
      <c r="B4547" s="33">
        <v>9513</v>
      </c>
      <c r="C4547" s="3">
        <v>3630000</v>
      </c>
      <c r="D4547" s="3"/>
      <c r="E4547" s="7">
        <f t="shared" si="95"/>
        <v>3630000</v>
      </c>
      <c r="F4547" s="5">
        <v>45922</v>
      </c>
      <c r="G4547" s="4">
        <v>20250921</v>
      </c>
      <c r="H4547" s="38" t="str">
        <f>VLOOKUP(B4547,CAJEROS!B:D,3,0)</f>
        <v>Multifuncional</v>
      </c>
      <c r="I4547" s="34" t="s">
        <v>9</v>
      </c>
      <c r="J4547" s="38" t="str">
        <f>VLOOKUP(B4547,CAJEROS!B:E,4,0)</f>
        <v>MFSUCPARAL2</v>
      </c>
      <c r="K4547" t="s">
        <v>579</v>
      </c>
    </row>
    <row r="4548" spans="1:11">
      <c r="A4548" s="32">
        <v>890</v>
      </c>
      <c r="B4548" s="33">
        <v>9584</v>
      </c>
      <c r="C4548" s="3">
        <v>3270000</v>
      </c>
      <c r="D4548" s="3">
        <v>2909950</v>
      </c>
      <c r="E4548" s="7">
        <f t="shared" si="95"/>
        <v>360050</v>
      </c>
      <c r="F4548" s="5">
        <v>45922</v>
      </c>
      <c r="G4548" s="4">
        <v>20250921</v>
      </c>
      <c r="H4548" s="38" t="str">
        <f>VLOOKUP(B4548,CAJEROS!B:D,3,0)</f>
        <v>Multifuncional</v>
      </c>
      <c r="I4548" s="34" t="s">
        <v>9</v>
      </c>
      <c r="J4548" s="38" t="str">
        <f>VLOOKUP(B4548,CAJEROS!B:E,4,0)</f>
        <v>MFSUCACACI1</v>
      </c>
      <c r="K4548" t="s">
        <v>579</v>
      </c>
    </row>
    <row r="4549" spans="1:11">
      <c r="A4549" s="32">
        <v>358</v>
      </c>
      <c r="B4549" s="33">
        <v>5149</v>
      </c>
      <c r="C4549" s="3">
        <v>2910050</v>
      </c>
      <c r="D4549" s="3">
        <v>735000</v>
      </c>
      <c r="E4549" s="7">
        <f t="shared" si="95"/>
        <v>2175050</v>
      </c>
      <c r="F4549" s="5">
        <v>45922</v>
      </c>
      <c r="G4549" s="4">
        <v>20250921</v>
      </c>
      <c r="H4549" s="38" t="str">
        <f>VLOOKUP(B4549,CAJEROS!B:D,3,0)</f>
        <v>Multifuncional</v>
      </c>
      <c r="I4549" s="34" t="s">
        <v>9</v>
      </c>
      <c r="J4549" s="38" t="str">
        <f>VLOOKUP(B4549,CAJEROS!B:E,4,0)</f>
        <v>MF_SOGAMOSO</v>
      </c>
      <c r="K4549" t="s">
        <v>579</v>
      </c>
    </row>
    <row r="4550" spans="1:11">
      <c r="A4550" s="32">
        <v>907</v>
      </c>
      <c r="B4550" s="33">
        <v>5019</v>
      </c>
      <c r="C4550" s="3">
        <v>2670000</v>
      </c>
      <c r="D4550" s="3"/>
      <c r="E4550" s="7">
        <f t="shared" si="95"/>
        <v>2670000</v>
      </c>
      <c r="F4550" s="5">
        <v>45922</v>
      </c>
      <c r="G4550" s="4">
        <v>20250921</v>
      </c>
      <c r="H4550" s="38" t="str">
        <f>VLOOKUP(B4550,CAJEROS!B:D,3,0)</f>
        <v>Multifuncional</v>
      </c>
      <c r="I4550" s="34" t="s">
        <v>9</v>
      </c>
      <c r="J4550" s="38" t="str">
        <f>VLOOKUP(B4550,CAJEROS!B:E,4,0)</f>
        <v>MF_FRONTERA</v>
      </c>
      <c r="K4550" t="s">
        <v>579</v>
      </c>
    </row>
    <row r="4551" spans="1:11">
      <c r="A4551" s="32">
        <v>509</v>
      </c>
      <c r="B4551" s="33">
        <v>8835</v>
      </c>
      <c r="C4551" s="3">
        <v>2375000</v>
      </c>
      <c r="D4551" s="3"/>
      <c r="E4551" s="7">
        <f t="shared" si="95"/>
        <v>2375000</v>
      </c>
      <c r="F4551" s="5">
        <v>45922</v>
      </c>
      <c r="G4551" s="4">
        <v>20250921</v>
      </c>
      <c r="H4551" s="38" t="str">
        <f>VLOOKUP(B4551,CAJEROS!B:D,3,0)</f>
        <v>Multifuncional</v>
      </c>
      <c r="I4551" s="34" t="s">
        <v>9</v>
      </c>
      <c r="J4551" s="38" t="str">
        <f>VLOOKUP(B4551,CAJEROS!B:E,4,0)</f>
        <v>MFTSUCURB1</v>
      </c>
      <c r="K4551" t="s">
        <v>579</v>
      </c>
    </row>
    <row r="4552" spans="1:11">
      <c r="A4552" s="32">
        <v>957</v>
      </c>
      <c r="B4552" s="33">
        <v>9512</v>
      </c>
      <c r="C4552" s="3">
        <v>2338000</v>
      </c>
      <c r="D4552" s="3"/>
      <c r="E4552" s="7">
        <f t="shared" si="95"/>
        <v>2338000</v>
      </c>
      <c r="F4552" s="5">
        <v>45922</v>
      </c>
      <c r="G4552" s="4">
        <v>20250921</v>
      </c>
      <c r="H4552" s="38" t="str">
        <f>VLOOKUP(B4552,CAJEROS!B:D,3,0)</f>
        <v>Multifuncional</v>
      </c>
      <c r="I4552" s="34" t="s">
        <v>9</v>
      </c>
      <c r="J4552" s="38" t="str">
        <f>VLOOKUP(B4552,CAJEROS!B:E,4,0)</f>
        <v>MFSUCPARAL1</v>
      </c>
      <c r="K4552" t="s">
        <v>579</v>
      </c>
    </row>
    <row r="4553" spans="1:11">
      <c r="A4553" s="32">
        <v>779</v>
      </c>
      <c r="B4553" s="33">
        <v>8685</v>
      </c>
      <c r="C4553" s="3">
        <v>2300000</v>
      </c>
      <c r="D4553" s="3"/>
      <c r="E4553" s="7">
        <f t="shared" si="95"/>
        <v>2300000</v>
      </c>
      <c r="F4553" s="5">
        <v>45922</v>
      </c>
      <c r="G4553" s="4">
        <v>20250921</v>
      </c>
      <c r="H4553" s="38" t="str">
        <f>VLOOKUP(B4553,CAJEROS!B:D,3,0)</f>
        <v>Multifuncional</v>
      </c>
      <c r="I4553" s="34" t="s">
        <v>9</v>
      </c>
      <c r="J4553" s="38" t="str">
        <f>VLOOKUP(B4553,CAJEROS!B:E,4,0)</f>
        <v>MF_BUENVSM3</v>
      </c>
      <c r="K4553" t="s">
        <v>579</v>
      </c>
    </row>
    <row r="4554" spans="1:11">
      <c r="A4554" s="32">
        <v>481</v>
      </c>
      <c r="B4554" s="33">
        <v>1010</v>
      </c>
      <c r="C4554" s="3">
        <v>1650000</v>
      </c>
      <c r="D4554" s="3"/>
      <c r="E4554" s="7">
        <f t="shared" si="95"/>
        <v>1650000</v>
      </c>
      <c r="F4554" s="5">
        <v>45922</v>
      </c>
      <c r="G4554" s="4">
        <v>20250921</v>
      </c>
      <c r="H4554" s="38" t="str">
        <f>VLOOKUP(B4554,CAJEROS!B:D,3,0)</f>
        <v>Multifuncional</v>
      </c>
      <c r="I4554" s="34" t="s">
        <v>9</v>
      </c>
      <c r="J4554" s="38" t="str">
        <f>VLOOKUP(B4554,CAJEROS!B:E,4,0)</f>
        <v>MF_SOLEDAD1</v>
      </c>
      <c r="K4554" t="s">
        <v>579</v>
      </c>
    </row>
    <row r="4555" spans="1:11">
      <c r="A4555" s="32">
        <v>721</v>
      </c>
      <c r="B4555" s="33">
        <v>8896</v>
      </c>
      <c r="C4555" s="3">
        <v>1547750</v>
      </c>
      <c r="D4555" s="3"/>
      <c r="E4555" s="7">
        <f t="shared" si="95"/>
        <v>1547750</v>
      </c>
      <c r="F4555" s="5">
        <v>45922</v>
      </c>
      <c r="G4555" s="4">
        <v>20250921</v>
      </c>
      <c r="H4555" s="38" t="str">
        <f>VLOOKUP(B4555,CAJEROS!B:D,3,0)</f>
        <v>Multifuncional</v>
      </c>
      <c r="I4555" s="34" t="s">
        <v>9</v>
      </c>
      <c r="J4555" s="38" t="str">
        <f>VLOOKUP(B4555,CAJEROS!B:E,4,0)</f>
        <v>MFSUCLAGO1</v>
      </c>
      <c r="K4555" t="s">
        <v>579</v>
      </c>
    </row>
    <row r="4556" spans="1:11">
      <c r="A4556" s="32">
        <v>395</v>
      </c>
      <c r="B4556" s="33">
        <v>1529</v>
      </c>
      <c r="C4556" s="3">
        <v>1300000</v>
      </c>
      <c r="D4556" s="3"/>
      <c r="E4556" s="7">
        <f t="shared" si="95"/>
        <v>1300000</v>
      </c>
      <c r="F4556" s="5">
        <v>45922</v>
      </c>
      <c r="G4556" s="4">
        <v>20250921</v>
      </c>
      <c r="H4556" s="38" t="str">
        <f>VLOOKUP(B4556,CAJEROS!B:D,3,0)</f>
        <v>Multifuncional</v>
      </c>
      <c r="I4556" s="34" t="s">
        <v>9</v>
      </c>
      <c r="J4556" s="38" t="str">
        <f>VLOOKUP(B4556,CAJEROS!B:E,4,0)</f>
        <v>SUCMFVIVCI2</v>
      </c>
      <c r="K4556" t="s">
        <v>579</v>
      </c>
    </row>
    <row r="4557" spans="1:11">
      <c r="A4557" s="32">
        <v>499</v>
      </c>
      <c r="B4557" s="33">
        <v>9810</v>
      </c>
      <c r="C4557" s="3">
        <v>1240800</v>
      </c>
      <c r="D4557" s="3"/>
      <c r="E4557" s="7">
        <f t="shared" si="95"/>
        <v>1240800</v>
      </c>
      <c r="F4557" s="5">
        <v>45922</v>
      </c>
      <c r="G4557" s="4">
        <v>20250921</v>
      </c>
      <c r="H4557" s="38" t="str">
        <f>VLOOKUP(B4557,CAJEROS!B:D,3,0)</f>
        <v>Multifuncional</v>
      </c>
      <c r="I4557" s="34" t="s">
        <v>9</v>
      </c>
      <c r="J4557" s="38" t="str">
        <f>VLOOKUP(B4557,CAJEROS!B:E,4,0)</f>
        <v>MF_SUCPARF1</v>
      </c>
      <c r="K4557" t="s">
        <v>579</v>
      </c>
    </row>
    <row r="4558" spans="1:11">
      <c r="A4558" s="32">
        <v>277</v>
      </c>
      <c r="B4558" s="33">
        <v>5021</v>
      </c>
      <c r="C4558" s="3">
        <v>1140000</v>
      </c>
      <c r="D4558" s="3"/>
      <c r="E4558" s="7">
        <f t="shared" si="95"/>
        <v>1140000</v>
      </c>
      <c r="F4558" s="5">
        <v>45922</v>
      </c>
      <c r="G4558" s="4">
        <v>20250921</v>
      </c>
      <c r="H4558" s="38" t="str">
        <f>VLOOKUP(B4558,CAJEROS!B:D,3,0)</f>
        <v>Multifuncional</v>
      </c>
      <c r="I4558" s="34" t="s">
        <v>9</v>
      </c>
      <c r="J4558" s="38" t="str">
        <f>VLOOKUP(B4558,CAJEROS!B:E,4,0)</f>
        <v>MF_CCMAYOR1</v>
      </c>
      <c r="K4558" t="s">
        <v>579</v>
      </c>
    </row>
    <row r="4559" spans="1:11">
      <c r="A4559" s="32">
        <v>167</v>
      </c>
      <c r="B4559" s="33">
        <v>5030</v>
      </c>
      <c r="C4559" s="3">
        <v>915000</v>
      </c>
      <c r="D4559" s="3"/>
      <c r="E4559" s="7">
        <f t="shared" si="95"/>
        <v>915000</v>
      </c>
      <c r="F4559" s="5">
        <v>45922</v>
      </c>
      <c r="G4559" s="4">
        <v>20250921</v>
      </c>
      <c r="H4559" s="38" t="str">
        <f>VLOOKUP(B4559,CAJEROS!B:D,3,0)</f>
        <v>Multifuncional</v>
      </c>
      <c r="I4559" s="34" t="s">
        <v>9</v>
      </c>
      <c r="J4559" s="38" t="str">
        <f>VLOOKUP(B4559,CAJEROS!B:E,4,0)</f>
        <v>MF_AVENID82</v>
      </c>
      <c r="K4559" t="s">
        <v>579</v>
      </c>
    </row>
    <row r="4560" spans="1:11">
      <c r="A4560" s="32">
        <v>383</v>
      </c>
      <c r="B4560" s="33">
        <v>5194</v>
      </c>
      <c r="C4560" s="3">
        <v>900000</v>
      </c>
      <c r="D4560" s="3"/>
      <c r="E4560" s="7">
        <f t="shared" si="95"/>
        <v>900000</v>
      </c>
      <c r="F4560" s="5">
        <v>45922</v>
      </c>
      <c r="G4560" s="4">
        <v>20250921</v>
      </c>
      <c r="H4560" s="38" t="str">
        <f>VLOOKUP(B4560,CAJEROS!B:D,3,0)</f>
        <v>Multifuncional</v>
      </c>
      <c r="I4560" s="34" t="s">
        <v>9</v>
      </c>
      <c r="J4560" s="38" t="str">
        <f>VLOOKUP(B4560,CAJEROS!B:E,4,0)</f>
        <v>MF_MADRID</v>
      </c>
      <c r="K4560" t="s">
        <v>579</v>
      </c>
    </row>
    <row r="4561" spans="1:11">
      <c r="A4561" s="32">
        <v>779</v>
      </c>
      <c r="B4561" s="33">
        <v>5013</v>
      </c>
      <c r="C4561" s="3">
        <v>890000</v>
      </c>
      <c r="D4561" s="3"/>
      <c r="E4561" s="7">
        <f t="shared" si="95"/>
        <v>890000</v>
      </c>
      <c r="F4561" s="5">
        <v>45922</v>
      </c>
      <c r="G4561" s="4">
        <v>20250921</v>
      </c>
      <c r="H4561" s="38" t="str">
        <f>VLOOKUP(B4561,CAJEROS!B:D,3,0)</f>
        <v>Multifuncional</v>
      </c>
      <c r="I4561" s="34" t="s">
        <v>9</v>
      </c>
      <c r="J4561" s="38" t="str">
        <f>VLOOKUP(B4561,CAJEROS!B:E,4,0)</f>
        <v>MF_BUENASM1</v>
      </c>
      <c r="K4561" t="s">
        <v>579</v>
      </c>
    </row>
    <row r="4562" spans="1:11">
      <c r="A4562" s="32">
        <v>481</v>
      </c>
      <c r="B4562" s="33">
        <v>1011</v>
      </c>
      <c r="C4562" s="3">
        <v>701000</v>
      </c>
      <c r="D4562" s="3"/>
      <c r="E4562" s="7">
        <f t="shared" si="95"/>
        <v>701000</v>
      </c>
      <c r="F4562" s="5">
        <v>45922</v>
      </c>
      <c r="G4562" s="4">
        <v>20250921</v>
      </c>
      <c r="H4562" s="38" t="str">
        <f>VLOOKUP(B4562,CAJEROS!B:D,3,0)</f>
        <v>Multifuncional</v>
      </c>
      <c r="I4562" s="34" t="s">
        <v>9</v>
      </c>
      <c r="J4562" s="38" t="str">
        <f>VLOOKUP(B4562,CAJEROS!B:E,4,0)</f>
        <v>MF_SOLEDAD2</v>
      </c>
      <c r="K4562" t="s">
        <v>579</v>
      </c>
    </row>
    <row r="4563" spans="1:11">
      <c r="A4563" s="32">
        <v>516</v>
      </c>
      <c r="B4563" s="33">
        <v>9729</v>
      </c>
      <c r="C4563" s="3">
        <v>700000</v>
      </c>
      <c r="D4563" s="3"/>
      <c r="E4563" s="7">
        <f t="shared" si="95"/>
        <v>700000</v>
      </c>
      <c r="F4563" s="5">
        <v>45922</v>
      </c>
      <c r="G4563" s="4">
        <v>20250921</v>
      </c>
      <c r="H4563" s="38" t="str">
        <f>VLOOKUP(B4563,CAJEROS!B:D,3,0)</f>
        <v>Multifuncional</v>
      </c>
      <c r="I4563" s="34" t="s">
        <v>9</v>
      </c>
      <c r="J4563" s="38" t="str">
        <f>VLOOKUP(B4563,CAJEROS!B:E,4,0)</f>
        <v>MF_SUCSTAM1</v>
      </c>
      <c r="K4563" t="s">
        <v>579</v>
      </c>
    </row>
    <row r="4564" spans="1:11">
      <c r="A4564" s="32">
        <v>795</v>
      </c>
      <c r="B4564" s="33">
        <v>1028</v>
      </c>
      <c r="C4564" s="3">
        <v>670000</v>
      </c>
      <c r="D4564" s="3"/>
      <c r="E4564" s="7">
        <f t="shared" si="95"/>
        <v>670000</v>
      </c>
      <c r="F4564" s="5">
        <v>45922</v>
      </c>
      <c r="G4564" s="4">
        <v>20250921</v>
      </c>
      <c r="H4564" s="38" t="str">
        <f>VLOOKUP(B4564,CAJEROS!B:D,3,0)</f>
        <v>Multifuncional</v>
      </c>
      <c r="I4564" s="34" t="s">
        <v>9</v>
      </c>
      <c r="J4564" s="38" t="str">
        <f>VLOOKUP(B4564,CAJEROS!B:E,4,0)</f>
        <v>MFSUCANVER2</v>
      </c>
      <c r="K4564" t="s">
        <v>579</v>
      </c>
    </row>
    <row r="4565" spans="1:11">
      <c r="A4565" s="32">
        <v>844</v>
      </c>
      <c r="B4565" s="33">
        <v>6169</v>
      </c>
      <c r="C4565" s="3">
        <v>650000</v>
      </c>
      <c r="D4565" s="3">
        <v>400000</v>
      </c>
      <c r="E4565" s="7">
        <f t="shared" si="95"/>
        <v>250000</v>
      </c>
      <c r="F4565" s="5">
        <v>45922</v>
      </c>
      <c r="G4565" s="4">
        <v>20250921</v>
      </c>
      <c r="H4565" s="38" t="str">
        <f>VLOOKUP(B4565,CAJEROS!B:D,3,0)</f>
        <v>Multifuncional</v>
      </c>
      <c r="I4565" s="34" t="s">
        <v>9</v>
      </c>
      <c r="J4565" s="38" t="str">
        <f>VLOOKUP(B4565,CAJEROS!B:E,4,0)</f>
        <v>MF_PRIMAVRA</v>
      </c>
      <c r="K4565" t="s">
        <v>579</v>
      </c>
    </row>
    <row r="4566" spans="1:11">
      <c r="A4566" s="32">
        <v>569</v>
      </c>
      <c r="B4566" s="33">
        <v>8129</v>
      </c>
      <c r="C4566" s="3">
        <v>613000</v>
      </c>
      <c r="D4566" s="3"/>
      <c r="E4566" s="7">
        <f t="shared" ref="E4566:E4629" si="96">+C4566-D4566</f>
        <v>613000</v>
      </c>
      <c r="F4566" s="5">
        <v>45922</v>
      </c>
      <c r="G4566" s="4">
        <v>20250921</v>
      </c>
      <c r="H4566" s="38" t="str">
        <f>VLOOKUP(B4566,CAJEROS!B:D,3,0)</f>
        <v>Multifuncional</v>
      </c>
      <c r="I4566" s="34" t="s">
        <v>9</v>
      </c>
      <c r="J4566" s="38" t="str">
        <f>VLOOKUP(B4566,CAJEROS!B:E,4,0)</f>
        <v>MF_BUENMON2</v>
      </c>
      <c r="K4566" t="s">
        <v>579</v>
      </c>
    </row>
    <row r="4567" spans="1:11">
      <c r="A4567" s="32">
        <v>777</v>
      </c>
      <c r="B4567" s="33">
        <v>5009</v>
      </c>
      <c r="C4567" s="3">
        <v>593200</v>
      </c>
      <c r="D4567" s="3"/>
      <c r="E4567" s="7">
        <f t="shared" si="96"/>
        <v>593200</v>
      </c>
      <c r="F4567" s="5">
        <v>45922</v>
      </c>
      <c r="G4567" s="4">
        <v>20250921</v>
      </c>
      <c r="H4567" s="38" t="str">
        <f>VLOOKUP(B4567,CAJEROS!B:D,3,0)</f>
        <v>Multifuncional</v>
      </c>
      <c r="I4567" s="34" t="s">
        <v>9</v>
      </c>
      <c r="J4567" s="38" t="str">
        <f>VLOOKUP(B4567,CAJEROS!B:E,4,0)</f>
        <v>MF_PWASHING</v>
      </c>
      <c r="K4567" t="s">
        <v>579</v>
      </c>
    </row>
    <row r="4568" spans="1:11">
      <c r="A4568" s="32">
        <v>351</v>
      </c>
      <c r="B4568" s="33">
        <v>6182</v>
      </c>
      <c r="C4568" s="3">
        <v>558800</v>
      </c>
      <c r="D4568" s="3">
        <f>42450+50000+50000</f>
        <v>142450</v>
      </c>
      <c r="E4568" s="7">
        <f t="shared" si="96"/>
        <v>416350</v>
      </c>
      <c r="F4568" s="5">
        <v>45922</v>
      </c>
      <c r="G4568" s="4">
        <v>20250921</v>
      </c>
      <c r="H4568" s="38" t="str">
        <f>VLOOKUP(B4568,CAJEROS!B:D,3,0)</f>
        <v>Multifuncional</v>
      </c>
      <c r="I4568" s="34" t="s">
        <v>9</v>
      </c>
      <c r="J4568" s="38" t="str">
        <f>VLOOKUP(B4568,CAJEROS!B:E,4,0)</f>
        <v>MF_PUNTORIE</v>
      </c>
      <c r="K4568" t="s">
        <v>579</v>
      </c>
    </row>
    <row r="4569" spans="1:11">
      <c r="A4569" s="32">
        <v>53</v>
      </c>
      <c r="B4569" s="33">
        <v>5141</v>
      </c>
      <c r="C4569" s="3">
        <v>540000</v>
      </c>
      <c r="D4569" s="3"/>
      <c r="E4569" s="7">
        <f t="shared" si="96"/>
        <v>540000</v>
      </c>
      <c r="F4569" s="5">
        <v>45922</v>
      </c>
      <c r="G4569" s="4">
        <v>20250921</v>
      </c>
      <c r="H4569" s="38" t="str">
        <f>VLOOKUP(B4569,CAJEROS!B:D,3,0)</f>
        <v>Multifuncional</v>
      </c>
      <c r="I4569" s="34" t="s">
        <v>9</v>
      </c>
      <c r="J4569" s="38" t="str">
        <f>VLOOKUP(B4569,CAJEROS!B:E,4,0)</f>
        <v>MF_CARRDECI</v>
      </c>
      <c r="K4569" t="s">
        <v>579</v>
      </c>
    </row>
    <row r="4570" spans="1:11">
      <c r="A4570" s="32">
        <v>455</v>
      </c>
      <c r="B4570" s="33">
        <v>5206</v>
      </c>
      <c r="C4570" s="3">
        <v>430000</v>
      </c>
      <c r="D4570" s="3"/>
      <c r="E4570" s="7">
        <f t="shared" si="96"/>
        <v>430000</v>
      </c>
      <c r="F4570" s="5">
        <v>45922</v>
      </c>
      <c r="G4570" s="4">
        <v>20250921</v>
      </c>
      <c r="H4570" s="38" t="str">
        <f>VLOOKUP(B4570,CAJEROS!B:D,3,0)</f>
        <v>Multifuncional</v>
      </c>
      <c r="I4570" s="34" t="s">
        <v>9</v>
      </c>
      <c r="J4570" s="38" t="str">
        <f>VLOOKUP(B4570,CAJEROS!B:E,4,0)</f>
        <v>MF_CEIBAS1</v>
      </c>
      <c r="K4570" t="s">
        <v>579</v>
      </c>
    </row>
    <row r="4571" spans="1:11">
      <c r="A4571" s="32">
        <v>454</v>
      </c>
      <c r="B4571" s="33">
        <v>5231</v>
      </c>
      <c r="C4571" s="3">
        <v>410000</v>
      </c>
      <c r="D4571" s="3"/>
      <c r="E4571" s="7">
        <f t="shared" si="96"/>
        <v>410000</v>
      </c>
      <c r="F4571" s="5">
        <v>45922</v>
      </c>
      <c r="G4571" s="4">
        <v>20250921</v>
      </c>
      <c r="H4571" s="38" t="str">
        <f>VLOOKUP(B4571,CAJEROS!B:D,3,0)</f>
        <v>Multifuncional</v>
      </c>
      <c r="I4571" s="34" t="s">
        <v>9</v>
      </c>
      <c r="J4571" s="38" t="str">
        <f>VLOOKUP(B4571,CAJEROS!B:E,4,0)</f>
        <v>MF_5TAVENID</v>
      </c>
      <c r="K4571" t="s">
        <v>579</v>
      </c>
    </row>
    <row r="4572" spans="1:11">
      <c r="A4572" s="32">
        <v>793</v>
      </c>
      <c r="B4572" s="33">
        <v>5216</v>
      </c>
      <c r="C4572" s="3">
        <v>170000</v>
      </c>
      <c r="D4572" s="3">
        <v>100000</v>
      </c>
      <c r="E4572" s="7">
        <f t="shared" si="96"/>
        <v>70000</v>
      </c>
      <c r="F4572" s="5">
        <v>45922</v>
      </c>
      <c r="G4572" s="4">
        <v>20250921</v>
      </c>
      <c r="H4572" s="38" t="str">
        <f>VLOOKUP(B4572,CAJEROS!B:D,3,0)</f>
        <v>Multifuncional</v>
      </c>
      <c r="I4572" s="34" t="s">
        <v>9</v>
      </c>
      <c r="J4572" s="38" t="str">
        <f>VLOOKUP(B4572,CAJEROS!B:E,4,0)</f>
        <v>MF_PROFENAL</v>
      </c>
      <c r="K4572" t="s">
        <v>579</v>
      </c>
    </row>
    <row r="4573" spans="1:11">
      <c r="A4573" s="32">
        <v>178</v>
      </c>
      <c r="B4573" s="33">
        <v>6218</v>
      </c>
      <c r="C4573" s="3">
        <v>80000</v>
      </c>
      <c r="D4573" s="3"/>
      <c r="E4573" s="7">
        <f t="shared" si="96"/>
        <v>80000</v>
      </c>
      <c r="F4573" s="5">
        <v>45922</v>
      </c>
      <c r="G4573" s="4">
        <v>20250921</v>
      </c>
      <c r="H4573" s="38" t="str">
        <f>VLOOKUP(B4573,CAJEROS!B:D,3,0)</f>
        <v>Multifuncional</v>
      </c>
      <c r="I4573" s="34" t="s">
        <v>9</v>
      </c>
      <c r="J4573" s="38" t="str">
        <f>VLOOKUP(B4573,CAJEROS!B:E,4,0)</f>
        <v>MF_CFINANCI</v>
      </c>
      <c r="K4573" t="s">
        <v>579</v>
      </c>
    </row>
    <row r="4574" spans="1:11">
      <c r="A4574" s="32">
        <v>163</v>
      </c>
      <c r="B4574" s="33">
        <v>4130</v>
      </c>
      <c r="C4574" s="3">
        <v>120000</v>
      </c>
      <c r="D4574" s="3"/>
      <c r="E4574" s="7">
        <f t="shared" si="96"/>
        <v>120000</v>
      </c>
      <c r="F4574" s="5">
        <v>45922</v>
      </c>
      <c r="G4574" s="4">
        <v>20250922</v>
      </c>
      <c r="H4574" s="38" t="str">
        <f>VLOOKUP(B4574,CAJEROS!B:D,3,0)</f>
        <v>Dispensador</v>
      </c>
      <c r="I4574" s="34"/>
      <c r="J4574" s="38" t="str">
        <f>VLOOKUP(B4574,CAJEROS!B:E,4,0)</f>
        <v>SUC_PUERBE3</v>
      </c>
      <c r="K4574" t="s">
        <v>579</v>
      </c>
    </row>
    <row r="4575" spans="1:11">
      <c r="A4575" s="32">
        <v>318</v>
      </c>
      <c r="B4575" s="33">
        <v>6631</v>
      </c>
      <c r="C4575" s="3">
        <v>20000</v>
      </c>
      <c r="D4575" s="3"/>
      <c r="E4575" s="7">
        <f t="shared" si="96"/>
        <v>20000</v>
      </c>
      <c r="F4575" s="5">
        <v>45923</v>
      </c>
      <c r="G4575" s="4">
        <v>20250922</v>
      </c>
      <c r="H4575" s="38" t="str">
        <f>VLOOKUP(B4575,CAJEROS!B:D,3,0)</f>
        <v>Dispensador</v>
      </c>
      <c r="I4575" s="34"/>
      <c r="J4575" s="38" t="str">
        <f>VLOOKUP(B4575,CAJEROS!B:E,4,0)</f>
        <v>SUC_OCANA4</v>
      </c>
      <c r="K4575" t="s">
        <v>579</v>
      </c>
    </row>
    <row r="4576" spans="1:11">
      <c r="A4576" s="32">
        <v>372</v>
      </c>
      <c r="B4576" s="33">
        <v>7917</v>
      </c>
      <c r="C4576" s="3">
        <v>360000</v>
      </c>
      <c r="D4576" s="3">
        <v>260000</v>
      </c>
      <c r="E4576" s="7">
        <f t="shared" si="96"/>
        <v>100000</v>
      </c>
      <c r="F4576" s="5">
        <v>45923</v>
      </c>
      <c r="G4576" s="4">
        <v>20250922</v>
      </c>
      <c r="H4576" s="38" t="str">
        <f>VLOOKUP(B4576,CAJEROS!B:D,3,0)</f>
        <v>Dispensador</v>
      </c>
      <c r="I4576" s="34"/>
      <c r="J4576" s="38" t="str">
        <f>VLOOKUP(B4576,CAJEROS!B:E,4,0)</f>
        <v>SUCFACATA_3</v>
      </c>
      <c r="K4576" t="s">
        <v>579</v>
      </c>
    </row>
    <row r="4577" spans="1:11">
      <c r="A4577" s="32">
        <v>451</v>
      </c>
      <c r="B4577" s="33">
        <v>4967</v>
      </c>
      <c r="C4577" s="3">
        <v>2910000</v>
      </c>
      <c r="D4577" s="3">
        <f>2750000+50000</f>
        <v>2800000</v>
      </c>
      <c r="E4577" s="7">
        <f t="shared" si="96"/>
        <v>110000</v>
      </c>
      <c r="F4577" s="5">
        <v>45923</v>
      </c>
      <c r="G4577" s="4">
        <v>20250922</v>
      </c>
      <c r="H4577" s="38" t="str">
        <f>VLOOKUP(B4577,CAJEROS!B:D,3,0)</f>
        <v>Dispensador</v>
      </c>
      <c r="I4577" s="34"/>
      <c r="J4577" s="38" t="str">
        <f>VLOOKUP(B4577,CAJEROS!B:E,4,0)</f>
        <v>SUCPTOASIS2</v>
      </c>
      <c r="K4577" t="s">
        <v>579</v>
      </c>
    </row>
    <row r="4578" spans="1:11">
      <c r="A4578" s="32">
        <v>656</v>
      </c>
      <c r="B4578" s="33">
        <v>5664</v>
      </c>
      <c r="C4578" s="3">
        <v>1000000</v>
      </c>
      <c r="D4578" s="3"/>
      <c r="E4578" s="7">
        <f t="shared" si="96"/>
        <v>1000000</v>
      </c>
      <c r="F4578" s="5">
        <v>45923</v>
      </c>
      <c r="G4578" s="4">
        <v>20250922</v>
      </c>
      <c r="H4578" s="38" t="str">
        <f>VLOOKUP(B4578,CAJEROS!B:D,3,0)</f>
        <v>Dispensador</v>
      </c>
      <c r="I4578" s="34"/>
      <c r="J4578" s="38" t="str">
        <f>VLOOKUP(B4578,CAJEROS!B:E,4,0)</f>
        <v>SUC_MAYALP3</v>
      </c>
      <c r="K4578" t="s">
        <v>579</v>
      </c>
    </row>
    <row r="4579" spans="1:11">
      <c r="A4579" s="32">
        <v>111</v>
      </c>
      <c r="B4579" s="33">
        <v>3654</v>
      </c>
      <c r="C4579" s="3">
        <v>40000</v>
      </c>
      <c r="D4579" s="3"/>
      <c r="E4579" s="7">
        <f t="shared" si="96"/>
        <v>40000</v>
      </c>
      <c r="F4579" s="5">
        <v>45923</v>
      </c>
      <c r="G4579" s="4">
        <v>20250922</v>
      </c>
      <c r="H4579" s="38" t="str">
        <f>VLOOKUP(B4579,CAJEROS!B:D,3,0)</f>
        <v>Dispensador</v>
      </c>
      <c r="I4579" s="34" t="s">
        <v>9</v>
      </c>
      <c r="J4579" s="38" t="str">
        <f>VLOOKUP(B4579,CAJEROS!B:E,4,0)</f>
        <v>SUC_COROZ2</v>
      </c>
      <c r="K4579" t="s">
        <v>579</v>
      </c>
    </row>
    <row r="4580" spans="1:11">
      <c r="A4580" s="32">
        <v>216</v>
      </c>
      <c r="B4580" s="33">
        <v>4434</v>
      </c>
      <c r="C4580" s="3">
        <v>40000</v>
      </c>
      <c r="D4580" s="3"/>
      <c r="E4580" s="7">
        <f t="shared" si="96"/>
        <v>40000</v>
      </c>
      <c r="F4580" s="5">
        <v>45923</v>
      </c>
      <c r="G4580" s="4">
        <v>20250922</v>
      </c>
      <c r="H4580" s="38" t="str">
        <f>VLOOKUP(B4580,CAJEROS!B:D,3,0)</f>
        <v>Dispensador</v>
      </c>
      <c r="I4580" s="34" t="s">
        <v>9</v>
      </c>
      <c r="J4580" s="38" t="str">
        <f>VLOOKUP(B4580,CAJEROS!B:E,4,0)</f>
        <v>SUC_SABANA2</v>
      </c>
      <c r="K4580" t="s">
        <v>579</v>
      </c>
    </row>
    <row r="4581" spans="1:11">
      <c r="A4581" s="32">
        <v>229</v>
      </c>
      <c r="B4581" s="33">
        <v>8957</v>
      </c>
      <c r="C4581" s="3">
        <v>40000</v>
      </c>
      <c r="D4581" s="3"/>
      <c r="E4581" s="7">
        <f t="shared" si="96"/>
        <v>40000</v>
      </c>
      <c r="F4581" s="5">
        <v>45923</v>
      </c>
      <c r="G4581" s="4">
        <v>20250922</v>
      </c>
      <c r="H4581" s="38" t="str">
        <f>VLOOKUP(B4581,CAJEROS!B:D,3,0)</f>
        <v>Dispensador</v>
      </c>
      <c r="I4581" s="34" t="s">
        <v>9</v>
      </c>
      <c r="J4581" s="38" t="str">
        <f>VLOOKUP(B4581,CAJEROS!B:E,4,0)</f>
        <v>SUCPASERIO3</v>
      </c>
      <c r="K4581" t="s">
        <v>579</v>
      </c>
    </row>
    <row r="4582" spans="1:11">
      <c r="A4582" s="32">
        <v>345</v>
      </c>
      <c r="B4582" s="33">
        <v>1962</v>
      </c>
      <c r="C4582" s="3">
        <v>200000</v>
      </c>
      <c r="D4582" s="3"/>
      <c r="E4582" s="7">
        <f t="shared" si="96"/>
        <v>200000</v>
      </c>
      <c r="F4582" s="5">
        <v>45923</v>
      </c>
      <c r="G4582" s="4">
        <v>20250922</v>
      </c>
      <c r="H4582" s="38" t="str">
        <f>VLOOKUP(B4582,CAJEROS!B:D,3,0)</f>
        <v>Dispensador</v>
      </c>
      <c r="I4582" s="34" t="s">
        <v>9</v>
      </c>
      <c r="J4582" s="38" t="str">
        <f>VLOOKUP(B4582,CAJEROS!B:E,4,0)</f>
        <v>SUCTENJO1</v>
      </c>
      <c r="K4582" t="s">
        <v>579</v>
      </c>
    </row>
    <row r="4583" spans="1:11">
      <c r="A4583" s="32">
        <v>413</v>
      </c>
      <c r="B4583" s="33">
        <v>4133</v>
      </c>
      <c r="C4583" s="3">
        <v>1450000</v>
      </c>
      <c r="D4583" s="3">
        <v>1400000</v>
      </c>
      <c r="E4583" s="7">
        <f t="shared" si="96"/>
        <v>50000</v>
      </c>
      <c r="F4583" s="5">
        <v>45923</v>
      </c>
      <c r="G4583" s="4">
        <v>20250922</v>
      </c>
      <c r="H4583" s="38" t="str">
        <f>VLOOKUP(B4583,CAJEROS!B:D,3,0)</f>
        <v>Dispensador</v>
      </c>
      <c r="I4583" s="34" t="s">
        <v>9</v>
      </c>
      <c r="J4583" s="38" t="str">
        <f>VLOOKUP(B4583,CAJEROS!B:E,4,0)</f>
        <v>MELGAR_2</v>
      </c>
      <c r="K4583" t="s">
        <v>579</v>
      </c>
    </row>
    <row r="4584" spans="1:11">
      <c r="A4584" s="32">
        <v>426</v>
      </c>
      <c r="B4584" s="33">
        <v>7819</v>
      </c>
      <c r="C4584" s="3">
        <v>150000</v>
      </c>
      <c r="D4584" s="3">
        <v>120000</v>
      </c>
      <c r="E4584" s="7">
        <f t="shared" si="96"/>
        <v>30000</v>
      </c>
      <c r="F4584" s="5">
        <v>45923</v>
      </c>
      <c r="G4584" s="4">
        <v>20250922</v>
      </c>
      <c r="H4584" s="38" t="str">
        <f>VLOOKUP(B4584,CAJEROS!B:D,3,0)</f>
        <v>Dispensador</v>
      </c>
      <c r="I4584" s="34" t="s">
        <v>9</v>
      </c>
      <c r="J4584" s="38" t="str">
        <f>VLOOKUP(B4584,CAJEROS!B:E,4,0)</f>
        <v>PURIFICACI2</v>
      </c>
      <c r="K4584" t="s">
        <v>579</v>
      </c>
    </row>
    <row r="4585" spans="1:11">
      <c r="A4585" s="32">
        <v>789</v>
      </c>
      <c r="B4585" s="33">
        <v>5660</v>
      </c>
      <c r="C4585" s="3">
        <v>90000</v>
      </c>
      <c r="D4585" s="3"/>
      <c r="E4585" s="7">
        <f t="shared" si="96"/>
        <v>90000</v>
      </c>
      <c r="F4585" s="5">
        <v>45923</v>
      </c>
      <c r="G4585" s="4">
        <v>20250922</v>
      </c>
      <c r="H4585" s="38" t="str">
        <f>VLOOKUP(B4585,CAJEROS!B:D,3,0)</f>
        <v>Dispensador</v>
      </c>
      <c r="I4585" s="34" t="s">
        <v>9</v>
      </c>
      <c r="J4585" s="38" t="str">
        <f>VLOOKUP(B4585,CAJEROS!B:E,4,0)</f>
        <v>MANGA1</v>
      </c>
      <c r="K4585" t="s">
        <v>579</v>
      </c>
    </row>
    <row r="4586" spans="1:11">
      <c r="A4586" s="32">
        <v>828</v>
      </c>
      <c r="B4586" s="33">
        <v>2235</v>
      </c>
      <c r="C4586" s="3">
        <v>100000</v>
      </c>
      <c r="D4586" s="3">
        <v>50000</v>
      </c>
      <c r="E4586" s="7">
        <f t="shared" si="96"/>
        <v>50000</v>
      </c>
      <c r="F4586" s="5">
        <v>45923</v>
      </c>
      <c r="G4586" s="4">
        <v>20250922</v>
      </c>
      <c r="H4586" s="38" t="str">
        <f>VLOOKUP(B4586,CAJEROS!B:D,3,0)</f>
        <v>Dispensador</v>
      </c>
      <c r="I4586" s="34" t="s">
        <v>9</v>
      </c>
      <c r="J4586" s="38" t="str">
        <f>VLOOKUP(B4586,CAJEROS!B:E,4,0)</f>
        <v>SUC_SANJOS5</v>
      </c>
      <c r="K4586" t="s">
        <v>579</v>
      </c>
    </row>
    <row r="4587" spans="1:11">
      <c r="A4587" s="32">
        <v>33</v>
      </c>
      <c r="B4587" s="33">
        <v>8861</v>
      </c>
      <c r="C4587" s="3">
        <v>1400</v>
      </c>
      <c r="D4587" s="3"/>
      <c r="E4587" s="7">
        <f t="shared" si="96"/>
        <v>1400</v>
      </c>
      <c r="F4587" s="5">
        <v>45923</v>
      </c>
      <c r="G4587" s="4">
        <v>20250922</v>
      </c>
      <c r="H4587" s="38" t="str">
        <f>VLOOKUP(B4587,CAJEROS!B:D,3,0)</f>
        <v>Multifuncional</v>
      </c>
      <c r="I4587" s="34"/>
      <c r="J4587" s="38" t="str">
        <f>VLOOKUP(B4587,CAJEROS!B:E,4,0)</f>
        <v>MF_SPOLCLU1</v>
      </c>
      <c r="K4587" t="s">
        <v>579</v>
      </c>
    </row>
    <row r="4588" spans="1:11">
      <c r="A4588" s="32">
        <v>37</v>
      </c>
      <c r="B4588" s="33">
        <v>6406</v>
      </c>
      <c r="C4588" s="3">
        <v>1000000</v>
      </c>
      <c r="D4588" s="3"/>
      <c r="E4588" s="7">
        <f t="shared" si="96"/>
        <v>1000000</v>
      </c>
      <c r="F4588" s="5">
        <v>45923</v>
      </c>
      <c r="G4588" s="4">
        <v>20250922</v>
      </c>
      <c r="H4588" s="38" t="str">
        <f>VLOOKUP(B4588,CAJEROS!B:D,3,0)</f>
        <v>Multifuncional</v>
      </c>
      <c r="I4588" s="34"/>
      <c r="J4588" s="38" t="str">
        <f>VLOOKUP(B4588,CAJEROS!B:E,4,0)</f>
        <v>MF_CALLE11</v>
      </c>
      <c r="K4588" t="s">
        <v>579</v>
      </c>
    </row>
    <row r="4589" spans="1:11">
      <c r="A4589" s="32">
        <v>318</v>
      </c>
      <c r="B4589" s="33">
        <v>7680</v>
      </c>
      <c r="C4589" s="3">
        <v>24400</v>
      </c>
      <c r="D4589" s="3"/>
      <c r="E4589" s="7">
        <f t="shared" si="96"/>
        <v>24400</v>
      </c>
      <c r="F4589" s="5">
        <v>45923</v>
      </c>
      <c r="G4589" s="4">
        <v>20250922</v>
      </c>
      <c r="H4589" s="38" t="str">
        <f>VLOOKUP(B4589,CAJEROS!B:D,3,0)</f>
        <v>Multifuncional</v>
      </c>
      <c r="I4589" s="34"/>
      <c r="J4589" s="38" t="str">
        <f>VLOOKUP(B4589,CAJEROS!B:E,4,0)</f>
        <v>MF_OCANA2</v>
      </c>
      <c r="K4589" t="s">
        <v>579</v>
      </c>
    </row>
    <row r="4590" spans="1:11">
      <c r="A4590" s="32">
        <v>451</v>
      </c>
      <c r="B4590" s="33">
        <v>9434</v>
      </c>
      <c r="C4590" s="3">
        <v>992000</v>
      </c>
      <c r="D4590" s="3"/>
      <c r="E4590" s="7">
        <f t="shared" si="96"/>
        <v>992000</v>
      </c>
      <c r="F4590" s="5">
        <v>45923</v>
      </c>
      <c r="G4590" s="4">
        <v>20250922</v>
      </c>
      <c r="H4590" s="38" t="str">
        <f>VLOOKUP(B4590,CAJEROS!B:D,3,0)</f>
        <v>Multifuncional</v>
      </c>
      <c r="I4590" s="34"/>
      <c r="J4590" s="38" t="str">
        <f>VLOOKUP(B4590,CAJEROS!B:E,4,0)</f>
        <v>MFPTOASIS1</v>
      </c>
      <c r="K4590" t="s">
        <v>579</v>
      </c>
    </row>
    <row r="4591" spans="1:11">
      <c r="A4591" s="32">
        <v>656</v>
      </c>
      <c r="B4591" s="33">
        <v>5103</v>
      </c>
      <c r="C4591" s="3">
        <v>3058000</v>
      </c>
      <c r="D4591" s="3">
        <v>200000</v>
      </c>
      <c r="E4591" s="7">
        <f t="shared" si="96"/>
        <v>2858000</v>
      </c>
      <c r="F4591" s="5">
        <v>45923</v>
      </c>
      <c r="G4591" s="4">
        <v>20250922</v>
      </c>
      <c r="H4591" s="38" t="str">
        <f>VLOOKUP(B4591,CAJEROS!B:D,3,0)</f>
        <v>Multifuncional</v>
      </c>
      <c r="I4591" s="34"/>
      <c r="J4591" s="38" t="str">
        <f>VLOOKUP(B4591,CAJEROS!B:E,4,0)</f>
        <v>MF_MAYPLAZA</v>
      </c>
      <c r="K4591" t="s">
        <v>579</v>
      </c>
    </row>
    <row r="4592" spans="1:11">
      <c r="A4592" s="32">
        <v>674</v>
      </c>
      <c r="B4592" s="33">
        <v>5200</v>
      </c>
      <c r="C4592" s="3">
        <v>1075000</v>
      </c>
      <c r="D4592" s="3"/>
      <c r="E4592" s="7">
        <f t="shared" si="96"/>
        <v>1075000</v>
      </c>
      <c r="F4592" s="5">
        <v>45923</v>
      </c>
      <c r="G4592" s="4">
        <v>20250922</v>
      </c>
      <c r="H4592" s="38" t="str">
        <f>VLOOKUP(B4592,CAJEROS!B:D,3,0)</f>
        <v>Multifuncional</v>
      </c>
      <c r="I4592" s="34"/>
      <c r="J4592" s="38" t="str">
        <f>VLOOKUP(B4592,CAJEROS!B:E,4,0)</f>
        <v>MF_AV68FLOR</v>
      </c>
      <c r="K4592" t="s">
        <v>579</v>
      </c>
    </row>
    <row r="4593" spans="1:11">
      <c r="A4593" s="32">
        <v>777</v>
      </c>
      <c r="B4593" s="33">
        <v>5009</v>
      </c>
      <c r="C4593" s="3">
        <v>470000</v>
      </c>
      <c r="D4593" s="3"/>
      <c r="E4593" s="7">
        <f t="shared" si="96"/>
        <v>470000</v>
      </c>
      <c r="F4593" s="5">
        <v>45923</v>
      </c>
      <c r="G4593" s="4">
        <v>20250922</v>
      </c>
      <c r="H4593" s="38" t="str">
        <f>VLOOKUP(B4593,CAJEROS!B:D,3,0)</f>
        <v>Multifuncional</v>
      </c>
      <c r="I4593" s="34"/>
      <c r="J4593" s="38" t="str">
        <f>VLOOKUP(B4593,CAJEROS!B:E,4,0)</f>
        <v>MF_PWASHING</v>
      </c>
      <c r="K4593" t="s">
        <v>579</v>
      </c>
    </row>
    <row r="4594" spans="1:11">
      <c r="A4594" s="32">
        <v>916</v>
      </c>
      <c r="B4594" s="33">
        <v>5052</v>
      </c>
      <c r="C4594" s="3">
        <v>5508000</v>
      </c>
      <c r="D4594" s="3">
        <v>4703000</v>
      </c>
      <c r="E4594" s="7">
        <f t="shared" si="96"/>
        <v>805000</v>
      </c>
      <c r="F4594" s="5">
        <v>45923</v>
      </c>
      <c r="G4594" s="4">
        <v>20250922</v>
      </c>
      <c r="H4594" s="38" t="str">
        <f>VLOOKUP(B4594,CAJEROS!B:D,3,0)</f>
        <v>Multifuncional</v>
      </c>
      <c r="I4594" s="34"/>
      <c r="J4594" s="38" t="str">
        <f>VLOOKUP(B4594,CAJEROS!B:E,4,0)</f>
        <v>MF_OCEANMAL</v>
      </c>
      <c r="K4594" t="s">
        <v>579</v>
      </c>
    </row>
    <row r="4595" spans="1:11">
      <c r="A4595" s="32">
        <v>944</v>
      </c>
      <c r="B4595" s="33">
        <v>8353</v>
      </c>
      <c r="C4595" s="3">
        <v>3740000</v>
      </c>
      <c r="D4595" s="3">
        <v>2595550</v>
      </c>
      <c r="E4595" s="7">
        <f t="shared" si="96"/>
        <v>1144450</v>
      </c>
      <c r="F4595" s="5">
        <v>45923</v>
      </c>
      <c r="G4595" s="4">
        <v>20250922</v>
      </c>
      <c r="H4595" s="38" t="str">
        <f>VLOOKUP(B4595,CAJEROS!B:D,3,0)</f>
        <v>Multifuncional</v>
      </c>
      <c r="I4595" s="34" t="s">
        <v>9</v>
      </c>
      <c r="J4595" s="38" t="str">
        <f>VLOOKUP(B4595,CAJEROS!B:E,4,0)</f>
        <v>MF_SANTABO1</v>
      </c>
      <c r="K4595" t="s">
        <v>579</v>
      </c>
    </row>
    <row r="4596" spans="1:11">
      <c r="A4596" s="32">
        <v>348</v>
      </c>
      <c r="B4596" s="33">
        <v>6724</v>
      </c>
      <c r="C4596" s="3">
        <v>3720000</v>
      </c>
      <c r="D4596" s="3"/>
      <c r="E4596" s="7">
        <f t="shared" si="96"/>
        <v>3720000</v>
      </c>
      <c r="F4596" s="5">
        <v>45923</v>
      </c>
      <c r="G4596" s="4">
        <v>20250922</v>
      </c>
      <c r="H4596" s="38" t="str">
        <f>VLOOKUP(B4596,CAJEROS!B:D,3,0)</f>
        <v>Multifuncional</v>
      </c>
      <c r="I4596" s="34" t="s">
        <v>9</v>
      </c>
      <c r="J4596" s="38" t="str">
        <f>VLOOKUP(B4596,CAJEROS!B:E,4,0)</f>
        <v>MF_SANANDRE</v>
      </c>
      <c r="K4596" t="s">
        <v>579</v>
      </c>
    </row>
    <row r="4597" spans="1:11">
      <c r="A4597" s="32">
        <v>348</v>
      </c>
      <c r="B4597" s="33">
        <v>192</v>
      </c>
      <c r="C4597" s="3">
        <v>3704950</v>
      </c>
      <c r="D4597" s="3">
        <v>965000</v>
      </c>
      <c r="E4597" s="7">
        <f t="shared" si="96"/>
        <v>2739950</v>
      </c>
      <c r="F4597" s="5">
        <v>45923</v>
      </c>
      <c r="G4597" s="4">
        <v>20250922</v>
      </c>
      <c r="H4597" s="38" t="str">
        <f>VLOOKUP(B4597,CAJEROS!B:D,3,0)</f>
        <v>Multifuncional</v>
      </c>
      <c r="I4597" s="34" t="s">
        <v>9</v>
      </c>
      <c r="J4597" s="38" t="str">
        <f>VLOOKUP(B4597,CAJEROS!B:E,4,0)</f>
        <v>MF_SANDRES3</v>
      </c>
      <c r="K4597" t="s">
        <v>579</v>
      </c>
    </row>
    <row r="4598" spans="1:11">
      <c r="A4598" s="32">
        <v>302</v>
      </c>
      <c r="B4598" s="33">
        <v>5170</v>
      </c>
      <c r="C4598" s="3">
        <v>3615000</v>
      </c>
      <c r="D4598" s="3">
        <v>1721000</v>
      </c>
      <c r="E4598" s="7">
        <f t="shared" si="96"/>
        <v>1894000</v>
      </c>
      <c r="F4598" s="5">
        <v>45923</v>
      </c>
      <c r="G4598" s="4">
        <v>20250922</v>
      </c>
      <c r="H4598" s="38" t="str">
        <f>VLOOKUP(B4598,CAJEROS!B:D,3,0)</f>
        <v>Multifuncional</v>
      </c>
      <c r="I4598" s="34" t="s">
        <v>9</v>
      </c>
      <c r="J4598" s="38" t="str">
        <f>VLOOKUP(B4598,CAJEROS!B:E,4,0)</f>
        <v>MF_QUEBRASE</v>
      </c>
      <c r="K4598" t="s">
        <v>579</v>
      </c>
    </row>
    <row r="4599" spans="1:11">
      <c r="A4599" s="32">
        <v>509</v>
      </c>
      <c r="B4599" s="33">
        <v>8835</v>
      </c>
      <c r="C4599" s="3">
        <v>3590000</v>
      </c>
      <c r="D4599" s="3">
        <v>2680000</v>
      </c>
      <c r="E4599" s="7">
        <f t="shared" si="96"/>
        <v>910000</v>
      </c>
      <c r="F4599" s="5">
        <v>45923</v>
      </c>
      <c r="G4599" s="4">
        <v>20250922</v>
      </c>
      <c r="H4599" s="38" t="str">
        <f>VLOOKUP(B4599,CAJEROS!B:D,3,0)</f>
        <v>Multifuncional</v>
      </c>
      <c r="I4599" s="34" t="s">
        <v>9</v>
      </c>
      <c r="J4599" s="38" t="str">
        <f>VLOOKUP(B4599,CAJEROS!B:E,4,0)</f>
        <v>MFTSUCURB1</v>
      </c>
      <c r="K4599" t="s">
        <v>579</v>
      </c>
    </row>
    <row r="4600" spans="1:11">
      <c r="A4600" s="32">
        <v>432</v>
      </c>
      <c r="B4600" s="33">
        <v>5195</v>
      </c>
      <c r="C4600" s="3">
        <v>3305000</v>
      </c>
      <c r="D4600" s="3"/>
      <c r="E4600" s="7">
        <f t="shared" si="96"/>
        <v>3305000</v>
      </c>
      <c r="F4600" s="5">
        <v>45923</v>
      </c>
      <c r="G4600" s="4">
        <v>20250922</v>
      </c>
      <c r="H4600" s="38" t="str">
        <f>VLOOKUP(B4600,CAJEROS!B:D,3,0)</f>
        <v>Multifuncional</v>
      </c>
      <c r="I4600" s="34" t="s">
        <v>9</v>
      </c>
      <c r="J4600" s="38" t="str">
        <f>VLOOKUP(B4600,CAJEROS!B:E,4,0)</f>
        <v>MF_TTEDLSU1</v>
      </c>
      <c r="K4600" t="s">
        <v>579</v>
      </c>
    </row>
    <row r="4601" spans="1:11">
      <c r="A4601" s="32">
        <v>957</v>
      </c>
      <c r="B4601" s="33">
        <v>9513</v>
      </c>
      <c r="C4601" s="3">
        <v>3180000</v>
      </c>
      <c r="D4601" s="3"/>
      <c r="E4601" s="7">
        <f t="shared" si="96"/>
        <v>3180000</v>
      </c>
      <c r="F4601" s="5">
        <v>45923</v>
      </c>
      <c r="G4601" s="4">
        <v>20250922</v>
      </c>
      <c r="H4601" s="38" t="str">
        <f>VLOOKUP(B4601,CAJEROS!B:D,3,0)</f>
        <v>Multifuncional</v>
      </c>
      <c r="I4601" s="34" t="s">
        <v>9</v>
      </c>
      <c r="J4601" s="38" t="str">
        <f>VLOOKUP(B4601,CAJEROS!B:E,4,0)</f>
        <v>MFSUCPARAL2</v>
      </c>
      <c r="K4601" t="s">
        <v>579</v>
      </c>
    </row>
    <row r="4602" spans="1:11">
      <c r="A4602" s="32">
        <v>541</v>
      </c>
      <c r="B4602" s="33">
        <v>5185</v>
      </c>
      <c r="C4602" s="3">
        <v>2981000</v>
      </c>
      <c r="D4602" s="3">
        <v>1390000</v>
      </c>
      <c r="E4602" s="7">
        <f t="shared" si="96"/>
        <v>1591000</v>
      </c>
      <c r="F4602" s="5">
        <v>45923</v>
      </c>
      <c r="G4602" s="4">
        <v>20250922</v>
      </c>
      <c r="H4602" s="38" t="str">
        <f>VLOOKUP(B4602,CAJEROS!B:D,3,0)</f>
        <v>Multifuncional</v>
      </c>
      <c r="I4602" s="34" t="s">
        <v>9</v>
      </c>
      <c r="J4602" s="38" t="str">
        <f>VLOOKUP(B4602,CAJEROS!B:E,4,0)</f>
        <v>MF_PARQCALD</v>
      </c>
      <c r="K4602" t="s">
        <v>579</v>
      </c>
    </row>
    <row r="4603" spans="1:11">
      <c r="A4603" s="32">
        <v>383</v>
      </c>
      <c r="B4603" s="33">
        <v>5194</v>
      </c>
      <c r="C4603" s="3">
        <v>2880000</v>
      </c>
      <c r="D4603" s="3">
        <v>2210000</v>
      </c>
      <c r="E4603" s="7">
        <f t="shared" si="96"/>
        <v>670000</v>
      </c>
      <c r="F4603" s="5">
        <v>45923</v>
      </c>
      <c r="G4603" s="4">
        <v>20250922</v>
      </c>
      <c r="H4603" s="38" t="str">
        <f>VLOOKUP(B4603,CAJEROS!B:D,3,0)</f>
        <v>Multifuncional</v>
      </c>
      <c r="I4603" s="34" t="s">
        <v>9</v>
      </c>
      <c r="J4603" s="38" t="str">
        <f>VLOOKUP(B4603,CAJEROS!B:E,4,0)</f>
        <v>MF_MADRID</v>
      </c>
      <c r="K4603" t="s">
        <v>579</v>
      </c>
    </row>
    <row r="4604" spans="1:11">
      <c r="A4604" s="32">
        <v>15</v>
      </c>
      <c r="B4604" s="33">
        <v>8578</v>
      </c>
      <c r="C4604" s="3">
        <v>2810000</v>
      </c>
      <c r="D4604" s="3">
        <v>2103050</v>
      </c>
      <c r="E4604" s="7">
        <f t="shared" si="96"/>
        <v>706950</v>
      </c>
      <c r="F4604" s="5">
        <v>45923</v>
      </c>
      <c r="G4604" s="4">
        <v>20250922</v>
      </c>
      <c r="H4604" s="38" t="str">
        <f>VLOOKUP(B4604,CAJEROS!B:D,3,0)</f>
        <v>Multifuncional</v>
      </c>
      <c r="I4604" s="34" t="s">
        <v>9</v>
      </c>
      <c r="J4604" s="38" t="str">
        <f>VLOOKUP(B4604,CAJEROS!B:E,4,0)</f>
        <v>MF_HITAGUI3</v>
      </c>
      <c r="K4604" t="s">
        <v>579</v>
      </c>
    </row>
    <row r="4605" spans="1:11">
      <c r="A4605" s="32">
        <v>300</v>
      </c>
      <c r="B4605" s="33">
        <v>5139</v>
      </c>
      <c r="C4605" s="3">
        <v>2770000</v>
      </c>
      <c r="D4605" s="3">
        <f>1618000+1150000</f>
        <v>2768000</v>
      </c>
      <c r="E4605" s="7">
        <f t="shared" si="96"/>
        <v>2000</v>
      </c>
      <c r="F4605" s="5">
        <v>45923</v>
      </c>
      <c r="G4605" s="4">
        <v>20250922</v>
      </c>
      <c r="H4605" s="38" t="str">
        <f>VLOOKUP(B4605,CAJEROS!B:D,3,0)</f>
        <v>Multifuncional</v>
      </c>
      <c r="I4605" s="34" t="s">
        <v>9</v>
      </c>
      <c r="J4605" s="38" t="str">
        <f>VLOOKUP(B4605,CAJEROS!B:E,4,0)</f>
        <v>MF_AUTOP98</v>
      </c>
      <c r="K4605" t="s">
        <v>579</v>
      </c>
    </row>
    <row r="4606" spans="1:11">
      <c r="A4606" s="32">
        <v>70</v>
      </c>
      <c r="B4606" s="33">
        <v>5164</v>
      </c>
      <c r="C4606" s="3">
        <v>2580000</v>
      </c>
      <c r="D4606" s="3"/>
      <c r="E4606" s="7">
        <f t="shared" si="96"/>
        <v>2580000</v>
      </c>
      <c r="F4606" s="5">
        <v>45923</v>
      </c>
      <c r="G4606" s="4">
        <v>20250922</v>
      </c>
      <c r="H4606" s="38" t="str">
        <f>VLOOKUP(B4606,CAJEROS!B:D,3,0)</f>
        <v>Multifuncional</v>
      </c>
      <c r="I4606" s="34" t="s">
        <v>9</v>
      </c>
      <c r="J4606" s="38" t="str">
        <f>VLOOKUP(B4606,CAJEROS!B:E,4,0)</f>
        <v>MF_MANIZALE</v>
      </c>
      <c r="K4606" t="s">
        <v>579</v>
      </c>
    </row>
    <row r="4607" spans="1:11">
      <c r="A4607" s="32">
        <v>779</v>
      </c>
      <c r="B4607" s="33">
        <v>8685</v>
      </c>
      <c r="C4607" s="3">
        <v>2493000</v>
      </c>
      <c r="D4607" s="3"/>
      <c r="E4607" s="7">
        <f t="shared" si="96"/>
        <v>2493000</v>
      </c>
      <c r="F4607" s="5">
        <v>45923</v>
      </c>
      <c r="G4607" s="4">
        <v>20250922</v>
      </c>
      <c r="H4607" s="38" t="str">
        <f>VLOOKUP(B4607,CAJEROS!B:D,3,0)</f>
        <v>Multifuncional</v>
      </c>
      <c r="I4607" s="34" t="s">
        <v>9</v>
      </c>
      <c r="J4607" s="38" t="str">
        <f>VLOOKUP(B4607,CAJEROS!B:E,4,0)</f>
        <v>MF_BUENVSM3</v>
      </c>
      <c r="K4607" t="s">
        <v>579</v>
      </c>
    </row>
    <row r="4608" spans="1:11">
      <c r="A4608" s="32">
        <v>455</v>
      </c>
      <c r="B4608" s="33">
        <v>5206</v>
      </c>
      <c r="C4608" s="3">
        <v>2480000</v>
      </c>
      <c r="D4608" s="3"/>
      <c r="E4608" s="7">
        <f t="shared" si="96"/>
        <v>2480000</v>
      </c>
      <c r="F4608" s="5">
        <v>45923</v>
      </c>
      <c r="G4608" s="4">
        <v>20250922</v>
      </c>
      <c r="H4608" s="38" t="str">
        <f>VLOOKUP(B4608,CAJEROS!B:D,3,0)</f>
        <v>Multifuncional</v>
      </c>
      <c r="I4608" s="34" t="s">
        <v>9</v>
      </c>
      <c r="J4608" s="38" t="str">
        <f>VLOOKUP(B4608,CAJEROS!B:E,4,0)</f>
        <v>MF_CEIBAS1</v>
      </c>
      <c r="K4608" t="s">
        <v>579</v>
      </c>
    </row>
    <row r="4609" spans="1:11">
      <c r="A4609" s="32">
        <v>941</v>
      </c>
      <c r="B4609" s="33">
        <v>5220</v>
      </c>
      <c r="C4609" s="3">
        <v>2420000</v>
      </c>
      <c r="D4609" s="3"/>
      <c r="E4609" s="7">
        <f t="shared" si="96"/>
        <v>2420000</v>
      </c>
      <c r="F4609" s="5">
        <v>45923</v>
      </c>
      <c r="G4609" s="4">
        <v>20250922</v>
      </c>
      <c r="H4609" s="38" t="str">
        <f>VLOOKUP(B4609,CAJEROS!B:D,3,0)</f>
        <v>Multifuncional</v>
      </c>
      <c r="I4609" s="34" t="s">
        <v>9</v>
      </c>
      <c r="J4609" s="38" t="str">
        <f>VLOOKUP(B4609,CAJEROS!B:E,4,0)</f>
        <v>MF_NEIVANVA</v>
      </c>
      <c r="K4609" t="s">
        <v>579</v>
      </c>
    </row>
    <row r="4610" spans="1:11">
      <c r="A4610" s="32">
        <v>317</v>
      </c>
      <c r="B4610" s="33">
        <v>6613</v>
      </c>
      <c r="C4610" s="3">
        <v>2402000</v>
      </c>
      <c r="D4610" s="3"/>
      <c r="E4610" s="7">
        <f t="shared" si="96"/>
        <v>2402000</v>
      </c>
      <c r="F4610" s="5">
        <v>45923</v>
      </c>
      <c r="G4610" s="4">
        <v>20250922</v>
      </c>
      <c r="H4610" s="38" t="str">
        <f>VLOOKUP(B4610,CAJEROS!B:D,3,0)</f>
        <v>Multifuncional</v>
      </c>
      <c r="I4610" s="34" t="s">
        <v>9</v>
      </c>
      <c r="J4610" s="38" t="str">
        <f>VLOOKUP(B4610,CAJEROS!B:E,4,0)</f>
        <v>MF_ARAUCA</v>
      </c>
      <c r="K4610" t="s">
        <v>579</v>
      </c>
    </row>
    <row r="4611" spans="1:11">
      <c r="A4611" s="32">
        <v>484</v>
      </c>
      <c r="B4611" s="33">
        <v>7125</v>
      </c>
      <c r="C4611" s="3">
        <v>2238600</v>
      </c>
      <c r="D4611" s="3">
        <v>2089300</v>
      </c>
      <c r="E4611" s="7">
        <f t="shared" si="96"/>
        <v>149300</v>
      </c>
      <c r="F4611" s="5">
        <v>45923</v>
      </c>
      <c r="G4611" s="4">
        <v>20250922</v>
      </c>
      <c r="H4611" s="38" t="str">
        <f>VLOOKUP(B4611,CAJEROS!B:D,3,0)</f>
        <v>Multifuncional</v>
      </c>
      <c r="I4611" s="34" t="s">
        <v>9</v>
      </c>
      <c r="J4611" s="38" t="str">
        <f>VLOOKUP(B4611,CAJEROS!B:E,4,0)</f>
        <v>MF_MAGANGUE</v>
      </c>
      <c r="K4611" t="s">
        <v>579</v>
      </c>
    </row>
    <row r="4612" spans="1:11">
      <c r="A4612" s="32">
        <v>556</v>
      </c>
      <c r="B4612" s="33">
        <v>8333</v>
      </c>
      <c r="C4612" s="3">
        <v>2205000</v>
      </c>
      <c r="D4612" s="3"/>
      <c r="E4612" s="7">
        <f t="shared" si="96"/>
        <v>2205000</v>
      </c>
      <c r="F4612" s="5">
        <v>45923</v>
      </c>
      <c r="G4612" s="4">
        <v>20250922</v>
      </c>
      <c r="H4612" s="38" t="str">
        <f>VLOOKUP(B4612,CAJEROS!B:D,3,0)</f>
        <v>Multifuncional</v>
      </c>
      <c r="I4612" s="34" t="s">
        <v>9</v>
      </c>
      <c r="J4612" s="38" t="str">
        <f>VLOOKUP(B4612,CAJEROS!B:E,4,0)</f>
        <v>MF_SCARVIB1</v>
      </c>
      <c r="K4612" t="s">
        <v>579</v>
      </c>
    </row>
    <row r="4613" spans="1:11">
      <c r="A4613" s="32">
        <v>779</v>
      </c>
      <c r="B4613" s="33">
        <v>5013</v>
      </c>
      <c r="C4613" s="3">
        <v>2067500</v>
      </c>
      <c r="D4613" s="3"/>
      <c r="E4613" s="7">
        <f t="shared" si="96"/>
        <v>2067500</v>
      </c>
      <c r="F4613" s="5">
        <v>45923</v>
      </c>
      <c r="G4613" s="4">
        <v>20250922</v>
      </c>
      <c r="H4613" s="38" t="str">
        <f>VLOOKUP(B4613,CAJEROS!B:D,3,0)</f>
        <v>Multifuncional</v>
      </c>
      <c r="I4613" s="34" t="s">
        <v>9</v>
      </c>
      <c r="J4613" s="38" t="str">
        <f>VLOOKUP(B4613,CAJEROS!B:E,4,0)</f>
        <v>MF_BUENASM1</v>
      </c>
      <c r="K4613" t="s">
        <v>579</v>
      </c>
    </row>
    <row r="4614" spans="1:11">
      <c r="A4614" s="32">
        <v>551</v>
      </c>
      <c r="B4614" s="33">
        <v>9644</v>
      </c>
      <c r="C4614" s="3">
        <v>1930000</v>
      </c>
      <c r="D4614" s="3">
        <f>924000+710750</f>
        <v>1634750</v>
      </c>
      <c r="E4614" s="7">
        <f t="shared" si="96"/>
        <v>295250</v>
      </c>
      <c r="F4614" s="5">
        <v>45923</v>
      </c>
      <c r="G4614" s="4">
        <v>20250922</v>
      </c>
      <c r="H4614" s="38" t="str">
        <f>VLOOKUP(B4614,CAJEROS!B:D,3,0)</f>
        <v>Multifuncional</v>
      </c>
      <c r="I4614" s="34" t="s">
        <v>9</v>
      </c>
      <c r="J4614" s="38" t="str">
        <f>VLOOKUP(B4614,CAJEROS!B:E,4,0)</f>
        <v>MFSUCUNIME2</v>
      </c>
      <c r="K4614" t="s">
        <v>579</v>
      </c>
    </row>
    <row r="4615" spans="1:11">
      <c r="A4615" s="32">
        <v>879</v>
      </c>
      <c r="B4615" s="33">
        <v>5045</v>
      </c>
      <c r="C4615" s="3">
        <v>1910750</v>
      </c>
      <c r="D4615" s="3">
        <f>950+879750</f>
        <v>880700</v>
      </c>
      <c r="E4615" s="7">
        <f t="shared" si="96"/>
        <v>1030050</v>
      </c>
      <c r="F4615" s="5">
        <v>45923</v>
      </c>
      <c r="G4615" s="4">
        <v>20250922</v>
      </c>
      <c r="H4615" s="38" t="str">
        <f>VLOOKUP(B4615,CAJEROS!B:D,3,0)</f>
        <v>Multifuncional</v>
      </c>
      <c r="I4615" s="34" t="s">
        <v>9</v>
      </c>
      <c r="J4615" s="38" t="str">
        <f>VLOOKUP(B4615,CAJEROS!B:E,4,0)</f>
        <v>MF_UNPASTO</v>
      </c>
      <c r="K4615" t="s">
        <v>579</v>
      </c>
    </row>
    <row r="4616" spans="1:11">
      <c r="A4616" s="32">
        <v>499</v>
      </c>
      <c r="B4616" s="33">
        <v>9810</v>
      </c>
      <c r="C4616" s="3">
        <v>1830000</v>
      </c>
      <c r="D4616" s="3"/>
      <c r="E4616" s="7">
        <f t="shared" si="96"/>
        <v>1830000</v>
      </c>
      <c r="F4616" s="5">
        <v>45923</v>
      </c>
      <c r="G4616" s="4">
        <v>20250922</v>
      </c>
      <c r="H4616" s="38" t="str">
        <f>VLOOKUP(B4616,CAJEROS!B:D,3,0)</f>
        <v>Multifuncional</v>
      </c>
      <c r="I4616" s="34" t="s">
        <v>9</v>
      </c>
      <c r="J4616" s="38" t="str">
        <f>VLOOKUP(B4616,CAJEROS!B:E,4,0)</f>
        <v>MF_SUCPARF1</v>
      </c>
      <c r="K4616" t="s">
        <v>579</v>
      </c>
    </row>
    <row r="4617" spans="1:11">
      <c r="A4617" s="32">
        <v>907</v>
      </c>
      <c r="B4617" s="33">
        <v>5019</v>
      </c>
      <c r="C4617" s="3">
        <v>1730000</v>
      </c>
      <c r="D4617" s="3"/>
      <c r="E4617" s="7">
        <f t="shared" si="96"/>
        <v>1730000</v>
      </c>
      <c r="F4617" s="5">
        <v>45923</v>
      </c>
      <c r="G4617" s="4">
        <v>20250922</v>
      </c>
      <c r="H4617" s="38" t="str">
        <f>VLOOKUP(B4617,CAJEROS!B:D,3,0)</f>
        <v>Multifuncional</v>
      </c>
      <c r="I4617" s="34" t="s">
        <v>9</v>
      </c>
      <c r="J4617" s="38" t="str">
        <f>VLOOKUP(B4617,CAJEROS!B:E,4,0)</f>
        <v>MF_FRONTERA</v>
      </c>
      <c r="K4617" t="s">
        <v>579</v>
      </c>
    </row>
    <row r="4618" spans="1:11">
      <c r="A4618" s="32">
        <v>258</v>
      </c>
      <c r="B4618" s="33">
        <v>5155</v>
      </c>
      <c r="C4618" s="3">
        <v>1530000</v>
      </c>
      <c r="D4618" s="3">
        <f>140000+1200000</f>
        <v>1340000</v>
      </c>
      <c r="E4618" s="7">
        <f t="shared" si="96"/>
        <v>190000</v>
      </c>
      <c r="F4618" s="5">
        <v>45923</v>
      </c>
      <c r="G4618" s="4">
        <v>20250922</v>
      </c>
      <c r="H4618" s="38" t="str">
        <f>VLOOKUP(B4618,CAJEROS!B:D,3,0)</f>
        <v>Multifuncional</v>
      </c>
      <c r="I4618" s="34" t="s">
        <v>9</v>
      </c>
      <c r="J4618" s="38" t="str">
        <f>VLOOKUP(B4618,CAJEROS!B:E,4,0)</f>
        <v>MF_TUNJA</v>
      </c>
      <c r="K4618" t="s">
        <v>579</v>
      </c>
    </row>
    <row r="4619" spans="1:11">
      <c r="A4619" s="32">
        <v>692</v>
      </c>
      <c r="B4619" s="33">
        <v>1516</v>
      </c>
      <c r="C4619" s="3">
        <v>1520000</v>
      </c>
      <c r="D4619" s="3"/>
      <c r="E4619" s="7">
        <f t="shared" si="96"/>
        <v>1520000</v>
      </c>
      <c r="F4619" s="5">
        <v>45923</v>
      </c>
      <c r="G4619" s="4">
        <v>20250922</v>
      </c>
      <c r="H4619" s="38" t="str">
        <f>VLOOKUP(B4619,CAJEROS!B:D,3,0)</f>
        <v>Multifuncional</v>
      </c>
      <c r="I4619" s="34" t="s">
        <v>9</v>
      </c>
      <c r="J4619" s="38" t="str">
        <f>VLOOKUP(B4619,CAJEROS!B:E,4,0)</f>
        <v>MFSUCALTPR2</v>
      </c>
      <c r="K4619" t="s">
        <v>579</v>
      </c>
    </row>
    <row r="4620" spans="1:11">
      <c r="A4620" s="32">
        <v>495</v>
      </c>
      <c r="B4620" s="33">
        <v>8482</v>
      </c>
      <c r="C4620" s="3">
        <v>1380000</v>
      </c>
      <c r="D4620" s="3">
        <f>380000+470000+500000</f>
        <v>1350000</v>
      </c>
      <c r="E4620" s="7">
        <f t="shared" si="96"/>
        <v>30000</v>
      </c>
      <c r="F4620" s="5">
        <v>45923</v>
      </c>
      <c r="G4620" s="4">
        <v>20250922</v>
      </c>
      <c r="H4620" s="38" t="str">
        <f>VLOOKUP(B4620,CAJEROS!B:D,3,0)</f>
        <v>Multifuncional</v>
      </c>
      <c r="I4620" s="34" t="s">
        <v>9</v>
      </c>
      <c r="J4620" s="38" t="str">
        <f>VLOOKUP(B4620,CAJEROS!B:E,4,0)</f>
        <v>MF_SUCBOSQ1</v>
      </c>
      <c r="K4620" t="s">
        <v>579</v>
      </c>
    </row>
    <row r="4621" spans="1:11">
      <c r="A4621" s="32">
        <v>20</v>
      </c>
      <c r="B4621" s="33">
        <v>9204</v>
      </c>
      <c r="C4621" s="3">
        <v>1340000</v>
      </c>
      <c r="D4621" s="3"/>
      <c r="E4621" s="7">
        <f t="shared" si="96"/>
        <v>1340000</v>
      </c>
      <c r="F4621" s="5">
        <v>45923</v>
      </c>
      <c r="G4621" s="4">
        <v>20250922</v>
      </c>
      <c r="H4621" s="38" t="str">
        <f>VLOOKUP(B4621,CAJEROS!B:D,3,0)</f>
        <v>Multifuncional</v>
      </c>
      <c r="I4621" s="34" t="s">
        <v>9</v>
      </c>
      <c r="J4621" s="38" t="str">
        <f>VLOOKUP(B4621,CAJEROS!B:E,4,0)</f>
        <v>MF_BUCMANGA</v>
      </c>
      <c r="K4621" t="s">
        <v>579</v>
      </c>
    </row>
    <row r="4622" spans="1:11">
      <c r="A4622" s="32">
        <v>454</v>
      </c>
      <c r="B4622" s="33">
        <v>5231</v>
      </c>
      <c r="C4622" s="3">
        <v>1140000</v>
      </c>
      <c r="D4622" s="3"/>
      <c r="E4622" s="7">
        <f t="shared" si="96"/>
        <v>1140000</v>
      </c>
      <c r="F4622" s="5">
        <v>45923</v>
      </c>
      <c r="G4622" s="4">
        <v>20250922</v>
      </c>
      <c r="H4622" s="38" t="str">
        <f>VLOOKUP(B4622,CAJEROS!B:D,3,0)</f>
        <v>Multifuncional</v>
      </c>
      <c r="I4622" s="34" t="s">
        <v>9</v>
      </c>
      <c r="J4622" s="38" t="str">
        <f>VLOOKUP(B4622,CAJEROS!B:E,4,0)</f>
        <v>MF_5TAVENID</v>
      </c>
      <c r="K4622" t="s">
        <v>579</v>
      </c>
    </row>
    <row r="4623" spans="1:11">
      <c r="A4623" s="32">
        <v>108</v>
      </c>
      <c r="B4623" s="33">
        <v>2254</v>
      </c>
      <c r="C4623" s="3">
        <v>1064000</v>
      </c>
      <c r="D4623" s="3"/>
      <c r="E4623" s="7">
        <f t="shared" si="96"/>
        <v>1064000</v>
      </c>
      <c r="F4623" s="5">
        <v>45923</v>
      </c>
      <c r="G4623" s="4">
        <v>20250922</v>
      </c>
      <c r="H4623" s="38" t="str">
        <f>VLOOKUP(B4623,CAJEROS!B:D,3,0)</f>
        <v>Multifuncional</v>
      </c>
      <c r="I4623" s="34" t="s">
        <v>9</v>
      </c>
      <c r="J4623" s="38" t="str">
        <f>VLOOKUP(B4623,CAJEROS!B:E,4,0)</f>
        <v>MFSUCPAMER2</v>
      </c>
      <c r="K4623" t="s">
        <v>579</v>
      </c>
    </row>
    <row r="4624" spans="1:11">
      <c r="A4624" s="32">
        <v>849</v>
      </c>
      <c r="B4624" s="33">
        <v>9725</v>
      </c>
      <c r="C4624" s="3">
        <v>995000</v>
      </c>
      <c r="D4624" s="3"/>
      <c r="E4624" s="7">
        <f t="shared" si="96"/>
        <v>995000</v>
      </c>
      <c r="F4624" s="5">
        <v>45923</v>
      </c>
      <c r="G4624" s="4">
        <v>20250922</v>
      </c>
      <c r="H4624" s="38" t="str">
        <f>VLOOKUP(B4624,CAJEROS!B:D,3,0)</f>
        <v>Multifuncional</v>
      </c>
      <c r="I4624" s="34" t="s">
        <v>9</v>
      </c>
      <c r="J4624" s="38" t="str">
        <f>VLOOKUP(B4624,CAJEROS!B:E,4,0)</f>
        <v>MF_SUNIVIL2</v>
      </c>
      <c r="K4624" t="s">
        <v>579</v>
      </c>
    </row>
    <row r="4625" spans="1:11">
      <c r="A4625" s="32">
        <v>168</v>
      </c>
      <c r="B4625" s="33">
        <v>5224</v>
      </c>
      <c r="C4625" s="3">
        <v>880000</v>
      </c>
      <c r="D4625" s="3"/>
      <c r="E4625" s="7">
        <f t="shared" si="96"/>
        <v>880000</v>
      </c>
      <c r="F4625" s="5">
        <v>45923</v>
      </c>
      <c r="G4625" s="4">
        <v>20250922</v>
      </c>
      <c r="H4625" s="38" t="str">
        <f>VLOOKUP(B4625,CAJEROS!B:D,3,0)</f>
        <v>Multifuncional</v>
      </c>
      <c r="I4625" s="34" t="s">
        <v>9</v>
      </c>
      <c r="J4625" s="38" t="str">
        <f>VLOOKUP(B4625,CAJEROS!B:E,4,0)</f>
        <v>MF_TOBERIN</v>
      </c>
      <c r="K4625" t="s">
        <v>579</v>
      </c>
    </row>
    <row r="4626" spans="1:11">
      <c r="A4626" s="32">
        <v>781</v>
      </c>
      <c r="B4626" s="33">
        <v>5057</v>
      </c>
      <c r="C4626" s="3">
        <v>790000</v>
      </c>
      <c r="D4626" s="3">
        <f>619000+45000</f>
        <v>664000</v>
      </c>
      <c r="E4626" s="7">
        <f t="shared" si="96"/>
        <v>126000</v>
      </c>
      <c r="F4626" s="5">
        <v>45923</v>
      </c>
      <c r="G4626" s="4">
        <v>20250922</v>
      </c>
      <c r="H4626" s="38" t="str">
        <f>VLOOKUP(B4626,CAJEROS!B:D,3,0)</f>
        <v>Multifuncional</v>
      </c>
      <c r="I4626" s="34" t="s">
        <v>9</v>
      </c>
      <c r="J4626" s="38" t="str">
        <f>VLOOKUP(B4626,CAJEROS!B:E,4,0)</f>
        <v>MF_PRPLAZA</v>
      </c>
      <c r="K4626" t="s">
        <v>579</v>
      </c>
    </row>
    <row r="4627" spans="1:11">
      <c r="A4627" s="32">
        <v>623</v>
      </c>
      <c r="B4627" s="33">
        <v>5047</v>
      </c>
      <c r="C4627" s="3">
        <v>746350</v>
      </c>
      <c r="D4627" s="3">
        <v>740000</v>
      </c>
      <c r="E4627" s="7">
        <f t="shared" si="96"/>
        <v>6350</v>
      </c>
      <c r="F4627" s="5">
        <v>45923</v>
      </c>
      <c r="G4627" s="4">
        <v>20250922</v>
      </c>
      <c r="H4627" s="38" t="str">
        <f>VLOOKUP(B4627,CAJEROS!B:D,3,0)</f>
        <v>Multifuncional</v>
      </c>
      <c r="I4627" s="34" t="s">
        <v>9</v>
      </c>
      <c r="J4627" s="38" t="str">
        <f>VLOOKUP(B4627,CAJEROS!B:E,4,0)</f>
        <v>MF_FMANIZAL</v>
      </c>
      <c r="K4627" t="s">
        <v>579</v>
      </c>
    </row>
    <row r="4628" spans="1:11">
      <c r="A4628" s="32">
        <v>769</v>
      </c>
      <c r="B4628" s="33">
        <v>5051</v>
      </c>
      <c r="C4628" s="3">
        <v>600000</v>
      </c>
      <c r="D4628" s="3"/>
      <c r="E4628" s="7">
        <f t="shared" si="96"/>
        <v>600000</v>
      </c>
      <c r="F4628" s="5">
        <v>45923</v>
      </c>
      <c r="G4628" s="4">
        <v>20250922</v>
      </c>
      <c r="H4628" s="38" t="str">
        <f>VLOOKUP(B4628,CAJEROS!B:D,3,0)</f>
        <v>Multifuncional</v>
      </c>
      <c r="I4628" s="34" t="s">
        <v>9</v>
      </c>
      <c r="J4628" s="38" t="str">
        <f>VLOOKUP(B4628,CAJEROS!B:E,4,0)</f>
        <v>MF_SUCPPRA2</v>
      </c>
      <c r="K4628" t="s">
        <v>579</v>
      </c>
    </row>
    <row r="4629" spans="1:11">
      <c r="A4629" s="32">
        <v>236</v>
      </c>
      <c r="B4629" s="33">
        <v>8497</v>
      </c>
      <c r="C4629" s="3">
        <v>367000</v>
      </c>
      <c r="D4629" s="3"/>
      <c r="E4629" s="7">
        <f t="shared" si="96"/>
        <v>367000</v>
      </c>
      <c r="F4629" s="5">
        <v>45923</v>
      </c>
      <c r="G4629" s="4">
        <v>20250922</v>
      </c>
      <c r="H4629" s="38" t="str">
        <f>VLOOKUP(B4629,CAJEROS!B:D,3,0)</f>
        <v>Multifuncional</v>
      </c>
      <c r="I4629" s="34" t="s">
        <v>9</v>
      </c>
      <c r="J4629" s="38" t="str">
        <f>VLOOKUP(B4629,CAJEROS!B:E,4,0)</f>
        <v>MF_EXITCOL2</v>
      </c>
      <c r="K4629" t="s">
        <v>579</v>
      </c>
    </row>
    <row r="4630" spans="1:11">
      <c r="A4630" s="32">
        <v>915</v>
      </c>
      <c r="B4630" s="33">
        <v>8314</v>
      </c>
      <c r="C4630" s="3">
        <v>180000</v>
      </c>
      <c r="D4630" s="3"/>
      <c r="E4630" s="7">
        <f t="shared" ref="E4630:E4693" si="97">+C4630-D4630</f>
        <v>180000</v>
      </c>
      <c r="F4630" s="5">
        <v>45923</v>
      </c>
      <c r="G4630" s="4">
        <v>20250922</v>
      </c>
      <c r="H4630" s="38" t="str">
        <f>VLOOKUP(B4630,CAJEROS!B:D,3,0)</f>
        <v>Multifuncional</v>
      </c>
      <c r="I4630" s="34" t="s">
        <v>9</v>
      </c>
      <c r="J4630" s="38" t="str">
        <f>VLOOKUP(B4630,CAJEROS!B:E,4,0)</f>
        <v>MF_BANLABB2</v>
      </c>
      <c r="K4630" t="s">
        <v>579</v>
      </c>
    </row>
    <row r="4631" spans="1:11">
      <c r="A4631" s="32">
        <v>944</v>
      </c>
      <c r="B4631" s="33">
        <v>8354</v>
      </c>
      <c r="C4631" s="3">
        <v>107100</v>
      </c>
      <c r="D4631" s="3"/>
      <c r="E4631" s="7">
        <f t="shared" si="97"/>
        <v>107100</v>
      </c>
      <c r="F4631" s="5">
        <v>45923</v>
      </c>
      <c r="G4631" s="4">
        <v>20250922</v>
      </c>
      <c r="H4631" s="38" t="str">
        <f>VLOOKUP(B4631,CAJEROS!B:D,3,0)</f>
        <v>Multifuncional</v>
      </c>
      <c r="I4631" s="34" t="s">
        <v>9</v>
      </c>
      <c r="J4631" s="38" t="str">
        <f>VLOOKUP(B4631,CAJEROS!B:E,4,0)</f>
        <v>MF_SANTABO2</v>
      </c>
      <c r="K4631" t="s">
        <v>579</v>
      </c>
    </row>
    <row r="4632" spans="1:11">
      <c r="A4632" s="32">
        <v>24</v>
      </c>
      <c r="B4632" s="33">
        <v>5066</v>
      </c>
      <c r="C4632" s="3">
        <v>39000</v>
      </c>
      <c r="D4632" s="3"/>
      <c r="E4632" s="7">
        <f t="shared" si="97"/>
        <v>39000</v>
      </c>
      <c r="F4632" s="5">
        <v>45923</v>
      </c>
      <c r="G4632" s="4">
        <v>20250922</v>
      </c>
      <c r="H4632" s="38" t="str">
        <f>VLOOKUP(B4632,CAJEROS!B:D,3,0)</f>
        <v>Multifuncional</v>
      </c>
      <c r="I4632" s="34" t="s">
        <v>9</v>
      </c>
      <c r="J4632" s="38" t="str">
        <f>VLOOKUP(B4632,CAJEROS!B:E,4,0)</f>
        <v>MF_RIONEGPA</v>
      </c>
      <c r="K4632" t="s">
        <v>579</v>
      </c>
    </row>
    <row r="4633" spans="1:11">
      <c r="A4633" s="32">
        <v>745</v>
      </c>
      <c r="B4633" s="33">
        <v>1471</v>
      </c>
      <c r="C4633" s="3">
        <v>20000</v>
      </c>
      <c r="D4633" s="3"/>
      <c r="E4633" s="7">
        <f t="shared" si="97"/>
        <v>20000</v>
      </c>
      <c r="F4633" s="5">
        <v>45923</v>
      </c>
      <c r="G4633" s="4">
        <v>20250922</v>
      </c>
      <c r="H4633" s="38" t="str">
        <f>VLOOKUP(B4633,CAJEROS!B:D,3,0)</f>
        <v>Dispensador</v>
      </c>
      <c r="I4633" s="34" t="s">
        <v>10</v>
      </c>
      <c r="J4633" s="38" t="str">
        <f>VLOOKUP(B4633,CAJEROS!B:E,4,0)</f>
        <v>SUCMALPLAZ1</v>
      </c>
      <c r="K4633" t="s">
        <v>579</v>
      </c>
    </row>
    <row r="4634" spans="1:11">
      <c r="A4634" s="32">
        <v>331</v>
      </c>
      <c r="B4634" s="33">
        <v>575</v>
      </c>
      <c r="C4634" s="3">
        <v>15000</v>
      </c>
      <c r="D4634" s="3"/>
      <c r="E4634" s="7">
        <f t="shared" si="97"/>
        <v>15000</v>
      </c>
      <c r="F4634" s="5">
        <v>45923</v>
      </c>
      <c r="G4634" s="4">
        <v>20250922</v>
      </c>
      <c r="H4634" s="38" t="str">
        <f>VLOOKUP(B4634,CAJEROS!B:D,3,0)</f>
        <v>Multifuncional</v>
      </c>
      <c r="I4634" s="34" t="s">
        <v>10</v>
      </c>
      <c r="J4634" s="38" t="str">
        <f>VLOOKUP(B4634,CAJEROS!B:E,4,0)</f>
        <v>MF_SUCARKA2</v>
      </c>
      <c r="K4634" t="s">
        <v>579</v>
      </c>
    </row>
    <row r="4635" spans="1:11">
      <c r="A4635" s="32">
        <v>541</v>
      </c>
      <c r="B4635" s="33">
        <v>8655</v>
      </c>
      <c r="C4635" s="3">
        <v>20000</v>
      </c>
      <c r="D4635" s="3"/>
      <c r="E4635" s="7">
        <f t="shared" si="97"/>
        <v>20000</v>
      </c>
      <c r="F4635" s="5">
        <v>45923</v>
      </c>
      <c r="G4635" s="4">
        <v>20250922</v>
      </c>
      <c r="H4635" s="38" t="str">
        <f>VLOOKUP(B4635,CAJEROS!B:D,3,0)</f>
        <v>Dispensador</v>
      </c>
      <c r="I4635" s="34" t="s">
        <v>10</v>
      </c>
      <c r="J4635" s="38" t="str">
        <f>VLOOKUP(B4635,CAJEROS!B:E,4,0)</f>
        <v>SUCCALDASP6</v>
      </c>
      <c r="K4635" t="s">
        <v>579</v>
      </c>
    </row>
    <row r="4636" spans="1:11">
      <c r="A4636" s="32">
        <v>484</v>
      </c>
      <c r="B4636" s="33">
        <v>7234</v>
      </c>
      <c r="C4636" s="3">
        <v>20000</v>
      </c>
      <c r="D4636" s="3"/>
      <c r="E4636" s="7">
        <f t="shared" si="97"/>
        <v>20000</v>
      </c>
      <c r="F4636" s="5">
        <v>45923</v>
      </c>
      <c r="G4636" s="4">
        <v>20250922</v>
      </c>
      <c r="H4636" s="38" t="str">
        <f>VLOOKUP(B4636,CAJEROS!B:D,3,0)</f>
        <v>Dispensador</v>
      </c>
      <c r="I4636" s="34" t="s">
        <v>10</v>
      </c>
      <c r="J4636" s="38" t="str">
        <f>VLOOKUP(B4636,CAJEROS!B:E,4,0)</f>
        <v>MAGANGUE2</v>
      </c>
      <c r="K4636" t="s">
        <v>579</v>
      </c>
    </row>
    <row r="4637" spans="1:11">
      <c r="A4637" s="32">
        <v>724</v>
      </c>
      <c r="B4637" s="33">
        <v>6894</v>
      </c>
      <c r="C4637" s="3">
        <v>20000</v>
      </c>
      <c r="D4637" s="3"/>
      <c r="E4637" s="7">
        <f t="shared" si="97"/>
        <v>20000</v>
      </c>
      <c r="F4637" s="5">
        <v>45923</v>
      </c>
      <c r="G4637" s="4">
        <v>20250922</v>
      </c>
      <c r="H4637" s="38" t="str">
        <f>VLOOKUP(B4637,CAJEROS!B:D,3,0)</f>
        <v>Dispensador</v>
      </c>
      <c r="I4637" s="34" t="s">
        <v>10</v>
      </c>
      <c r="J4637" s="38" t="str">
        <f>VLOOKUP(B4637,CAJEROS!B:E,4,0)</f>
        <v>SUC_FONSEC3</v>
      </c>
      <c r="K4637" t="s">
        <v>579</v>
      </c>
    </row>
    <row r="4638" spans="1:11">
      <c r="A4638" s="32">
        <v>927</v>
      </c>
      <c r="B4638" s="33">
        <v>5750</v>
      </c>
      <c r="C4638" s="3">
        <v>20000</v>
      </c>
      <c r="D4638" s="3"/>
      <c r="E4638" s="7">
        <f t="shared" si="97"/>
        <v>20000</v>
      </c>
      <c r="F4638" s="5">
        <v>45923</v>
      </c>
      <c r="G4638" s="4">
        <v>20250922</v>
      </c>
      <c r="H4638" s="38" t="str">
        <f>VLOOKUP(B4638,CAJEROS!B:D,3,0)</f>
        <v>Dispensador</v>
      </c>
      <c r="I4638" s="34" t="s">
        <v>10</v>
      </c>
      <c r="J4638" s="38" t="str">
        <f>VLOOKUP(B4638,CAJEROS!B:E,4,0)</f>
        <v>SUC_MOCOA2</v>
      </c>
      <c r="K4638" t="s">
        <v>579</v>
      </c>
    </row>
    <row r="4639" spans="1:11">
      <c r="A4639" s="32">
        <v>318</v>
      </c>
      <c r="B4639" s="33">
        <v>5348</v>
      </c>
      <c r="C4639" s="3">
        <v>10000</v>
      </c>
      <c r="D4639" s="3"/>
      <c r="E4639" s="7">
        <f t="shared" si="97"/>
        <v>10000</v>
      </c>
      <c r="F4639" s="5">
        <v>45923</v>
      </c>
      <c r="G4639" s="4">
        <v>20250922</v>
      </c>
      <c r="H4639" s="38" t="str">
        <f>VLOOKUP(B4639,CAJEROS!B:D,3,0)</f>
        <v>Dispensador</v>
      </c>
      <c r="I4639" s="34" t="s">
        <v>10</v>
      </c>
      <c r="J4639" s="38" t="str">
        <f>VLOOKUP(B4639,CAJEROS!B:E,4,0)</f>
        <v>SUC_OCANA1</v>
      </c>
      <c r="K4639" t="s">
        <v>579</v>
      </c>
    </row>
    <row r="4640" spans="1:11">
      <c r="A4640" s="32">
        <v>780</v>
      </c>
      <c r="B4640" s="33">
        <v>4713</v>
      </c>
      <c r="C4640" s="3">
        <v>20000</v>
      </c>
      <c r="D4640" s="3"/>
      <c r="E4640" s="7">
        <f t="shared" si="97"/>
        <v>20000</v>
      </c>
      <c r="F4640" s="5">
        <v>45923</v>
      </c>
      <c r="G4640" s="4">
        <v>20250922</v>
      </c>
      <c r="H4640" s="38" t="str">
        <f>VLOOKUP(B4640,CAJEROS!B:D,3,0)</f>
        <v>Dispensador</v>
      </c>
      <c r="I4640" s="34" t="s">
        <v>10</v>
      </c>
      <c r="J4640" s="38" t="str">
        <f>VLOOKUP(B4640,CAJEROS!B:E,4,0)</f>
        <v>SUCREALMIN1</v>
      </c>
      <c r="K4640" t="s">
        <v>579</v>
      </c>
    </row>
    <row r="4641" spans="1:11">
      <c r="A4641" s="32">
        <v>240</v>
      </c>
      <c r="B4641" s="33">
        <v>4510</v>
      </c>
      <c r="C4641" s="3">
        <v>10000</v>
      </c>
      <c r="D4641" s="3"/>
      <c r="E4641" s="7">
        <f t="shared" si="97"/>
        <v>10000</v>
      </c>
      <c r="F4641" s="5">
        <v>45923</v>
      </c>
      <c r="G4641" s="4">
        <v>20250922</v>
      </c>
      <c r="H4641" s="38" t="str">
        <f>VLOOKUP(B4641,CAJEROS!B:D,3,0)</f>
        <v>Dispensador</v>
      </c>
      <c r="I4641" s="34" t="s">
        <v>10</v>
      </c>
      <c r="J4641" s="38" t="str">
        <f>VLOOKUP(B4641,CAJEROS!B:E,4,0)</f>
        <v>SUC_SANTFE1</v>
      </c>
      <c r="K4641" t="s">
        <v>579</v>
      </c>
    </row>
    <row r="4642" spans="1:11">
      <c r="A4642" s="32">
        <v>476</v>
      </c>
      <c r="B4642" s="33">
        <v>3657</v>
      </c>
      <c r="C4642" s="3">
        <v>20000</v>
      </c>
      <c r="D4642" s="3"/>
      <c r="E4642" s="7">
        <f t="shared" si="97"/>
        <v>20000</v>
      </c>
      <c r="F4642" s="5">
        <v>45923</v>
      </c>
      <c r="G4642" s="4">
        <v>20250922</v>
      </c>
      <c r="H4642" s="38" t="str">
        <f>VLOOKUP(B4642,CAJEROS!B:D,3,0)</f>
        <v>Dispensador</v>
      </c>
      <c r="I4642" s="34" t="s">
        <v>10</v>
      </c>
      <c r="J4642" s="38" t="str">
        <f>VLOOKUP(B4642,CAJEROS!B:E,4,0)</f>
        <v>SUC_PAMPL2</v>
      </c>
      <c r="K4642" t="s">
        <v>579</v>
      </c>
    </row>
    <row r="4643" spans="1:11">
      <c r="A4643" s="32">
        <v>329</v>
      </c>
      <c r="B4643" s="33">
        <v>3291</v>
      </c>
      <c r="C4643" s="3">
        <v>10000</v>
      </c>
      <c r="D4643" s="3"/>
      <c r="E4643" s="7">
        <f t="shared" si="97"/>
        <v>10000</v>
      </c>
      <c r="F4643" s="5">
        <v>45923</v>
      </c>
      <c r="G4643" s="4">
        <v>20250922</v>
      </c>
      <c r="H4643" s="38" t="str">
        <f>VLOOKUP(B4643,CAJEROS!B:D,3,0)</f>
        <v>Dispensador</v>
      </c>
      <c r="I4643" s="34" t="s">
        <v>10</v>
      </c>
      <c r="J4643" s="38" t="str">
        <f>VLOOKUP(B4643,CAJEROS!B:E,4,0)</f>
        <v>VELEZ</v>
      </c>
      <c r="K4643" t="s">
        <v>579</v>
      </c>
    </row>
    <row r="4644" spans="1:11">
      <c r="A4644" s="32">
        <v>810</v>
      </c>
      <c r="B4644" s="33">
        <v>8204</v>
      </c>
      <c r="C4644" s="3">
        <v>20000</v>
      </c>
      <c r="D4644" s="3"/>
      <c r="E4644" s="7">
        <f t="shared" si="97"/>
        <v>20000</v>
      </c>
      <c r="F4644" s="5">
        <v>45923</v>
      </c>
      <c r="G4644" s="4">
        <v>20250922</v>
      </c>
      <c r="H4644" s="38" t="str">
        <f>VLOOKUP(B4644,CAJEROS!B:D,3,0)</f>
        <v>Multifuncional</v>
      </c>
      <c r="I4644" s="34" t="s">
        <v>10</v>
      </c>
      <c r="J4644" s="38" t="str">
        <f>VLOOKUP(B4644,CAJEROS!B:E,4,0)</f>
        <v>MF_OESTE</v>
      </c>
      <c r="K4644" t="s">
        <v>579</v>
      </c>
    </row>
    <row r="4645" spans="1:11">
      <c r="A4645" s="32">
        <v>162</v>
      </c>
      <c r="B4645" s="33">
        <v>5384</v>
      </c>
      <c r="C4645" s="3">
        <v>70000</v>
      </c>
      <c r="D4645" s="3">
        <v>30000</v>
      </c>
      <c r="E4645" s="7">
        <f t="shared" si="97"/>
        <v>40000</v>
      </c>
      <c r="F4645" s="5">
        <v>45924</v>
      </c>
      <c r="G4645" s="4">
        <v>20250923</v>
      </c>
      <c r="H4645" s="38" t="str">
        <f>VLOOKUP(B4645,CAJEROS!B:D,3,0)</f>
        <v>Dispensador</v>
      </c>
      <c r="I4645" s="34"/>
      <c r="J4645" s="38" t="str">
        <f>VLOOKUP(B4645,CAJEROS!B:E,4,0)</f>
        <v>SAN_PEDRO2</v>
      </c>
      <c r="K4645" t="s">
        <v>579</v>
      </c>
    </row>
    <row r="4646" spans="1:11">
      <c r="A4646" s="32">
        <v>185</v>
      </c>
      <c r="B4646" s="33">
        <v>405</v>
      </c>
      <c r="C4646" s="3">
        <v>500000</v>
      </c>
      <c r="D4646" s="3"/>
      <c r="E4646" s="7">
        <f t="shared" si="97"/>
        <v>500000</v>
      </c>
      <c r="F4646" s="5">
        <v>45924</v>
      </c>
      <c r="G4646" s="4">
        <v>20250923</v>
      </c>
      <c r="H4646" s="38" t="str">
        <f>VLOOKUP(B4646,CAJEROS!B:D,3,0)</f>
        <v>Dispensador</v>
      </c>
      <c r="I4646" s="34"/>
      <c r="J4646" s="38" t="str">
        <f>VLOOKUP(B4646,CAJEROS!B:E,4,0)</f>
        <v>SUCLLAGRPA1</v>
      </c>
      <c r="K4646" t="s">
        <v>579</v>
      </c>
    </row>
    <row r="4647" spans="1:11">
      <c r="A4647" s="32">
        <v>185</v>
      </c>
      <c r="B4647" s="33">
        <v>7959</v>
      </c>
      <c r="C4647" s="3">
        <v>1370000</v>
      </c>
      <c r="D4647" s="3"/>
      <c r="E4647" s="7">
        <f t="shared" si="97"/>
        <v>1370000</v>
      </c>
      <c r="F4647" s="5">
        <v>45924</v>
      </c>
      <c r="G4647" s="4">
        <v>20250923</v>
      </c>
      <c r="H4647" s="38" t="str">
        <f>VLOOKUP(B4647,CAJEROS!B:D,3,0)</f>
        <v>Dispensador</v>
      </c>
      <c r="I4647" s="34"/>
      <c r="J4647" s="38" t="str">
        <f>VLOOKUP(B4647,CAJEROS!B:E,4,0)</f>
        <v>SUCLLAGRPA3</v>
      </c>
      <c r="K4647" t="s">
        <v>579</v>
      </c>
    </row>
    <row r="4648" spans="1:11">
      <c r="A4648" s="32">
        <v>186</v>
      </c>
      <c r="B4648" s="33">
        <v>6508</v>
      </c>
      <c r="C4648" s="3">
        <v>1140000</v>
      </c>
      <c r="D4648" s="3"/>
      <c r="E4648" s="7">
        <f t="shared" si="97"/>
        <v>1140000</v>
      </c>
      <c r="F4648" s="5">
        <v>45924</v>
      </c>
      <c r="G4648" s="4">
        <v>20250923</v>
      </c>
      <c r="H4648" s="38" t="str">
        <f>VLOOKUP(B4648,CAJEROS!B:D,3,0)</f>
        <v>Dispensador</v>
      </c>
      <c r="I4648" s="34"/>
      <c r="J4648" s="38" t="str">
        <f>VLOOKUP(B4648,CAJEROS!B:E,4,0)</f>
        <v>SUC_GALERI1</v>
      </c>
      <c r="K4648" t="s">
        <v>579</v>
      </c>
    </row>
    <row r="4649" spans="1:11">
      <c r="A4649" s="32">
        <v>229</v>
      </c>
      <c r="B4649" s="33">
        <v>8955</v>
      </c>
      <c r="C4649" s="3">
        <v>120000</v>
      </c>
      <c r="D4649" s="3"/>
      <c r="E4649" s="7">
        <f t="shared" si="97"/>
        <v>120000</v>
      </c>
      <c r="F4649" s="5">
        <v>45924</v>
      </c>
      <c r="G4649" s="4">
        <v>20250923</v>
      </c>
      <c r="H4649" s="38" t="str">
        <f>VLOOKUP(B4649,CAJEROS!B:D,3,0)</f>
        <v>Dispensador</v>
      </c>
      <c r="I4649" s="34"/>
      <c r="J4649" s="38" t="str">
        <f>VLOOKUP(B4649,CAJEROS!B:E,4,0)</f>
        <v>SUCPASERIO1</v>
      </c>
      <c r="K4649" t="s">
        <v>579</v>
      </c>
    </row>
    <row r="4650" spans="1:11">
      <c r="A4650" s="32">
        <v>229</v>
      </c>
      <c r="B4650" s="33">
        <v>8957</v>
      </c>
      <c r="C4650" s="3">
        <v>460000</v>
      </c>
      <c r="D4650" s="3"/>
      <c r="E4650" s="7">
        <f t="shared" si="97"/>
        <v>460000</v>
      </c>
      <c r="F4650" s="5">
        <v>45924</v>
      </c>
      <c r="G4650" s="4">
        <v>20250923</v>
      </c>
      <c r="H4650" s="38" t="str">
        <f>VLOOKUP(B4650,CAJEROS!B:D,3,0)</f>
        <v>Dispensador</v>
      </c>
      <c r="I4650" s="34"/>
      <c r="J4650" s="38" t="str">
        <f>VLOOKUP(B4650,CAJEROS!B:E,4,0)</f>
        <v>SUCPASERIO3</v>
      </c>
      <c r="K4650" t="s">
        <v>579</v>
      </c>
    </row>
    <row r="4651" spans="1:11">
      <c r="A4651" s="32">
        <v>229</v>
      </c>
      <c r="B4651" s="33">
        <v>8958</v>
      </c>
      <c r="C4651" s="3">
        <v>100000</v>
      </c>
      <c r="D4651" s="3"/>
      <c r="E4651" s="7">
        <f t="shared" si="97"/>
        <v>100000</v>
      </c>
      <c r="F4651" s="5">
        <v>45924</v>
      </c>
      <c r="G4651" s="4">
        <v>20250923</v>
      </c>
      <c r="H4651" s="38" t="str">
        <f>VLOOKUP(B4651,CAJEROS!B:D,3,0)</f>
        <v>Dispensador</v>
      </c>
      <c r="I4651" s="34"/>
      <c r="J4651" s="38" t="str">
        <f>VLOOKUP(B4651,CAJEROS!B:E,4,0)</f>
        <v>SUCPASERIO4</v>
      </c>
      <c r="K4651" t="s">
        <v>579</v>
      </c>
    </row>
    <row r="4652" spans="1:11">
      <c r="A4652" s="32">
        <v>336</v>
      </c>
      <c r="B4652" s="33">
        <v>4148</v>
      </c>
      <c r="C4652" s="3">
        <v>100000</v>
      </c>
      <c r="D4652" s="3"/>
      <c r="E4652" s="7">
        <f t="shared" si="97"/>
        <v>100000</v>
      </c>
      <c r="F4652" s="5">
        <v>45924</v>
      </c>
      <c r="G4652" s="4">
        <v>20250923</v>
      </c>
      <c r="H4652" s="38" t="str">
        <f>VLOOKUP(B4652,CAJEROS!B:D,3,0)</f>
        <v>Dispensador</v>
      </c>
      <c r="I4652" s="34"/>
      <c r="J4652" s="38" t="str">
        <f>VLOOKUP(B4652,CAJEROS!B:E,4,0)</f>
        <v>SUC_SESQUI1</v>
      </c>
      <c r="K4652" t="s">
        <v>579</v>
      </c>
    </row>
    <row r="4653" spans="1:11">
      <c r="A4653" s="32">
        <v>336</v>
      </c>
      <c r="B4653" s="33">
        <v>4149</v>
      </c>
      <c r="C4653" s="3">
        <v>960000</v>
      </c>
      <c r="D4653" s="3">
        <v>110000</v>
      </c>
      <c r="E4653" s="7">
        <f t="shared" si="97"/>
        <v>850000</v>
      </c>
      <c r="F4653" s="5">
        <v>45924</v>
      </c>
      <c r="G4653" s="4">
        <v>20250923</v>
      </c>
      <c r="H4653" s="38" t="str">
        <f>VLOOKUP(B4653,CAJEROS!B:D,3,0)</f>
        <v>Dispensador</v>
      </c>
      <c r="I4653" s="34"/>
      <c r="J4653" s="38" t="str">
        <f>VLOOKUP(B4653,CAJEROS!B:E,4,0)</f>
        <v>SUC_SESQUI2</v>
      </c>
      <c r="K4653" t="s">
        <v>579</v>
      </c>
    </row>
    <row r="4654" spans="1:11">
      <c r="A4654" s="32">
        <v>678</v>
      </c>
      <c r="B4654" s="33">
        <v>6014</v>
      </c>
      <c r="C4654" s="3">
        <v>200000</v>
      </c>
      <c r="D4654" s="3"/>
      <c r="E4654" s="7">
        <f t="shared" si="97"/>
        <v>200000</v>
      </c>
      <c r="F4654" s="5">
        <v>45924</v>
      </c>
      <c r="G4654" s="4">
        <v>20250923</v>
      </c>
      <c r="H4654" s="38" t="str">
        <f>VLOOKUP(B4654,CAJEROS!B:D,3,0)</f>
        <v>Dispensador</v>
      </c>
      <c r="I4654" s="34"/>
      <c r="J4654" s="38" t="str">
        <f>VLOOKUP(B4654,CAJEROS!B:E,4,0)</f>
        <v>PASEOCAST_5</v>
      </c>
      <c r="K4654" t="s">
        <v>579</v>
      </c>
    </row>
    <row r="4655" spans="1:11">
      <c r="A4655" s="32">
        <v>724</v>
      </c>
      <c r="B4655" s="33">
        <v>4004</v>
      </c>
      <c r="C4655" s="3">
        <v>100000</v>
      </c>
      <c r="D4655" s="3"/>
      <c r="E4655" s="7">
        <f t="shared" si="97"/>
        <v>100000</v>
      </c>
      <c r="F4655" s="5">
        <v>45924</v>
      </c>
      <c r="G4655" s="4">
        <v>20250923</v>
      </c>
      <c r="H4655" s="38" t="str">
        <f>VLOOKUP(B4655,CAJEROS!B:D,3,0)</f>
        <v>Dispensador</v>
      </c>
      <c r="I4655" s="34"/>
      <c r="J4655" s="38" t="str">
        <f>VLOOKUP(B4655,CAJEROS!B:E,4,0)</f>
        <v>SUC_FONSEC1</v>
      </c>
      <c r="K4655" t="s">
        <v>579</v>
      </c>
    </row>
    <row r="4656" spans="1:11">
      <c r="A4656" s="32">
        <v>724</v>
      </c>
      <c r="B4656" s="33">
        <v>6894</v>
      </c>
      <c r="C4656" s="3">
        <v>380000</v>
      </c>
      <c r="D4656" s="3">
        <f>100000+240000</f>
        <v>340000</v>
      </c>
      <c r="E4656" s="7">
        <f t="shared" si="97"/>
        <v>40000</v>
      </c>
      <c r="F4656" s="5">
        <v>45924</v>
      </c>
      <c r="G4656" s="4">
        <v>20250923</v>
      </c>
      <c r="H4656" s="38" t="str">
        <f>VLOOKUP(B4656,CAJEROS!B:D,3,0)</f>
        <v>Dispensador</v>
      </c>
      <c r="I4656" s="34"/>
      <c r="J4656" s="38" t="str">
        <f>VLOOKUP(B4656,CAJEROS!B:E,4,0)</f>
        <v>SUC_FONSEC3</v>
      </c>
      <c r="K4656" t="s">
        <v>579</v>
      </c>
    </row>
    <row r="4657" spans="1:11">
      <c r="A4657" s="32">
        <v>802</v>
      </c>
      <c r="B4657" s="33">
        <v>6323</v>
      </c>
      <c r="C4657" s="3">
        <v>1470000</v>
      </c>
      <c r="D4657" s="3">
        <v>550000</v>
      </c>
      <c r="E4657" s="7">
        <f t="shared" si="97"/>
        <v>920000</v>
      </c>
      <c r="F4657" s="5">
        <v>45924</v>
      </c>
      <c r="G4657" s="4">
        <v>20250923</v>
      </c>
      <c r="H4657" s="38" t="str">
        <f>VLOOKUP(B4657,CAJEROS!B:D,3,0)</f>
        <v>Dispensador</v>
      </c>
      <c r="I4657" s="34"/>
      <c r="J4657" s="38" t="str">
        <f>VLOOKUP(B4657,CAJEROS!B:E,4,0)</f>
        <v>SUC_PTOLOP3</v>
      </c>
      <c r="K4657" t="s">
        <v>579</v>
      </c>
    </row>
    <row r="4658" spans="1:11">
      <c r="A4658" s="32">
        <v>153</v>
      </c>
      <c r="B4658" s="33">
        <v>9882</v>
      </c>
      <c r="C4658" s="3">
        <v>850000</v>
      </c>
      <c r="D4658" s="3"/>
      <c r="E4658" s="7">
        <f t="shared" si="97"/>
        <v>850000</v>
      </c>
      <c r="F4658" s="5">
        <v>45924</v>
      </c>
      <c r="G4658" s="4">
        <v>20250923</v>
      </c>
      <c r="H4658" s="38" t="str">
        <f>VLOOKUP(B4658,CAJEROS!B:D,3,0)</f>
        <v>Dispensador</v>
      </c>
      <c r="I4658" s="34" t="s">
        <v>9</v>
      </c>
      <c r="J4658" s="38" t="str">
        <f>VLOOKUP(B4658,CAJEROS!B:E,4,0)</f>
        <v>EXITOIBAG_4</v>
      </c>
      <c r="K4658" t="s">
        <v>579</v>
      </c>
    </row>
    <row r="4659" spans="1:11">
      <c r="A4659" s="32">
        <v>306</v>
      </c>
      <c r="B4659" s="33">
        <v>5652</v>
      </c>
      <c r="C4659" s="3">
        <v>400000</v>
      </c>
      <c r="D4659" s="3">
        <v>390000</v>
      </c>
      <c r="E4659" s="7">
        <f t="shared" si="97"/>
        <v>10000</v>
      </c>
      <c r="F4659" s="5">
        <v>45924</v>
      </c>
      <c r="G4659" s="4">
        <v>20250923</v>
      </c>
      <c r="H4659" s="38" t="str">
        <f>VLOOKUP(B4659,CAJEROS!B:D,3,0)</f>
        <v>Dispensador</v>
      </c>
      <c r="I4659" s="34" t="s">
        <v>9</v>
      </c>
      <c r="J4659" s="38" t="str">
        <f>VLOOKUP(B4659,CAJEROS!B:E,4,0)</f>
        <v>BARRANCABE4</v>
      </c>
      <c r="K4659" t="s">
        <v>579</v>
      </c>
    </row>
    <row r="4660" spans="1:11">
      <c r="A4660" s="32">
        <v>367</v>
      </c>
      <c r="B4660" s="33">
        <v>6261</v>
      </c>
      <c r="C4660" s="3">
        <v>680000</v>
      </c>
      <c r="D4660" s="3">
        <v>50000</v>
      </c>
      <c r="E4660" s="7">
        <f t="shared" si="97"/>
        <v>630000</v>
      </c>
      <c r="F4660" s="5">
        <v>45924</v>
      </c>
      <c r="G4660" s="4">
        <v>20250923</v>
      </c>
      <c r="H4660" s="38" t="str">
        <f>VLOOKUP(B4660,CAJEROS!B:D,3,0)</f>
        <v>Dispensador</v>
      </c>
      <c r="I4660" s="34" t="s">
        <v>9</v>
      </c>
      <c r="J4660" s="38" t="str">
        <f>VLOOKUP(B4660,CAJEROS!B:E,4,0)</f>
        <v>SUC_GRANAD3</v>
      </c>
      <c r="K4660" t="s">
        <v>579</v>
      </c>
    </row>
    <row r="4661" spans="1:11">
      <c r="A4661" s="32">
        <v>453</v>
      </c>
      <c r="B4661" s="33">
        <v>8013</v>
      </c>
      <c r="C4661" s="3">
        <v>600000</v>
      </c>
      <c r="D4661" s="3"/>
      <c r="E4661" s="7">
        <f t="shared" si="97"/>
        <v>600000</v>
      </c>
      <c r="F4661" s="5">
        <v>45924</v>
      </c>
      <c r="G4661" s="4">
        <v>20250923</v>
      </c>
      <c r="H4661" s="38" t="str">
        <f>VLOOKUP(B4661,CAJEROS!B:D,3,0)</f>
        <v>Dispensador</v>
      </c>
      <c r="I4661" s="34" t="s">
        <v>9</v>
      </c>
      <c r="J4661" s="38" t="str">
        <f>VLOOKUP(B4661,CAJEROS!B:E,4,0)</f>
        <v>SUCPITALTO2</v>
      </c>
      <c r="K4661" t="s">
        <v>579</v>
      </c>
    </row>
    <row r="4662" spans="1:11">
      <c r="A4662" s="32">
        <v>595</v>
      </c>
      <c r="B4662" s="33">
        <v>3697</v>
      </c>
      <c r="C4662" s="3">
        <v>450000</v>
      </c>
      <c r="D4662" s="3"/>
      <c r="E4662" s="7">
        <f t="shared" si="97"/>
        <v>450000</v>
      </c>
      <c r="F4662" s="5">
        <v>45924</v>
      </c>
      <c r="G4662" s="4">
        <v>20250923</v>
      </c>
      <c r="H4662" s="38" t="str">
        <f>VLOOKUP(B4662,CAJEROS!B:D,3,0)</f>
        <v>Dispensador</v>
      </c>
      <c r="I4662" s="34" t="s">
        <v>9</v>
      </c>
      <c r="J4662" s="38" t="str">
        <f>VLOOKUP(B4662,CAJEROS!B:E,4,0)</f>
        <v>SUC_BARAN1</v>
      </c>
      <c r="K4662" t="s">
        <v>579</v>
      </c>
    </row>
    <row r="4663" spans="1:11">
      <c r="A4663" s="32">
        <v>705</v>
      </c>
      <c r="B4663" s="33">
        <v>4151</v>
      </c>
      <c r="C4663" s="3">
        <v>100000</v>
      </c>
      <c r="D4663" s="3"/>
      <c r="E4663" s="7">
        <f t="shared" si="97"/>
        <v>100000</v>
      </c>
      <c r="F4663" s="5">
        <v>45924</v>
      </c>
      <c r="G4663" s="4">
        <v>20250923</v>
      </c>
      <c r="H4663" s="38" t="str">
        <f>VLOOKUP(B4663,CAJEROS!B:D,3,0)</f>
        <v>Dispensador</v>
      </c>
      <c r="I4663" s="34" t="s">
        <v>9</v>
      </c>
      <c r="J4663" s="38" t="str">
        <f>VLOOKUP(B4663,CAJEROS!B:E,4,0)</f>
        <v>SUC_BAGRE1</v>
      </c>
      <c r="K4663" t="s">
        <v>579</v>
      </c>
    </row>
    <row r="4664" spans="1:11">
      <c r="A4664" s="32">
        <v>709</v>
      </c>
      <c r="B4664" s="33">
        <v>3426</v>
      </c>
      <c r="C4664" s="3">
        <v>250000</v>
      </c>
      <c r="D4664" s="3"/>
      <c r="E4664" s="7">
        <f t="shared" si="97"/>
        <v>250000</v>
      </c>
      <c r="F4664" s="5">
        <v>45924</v>
      </c>
      <c r="G4664" s="4">
        <v>20250923</v>
      </c>
      <c r="H4664" s="38" t="str">
        <f>VLOOKUP(B4664,CAJEROS!B:D,3,0)</f>
        <v>Dispensador</v>
      </c>
      <c r="I4664" s="34" t="s">
        <v>9</v>
      </c>
      <c r="J4664" s="38" t="str">
        <f>VLOOKUP(B4664,CAJEROS!B:E,4,0)</f>
        <v>ABREGO</v>
      </c>
      <c r="K4664" t="s">
        <v>579</v>
      </c>
    </row>
    <row r="4665" spans="1:11">
      <c r="A4665" s="32">
        <v>741</v>
      </c>
      <c r="B4665" s="33">
        <v>6841</v>
      </c>
      <c r="C4665" s="3">
        <v>50000</v>
      </c>
      <c r="D4665" s="3"/>
      <c r="E4665" s="7">
        <f t="shared" si="97"/>
        <v>50000</v>
      </c>
      <c r="F4665" s="5">
        <v>45924</v>
      </c>
      <c r="G4665" s="4">
        <v>20250923</v>
      </c>
      <c r="H4665" s="38" t="str">
        <f>VLOOKUP(B4665,CAJEROS!B:D,3,0)</f>
        <v>Dispensador</v>
      </c>
      <c r="I4665" s="34" t="s">
        <v>9</v>
      </c>
      <c r="J4665" s="38" t="str">
        <f>VLOOKUP(B4665,CAJEROS!B:E,4,0)</f>
        <v>SUC_IDEO_1</v>
      </c>
      <c r="K4665" t="s">
        <v>579</v>
      </c>
    </row>
    <row r="4666" spans="1:11">
      <c r="A4666" s="32">
        <v>765</v>
      </c>
      <c r="B4666" s="33">
        <v>4998</v>
      </c>
      <c r="C4666" s="3">
        <v>40000</v>
      </c>
      <c r="D4666" s="3"/>
      <c r="E4666" s="7">
        <f t="shared" si="97"/>
        <v>40000</v>
      </c>
      <c r="F4666" s="5">
        <v>45924</v>
      </c>
      <c r="G4666" s="4">
        <v>20250923</v>
      </c>
      <c r="H4666" s="38" t="str">
        <f>VLOOKUP(B4666,CAJEROS!B:D,3,0)</f>
        <v>Dispensador</v>
      </c>
      <c r="I4666" s="34" t="s">
        <v>9</v>
      </c>
      <c r="J4666" s="38" t="str">
        <f>VLOOKUP(B4666,CAJEROS!B:E,4,0)</f>
        <v>SUC_BECERR1</v>
      </c>
      <c r="K4666" t="s">
        <v>579</v>
      </c>
    </row>
    <row r="4667" spans="1:11">
      <c r="A4667" s="32">
        <v>789</v>
      </c>
      <c r="B4667" s="33">
        <v>5660</v>
      </c>
      <c r="C4667" s="3">
        <v>50000</v>
      </c>
      <c r="D4667" s="3"/>
      <c r="E4667" s="7">
        <f t="shared" si="97"/>
        <v>50000</v>
      </c>
      <c r="F4667" s="5">
        <v>45924</v>
      </c>
      <c r="G4667" s="4">
        <v>20250923</v>
      </c>
      <c r="H4667" s="38" t="str">
        <f>VLOOKUP(B4667,CAJEROS!B:D,3,0)</f>
        <v>Dispensador</v>
      </c>
      <c r="I4667" s="34" t="s">
        <v>9</v>
      </c>
      <c r="J4667" s="38" t="str">
        <f>VLOOKUP(B4667,CAJEROS!B:E,4,0)</f>
        <v>MANGA1</v>
      </c>
      <c r="K4667" t="s">
        <v>579</v>
      </c>
    </row>
    <row r="4668" spans="1:11">
      <c r="A4668" s="32">
        <v>848</v>
      </c>
      <c r="B4668" s="33">
        <v>4740</v>
      </c>
      <c r="C4668" s="3">
        <v>9650000</v>
      </c>
      <c r="D4668" s="3"/>
      <c r="E4668" s="7">
        <f t="shared" si="97"/>
        <v>9650000</v>
      </c>
      <c r="F4668" s="5">
        <v>45924</v>
      </c>
      <c r="G4668" s="4">
        <v>20250923</v>
      </c>
      <c r="H4668" s="38" t="str">
        <f>VLOOKUP(B4668,CAJEROS!B:D,3,0)</f>
        <v>Dispensador</v>
      </c>
      <c r="I4668" s="34" t="s">
        <v>9</v>
      </c>
      <c r="J4668" s="38" t="str">
        <f>VLOOKUP(B4668,CAJEROS!B:E,4,0)</f>
        <v>PQECABAL_3</v>
      </c>
      <c r="K4668" t="s">
        <v>579</v>
      </c>
    </row>
    <row r="4669" spans="1:11">
      <c r="A4669" s="32">
        <v>40</v>
      </c>
      <c r="B4669" s="33">
        <v>5142</v>
      </c>
      <c r="C4669" s="3">
        <v>399950</v>
      </c>
      <c r="D4669" s="3"/>
      <c r="E4669" s="7">
        <f t="shared" si="97"/>
        <v>399950</v>
      </c>
      <c r="F4669" s="5">
        <v>45924</v>
      </c>
      <c r="G4669" s="4">
        <v>20250923</v>
      </c>
      <c r="H4669" s="38" t="str">
        <f>VLOOKUP(B4669,CAJEROS!B:D,3,0)</f>
        <v>Multifuncional</v>
      </c>
      <c r="I4669" s="34"/>
      <c r="J4669" s="38" t="str">
        <f>VLOOKUP(B4669,CAJEROS!B:E,4,0)</f>
        <v>MF_CENTRO93</v>
      </c>
      <c r="K4669" t="s">
        <v>579</v>
      </c>
    </row>
    <row r="4670" spans="1:11">
      <c r="A4670" s="32">
        <v>236</v>
      </c>
      <c r="B4670" s="33">
        <v>8497</v>
      </c>
      <c r="C4670" s="3">
        <v>785000</v>
      </c>
      <c r="D4670" s="3"/>
      <c r="E4670" s="7">
        <f t="shared" si="97"/>
        <v>785000</v>
      </c>
      <c r="F4670" s="5">
        <v>45924</v>
      </c>
      <c r="G4670" s="4">
        <v>20250923</v>
      </c>
      <c r="H4670" s="38" t="str">
        <f>VLOOKUP(B4670,CAJEROS!B:D,3,0)</f>
        <v>Multifuncional</v>
      </c>
      <c r="I4670" s="34"/>
      <c r="J4670" s="38" t="str">
        <f>VLOOKUP(B4670,CAJEROS!B:E,4,0)</f>
        <v>MF_EXITCOL2</v>
      </c>
      <c r="K4670" t="s">
        <v>579</v>
      </c>
    </row>
    <row r="4671" spans="1:11">
      <c r="A4671" s="32">
        <v>279</v>
      </c>
      <c r="B4671" s="33">
        <v>5147</v>
      </c>
      <c r="C4671" s="3">
        <v>13050</v>
      </c>
      <c r="D4671" s="3">
        <v>2000</v>
      </c>
      <c r="E4671" s="7">
        <f t="shared" si="97"/>
        <v>11050</v>
      </c>
      <c r="F4671" s="5">
        <v>45924</v>
      </c>
      <c r="G4671" s="4">
        <v>20250923</v>
      </c>
      <c r="H4671" s="38" t="str">
        <f>VLOOKUP(B4671,CAJEROS!B:D,3,0)</f>
        <v>Multifuncional</v>
      </c>
      <c r="I4671" s="34"/>
      <c r="J4671" s="38" t="str">
        <f>VLOOKUP(B4671,CAJEROS!B:E,4,0)</f>
        <v>MF_ITAGPARQ</v>
      </c>
      <c r="K4671" t="s">
        <v>579</v>
      </c>
    </row>
    <row r="4672" spans="1:11">
      <c r="A4672" s="32">
        <v>287</v>
      </c>
      <c r="B4672" s="33">
        <v>907</v>
      </c>
      <c r="C4672" s="3">
        <v>9900000</v>
      </c>
      <c r="D4672" s="3">
        <v>6945000</v>
      </c>
      <c r="E4672" s="7">
        <f t="shared" si="97"/>
        <v>2955000</v>
      </c>
      <c r="F4672" s="5">
        <v>45924</v>
      </c>
      <c r="G4672" s="4">
        <v>20250923</v>
      </c>
      <c r="H4672" s="38" t="str">
        <f>VLOOKUP(B4672,CAJEROS!B:D,3,0)</f>
        <v>Multifuncional</v>
      </c>
      <c r="I4672" s="34"/>
      <c r="J4672" s="38" t="str">
        <f>VLOOKUP(B4672,CAJEROS!B:E,4,0)</f>
        <v>MFABASTOBGA</v>
      </c>
      <c r="K4672" t="s">
        <v>579</v>
      </c>
    </row>
    <row r="4673" spans="1:11">
      <c r="A4673" s="32">
        <v>477</v>
      </c>
      <c r="B4673" s="33">
        <v>6251</v>
      </c>
      <c r="C4673" s="3">
        <v>2410000</v>
      </c>
      <c r="D4673" s="3"/>
      <c r="E4673" s="7">
        <f t="shared" si="97"/>
        <v>2410000</v>
      </c>
      <c r="F4673" s="5">
        <v>45924</v>
      </c>
      <c r="G4673" s="4">
        <v>20250923</v>
      </c>
      <c r="H4673" s="38" t="str">
        <f>VLOOKUP(B4673,CAJEROS!B:D,3,0)</f>
        <v>Multifuncional</v>
      </c>
      <c r="I4673" s="34"/>
      <c r="J4673" s="38" t="str">
        <f>VLOOKUP(B4673,CAJEROS!B:E,4,0)</f>
        <v>MF_GRANCENT</v>
      </c>
      <c r="K4673" t="s">
        <v>579</v>
      </c>
    </row>
    <row r="4674" spans="1:11">
      <c r="A4674" s="32">
        <v>495</v>
      </c>
      <c r="B4674" s="33">
        <v>8482</v>
      </c>
      <c r="C4674" s="3">
        <v>962000</v>
      </c>
      <c r="D4674" s="3"/>
      <c r="E4674" s="7">
        <f t="shared" si="97"/>
        <v>962000</v>
      </c>
      <c r="F4674" s="5">
        <v>45924</v>
      </c>
      <c r="G4674" s="4">
        <v>20250923</v>
      </c>
      <c r="H4674" s="38" t="str">
        <f>VLOOKUP(B4674,CAJEROS!B:D,3,0)</f>
        <v>Multifuncional</v>
      </c>
      <c r="I4674" s="34"/>
      <c r="J4674" s="38" t="str">
        <f>VLOOKUP(B4674,CAJEROS!B:E,4,0)</f>
        <v>MF_SUCBOSQ1</v>
      </c>
      <c r="K4674" t="s">
        <v>579</v>
      </c>
    </row>
    <row r="4675" spans="1:11">
      <c r="A4675" s="32">
        <v>549</v>
      </c>
      <c r="B4675" s="33">
        <v>7123</v>
      </c>
      <c r="C4675" s="3">
        <v>305500</v>
      </c>
      <c r="D4675" s="3"/>
      <c r="E4675" s="7">
        <f t="shared" si="97"/>
        <v>305500</v>
      </c>
      <c r="F4675" s="5">
        <v>45924</v>
      </c>
      <c r="G4675" s="4">
        <v>20250923</v>
      </c>
      <c r="H4675" s="38" t="str">
        <f>VLOOKUP(B4675,CAJEROS!B:D,3,0)</f>
        <v>Multifuncional</v>
      </c>
      <c r="I4675" s="34"/>
      <c r="J4675" s="38" t="str">
        <f>VLOOKUP(B4675,CAJEROS!B:E,4,0)</f>
        <v>MF_PLARIO2</v>
      </c>
      <c r="K4675" t="s">
        <v>579</v>
      </c>
    </row>
    <row r="4676" spans="1:11">
      <c r="A4676" s="32">
        <v>677</v>
      </c>
      <c r="B4676" s="33">
        <v>7124</v>
      </c>
      <c r="C4676" s="3">
        <v>910000</v>
      </c>
      <c r="D4676" s="3"/>
      <c r="E4676" s="7">
        <f t="shared" si="97"/>
        <v>910000</v>
      </c>
      <c r="F4676" s="5">
        <v>45924</v>
      </c>
      <c r="G4676" s="4">
        <v>20250923</v>
      </c>
      <c r="H4676" s="38" t="str">
        <f>VLOOKUP(B4676,CAJEROS!B:D,3,0)</f>
        <v>Multifuncional</v>
      </c>
      <c r="I4676" s="34"/>
      <c r="J4676" s="38" t="str">
        <f>VLOOKUP(B4676,CAJEROS!B:E,4,0)</f>
        <v>MF_PLMERMON</v>
      </c>
      <c r="K4676" t="s">
        <v>579</v>
      </c>
    </row>
    <row r="4677" spans="1:11">
      <c r="A4677" s="32">
        <v>843</v>
      </c>
      <c r="B4677" s="33">
        <v>6716</v>
      </c>
      <c r="C4677" s="3">
        <v>12000</v>
      </c>
      <c r="D4677" s="3"/>
      <c r="E4677" s="7">
        <f t="shared" si="97"/>
        <v>12000</v>
      </c>
      <c r="F4677" s="5">
        <v>45924</v>
      </c>
      <c r="G4677" s="4">
        <v>20250923</v>
      </c>
      <c r="H4677" s="38" t="str">
        <f>VLOOKUP(B4677,CAJEROS!B:D,3,0)</f>
        <v>Multifuncional</v>
      </c>
      <c r="I4677" s="34"/>
      <c r="J4677" s="38" t="str">
        <f>VLOOKUP(B4677,CAJEROS!B:E,4,0)</f>
        <v>MF_CPBUENAV</v>
      </c>
      <c r="K4677" t="s">
        <v>579</v>
      </c>
    </row>
    <row r="4678" spans="1:11">
      <c r="A4678" s="32">
        <v>15</v>
      </c>
      <c r="B4678" s="33">
        <v>8576</v>
      </c>
      <c r="C4678" s="3">
        <v>3980000</v>
      </c>
      <c r="D4678" s="3"/>
      <c r="E4678" s="7">
        <f t="shared" si="97"/>
        <v>3980000</v>
      </c>
      <c r="F4678" s="5">
        <v>45924</v>
      </c>
      <c r="G4678" s="4">
        <v>20250923</v>
      </c>
      <c r="H4678" s="38" t="str">
        <f>VLOOKUP(B4678,CAJEROS!B:D,3,0)</f>
        <v>Multifuncional</v>
      </c>
      <c r="I4678" s="34" t="s">
        <v>9</v>
      </c>
      <c r="J4678" s="38" t="str">
        <f>VLOOKUP(B4678,CAJEROS!B:E,4,0)</f>
        <v>MF_HITAGUI1</v>
      </c>
      <c r="K4678" t="s">
        <v>579</v>
      </c>
    </row>
    <row r="4679" spans="1:11">
      <c r="A4679" s="32">
        <v>388</v>
      </c>
      <c r="B4679" s="33">
        <v>5169</v>
      </c>
      <c r="C4679" s="3">
        <v>3805000</v>
      </c>
      <c r="D4679" s="3">
        <f>1100000+99000</f>
        <v>1199000</v>
      </c>
      <c r="E4679" s="7">
        <f t="shared" si="97"/>
        <v>2606000</v>
      </c>
      <c r="F4679" s="5">
        <v>45924</v>
      </c>
      <c r="G4679" s="4">
        <v>20250923</v>
      </c>
      <c r="H4679" s="38" t="str">
        <f>VLOOKUP(B4679,CAJEROS!B:D,3,0)</f>
        <v>Multifuncional</v>
      </c>
      <c r="I4679" s="34" t="s">
        <v>9</v>
      </c>
      <c r="J4679" s="38" t="str">
        <f>VLOOKUP(B4679,CAJEROS!B:E,4,0)</f>
        <v>MF_SUCHAYU1</v>
      </c>
      <c r="K4679" t="s">
        <v>579</v>
      </c>
    </row>
    <row r="4680" spans="1:11">
      <c r="A4680" s="32">
        <v>91</v>
      </c>
      <c r="B4680" s="33">
        <v>7943</v>
      </c>
      <c r="C4680" s="3">
        <v>3765000</v>
      </c>
      <c r="D4680" s="3"/>
      <c r="E4680" s="7">
        <f t="shared" si="97"/>
        <v>3765000</v>
      </c>
      <c r="F4680" s="5">
        <v>45924</v>
      </c>
      <c r="G4680" s="4">
        <v>20250923</v>
      </c>
      <c r="H4680" s="38" t="str">
        <f>VLOOKUP(B4680,CAJEROS!B:D,3,0)</f>
        <v>Multifuncional</v>
      </c>
      <c r="I4680" s="34" t="s">
        <v>9</v>
      </c>
      <c r="J4680" s="38" t="str">
        <f>VLOOKUP(B4680,CAJEROS!B:E,4,0)</f>
        <v>MF_MONTERI2</v>
      </c>
      <c r="K4680" t="s">
        <v>579</v>
      </c>
    </row>
    <row r="4681" spans="1:11">
      <c r="A4681" s="32">
        <v>541</v>
      </c>
      <c r="B4681" s="33">
        <v>5185</v>
      </c>
      <c r="C4681" s="3">
        <v>3610000</v>
      </c>
      <c r="D4681" s="3"/>
      <c r="E4681" s="7">
        <f t="shared" si="97"/>
        <v>3610000</v>
      </c>
      <c r="F4681" s="5">
        <v>45924</v>
      </c>
      <c r="G4681" s="4">
        <v>20250923</v>
      </c>
      <c r="H4681" s="38" t="str">
        <f>VLOOKUP(B4681,CAJEROS!B:D,3,0)</f>
        <v>Multifuncional</v>
      </c>
      <c r="I4681" s="34" t="s">
        <v>9</v>
      </c>
      <c r="J4681" s="38" t="str">
        <f>VLOOKUP(B4681,CAJEROS!B:E,4,0)</f>
        <v>MF_PARQCALD</v>
      </c>
      <c r="K4681" t="s">
        <v>579</v>
      </c>
    </row>
    <row r="4682" spans="1:11">
      <c r="A4682" s="32">
        <v>358</v>
      </c>
      <c r="B4682" s="33">
        <v>5149</v>
      </c>
      <c r="C4682" s="3">
        <v>3415000</v>
      </c>
      <c r="D4682" s="3"/>
      <c r="E4682" s="7">
        <f t="shared" si="97"/>
        <v>3415000</v>
      </c>
      <c r="F4682" s="5">
        <v>45924</v>
      </c>
      <c r="G4682" s="4">
        <v>20250923</v>
      </c>
      <c r="H4682" s="38" t="str">
        <f>VLOOKUP(B4682,CAJEROS!B:D,3,0)</f>
        <v>Multifuncional</v>
      </c>
      <c r="I4682" s="34" t="s">
        <v>9</v>
      </c>
      <c r="J4682" s="38" t="str">
        <f>VLOOKUP(B4682,CAJEROS!B:E,4,0)</f>
        <v>MF_SOGAMOSO</v>
      </c>
      <c r="K4682" t="s">
        <v>579</v>
      </c>
    </row>
    <row r="4683" spans="1:11">
      <c r="A4683" s="32">
        <v>516</v>
      </c>
      <c r="B4683" s="33">
        <v>9729</v>
      </c>
      <c r="C4683" s="3">
        <v>3400000</v>
      </c>
      <c r="D4683" s="3">
        <v>2870000</v>
      </c>
      <c r="E4683" s="7">
        <f t="shared" si="97"/>
        <v>530000</v>
      </c>
      <c r="F4683" s="5">
        <v>45924</v>
      </c>
      <c r="G4683" s="4">
        <v>20250923</v>
      </c>
      <c r="H4683" s="38" t="str">
        <f>VLOOKUP(B4683,CAJEROS!B:D,3,0)</f>
        <v>Multifuncional</v>
      </c>
      <c r="I4683" s="34" t="s">
        <v>9</v>
      </c>
      <c r="J4683" s="38" t="str">
        <f>VLOOKUP(B4683,CAJEROS!B:E,4,0)</f>
        <v>MF_SUCSTAM1</v>
      </c>
      <c r="K4683" t="s">
        <v>579</v>
      </c>
    </row>
    <row r="4684" spans="1:11">
      <c r="A4684" s="32">
        <v>682</v>
      </c>
      <c r="B4684" s="33">
        <v>5049</v>
      </c>
      <c r="C4684" s="3">
        <v>3153900</v>
      </c>
      <c r="D4684" s="3">
        <v>1950000</v>
      </c>
      <c r="E4684" s="7">
        <f t="shared" si="97"/>
        <v>1203900</v>
      </c>
      <c r="F4684" s="5">
        <v>45924</v>
      </c>
      <c r="G4684" s="4">
        <v>20250923</v>
      </c>
      <c r="H4684" s="38" t="str">
        <f>VLOOKUP(B4684,CAJEROS!B:D,3,0)</f>
        <v>Multifuncional</v>
      </c>
      <c r="I4684" s="34" t="s">
        <v>9</v>
      </c>
      <c r="J4684" s="38" t="str">
        <f>VLOOKUP(B4684,CAJEROS!B:E,4,0)</f>
        <v>MF_CCFONTA1</v>
      </c>
      <c r="K4684" t="s">
        <v>579</v>
      </c>
    </row>
    <row r="4685" spans="1:11">
      <c r="A4685" s="32">
        <v>168</v>
      </c>
      <c r="B4685" s="33">
        <v>5224</v>
      </c>
      <c r="C4685" s="3">
        <v>2970000</v>
      </c>
      <c r="D4685" s="3">
        <v>2090000</v>
      </c>
      <c r="E4685" s="7">
        <f t="shared" si="97"/>
        <v>880000</v>
      </c>
      <c r="F4685" s="5">
        <v>45924</v>
      </c>
      <c r="G4685" s="4">
        <v>20250923</v>
      </c>
      <c r="H4685" s="38" t="str">
        <f>VLOOKUP(B4685,CAJEROS!B:D,3,0)</f>
        <v>Multifuncional</v>
      </c>
      <c r="I4685" s="34" t="s">
        <v>9</v>
      </c>
      <c r="J4685" s="38" t="str">
        <f>VLOOKUP(B4685,CAJEROS!B:E,4,0)</f>
        <v>MF_TOBERIN</v>
      </c>
      <c r="K4685" t="s">
        <v>579</v>
      </c>
    </row>
    <row r="4686" spans="1:11">
      <c r="A4686" s="32">
        <v>191</v>
      </c>
      <c r="B4686" s="33">
        <v>5112</v>
      </c>
      <c r="C4686" s="3">
        <v>2722300</v>
      </c>
      <c r="D4686" s="3">
        <v>1150</v>
      </c>
      <c r="E4686" s="7">
        <f t="shared" si="97"/>
        <v>2721150</v>
      </c>
      <c r="F4686" s="5">
        <v>45924</v>
      </c>
      <c r="G4686" s="4">
        <v>20250923</v>
      </c>
      <c r="H4686" s="38" t="str">
        <f>VLOOKUP(B4686,CAJEROS!B:D,3,0)</f>
        <v>Multifuncional</v>
      </c>
      <c r="I4686" s="34" t="s">
        <v>9</v>
      </c>
      <c r="J4686" s="38" t="str">
        <f>VLOOKUP(B4686,CAJEROS!B:E,4,0)</f>
        <v>MF_AVENID19</v>
      </c>
      <c r="K4686" t="s">
        <v>579</v>
      </c>
    </row>
    <row r="4687" spans="1:11">
      <c r="A4687" s="32">
        <v>277</v>
      </c>
      <c r="B4687" s="33">
        <v>5021</v>
      </c>
      <c r="C4687" s="3">
        <v>2440000</v>
      </c>
      <c r="D4687" s="3">
        <v>330000</v>
      </c>
      <c r="E4687" s="7">
        <f t="shared" si="97"/>
        <v>2110000</v>
      </c>
      <c r="F4687" s="5">
        <v>45924</v>
      </c>
      <c r="G4687" s="4">
        <v>20250923</v>
      </c>
      <c r="H4687" s="38" t="str">
        <f>VLOOKUP(B4687,CAJEROS!B:D,3,0)</f>
        <v>Multifuncional</v>
      </c>
      <c r="I4687" s="34" t="s">
        <v>9</v>
      </c>
      <c r="J4687" s="38" t="str">
        <f>VLOOKUP(B4687,CAJEROS!B:E,4,0)</f>
        <v>MF_CCMAYOR1</v>
      </c>
      <c r="K4687" t="s">
        <v>579</v>
      </c>
    </row>
    <row r="4688" spans="1:11">
      <c r="A4688" s="32">
        <v>569</v>
      </c>
      <c r="B4688" s="33">
        <v>8129</v>
      </c>
      <c r="C4688" s="3">
        <v>2380000</v>
      </c>
      <c r="D4688" s="3">
        <v>1655000</v>
      </c>
      <c r="E4688" s="7">
        <f t="shared" si="97"/>
        <v>725000</v>
      </c>
      <c r="F4688" s="5">
        <v>45924</v>
      </c>
      <c r="G4688" s="4">
        <v>20250923</v>
      </c>
      <c r="H4688" s="38" t="str">
        <f>VLOOKUP(B4688,CAJEROS!B:D,3,0)</f>
        <v>Multifuncional</v>
      </c>
      <c r="I4688" s="34" t="s">
        <v>9</v>
      </c>
      <c r="J4688" s="38" t="str">
        <f>VLOOKUP(B4688,CAJEROS!B:E,4,0)</f>
        <v>MF_BUENMON2</v>
      </c>
      <c r="K4688" t="s">
        <v>579</v>
      </c>
    </row>
    <row r="4689" spans="1:11">
      <c r="A4689" s="32">
        <v>944</v>
      </c>
      <c r="B4689" s="33">
        <v>8354</v>
      </c>
      <c r="C4689" s="3">
        <v>2245000</v>
      </c>
      <c r="D4689" s="3"/>
      <c r="E4689" s="7">
        <f t="shared" si="97"/>
        <v>2245000</v>
      </c>
      <c r="F4689" s="5">
        <v>45924</v>
      </c>
      <c r="G4689" s="4">
        <v>20250923</v>
      </c>
      <c r="H4689" s="38" t="str">
        <f>VLOOKUP(B4689,CAJEROS!B:D,3,0)</f>
        <v>Multifuncional</v>
      </c>
      <c r="I4689" s="34" t="s">
        <v>9</v>
      </c>
      <c r="J4689" s="38" t="str">
        <f>VLOOKUP(B4689,CAJEROS!B:E,4,0)</f>
        <v>MF_SANTABO2</v>
      </c>
      <c r="K4689" t="s">
        <v>579</v>
      </c>
    </row>
    <row r="4690" spans="1:11">
      <c r="A4690" s="32">
        <v>451</v>
      </c>
      <c r="B4690" s="33">
        <v>9434</v>
      </c>
      <c r="C4690" s="3">
        <v>2000000</v>
      </c>
      <c r="D4690" s="3"/>
      <c r="E4690" s="7">
        <f t="shared" si="97"/>
        <v>2000000</v>
      </c>
      <c r="F4690" s="5">
        <v>45924</v>
      </c>
      <c r="G4690" s="4">
        <v>20250923</v>
      </c>
      <c r="H4690" s="38" t="str">
        <f>VLOOKUP(B4690,CAJEROS!B:D,3,0)</f>
        <v>Multifuncional</v>
      </c>
      <c r="I4690" s="34" t="s">
        <v>9</v>
      </c>
      <c r="J4690" s="38" t="str">
        <f>VLOOKUP(B4690,CAJEROS!B:E,4,0)</f>
        <v>MFPTOASIS1</v>
      </c>
      <c r="K4690" t="s">
        <v>579</v>
      </c>
    </row>
    <row r="4691" spans="1:11">
      <c r="A4691" s="32">
        <v>721</v>
      </c>
      <c r="B4691" s="33">
        <v>8897</v>
      </c>
      <c r="C4691" s="3">
        <v>1916000</v>
      </c>
      <c r="D4691" s="3"/>
      <c r="E4691" s="7">
        <f t="shared" si="97"/>
        <v>1916000</v>
      </c>
      <c r="F4691" s="5">
        <v>45924</v>
      </c>
      <c r="G4691" s="4">
        <v>20250923</v>
      </c>
      <c r="H4691" s="38" t="str">
        <f>VLOOKUP(B4691,CAJEROS!B:D,3,0)</f>
        <v>Multifuncional</v>
      </c>
      <c r="I4691" s="34" t="s">
        <v>9</v>
      </c>
      <c r="J4691" s="38" t="str">
        <f>VLOOKUP(B4691,CAJEROS!B:E,4,0)</f>
        <v>MFSUCLAGO2</v>
      </c>
      <c r="K4691" t="s">
        <v>579</v>
      </c>
    </row>
    <row r="4692" spans="1:11">
      <c r="A4692" s="32">
        <v>366</v>
      </c>
      <c r="B4692" s="33">
        <v>5132</v>
      </c>
      <c r="C4692" s="3">
        <v>1750000</v>
      </c>
      <c r="D4692" s="3">
        <v>358800</v>
      </c>
      <c r="E4692" s="7">
        <f t="shared" si="97"/>
        <v>1391200</v>
      </c>
      <c r="F4692" s="5">
        <v>45924</v>
      </c>
      <c r="G4692" s="4">
        <v>20250923</v>
      </c>
      <c r="H4692" s="38" t="str">
        <f>VLOOKUP(B4692,CAJEROS!B:D,3,0)</f>
        <v>Multifuncional</v>
      </c>
      <c r="I4692" s="34" t="s">
        <v>9</v>
      </c>
      <c r="J4692" s="38" t="str">
        <f>VLOOKUP(B4692,CAJEROS!B:E,4,0)</f>
        <v>MF_TERMTPTE</v>
      </c>
      <c r="K4692" t="s">
        <v>579</v>
      </c>
    </row>
    <row r="4693" spans="1:11">
      <c r="A4693" s="32">
        <v>253</v>
      </c>
      <c r="B4693" s="33">
        <v>5176</v>
      </c>
      <c r="C4693" s="3">
        <v>1685350</v>
      </c>
      <c r="D4693" s="3"/>
      <c r="E4693" s="7">
        <f t="shared" si="97"/>
        <v>1685350</v>
      </c>
      <c r="F4693" s="5">
        <v>45924</v>
      </c>
      <c r="G4693" s="4">
        <v>20250923</v>
      </c>
      <c r="H4693" s="38" t="str">
        <f>VLOOKUP(B4693,CAJEROS!B:D,3,0)</f>
        <v>Multifuncional</v>
      </c>
      <c r="I4693" s="34" t="s">
        <v>9</v>
      </c>
      <c r="J4693" s="38" t="str">
        <f>VLOOKUP(B4693,CAJEROS!B:E,4,0)</f>
        <v>MF_SPTANORT</v>
      </c>
      <c r="K4693" t="s">
        <v>579</v>
      </c>
    </row>
    <row r="4694" spans="1:11">
      <c r="A4694" s="32">
        <v>291</v>
      </c>
      <c r="B4694" s="33">
        <v>8139</v>
      </c>
      <c r="C4694" s="3">
        <v>1129000</v>
      </c>
      <c r="D4694" s="3"/>
      <c r="E4694" s="7">
        <f t="shared" ref="E4694:E4757" si="98">+C4694-D4694</f>
        <v>1129000</v>
      </c>
      <c r="F4694" s="5">
        <v>45924</v>
      </c>
      <c r="G4694" s="4">
        <v>20250923</v>
      </c>
      <c r="H4694" s="38" t="str">
        <f>VLOOKUP(B4694,CAJEROS!B:D,3,0)</f>
        <v>Multifuncional</v>
      </c>
      <c r="I4694" s="34" t="s">
        <v>9</v>
      </c>
      <c r="J4694" s="38" t="str">
        <f>VLOOKUP(B4694,CAJEROS!B:E,4,0)</f>
        <v>MF_LPALMAS2</v>
      </c>
      <c r="K4694" t="s">
        <v>579</v>
      </c>
    </row>
    <row r="4695" spans="1:11">
      <c r="A4695" s="32">
        <v>481</v>
      </c>
      <c r="B4695" s="33">
        <v>1011</v>
      </c>
      <c r="C4695" s="3">
        <v>800000</v>
      </c>
      <c r="D4695" s="3"/>
      <c r="E4695" s="7">
        <f t="shared" si="98"/>
        <v>800000</v>
      </c>
      <c r="F4695" s="5">
        <v>45924</v>
      </c>
      <c r="G4695" s="4">
        <v>20250923</v>
      </c>
      <c r="H4695" s="38" t="str">
        <f>VLOOKUP(B4695,CAJEROS!B:D,3,0)</f>
        <v>Multifuncional</v>
      </c>
      <c r="I4695" s="34" t="s">
        <v>9</v>
      </c>
      <c r="J4695" s="38" t="str">
        <f>VLOOKUP(B4695,CAJEROS!B:E,4,0)</f>
        <v>MF_SOLEDAD2</v>
      </c>
      <c r="K4695" t="s">
        <v>579</v>
      </c>
    </row>
    <row r="4696" spans="1:11">
      <c r="A4696" s="32">
        <v>4</v>
      </c>
      <c r="B4696" s="33">
        <v>8631</v>
      </c>
      <c r="C4696" s="3">
        <v>670000</v>
      </c>
      <c r="D4696" s="3">
        <v>218600</v>
      </c>
      <c r="E4696" s="7">
        <f t="shared" si="98"/>
        <v>451400</v>
      </c>
      <c r="F4696" s="5">
        <v>45924</v>
      </c>
      <c r="G4696" s="4">
        <v>20250923</v>
      </c>
      <c r="H4696" s="38" t="str">
        <f>VLOOKUP(B4696,CAJEROS!B:D,3,0)</f>
        <v>Multifuncional</v>
      </c>
      <c r="I4696" s="34" t="s">
        <v>9</v>
      </c>
      <c r="J4696" s="38" t="str">
        <f>VLOOKUP(B4696,CAJEROS!B:E,4,0)</f>
        <v>MF_SUCLAUR2</v>
      </c>
      <c r="K4696" t="s">
        <v>579</v>
      </c>
    </row>
    <row r="4697" spans="1:11">
      <c r="A4697" s="32">
        <v>244</v>
      </c>
      <c r="B4697" s="33">
        <v>5129</v>
      </c>
      <c r="C4697" s="3">
        <v>630000</v>
      </c>
      <c r="D4697" s="3"/>
      <c r="E4697" s="7">
        <f t="shared" si="98"/>
        <v>630000</v>
      </c>
      <c r="F4697" s="5">
        <v>45924</v>
      </c>
      <c r="G4697" s="4">
        <v>20250923</v>
      </c>
      <c r="H4697" s="38" t="str">
        <f>VLOOKUP(B4697,CAJEROS!B:D,3,0)</f>
        <v>Multifuncional</v>
      </c>
      <c r="I4697" s="34" t="s">
        <v>9</v>
      </c>
      <c r="J4697" s="38" t="str">
        <f>VLOOKUP(B4697,CAJEROS!B:E,4,0)</f>
        <v>MF_TRIGALAN</v>
      </c>
      <c r="K4697" t="s">
        <v>579</v>
      </c>
    </row>
    <row r="4698" spans="1:11">
      <c r="A4698" s="32">
        <v>944</v>
      </c>
      <c r="B4698" s="33">
        <v>8353</v>
      </c>
      <c r="C4698" s="3">
        <v>605000</v>
      </c>
      <c r="D4698" s="3"/>
      <c r="E4698" s="7">
        <f t="shared" si="98"/>
        <v>605000</v>
      </c>
      <c r="F4698" s="5">
        <v>45924</v>
      </c>
      <c r="G4698" s="4">
        <v>20250923</v>
      </c>
      <c r="H4698" s="38" t="str">
        <f>VLOOKUP(B4698,CAJEROS!B:D,3,0)</f>
        <v>Multifuncional</v>
      </c>
      <c r="I4698" s="34" t="s">
        <v>9</v>
      </c>
      <c r="J4698" s="38" t="str">
        <f>VLOOKUP(B4698,CAJEROS!B:E,4,0)</f>
        <v>MF_SANTABO1</v>
      </c>
      <c r="K4698" t="s">
        <v>579</v>
      </c>
    </row>
    <row r="4699" spans="1:11">
      <c r="A4699" s="32">
        <v>481</v>
      </c>
      <c r="B4699" s="33">
        <v>1010</v>
      </c>
      <c r="C4699" s="3">
        <v>500000</v>
      </c>
      <c r="D4699" s="3"/>
      <c r="E4699" s="7">
        <f t="shared" si="98"/>
        <v>500000</v>
      </c>
      <c r="F4699" s="5">
        <v>45924</v>
      </c>
      <c r="G4699" s="4">
        <v>20250923</v>
      </c>
      <c r="H4699" s="38" t="str">
        <f>VLOOKUP(B4699,CAJEROS!B:D,3,0)</f>
        <v>Multifuncional</v>
      </c>
      <c r="I4699" s="34" t="s">
        <v>9</v>
      </c>
      <c r="J4699" s="38" t="str">
        <f>VLOOKUP(B4699,CAJEROS!B:E,4,0)</f>
        <v>MF_SOLEDAD1</v>
      </c>
      <c r="K4699" t="s">
        <v>579</v>
      </c>
    </row>
    <row r="4700" spans="1:11">
      <c r="A4700" s="32">
        <v>31</v>
      </c>
      <c r="B4700" s="33">
        <v>8737</v>
      </c>
      <c r="C4700" s="3">
        <v>490000</v>
      </c>
      <c r="D4700" s="3"/>
      <c r="E4700" s="7">
        <f t="shared" si="98"/>
        <v>490000</v>
      </c>
      <c r="F4700" s="5">
        <v>45924</v>
      </c>
      <c r="G4700" s="4">
        <v>20250923</v>
      </c>
      <c r="H4700" s="38" t="str">
        <f>VLOOKUP(B4700,CAJEROS!B:D,3,0)</f>
        <v>Multifuncional</v>
      </c>
      <c r="I4700" s="34" t="s">
        <v>9</v>
      </c>
      <c r="J4700" s="38" t="str">
        <f>VLOOKUP(B4700,CAJEROS!B:E,4,0)</f>
        <v>MF_SUCEINT1</v>
      </c>
      <c r="K4700" t="s">
        <v>579</v>
      </c>
    </row>
    <row r="4701" spans="1:11">
      <c r="A4701" s="32">
        <v>79</v>
      </c>
      <c r="B4701" s="33">
        <v>6245</v>
      </c>
      <c r="C4701" s="3">
        <v>385000</v>
      </c>
      <c r="D4701" s="3">
        <f>220000+100000</f>
        <v>320000</v>
      </c>
      <c r="E4701" s="7">
        <f t="shared" si="98"/>
        <v>65000</v>
      </c>
      <c r="F4701" s="5">
        <v>45924</v>
      </c>
      <c r="G4701" s="4">
        <v>20250923</v>
      </c>
      <c r="H4701" s="38" t="str">
        <f>VLOOKUP(B4701,CAJEROS!B:D,3,0)</f>
        <v>Multifuncional</v>
      </c>
      <c r="I4701" s="34" t="s">
        <v>9</v>
      </c>
      <c r="J4701" s="38" t="str">
        <f>VLOOKUP(B4701,CAJEROS!B:E,4,0)</f>
        <v>MF_LAQUINTA</v>
      </c>
      <c r="K4701" t="s">
        <v>579</v>
      </c>
    </row>
    <row r="4702" spans="1:11">
      <c r="A4702" s="32">
        <v>601</v>
      </c>
      <c r="B4702" s="33">
        <v>6407</v>
      </c>
      <c r="C4702" s="3">
        <v>312000</v>
      </c>
      <c r="D4702" s="3"/>
      <c r="E4702" s="7">
        <f t="shared" si="98"/>
        <v>312000</v>
      </c>
      <c r="F4702" s="5">
        <v>45924</v>
      </c>
      <c r="G4702" s="4">
        <v>20250923</v>
      </c>
      <c r="H4702" s="38" t="str">
        <f>VLOOKUP(B4702,CAJEROS!B:D,3,0)</f>
        <v>Multifuncional</v>
      </c>
      <c r="I4702" s="34" t="s">
        <v>9</v>
      </c>
      <c r="J4702" s="38" t="str">
        <f>VLOOKUP(B4702,CAJEROS!B:E,4,0)</f>
        <v>MF_COLINACA</v>
      </c>
      <c r="K4702" t="s">
        <v>579</v>
      </c>
    </row>
    <row r="4703" spans="1:11">
      <c r="A4703" s="32">
        <v>769</v>
      </c>
      <c r="B4703" s="33">
        <v>5051</v>
      </c>
      <c r="C4703" s="3">
        <v>270000</v>
      </c>
      <c r="D4703" s="3"/>
      <c r="E4703" s="7">
        <f t="shared" si="98"/>
        <v>270000</v>
      </c>
      <c r="F4703" s="5">
        <v>45924</v>
      </c>
      <c r="G4703" s="4">
        <v>20250923</v>
      </c>
      <c r="H4703" s="38" t="str">
        <f>VLOOKUP(B4703,CAJEROS!B:D,3,0)</f>
        <v>Multifuncional</v>
      </c>
      <c r="I4703" s="34" t="s">
        <v>9</v>
      </c>
      <c r="J4703" s="38" t="str">
        <f>VLOOKUP(B4703,CAJEROS!B:E,4,0)</f>
        <v>MF_SUCPPRA2</v>
      </c>
      <c r="K4703" t="s">
        <v>579</v>
      </c>
    </row>
    <row r="4704" spans="1:11">
      <c r="A4704" s="32">
        <v>167</v>
      </c>
      <c r="B4704" s="33">
        <v>5030</v>
      </c>
      <c r="C4704" s="3">
        <v>202600</v>
      </c>
      <c r="D4704" s="3"/>
      <c r="E4704" s="7">
        <f t="shared" si="98"/>
        <v>202600</v>
      </c>
      <c r="F4704" s="5">
        <v>45924</v>
      </c>
      <c r="G4704" s="4">
        <v>20250923</v>
      </c>
      <c r="H4704" s="38" t="str">
        <f>VLOOKUP(B4704,CAJEROS!B:D,3,0)</f>
        <v>Multifuncional</v>
      </c>
      <c r="I4704" s="34" t="s">
        <v>9</v>
      </c>
      <c r="J4704" s="38" t="str">
        <f>VLOOKUP(B4704,CAJEROS!B:E,4,0)</f>
        <v>MF_AVENID82</v>
      </c>
      <c r="K4704" t="s">
        <v>579</v>
      </c>
    </row>
    <row r="4705" spans="1:11">
      <c r="A4705" s="32">
        <v>721</v>
      </c>
      <c r="B4705" s="33">
        <v>8896</v>
      </c>
      <c r="C4705" s="3">
        <v>175500</v>
      </c>
      <c r="D4705" s="3"/>
      <c r="E4705" s="7">
        <f t="shared" si="98"/>
        <v>175500</v>
      </c>
      <c r="F4705" s="5">
        <v>45924</v>
      </c>
      <c r="G4705" s="4">
        <v>20250923</v>
      </c>
      <c r="H4705" s="38" t="str">
        <f>VLOOKUP(B4705,CAJEROS!B:D,3,0)</f>
        <v>Multifuncional</v>
      </c>
      <c r="I4705" s="34" t="s">
        <v>9</v>
      </c>
      <c r="J4705" s="38" t="str">
        <f>VLOOKUP(B4705,CAJEROS!B:E,4,0)</f>
        <v>MFSUCLAGO1</v>
      </c>
      <c r="K4705" t="s">
        <v>579</v>
      </c>
    </row>
    <row r="4706" spans="1:11">
      <c r="A4706" s="32">
        <v>750</v>
      </c>
      <c r="B4706" s="33">
        <v>5157</v>
      </c>
      <c r="C4706" s="3">
        <v>175000</v>
      </c>
      <c r="D4706" s="3"/>
      <c r="E4706" s="7">
        <f t="shared" si="98"/>
        <v>175000</v>
      </c>
      <c r="F4706" s="5">
        <v>45924</v>
      </c>
      <c r="G4706" s="4">
        <v>20250923</v>
      </c>
      <c r="H4706" s="38" t="str">
        <f>VLOOKUP(B4706,CAJEROS!B:D,3,0)</f>
        <v>Multifuncional</v>
      </c>
      <c r="I4706" s="34" t="s">
        <v>9</v>
      </c>
      <c r="J4706" s="38" t="str">
        <f>VLOOKUP(B4706,CAJEROS!B:E,4,0)</f>
        <v>MF_AVROOSVL</v>
      </c>
      <c r="K4706" t="s">
        <v>579</v>
      </c>
    </row>
    <row r="4707" spans="1:11">
      <c r="A4707" s="32">
        <v>916</v>
      </c>
      <c r="B4707" s="33">
        <v>5052</v>
      </c>
      <c r="C4707" s="3">
        <v>165000</v>
      </c>
      <c r="D4707" s="3"/>
      <c r="E4707" s="7">
        <f t="shared" si="98"/>
        <v>165000</v>
      </c>
      <c r="F4707" s="5">
        <v>45924</v>
      </c>
      <c r="G4707" s="4">
        <v>20250923</v>
      </c>
      <c r="H4707" s="38" t="str">
        <f>VLOOKUP(B4707,CAJEROS!B:D,3,0)</f>
        <v>Multifuncional</v>
      </c>
      <c r="I4707" s="34" t="s">
        <v>9</v>
      </c>
      <c r="J4707" s="38" t="str">
        <f>VLOOKUP(B4707,CAJEROS!B:E,4,0)</f>
        <v>MF_OCEANMAL</v>
      </c>
      <c r="K4707" t="s">
        <v>579</v>
      </c>
    </row>
    <row r="4708" spans="1:11">
      <c r="A4708" s="32">
        <v>60</v>
      </c>
      <c r="B4708" s="33">
        <v>8729</v>
      </c>
      <c r="C4708" s="3">
        <v>140000</v>
      </c>
      <c r="D4708" s="3"/>
      <c r="E4708" s="7">
        <f t="shared" si="98"/>
        <v>140000</v>
      </c>
      <c r="F4708" s="5">
        <v>45924</v>
      </c>
      <c r="G4708" s="4">
        <v>20250923</v>
      </c>
      <c r="H4708" s="38" t="str">
        <f>VLOOKUP(B4708,CAJEROS!B:D,3,0)</f>
        <v>Multifuncional</v>
      </c>
      <c r="I4708" s="34" t="s">
        <v>9</v>
      </c>
      <c r="J4708" s="38" t="str">
        <f>VLOOKUP(B4708,CAJEROS!B:E,4,0)</f>
        <v>MF_HCALIPR3</v>
      </c>
      <c r="K4708" t="s">
        <v>579</v>
      </c>
    </row>
    <row r="4709" spans="1:11">
      <c r="A4709" s="32">
        <v>779</v>
      </c>
      <c r="B4709" s="33">
        <v>5013</v>
      </c>
      <c r="C4709" s="3">
        <v>125000</v>
      </c>
      <c r="D4709" s="3"/>
      <c r="E4709" s="7">
        <f t="shared" si="98"/>
        <v>125000</v>
      </c>
      <c r="F4709" s="5">
        <v>45924</v>
      </c>
      <c r="G4709" s="4">
        <v>20250923</v>
      </c>
      <c r="H4709" s="38" t="str">
        <f>VLOOKUP(B4709,CAJEROS!B:D,3,0)</f>
        <v>Multifuncional</v>
      </c>
      <c r="I4709" s="34" t="s">
        <v>9</v>
      </c>
      <c r="J4709" s="38" t="str">
        <f>VLOOKUP(B4709,CAJEROS!B:E,4,0)</f>
        <v>MF_BUENASM1</v>
      </c>
      <c r="K4709" t="s">
        <v>579</v>
      </c>
    </row>
    <row r="4710" spans="1:11">
      <c r="A4710" s="32">
        <v>331</v>
      </c>
      <c r="B4710" s="33">
        <v>575</v>
      </c>
      <c r="C4710" s="3">
        <v>85000</v>
      </c>
      <c r="D4710" s="3"/>
      <c r="E4710" s="7">
        <f t="shared" si="98"/>
        <v>85000</v>
      </c>
      <c r="F4710" s="5">
        <v>45924</v>
      </c>
      <c r="G4710" s="4">
        <v>20250923</v>
      </c>
      <c r="H4710" s="38" t="str">
        <f>VLOOKUP(B4710,CAJEROS!B:D,3,0)</f>
        <v>Multifuncional</v>
      </c>
      <c r="I4710" s="34" t="s">
        <v>9</v>
      </c>
      <c r="J4710" s="38" t="str">
        <f>VLOOKUP(B4710,CAJEROS!B:E,4,0)</f>
        <v>MF_SUCARKA2</v>
      </c>
      <c r="K4710" t="s">
        <v>579</v>
      </c>
    </row>
    <row r="4711" spans="1:11">
      <c r="A4711" s="32">
        <v>844</v>
      </c>
      <c r="B4711" s="33">
        <v>6169</v>
      </c>
      <c r="C4711" s="3">
        <v>80200</v>
      </c>
      <c r="D4711" s="3"/>
      <c r="E4711" s="7">
        <f t="shared" si="98"/>
        <v>80200</v>
      </c>
      <c r="F4711" s="5">
        <v>45924</v>
      </c>
      <c r="G4711" s="4">
        <v>20250923</v>
      </c>
      <c r="H4711" s="38" t="str">
        <f>VLOOKUP(B4711,CAJEROS!B:D,3,0)</f>
        <v>Multifuncional</v>
      </c>
      <c r="I4711" s="34" t="s">
        <v>9</v>
      </c>
      <c r="J4711" s="38" t="str">
        <f>VLOOKUP(B4711,CAJEROS!B:E,4,0)</f>
        <v>MF_PRIMAVRA</v>
      </c>
      <c r="K4711" t="s">
        <v>579</v>
      </c>
    </row>
    <row r="4712" spans="1:11">
      <c r="A4712" s="32">
        <v>332</v>
      </c>
      <c r="B4712" s="33">
        <v>7569</v>
      </c>
      <c r="C4712" s="3">
        <v>70000</v>
      </c>
      <c r="D4712" s="3"/>
      <c r="E4712" s="7">
        <f t="shared" si="98"/>
        <v>70000</v>
      </c>
      <c r="F4712" s="5">
        <v>45924</v>
      </c>
      <c r="G4712" s="4">
        <v>20250923</v>
      </c>
      <c r="H4712" s="38" t="str">
        <f>VLOOKUP(B4712,CAJEROS!B:D,3,0)</f>
        <v>Multifuncional</v>
      </c>
      <c r="I4712" s="34" t="s">
        <v>9</v>
      </c>
      <c r="J4712" s="38" t="str">
        <f>VLOOKUP(B4712,CAJEROS!B:E,4,0)</f>
        <v>MF_ZIPAQUI2</v>
      </c>
      <c r="K4712" t="s">
        <v>579</v>
      </c>
    </row>
    <row r="4713" spans="1:11">
      <c r="A4713" s="32">
        <v>584</v>
      </c>
      <c r="B4713" s="33">
        <v>6874</v>
      </c>
      <c r="C4713" s="3">
        <v>20000</v>
      </c>
      <c r="D4713" s="3">
        <v>10000</v>
      </c>
      <c r="E4713" s="7">
        <f t="shared" si="98"/>
        <v>10000</v>
      </c>
      <c r="F4713" s="5">
        <v>45924</v>
      </c>
      <c r="G4713" s="4">
        <v>20250923</v>
      </c>
      <c r="H4713" s="38" t="str">
        <f>VLOOKUP(B4713,CAJEROS!B:D,3,0)</f>
        <v>Dispensador</v>
      </c>
      <c r="I4713" s="34" t="s">
        <v>10</v>
      </c>
      <c r="J4713" s="38" t="str">
        <f>VLOOKUP(B4713,CAJEROS!B:E,4,0)</f>
        <v>HALLCHIGOR2</v>
      </c>
      <c r="K4713" t="s">
        <v>579</v>
      </c>
    </row>
    <row r="4714" spans="1:11">
      <c r="A4714" s="32">
        <v>677</v>
      </c>
      <c r="B4714" s="33">
        <v>5835</v>
      </c>
      <c r="C4714" s="3">
        <v>20000</v>
      </c>
      <c r="D4714" s="3"/>
      <c r="E4714" s="7">
        <f t="shared" si="98"/>
        <v>20000</v>
      </c>
      <c r="F4714" s="5">
        <v>45924</v>
      </c>
      <c r="G4714" s="4">
        <v>20250923</v>
      </c>
      <c r="H4714" s="38" t="str">
        <f>VLOOKUP(B4714,CAJEROS!B:D,3,0)</f>
        <v>Dispensador</v>
      </c>
      <c r="I4714" s="34" t="s">
        <v>10</v>
      </c>
      <c r="J4714" s="38" t="str">
        <f>VLOOKUP(B4714,CAJEROS!B:E,4,0)</f>
        <v>SUCPLZMERCA</v>
      </c>
      <c r="K4714" t="s">
        <v>579</v>
      </c>
    </row>
    <row r="4715" spans="1:11">
      <c r="A4715" s="32">
        <v>716</v>
      </c>
      <c r="B4715" s="33">
        <v>4597</v>
      </c>
      <c r="C4715" s="3">
        <v>20000</v>
      </c>
      <c r="D4715" s="3"/>
      <c r="E4715" s="7">
        <f t="shared" si="98"/>
        <v>20000</v>
      </c>
      <c r="F4715" s="5">
        <v>45924</v>
      </c>
      <c r="G4715" s="4">
        <v>20250923</v>
      </c>
      <c r="H4715" s="38" t="str">
        <f>VLOOKUP(B4715,CAJEROS!B:D,3,0)</f>
        <v>Dispensador</v>
      </c>
      <c r="I4715" s="34" t="s">
        <v>10</v>
      </c>
      <c r="J4715" s="38" t="str">
        <f>VLOOKUP(B4715,CAJEROS!B:E,4,0)</f>
        <v>SUC_AVCANA4</v>
      </c>
      <c r="K4715" t="s">
        <v>579</v>
      </c>
    </row>
    <row r="4716" spans="1:11">
      <c r="A4716" s="32">
        <v>866</v>
      </c>
      <c r="B4716" s="33">
        <v>8662</v>
      </c>
      <c r="C4716" s="3">
        <v>20000</v>
      </c>
      <c r="D4716" s="3"/>
      <c r="E4716" s="7">
        <f t="shared" si="98"/>
        <v>20000</v>
      </c>
      <c r="F4716" s="5">
        <v>45924</v>
      </c>
      <c r="G4716" s="4">
        <v>20250923</v>
      </c>
      <c r="H4716" s="38" t="str">
        <f>VLOOKUP(B4716,CAJEROS!B:D,3,0)</f>
        <v>Multifuncional</v>
      </c>
      <c r="I4716" s="34" t="s">
        <v>10</v>
      </c>
      <c r="J4716" s="38" t="str">
        <f>VLOOKUP(B4716,CAJEROS!B:E,4,0)</f>
        <v>MF_FLORID3</v>
      </c>
      <c r="K4716" t="s">
        <v>579</v>
      </c>
    </row>
    <row r="4717" spans="1:11">
      <c r="A4717" s="32">
        <v>876</v>
      </c>
      <c r="B4717" s="33">
        <v>9682</v>
      </c>
      <c r="C4717" s="3">
        <v>5000</v>
      </c>
      <c r="D4717" s="3"/>
      <c r="E4717" s="7">
        <f t="shared" si="98"/>
        <v>5000</v>
      </c>
      <c r="F4717" s="5">
        <v>45923</v>
      </c>
      <c r="G4717" s="4">
        <v>20250916</v>
      </c>
      <c r="H4717" s="38" t="str">
        <f>VLOOKUP(B4717,CAJEROS!B:D,3,0)</f>
        <v>Multifuncional</v>
      </c>
      <c r="I4717" s="34"/>
      <c r="J4717" s="38" t="str">
        <f>VLOOKUP(B4717,CAJEROS!B:E,4,0)</f>
        <v>MF_VILCAM1</v>
      </c>
      <c r="K4717" t="s">
        <v>579</v>
      </c>
    </row>
    <row r="4718" spans="1:11">
      <c r="A4718" s="32">
        <v>108</v>
      </c>
      <c r="B4718" s="33">
        <v>2254</v>
      </c>
      <c r="C4718" s="3">
        <v>82000</v>
      </c>
      <c r="D4718" s="3"/>
      <c r="E4718" s="7">
        <f t="shared" si="98"/>
        <v>82000</v>
      </c>
      <c r="F4718" s="5">
        <v>45925</v>
      </c>
      <c r="G4718" s="4">
        <v>20250924</v>
      </c>
      <c r="H4718" s="38" t="str">
        <f>VLOOKUP(B4718,CAJEROS!B:D,3,0)</f>
        <v>Multifuncional</v>
      </c>
      <c r="I4718" s="34"/>
      <c r="J4718" s="38" t="str">
        <f>VLOOKUP(B4718,CAJEROS!B:E,4,0)</f>
        <v>MFSUCPAMER2</v>
      </c>
      <c r="K4718" t="s">
        <v>579</v>
      </c>
    </row>
    <row r="4719" spans="1:11">
      <c r="A4719" s="32">
        <v>191</v>
      </c>
      <c r="B4719" s="33">
        <v>5112</v>
      </c>
      <c r="C4719" s="3">
        <v>7277700</v>
      </c>
      <c r="D4719" s="3"/>
      <c r="E4719" s="7">
        <f t="shared" si="98"/>
        <v>7277700</v>
      </c>
      <c r="F4719" s="5">
        <v>45925</v>
      </c>
      <c r="G4719" s="4">
        <v>20250924</v>
      </c>
      <c r="H4719" s="38" t="str">
        <f>VLOOKUP(B4719,CAJEROS!B:D,3,0)</f>
        <v>Multifuncional</v>
      </c>
      <c r="I4719" s="34"/>
      <c r="J4719" s="38" t="str">
        <f>VLOOKUP(B4719,CAJEROS!B:E,4,0)</f>
        <v>MF_AVENID19</v>
      </c>
      <c r="K4719" t="s">
        <v>579</v>
      </c>
    </row>
    <row r="4720" spans="1:11">
      <c r="A4720" s="32">
        <v>193</v>
      </c>
      <c r="B4720" s="33">
        <v>8537</v>
      </c>
      <c r="C4720" s="3">
        <v>6760000</v>
      </c>
      <c r="D4720" s="3">
        <v>5876300</v>
      </c>
      <c r="E4720" s="7">
        <f t="shared" si="98"/>
        <v>883700</v>
      </c>
      <c r="F4720" s="5">
        <v>45925</v>
      </c>
      <c r="G4720" s="4">
        <v>20250924</v>
      </c>
      <c r="H4720" s="38" t="str">
        <f>VLOOKUP(B4720,CAJEROS!B:D,3,0)</f>
        <v>Multifuncional</v>
      </c>
      <c r="I4720" s="34"/>
      <c r="J4720" s="38" t="str">
        <f>VLOOKUP(B4720,CAJEROS!B:E,4,0)</f>
        <v>MF_HSUCFIC1</v>
      </c>
      <c r="K4720" t="s">
        <v>579</v>
      </c>
    </row>
    <row r="4721" spans="1:11">
      <c r="A4721" s="32">
        <v>225</v>
      </c>
      <c r="B4721" s="33">
        <v>8868</v>
      </c>
      <c r="C4721" s="3">
        <v>26161000</v>
      </c>
      <c r="D4721" s="3">
        <f>3216250+8808200</f>
        <v>12024450</v>
      </c>
      <c r="E4721" s="7">
        <f t="shared" si="98"/>
        <v>14136550</v>
      </c>
      <c r="F4721" s="5">
        <v>45925</v>
      </c>
      <c r="G4721" s="4">
        <v>20250924</v>
      </c>
      <c r="H4721" s="38" t="str">
        <f>VLOOKUP(B4721,CAJEROS!B:D,3,0)</f>
        <v>Multifuncional</v>
      </c>
      <c r="I4721" s="34"/>
      <c r="J4721" s="38" t="str">
        <f>VLOOKUP(B4721,CAJEROS!B:E,4,0)</f>
        <v>MF_SMPLNQS1</v>
      </c>
      <c r="K4721" t="s">
        <v>579</v>
      </c>
    </row>
    <row r="4722" spans="1:11">
      <c r="A4722" s="32">
        <v>318</v>
      </c>
      <c r="B4722" s="33">
        <v>7680</v>
      </c>
      <c r="C4722" s="3">
        <v>10000</v>
      </c>
      <c r="D4722" s="3"/>
      <c r="E4722" s="7">
        <f t="shared" si="98"/>
        <v>10000</v>
      </c>
      <c r="F4722" s="5">
        <v>45925</v>
      </c>
      <c r="G4722" s="4">
        <v>20250924</v>
      </c>
      <c r="H4722" s="38" t="str">
        <f>VLOOKUP(B4722,CAJEROS!B:D,3,0)</f>
        <v>Multifuncional</v>
      </c>
      <c r="I4722" s="34"/>
      <c r="J4722" s="38" t="str">
        <f>VLOOKUP(B4722,CAJEROS!B:E,4,0)</f>
        <v>MF_OCANA2</v>
      </c>
      <c r="K4722" t="s">
        <v>579</v>
      </c>
    </row>
    <row r="4723" spans="1:11">
      <c r="A4723" s="32">
        <v>363</v>
      </c>
      <c r="B4723" s="33">
        <v>5168</v>
      </c>
      <c r="C4723" s="3">
        <v>32000</v>
      </c>
      <c r="D4723" s="3"/>
      <c r="E4723" s="7">
        <f t="shared" si="98"/>
        <v>32000</v>
      </c>
      <c r="F4723" s="5">
        <v>45925</v>
      </c>
      <c r="G4723" s="4">
        <v>20250924</v>
      </c>
      <c r="H4723" s="38" t="str">
        <f>VLOOKUP(B4723,CAJEROS!B:D,3,0)</f>
        <v>Multifuncional</v>
      </c>
      <c r="I4723" s="34"/>
      <c r="J4723" s="38" t="str">
        <f>VLOOKUP(B4723,CAJEROS!B:E,4,0)</f>
        <v>MF_YOPAL</v>
      </c>
      <c r="K4723" t="s">
        <v>579</v>
      </c>
    </row>
    <row r="4724" spans="1:11">
      <c r="A4724" s="32">
        <v>389</v>
      </c>
      <c r="B4724" s="33">
        <v>7327</v>
      </c>
      <c r="C4724" s="3">
        <v>10000</v>
      </c>
      <c r="D4724" s="3"/>
      <c r="E4724" s="7">
        <f t="shared" si="98"/>
        <v>10000</v>
      </c>
      <c r="F4724" s="5">
        <v>45925</v>
      </c>
      <c r="G4724" s="4">
        <v>20250924</v>
      </c>
      <c r="H4724" s="38" t="str">
        <f>VLOOKUP(B4724,CAJEROS!B:D,3,0)</f>
        <v>Multifuncional</v>
      </c>
      <c r="I4724" s="34"/>
      <c r="J4724" s="38" t="str">
        <f>VLOOKUP(B4724,CAJEROS!B:E,4,0)</f>
        <v>MF_MARIQUIT</v>
      </c>
      <c r="K4724" t="s">
        <v>579</v>
      </c>
    </row>
    <row r="4725" spans="1:11">
      <c r="A4725" s="32">
        <v>554</v>
      </c>
      <c r="B4725" s="33">
        <v>8294</v>
      </c>
      <c r="C4725" s="3">
        <v>21400000</v>
      </c>
      <c r="D4725" s="3"/>
      <c r="E4725" s="7">
        <f t="shared" si="98"/>
        <v>21400000</v>
      </c>
      <c r="F4725" s="5">
        <v>45925</v>
      </c>
      <c r="G4725" s="4">
        <v>20250924</v>
      </c>
      <c r="H4725" s="38" t="str">
        <f>VLOOKUP(B4725,CAJEROS!B:D,3,0)</f>
        <v>Multifuncional</v>
      </c>
      <c r="I4725" s="34"/>
      <c r="J4725" s="38" t="str">
        <f>VLOOKUP(B4725,CAJEROS!B:E,4,0)</f>
        <v>MF_SBUVIII1</v>
      </c>
      <c r="K4725" t="s">
        <v>579</v>
      </c>
    </row>
    <row r="4726" spans="1:11">
      <c r="A4726" s="32">
        <v>60</v>
      </c>
      <c r="B4726" s="33">
        <v>8726</v>
      </c>
      <c r="C4726" s="3">
        <v>500000</v>
      </c>
      <c r="D4726" s="3"/>
      <c r="E4726" s="7">
        <f t="shared" si="98"/>
        <v>500000</v>
      </c>
      <c r="F4726" s="5">
        <v>45925</v>
      </c>
      <c r="G4726" s="4">
        <v>20250924</v>
      </c>
      <c r="H4726" s="38" t="str">
        <f>VLOOKUP(B4726,CAJEROS!B:D,3,0)</f>
        <v>Dispensador</v>
      </c>
      <c r="I4726" s="34"/>
      <c r="J4726" s="38" t="str">
        <f>VLOOKUP(B4726,CAJEROS!B:E,4,0)</f>
        <v>HALLCALIPR8</v>
      </c>
      <c r="K4726" t="s">
        <v>579</v>
      </c>
    </row>
    <row r="4727" spans="1:11">
      <c r="A4727" s="32">
        <v>108</v>
      </c>
      <c r="B4727" s="33">
        <v>2042</v>
      </c>
      <c r="C4727" s="3">
        <v>2700000</v>
      </c>
      <c r="D4727" s="3"/>
      <c r="E4727" s="7">
        <f t="shared" si="98"/>
        <v>2700000</v>
      </c>
      <c r="F4727" s="5">
        <v>45925</v>
      </c>
      <c r="G4727" s="4">
        <v>20250924</v>
      </c>
      <c r="H4727" s="38" t="str">
        <f>VLOOKUP(B4727,CAJEROS!B:D,3,0)</f>
        <v>Dispensador</v>
      </c>
      <c r="I4727" s="34"/>
      <c r="J4727" s="38" t="str">
        <f>VLOOKUP(B4727,CAJEROS!B:E,4,0)</f>
        <v>SUCPLZAMER5</v>
      </c>
      <c r="K4727" t="s">
        <v>579</v>
      </c>
    </row>
    <row r="4728" spans="1:11">
      <c r="A4728" s="32">
        <v>225</v>
      </c>
      <c r="B4728" s="33">
        <v>8866</v>
      </c>
      <c r="C4728" s="3">
        <v>1140000</v>
      </c>
      <c r="D4728" s="3">
        <v>440000</v>
      </c>
      <c r="E4728" s="7">
        <f t="shared" si="98"/>
        <v>700000</v>
      </c>
      <c r="F4728" s="5">
        <v>45925</v>
      </c>
      <c r="G4728" s="4">
        <v>20250924</v>
      </c>
      <c r="H4728" s="38" t="str">
        <f>VLOOKUP(B4728,CAJEROS!B:D,3,0)</f>
        <v>Dispensador</v>
      </c>
      <c r="I4728" s="34"/>
      <c r="J4728" s="38" t="str">
        <f>VLOOKUP(B4728,CAJEROS!B:E,4,0)</f>
        <v>SMALPLANQS4</v>
      </c>
      <c r="K4728" t="s">
        <v>579</v>
      </c>
    </row>
    <row r="4729" spans="1:11">
      <c r="A4729" s="32">
        <v>305</v>
      </c>
      <c r="B4729" s="33">
        <v>3278</v>
      </c>
      <c r="C4729" s="3">
        <v>100000</v>
      </c>
      <c r="D4729" s="3"/>
      <c r="E4729" s="7">
        <f t="shared" si="98"/>
        <v>100000</v>
      </c>
      <c r="F4729" s="5">
        <v>45925</v>
      </c>
      <c r="G4729" s="4">
        <v>20250924</v>
      </c>
      <c r="H4729" s="38" t="str">
        <f>VLOOKUP(B4729,CAJEROS!B:D,3,0)</f>
        <v>Dispensador</v>
      </c>
      <c r="I4729" s="34"/>
      <c r="J4729" s="38" t="str">
        <f>VLOOKUP(B4729,CAJEROS!B:E,4,0)</f>
        <v>VILLACASAN1</v>
      </c>
      <c r="K4729" t="s">
        <v>579</v>
      </c>
    </row>
    <row r="4730" spans="1:11">
      <c r="A4730" s="32">
        <v>305</v>
      </c>
      <c r="B4730" s="33">
        <v>4897</v>
      </c>
      <c r="C4730" s="3">
        <v>140000</v>
      </c>
      <c r="D4730" s="3"/>
      <c r="E4730" s="7">
        <f t="shared" si="98"/>
        <v>140000</v>
      </c>
      <c r="F4730" s="5">
        <v>45925</v>
      </c>
      <c r="G4730" s="4">
        <v>20250924</v>
      </c>
      <c r="H4730" s="38" t="str">
        <f>VLOOKUP(B4730,CAJEROS!B:D,3,0)</f>
        <v>Dispensador</v>
      </c>
      <c r="I4730" s="34"/>
      <c r="J4730" s="38" t="str">
        <f>VLOOKUP(B4730,CAJEROS!B:E,4,0)</f>
        <v>SUC_VILLAN3</v>
      </c>
      <c r="K4730" t="s">
        <v>579</v>
      </c>
    </row>
    <row r="4731" spans="1:11">
      <c r="A4731" s="32">
        <v>317</v>
      </c>
      <c r="B4731" s="33">
        <v>3403</v>
      </c>
      <c r="C4731" s="3">
        <v>500000</v>
      </c>
      <c r="D4731" s="3"/>
      <c r="E4731" s="7">
        <f t="shared" si="98"/>
        <v>500000</v>
      </c>
      <c r="F4731" s="5">
        <v>45925</v>
      </c>
      <c r="G4731" s="4">
        <v>20250924</v>
      </c>
      <c r="H4731" s="38" t="str">
        <f>VLOOKUP(B4731,CAJEROS!B:D,3,0)</f>
        <v>Dispensador</v>
      </c>
      <c r="I4731" s="34"/>
      <c r="J4731" s="38" t="str">
        <f>VLOOKUP(B4731,CAJEROS!B:E,4,0)</f>
        <v>SUCARAUCA_2</v>
      </c>
      <c r="K4731" t="s">
        <v>579</v>
      </c>
    </row>
    <row r="4732" spans="1:11">
      <c r="A4732" s="32">
        <v>499</v>
      </c>
      <c r="B4732" s="33">
        <v>9802</v>
      </c>
      <c r="C4732" s="3">
        <v>350000</v>
      </c>
      <c r="D4732" s="3">
        <v>220000</v>
      </c>
      <c r="E4732" s="7">
        <f t="shared" si="98"/>
        <v>130000</v>
      </c>
      <c r="F4732" s="5">
        <v>45925</v>
      </c>
      <c r="G4732" s="4">
        <v>20250924</v>
      </c>
      <c r="H4732" s="38" t="str">
        <f>VLOOKUP(B4732,CAJEROS!B:D,3,0)</f>
        <v>Dispensador</v>
      </c>
      <c r="I4732" s="34"/>
      <c r="J4732" s="38" t="str">
        <f>VLOOKUP(B4732,CAJEROS!B:E,4,0)</f>
        <v>SUCPLZFABR4</v>
      </c>
      <c r="K4732" t="s">
        <v>579</v>
      </c>
    </row>
    <row r="4733" spans="1:11">
      <c r="A4733" s="32">
        <v>499</v>
      </c>
      <c r="B4733" s="33">
        <v>9804</v>
      </c>
      <c r="C4733" s="3">
        <v>1410000</v>
      </c>
      <c r="D4733" s="3">
        <v>200000</v>
      </c>
      <c r="E4733" s="7">
        <f t="shared" si="98"/>
        <v>1210000</v>
      </c>
      <c r="F4733" s="5">
        <v>45925</v>
      </c>
      <c r="G4733" s="4">
        <v>20250924</v>
      </c>
      <c r="H4733" s="38" t="str">
        <f>VLOOKUP(B4733,CAJEROS!B:D,3,0)</f>
        <v>Dispensador</v>
      </c>
      <c r="I4733" s="34"/>
      <c r="J4733" s="38" t="str">
        <f>VLOOKUP(B4733,CAJEROS!B:E,4,0)</f>
        <v>SUCPLZFABR6</v>
      </c>
      <c r="K4733" t="s">
        <v>579</v>
      </c>
    </row>
    <row r="4734" spans="1:11">
      <c r="A4734" s="32">
        <v>499</v>
      </c>
      <c r="B4734" s="33">
        <v>9805</v>
      </c>
      <c r="C4734" s="3">
        <v>1300000</v>
      </c>
      <c r="D4734" s="3"/>
      <c r="E4734" s="7">
        <f t="shared" si="98"/>
        <v>1300000</v>
      </c>
      <c r="F4734" s="5">
        <v>45925</v>
      </c>
      <c r="G4734" s="4">
        <v>20250924</v>
      </c>
      <c r="H4734" s="38" t="str">
        <f>VLOOKUP(B4734,CAJEROS!B:D,3,0)</f>
        <v>Dispensador</v>
      </c>
      <c r="I4734" s="34"/>
      <c r="J4734" s="38" t="str">
        <f>VLOOKUP(B4734,CAJEROS!B:E,4,0)</f>
        <v>SUCPLZFABR7</v>
      </c>
      <c r="K4734" t="s">
        <v>579</v>
      </c>
    </row>
    <row r="4735" spans="1:11">
      <c r="A4735" s="32">
        <v>499</v>
      </c>
      <c r="B4735" s="33">
        <v>9807</v>
      </c>
      <c r="C4735" s="3">
        <v>60000</v>
      </c>
      <c r="D4735" s="3">
        <v>20000</v>
      </c>
      <c r="E4735" s="7">
        <f t="shared" si="98"/>
        <v>40000</v>
      </c>
      <c r="F4735" s="5">
        <v>45925</v>
      </c>
      <c r="G4735" s="4">
        <v>20250924</v>
      </c>
      <c r="H4735" s="38" t="str">
        <f>VLOOKUP(B4735,CAJEROS!B:D,3,0)</f>
        <v>Dispensador</v>
      </c>
      <c r="I4735" s="34"/>
      <c r="J4735" s="38" t="str">
        <f>VLOOKUP(B4735,CAJEROS!B:E,4,0)</f>
        <v>SUCPARFABR9</v>
      </c>
      <c r="K4735" t="s">
        <v>579</v>
      </c>
    </row>
    <row r="4736" spans="1:11">
      <c r="A4736" s="32">
        <v>690</v>
      </c>
      <c r="B4736" s="33">
        <v>944</v>
      </c>
      <c r="C4736" s="3">
        <v>400000</v>
      </c>
      <c r="D4736" s="3"/>
      <c r="E4736" s="7">
        <f t="shared" si="98"/>
        <v>400000</v>
      </c>
      <c r="F4736" s="5">
        <v>45925</v>
      </c>
      <c r="G4736" s="4">
        <v>20250924</v>
      </c>
      <c r="H4736" s="38" t="str">
        <f>VLOOKUP(B4736,CAJEROS!B:D,3,0)</f>
        <v>Dispensador</v>
      </c>
      <c r="I4736" s="34"/>
      <c r="J4736" s="38" t="str">
        <f>VLOOKUP(B4736,CAJEROS!B:E,4,0)</f>
        <v>HOTELTEQ1</v>
      </c>
      <c r="K4736" t="s">
        <v>579</v>
      </c>
    </row>
    <row r="4737" spans="1:11">
      <c r="A4737" s="32">
        <v>554</v>
      </c>
      <c r="B4737" s="33">
        <v>8295</v>
      </c>
      <c r="C4737" s="3">
        <v>3950000</v>
      </c>
      <c r="D4737" s="3">
        <v>2700000</v>
      </c>
      <c r="E4737" s="7">
        <f t="shared" si="98"/>
        <v>1250000</v>
      </c>
      <c r="F4737" s="5">
        <v>45925</v>
      </c>
      <c r="G4737" s="4">
        <v>20250924</v>
      </c>
      <c r="H4737" s="38" t="str">
        <f>VLOOKUP(B4737,CAJEROS!B:D,3,0)</f>
        <v>Multifuncional</v>
      </c>
      <c r="I4737" s="34" t="s">
        <v>9</v>
      </c>
      <c r="J4737" s="38" t="str">
        <f>VLOOKUP(B4737,CAJEROS!B:E,4,0)</f>
        <v>MF_SBUVIII2</v>
      </c>
      <c r="K4737" t="s">
        <v>579</v>
      </c>
    </row>
    <row r="4738" spans="1:11">
      <c r="A4738" s="32">
        <v>606</v>
      </c>
      <c r="B4738" s="33">
        <v>5201</v>
      </c>
      <c r="C4738" s="3">
        <v>3420000</v>
      </c>
      <c r="D4738" s="3">
        <f>990000+2250000</f>
        <v>3240000</v>
      </c>
      <c r="E4738" s="7">
        <f t="shared" si="98"/>
        <v>180000</v>
      </c>
      <c r="F4738" s="5">
        <v>45925</v>
      </c>
      <c r="G4738" s="4">
        <v>20250924</v>
      </c>
      <c r="H4738" s="38" t="str">
        <f>VLOOKUP(B4738,CAJEROS!B:D,3,0)</f>
        <v>Multifuncional</v>
      </c>
      <c r="I4738" s="34" t="s">
        <v>9</v>
      </c>
      <c r="J4738" s="38" t="str">
        <f>VLOOKUP(B4738,CAJEROS!B:E,4,0)</f>
        <v>MF_UNITUNJA</v>
      </c>
      <c r="K4738" t="s">
        <v>579</v>
      </c>
    </row>
    <row r="4739" spans="1:11">
      <c r="A4739" s="32">
        <v>477</v>
      </c>
      <c r="B4739" s="33">
        <v>6251</v>
      </c>
      <c r="C4739" s="3">
        <v>2930000</v>
      </c>
      <c r="D4739" s="3">
        <v>2915000</v>
      </c>
      <c r="E4739" s="7">
        <f t="shared" si="98"/>
        <v>15000</v>
      </c>
      <c r="F4739" s="5">
        <v>45925</v>
      </c>
      <c r="G4739" s="4">
        <v>20250924</v>
      </c>
      <c r="H4739" s="38" t="str">
        <f>VLOOKUP(B4739,CAJEROS!B:D,3,0)</f>
        <v>Multifuncional</v>
      </c>
      <c r="I4739" s="34" t="s">
        <v>9</v>
      </c>
      <c r="J4739" s="38" t="str">
        <f>VLOOKUP(B4739,CAJEROS!B:E,4,0)</f>
        <v>MF_GRANCENT</v>
      </c>
      <c r="K4739" t="s">
        <v>579</v>
      </c>
    </row>
    <row r="4740" spans="1:11">
      <c r="A4740" s="32">
        <v>890</v>
      </c>
      <c r="B4740" s="33">
        <v>9584</v>
      </c>
      <c r="C4740" s="3">
        <v>2806000</v>
      </c>
      <c r="D4740" s="3">
        <f>1796050+600000</f>
        <v>2396050</v>
      </c>
      <c r="E4740" s="7">
        <f t="shared" si="98"/>
        <v>409950</v>
      </c>
      <c r="F4740" s="5">
        <v>45925</v>
      </c>
      <c r="G4740" s="4">
        <v>20250924</v>
      </c>
      <c r="H4740" s="38" t="str">
        <f>VLOOKUP(B4740,CAJEROS!B:D,3,0)</f>
        <v>Multifuncional</v>
      </c>
      <c r="I4740" s="34" t="s">
        <v>9</v>
      </c>
      <c r="J4740" s="38" t="str">
        <f>VLOOKUP(B4740,CAJEROS!B:E,4,0)</f>
        <v>MFSUCACACI1</v>
      </c>
      <c r="K4740" t="s">
        <v>579</v>
      </c>
    </row>
    <row r="4741" spans="1:11">
      <c r="A4741" s="32">
        <v>258</v>
      </c>
      <c r="B4741" s="33">
        <v>5155</v>
      </c>
      <c r="C4741" s="3">
        <v>2800000</v>
      </c>
      <c r="D4741" s="3">
        <f>2094000+260000</f>
        <v>2354000</v>
      </c>
      <c r="E4741" s="7">
        <f t="shared" si="98"/>
        <v>446000</v>
      </c>
      <c r="F4741" s="5">
        <v>45925</v>
      </c>
      <c r="G4741" s="4">
        <v>20250924</v>
      </c>
      <c r="H4741" s="38" t="str">
        <f>VLOOKUP(B4741,CAJEROS!B:D,3,0)</f>
        <v>Multifuncional</v>
      </c>
      <c r="I4741" s="34" t="s">
        <v>9</v>
      </c>
      <c r="J4741" s="38" t="str">
        <f>VLOOKUP(B4741,CAJEROS!B:E,4,0)</f>
        <v>MF_TUNJA</v>
      </c>
      <c r="K4741" t="s">
        <v>579</v>
      </c>
    </row>
    <row r="4742" spans="1:11">
      <c r="A4742" s="32">
        <v>682</v>
      </c>
      <c r="B4742" s="33">
        <v>5049</v>
      </c>
      <c r="C4742" s="3">
        <v>2570000</v>
      </c>
      <c r="D4742" s="3"/>
      <c r="E4742" s="7">
        <f t="shared" si="98"/>
        <v>2570000</v>
      </c>
      <c r="F4742" s="5">
        <v>45925</v>
      </c>
      <c r="G4742" s="4">
        <v>20250924</v>
      </c>
      <c r="H4742" s="38" t="str">
        <f>VLOOKUP(B4742,CAJEROS!B:D,3,0)</f>
        <v>Multifuncional</v>
      </c>
      <c r="I4742" s="34" t="s">
        <v>9</v>
      </c>
      <c r="J4742" s="38" t="str">
        <f>VLOOKUP(B4742,CAJEROS!B:E,4,0)</f>
        <v>MF_CCFONTA1</v>
      </c>
      <c r="K4742" t="s">
        <v>579</v>
      </c>
    </row>
    <row r="4743" spans="1:11">
      <c r="A4743" s="32">
        <v>601</v>
      </c>
      <c r="B4743" s="33">
        <v>6407</v>
      </c>
      <c r="C4743" s="3">
        <v>2540000</v>
      </c>
      <c r="D4743" s="3">
        <f>199000+832000</f>
        <v>1031000</v>
      </c>
      <c r="E4743" s="7">
        <f t="shared" si="98"/>
        <v>1509000</v>
      </c>
      <c r="F4743" s="5">
        <v>45925</v>
      </c>
      <c r="G4743" s="4">
        <v>20250924</v>
      </c>
      <c r="H4743" s="38" t="str">
        <f>VLOOKUP(B4743,CAJEROS!B:D,3,0)</f>
        <v>Multifuncional</v>
      </c>
      <c r="I4743" s="34" t="s">
        <v>9</v>
      </c>
      <c r="J4743" s="38" t="str">
        <f>VLOOKUP(B4743,CAJEROS!B:E,4,0)</f>
        <v>MF_COLINACA</v>
      </c>
      <c r="K4743" t="s">
        <v>579</v>
      </c>
    </row>
    <row r="4744" spans="1:11">
      <c r="A4744" s="32">
        <v>76</v>
      </c>
      <c r="B4744" s="33">
        <v>5126</v>
      </c>
      <c r="C4744" s="3">
        <v>2500000</v>
      </c>
      <c r="D4744" s="3"/>
      <c r="E4744" s="7">
        <f t="shared" si="98"/>
        <v>2500000</v>
      </c>
      <c r="F4744" s="5">
        <v>45925</v>
      </c>
      <c r="G4744" s="4">
        <v>20250924</v>
      </c>
      <c r="H4744" s="38" t="str">
        <f>VLOOKUP(B4744,CAJEROS!B:D,3,0)</f>
        <v>Multifuncional</v>
      </c>
      <c r="I4744" s="34" t="s">
        <v>9</v>
      </c>
      <c r="J4744" s="38" t="str">
        <f>VLOOKUP(B4744,CAJEROS!B:E,4,0)</f>
        <v>MF_NEIVA</v>
      </c>
      <c r="K4744" t="s">
        <v>579</v>
      </c>
    </row>
    <row r="4745" spans="1:11">
      <c r="A4745" s="32">
        <v>916</v>
      </c>
      <c r="B4745" s="33">
        <v>5052</v>
      </c>
      <c r="C4745" s="3">
        <v>2385000</v>
      </c>
      <c r="D4745" s="3"/>
      <c r="E4745" s="7">
        <f t="shared" si="98"/>
        <v>2385000</v>
      </c>
      <c r="F4745" s="5">
        <v>45925</v>
      </c>
      <c r="G4745" s="4">
        <v>20250924</v>
      </c>
      <c r="H4745" s="38" t="str">
        <f>VLOOKUP(B4745,CAJEROS!B:D,3,0)</f>
        <v>Multifuncional</v>
      </c>
      <c r="I4745" s="34" t="s">
        <v>9</v>
      </c>
      <c r="J4745" s="38" t="str">
        <f>VLOOKUP(B4745,CAJEROS!B:E,4,0)</f>
        <v>MF_OCEANMAL</v>
      </c>
      <c r="K4745" t="s">
        <v>579</v>
      </c>
    </row>
    <row r="4746" spans="1:11">
      <c r="A4746" s="32">
        <v>941</v>
      </c>
      <c r="B4746" s="33">
        <v>5220</v>
      </c>
      <c r="C4746" s="3">
        <v>2266000</v>
      </c>
      <c r="D4746" s="3"/>
      <c r="E4746" s="7">
        <f t="shared" si="98"/>
        <v>2266000</v>
      </c>
      <c r="F4746" s="5">
        <v>45925</v>
      </c>
      <c r="G4746" s="4">
        <v>20250924</v>
      </c>
      <c r="H4746" s="38" t="str">
        <f>VLOOKUP(B4746,CAJEROS!B:D,3,0)</f>
        <v>Multifuncional</v>
      </c>
      <c r="I4746" s="34" t="s">
        <v>9</v>
      </c>
      <c r="J4746" s="38" t="str">
        <f>VLOOKUP(B4746,CAJEROS!B:E,4,0)</f>
        <v>MF_NEIVANVA</v>
      </c>
      <c r="K4746" t="s">
        <v>579</v>
      </c>
    </row>
    <row r="4747" spans="1:11">
      <c r="A4747" s="32">
        <v>741</v>
      </c>
      <c r="B4747" s="33">
        <v>6843</v>
      </c>
      <c r="C4747" s="3">
        <v>2008000</v>
      </c>
      <c r="D4747" s="3"/>
      <c r="E4747" s="7">
        <f t="shared" si="98"/>
        <v>2008000</v>
      </c>
      <c r="F4747" s="5">
        <v>45925</v>
      </c>
      <c r="G4747" s="4">
        <v>20250924</v>
      </c>
      <c r="H4747" s="38" t="str">
        <f>VLOOKUP(B4747,CAJEROS!B:D,3,0)</f>
        <v>Multifuncional</v>
      </c>
      <c r="I4747" s="34" t="s">
        <v>9</v>
      </c>
      <c r="J4747" s="38" t="str">
        <f>VLOOKUP(B4747,CAJEROS!B:E,4,0)</f>
        <v>MFSUC_IDEO1</v>
      </c>
      <c r="K4747" t="s">
        <v>579</v>
      </c>
    </row>
    <row r="4748" spans="1:11">
      <c r="A4748" s="32">
        <v>91</v>
      </c>
      <c r="B4748" s="33">
        <v>5148</v>
      </c>
      <c r="C4748" s="3">
        <v>1983200</v>
      </c>
      <c r="D4748" s="3">
        <v>1633200</v>
      </c>
      <c r="E4748" s="7">
        <f t="shared" si="98"/>
        <v>350000</v>
      </c>
      <c r="F4748" s="5">
        <v>45925</v>
      </c>
      <c r="G4748" s="4">
        <v>20250924</v>
      </c>
      <c r="H4748" s="38" t="str">
        <f>VLOOKUP(B4748,CAJEROS!B:D,3,0)</f>
        <v>Multifuncional</v>
      </c>
      <c r="I4748" s="34" t="s">
        <v>9</v>
      </c>
      <c r="J4748" s="38" t="str">
        <f>VLOOKUP(B4748,CAJEROS!B:E,4,0)</f>
        <v>MF_MONTERIA</v>
      </c>
      <c r="K4748" t="s">
        <v>579</v>
      </c>
    </row>
    <row r="4749" spans="1:11">
      <c r="A4749" s="32">
        <v>395</v>
      </c>
      <c r="B4749" s="33">
        <v>1529</v>
      </c>
      <c r="C4749" s="3">
        <v>1450000</v>
      </c>
      <c r="D4749" s="3"/>
      <c r="E4749" s="7">
        <f t="shared" si="98"/>
        <v>1450000</v>
      </c>
      <c r="F4749" s="5">
        <v>45925</v>
      </c>
      <c r="G4749" s="4">
        <v>20250924</v>
      </c>
      <c r="H4749" s="38" t="str">
        <f>VLOOKUP(B4749,CAJEROS!B:D,3,0)</f>
        <v>Multifuncional</v>
      </c>
      <c r="I4749" s="34" t="s">
        <v>9</v>
      </c>
      <c r="J4749" s="38" t="str">
        <f>VLOOKUP(B4749,CAJEROS!B:E,4,0)</f>
        <v>SUCMFVIVCI2</v>
      </c>
      <c r="K4749" t="s">
        <v>579</v>
      </c>
    </row>
    <row r="4750" spans="1:11">
      <c r="A4750" s="32">
        <v>795</v>
      </c>
      <c r="B4750" s="33">
        <v>1027</v>
      </c>
      <c r="C4750" s="3">
        <v>1420000</v>
      </c>
      <c r="D4750" s="3">
        <f>690000+100000</f>
        <v>790000</v>
      </c>
      <c r="E4750" s="7">
        <f t="shared" si="98"/>
        <v>630000</v>
      </c>
      <c r="F4750" s="5">
        <v>45925</v>
      </c>
      <c r="G4750" s="4">
        <v>20250924</v>
      </c>
      <c r="H4750" s="38" t="str">
        <f>VLOOKUP(B4750,CAJEROS!B:D,3,0)</f>
        <v>Multifuncional</v>
      </c>
      <c r="I4750" s="34" t="s">
        <v>9</v>
      </c>
      <c r="J4750" s="38" t="str">
        <f>VLOOKUP(B4750,CAJEROS!B:E,4,0)</f>
        <v>MFSUCANVER1</v>
      </c>
      <c r="K4750" t="s">
        <v>579</v>
      </c>
    </row>
    <row r="4751" spans="1:11">
      <c r="A4751" s="32">
        <v>348</v>
      </c>
      <c r="B4751" s="33">
        <v>6724</v>
      </c>
      <c r="C4751" s="3">
        <v>1378000</v>
      </c>
      <c r="D4751" s="3"/>
      <c r="E4751" s="7">
        <f t="shared" si="98"/>
        <v>1378000</v>
      </c>
      <c r="F4751" s="5">
        <v>45925</v>
      </c>
      <c r="G4751" s="4">
        <v>20250924</v>
      </c>
      <c r="H4751" s="38" t="str">
        <f>VLOOKUP(B4751,CAJEROS!B:D,3,0)</f>
        <v>Multifuncional</v>
      </c>
      <c r="I4751" s="34" t="s">
        <v>9</v>
      </c>
      <c r="J4751" s="38" t="str">
        <f>VLOOKUP(B4751,CAJEROS!B:E,4,0)</f>
        <v>MF_SANANDRE</v>
      </c>
      <c r="K4751" t="s">
        <v>579</v>
      </c>
    </row>
    <row r="4752" spans="1:11">
      <c r="A4752" s="32">
        <v>366</v>
      </c>
      <c r="B4752" s="33">
        <v>5132</v>
      </c>
      <c r="C4752" s="3">
        <v>1320000</v>
      </c>
      <c r="D4752" s="3"/>
      <c r="E4752" s="7">
        <f t="shared" si="98"/>
        <v>1320000</v>
      </c>
      <c r="F4752" s="5">
        <v>45925</v>
      </c>
      <c r="G4752" s="4">
        <v>20250924</v>
      </c>
      <c r="H4752" s="38" t="str">
        <f>VLOOKUP(B4752,CAJEROS!B:D,3,0)</f>
        <v>Multifuncional</v>
      </c>
      <c r="I4752" s="34" t="s">
        <v>9</v>
      </c>
      <c r="J4752" s="38" t="str">
        <f>VLOOKUP(B4752,CAJEROS!B:E,4,0)</f>
        <v>MF_TERMTPTE</v>
      </c>
      <c r="K4752" t="s">
        <v>579</v>
      </c>
    </row>
    <row r="4753" spans="1:11">
      <c r="A4753" s="32">
        <v>4</v>
      </c>
      <c r="B4753" s="33">
        <v>8631</v>
      </c>
      <c r="C4753" s="3">
        <v>1250000</v>
      </c>
      <c r="D4753" s="3"/>
      <c r="E4753" s="7">
        <f t="shared" si="98"/>
        <v>1250000</v>
      </c>
      <c r="F4753" s="5">
        <v>45925</v>
      </c>
      <c r="G4753" s="4">
        <v>20250924</v>
      </c>
      <c r="H4753" s="38" t="str">
        <f>VLOOKUP(B4753,CAJEROS!B:D,3,0)</f>
        <v>Multifuncional</v>
      </c>
      <c r="I4753" s="34" t="s">
        <v>9</v>
      </c>
      <c r="J4753" s="38" t="str">
        <f>VLOOKUP(B4753,CAJEROS!B:E,4,0)</f>
        <v>MF_SUCLAUR2</v>
      </c>
      <c r="K4753" t="s">
        <v>579</v>
      </c>
    </row>
    <row r="4754" spans="1:11">
      <c r="A4754" s="32">
        <v>481</v>
      </c>
      <c r="B4754" s="33">
        <v>1010</v>
      </c>
      <c r="C4754" s="3">
        <v>1080000</v>
      </c>
      <c r="D4754" s="3"/>
      <c r="E4754" s="7">
        <f t="shared" si="98"/>
        <v>1080000</v>
      </c>
      <c r="F4754" s="5">
        <v>45925</v>
      </c>
      <c r="G4754" s="4">
        <v>20250924</v>
      </c>
      <c r="H4754" s="38" t="str">
        <f>VLOOKUP(B4754,CAJEROS!B:D,3,0)</f>
        <v>Multifuncional</v>
      </c>
      <c r="I4754" s="34" t="s">
        <v>9</v>
      </c>
      <c r="J4754" s="38" t="str">
        <f>VLOOKUP(B4754,CAJEROS!B:E,4,0)</f>
        <v>MF_SOLEDAD1</v>
      </c>
      <c r="K4754" t="s">
        <v>579</v>
      </c>
    </row>
    <row r="4755" spans="1:11">
      <c r="A4755" s="32">
        <v>820</v>
      </c>
      <c r="B4755" s="33">
        <v>6174</v>
      </c>
      <c r="C4755" s="3">
        <v>855000</v>
      </c>
      <c r="D4755" s="3">
        <f>546500+193000</f>
        <v>739500</v>
      </c>
      <c r="E4755" s="7">
        <f t="shared" si="98"/>
        <v>115500</v>
      </c>
      <c r="F4755" s="5">
        <v>45925</v>
      </c>
      <c r="G4755" s="4">
        <v>20250924</v>
      </c>
      <c r="H4755" s="38" t="str">
        <f>VLOOKUP(B4755,CAJEROS!B:D,3,0)</f>
        <v>Multifuncional</v>
      </c>
      <c r="I4755" s="34" t="s">
        <v>9</v>
      </c>
      <c r="J4755" s="38" t="str">
        <f>VLOOKUP(B4755,CAJEROS!B:E,4,0)</f>
        <v>MF_AVCERO</v>
      </c>
      <c r="K4755" t="s">
        <v>579</v>
      </c>
    </row>
    <row r="4756" spans="1:11">
      <c r="A4756" s="32">
        <v>20</v>
      </c>
      <c r="B4756" s="33">
        <v>8927</v>
      </c>
      <c r="C4756" s="3">
        <v>852400</v>
      </c>
      <c r="D4756" s="3"/>
      <c r="E4756" s="7">
        <f t="shared" si="98"/>
        <v>852400</v>
      </c>
      <c r="F4756" s="5">
        <v>45925</v>
      </c>
      <c r="G4756" s="4">
        <v>20250924</v>
      </c>
      <c r="H4756" s="38" t="str">
        <f>VLOOKUP(B4756,CAJEROS!B:D,3,0)</f>
        <v>Multifuncional</v>
      </c>
      <c r="I4756" s="34" t="s">
        <v>9</v>
      </c>
      <c r="J4756" s="38" t="str">
        <f>VLOOKUP(B4756,CAJEROS!B:E,4,0)</f>
        <v>MFSUCBUCMG2</v>
      </c>
      <c r="K4756" t="s">
        <v>579</v>
      </c>
    </row>
    <row r="4757" spans="1:11">
      <c r="A4757" s="32">
        <v>291</v>
      </c>
      <c r="B4757" s="33">
        <v>5114</v>
      </c>
      <c r="C4757" s="3">
        <v>810000</v>
      </c>
      <c r="D4757" s="3"/>
      <c r="E4757" s="7">
        <f t="shared" si="98"/>
        <v>810000</v>
      </c>
      <c r="F4757" s="5">
        <v>45925</v>
      </c>
      <c r="G4757" s="4">
        <v>20250924</v>
      </c>
      <c r="H4757" s="38" t="str">
        <f>VLOOKUP(B4757,CAJEROS!B:D,3,0)</f>
        <v>Multifuncional</v>
      </c>
      <c r="I4757" s="34" t="s">
        <v>9</v>
      </c>
      <c r="J4757" s="38" t="str">
        <f>VLOOKUP(B4757,CAJEROS!B:E,4,0)</f>
        <v>MF_LPALMAS</v>
      </c>
      <c r="K4757" t="s">
        <v>579</v>
      </c>
    </row>
    <row r="4758" spans="1:11">
      <c r="A4758" s="32">
        <v>779</v>
      </c>
      <c r="B4758" s="33">
        <v>8685</v>
      </c>
      <c r="C4758" s="3">
        <v>795000</v>
      </c>
      <c r="D4758" s="3"/>
      <c r="E4758" s="7">
        <f t="shared" ref="E4758:E4821" si="99">+C4758-D4758</f>
        <v>795000</v>
      </c>
      <c r="F4758" s="5">
        <v>45925</v>
      </c>
      <c r="G4758" s="4">
        <v>20250924</v>
      </c>
      <c r="H4758" s="38" t="str">
        <f>VLOOKUP(B4758,CAJEROS!B:D,3,0)</f>
        <v>Multifuncional</v>
      </c>
      <c r="I4758" s="34" t="s">
        <v>9</v>
      </c>
      <c r="J4758" s="38" t="str">
        <f>VLOOKUP(B4758,CAJEROS!B:E,4,0)</f>
        <v>MF_BUENVSM3</v>
      </c>
      <c r="K4758" t="s">
        <v>579</v>
      </c>
    </row>
    <row r="4759" spans="1:11">
      <c r="A4759" s="32">
        <v>331</v>
      </c>
      <c r="B4759" s="33">
        <v>574</v>
      </c>
      <c r="C4759" s="3">
        <v>790000</v>
      </c>
      <c r="D4759" s="3"/>
      <c r="E4759" s="7">
        <f t="shared" si="99"/>
        <v>790000</v>
      </c>
      <c r="F4759" s="5">
        <v>45925</v>
      </c>
      <c r="G4759" s="4">
        <v>20250924</v>
      </c>
      <c r="H4759" s="38" t="str">
        <f>VLOOKUP(B4759,CAJEROS!B:D,3,0)</f>
        <v>Multifuncional</v>
      </c>
      <c r="I4759" s="34" t="s">
        <v>9</v>
      </c>
      <c r="J4759" s="38" t="str">
        <f>VLOOKUP(B4759,CAJEROS!B:E,4,0)</f>
        <v>MF_SUCARKA1</v>
      </c>
      <c r="K4759" t="s">
        <v>579</v>
      </c>
    </row>
    <row r="4760" spans="1:11">
      <c r="A4760" s="32">
        <v>178</v>
      </c>
      <c r="B4760" s="33">
        <v>6218</v>
      </c>
      <c r="C4760" s="3">
        <v>570000</v>
      </c>
      <c r="D4760" s="3"/>
      <c r="E4760" s="7">
        <f t="shared" si="99"/>
        <v>570000</v>
      </c>
      <c r="F4760" s="5">
        <v>45925</v>
      </c>
      <c r="G4760" s="4">
        <v>20250924</v>
      </c>
      <c r="H4760" s="38" t="str">
        <f>VLOOKUP(B4760,CAJEROS!B:D,3,0)</f>
        <v>Multifuncional</v>
      </c>
      <c r="I4760" s="34" t="s">
        <v>9</v>
      </c>
      <c r="J4760" s="38" t="str">
        <f>VLOOKUP(B4760,CAJEROS!B:E,4,0)</f>
        <v>MF_CFINANCI</v>
      </c>
      <c r="K4760" t="s">
        <v>579</v>
      </c>
    </row>
    <row r="4761" spans="1:11">
      <c r="A4761" s="32">
        <v>652</v>
      </c>
      <c r="B4761" s="33">
        <v>5070</v>
      </c>
      <c r="C4761" s="3">
        <v>555000</v>
      </c>
      <c r="D4761" s="3">
        <v>305000</v>
      </c>
      <c r="E4761" s="7">
        <f t="shared" si="99"/>
        <v>250000</v>
      </c>
      <c r="F4761" s="5">
        <v>45925</v>
      </c>
      <c r="G4761" s="4">
        <v>20250924</v>
      </c>
      <c r="H4761" s="38" t="str">
        <f>VLOOKUP(B4761,CAJEROS!B:D,3,0)</f>
        <v>Multifuncional</v>
      </c>
      <c r="I4761" s="34" t="s">
        <v>9</v>
      </c>
      <c r="J4761" s="38" t="str">
        <f>VLOOKUP(B4761,CAJEROS!B:E,4,0)</f>
        <v>MF_CHICO94</v>
      </c>
      <c r="K4761" t="s">
        <v>579</v>
      </c>
    </row>
    <row r="4762" spans="1:11">
      <c r="A4762" s="32">
        <v>198</v>
      </c>
      <c r="B4762" s="33">
        <v>5179</v>
      </c>
      <c r="C4762" s="3">
        <v>530000</v>
      </c>
      <c r="D4762" s="3">
        <v>409000</v>
      </c>
      <c r="E4762" s="7">
        <f t="shared" si="99"/>
        <v>121000</v>
      </c>
      <c r="F4762" s="5">
        <v>45925</v>
      </c>
      <c r="G4762" s="4">
        <v>20250924</v>
      </c>
      <c r="H4762" s="38" t="str">
        <f>VLOOKUP(B4762,CAJEROS!B:D,3,0)</f>
        <v>Multifuncional</v>
      </c>
      <c r="I4762" s="34" t="s">
        <v>9</v>
      </c>
      <c r="J4762" s="38" t="str">
        <f>VLOOKUP(B4762,CAJEROS!B:E,4,0)</f>
        <v>MF_CENTSUBA</v>
      </c>
      <c r="K4762" t="s">
        <v>579</v>
      </c>
    </row>
    <row r="4763" spans="1:11">
      <c r="A4763" s="32">
        <v>692</v>
      </c>
      <c r="B4763" s="33">
        <v>1516</v>
      </c>
      <c r="C4763" s="3">
        <v>530000</v>
      </c>
      <c r="D4763" s="3"/>
      <c r="E4763" s="7">
        <f t="shared" si="99"/>
        <v>530000</v>
      </c>
      <c r="F4763" s="5">
        <v>45925</v>
      </c>
      <c r="G4763" s="4">
        <v>20250924</v>
      </c>
      <c r="H4763" s="38" t="str">
        <f>VLOOKUP(B4763,CAJEROS!B:D,3,0)</f>
        <v>Multifuncional</v>
      </c>
      <c r="I4763" s="34" t="s">
        <v>9</v>
      </c>
      <c r="J4763" s="38" t="str">
        <f>VLOOKUP(B4763,CAJEROS!B:E,4,0)</f>
        <v>MFSUCALTPR2</v>
      </c>
      <c r="K4763" t="s">
        <v>579</v>
      </c>
    </row>
    <row r="4764" spans="1:11">
      <c r="A4764" s="32">
        <v>762</v>
      </c>
      <c r="B4764" s="33">
        <v>5181</v>
      </c>
      <c r="C4764" s="3">
        <v>318350</v>
      </c>
      <c r="D4764" s="3"/>
      <c r="E4764" s="7">
        <f t="shared" si="99"/>
        <v>318350</v>
      </c>
      <c r="F4764" s="5">
        <v>45925</v>
      </c>
      <c r="G4764" s="4">
        <v>20250924</v>
      </c>
      <c r="H4764" s="38" t="str">
        <f>VLOOKUP(B4764,CAJEROS!B:D,3,0)</f>
        <v>Multifuncional</v>
      </c>
      <c r="I4764" s="34" t="s">
        <v>9</v>
      </c>
      <c r="J4764" s="38" t="str">
        <f>VLOOKUP(B4764,CAJEROS!B:E,4,0)</f>
        <v>MF_HERRADU1</v>
      </c>
      <c r="K4764" t="s">
        <v>579</v>
      </c>
    </row>
    <row r="4765" spans="1:11">
      <c r="A4765" s="32">
        <v>197</v>
      </c>
      <c r="B4765" s="33">
        <v>5084</v>
      </c>
      <c r="C4765" s="3">
        <v>250000</v>
      </c>
      <c r="D4765" s="3"/>
      <c r="E4765" s="7">
        <f t="shared" si="99"/>
        <v>250000</v>
      </c>
      <c r="F4765" s="5">
        <v>45925</v>
      </c>
      <c r="G4765" s="4">
        <v>20250924</v>
      </c>
      <c r="H4765" s="38" t="str">
        <f>VLOOKUP(B4765,CAJEROS!B:D,3,0)</f>
        <v>Multifuncional</v>
      </c>
      <c r="I4765" s="34" t="s">
        <v>9</v>
      </c>
      <c r="J4765" s="38" t="str">
        <f>VLOOKUP(B4765,CAJEROS!B:E,4,0)</f>
        <v>MF_GUATAPUR</v>
      </c>
      <c r="K4765" t="s">
        <v>579</v>
      </c>
    </row>
    <row r="4766" spans="1:11">
      <c r="A4766" s="32">
        <v>442</v>
      </c>
      <c r="B4766" s="33">
        <v>8887</v>
      </c>
      <c r="C4766" s="3">
        <v>180000</v>
      </c>
      <c r="D4766" s="3"/>
      <c r="E4766" s="7">
        <f t="shared" si="99"/>
        <v>180000</v>
      </c>
      <c r="F4766" s="5">
        <v>45925</v>
      </c>
      <c r="G4766" s="4">
        <v>20250924</v>
      </c>
      <c r="H4766" s="38" t="str">
        <f>VLOOKUP(B4766,CAJEROS!B:D,3,0)</f>
        <v>Multifuncional</v>
      </c>
      <c r="I4766" s="34" t="s">
        <v>9</v>
      </c>
      <c r="J4766" s="38" t="str">
        <f>VLOOKUP(B4766,CAJEROS!B:E,4,0)</f>
        <v>MFVIVABQUI1</v>
      </c>
      <c r="K4766" t="s">
        <v>579</v>
      </c>
    </row>
    <row r="4767" spans="1:11">
      <c r="A4767" s="32">
        <v>777</v>
      </c>
      <c r="B4767" s="33">
        <v>5009</v>
      </c>
      <c r="C4767" s="3">
        <v>150000</v>
      </c>
      <c r="D4767" s="3"/>
      <c r="E4767" s="7">
        <f t="shared" si="99"/>
        <v>150000</v>
      </c>
      <c r="F4767" s="5">
        <v>45925</v>
      </c>
      <c r="G4767" s="4">
        <v>20250924</v>
      </c>
      <c r="H4767" s="38" t="str">
        <f>VLOOKUP(B4767,CAJEROS!B:D,3,0)</f>
        <v>Multifuncional</v>
      </c>
      <c r="I4767" s="34" t="s">
        <v>9</v>
      </c>
      <c r="J4767" s="38" t="str">
        <f>VLOOKUP(B4767,CAJEROS!B:E,4,0)</f>
        <v>MF_PWASHING</v>
      </c>
      <c r="K4767" t="s">
        <v>579</v>
      </c>
    </row>
    <row r="4768" spans="1:11">
      <c r="A4768" s="32">
        <v>894</v>
      </c>
      <c r="B4768" s="33">
        <v>6466</v>
      </c>
      <c r="C4768" s="3">
        <v>150000</v>
      </c>
      <c r="D4768" s="3"/>
      <c r="E4768" s="7">
        <f t="shared" si="99"/>
        <v>150000</v>
      </c>
      <c r="F4768" s="5">
        <v>45925</v>
      </c>
      <c r="G4768" s="4">
        <v>20250924</v>
      </c>
      <c r="H4768" s="38" t="str">
        <f>VLOOKUP(B4768,CAJEROS!B:D,3,0)</f>
        <v>Multifuncional</v>
      </c>
      <c r="I4768" s="34" t="s">
        <v>9</v>
      </c>
      <c r="J4768" s="38" t="str">
        <f>VLOOKUP(B4768,CAJEROS!B:E,4,0)</f>
        <v>MF_TUMACO</v>
      </c>
      <c r="K4768" t="s">
        <v>579</v>
      </c>
    </row>
    <row r="4769" spans="1:11">
      <c r="A4769" s="32">
        <v>24</v>
      </c>
      <c r="B4769" s="33">
        <v>5066</v>
      </c>
      <c r="C4769" s="3">
        <v>75000</v>
      </c>
      <c r="D4769" s="3"/>
      <c r="E4769" s="7">
        <f t="shared" si="99"/>
        <v>75000</v>
      </c>
      <c r="F4769" s="5">
        <v>45925</v>
      </c>
      <c r="G4769" s="4">
        <v>20250924</v>
      </c>
      <c r="H4769" s="38" t="str">
        <f>VLOOKUP(B4769,CAJEROS!B:D,3,0)</f>
        <v>Multifuncional</v>
      </c>
      <c r="I4769" s="34" t="s">
        <v>9</v>
      </c>
      <c r="J4769" s="38" t="str">
        <f>VLOOKUP(B4769,CAJEROS!B:E,4,0)</f>
        <v>MF_RIONEGPA</v>
      </c>
      <c r="K4769" t="s">
        <v>579</v>
      </c>
    </row>
    <row r="4770" spans="1:11">
      <c r="A4770" s="32">
        <v>721</v>
      </c>
      <c r="B4770" s="33">
        <v>8897</v>
      </c>
      <c r="C4770" s="3">
        <v>70000</v>
      </c>
      <c r="D4770" s="3"/>
      <c r="E4770" s="7">
        <f t="shared" si="99"/>
        <v>70000</v>
      </c>
      <c r="F4770" s="5">
        <v>45925</v>
      </c>
      <c r="G4770" s="4">
        <v>20250924</v>
      </c>
      <c r="H4770" s="38" t="str">
        <f>VLOOKUP(B4770,CAJEROS!B:D,3,0)</f>
        <v>Multifuncional</v>
      </c>
      <c r="I4770" s="34" t="s">
        <v>9</v>
      </c>
      <c r="J4770" s="38" t="str">
        <f>VLOOKUP(B4770,CAJEROS!B:E,4,0)</f>
        <v>MFSUCLAGO2</v>
      </c>
      <c r="K4770" t="s">
        <v>579</v>
      </c>
    </row>
    <row r="4771" spans="1:11">
      <c r="A4771" s="32">
        <v>693</v>
      </c>
      <c r="B4771" s="33">
        <v>7979</v>
      </c>
      <c r="C4771" s="3">
        <v>50000</v>
      </c>
      <c r="D4771" s="3"/>
      <c r="E4771" s="7">
        <f t="shared" si="99"/>
        <v>50000</v>
      </c>
      <c r="F4771" s="5">
        <v>45925</v>
      </c>
      <c r="G4771" s="4">
        <v>20250924</v>
      </c>
      <c r="H4771" s="38" t="str">
        <f>VLOOKUP(B4771,CAJEROS!B:D,3,0)</f>
        <v>Multifuncional</v>
      </c>
      <c r="I4771" s="34" t="s">
        <v>9</v>
      </c>
      <c r="J4771" s="38" t="str">
        <f>VLOOKUP(B4771,CAJEROS!B:E,4,0)</f>
        <v>MF_CCSNTAF3</v>
      </c>
      <c r="K4771" t="s">
        <v>579</v>
      </c>
    </row>
    <row r="4772" spans="1:11">
      <c r="A4772" s="32">
        <v>725</v>
      </c>
      <c r="B4772" s="33">
        <v>5166</v>
      </c>
      <c r="C4772" s="3">
        <v>50000</v>
      </c>
      <c r="D4772" s="3"/>
      <c r="E4772" s="7">
        <f t="shared" si="99"/>
        <v>50000</v>
      </c>
      <c r="F4772" s="5">
        <v>45925</v>
      </c>
      <c r="G4772" s="4">
        <v>20250924</v>
      </c>
      <c r="H4772" s="38" t="str">
        <f>VLOOKUP(B4772,CAJEROS!B:D,3,0)</f>
        <v>Multifuncional</v>
      </c>
      <c r="I4772" s="34" t="s">
        <v>9</v>
      </c>
      <c r="J4772" s="38" t="str">
        <f>VLOOKUP(B4772,CAJEROS!B:E,4,0)</f>
        <v>MF_DOSQUEBR</v>
      </c>
      <c r="K4772" t="s">
        <v>579</v>
      </c>
    </row>
    <row r="4773" spans="1:11">
      <c r="A4773" s="32">
        <v>20</v>
      </c>
      <c r="B4773" s="33">
        <v>9204</v>
      </c>
      <c r="C4773" s="3">
        <v>40000</v>
      </c>
      <c r="D4773" s="3"/>
      <c r="E4773" s="7">
        <f t="shared" si="99"/>
        <v>40000</v>
      </c>
      <c r="F4773" s="5">
        <v>45925</v>
      </c>
      <c r="G4773" s="4">
        <v>20250924</v>
      </c>
      <c r="H4773" s="38" t="str">
        <f>VLOOKUP(B4773,CAJEROS!B:D,3,0)</f>
        <v>Multifuncional</v>
      </c>
      <c r="I4773" s="34" t="s">
        <v>9</v>
      </c>
      <c r="J4773" s="38" t="str">
        <f>VLOOKUP(B4773,CAJEROS!B:E,4,0)</f>
        <v>MF_BUCMANGA</v>
      </c>
      <c r="K4773" t="s">
        <v>579</v>
      </c>
    </row>
    <row r="4774" spans="1:11">
      <c r="A4774" s="32">
        <v>31</v>
      </c>
      <c r="B4774" s="33">
        <v>8737</v>
      </c>
      <c r="C4774" s="3">
        <v>40000</v>
      </c>
      <c r="D4774" s="3"/>
      <c r="E4774" s="7">
        <f t="shared" si="99"/>
        <v>40000</v>
      </c>
      <c r="F4774" s="5">
        <v>45925</v>
      </c>
      <c r="G4774" s="4">
        <v>20250924</v>
      </c>
      <c r="H4774" s="38" t="str">
        <f>VLOOKUP(B4774,CAJEROS!B:D,3,0)</f>
        <v>Multifuncional</v>
      </c>
      <c r="I4774" s="34" t="s">
        <v>9</v>
      </c>
      <c r="J4774" s="38" t="str">
        <f>VLOOKUP(B4774,CAJEROS!B:E,4,0)</f>
        <v>MF_SUCEINT1</v>
      </c>
      <c r="K4774" t="s">
        <v>579</v>
      </c>
    </row>
    <row r="4775" spans="1:11">
      <c r="A4775" s="32">
        <v>96</v>
      </c>
      <c r="B4775" s="33">
        <v>1036</v>
      </c>
      <c r="C4775" s="3">
        <v>90000</v>
      </c>
      <c r="D4775" s="3"/>
      <c r="E4775" s="7">
        <f t="shared" si="99"/>
        <v>90000</v>
      </c>
      <c r="F4775" s="5">
        <v>45925</v>
      </c>
      <c r="G4775" s="4">
        <v>20250924</v>
      </c>
      <c r="H4775" s="38" t="str">
        <f>VLOOKUP(B4775,CAJEROS!B:D,3,0)</f>
        <v>Dispensador</v>
      </c>
      <c r="I4775" s="34" t="s">
        <v>9</v>
      </c>
      <c r="J4775" s="38" t="str">
        <f>VLOOKUP(B4775,CAJEROS!B:E,4,0)</f>
        <v>SUC_MAICAO2</v>
      </c>
      <c r="K4775" t="s">
        <v>579</v>
      </c>
    </row>
    <row r="4776" spans="1:11">
      <c r="A4776" s="32">
        <v>111</v>
      </c>
      <c r="B4776" s="33">
        <v>3654</v>
      </c>
      <c r="C4776" s="3">
        <v>440000</v>
      </c>
      <c r="D4776" s="3"/>
      <c r="E4776" s="7">
        <f t="shared" si="99"/>
        <v>440000</v>
      </c>
      <c r="F4776" s="5">
        <v>45925</v>
      </c>
      <c r="G4776" s="4">
        <v>20250924</v>
      </c>
      <c r="H4776" s="38" t="str">
        <f>VLOOKUP(B4776,CAJEROS!B:D,3,0)</f>
        <v>Dispensador</v>
      </c>
      <c r="I4776" s="34" t="s">
        <v>9</v>
      </c>
      <c r="J4776" s="38" t="str">
        <f>VLOOKUP(B4776,CAJEROS!B:E,4,0)</f>
        <v>SUC_COROZ2</v>
      </c>
      <c r="K4776" t="s">
        <v>579</v>
      </c>
    </row>
    <row r="4777" spans="1:11">
      <c r="A4777" s="32">
        <v>111</v>
      </c>
      <c r="B4777" s="33">
        <v>5671</v>
      </c>
      <c r="C4777" s="3">
        <v>870000</v>
      </c>
      <c r="D4777" s="3">
        <v>700000</v>
      </c>
      <c r="E4777" s="7">
        <f t="shared" si="99"/>
        <v>170000</v>
      </c>
      <c r="F4777" s="5">
        <v>45925</v>
      </c>
      <c r="G4777" s="4">
        <v>20250924</v>
      </c>
      <c r="H4777" s="38" t="str">
        <f>VLOOKUP(B4777,CAJEROS!B:D,3,0)</f>
        <v>Dispensador</v>
      </c>
      <c r="I4777" s="34" t="s">
        <v>9</v>
      </c>
      <c r="J4777" s="38" t="str">
        <f>VLOOKUP(B4777,CAJEROS!B:E,4,0)</f>
        <v>SUC_COROZ3</v>
      </c>
      <c r="K4777" t="s">
        <v>579</v>
      </c>
    </row>
    <row r="4778" spans="1:11">
      <c r="A4778" s="32">
        <v>426</v>
      </c>
      <c r="B4778" s="33">
        <v>7819</v>
      </c>
      <c r="C4778" s="3">
        <v>100000</v>
      </c>
      <c r="D4778" s="3"/>
      <c r="E4778" s="7">
        <f t="shared" si="99"/>
        <v>100000</v>
      </c>
      <c r="F4778" s="5">
        <v>45925</v>
      </c>
      <c r="G4778" s="4">
        <v>20250924</v>
      </c>
      <c r="H4778" s="38" t="str">
        <f>VLOOKUP(B4778,CAJEROS!B:D,3,0)</f>
        <v>Dispensador</v>
      </c>
      <c r="I4778" s="34" t="s">
        <v>9</v>
      </c>
      <c r="J4778" s="38" t="str">
        <f>VLOOKUP(B4778,CAJEROS!B:E,4,0)</f>
        <v>PURIFICACI2</v>
      </c>
      <c r="K4778" t="s">
        <v>579</v>
      </c>
    </row>
    <row r="4779" spans="1:11">
      <c r="A4779" s="32">
        <v>499</v>
      </c>
      <c r="B4779" s="33">
        <v>9809</v>
      </c>
      <c r="C4779" s="3">
        <v>320000</v>
      </c>
      <c r="D4779" s="3"/>
      <c r="E4779" s="7">
        <f t="shared" si="99"/>
        <v>320000</v>
      </c>
      <c r="F4779" s="5">
        <v>45925</v>
      </c>
      <c r="G4779" s="4">
        <v>20250924</v>
      </c>
      <c r="H4779" s="38" t="str">
        <f>VLOOKUP(B4779,CAJEROS!B:D,3,0)</f>
        <v>Dispensador</v>
      </c>
      <c r="I4779" s="34" t="s">
        <v>9</v>
      </c>
      <c r="J4779" s="38" t="str">
        <f>VLOOKUP(B4779,CAJEROS!B:E,4,0)</f>
        <v>SUCPARFAB11</v>
      </c>
      <c r="K4779" t="s">
        <v>579</v>
      </c>
    </row>
    <row r="4780" spans="1:11">
      <c r="A4780" s="32">
        <v>541</v>
      </c>
      <c r="B4780" s="33">
        <v>8654</v>
      </c>
      <c r="C4780" s="3">
        <v>40000</v>
      </c>
      <c r="D4780" s="3"/>
      <c r="E4780" s="7">
        <f t="shared" si="99"/>
        <v>40000</v>
      </c>
      <c r="F4780" s="5">
        <v>45925</v>
      </c>
      <c r="G4780" s="4">
        <v>20250924</v>
      </c>
      <c r="H4780" s="38" t="str">
        <f>VLOOKUP(B4780,CAJEROS!B:D,3,0)</f>
        <v>Dispensador</v>
      </c>
      <c r="I4780" s="34" t="s">
        <v>9</v>
      </c>
      <c r="J4780" s="38" t="str">
        <f>VLOOKUP(B4780,CAJEROS!B:E,4,0)</f>
        <v>SUCCALDASP5</v>
      </c>
      <c r="K4780" t="s">
        <v>579</v>
      </c>
    </row>
    <row r="4781" spans="1:11">
      <c r="A4781" s="32">
        <v>705</v>
      </c>
      <c r="B4781" s="33">
        <v>4151</v>
      </c>
      <c r="C4781" s="3">
        <v>250000</v>
      </c>
      <c r="D4781" s="3"/>
      <c r="E4781" s="7">
        <f t="shared" si="99"/>
        <v>250000</v>
      </c>
      <c r="F4781" s="5">
        <v>45925</v>
      </c>
      <c r="G4781" s="4">
        <v>20250924</v>
      </c>
      <c r="H4781" s="38" t="str">
        <f>VLOOKUP(B4781,CAJEROS!B:D,3,0)</f>
        <v>Dispensador</v>
      </c>
      <c r="I4781" s="34" t="s">
        <v>9</v>
      </c>
      <c r="J4781" s="38" t="str">
        <f>VLOOKUP(B4781,CAJEROS!B:E,4,0)</f>
        <v>SUC_BAGRE1</v>
      </c>
      <c r="K4781" t="s">
        <v>579</v>
      </c>
    </row>
    <row r="4782" spans="1:11">
      <c r="A4782" s="32">
        <v>741</v>
      </c>
      <c r="B4782" s="33">
        <v>6841</v>
      </c>
      <c r="C4782" s="3">
        <v>60000</v>
      </c>
      <c r="D4782" s="3"/>
      <c r="E4782" s="7">
        <f t="shared" si="99"/>
        <v>60000</v>
      </c>
      <c r="F4782" s="5">
        <v>45925</v>
      </c>
      <c r="G4782" s="4">
        <v>20250924</v>
      </c>
      <c r="H4782" s="38" t="str">
        <f>VLOOKUP(B4782,CAJEROS!B:D,3,0)</f>
        <v>Dispensador</v>
      </c>
      <c r="I4782" s="34" t="s">
        <v>9</v>
      </c>
      <c r="J4782" s="38" t="str">
        <f>VLOOKUP(B4782,CAJEROS!B:E,4,0)</f>
        <v>SUC_IDEO_1</v>
      </c>
      <c r="K4782" t="s">
        <v>579</v>
      </c>
    </row>
    <row r="4783" spans="1:11">
      <c r="A4783" s="32">
        <v>750</v>
      </c>
      <c r="B4783" s="33">
        <v>5537</v>
      </c>
      <c r="C4783" s="3">
        <v>60000</v>
      </c>
      <c r="D4783" s="3"/>
      <c r="E4783" s="7">
        <f t="shared" si="99"/>
        <v>60000</v>
      </c>
      <c r="F4783" s="5">
        <v>45925</v>
      </c>
      <c r="G4783" s="4">
        <v>20250924</v>
      </c>
      <c r="H4783" s="38" t="str">
        <f>VLOOKUP(B4783,CAJEROS!B:D,3,0)</f>
        <v>Dispensador</v>
      </c>
      <c r="I4783" s="34" t="s">
        <v>9</v>
      </c>
      <c r="J4783" s="38" t="str">
        <f>VLOOKUP(B4783,CAJEROS!B:E,4,0)</f>
        <v>AV_ROOSVEL1</v>
      </c>
      <c r="K4783" t="s">
        <v>579</v>
      </c>
    </row>
    <row r="4784" spans="1:11">
      <c r="A4784" s="32">
        <v>789</v>
      </c>
      <c r="B4784" s="33">
        <v>5660</v>
      </c>
      <c r="C4784" s="3">
        <v>200000</v>
      </c>
      <c r="D4784" s="3"/>
      <c r="E4784" s="7">
        <f t="shared" si="99"/>
        <v>200000</v>
      </c>
      <c r="F4784" s="5">
        <v>45925</v>
      </c>
      <c r="G4784" s="4">
        <v>20250924</v>
      </c>
      <c r="H4784" s="38" t="str">
        <f>VLOOKUP(B4784,CAJEROS!B:D,3,0)</f>
        <v>Dispensador</v>
      </c>
      <c r="I4784" s="34" t="s">
        <v>9</v>
      </c>
      <c r="J4784" s="38" t="str">
        <f>VLOOKUP(B4784,CAJEROS!B:E,4,0)</f>
        <v>MANGA1</v>
      </c>
      <c r="K4784" t="s">
        <v>579</v>
      </c>
    </row>
    <row r="4785" spans="1:11">
      <c r="A4785" s="32">
        <v>848</v>
      </c>
      <c r="B4785" s="33">
        <v>4740</v>
      </c>
      <c r="C4785" s="3">
        <v>2500000</v>
      </c>
      <c r="D4785" s="3"/>
      <c r="E4785" s="7">
        <f t="shared" si="99"/>
        <v>2500000</v>
      </c>
      <c r="F4785" s="5">
        <v>45925</v>
      </c>
      <c r="G4785" s="4">
        <v>20250924</v>
      </c>
      <c r="H4785" s="38" t="str">
        <f>VLOOKUP(B4785,CAJEROS!B:D,3,0)</f>
        <v>Dispensador</v>
      </c>
      <c r="I4785" s="34" t="s">
        <v>9</v>
      </c>
      <c r="J4785" s="38" t="str">
        <f>VLOOKUP(B4785,CAJEROS!B:E,4,0)</f>
        <v>PQECABAL_3</v>
      </c>
      <c r="K4785" t="s">
        <v>579</v>
      </c>
    </row>
    <row r="4786" spans="1:11">
      <c r="A4786" s="32">
        <v>231</v>
      </c>
      <c r="B4786" s="33">
        <v>6243</v>
      </c>
      <c r="C4786" s="3">
        <v>13000</v>
      </c>
      <c r="D4786" s="3">
        <v>10000</v>
      </c>
      <c r="E4786" s="7">
        <f t="shared" si="99"/>
        <v>3000</v>
      </c>
      <c r="F4786" s="5">
        <v>45925</v>
      </c>
      <c r="G4786" s="4">
        <v>20250924</v>
      </c>
      <c r="H4786" s="38" t="str">
        <f>VLOOKUP(B4786,CAJEROS!B:D,3,0)</f>
        <v>Multifuncional</v>
      </c>
      <c r="I4786" s="34"/>
      <c r="J4786" s="38" t="str">
        <f>VLOOKUP(B4786,CAJEROS!B:E,4,0)</f>
        <v>MF_RICAURTE</v>
      </c>
      <c r="K4786" t="s">
        <v>579</v>
      </c>
    </row>
    <row r="4787" spans="1:11">
      <c r="A4787" s="32">
        <v>193</v>
      </c>
      <c r="B4787" s="33">
        <v>8532</v>
      </c>
      <c r="C4787" s="3">
        <v>1600000</v>
      </c>
      <c r="D4787" s="3"/>
      <c r="E4787" s="7">
        <f t="shared" si="99"/>
        <v>1600000</v>
      </c>
      <c r="F4787" s="5">
        <v>45926</v>
      </c>
      <c r="G4787" s="4">
        <v>20250925</v>
      </c>
      <c r="H4787" s="38" t="str">
        <f>VLOOKUP(B4787,CAJEROS!B:D,3,0)</f>
        <v>Dispensador</v>
      </c>
      <c r="I4787" s="34"/>
      <c r="J4787" s="38" t="str">
        <f>VLOOKUP(B4787,CAJEROS!B:E,4,0)</f>
        <v>HALLSUCFIC2</v>
      </c>
      <c r="K4787" t="s">
        <v>579</v>
      </c>
    </row>
    <row r="4788" spans="1:11">
      <c r="A4788" s="32">
        <v>705</v>
      </c>
      <c r="B4788" s="33">
        <v>2792</v>
      </c>
      <c r="C4788" s="3">
        <v>800000</v>
      </c>
      <c r="D4788" s="3">
        <v>100000</v>
      </c>
      <c r="E4788" s="7">
        <f t="shared" si="99"/>
        <v>700000</v>
      </c>
      <c r="F4788" s="5">
        <v>45926</v>
      </c>
      <c r="G4788" s="4">
        <v>20250925</v>
      </c>
      <c r="H4788" s="38" t="str">
        <f>VLOOKUP(B4788,CAJEROS!B:D,3,0)</f>
        <v>Dispensador</v>
      </c>
      <c r="I4788" s="34"/>
      <c r="J4788" s="38" t="str">
        <f>VLOOKUP(B4788,CAJEROS!B:E,4,0)</f>
        <v>_EL_BAGRE_</v>
      </c>
      <c r="K4788" t="s">
        <v>579</v>
      </c>
    </row>
    <row r="4789" spans="1:11">
      <c r="A4789" s="32">
        <v>793</v>
      </c>
      <c r="B4789" s="33">
        <v>8469</v>
      </c>
      <c r="C4789" s="3">
        <v>2300000</v>
      </c>
      <c r="D4789" s="3"/>
      <c r="E4789" s="7">
        <f t="shared" si="99"/>
        <v>2300000</v>
      </c>
      <c r="F4789" s="5">
        <v>45926</v>
      </c>
      <c r="G4789" s="4">
        <v>20250925</v>
      </c>
      <c r="H4789" s="38" t="str">
        <f>VLOOKUP(B4789,CAJEROS!B:D,3,0)</f>
        <v>Dispensador</v>
      </c>
      <c r="I4789" s="34"/>
      <c r="J4789" s="38" t="str">
        <f>VLOOKUP(B4789,CAJEROS!B:E,4,0)</f>
        <v>OFPROFESI_1</v>
      </c>
      <c r="K4789" t="s">
        <v>579</v>
      </c>
    </row>
    <row r="4790" spans="1:11">
      <c r="A4790" s="32">
        <v>60</v>
      </c>
      <c r="B4790" s="33">
        <v>8720</v>
      </c>
      <c r="C4790" s="3">
        <v>200000</v>
      </c>
      <c r="D4790" s="3">
        <v>100000</v>
      </c>
      <c r="E4790" s="7">
        <f t="shared" si="99"/>
        <v>100000</v>
      </c>
      <c r="F4790" s="5">
        <v>45926</v>
      </c>
      <c r="G4790" s="4">
        <v>20250925</v>
      </c>
      <c r="H4790" s="38" t="str">
        <f>VLOOKUP(B4790,CAJEROS!B:D,3,0)</f>
        <v>Dispensador</v>
      </c>
      <c r="I4790" s="34" t="s">
        <v>9</v>
      </c>
      <c r="J4790" s="38" t="str">
        <f>VLOOKUP(B4790,CAJEROS!B:E,4,0)</f>
        <v>HALLCALIPR2</v>
      </c>
      <c r="K4790" t="s">
        <v>579</v>
      </c>
    </row>
    <row r="4791" spans="1:11">
      <c r="A4791" s="32">
        <v>141</v>
      </c>
      <c r="B4791" s="33">
        <v>1415</v>
      </c>
      <c r="C4791" s="3">
        <v>50000</v>
      </c>
      <c r="D4791" s="3"/>
      <c r="E4791" s="7">
        <f t="shared" si="99"/>
        <v>50000</v>
      </c>
      <c r="F4791" s="5">
        <v>45926</v>
      </c>
      <c r="G4791" s="4">
        <v>20250925</v>
      </c>
      <c r="H4791" s="38" t="str">
        <f>VLOOKUP(B4791,CAJEROS!B:D,3,0)</f>
        <v>Dispensador</v>
      </c>
      <c r="I4791" s="34" t="s">
        <v>9</v>
      </c>
      <c r="J4791" s="38" t="str">
        <f>VLOOKUP(B4791,CAJEROS!B:E,4,0)</f>
        <v>MERCANT_5</v>
      </c>
      <c r="K4791" t="s">
        <v>579</v>
      </c>
    </row>
    <row r="4792" spans="1:11">
      <c r="A4792" s="32">
        <v>317</v>
      </c>
      <c r="B4792" s="33">
        <v>3405</v>
      </c>
      <c r="C4792" s="3">
        <v>270000</v>
      </c>
      <c r="D4792" s="3"/>
      <c r="E4792" s="7">
        <f t="shared" si="99"/>
        <v>270000</v>
      </c>
      <c r="F4792" s="5">
        <v>45926</v>
      </c>
      <c r="G4792" s="4">
        <v>20250925</v>
      </c>
      <c r="H4792" s="38" t="str">
        <f>VLOOKUP(B4792,CAJEROS!B:D,3,0)</f>
        <v>Dispensador</v>
      </c>
      <c r="I4792" s="34" t="s">
        <v>9</v>
      </c>
      <c r="J4792" s="38" t="str">
        <f>VLOOKUP(B4792,CAJEROS!B:E,4,0)</f>
        <v>SUCARAUCA_4</v>
      </c>
      <c r="K4792" t="s">
        <v>579</v>
      </c>
    </row>
    <row r="4793" spans="1:11">
      <c r="A4793" s="32">
        <v>426</v>
      </c>
      <c r="B4793" s="33">
        <v>7819</v>
      </c>
      <c r="C4793" s="3">
        <v>100000</v>
      </c>
      <c r="D4793" s="3"/>
      <c r="E4793" s="7">
        <f t="shared" si="99"/>
        <v>100000</v>
      </c>
      <c r="F4793" s="5">
        <v>45926</v>
      </c>
      <c r="G4793" s="4">
        <v>20250925</v>
      </c>
      <c r="H4793" s="38" t="str">
        <f>VLOOKUP(B4793,CAJEROS!B:D,3,0)</f>
        <v>Dispensador</v>
      </c>
      <c r="I4793" s="34" t="s">
        <v>9</v>
      </c>
      <c r="J4793" s="38" t="str">
        <f>VLOOKUP(B4793,CAJEROS!B:E,4,0)</f>
        <v>PURIFICACI2</v>
      </c>
      <c r="K4793" t="s">
        <v>579</v>
      </c>
    </row>
    <row r="4794" spans="1:11">
      <c r="A4794" s="32">
        <v>499</v>
      </c>
      <c r="B4794" s="33">
        <v>9808</v>
      </c>
      <c r="C4794" s="3">
        <v>1000000</v>
      </c>
      <c r="D4794" s="3">
        <v>390000</v>
      </c>
      <c r="E4794" s="7">
        <f t="shared" si="99"/>
        <v>610000</v>
      </c>
      <c r="F4794" s="5">
        <v>45926</v>
      </c>
      <c r="G4794" s="4">
        <v>20250925</v>
      </c>
      <c r="H4794" s="38" t="str">
        <f>VLOOKUP(B4794,CAJEROS!B:D,3,0)</f>
        <v>Dispensador</v>
      </c>
      <c r="I4794" s="34" t="s">
        <v>9</v>
      </c>
      <c r="J4794" s="38" t="str">
        <f>VLOOKUP(B4794,CAJEROS!B:E,4,0)</f>
        <v>SUCPARFAB10</v>
      </c>
      <c r="K4794" t="s">
        <v>579</v>
      </c>
    </row>
    <row r="4795" spans="1:11">
      <c r="A4795" s="32">
        <v>631</v>
      </c>
      <c r="B4795" s="33">
        <v>2795</v>
      </c>
      <c r="C4795" s="3">
        <v>60000</v>
      </c>
      <c r="D4795" s="3"/>
      <c r="E4795" s="7">
        <f t="shared" si="99"/>
        <v>60000</v>
      </c>
      <c r="F4795" s="5">
        <v>45926</v>
      </c>
      <c r="G4795" s="4">
        <v>20250925</v>
      </c>
      <c r="H4795" s="38" t="str">
        <f>VLOOKUP(B4795,CAJEROS!B:D,3,0)</f>
        <v>Dispensador</v>
      </c>
      <c r="I4795" s="34" t="s">
        <v>9</v>
      </c>
      <c r="J4795" s="38" t="str">
        <f>VLOOKUP(B4795,CAJEROS!B:E,4,0)</f>
        <v>SUCURIBIA_5</v>
      </c>
      <c r="K4795" t="s">
        <v>579</v>
      </c>
    </row>
    <row r="4796" spans="1:11">
      <c r="A4796" s="32">
        <v>832</v>
      </c>
      <c r="B4796" s="33">
        <v>4767</v>
      </c>
      <c r="C4796" s="3">
        <v>30000</v>
      </c>
      <c r="D4796" s="3"/>
      <c r="E4796" s="7">
        <f t="shared" si="99"/>
        <v>30000</v>
      </c>
      <c r="F4796" s="5">
        <v>45926</v>
      </c>
      <c r="G4796" s="4">
        <v>20250925</v>
      </c>
      <c r="H4796" s="38" t="str">
        <f>VLOOKUP(B4796,CAJEROS!B:D,3,0)</f>
        <v>Dispensador</v>
      </c>
      <c r="I4796" s="34" t="s">
        <v>9</v>
      </c>
      <c r="J4796" s="38" t="str">
        <f>VLOOKUP(B4796,CAJEROS!B:E,4,0)</f>
        <v>SUC_SANTAN1</v>
      </c>
      <c r="K4796" t="s">
        <v>579</v>
      </c>
    </row>
    <row r="4797" spans="1:11">
      <c r="A4797" s="32">
        <v>832</v>
      </c>
      <c r="B4797" s="33">
        <v>4768</v>
      </c>
      <c r="C4797" s="3">
        <v>400000</v>
      </c>
      <c r="D4797" s="3">
        <v>320000</v>
      </c>
      <c r="E4797" s="7">
        <f t="shared" si="99"/>
        <v>80000</v>
      </c>
      <c r="F4797" s="5">
        <v>45926</v>
      </c>
      <c r="G4797" s="4">
        <v>20250925</v>
      </c>
      <c r="H4797" s="38" t="str">
        <f>VLOOKUP(B4797,CAJEROS!B:D,3,0)</f>
        <v>Dispensador</v>
      </c>
      <c r="I4797" s="34" t="s">
        <v>9</v>
      </c>
      <c r="J4797" s="38" t="str">
        <f>VLOOKUP(B4797,CAJEROS!B:E,4,0)</f>
        <v>SUC_SANTAN2</v>
      </c>
      <c r="K4797" t="s">
        <v>579</v>
      </c>
    </row>
    <row r="4798" spans="1:11">
      <c r="A4798" s="32">
        <v>861</v>
      </c>
      <c r="B4798" s="33">
        <v>5958</v>
      </c>
      <c r="C4798" s="3">
        <v>300000</v>
      </c>
      <c r="D4798" s="3">
        <v>260000</v>
      </c>
      <c r="E4798" s="7">
        <f t="shared" si="99"/>
        <v>40000</v>
      </c>
      <c r="F4798" s="5">
        <v>45926</v>
      </c>
      <c r="G4798" s="4">
        <v>20250925</v>
      </c>
      <c r="H4798" s="38" t="str">
        <f>VLOOKUP(B4798,CAJEROS!B:D,3,0)</f>
        <v>Dispensador</v>
      </c>
      <c r="I4798" s="34" t="s">
        <v>9</v>
      </c>
      <c r="J4798" s="38" t="str">
        <f>VLOOKUP(B4798,CAJEROS!B:E,4,0)</f>
        <v>SUC_ALBANI2</v>
      </c>
      <c r="K4798" t="s">
        <v>579</v>
      </c>
    </row>
    <row r="4799" spans="1:11">
      <c r="A4799" s="32">
        <v>265</v>
      </c>
      <c r="B4799" s="33">
        <v>5083</v>
      </c>
      <c r="C4799" s="3">
        <v>2200000</v>
      </c>
      <c r="D4799" s="3">
        <v>215000</v>
      </c>
      <c r="E4799" s="7">
        <f t="shared" si="99"/>
        <v>1985000</v>
      </c>
      <c r="F4799" s="5">
        <v>45926</v>
      </c>
      <c r="G4799" s="4">
        <v>20250925</v>
      </c>
      <c r="H4799" s="38" t="str">
        <f>VLOOKUP(B4799,CAJEROS!B:D,3,0)</f>
        <v>Multifuncional</v>
      </c>
      <c r="I4799" s="34"/>
      <c r="J4799" s="38" t="str">
        <f>VLOOKUP(B4799,CAJEROS!B:E,4,0)</f>
        <v>MF_VALLELIL</v>
      </c>
      <c r="K4799" t="s">
        <v>579</v>
      </c>
    </row>
    <row r="4800" spans="1:11">
      <c r="A4800" s="32">
        <v>371</v>
      </c>
      <c r="B4800" s="33">
        <v>6718</v>
      </c>
      <c r="C4800" s="3">
        <v>46950000</v>
      </c>
      <c r="D4800" s="3">
        <v>25664500</v>
      </c>
      <c r="E4800" s="7">
        <f t="shared" si="99"/>
        <v>21285500</v>
      </c>
      <c r="F4800" s="5">
        <v>45926</v>
      </c>
      <c r="G4800" s="4">
        <v>20250925</v>
      </c>
      <c r="H4800" s="38" t="str">
        <f>VLOOKUP(B4800,CAJEROS!B:D,3,0)</f>
        <v>Multifuncional</v>
      </c>
      <c r="I4800" s="34"/>
      <c r="J4800" s="38" t="str">
        <f>VLOOKUP(B4800,CAJEROS!B:E,4,0)</f>
        <v>MF_CAUCASIA</v>
      </c>
      <c r="K4800" t="s">
        <v>579</v>
      </c>
    </row>
    <row r="4801" spans="1:11">
      <c r="A4801" s="32">
        <v>511</v>
      </c>
      <c r="B4801" s="33">
        <v>5122</v>
      </c>
      <c r="C4801" s="3">
        <v>6969000</v>
      </c>
      <c r="D4801" s="3">
        <v>176200</v>
      </c>
      <c r="E4801" s="7">
        <f t="shared" si="99"/>
        <v>6792800</v>
      </c>
      <c r="F4801" s="5">
        <v>45926</v>
      </c>
      <c r="G4801" s="4">
        <v>20250925</v>
      </c>
      <c r="H4801" s="38" t="str">
        <f>VLOOKUP(B4801,CAJEROS!B:D,3,0)</f>
        <v>Multifuncional</v>
      </c>
      <c r="I4801" s="34"/>
      <c r="J4801" s="38" t="str">
        <f>VLOOKUP(B4801,CAJEROS!B:E,4,0)</f>
        <v>MF_PTOCLAVE</v>
      </c>
      <c r="K4801" t="s">
        <v>579</v>
      </c>
    </row>
    <row r="4802" spans="1:11">
      <c r="A4802" s="32">
        <v>716</v>
      </c>
      <c r="B4802" s="33">
        <v>5192</v>
      </c>
      <c r="C4802" s="3">
        <v>50</v>
      </c>
      <c r="D4802" s="3"/>
      <c r="E4802" s="7">
        <f t="shared" si="99"/>
        <v>50</v>
      </c>
      <c r="F4802" s="5">
        <v>45926</v>
      </c>
      <c r="G4802" s="4">
        <v>20250925</v>
      </c>
      <c r="H4802" s="38" t="str">
        <f>VLOOKUP(B4802,CAJEROS!B:D,3,0)</f>
        <v>Multifuncional</v>
      </c>
      <c r="I4802" s="34"/>
      <c r="J4802" s="38" t="str">
        <f>VLOOKUP(B4802,CAJEROS!B:E,4,0)</f>
        <v>MF_AVCGORDS</v>
      </c>
      <c r="K4802" t="s">
        <v>579</v>
      </c>
    </row>
    <row r="4803" spans="1:11">
      <c r="A4803" s="32">
        <v>890</v>
      </c>
      <c r="B4803" s="33">
        <v>9584</v>
      </c>
      <c r="C4803" s="3">
        <v>2606050</v>
      </c>
      <c r="D4803" s="3"/>
      <c r="E4803" s="7">
        <f t="shared" si="99"/>
        <v>2606050</v>
      </c>
      <c r="F4803" s="5">
        <v>45926</v>
      </c>
      <c r="G4803" s="4">
        <v>20250925</v>
      </c>
      <c r="H4803" s="38" t="str">
        <f>VLOOKUP(B4803,CAJEROS!B:D,3,0)</f>
        <v>Multifuncional</v>
      </c>
      <c r="I4803" s="34"/>
      <c r="J4803" s="38" t="str">
        <f>VLOOKUP(B4803,CAJEROS!B:E,4,0)</f>
        <v>MFSUCACACI1</v>
      </c>
      <c r="K4803" t="s">
        <v>579</v>
      </c>
    </row>
    <row r="4804" spans="1:11">
      <c r="A4804" s="32">
        <v>946</v>
      </c>
      <c r="B4804" s="33">
        <v>5225</v>
      </c>
      <c r="C4804" s="3">
        <v>3005000</v>
      </c>
      <c r="D4804" s="3">
        <f>770000+2185000</f>
        <v>2955000</v>
      </c>
      <c r="E4804" s="7">
        <f t="shared" si="99"/>
        <v>50000</v>
      </c>
      <c r="F4804" s="5">
        <v>45926</v>
      </c>
      <c r="G4804" s="4">
        <v>20250925</v>
      </c>
      <c r="H4804" s="38" t="str">
        <f>VLOOKUP(B4804,CAJEROS!B:D,3,0)</f>
        <v>Multifuncional</v>
      </c>
      <c r="I4804" s="34"/>
      <c r="J4804" s="38" t="str">
        <f>VLOOKUP(B4804,CAJEROS!B:E,4,0)</f>
        <v>MF_SABANACH</v>
      </c>
      <c r="K4804" t="s">
        <v>579</v>
      </c>
    </row>
    <row r="4805" spans="1:11">
      <c r="A4805" s="32">
        <v>267</v>
      </c>
      <c r="B4805" s="33">
        <v>6186</v>
      </c>
      <c r="C4805" s="3">
        <v>3913000</v>
      </c>
      <c r="D4805" s="3">
        <v>3906000</v>
      </c>
      <c r="E4805" s="7">
        <f t="shared" si="99"/>
        <v>7000</v>
      </c>
      <c r="F4805" s="5">
        <v>45926</v>
      </c>
      <c r="G4805" s="4">
        <v>20250925</v>
      </c>
      <c r="H4805" s="38" t="str">
        <f>VLOOKUP(B4805,CAJEROS!B:D,3,0)</f>
        <v>Multifuncional</v>
      </c>
      <c r="I4805" s="34" t="s">
        <v>9</v>
      </c>
      <c r="J4805" s="38" t="str">
        <f>VLOOKUP(B4805,CAJEROS!B:E,4,0)</f>
        <v>MF_VISITACI</v>
      </c>
      <c r="K4805" t="s">
        <v>579</v>
      </c>
    </row>
    <row r="4806" spans="1:11">
      <c r="A4806" s="32">
        <v>20</v>
      </c>
      <c r="B4806" s="33">
        <v>6839</v>
      </c>
      <c r="C4806" s="3">
        <v>3720000</v>
      </c>
      <c r="D4806" s="3">
        <v>2184200</v>
      </c>
      <c r="E4806" s="7">
        <f t="shared" si="99"/>
        <v>1535800</v>
      </c>
      <c r="F4806" s="5">
        <v>45926</v>
      </c>
      <c r="G4806" s="4">
        <v>20250925</v>
      </c>
      <c r="H4806" s="38" t="str">
        <f>VLOOKUP(B4806,CAJEROS!B:D,3,0)</f>
        <v>Multifuncional</v>
      </c>
      <c r="I4806" s="34" t="s">
        <v>9</v>
      </c>
      <c r="J4806" s="38" t="str">
        <f>VLOOKUP(B4806,CAJEROS!B:E,4,0)</f>
        <v>MF_BUCMANG3</v>
      </c>
      <c r="K4806" t="s">
        <v>579</v>
      </c>
    </row>
    <row r="4807" spans="1:11">
      <c r="A4807" s="32">
        <v>20</v>
      </c>
      <c r="B4807" s="33">
        <v>8927</v>
      </c>
      <c r="C4807" s="3">
        <v>3518000</v>
      </c>
      <c r="D4807" s="3"/>
      <c r="E4807" s="7">
        <f t="shared" si="99"/>
        <v>3518000</v>
      </c>
      <c r="F4807" s="5">
        <v>45926</v>
      </c>
      <c r="G4807" s="4">
        <v>20250925</v>
      </c>
      <c r="H4807" s="38" t="str">
        <f>VLOOKUP(B4807,CAJEROS!B:D,3,0)</f>
        <v>Multifuncional</v>
      </c>
      <c r="I4807" s="34" t="s">
        <v>9</v>
      </c>
      <c r="J4807" s="38" t="str">
        <f>VLOOKUP(B4807,CAJEROS!B:E,4,0)</f>
        <v>MFSUCBUCMG2</v>
      </c>
      <c r="K4807" t="s">
        <v>579</v>
      </c>
    </row>
    <row r="4808" spans="1:11">
      <c r="A4808" s="32">
        <v>541</v>
      </c>
      <c r="B4808" s="33">
        <v>8660</v>
      </c>
      <c r="C4808" s="3">
        <v>2460000</v>
      </c>
      <c r="D4808" s="3">
        <v>1634000</v>
      </c>
      <c r="E4808" s="7">
        <f t="shared" si="99"/>
        <v>826000</v>
      </c>
      <c r="F4808" s="5">
        <v>45926</v>
      </c>
      <c r="G4808" s="4">
        <v>20250925</v>
      </c>
      <c r="H4808" s="38" t="str">
        <f>VLOOKUP(B4808,CAJEROS!B:D,3,0)</f>
        <v>Multifuncional</v>
      </c>
      <c r="I4808" s="34" t="s">
        <v>9</v>
      </c>
      <c r="J4808" s="38" t="str">
        <f>VLOOKUP(B4808,CAJEROS!B:E,4,0)</f>
        <v>MF_SUCCALP2</v>
      </c>
      <c r="K4808" t="s">
        <v>579</v>
      </c>
    </row>
    <row r="4809" spans="1:11">
      <c r="A4809" s="32">
        <v>634</v>
      </c>
      <c r="B4809" s="33">
        <v>5087</v>
      </c>
      <c r="C4809" s="3">
        <v>2210000</v>
      </c>
      <c r="D4809" s="3">
        <v>2164800</v>
      </c>
      <c r="E4809" s="7">
        <f t="shared" si="99"/>
        <v>45200</v>
      </c>
      <c r="F4809" s="5">
        <v>45926</v>
      </c>
      <c r="G4809" s="4">
        <v>20250925</v>
      </c>
      <c r="H4809" s="38" t="str">
        <f>VLOOKUP(B4809,CAJEROS!B:D,3,0)</f>
        <v>Multifuncional</v>
      </c>
      <c r="I4809" s="34" t="s">
        <v>9</v>
      </c>
      <c r="J4809" s="38" t="str">
        <f>VLOOKUP(B4809,CAJEROS!B:E,4,0)</f>
        <v>MF_AVENI127</v>
      </c>
      <c r="K4809" t="s">
        <v>579</v>
      </c>
    </row>
    <row r="4810" spans="1:11">
      <c r="A4810" s="32">
        <v>302</v>
      </c>
      <c r="B4810" s="33">
        <v>5170</v>
      </c>
      <c r="C4810" s="3">
        <v>1550000</v>
      </c>
      <c r="D4810" s="3"/>
      <c r="E4810" s="7">
        <f t="shared" si="99"/>
        <v>1550000</v>
      </c>
      <c r="F4810" s="5">
        <v>45926</v>
      </c>
      <c r="G4810" s="4">
        <v>20250925</v>
      </c>
      <c r="H4810" s="38" t="str">
        <f>VLOOKUP(B4810,CAJEROS!B:D,3,0)</f>
        <v>Multifuncional</v>
      </c>
      <c r="I4810" s="34" t="s">
        <v>9</v>
      </c>
      <c r="J4810" s="38" t="str">
        <f>VLOOKUP(B4810,CAJEROS!B:E,4,0)</f>
        <v>MF_QUEBRASE</v>
      </c>
      <c r="K4810" t="s">
        <v>579</v>
      </c>
    </row>
    <row r="4811" spans="1:11">
      <c r="A4811" s="32">
        <v>844</v>
      </c>
      <c r="B4811" s="33">
        <v>6169</v>
      </c>
      <c r="C4811" s="3">
        <v>1340000</v>
      </c>
      <c r="D4811" s="3">
        <f>79000+1218100</f>
        <v>1297100</v>
      </c>
      <c r="E4811" s="7">
        <f t="shared" si="99"/>
        <v>42900</v>
      </c>
      <c r="F4811" s="5">
        <v>45926</v>
      </c>
      <c r="G4811" s="4">
        <v>20250925</v>
      </c>
      <c r="H4811" s="38" t="str">
        <f>VLOOKUP(B4811,CAJEROS!B:D,3,0)</f>
        <v>Multifuncional</v>
      </c>
      <c r="I4811" s="34" t="s">
        <v>9</v>
      </c>
      <c r="J4811" s="38" t="str">
        <f>VLOOKUP(B4811,CAJEROS!B:E,4,0)</f>
        <v>MF_PRIMAVRA</v>
      </c>
      <c r="K4811" t="s">
        <v>579</v>
      </c>
    </row>
    <row r="4812" spans="1:11">
      <c r="A4812" s="32">
        <v>915</v>
      </c>
      <c r="B4812" s="33">
        <v>8314</v>
      </c>
      <c r="C4812" s="3">
        <v>1300000</v>
      </c>
      <c r="D4812" s="3">
        <f>400000+700000</f>
        <v>1100000</v>
      </c>
      <c r="E4812" s="7">
        <f t="shared" si="99"/>
        <v>200000</v>
      </c>
      <c r="F4812" s="5">
        <v>45926</v>
      </c>
      <c r="G4812" s="4">
        <v>20250925</v>
      </c>
      <c r="H4812" s="38" t="str">
        <f>VLOOKUP(B4812,CAJEROS!B:D,3,0)</f>
        <v>Multifuncional</v>
      </c>
      <c r="I4812" s="34" t="s">
        <v>9</v>
      </c>
      <c r="J4812" s="38" t="str">
        <f>VLOOKUP(B4812,CAJEROS!B:E,4,0)</f>
        <v>MF_BANLABB2</v>
      </c>
      <c r="K4812" t="s">
        <v>579</v>
      </c>
    </row>
    <row r="4813" spans="1:11">
      <c r="A4813" s="32">
        <v>721</v>
      </c>
      <c r="B4813" s="33">
        <v>8896</v>
      </c>
      <c r="C4813" s="3">
        <v>1119650</v>
      </c>
      <c r="D4813" s="3"/>
      <c r="E4813" s="7">
        <f t="shared" si="99"/>
        <v>1119650</v>
      </c>
      <c r="F4813" s="5">
        <v>45926</v>
      </c>
      <c r="G4813" s="4">
        <v>20250925</v>
      </c>
      <c r="H4813" s="38" t="str">
        <f>VLOOKUP(B4813,CAJEROS!B:D,3,0)</f>
        <v>Multifuncional</v>
      </c>
      <c r="I4813" s="34" t="s">
        <v>9</v>
      </c>
      <c r="J4813" s="38" t="str">
        <f>VLOOKUP(B4813,CAJEROS!B:E,4,0)</f>
        <v>MFSUCLAGO1</v>
      </c>
      <c r="K4813" t="s">
        <v>579</v>
      </c>
    </row>
    <row r="4814" spans="1:11">
      <c r="A4814" s="32">
        <v>762</v>
      </c>
      <c r="B4814" s="33">
        <v>5181</v>
      </c>
      <c r="C4814" s="3">
        <v>1030000</v>
      </c>
      <c r="D4814" s="3"/>
      <c r="E4814" s="7">
        <f t="shared" si="99"/>
        <v>1030000</v>
      </c>
      <c r="F4814" s="5">
        <v>45926</v>
      </c>
      <c r="G4814" s="4">
        <v>20250925</v>
      </c>
      <c r="H4814" s="38" t="str">
        <f>VLOOKUP(B4814,CAJEROS!B:D,3,0)</f>
        <v>Multifuncional</v>
      </c>
      <c r="I4814" s="34" t="s">
        <v>9</v>
      </c>
      <c r="J4814" s="38" t="str">
        <f>VLOOKUP(B4814,CAJEROS!B:E,4,0)</f>
        <v>MF_HERRADU1</v>
      </c>
      <c r="K4814" t="s">
        <v>579</v>
      </c>
    </row>
    <row r="4815" spans="1:11">
      <c r="A4815" s="32">
        <v>866</v>
      </c>
      <c r="B4815" s="33">
        <v>8662</v>
      </c>
      <c r="C4815" s="3">
        <v>930000</v>
      </c>
      <c r="D4815" s="3">
        <v>517600</v>
      </c>
      <c r="E4815" s="7">
        <f t="shared" si="99"/>
        <v>412400</v>
      </c>
      <c r="F4815" s="5">
        <v>45926</v>
      </c>
      <c r="G4815" s="4">
        <v>20250925</v>
      </c>
      <c r="H4815" s="38" t="str">
        <f>VLOOKUP(B4815,CAJEROS!B:D,3,0)</f>
        <v>Multifuncional</v>
      </c>
      <c r="I4815" s="34" t="s">
        <v>9</v>
      </c>
      <c r="J4815" s="38" t="str">
        <f>VLOOKUP(B4815,CAJEROS!B:E,4,0)</f>
        <v>MF_FLORID3</v>
      </c>
      <c r="K4815" t="s">
        <v>579</v>
      </c>
    </row>
    <row r="4816" spans="1:11">
      <c r="A4816" s="32">
        <v>916</v>
      </c>
      <c r="B4816" s="33">
        <v>5052</v>
      </c>
      <c r="C4816" s="3">
        <v>885000</v>
      </c>
      <c r="D4816" s="3"/>
      <c r="E4816" s="7">
        <f t="shared" si="99"/>
        <v>885000</v>
      </c>
      <c r="F4816" s="5">
        <v>45926</v>
      </c>
      <c r="G4816" s="4">
        <v>20250925</v>
      </c>
      <c r="H4816" s="38" t="str">
        <f>VLOOKUP(B4816,CAJEROS!B:D,3,0)</f>
        <v>Multifuncional</v>
      </c>
      <c r="I4816" s="34" t="s">
        <v>9</v>
      </c>
      <c r="J4816" s="38" t="str">
        <f>VLOOKUP(B4816,CAJEROS!B:E,4,0)</f>
        <v>MF_OCEANMAL</v>
      </c>
      <c r="K4816" t="s">
        <v>579</v>
      </c>
    </row>
    <row r="4817" spans="1:11">
      <c r="A4817" s="32">
        <v>779</v>
      </c>
      <c r="B4817" s="33">
        <v>5013</v>
      </c>
      <c r="C4817" s="3">
        <v>850000</v>
      </c>
      <c r="D4817" s="3"/>
      <c r="E4817" s="7">
        <f t="shared" si="99"/>
        <v>850000</v>
      </c>
      <c r="F4817" s="5">
        <v>45926</v>
      </c>
      <c r="G4817" s="4">
        <v>20250925</v>
      </c>
      <c r="H4817" s="38" t="str">
        <f>VLOOKUP(B4817,CAJEROS!B:D,3,0)</f>
        <v>Multifuncional</v>
      </c>
      <c r="I4817" s="34" t="s">
        <v>9</v>
      </c>
      <c r="J4817" s="38" t="str">
        <f>VLOOKUP(B4817,CAJEROS!B:E,4,0)</f>
        <v>MF_BUENASM1</v>
      </c>
      <c r="K4817" t="s">
        <v>579</v>
      </c>
    </row>
    <row r="4818" spans="1:11">
      <c r="A4818" s="32">
        <v>383</v>
      </c>
      <c r="B4818" s="33">
        <v>5194</v>
      </c>
      <c r="C4818" s="3">
        <v>805000</v>
      </c>
      <c r="D4818" s="3"/>
      <c r="E4818" s="7">
        <f t="shared" si="99"/>
        <v>805000</v>
      </c>
      <c r="F4818" s="5">
        <v>45926</v>
      </c>
      <c r="G4818" s="4">
        <v>20250925</v>
      </c>
      <c r="H4818" s="38" t="str">
        <f>VLOOKUP(B4818,CAJEROS!B:D,3,0)</f>
        <v>Multifuncional</v>
      </c>
      <c r="I4818" s="34" t="s">
        <v>9</v>
      </c>
      <c r="J4818" s="38" t="str">
        <f>VLOOKUP(B4818,CAJEROS!B:E,4,0)</f>
        <v>MF_MADRID</v>
      </c>
      <c r="K4818" t="s">
        <v>579</v>
      </c>
    </row>
    <row r="4819" spans="1:11">
      <c r="A4819" s="32">
        <v>453</v>
      </c>
      <c r="B4819" s="33">
        <v>8019</v>
      </c>
      <c r="C4819" s="3">
        <v>804500</v>
      </c>
      <c r="D4819" s="3"/>
      <c r="E4819" s="7">
        <f t="shared" si="99"/>
        <v>804500</v>
      </c>
      <c r="F4819" s="5">
        <v>45926</v>
      </c>
      <c r="G4819" s="4">
        <v>20250925</v>
      </c>
      <c r="H4819" s="38" t="str">
        <f>VLOOKUP(B4819,CAJEROS!B:D,3,0)</f>
        <v>Multifuncional</v>
      </c>
      <c r="I4819" s="34" t="s">
        <v>9</v>
      </c>
      <c r="J4819" s="38" t="str">
        <f>VLOOKUP(B4819,CAJEROS!B:E,4,0)</f>
        <v>MFSUCPITAL2</v>
      </c>
      <c r="K4819" t="s">
        <v>579</v>
      </c>
    </row>
    <row r="4820" spans="1:11">
      <c r="A4820" s="32">
        <v>115</v>
      </c>
      <c r="B4820" s="33">
        <v>5080</v>
      </c>
      <c r="C4820" s="3">
        <v>770000</v>
      </c>
      <c r="D4820" s="3"/>
      <c r="E4820" s="7">
        <f t="shared" si="99"/>
        <v>770000</v>
      </c>
      <c r="F4820" s="5">
        <v>45926</v>
      </c>
      <c r="G4820" s="4">
        <v>20250925</v>
      </c>
      <c r="H4820" s="38" t="str">
        <f>VLOOKUP(B4820,CAJEROS!B:D,3,0)</f>
        <v>Multifuncional</v>
      </c>
      <c r="I4820" s="34" t="s">
        <v>9</v>
      </c>
      <c r="J4820" s="38" t="str">
        <f>VLOOKUP(B4820,CAJEROS!B:E,4,0)</f>
        <v>MF_CIPEREIR</v>
      </c>
      <c r="K4820" t="s">
        <v>579</v>
      </c>
    </row>
    <row r="4821" spans="1:11">
      <c r="A4821" s="32">
        <v>388</v>
      </c>
      <c r="B4821" s="33">
        <v>5169</v>
      </c>
      <c r="C4821" s="3">
        <v>640000</v>
      </c>
      <c r="D4821" s="3"/>
      <c r="E4821" s="7">
        <f t="shared" si="99"/>
        <v>640000</v>
      </c>
      <c r="F4821" s="5">
        <v>45926</v>
      </c>
      <c r="G4821" s="4">
        <v>20250925</v>
      </c>
      <c r="H4821" s="38" t="str">
        <f>VLOOKUP(B4821,CAJEROS!B:D,3,0)</f>
        <v>Multifuncional</v>
      </c>
      <c r="I4821" s="34" t="s">
        <v>9</v>
      </c>
      <c r="J4821" s="38" t="str">
        <f>VLOOKUP(B4821,CAJEROS!B:E,4,0)</f>
        <v>MF_SUCHAYU1</v>
      </c>
      <c r="K4821" t="s">
        <v>579</v>
      </c>
    </row>
    <row r="4822" spans="1:11">
      <c r="A4822" s="32">
        <v>4</v>
      </c>
      <c r="B4822" s="33">
        <v>8631</v>
      </c>
      <c r="C4822" s="3">
        <v>610000</v>
      </c>
      <c r="D4822" s="3"/>
      <c r="E4822" s="7">
        <f t="shared" ref="E4822:E4885" si="100">+C4822-D4822</f>
        <v>610000</v>
      </c>
      <c r="F4822" s="5">
        <v>45926</v>
      </c>
      <c r="G4822" s="4">
        <v>20250925</v>
      </c>
      <c r="H4822" s="38" t="str">
        <f>VLOOKUP(B4822,CAJEROS!B:D,3,0)</f>
        <v>Multifuncional</v>
      </c>
      <c r="I4822" s="34" t="s">
        <v>9</v>
      </c>
      <c r="J4822" s="38" t="str">
        <f>VLOOKUP(B4822,CAJEROS!B:E,4,0)</f>
        <v>MF_SUCLAUR2</v>
      </c>
      <c r="K4822" t="s">
        <v>579</v>
      </c>
    </row>
    <row r="4823" spans="1:11">
      <c r="A4823" s="32">
        <v>57</v>
      </c>
      <c r="B4823" s="33">
        <v>9963</v>
      </c>
      <c r="C4823" s="3">
        <v>580000</v>
      </c>
      <c r="D4823" s="3"/>
      <c r="E4823" s="7">
        <f t="shared" si="100"/>
        <v>580000</v>
      </c>
      <c r="F4823" s="5">
        <v>45926</v>
      </c>
      <c r="G4823" s="4">
        <v>20250925</v>
      </c>
      <c r="H4823" s="38" t="str">
        <f>VLOOKUP(B4823,CAJEROS!B:D,3,0)</f>
        <v>Multifuncional</v>
      </c>
      <c r="I4823" s="34" t="s">
        <v>9</v>
      </c>
      <c r="J4823" s="38" t="str">
        <f>VLOOKUP(B4823,CAJEROS!B:E,4,0)</f>
        <v>MF_VILLAVI1</v>
      </c>
      <c r="K4823" t="s">
        <v>579</v>
      </c>
    </row>
    <row r="4824" spans="1:11">
      <c r="A4824" s="32">
        <v>623</v>
      </c>
      <c r="B4824" s="33">
        <v>5047</v>
      </c>
      <c r="C4824" s="3">
        <v>550000</v>
      </c>
      <c r="D4824" s="3">
        <v>547000</v>
      </c>
      <c r="E4824" s="7">
        <f t="shared" si="100"/>
        <v>3000</v>
      </c>
      <c r="F4824" s="5">
        <v>45926</v>
      </c>
      <c r="G4824" s="4">
        <v>20250925</v>
      </c>
      <c r="H4824" s="38" t="str">
        <f>VLOOKUP(B4824,CAJEROS!B:D,3,0)</f>
        <v>Multifuncional</v>
      </c>
      <c r="I4824" s="34" t="s">
        <v>9</v>
      </c>
      <c r="J4824" s="38" t="str">
        <f>VLOOKUP(B4824,CAJEROS!B:E,4,0)</f>
        <v>MF_FMANIZAL</v>
      </c>
      <c r="K4824" t="s">
        <v>579</v>
      </c>
    </row>
    <row r="4825" spans="1:11">
      <c r="A4825" s="32">
        <v>454</v>
      </c>
      <c r="B4825" s="33">
        <v>5231</v>
      </c>
      <c r="C4825" s="3">
        <v>509000</v>
      </c>
      <c r="D4825" s="3"/>
      <c r="E4825" s="7">
        <f t="shared" si="100"/>
        <v>509000</v>
      </c>
      <c r="F4825" s="5">
        <v>45926</v>
      </c>
      <c r="G4825" s="4">
        <v>20250925</v>
      </c>
      <c r="H4825" s="38" t="str">
        <f>VLOOKUP(B4825,CAJEROS!B:D,3,0)</f>
        <v>Multifuncional</v>
      </c>
      <c r="I4825" s="34" t="s">
        <v>9</v>
      </c>
      <c r="J4825" s="38" t="str">
        <f>VLOOKUP(B4825,CAJEROS!B:E,4,0)</f>
        <v>MF_5TAVENID</v>
      </c>
      <c r="K4825" t="s">
        <v>579</v>
      </c>
    </row>
    <row r="4826" spans="1:11">
      <c r="A4826" s="32">
        <v>499</v>
      </c>
      <c r="B4826" s="33">
        <v>9811</v>
      </c>
      <c r="C4826" s="3">
        <v>470000</v>
      </c>
      <c r="D4826" s="3">
        <v>119950</v>
      </c>
      <c r="E4826" s="7">
        <f t="shared" si="100"/>
        <v>350050</v>
      </c>
      <c r="F4826" s="5">
        <v>45926</v>
      </c>
      <c r="G4826" s="4">
        <v>20250925</v>
      </c>
      <c r="H4826" s="38" t="str">
        <f>VLOOKUP(B4826,CAJEROS!B:D,3,0)</f>
        <v>Multifuncional</v>
      </c>
      <c r="I4826" s="34" t="s">
        <v>9</v>
      </c>
      <c r="J4826" s="38" t="str">
        <f>VLOOKUP(B4826,CAJEROS!B:E,4,0)</f>
        <v>MF_SUCPLZF2</v>
      </c>
      <c r="K4826" t="s">
        <v>579</v>
      </c>
    </row>
    <row r="4827" spans="1:11">
      <c r="A4827" s="32">
        <v>287</v>
      </c>
      <c r="B4827" s="33">
        <v>907</v>
      </c>
      <c r="C4827" s="3">
        <v>442000</v>
      </c>
      <c r="D4827" s="3"/>
      <c r="E4827" s="7">
        <f t="shared" si="100"/>
        <v>442000</v>
      </c>
      <c r="F4827" s="5">
        <v>45926</v>
      </c>
      <c r="G4827" s="4">
        <v>20250925</v>
      </c>
      <c r="H4827" s="38" t="str">
        <f>VLOOKUP(B4827,CAJEROS!B:D,3,0)</f>
        <v>Multifuncional</v>
      </c>
      <c r="I4827" s="34" t="s">
        <v>9</v>
      </c>
      <c r="J4827" s="38" t="str">
        <f>VLOOKUP(B4827,CAJEROS!B:E,4,0)</f>
        <v>MFABASTOBGA</v>
      </c>
      <c r="K4827" t="s">
        <v>579</v>
      </c>
    </row>
    <row r="4828" spans="1:11">
      <c r="A4828" s="32">
        <v>442</v>
      </c>
      <c r="B4828" s="33">
        <v>8887</v>
      </c>
      <c r="C4828" s="3">
        <v>410000</v>
      </c>
      <c r="D4828" s="3"/>
      <c r="E4828" s="7">
        <f t="shared" si="100"/>
        <v>410000</v>
      </c>
      <c r="F4828" s="5">
        <v>45926</v>
      </c>
      <c r="G4828" s="4">
        <v>20250925</v>
      </c>
      <c r="H4828" s="38" t="str">
        <f>VLOOKUP(B4828,CAJEROS!B:D,3,0)</f>
        <v>Multifuncional</v>
      </c>
      <c r="I4828" s="34" t="s">
        <v>9</v>
      </c>
      <c r="J4828" s="38" t="str">
        <f>VLOOKUP(B4828,CAJEROS!B:E,4,0)</f>
        <v>MFVIVABQUI1</v>
      </c>
      <c r="K4828" t="s">
        <v>579</v>
      </c>
    </row>
    <row r="4829" spans="1:11">
      <c r="A4829" s="32">
        <v>907</v>
      </c>
      <c r="B4829" s="33">
        <v>5019</v>
      </c>
      <c r="C4829" s="3">
        <v>410000</v>
      </c>
      <c r="D4829" s="3"/>
      <c r="E4829" s="7">
        <f t="shared" si="100"/>
        <v>410000</v>
      </c>
      <c r="F4829" s="5">
        <v>45926</v>
      </c>
      <c r="G4829" s="4">
        <v>20250925</v>
      </c>
      <c r="H4829" s="38" t="str">
        <f>VLOOKUP(B4829,CAJEROS!B:D,3,0)</f>
        <v>Multifuncional</v>
      </c>
      <c r="I4829" s="34" t="s">
        <v>9</v>
      </c>
      <c r="J4829" s="38" t="str">
        <f>VLOOKUP(B4829,CAJEROS!B:E,4,0)</f>
        <v>MF_FRONTERA</v>
      </c>
      <c r="K4829" t="s">
        <v>579</v>
      </c>
    </row>
    <row r="4830" spans="1:11">
      <c r="A4830" s="32">
        <v>927</v>
      </c>
      <c r="B4830" s="33">
        <v>5143</v>
      </c>
      <c r="C4830" s="3">
        <v>339000</v>
      </c>
      <c r="D4830" s="3"/>
      <c r="E4830" s="7">
        <f t="shared" si="100"/>
        <v>339000</v>
      </c>
      <c r="F4830" s="5">
        <v>45926</v>
      </c>
      <c r="G4830" s="4">
        <v>20250925</v>
      </c>
      <c r="H4830" s="38" t="str">
        <f>VLOOKUP(B4830,CAJEROS!B:D,3,0)</f>
        <v>Multifuncional</v>
      </c>
      <c r="I4830" s="34" t="s">
        <v>9</v>
      </c>
      <c r="J4830" s="38" t="str">
        <f>VLOOKUP(B4830,CAJEROS!B:E,4,0)</f>
        <v>MF_SUCMOCOA</v>
      </c>
      <c r="K4830" t="s">
        <v>579</v>
      </c>
    </row>
    <row r="4831" spans="1:11">
      <c r="A4831" s="32">
        <v>31</v>
      </c>
      <c r="B4831" s="33">
        <v>8737</v>
      </c>
      <c r="C4831" s="3">
        <v>320000</v>
      </c>
      <c r="D4831" s="3"/>
      <c r="E4831" s="7">
        <f t="shared" si="100"/>
        <v>320000</v>
      </c>
      <c r="F4831" s="5">
        <v>45926</v>
      </c>
      <c r="G4831" s="4">
        <v>20250925</v>
      </c>
      <c r="H4831" s="38" t="str">
        <f>VLOOKUP(B4831,CAJEROS!B:D,3,0)</f>
        <v>Multifuncional</v>
      </c>
      <c r="I4831" s="34" t="s">
        <v>9</v>
      </c>
      <c r="J4831" s="38" t="str">
        <f>VLOOKUP(B4831,CAJEROS!B:E,4,0)</f>
        <v>MF_SUCEINT1</v>
      </c>
      <c r="K4831" t="s">
        <v>579</v>
      </c>
    </row>
    <row r="4832" spans="1:11">
      <c r="A4832" s="32">
        <v>24</v>
      </c>
      <c r="B4832" s="33">
        <v>5066</v>
      </c>
      <c r="C4832" s="3">
        <v>250000</v>
      </c>
      <c r="D4832" s="3"/>
      <c r="E4832" s="7">
        <f t="shared" si="100"/>
        <v>250000</v>
      </c>
      <c r="F4832" s="5">
        <v>45926</v>
      </c>
      <c r="G4832" s="4">
        <v>20250925</v>
      </c>
      <c r="H4832" s="38" t="str">
        <f>VLOOKUP(B4832,CAJEROS!B:D,3,0)</f>
        <v>Multifuncional</v>
      </c>
      <c r="I4832" s="34" t="s">
        <v>9</v>
      </c>
      <c r="J4832" s="38" t="str">
        <f>VLOOKUP(B4832,CAJEROS!B:E,4,0)</f>
        <v>MF_RIONEGPA</v>
      </c>
      <c r="K4832" t="s">
        <v>579</v>
      </c>
    </row>
    <row r="4833" spans="1:11">
      <c r="A4833" s="32">
        <v>317</v>
      </c>
      <c r="B4833" s="33">
        <v>6613</v>
      </c>
      <c r="C4833" s="3">
        <v>115000</v>
      </c>
      <c r="D4833" s="3"/>
      <c r="E4833" s="7">
        <f t="shared" si="100"/>
        <v>115000</v>
      </c>
      <c r="F4833" s="5">
        <v>45926</v>
      </c>
      <c r="G4833" s="4">
        <v>20250925</v>
      </c>
      <c r="H4833" s="38" t="str">
        <f>VLOOKUP(B4833,CAJEROS!B:D,3,0)</f>
        <v>Multifuncional</v>
      </c>
      <c r="I4833" s="34" t="s">
        <v>9</v>
      </c>
      <c r="J4833" s="38" t="str">
        <f>VLOOKUP(B4833,CAJEROS!B:E,4,0)</f>
        <v>MF_ARAUCA</v>
      </c>
      <c r="K4833" t="s">
        <v>579</v>
      </c>
    </row>
    <row r="4834" spans="1:11">
      <c r="A4834" s="32">
        <v>244</v>
      </c>
      <c r="B4834" s="33">
        <v>5129</v>
      </c>
      <c r="C4834" s="3">
        <v>75000</v>
      </c>
      <c r="D4834" s="3"/>
      <c r="E4834" s="7">
        <f t="shared" si="100"/>
        <v>75000</v>
      </c>
      <c r="F4834" s="5">
        <v>45926</v>
      </c>
      <c r="G4834" s="4">
        <v>20250925</v>
      </c>
      <c r="H4834" s="38" t="str">
        <f>VLOOKUP(B4834,CAJEROS!B:D,3,0)</f>
        <v>Multifuncional</v>
      </c>
      <c r="I4834" s="34" t="s">
        <v>9</v>
      </c>
      <c r="J4834" s="38" t="str">
        <f>VLOOKUP(B4834,CAJEROS!B:E,4,0)</f>
        <v>MF_TRIGALAN</v>
      </c>
      <c r="K4834" t="s">
        <v>579</v>
      </c>
    </row>
    <row r="4835" spans="1:11">
      <c r="A4835" s="32">
        <v>777</v>
      </c>
      <c r="B4835" s="33">
        <v>5009</v>
      </c>
      <c r="C4835" s="3">
        <v>60000</v>
      </c>
      <c r="D4835" s="3"/>
      <c r="E4835" s="7">
        <f t="shared" si="100"/>
        <v>60000</v>
      </c>
      <c r="F4835" s="5">
        <v>45926</v>
      </c>
      <c r="G4835" s="4">
        <v>20250925</v>
      </c>
      <c r="H4835" s="38" t="str">
        <f>VLOOKUP(B4835,CAJEROS!B:D,3,0)</f>
        <v>Multifuncional</v>
      </c>
      <c r="I4835" s="34" t="s">
        <v>9</v>
      </c>
      <c r="J4835" s="38" t="str">
        <f>VLOOKUP(B4835,CAJEROS!B:E,4,0)</f>
        <v>MF_PWASHING</v>
      </c>
      <c r="K4835" t="s">
        <v>579</v>
      </c>
    </row>
    <row r="4836" spans="1:11">
      <c r="A4836" s="32">
        <v>76</v>
      </c>
      <c r="B4836" s="33">
        <v>5126</v>
      </c>
      <c r="C4836" s="3">
        <v>50000</v>
      </c>
      <c r="D4836" s="3"/>
      <c r="E4836" s="7">
        <f t="shared" si="100"/>
        <v>50000</v>
      </c>
      <c r="F4836" s="5">
        <v>45926</v>
      </c>
      <c r="G4836" s="4">
        <v>20250925</v>
      </c>
      <c r="H4836" s="38" t="str">
        <f>VLOOKUP(B4836,CAJEROS!B:D,3,0)</f>
        <v>Multifuncional</v>
      </c>
      <c r="I4836" s="34" t="s">
        <v>9</v>
      </c>
      <c r="J4836" s="38" t="str">
        <f>VLOOKUP(B4836,CAJEROS!B:E,4,0)</f>
        <v>MF_NEIVA</v>
      </c>
      <c r="K4836" t="s">
        <v>579</v>
      </c>
    </row>
    <row r="4837" spans="1:11">
      <c r="A4837" s="32">
        <v>108</v>
      </c>
      <c r="B4837" s="33">
        <v>2254</v>
      </c>
      <c r="C4837" s="3">
        <v>50000</v>
      </c>
      <c r="D4837" s="3"/>
      <c r="E4837" s="7">
        <f t="shared" si="100"/>
        <v>50000</v>
      </c>
      <c r="F4837" s="5">
        <v>45926</v>
      </c>
      <c r="G4837" s="4">
        <v>20250925</v>
      </c>
      <c r="H4837" s="38" t="str">
        <f>VLOOKUP(B4837,CAJEROS!B:D,3,0)</f>
        <v>Multifuncional</v>
      </c>
      <c r="I4837" s="34" t="s">
        <v>9</v>
      </c>
      <c r="J4837" s="38" t="str">
        <f>VLOOKUP(B4837,CAJEROS!B:E,4,0)</f>
        <v>MFSUCPAMER2</v>
      </c>
      <c r="K4837" t="s">
        <v>579</v>
      </c>
    </row>
    <row r="4838" spans="1:11">
      <c r="A4838" s="32">
        <v>236</v>
      </c>
      <c r="B4838" s="33">
        <v>8497</v>
      </c>
      <c r="C4838" s="3">
        <v>43000</v>
      </c>
      <c r="D4838" s="3">
        <v>8400</v>
      </c>
      <c r="E4838" s="7">
        <f t="shared" si="100"/>
        <v>34600</v>
      </c>
      <c r="F4838" s="5">
        <v>45926</v>
      </c>
      <c r="G4838" s="4">
        <v>20250925</v>
      </c>
      <c r="H4838" s="38" t="str">
        <f>VLOOKUP(B4838,CAJEROS!B:D,3,0)</f>
        <v>Multifuncional</v>
      </c>
      <c r="I4838" s="34" t="s">
        <v>9</v>
      </c>
      <c r="J4838" s="38" t="str">
        <f>VLOOKUP(B4838,CAJEROS!B:E,4,0)</f>
        <v>MF_EXITCOL2</v>
      </c>
      <c r="K4838" t="s">
        <v>579</v>
      </c>
    </row>
    <row r="4839" spans="1:11">
      <c r="A4839" s="32">
        <v>88</v>
      </c>
      <c r="B4839" s="33">
        <v>5111</v>
      </c>
      <c r="C4839" s="3">
        <v>35000</v>
      </c>
      <c r="D4839" s="3"/>
      <c r="E4839" s="7">
        <f t="shared" si="100"/>
        <v>35000</v>
      </c>
      <c r="F4839" s="5">
        <v>45926</v>
      </c>
      <c r="G4839" s="4">
        <v>20250925</v>
      </c>
      <c r="H4839" s="38" t="str">
        <f>VLOOKUP(B4839,CAJEROS!B:D,3,0)</f>
        <v>Multifuncional</v>
      </c>
      <c r="I4839" s="34" t="s">
        <v>9</v>
      </c>
      <c r="J4839" s="38" t="str">
        <f>VLOOKUP(B4839,CAJEROS!B:E,4,0)</f>
        <v>MF_CUCUTPAL</v>
      </c>
      <c r="K4839" t="s">
        <v>579</v>
      </c>
    </row>
    <row r="4840" spans="1:11">
      <c r="A4840" s="32">
        <v>927</v>
      </c>
      <c r="B4840" s="33">
        <v>5751</v>
      </c>
      <c r="C4840" s="3">
        <v>10000</v>
      </c>
      <c r="D4840" s="3"/>
      <c r="E4840" s="7">
        <f t="shared" si="100"/>
        <v>10000</v>
      </c>
      <c r="F4840" s="5">
        <v>45926</v>
      </c>
      <c r="G4840" s="4">
        <v>20250925</v>
      </c>
      <c r="H4840" s="38" t="str">
        <f>VLOOKUP(B4840,CAJEROS!B:D,3,0)</f>
        <v>Dispensador</v>
      </c>
      <c r="I4840" s="34" t="s">
        <v>10</v>
      </c>
      <c r="J4840" s="38" t="str">
        <f>VLOOKUP(B4840,CAJEROS!B:E,4,0)</f>
        <v>SUC_MOCOA3</v>
      </c>
      <c r="K4840" t="s">
        <v>579</v>
      </c>
    </row>
    <row r="4841" spans="1:11">
      <c r="A4841" s="32">
        <v>91</v>
      </c>
      <c r="B4841" s="33">
        <v>8163</v>
      </c>
      <c r="C4841" s="3">
        <v>20000</v>
      </c>
      <c r="D4841" s="3"/>
      <c r="E4841" s="7">
        <f t="shared" si="100"/>
        <v>20000</v>
      </c>
      <c r="F4841" s="5">
        <v>45926</v>
      </c>
      <c r="G4841" s="4">
        <v>20250925</v>
      </c>
      <c r="H4841" s="38" t="str">
        <f>VLOOKUP(B4841,CAJEROS!B:D,3,0)</f>
        <v>Dispensador</v>
      </c>
      <c r="I4841" s="34" t="s">
        <v>10</v>
      </c>
      <c r="J4841" s="38" t="str">
        <f>VLOOKUP(B4841,CAJEROS!B:E,4,0)</f>
        <v>SUC_MONTER5</v>
      </c>
      <c r="K4841" t="s">
        <v>579</v>
      </c>
    </row>
    <row r="4842" spans="1:11">
      <c r="A4842" s="32">
        <v>885</v>
      </c>
      <c r="B4842" s="33">
        <v>8851</v>
      </c>
      <c r="C4842" s="3">
        <v>20000</v>
      </c>
      <c r="D4842" s="3"/>
      <c r="E4842" s="7">
        <f t="shared" si="100"/>
        <v>20000</v>
      </c>
      <c r="F4842" s="5">
        <v>45926</v>
      </c>
      <c r="G4842" s="4">
        <v>20250925</v>
      </c>
      <c r="H4842" s="38" t="str">
        <f>VLOOKUP(B4842,CAJEROS!B:D,3,0)</f>
        <v>Dispensador</v>
      </c>
      <c r="I4842" s="34" t="s">
        <v>10</v>
      </c>
      <c r="J4842" s="38" t="str">
        <f>VLOOKUP(B4842,CAJEROS!B:E,4,0)</f>
        <v>TUQUERRES</v>
      </c>
      <c r="K4842" t="s">
        <v>579</v>
      </c>
    </row>
    <row r="4843" spans="1:11">
      <c r="A4843" s="32">
        <v>225</v>
      </c>
      <c r="B4843" s="33">
        <v>8864</v>
      </c>
      <c r="C4843" s="3">
        <v>10000</v>
      </c>
      <c r="D4843" s="3"/>
      <c r="E4843" s="7">
        <f t="shared" si="100"/>
        <v>10000</v>
      </c>
      <c r="F4843" s="5">
        <v>45926</v>
      </c>
      <c r="G4843" s="4">
        <v>20250925</v>
      </c>
      <c r="H4843" s="38" t="str">
        <f>VLOOKUP(B4843,CAJEROS!B:D,3,0)</f>
        <v>Dispensador</v>
      </c>
      <c r="I4843" s="34" t="s">
        <v>10</v>
      </c>
      <c r="J4843" s="38" t="str">
        <f>VLOOKUP(B4843,CAJEROS!B:E,4,0)</f>
        <v>SMALPLANQS2</v>
      </c>
      <c r="K4843" t="s">
        <v>579</v>
      </c>
    </row>
    <row r="4844" spans="1:11">
      <c r="A4844" s="32">
        <v>237</v>
      </c>
      <c r="B4844" s="33">
        <v>6467</v>
      </c>
      <c r="C4844" s="3">
        <v>10000</v>
      </c>
      <c r="D4844" s="3"/>
      <c r="E4844" s="7">
        <f t="shared" si="100"/>
        <v>10000</v>
      </c>
      <c r="F4844" s="5">
        <v>45926</v>
      </c>
      <c r="G4844" s="4">
        <v>20250925</v>
      </c>
      <c r="H4844" s="38" t="str">
        <f>VLOOKUP(B4844,CAJEROS!B:D,3,0)</f>
        <v>Multifuncional</v>
      </c>
      <c r="I4844" s="34" t="s">
        <v>10</v>
      </c>
      <c r="J4844" s="38" t="str">
        <f>VLOOKUP(B4844,CAJEROS!B:E,4,0)</f>
        <v>MF_DORADOPL</v>
      </c>
      <c r="K4844" t="s">
        <v>579</v>
      </c>
    </row>
    <row r="4845" spans="1:11">
      <c r="A4845" s="32">
        <v>138</v>
      </c>
      <c r="B4845" s="33">
        <v>6628</v>
      </c>
      <c r="C4845" s="3">
        <v>325000</v>
      </c>
      <c r="D4845" s="3"/>
      <c r="E4845" s="7">
        <f t="shared" si="100"/>
        <v>325000</v>
      </c>
      <c r="F4845" s="5">
        <v>45925</v>
      </c>
      <c r="G4845" s="4">
        <v>20250925</v>
      </c>
      <c r="H4845" s="38" t="str">
        <f>VLOOKUP(B4845,CAJEROS!B:D,3,0)</f>
        <v>Multifuncional</v>
      </c>
      <c r="I4845" s="34"/>
      <c r="J4845" s="38" t="str">
        <f>VLOOKUP(B4845,CAJEROS!B:E,4,0)</f>
        <v>MF_MOSQUERA</v>
      </c>
      <c r="K4845" t="s">
        <v>579</v>
      </c>
    </row>
    <row r="4846" spans="1:11">
      <c r="A4846" s="32">
        <v>5</v>
      </c>
      <c r="B4846" s="33">
        <v>4866</v>
      </c>
      <c r="C4846" s="3">
        <v>50</v>
      </c>
      <c r="D4846" s="3"/>
      <c r="E4846" s="7">
        <f t="shared" si="100"/>
        <v>50</v>
      </c>
      <c r="F4846" s="5">
        <v>45929</v>
      </c>
      <c r="G4846" s="4">
        <v>20250926</v>
      </c>
      <c r="H4846" s="38" t="str">
        <f>VLOOKUP(B4846,CAJEROS!B:D,3,0)</f>
        <v>Multifuncional</v>
      </c>
      <c r="I4846" s="34"/>
      <c r="J4846" s="38" t="str">
        <f>VLOOKUP(B4846,CAJEROS!B:E,4,0)</f>
        <v>MFSUCAVPBL1</v>
      </c>
      <c r="K4846" t="s">
        <v>579</v>
      </c>
    </row>
    <row r="4847" spans="1:11">
      <c r="A4847" s="32">
        <v>33</v>
      </c>
      <c r="B4847" s="33">
        <v>8861</v>
      </c>
      <c r="C4847" s="3">
        <v>1060000</v>
      </c>
      <c r="D4847" s="3"/>
      <c r="E4847" s="7">
        <f t="shared" si="100"/>
        <v>1060000</v>
      </c>
      <c r="F4847" s="5">
        <v>45929</v>
      </c>
      <c r="G4847" s="4">
        <v>20250926</v>
      </c>
      <c r="H4847" s="38" t="str">
        <f>VLOOKUP(B4847,CAJEROS!B:D,3,0)</f>
        <v>Multifuncional</v>
      </c>
      <c r="I4847" s="34"/>
      <c r="J4847" s="38" t="str">
        <f>VLOOKUP(B4847,CAJEROS!B:E,4,0)</f>
        <v>MF_SPOLCLU1</v>
      </c>
      <c r="K4847" t="s">
        <v>579</v>
      </c>
    </row>
    <row r="4848" spans="1:11">
      <c r="A4848" s="32">
        <v>41</v>
      </c>
      <c r="B4848" s="33">
        <v>7341</v>
      </c>
      <c r="C4848" s="3">
        <v>40950</v>
      </c>
      <c r="D4848" s="3"/>
      <c r="E4848" s="7">
        <f t="shared" si="100"/>
        <v>40950</v>
      </c>
      <c r="F4848" s="5">
        <v>45929</v>
      </c>
      <c r="G4848" s="4">
        <v>20250926</v>
      </c>
      <c r="H4848" s="38" t="str">
        <f>VLOOKUP(B4848,CAJEROS!B:D,3,0)</f>
        <v>Multifuncional</v>
      </c>
      <c r="I4848" s="34"/>
      <c r="J4848" s="38" t="str">
        <f>VLOOKUP(B4848,CAJEROS!B:E,4,0)</f>
        <v>MF_PLZESPAN</v>
      </c>
      <c r="K4848" t="s">
        <v>579</v>
      </c>
    </row>
    <row r="4849" spans="1:11">
      <c r="A4849" s="32">
        <v>54</v>
      </c>
      <c r="B4849" s="33">
        <v>6204</v>
      </c>
      <c r="C4849" s="3">
        <v>1661000</v>
      </c>
      <c r="D4849" s="3">
        <v>597900</v>
      </c>
      <c r="E4849" s="7">
        <f t="shared" si="100"/>
        <v>1063100</v>
      </c>
      <c r="F4849" s="5">
        <v>45929</v>
      </c>
      <c r="G4849" s="4">
        <v>20250926</v>
      </c>
      <c r="H4849" s="38" t="str">
        <f>VLOOKUP(B4849,CAJEROS!B:D,3,0)</f>
        <v>Multifuncional</v>
      </c>
      <c r="I4849" s="34"/>
      <c r="J4849" s="38" t="str">
        <f>VLOOKUP(B4849,CAJEROS!B:E,4,0)</f>
        <v>MF_CALLE122</v>
      </c>
      <c r="K4849" t="s">
        <v>579</v>
      </c>
    </row>
    <row r="4850" spans="1:11">
      <c r="A4850" s="32">
        <v>57</v>
      </c>
      <c r="B4850" s="33">
        <v>9963</v>
      </c>
      <c r="C4850" s="3">
        <v>3360000</v>
      </c>
      <c r="D4850" s="3"/>
      <c r="E4850" s="7">
        <f t="shared" si="100"/>
        <v>3360000</v>
      </c>
      <c r="F4850" s="5">
        <v>45929</v>
      </c>
      <c r="G4850" s="4">
        <v>20250926</v>
      </c>
      <c r="H4850" s="38" t="str">
        <f>VLOOKUP(B4850,CAJEROS!B:D,3,0)</f>
        <v>Multifuncional</v>
      </c>
      <c r="I4850" s="34"/>
      <c r="J4850" s="38" t="str">
        <f>VLOOKUP(B4850,CAJEROS!B:E,4,0)</f>
        <v>MF_VILLAVI1</v>
      </c>
      <c r="K4850" t="s">
        <v>579</v>
      </c>
    </row>
    <row r="4851" spans="1:11">
      <c r="A4851" s="32">
        <v>167</v>
      </c>
      <c r="B4851" s="33">
        <v>5030</v>
      </c>
      <c r="C4851" s="3">
        <v>505000</v>
      </c>
      <c r="D4851" s="3"/>
      <c r="E4851" s="7">
        <f t="shared" si="100"/>
        <v>505000</v>
      </c>
      <c r="F4851" s="5">
        <v>45929</v>
      </c>
      <c r="G4851" s="4">
        <v>20250926</v>
      </c>
      <c r="H4851" s="38" t="str">
        <f>VLOOKUP(B4851,CAJEROS!B:D,3,0)</f>
        <v>Multifuncional</v>
      </c>
      <c r="I4851" s="34"/>
      <c r="J4851" s="38" t="str">
        <f>VLOOKUP(B4851,CAJEROS!B:E,4,0)</f>
        <v>MF_AVENID82</v>
      </c>
      <c r="K4851" t="s">
        <v>579</v>
      </c>
    </row>
    <row r="4852" spans="1:11">
      <c r="A4852" s="32">
        <v>371</v>
      </c>
      <c r="B4852" s="33">
        <v>6718</v>
      </c>
      <c r="C4852" s="3">
        <v>900000</v>
      </c>
      <c r="D4852" s="3"/>
      <c r="E4852" s="7">
        <f t="shared" si="100"/>
        <v>900000</v>
      </c>
      <c r="F4852" s="5">
        <v>45929</v>
      </c>
      <c r="G4852" s="4">
        <v>20250926</v>
      </c>
      <c r="H4852" s="38" t="str">
        <f>VLOOKUP(B4852,CAJEROS!B:D,3,0)</f>
        <v>Multifuncional</v>
      </c>
      <c r="I4852" s="34"/>
      <c r="J4852" s="38" t="str">
        <f>VLOOKUP(B4852,CAJEROS!B:E,4,0)</f>
        <v>MF_CAUCASIA</v>
      </c>
      <c r="K4852" t="s">
        <v>579</v>
      </c>
    </row>
    <row r="4853" spans="1:11">
      <c r="A4853" s="32">
        <v>523</v>
      </c>
      <c r="B4853" s="33">
        <v>5082</v>
      </c>
      <c r="C4853" s="3">
        <v>17985000</v>
      </c>
      <c r="D4853" s="3"/>
      <c r="E4853" s="7">
        <f t="shared" si="100"/>
        <v>17985000</v>
      </c>
      <c r="F4853" s="5">
        <v>45929</v>
      </c>
      <c r="G4853" s="4">
        <v>20250926</v>
      </c>
      <c r="H4853" s="38" t="str">
        <f>VLOOKUP(B4853,CAJEROS!B:D,3,0)</f>
        <v>Multifuncional</v>
      </c>
      <c r="I4853" s="34"/>
      <c r="J4853" s="38" t="str">
        <f>VLOOKUP(B4853,CAJEROS!B:E,4,0)</f>
        <v>MF_OVALLEDU</v>
      </c>
      <c r="K4853" t="s">
        <v>579</v>
      </c>
    </row>
    <row r="4854" spans="1:11">
      <c r="A4854" s="32">
        <v>667</v>
      </c>
      <c r="B4854" s="33">
        <v>5167</v>
      </c>
      <c r="C4854" s="3">
        <v>3880000</v>
      </c>
      <c r="D4854" s="3">
        <v>3230000</v>
      </c>
      <c r="E4854" s="7">
        <f t="shared" si="100"/>
        <v>650000</v>
      </c>
      <c r="F4854" s="5">
        <v>45929</v>
      </c>
      <c r="G4854" s="4">
        <v>20250926</v>
      </c>
      <c r="H4854" s="38" t="str">
        <f>VLOOKUP(B4854,CAJEROS!B:D,3,0)</f>
        <v>Multifuncional</v>
      </c>
      <c r="I4854" s="34"/>
      <c r="J4854" s="38" t="str">
        <f>VLOOKUP(B4854,CAJEROS!B:E,4,0)</f>
        <v>MF_VALVANE1</v>
      </c>
      <c r="K4854" t="s">
        <v>579</v>
      </c>
    </row>
    <row r="4855" spans="1:11">
      <c r="A4855" s="32">
        <v>698</v>
      </c>
      <c r="B4855" s="33">
        <v>5187</v>
      </c>
      <c r="C4855" s="3">
        <v>188000</v>
      </c>
      <c r="D4855" s="3"/>
      <c r="E4855" s="7">
        <f t="shared" si="100"/>
        <v>188000</v>
      </c>
      <c r="F4855" s="5">
        <v>45929</v>
      </c>
      <c r="G4855" s="4">
        <v>20250926</v>
      </c>
      <c r="H4855" s="38" t="str">
        <f>VLOOKUP(B4855,CAJEROS!B:D,3,0)</f>
        <v>Multifuncional</v>
      </c>
      <c r="I4855" s="34"/>
      <c r="J4855" s="38" t="str">
        <f>VLOOKUP(B4855,CAJEROS!B:E,4,0)</f>
        <v>MF_SCLLE79</v>
      </c>
      <c r="K4855" t="s">
        <v>579</v>
      </c>
    </row>
    <row r="4856" spans="1:11">
      <c r="A4856" s="32">
        <v>363</v>
      </c>
      <c r="B4856" s="33">
        <v>5168</v>
      </c>
      <c r="C4856" s="3">
        <v>3910000</v>
      </c>
      <c r="D4856" s="3">
        <v>3406000</v>
      </c>
      <c r="E4856" s="7">
        <f t="shared" si="100"/>
        <v>504000</v>
      </c>
      <c r="F4856" s="5">
        <v>45929</v>
      </c>
      <c r="G4856" s="4">
        <v>20250928</v>
      </c>
      <c r="H4856" s="38" t="str">
        <f>VLOOKUP(B4856,CAJEROS!B:D,3,0)</f>
        <v>Multifuncional</v>
      </c>
      <c r="I4856" s="34" t="s">
        <v>9</v>
      </c>
      <c r="J4856" s="38" t="str">
        <f>VLOOKUP(B4856,CAJEROS!B:E,4,0)</f>
        <v>MF_YOPAL</v>
      </c>
      <c r="K4856" t="s">
        <v>579</v>
      </c>
    </row>
    <row r="4857" spans="1:11">
      <c r="A4857" s="32">
        <v>762</v>
      </c>
      <c r="B4857" s="33">
        <v>5181</v>
      </c>
      <c r="C4857" s="3">
        <v>3710000</v>
      </c>
      <c r="D4857" s="3"/>
      <c r="E4857" s="7">
        <f t="shared" si="100"/>
        <v>3710000</v>
      </c>
      <c r="F4857" s="5">
        <v>45929</v>
      </c>
      <c r="G4857" s="4">
        <v>20250928</v>
      </c>
      <c r="H4857" s="38" t="str">
        <f>VLOOKUP(B4857,CAJEROS!B:D,3,0)</f>
        <v>Multifuncional</v>
      </c>
      <c r="I4857" s="34" t="s">
        <v>9</v>
      </c>
      <c r="J4857" s="38" t="str">
        <f>VLOOKUP(B4857,CAJEROS!B:E,4,0)</f>
        <v>MF_HERRADU1</v>
      </c>
      <c r="K4857" t="s">
        <v>579</v>
      </c>
    </row>
    <row r="4858" spans="1:11">
      <c r="A4858" s="32">
        <v>78</v>
      </c>
      <c r="B4858" s="33">
        <v>6246</v>
      </c>
      <c r="C4858" s="3">
        <v>3630000</v>
      </c>
      <c r="D4858" s="3">
        <v>2430000</v>
      </c>
      <c r="E4858" s="7">
        <f t="shared" si="100"/>
        <v>1200000</v>
      </c>
      <c r="F4858" s="5">
        <v>45929</v>
      </c>
      <c r="G4858" s="4">
        <v>20250928</v>
      </c>
      <c r="H4858" s="38" t="str">
        <f>VLOOKUP(B4858,CAJEROS!B:D,3,0)</f>
        <v>Multifuncional</v>
      </c>
      <c r="I4858" s="34" t="s">
        <v>9</v>
      </c>
      <c r="J4858" s="38" t="str">
        <f>VLOOKUP(B4858,CAJEROS!B:E,4,0)</f>
        <v>MF_CACIQUE</v>
      </c>
      <c r="K4858" t="s">
        <v>579</v>
      </c>
    </row>
    <row r="4859" spans="1:11">
      <c r="A4859" s="32">
        <v>318</v>
      </c>
      <c r="B4859" s="33">
        <v>5136</v>
      </c>
      <c r="C4859" s="3">
        <v>3430900</v>
      </c>
      <c r="D4859" s="3">
        <f>850000+2580000</f>
        <v>3430000</v>
      </c>
      <c r="E4859" s="7">
        <f t="shared" si="100"/>
        <v>900</v>
      </c>
      <c r="F4859" s="5">
        <v>45929</v>
      </c>
      <c r="G4859" s="4">
        <v>20250928</v>
      </c>
      <c r="H4859" s="38" t="str">
        <f>VLOOKUP(B4859,CAJEROS!B:D,3,0)</f>
        <v>Multifuncional</v>
      </c>
      <c r="I4859" s="34" t="s">
        <v>9</v>
      </c>
      <c r="J4859" s="38" t="str">
        <f>VLOOKUP(B4859,CAJEROS!B:E,4,0)</f>
        <v>MF_SUCOCANA</v>
      </c>
      <c r="K4859" t="s">
        <v>579</v>
      </c>
    </row>
    <row r="4860" spans="1:11">
      <c r="A4860" s="32">
        <v>554</v>
      </c>
      <c r="B4860" s="33">
        <v>8294</v>
      </c>
      <c r="C4860" s="3">
        <v>3350000</v>
      </c>
      <c r="D4860" s="3"/>
      <c r="E4860" s="7">
        <f t="shared" si="100"/>
        <v>3350000</v>
      </c>
      <c r="F4860" s="5">
        <v>45929</v>
      </c>
      <c r="G4860" s="4">
        <v>20250928</v>
      </c>
      <c r="H4860" s="38" t="str">
        <f>VLOOKUP(B4860,CAJEROS!B:D,3,0)</f>
        <v>Multifuncional</v>
      </c>
      <c r="I4860" s="34" t="s">
        <v>9</v>
      </c>
      <c r="J4860" s="38" t="str">
        <f>VLOOKUP(B4860,CAJEROS!B:E,4,0)</f>
        <v>MF_SBUVIII1</v>
      </c>
      <c r="K4860" t="s">
        <v>579</v>
      </c>
    </row>
    <row r="4861" spans="1:11">
      <c r="A4861" s="32">
        <v>486</v>
      </c>
      <c r="B4861" s="33">
        <v>5081</v>
      </c>
      <c r="C4861" s="3">
        <v>3230000</v>
      </c>
      <c r="D4861" s="3"/>
      <c r="E4861" s="7">
        <f t="shared" si="100"/>
        <v>3230000</v>
      </c>
      <c r="F4861" s="5">
        <v>45929</v>
      </c>
      <c r="G4861" s="4">
        <v>20250928</v>
      </c>
      <c r="H4861" s="38" t="str">
        <f>VLOOKUP(B4861,CAJEROS!B:D,3,0)</f>
        <v>Multifuncional</v>
      </c>
      <c r="I4861" s="34" t="s">
        <v>9</v>
      </c>
      <c r="J4861" s="38" t="str">
        <f>VLOOKUP(B4861,CAJEROS!B:E,4,0)</f>
        <v>MF_SANNIBA1</v>
      </c>
      <c r="K4861" t="s">
        <v>579</v>
      </c>
    </row>
    <row r="4862" spans="1:11">
      <c r="A4862" s="32">
        <v>392</v>
      </c>
      <c r="B4862" s="33">
        <v>5064</v>
      </c>
      <c r="C4862" s="3">
        <v>3000000</v>
      </c>
      <c r="D4862" s="3">
        <v>2885000</v>
      </c>
      <c r="E4862" s="7">
        <f t="shared" si="100"/>
        <v>115000</v>
      </c>
      <c r="F4862" s="5">
        <v>45929</v>
      </c>
      <c r="G4862" s="4">
        <v>20250928</v>
      </c>
      <c r="H4862" s="38" t="str">
        <f>VLOOKUP(B4862,CAJEROS!B:D,3,0)</f>
        <v>Multifuncional</v>
      </c>
      <c r="I4862" s="34" t="s">
        <v>9</v>
      </c>
      <c r="J4862" s="38" t="str">
        <f>VLOOKUP(B4862,CAJEROS!B:E,4,0)</f>
        <v>MF_LADORADA</v>
      </c>
      <c r="K4862" t="s">
        <v>579</v>
      </c>
    </row>
    <row r="4863" spans="1:11">
      <c r="A4863" s="32">
        <v>101</v>
      </c>
      <c r="B4863" s="33">
        <v>5128</v>
      </c>
      <c r="C4863" s="3">
        <v>2574000</v>
      </c>
      <c r="D4863" s="3">
        <v>280000</v>
      </c>
      <c r="E4863" s="7">
        <f t="shared" si="100"/>
        <v>2294000</v>
      </c>
      <c r="F4863" s="5">
        <v>45929</v>
      </c>
      <c r="G4863" s="4">
        <v>20250928</v>
      </c>
      <c r="H4863" s="38" t="str">
        <f>VLOOKUP(B4863,CAJEROS!B:D,3,0)</f>
        <v>Multifuncional</v>
      </c>
      <c r="I4863" s="34" t="s">
        <v>9</v>
      </c>
      <c r="J4863" s="38" t="str">
        <f>VLOOKUP(B4863,CAJEROS!B:E,4,0)</f>
        <v>MF_MULTDRIV</v>
      </c>
      <c r="K4863" t="s">
        <v>579</v>
      </c>
    </row>
    <row r="4864" spans="1:11">
      <c r="A4864" s="32">
        <v>556</v>
      </c>
      <c r="B4864" s="33">
        <v>8333</v>
      </c>
      <c r="C4864" s="3">
        <v>2254400</v>
      </c>
      <c r="D4864" s="3">
        <v>1620000</v>
      </c>
      <c r="E4864" s="7">
        <f t="shared" si="100"/>
        <v>634400</v>
      </c>
      <c r="F4864" s="5">
        <v>45929</v>
      </c>
      <c r="G4864" s="4">
        <v>20250928</v>
      </c>
      <c r="H4864" s="38" t="str">
        <f>VLOOKUP(B4864,CAJEROS!B:D,3,0)</f>
        <v>Multifuncional</v>
      </c>
      <c r="I4864" s="34" t="s">
        <v>9</v>
      </c>
      <c r="J4864" s="38" t="str">
        <f>VLOOKUP(B4864,CAJEROS!B:E,4,0)</f>
        <v>MF_SCARVIB1</v>
      </c>
      <c r="K4864" t="s">
        <v>579</v>
      </c>
    </row>
    <row r="4865" spans="1:11">
      <c r="A4865" s="32">
        <v>366</v>
      </c>
      <c r="B4865" s="33">
        <v>5132</v>
      </c>
      <c r="C4865" s="3">
        <v>1730000</v>
      </c>
      <c r="D4865" s="3"/>
      <c r="E4865" s="7">
        <f t="shared" si="100"/>
        <v>1730000</v>
      </c>
      <c r="F4865" s="5">
        <v>45929</v>
      </c>
      <c r="G4865" s="4">
        <v>20250928</v>
      </c>
      <c r="H4865" s="38" t="str">
        <f>VLOOKUP(B4865,CAJEROS!B:D,3,0)</f>
        <v>Multifuncional</v>
      </c>
      <c r="I4865" s="34" t="s">
        <v>9</v>
      </c>
      <c r="J4865" s="38" t="str">
        <f>VLOOKUP(B4865,CAJEROS!B:E,4,0)</f>
        <v>MF_TERMTPTE</v>
      </c>
      <c r="K4865" t="s">
        <v>579</v>
      </c>
    </row>
    <row r="4866" spans="1:11">
      <c r="A4866" s="32">
        <v>481</v>
      </c>
      <c r="B4866" s="33">
        <v>1010</v>
      </c>
      <c r="C4866" s="3">
        <v>1680000</v>
      </c>
      <c r="D4866" s="3"/>
      <c r="E4866" s="7">
        <f t="shared" si="100"/>
        <v>1680000</v>
      </c>
      <c r="F4866" s="5">
        <v>45929</v>
      </c>
      <c r="G4866" s="4">
        <v>20250928</v>
      </c>
      <c r="H4866" s="38" t="str">
        <f>VLOOKUP(B4866,CAJEROS!B:D,3,0)</f>
        <v>Multifuncional</v>
      </c>
      <c r="I4866" s="34" t="s">
        <v>9</v>
      </c>
      <c r="J4866" s="38" t="str">
        <f>VLOOKUP(B4866,CAJEROS!B:E,4,0)</f>
        <v>MF_SOLEDAD1</v>
      </c>
      <c r="K4866" t="s">
        <v>579</v>
      </c>
    </row>
    <row r="4867" spans="1:11">
      <c r="A4867" s="32">
        <v>166</v>
      </c>
      <c r="B4867" s="33">
        <v>7939</v>
      </c>
      <c r="C4867" s="3">
        <v>995000</v>
      </c>
      <c r="D4867" s="3">
        <v>940000</v>
      </c>
      <c r="E4867" s="7">
        <f t="shared" si="100"/>
        <v>55000</v>
      </c>
      <c r="F4867" s="5">
        <v>45929</v>
      </c>
      <c r="G4867" s="4">
        <v>20250928</v>
      </c>
      <c r="H4867" s="38" t="str">
        <f>VLOOKUP(B4867,CAJEROS!B:D,3,0)</f>
        <v>Multifuncional</v>
      </c>
      <c r="I4867" s="34" t="s">
        <v>9</v>
      </c>
      <c r="J4867" s="38" t="str">
        <f>VLOOKUP(B4867,CAJEROS!B:E,4,0)</f>
        <v>MF_ALDELSI1</v>
      </c>
      <c r="K4867" t="s">
        <v>579</v>
      </c>
    </row>
    <row r="4868" spans="1:11">
      <c r="A4868" s="32">
        <v>944</v>
      </c>
      <c r="B4868" s="33">
        <v>2228</v>
      </c>
      <c r="C4868" s="3">
        <v>975000</v>
      </c>
      <c r="D4868" s="3"/>
      <c r="E4868" s="7">
        <f t="shared" si="100"/>
        <v>975000</v>
      </c>
      <c r="F4868" s="5">
        <v>45929</v>
      </c>
      <c r="G4868" s="4">
        <v>20250928</v>
      </c>
      <c r="H4868" s="38" t="str">
        <f>VLOOKUP(B4868,CAJEROS!B:D,3,0)</f>
        <v>Multifuncional</v>
      </c>
      <c r="I4868" s="34" t="s">
        <v>9</v>
      </c>
      <c r="J4868" s="38" t="str">
        <f>VLOOKUP(B4868,CAJEROS!B:E,4,0)</f>
        <v>MF_SANTABO3</v>
      </c>
      <c r="K4868" t="s">
        <v>579</v>
      </c>
    </row>
    <row r="4869" spans="1:11">
      <c r="A4869" s="32">
        <v>250</v>
      </c>
      <c r="B4869" s="33">
        <v>5197</v>
      </c>
      <c r="C4869" s="3">
        <v>970150</v>
      </c>
      <c r="D4869" s="3"/>
      <c r="E4869" s="7">
        <f t="shared" si="100"/>
        <v>970150</v>
      </c>
      <c r="F4869" s="5">
        <v>45929</v>
      </c>
      <c r="G4869" s="4">
        <v>20250928</v>
      </c>
      <c r="H4869" s="38" t="str">
        <f>VLOOKUP(B4869,CAJEROS!B:D,3,0)</f>
        <v>Multifuncional</v>
      </c>
      <c r="I4869" s="34" t="s">
        <v>9</v>
      </c>
      <c r="J4869" s="38" t="str">
        <f>VLOOKUP(B4869,CAJEROS!B:E,4,0)</f>
        <v>MF_MODELIA</v>
      </c>
      <c r="K4869" t="s">
        <v>579</v>
      </c>
    </row>
    <row r="4870" spans="1:11">
      <c r="A4870" s="32">
        <v>868</v>
      </c>
      <c r="B4870" s="33">
        <v>6149</v>
      </c>
      <c r="C4870" s="3">
        <v>953000</v>
      </c>
      <c r="D4870" s="3"/>
      <c r="E4870" s="7">
        <f t="shared" si="100"/>
        <v>953000</v>
      </c>
      <c r="F4870" s="5">
        <v>45929</v>
      </c>
      <c r="G4870" s="4">
        <v>20250928</v>
      </c>
      <c r="H4870" s="38" t="str">
        <f>VLOOKUP(B4870,CAJEROS!B:D,3,0)</f>
        <v>Multifuncional</v>
      </c>
      <c r="I4870" s="34" t="s">
        <v>9</v>
      </c>
      <c r="J4870" s="38" t="str">
        <f>VLOOKUP(B4870,CAJEROS!B:E,4,0)</f>
        <v>MF_POPAYAN1</v>
      </c>
      <c r="K4870" t="s">
        <v>579</v>
      </c>
    </row>
    <row r="4871" spans="1:11">
      <c r="A4871" s="32">
        <v>432</v>
      </c>
      <c r="B4871" s="33">
        <v>5195</v>
      </c>
      <c r="C4871" s="3">
        <v>748200</v>
      </c>
      <c r="D4871" s="3"/>
      <c r="E4871" s="7">
        <f t="shared" si="100"/>
        <v>748200</v>
      </c>
      <c r="F4871" s="5">
        <v>45929</v>
      </c>
      <c r="G4871" s="4">
        <v>20250928</v>
      </c>
      <c r="H4871" s="38" t="str">
        <f>VLOOKUP(B4871,CAJEROS!B:D,3,0)</f>
        <v>Multifuncional</v>
      </c>
      <c r="I4871" s="34" t="s">
        <v>9</v>
      </c>
      <c r="J4871" s="38" t="str">
        <f>VLOOKUP(B4871,CAJEROS!B:E,4,0)</f>
        <v>MF_TTEDLSU1</v>
      </c>
      <c r="K4871" t="s">
        <v>579</v>
      </c>
    </row>
    <row r="4872" spans="1:11">
      <c r="A4872" s="32">
        <v>331</v>
      </c>
      <c r="B4872" s="33">
        <v>574</v>
      </c>
      <c r="C4872" s="3">
        <v>740000</v>
      </c>
      <c r="D4872" s="3">
        <v>691000</v>
      </c>
      <c r="E4872" s="7">
        <f t="shared" si="100"/>
        <v>49000</v>
      </c>
      <c r="F4872" s="5">
        <v>45929</v>
      </c>
      <c r="G4872" s="4">
        <v>20250928</v>
      </c>
      <c r="H4872" s="38" t="str">
        <f>VLOOKUP(B4872,CAJEROS!B:D,3,0)</f>
        <v>Multifuncional</v>
      </c>
      <c r="I4872" s="34" t="s">
        <v>9</v>
      </c>
      <c r="J4872" s="38" t="str">
        <f>VLOOKUP(B4872,CAJEROS!B:E,4,0)</f>
        <v>MF_SUCARKA1</v>
      </c>
      <c r="K4872" t="s">
        <v>579</v>
      </c>
    </row>
    <row r="4873" spans="1:11">
      <c r="A4873" s="32">
        <v>499</v>
      </c>
      <c r="B4873" s="33">
        <v>9811</v>
      </c>
      <c r="C4873" s="3">
        <v>700000</v>
      </c>
      <c r="D4873" s="3">
        <v>362750</v>
      </c>
      <c r="E4873" s="7">
        <f t="shared" si="100"/>
        <v>337250</v>
      </c>
      <c r="F4873" s="5">
        <v>45929</v>
      </c>
      <c r="G4873" s="4">
        <v>20250928</v>
      </c>
      <c r="H4873" s="38" t="str">
        <f>VLOOKUP(B4873,CAJEROS!B:D,3,0)</f>
        <v>Multifuncional</v>
      </c>
      <c r="I4873" s="34" t="s">
        <v>9</v>
      </c>
      <c r="J4873" s="38" t="str">
        <f>VLOOKUP(B4873,CAJEROS!B:E,4,0)</f>
        <v>MF_SUCPLZF2</v>
      </c>
      <c r="K4873" t="s">
        <v>579</v>
      </c>
    </row>
    <row r="4874" spans="1:11">
      <c r="A4874" s="32">
        <v>24</v>
      </c>
      <c r="B4874" s="33">
        <v>5066</v>
      </c>
      <c r="C4874" s="3">
        <v>650000</v>
      </c>
      <c r="D4874" s="3">
        <v>52650</v>
      </c>
      <c r="E4874" s="7">
        <f t="shared" si="100"/>
        <v>597350</v>
      </c>
      <c r="F4874" s="5">
        <v>45929</v>
      </c>
      <c r="G4874" s="4">
        <v>20250928</v>
      </c>
      <c r="H4874" s="38" t="str">
        <f>VLOOKUP(B4874,CAJEROS!B:D,3,0)</f>
        <v>Multifuncional</v>
      </c>
      <c r="I4874" s="34" t="s">
        <v>9</v>
      </c>
      <c r="J4874" s="38" t="str">
        <f>VLOOKUP(B4874,CAJEROS!B:E,4,0)</f>
        <v>MF_RIONEGPA</v>
      </c>
      <c r="K4874" t="s">
        <v>579</v>
      </c>
    </row>
    <row r="4875" spans="1:11">
      <c r="A4875" s="32">
        <v>716</v>
      </c>
      <c r="B4875" s="33">
        <v>5192</v>
      </c>
      <c r="C4875" s="3">
        <v>459950</v>
      </c>
      <c r="D4875" s="3">
        <v>455000</v>
      </c>
      <c r="E4875" s="7">
        <f t="shared" si="100"/>
        <v>4950</v>
      </c>
      <c r="F4875" s="5">
        <v>45929</v>
      </c>
      <c r="G4875" s="4">
        <v>20250928</v>
      </c>
      <c r="H4875" s="38" t="str">
        <f>VLOOKUP(B4875,CAJEROS!B:D,3,0)</f>
        <v>Multifuncional</v>
      </c>
      <c r="I4875" s="34" t="s">
        <v>9</v>
      </c>
      <c r="J4875" s="38" t="str">
        <f>VLOOKUP(B4875,CAJEROS!B:E,4,0)</f>
        <v>MF_AVCGORDS</v>
      </c>
      <c r="K4875" t="s">
        <v>579</v>
      </c>
    </row>
    <row r="4876" spans="1:11">
      <c r="A4876" s="32">
        <v>623</v>
      </c>
      <c r="B4876" s="33">
        <v>7375</v>
      </c>
      <c r="C4876" s="3">
        <v>310000</v>
      </c>
      <c r="D4876" s="3">
        <v>299950</v>
      </c>
      <c r="E4876" s="7">
        <f t="shared" si="100"/>
        <v>10050</v>
      </c>
      <c r="F4876" s="5">
        <v>45929</v>
      </c>
      <c r="G4876" s="4">
        <v>20250928</v>
      </c>
      <c r="H4876" s="38" t="str">
        <f>VLOOKUP(B4876,CAJEROS!B:D,3,0)</f>
        <v>Multifuncional</v>
      </c>
      <c r="I4876" s="34" t="s">
        <v>9</v>
      </c>
      <c r="J4876" s="38" t="str">
        <f>VLOOKUP(B4876,CAJEROS!B:E,4,0)</f>
        <v>MF_FUNDMAN2</v>
      </c>
      <c r="K4876" t="s">
        <v>579</v>
      </c>
    </row>
    <row r="4877" spans="1:11">
      <c r="A4877" s="32">
        <v>60</v>
      </c>
      <c r="B4877" s="33">
        <v>8728</v>
      </c>
      <c r="C4877" s="3">
        <v>284200</v>
      </c>
      <c r="D4877" s="3"/>
      <c r="E4877" s="7">
        <f t="shared" si="100"/>
        <v>284200</v>
      </c>
      <c r="F4877" s="5">
        <v>45929</v>
      </c>
      <c r="G4877" s="4">
        <v>20250928</v>
      </c>
      <c r="H4877" s="38" t="str">
        <f>VLOOKUP(B4877,CAJEROS!B:D,3,0)</f>
        <v>Multifuncional</v>
      </c>
      <c r="I4877" s="34" t="s">
        <v>9</v>
      </c>
      <c r="J4877" s="38" t="str">
        <f>VLOOKUP(B4877,CAJEROS!B:E,4,0)</f>
        <v>MF_HCALIPR2</v>
      </c>
      <c r="K4877" t="s">
        <v>579</v>
      </c>
    </row>
    <row r="4878" spans="1:11">
      <c r="A4878" s="32">
        <v>244</v>
      </c>
      <c r="B4878" s="33">
        <v>5129</v>
      </c>
      <c r="C4878" s="3">
        <v>280000</v>
      </c>
      <c r="D4878" s="3"/>
      <c r="E4878" s="7">
        <f t="shared" si="100"/>
        <v>280000</v>
      </c>
      <c r="F4878" s="5">
        <v>45929</v>
      </c>
      <c r="G4878" s="4">
        <v>20250928</v>
      </c>
      <c r="H4878" s="38" t="str">
        <f>VLOOKUP(B4878,CAJEROS!B:D,3,0)</f>
        <v>Multifuncional</v>
      </c>
      <c r="I4878" s="34" t="s">
        <v>9</v>
      </c>
      <c r="J4878" s="38" t="str">
        <f>VLOOKUP(B4878,CAJEROS!B:E,4,0)</f>
        <v>MF_TRIGALAN</v>
      </c>
      <c r="K4878" t="s">
        <v>579</v>
      </c>
    </row>
    <row r="4879" spans="1:11">
      <c r="A4879" s="32">
        <v>70</v>
      </c>
      <c r="B4879" s="33">
        <v>5164</v>
      </c>
      <c r="C4879" s="3">
        <v>240000</v>
      </c>
      <c r="D4879" s="3"/>
      <c r="E4879" s="7">
        <f t="shared" si="100"/>
        <v>240000</v>
      </c>
      <c r="F4879" s="5">
        <v>45929</v>
      </c>
      <c r="G4879" s="4">
        <v>20250928</v>
      </c>
      <c r="H4879" s="38" t="str">
        <f>VLOOKUP(B4879,CAJEROS!B:D,3,0)</f>
        <v>Multifuncional</v>
      </c>
      <c r="I4879" s="34" t="s">
        <v>9</v>
      </c>
      <c r="J4879" s="38" t="str">
        <f>VLOOKUP(B4879,CAJEROS!B:E,4,0)</f>
        <v>MF_MANIZALE</v>
      </c>
      <c r="K4879" t="s">
        <v>579</v>
      </c>
    </row>
    <row r="4880" spans="1:11">
      <c r="A4880" s="32">
        <v>601</v>
      </c>
      <c r="B4880" s="33">
        <v>6407</v>
      </c>
      <c r="C4880" s="3">
        <v>49000</v>
      </c>
      <c r="D4880" s="3"/>
      <c r="E4880" s="7">
        <f t="shared" si="100"/>
        <v>49000</v>
      </c>
      <c r="F4880" s="5">
        <v>45929</v>
      </c>
      <c r="G4880" s="4">
        <v>20250928</v>
      </c>
      <c r="H4880" s="38" t="str">
        <f>VLOOKUP(B4880,CAJEROS!B:D,3,0)</f>
        <v>Multifuncional</v>
      </c>
      <c r="I4880" s="34" t="s">
        <v>9</v>
      </c>
      <c r="J4880" s="38" t="str">
        <f>VLOOKUP(B4880,CAJEROS!B:E,4,0)</f>
        <v>MF_COLINACA</v>
      </c>
      <c r="K4880" t="s">
        <v>579</v>
      </c>
    </row>
    <row r="4881" spans="1:11">
      <c r="A4881" s="32">
        <v>65</v>
      </c>
      <c r="B4881" s="33">
        <v>2686</v>
      </c>
      <c r="C4881" s="3">
        <v>1500000</v>
      </c>
      <c r="D4881" s="3"/>
      <c r="E4881" s="7">
        <f t="shared" si="100"/>
        <v>1500000</v>
      </c>
      <c r="F4881" s="5">
        <v>45929</v>
      </c>
      <c r="G4881" s="4">
        <v>20250926</v>
      </c>
      <c r="H4881" s="38" t="str">
        <f>VLOOKUP(B4881,CAJEROS!B:D,3,0)</f>
        <v>Dispensador</v>
      </c>
      <c r="I4881" s="34"/>
      <c r="J4881" s="38" t="str">
        <f>VLOOKUP(B4881,CAJEROS!B:E,4,0)</f>
        <v>SUCBORDOCAU</v>
      </c>
      <c r="K4881" t="s">
        <v>579</v>
      </c>
    </row>
    <row r="4882" spans="1:11">
      <c r="A4882" s="32">
        <v>422</v>
      </c>
      <c r="B4882" s="33">
        <v>4555</v>
      </c>
      <c r="C4882" s="3">
        <v>300000</v>
      </c>
      <c r="D4882" s="3"/>
      <c r="E4882" s="7">
        <f t="shared" si="100"/>
        <v>300000</v>
      </c>
      <c r="F4882" s="5">
        <v>45929</v>
      </c>
      <c r="G4882" s="4">
        <v>20250926</v>
      </c>
      <c r="H4882" s="38" t="str">
        <f>VLOOKUP(B4882,CAJEROS!B:D,3,0)</f>
        <v>Dispensador</v>
      </c>
      <c r="I4882" s="34"/>
      <c r="J4882" s="38" t="str">
        <f>VLOOKUP(B4882,CAJEROS!B:E,4,0)</f>
        <v>CHAPARRAL_2</v>
      </c>
      <c r="K4882" t="s">
        <v>579</v>
      </c>
    </row>
    <row r="4883" spans="1:11">
      <c r="A4883" s="32">
        <v>651</v>
      </c>
      <c r="B4883" s="33">
        <v>6511</v>
      </c>
      <c r="C4883" s="3">
        <v>5400000</v>
      </c>
      <c r="D4883" s="3"/>
      <c r="E4883" s="7">
        <f t="shared" si="100"/>
        <v>5400000</v>
      </c>
      <c r="F4883" s="5">
        <v>45929</v>
      </c>
      <c r="G4883" s="4">
        <v>20250926</v>
      </c>
      <c r="H4883" s="38" t="str">
        <f>VLOOKUP(B4883,CAJEROS!B:D,3,0)</f>
        <v>Dispensador</v>
      </c>
      <c r="I4883" s="34"/>
      <c r="J4883" s="38" t="str">
        <f>VLOOKUP(B4883,CAJEROS!B:E,4,0)</f>
        <v>BARBOSA</v>
      </c>
      <c r="K4883" t="s">
        <v>579</v>
      </c>
    </row>
    <row r="4884" spans="1:11">
      <c r="A4884" s="32">
        <v>692</v>
      </c>
      <c r="B4884" s="33">
        <v>1526</v>
      </c>
      <c r="C4884" s="3">
        <v>60000</v>
      </c>
      <c r="D4884" s="3"/>
      <c r="E4884" s="7">
        <f t="shared" si="100"/>
        <v>60000</v>
      </c>
      <c r="F4884" s="5">
        <v>45929</v>
      </c>
      <c r="G4884" s="4">
        <v>20250926</v>
      </c>
      <c r="H4884" s="38" t="str">
        <f>VLOOKUP(B4884,CAJEROS!B:D,3,0)</f>
        <v>Dispensador</v>
      </c>
      <c r="I4884" s="34"/>
      <c r="J4884" s="38" t="str">
        <f>VLOOKUP(B4884,CAJEROS!B:E,4,0)</f>
        <v>SUCALTOPRA2</v>
      </c>
      <c r="K4884" t="s">
        <v>579</v>
      </c>
    </row>
    <row r="4885" spans="1:11">
      <c r="A4885" s="32">
        <v>809</v>
      </c>
      <c r="B4885" s="33">
        <v>6400</v>
      </c>
      <c r="C4885" s="3">
        <v>260000</v>
      </c>
      <c r="D4885" s="3"/>
      <c r="E4885" s="7">
        <f t="shared" si="100"/>
        <v>260000</v>
      </c>
      <c r="F4885" s="5">
        <v>45929</v>
      </c>
      <c r="G4885" s="4">
        <v>20250926</v>
      </c>
      <c r="H4885" s="38" t="str">
        <f>VLOOKUP(B4885,CAJEROS!B:D,3,0)</f>
        <v>Dispensador</v>
      </c>
      <c r="I4885" s="34"/>
      <c r="J4885" s="38" t="str">
        <f>VLOOKUP(B4885,CAJEROS!B:E,4,0)</f>
        <v>SUCMIRANDA2</v>
      </c>
      <c r="K4885" t="s">
        <v>579</v>
      </c>
    </row>
    <row r="4886" spans="1:11">
      <c r="A4886" s="32">
        <v>111</v>
      </c>
      <c r="B4886" s="33">
        <v>3654</v>
      </c>
      <c r="C4886" s="3">
        <v>50000</v>
      </c>
      <c r="D4886" s="3"/>
      <c r="E4886" s="7">
        <f t="shared" ref="E4886:E4949" si="101">+C4886-D4886</f>
        <v>50000</v>
      </c>
      <c r="F4886" s="5">
        <v>45929</v>
      </c>
      <c r="G4886" s="4">
        <v>20250928</v>
      </c>
      <c r="H4886" s="38" t="str">
        <f>VLOOKUP(B4886,CAJEROS!B:D,3,0)</f>
        <v>Dispensador</v>
      </c>
      <c r="I4886" s="34" t="s">
        <v>9</v>
      </c>
      <c r="J4886" s="38" t="str">
        <f>VLOOKUP(B4886,CAJEROS!B:E,4,0)</f>
        <v>SUC_COROZ2</v>
      </c>
      <c r="K4886" t="s">
        <v>579</v>
      </c>
    </row>
    <row r="4887" spans="1:11">
      <c r="A4887" s="32">
        <v>153</v>
      </c>
      <c r="B4887" s="33">
        <v>9879</v>
      </c>
      <c r="C4887" s="3">
        <v>150000</v>
      </c>
      <c r="D4887" s="3"/>
      <c r="E4887" s="7">
        <f t="shared" si="101"/>
        <v>150000</v>
      </c>
      <c r="F4887" s="5">
        <v>45929</v>
      </c>
      <c r="G4887" s="4">
        <v>20250928</v>
      </c>
      <c r="H4887" s="38" t="str">
        <f>VLOOKUP(B4887,CAJEROS!B:D,3,0)</f>
        <v>Dispensador</v>
      </c>
      <c r="I4887" s="34" t="s">
        <v>9</v>
      </c>
      <c r="J4887" s="38" t="str">
        <f>VLOOKUP(B4887,CAJEROS!B:E,4,0)</f>
        <v>EXITOIBAG_1</v>
      </c>
      <c r="K4887" t="s">
        <v>579</v>
      </c>
    </row>
    <row r="4888" spans="1:11">
      <c r="A4888" s="32">
        <v>153</v>
      </c>
      <c r="B4888" s="33">
        <v>9882</v>
      </c>
      <c r="C4888" s="3">
        <v>1560000</v>
      </c>
      <c r="D4888" s="3">
        <f>10000+660000</f>
        <v>670000</v>
      </c>
      <c r="E4888" s="7">
        <f t="shared" si="101"/>
        <v>890000</v>
      </c>
      <c r="F4888" s="5">
        <v>45929</v>
      </c>
      <c r="G4888" s="4">
        <v>20250928</v>
      </c>
      <c r="H4888" s="38" t="str">
        <f>VLOOKUP(B4888,CAJEROS!B:D,3,0)</f>
        <v>Dispensador</v>
      </c>
      <c r="I4888" s="34" t="s">
        <v>9</v>
      </c>
      <c r="J4888" s="38" t="str">
        <f>VLOOKUP(B4888,CAJEROS!B:E,4,0)</f>
        <v>EXITOIBAG_4</v>
      </c>
      <c r="K4888" t="s">
        <v>579</v>
      </c>
    </row>
    <row r="4889" spans="1:11">
      <c r="A4889" s="32">
        <v>186</v>
      </c>
      <c r="B4889" s="33">
        <v>6509</v>
      </c>
      <c r="C4889" s="3">
        <v>100000</v>
      </c>
      <c r="D4889" s="3"/>
      <c r="E4889" s="7">
        <f t="shared" si="101"/>
        <v>100000</v>
      </c>
      <c r="F4889" s="5">
        <v>45929</v>
      </c>
      <c r="G4889" s="4">
        <v>20250928</v>
      </c>
      <c r="H4889" s="38" t="str">
        <f>VLOOKUP(B4889,CAJEROS!B:D,3,0)</f>
        <v>Dispensador</v>
      </c>
      <c r="I4889" s="34" t="s">
        <v>9</v>
      </c>
      <c r="J4889" s="38" t="str">
        <f>VLOOKUP(B4889,CAJEROS!B:E,4,0)</f>
        <v>SUC_GALERI2</v>
      </c>
      <c r="K4889" t="s">
        <v>579</v>
      </c>
    </row>
    <row r="4890" spans="1:11">
      <c r="A4890" s="32">
        <v>254</v>
      </c>
      <c r="B4890" s="33">
        <v>9213</v>
      </c>
      <c r="C4890" s="3">
        <v>2040000</v>
      </c>
      <c r="D4890" s="3">
        <v>2000000</v>
      </c>
      <c r="E4890" s="7">
        <f t="shared" si="101"/>
        <v>40000</v>
      </c>
      <c r="F4890" s="5">
        <v>45929</v>
      </c>
      <c r="G4890" s="4">
        <v>20250928</v>
      </c>
      <c r="H4890" s="38" t="str">
        <f>VLOOKUP(B4890,CAJEROS!B:D,3,0)</f>
        <v>Dispensador</v>
      </c>
      <c r="I4890" s="34" t="s">
        <v>9</v>
      </c>
      <c r="J4890" s="38" t="str">
        <f>VLOOKUP(B4890,CAJEROS!B:E,4,0)</f>
        <v>PTOBOYACA3</v>
      </c>
      <c r="K4890" t="s">
        <v>579</v>
      </c>
    </row>
    <row r="4891" spans="1:11">
      <c r="A4891" s="32">
        <v>347</v>
      </c>
      <c r="B4891" s="33">
        <v>4782</v>
      </c>
      <c r="C4891" s="3">
        <v>600000</v>
      </c>
      <c r="D4891" s="3">
        <v>580000</v>
      </c>
      <c r="E4891" s="7">
        <f t="shared" si="101"/>
        <v>20000</v>
      </c>
      <c r="F4891" s="5">
        <v>45929</v>
      </c>
      <c r="G4891" s="4">
        <v>20250928</v>
      </c>
      <c r="H4891" s="38" t="str">
        <f>VLOOKUP(B4891,CAJEROS!B:D,3,0)</f>
        <v>Dispensador</v>
      </c>
      <c r="I4891" s="34" t="s">
        <v>9</v>
      </c>
      <c r="J4891" s="38" t="str">
        <f>VLOOKUP(B4891,CAJEROS!B:E,4,0)</f>
        <v>SUC_MANRIQ1</v>
      </c>
      <c r="K4891" t="s">
        <v>579</v>
      </c>
    </row>
    <row r="4892" spans="1:11">
      <c r="A4892" s="32">
        <v>395</v>
      </c>
      <c r="B4892" s="33">
        <v>1537</v>
      </c>
      <c r="C4892" s="3">
        <v>300000</v>
      </c>
      <c r="D4892" s="3"/>
      <c r="E4892" s="7">
        <f t="shared" si="101"/>
        <v>300000</v>
      </c>
      <c r="F4892" s="5">
        <v>45929</v>
      </c>
      <c r="G4892" s="4">
        <v>20250928</v>
      </c>
      <c r="H4892" s="38" t="str">
        <f>VLOOKUP(B4892,CAJEROS!B:D,3,0)</f>
        <v>Dispensador</v>
      </c>
      <c r="I4892" s="34" t="s">
        <v>9</v>
      </c>
      <c r="J4892" s="38" t="str">
        <f>VLOOKUP(B4892,CAJEROS!B:E,4,0)</f>
        <v>SUCVIVAVCI6</v>
      </c>
      <c r="K4892" t="s">
        <v>579</v>
      </c>
    </row>
    <row r="4893" spans="1:11">
      <c r="A4893" s="32">
        <v>406</v>
      </c>
      <c r="B4893" s="33">
        <v>4578</v>
      </c>
      <c r="C4893" s="3">
        <v>100000</v>
      </c>
      <c r="D4893" s="3"/>
      <c r="E4893" s="7">
        <f t="shared" si="101"/>
        <v>100000</v>
      </c>
      <c r="F4893" s="5">
        <v>45929</v>
      </c>
      <c r="G4893" s="4">
        <v>20250928</v>
      </c>
      <c r="H4893" s="38" t="str">
        <f>VLOOKUP(B4893,CAJEROS!B:D,3,0)</f>
        <v>Dispensador</v>
      </c>
      <c r="I4893" s="34" t="s">
        <v>9</v>
      </c>
      <c r="J4893" s="38" t="str">
        <f>VLOOKUP(B4893,CAJEROS!B:E,4,0)</f>
        <v>SUC_EMPRES1</v>
      </c>
      <c r="K4893" t="s">
        <v>579</v>
      </c>
    </row>
    <row r="4894" spans="1:11">
      <c r="A4894" s="32">
        <v>536</v>
      </c>
      <c r="B4894" s="33">
        <v>4796</v>
      </c>
      <c r="C4894" s="3">
        <v>100000</v>
      </c>
      <c r="D4894" s="3"/>
      <c r="E4894" s="7">
        <f t="shared" si="101"/>
        <v>100000</v>
      </c>
      <c r="F4894" s="5">
        <v>45929</v>
      </c>
      <c r="G4894" s="4">
        <v>20250928</v>
      </c>
      <c r="H4894" s="38" t="str">
        <f>VLOOKUP(B4894,CAJEROS!B:D,3,0)</f>
        <v>Dispensador</v>
      </c>
      <c r="I4894" s="34" t="s">
        <v>9</v>
      </c>
      <c r="J4894" s="38" t="str">
        <f>VLOOKUP(B4894,CAJEROS!B:E,4,0)</f>
        <v>SUC_QUIBDO3</v>
      </c>
      <c r="K4894" t="s">
        <v>579</v>
      </c>
    </row>
    <row r="4895" spans="1:11">
      <c r="A4895" s="32">
        <v>536</v>
      </c>
      <c r="B4895" s="33">
        <v>8993</v>
      </c>
      <c r="C4895" s="3">
        <v>200000</v>
      </c>
      <c r="D4895" s="3"/>
      <c r="E4895" s="7">
        <f t="shared" si="101"/>
        <v>200000</v>
      </c>
      <c r="F4895" s="5">
        <v>45929</v>
      </c>
      <c r="G4895" s="4">
        <v>20250928</v>
      </c>
      <c r="H4895" s="38" t="str">
        <f>VLOOKUP(B4895,CAJEROS!B:D,3,0)</f>
        <v>Dispensador</v>
      </c>
      <c r="I4895" s="34" t="s">
        <v>9</v>
      </c>
      <c r="J4895" s="38" t="str">
        <f>VLOOKUP(B4895,CAJEROS!B:E,4,0)</f>
        <v>SUC_QUIBDO8</v>
      </c>
      <c r="K4895" t="s">
        <v>579</v>
      </c>
    </row>
    <row r="4896" spans="1:11">
      <c r="A4896" s="32">
        <v>631</v>
      </c>
      <c r="B4896" s="33">
        <v>2795</v>
      </c>
      <c r="C4896" s="3">
        <v>300000</v>
      </c>
      <c r="D4896" s="3"/>
      <c r="E4896" s="7">
        <f t="shared" si="101"/>
        <v>300000</v>
      </c>
      <c r="F4896" s="5">
        <v>45929</v>
      </c>
      <c r="G4896" s="4">
        <v>20250928</v>
      </c>
      <c r="H4896" s="38" t="str">
        <f>VLOOKUP(B4896,CAJEROS!B:D,3,0)</f>
        <v>Dispensador</v>
      </c>
      <c r="I4896" s="34" t="s">
        <v>9</v>
      </c>
      <c r="J4896" s="38" t="str">
        <f>VLOOKUP(B4896,CAJEROS!B:E,4,0)</f>
        <v>SUCURIBIA_5</v>
      </c>
      <c r="K4896" t="s">
        <v>579</v>
      </c>
    </row>
    <row r="4897" spans="1:11">
      <c r="A4897" s="32">
        <v>707</v>
      </c>
      <c r="B4897" s="33">
        <v>2679</v>
      </c>
      <c r="C4897" s="3">
        <v>1000000</v>
      </c>
      <c r="D4897" s="3"/>
      <c r="E4897" s="7">
        <f t="shared" si="101"/>
        <v>1000000</v>
      </c>
      <c r="F4897" s="5">
        <v>45929</v>
      </c>
      <c r="G4897" s="4">
        <v>20250928</v>
      </c>
      <c r="H4897" s="38" t="str">
        <f>VLOOKUP(B4897,CAJEROS!B:D,3,0)</f>
        <v>Dispensador</v>
      </c>
      <c r="I4897" s="34" t="s">
        <v>9</v>
      </c>
      <c r="J4897" s="38" t="str">
        <f>VLOOKUP(B4897,CAJEROS!B:E,4,0)</f>
        <v>MANI_CASANA</v>
      </c>
      <c r="K4897" t="s">
        <v>579</v>
      </c>
    </row>
    <row r="4898" spans="1:11">
      <c r="A4898" s="32">
        <v>707</v>
      </c>
      <c r="B4898" s="33">
        <v>4988</v>
      </c>
      <c r="C4898" s="3">
        <v>100000</v>
      </c>
      <c r="D4898" s="3"/>
      <c r="E4898" s="7">
        <f t="shared" si="101"/>
        <v>100000</v>
      </c>
      <c r="F4898" s="5">
        <v>45929</v>
      </c>
      <c r="G4898" s="4">
        <v>20250928</v>
      </c>
      <c r="H4898" s="38" t="str">
        <f>VLOOKUP(B4898,CAJEROS!B:D,3,0)</f>
        <v>Dispensador</v>
      </c>
      <c r="I4898" s="34" t="s">
        <v>9</v>
      </c>
      <c r="J4898" s="38" t="str">
        <f>VLOOKUP(B4898,CAJEROS!B:E,4,0)</f>
        <v>SUC_MANICA1</v>
      </c>
      <c r="K4898" t="s">
        <v>579</v>
      </c>
    </row>
    <row r="4899" spans="1:11">
      <c r="A4899" s="32">
        <v>750</v>
      </c>
      <c r="B4899" s="33">
        <v>5537</v>
      </c>
      <c r="C4899" s="3">
        <v>50000</v>
      </c>
      <c r="D4899" s="3"/>
      <c r="E4899" s="7">
        <f t="shared" si="101"/>
        <v>50000</v>
      </c>
      <c r="F4899" s="5">
        <v>45929</v>
      </c>
      <c r="G4899" s="4">
        <v>20250928</v>
      </c>
      <c r="H4899" s="38" t="str">
        <f>VLOOKUP(B4899,CAJEROS!B:D,3,0)</f>
        <v>Dispensador</v>
      </c>
      <c r="I4899" s="34" t="s">
        <v>9</v>
      </c>
      <c r="J4899" s="38" t="str">
        <f>VLOOKUP(B4899,CAJEROS!B:E,4,0)</f>
        <v>AV_ROOSVEL1</v>
      </c>
      <c r="K4899" t="s">
        <v>579</v>
      </c>
    </row>
    <row r="4900" spans="1:11">
      <c r="A4900" s="32">
        <v>789</v>
      </c>
      <c r="B4900" s="33">
        <v>5660</v>
      </c>
      <c r="C4900" s="3">
        <v>50000</v>
      </c>
      <c r="D4900" s="3"/>
      <c r="E4900" s="7">
        <f t="shared" si="101"/>
        <v>50000</v>
      </c>
      <c r="F4900" s="5">
        <v>45929</v>
      </c>
      <c r="G4900" s="4">
        <v>20250928</v>
      </c>
      <c r="H4900" s="38" t="str">
        <f>VLOOKUP(B4900,CAJEROS!B:D,3,0)</f>
        <v>Dispensador</v>
      </c>
      <c r="I4900" s="34" t="s">
        <v>9</v>
      </c>
      <c r="J4900" s="38" t="str">
        <f>VLOOKUP(B4900,CAJEROS!B:E,4,0)</f>
        <v>MANGA1</v>
      </c>
      <c r="K4900" t="s">
        <v>579</v>
      </c>
    </row>
    <row r="4901" spans="1:11">
      <c r="A4901" s="32">
        <v>828</v>
      </c>
      <c r="B4901" s="33">
        <v>2234</v>
      </c>
      <c r="C4901" s="3">
        <v>1000000</v>
      </c>
      <c r="D4901" s="3"/>
      <c r="E4901" s="7">
        <f t="shared" si="101"/>
        <v>1000000</v>
      </c>
      <c r="F4901" s="5">
        <v>45929</v>
      </c>
      <c r="G4901" s="4">
        <v>20250928</v>
      </c>
      <c r="H4901" s="38" t="str">
        <f>VLOOKUP(B4901,CAJEROS!B:D,3,0)</f>
        <v>Dispensador</v>
      </c>
      <c r="I4901" s="34" t="s">
        <v>9</v>
      </c>
      <c r="J4901" s="38" t="str">
        <f>VLOOKUP(B4901,CAJEROS!B:E,4,0)</f>
        <v>SUC_SANJOS4</v>
      </c>
      <c r="K4901" t="s">
        <v>579</v>
      </c>
    </row>
    <row r="4902" spans="1:11">
      <c r="A4902" s="32">
        <v>866</v>
      </c>
      <c r="B4902" s="33">
        <v>467</v>
      </c>
      <c r="C4902" s="3">
        <v>100000</v>
      </c>
      <c r="D4902" s="3">
        <v>50000</v>
      </c>
      <c r="E4902" s="7">
        <f t="shared" si="101"/>
        <v>50000</v>
      </c>
      <c r="F4902" s="5">
        <v>45929</v>
      </c>
      <c r="G4902" s="4">
        <v>20250928</v>
      </c>
      <c r="H4902" s="38" t="str">
        <f>VLOOKUP(B4902,CAJEROS!B:D,3,0)</f>
        <v>Dispensador</v>
      </c>
      <c r="I4902" s="34" t="s">
        <v>9</v>
      </c>
      <c r="J4902" s="38" t="str">
        <f>VLOOKUP(B4902,CAJEROS!B:E,4,0)</f>
        <v>OFCFLORIDA2</v>
      </c>
      <c r="K4902" t="s">
        <v>579</v>
      </c>
    </row>
    <row r="4903" spans="1:11">
      <c r="A4903" s="32">
        <v>916</v>
      </c>
      <c r="B4903" s="33">
        <v>5743</v>
      </c>
      <c r="C4903" s="3">
        <v>500000</v>
      </c>
      <c r="D4903" s="3">
        <f>50000+340000</f>
        <v>390000</v>
      </c>
      <c r="E4903" s="7">
        <f t="shared" si="101"/>
        <v>110000</v>
      </c>
      <c r="F4903" s="5">
        <v>45929</v>
      </c>
      <c r="G4903" s="4">
        <v>20250928</v>
      </c>
      <c r="H4903" s="38" t="str">
        <f>VLOOKUP(B4903,CAJEROS!B:D,3,0)</f>
        <v>Dispensador</v>
      </c>
      <c r="I4903" s="34" t="s">
        <v>9</v>
      </c>
      <c r="J4903" s="38" t="str">
        <f>VLOOKUP(B4903,CAJEROS!B:E,4,0)</f>
        <v>SUC_OCEANM3</v>
      </c>
      <c r="K4903" t="s">
        <v>579</v>
      </c>
    </row>
    <row r="4904" spans="1:11">
      <c r="A4904" s="32">
        <v>193</v>
      </c>
      <c r="B4904" s="33">
        <v>8532</v>
      </c>
      <c r="C4904" s="3">
        <v>100000</v>
      </c>
      <c r="D4904" s="3"/>
      <c r="E4904" s="7">
        <f t="shared" si="101"/>
        <v>100000</v>
      </c>
      <c r="F4904" s="5">
        <v>45929</v>
      </c>
      <c r="G4904" s="4">
        <v>20250926</v>
      </c>
      <c r="H4904" s="38" t="str">
        <f>VLOOKUP(B4904,CAJEROS!B:D,3,0)</f>
        <v>Dispensador</v>
      </c>
      <c r="I4904" s="34" t="s">
        <v>9</v>
      </c>
      <c r="J4904" s="38" t="str">
        <f>VLOOKUP(B4904,CAJEROS!B:E,4,0)</f>
        <v>HALLSUCFIC2</v>
      </c>
      <c r="K4904" t="s">
        <v>579</v>
      </c>
    </row>
    <row r="4905" spans="1:11">
      <c r="A4905" s="32">
        <v>601</v>
      </c>
      <c r="B4905" s="33">
        <v>6419</v>
      </c>
      <c r="C4905" s="3">
        <v>500000</v>
      </c>
      <c r="D4905" s="3"/>
      <c r="E4905" s="7">
        <f t="shared" si="101"/>
        <v>500000</v>
      </c>
      <c r="F4905" s="5">
        <v>45929</v>
      </c>
      <c r="G4905" s="4">
        <v>20250926</v>
      </c>
      <c r="H4905" s="38" t="str">
        <f>VLOOKUP(B4905,CAJEROS!B:D,3,0)</f>
        <v>Dispensador</v>
      </c>
      <c r="I4905" s="34" t="s">
        <v>9</v>
      </c>
      <c r="J4905" s="38" t="str">
        <f>VLOOKUP(B4905,CAJEROS!B:E,4,0)</f>
        <v>SUC_PQCOL1</v>
      </c>
      <c r="K4905" t="s">
        <v>579</v>
      </c>
    </row>
    <row r="4906" spans="1:11">
      <c r="A4906" s="32">
        <v>631</v>
      </c>
      <c r="B4906" s="33">
        <v>2617</v>
      </c>
      <c r="C4906" s="3">
        <v>500000</v>
      </c>
      <c r="D4906" s="3"/>
      <c r="E4906" s="7">
        <f t="shared" si="101"/>
        <v>500000</v>
      </c>
      <c r="F4906" s="5">
        <v>45929</v>
      </c>
      <c r="G4906" s="4">
        <v>20250926</v>
      </c>
      <c r="H4906" s="38" t="str">
        <f>VLOOKUP(B4906,CAJEROS!B:D,3,0)</f>
        <v>Dispensador</v>
      </c>
      <c r="I4906" s="34" t="s">
        <v>9</v>
      </c>
      <c r="J4906" s="38" t="str">
        <f>VLOOKUP(B4906,CAJEROS!B:E,4,0)</f>
        <v>SUCURIBIA_3</v>
      </c>
      <c r="K4906" t="s">
        <v>579</v>
      </c>
    </row>
    <row r="4907" spans="1:11">
      <c r="A4907" s="32">
        <v>231</v>
      </c>
      <c r="B4907" s="33">
        <v>2311</v>
      </c>
      <c r="C4907" s="3">
        <v>200000</v>
      </c>
      <c r="D4907" s="3"/>
      <c r="E4907" s="7">
        <f t="shared" si="101"/>
        <v>200000</v>
      </c>
      <c r="F4907" s="5">
        <v>45930</v>
      </c>
      <c r="G4907" s="4">
        <v>20250929</v>
      </c>
      <c r="H4907" s="38" t="str">
        <f>VLOOKUP(B4907,CAJEROS!B:D,3,0)</f>
        <v>Dispensador</v>
      </c>
      <c r="I4907" s="34"/>
      <c r="J4907" s="38" t="str">
        <f>VLOOKUP(B4907,CAJEROS!B:E,4,0)</f>
        <v>RICAURTE1</v>
      </c>
      <c r="K4907" t="s">
        <v>579</v>
      </c>
    </row>
    <row r="4908" spans="1:11">
      <c r="A4908" s="32">
        <v>250</v>
      </c>
      <c r="B4908" s="33">
        <v>5386</v>
      </c>
      <c r="C4908" s="3">
        <v>20000</v>
      </c>
      <c r="D4908" s="3"/>
      <c r="E4908" s="7">
        <f t="shared" si="101"/>
        <v>20000</v>
      </c>
      <c r="F4908" s="5">
        <v>45930</v>
      </c>
      <c r="G4908" s="4">
        <v>20250929</v>
      </c>
      <c r="H4908" s="38" t="str">
        <f>VLOOKUP(B4908,CAJEROS!B:D,3,0)</f>
        <v>Dispensador</v>
      </c>
      <c r="I4908" s="34"/>
      <c r="J4908" s="38" t="str">
        <f>VLOOKUP(B4908,CAJEROS!B:E,4,0)</f>
        <v>SUCMODE1</v>
      </c>
      <c r="K4908" t="s">
        <v>579</v>
      </c>
    </row>
    <row r="4909" spans="1:11">
      <c r="A4909" s="32">
        <v>250</v>
      </c>
      <c r="B4909" s="33">
        <v>5388</v>
      </c>
      <c r="C4909" s="3">
        <v>100000</v>
      </c>
      <c r="D4909" s="3"/>
      <c r="E4909" s="7">
        <f t="shared" si="101"/>
        <v>100000</v>
      </c>
      <c r="F4909" s="5">
        <v>45930</v>
      </c>
      <c r="G4909" s="4">
        <v>20250929</v>
      </c>
      <c r="H4909" s="38" t="str">
        <f>VLOOKUP(B4909,CAJEROS!B:D,3,0)</f>
        <v>Dispensador</v>
      </c>
      <c r="I4909" s="34"/>
      <c r="J4909" s="38" t="str">
        <f>VLOOKUP(B4909,CAJEROS!B:E,4,0)</f>
        <v>SUCMODE3</v>
      </c>
      <c r="K4909" t="s">
        <v>579</v>
      </c>
    </row>
    <row r="4910" spans="1:11">
      <c r="A4910" s="32">
        <v>365</v>
      </c>
      <c r="B4910" s="33">
        <v>454</v>
      </c>
      <c r="C4910" s="3">
        <v>20000</v>
      </c>
      <c r="D4910" s="3"/>
      <c r="E4910" s="7">
        <f t="shared" si="101"/>
        <v>20000</v>
      </c>
      <c r="F4910" s="5">
        <v>45930</v>
      </c>
      <c r="G4910" s="4">
        <v>20250929</v>
      </c>
      <c r="H4910" s="38" t="str">
        <f>VLOOKUP(B4910,CAJEROS!B:D,3,0)</f>
        <v>Dispensador</v>
      </c>
      <c r="I4910" s="34"/>
      <c r="J4910" s="38" t="str">
        <f>VLOOKUP(B4910,CAJEROS!B:E,4,0)</f>
        <v>AGUAZUL1</v>
      </c>
      <c r="K4910" t="s">
        <v>579</v>
      </c>
    </row>
    <row r="4911" spans="1:11">
      <c r="A4911" s="32">
        <v>520</v>
      </c>
      <c r="B4911" s="33">
        <v>4470</v>
      </c>
      <c r="C4911" s="3">
        <v>50000</v>
      </c>
      <c r="D4911" s="3"/>
      <c r="E4911" s="7">
        <f t="shared" si="101"/>
        <v>50000</v>
      </c>
      <c r="F4911" s="5">
        <v>45930</v>
      </c>
      <c r="G4911" s="4">
        <v>20250929</v>
      </c>
      <c r="H4911" s="38" t="str">
        <f>VLOOKUP(B4911,CAJEROS!B:D,3,0)</f>
        <v>Dispensador</v>
      </c>
      <c r="I4911" s="34"/>
      <c r="J4911" s="38" t="str">
        <f>VLOOKUP(B4911,CAJEROS!B:E,4,0)</f>
        <v>SUC_AMAGA1</v>
      </c>
      <c r="K4911" t="s">
        <v>579</v>
      </c>
    </row>
    <row r="4912" spans="1:11">
      <c r="A4912" s="32">
        <v>520</v>
      </c>
      <c r="B4912" s="33">
        <v>4471</v>
      </c>
      <c r="C4912" s="3">
        <v>50000</v>
      </c>
      <c r="D4912" s="3"/>
      <c r="E4912" s="7">
        <f t="shared" si="101"/>
        <v>50000</v>
      </c>
      <c r="F4912" s="5">
        <v>45930</v>
      </c>
      <c r="G4912" s="4">
        <v>20250929</v>
      </c>
      <c r="H4912" s="38" t="str">
        <f>VLOOKUP(B4912,CAJEROS!B:D,3,0)</f>
        <v>Dispensador</v>
      </c>
      <c r="I4912" s="34"/>
      <c r="J4912" s="38" t="str">
        <f>VLOOKUP(B4912,CAJEROS!B:E,4,0)</f>
        <v>SUC_AMAGA2</v>
      </c>
      <c r="K4912" t="s">
        <v>579</v>
      </c>
    </row>
    <row r="4913" spans="1:11">
      <c r="A4913" s="32">
        <v>520</v>
      </c>
      <c r="B4913" s="33">
        <v>8281</v>
      </c>
      <c r="C4913" s="3">
        <v>200000</v>
      </c>
      <c r="D4913" s="3"/>
      <c r="E4913" s="7">
        <f t="shared" si="101"/>
        <v>200000</v>
      </c>
      <c r="F4913" s="5">
        <v>45930</v>
      </c>
      <c r="G4913" s="4">
        <v>20250929</v>
      </c>
      <c r="H4913" s="38" t="str">
        <f>VLOOKUP(B4913,CAJEROS!B:D,3,0)</f>
        <v>Dispensador</v>
      </c>
      <c r="I4913" s="34"/>
      <c r="J4913" s="38" t="str">
        <f>VLOOKUP(B4913,CAJEROS!B:E,4,0)</f>
        <v>SUC_AMAGA3</v>
      </c>
      <c r="K4913" t="s">
        <v>579</v>
      </c>
    </row>
    <row r="4914" spans="1:11">
      <c r="A4914" s="32">
        <v>651</v>
      </c>
      <c r="B4914" s="33">
        <v>6511</v>
      </c>
      <c r="C4914" s="3">
        <v>2700000</v>
      </c>
      <c r="D4914" s="3"/>
      <c r="E4914" s="7">
        <f t="shared" si="101"/>
        <v>2700000</v>
      </c>
      <c r="F4914" s="5">
        <v>45930</v>
      </c>
      <c r="G4914" s="4">
        <v>20250929</v>
      </c>
      <c r="H4914" s="38" t="str">
        <f>VLOOKUP(B4914,CAJEROS!B:D,3,0)</f>
        <v>Dispensador</v>
      </c>
      <c r="I4914" s="34"/>
      <c r="J4914" s="38" t="str">
        <f>VLOOKUP(B4914,CAJEROS!B:E,4,0)</f>
        <v>BARBOSA</v>
      </c>
      <c r="K4914" t="s">
        <v>579</v>
      </c>
    </row>
    <row r="4915" spans="1:11">
      <c r="A4915" s="32">
        <v>681</v>
      </c>
      <c r="B4915" s="33">
        <v>3640</v>
      </c>
      <c r="C4915" s="3">
        <v>450000</v>
      </c>
      <c r="D4915" s="3"/>
      <c r="E4915" s="7">
        <f t="shared" si="101"/>
        <v>450000</v>
      </c>
      <c r="F4915" s="5">
        <v>45930</v>
      </c>
      <c r="G4915" s="4">
        <v>20250929</v>
      </c>
      <c r="H4915" s="38" t="str">
        <f>VLOOKUP(B4915,CAJEROS!B:D,3,0)</f>
        <v>Dispensador</v>
      </c>
      <c r="I4915" s="34"/>
      <c r="J4915" s="38" t="str">
        <f>VLOOKUP(B4915,CAJEROS!B:E,4,0)</f>
        <v>CERETE_3</v>
      </c>
      <c r="K4915" t="s">
        <v>579</v>
      </c>
    </row>
    <row r="4916" spans="1:11">
      <c r="A4916" s="32">
        <v>682</v>
      </c>
      <c r="B4916" s="33">
        <v>5960</v>
      </c>
      <c r="C4916" s="3">
        <v>2700000</v>
      </c>
      <c r="D4916" s="3"/>
      <c r="E4916" s="7">
        <f t="shared" si="101"/>
        <v>2700000</v>
      </c>
      <c r="F4916" s="5">
        <v>45930</v>
      </c>
      <c r="G4916" s="4">
        <v>20250929</v>
      </c>
      <c r="H4916" s="38" t="str">
        <f>VLOOKUP(B4916,CAJEROS!B:D,3,0)</f>
        <v>Dispensador</v>
      </c>
      <c r="I4916" s="34"/>
      <c r="J4916" s="38" t="str">
        <f>VLOOKUP(B4916,CAJEROS!B:E,4,0)</f>
        <v>SUC_CCFONT2</v>
      </c>
      <c r="K4916" t="s">
        <v>579</v>
      </c>
    </row>
    <row r="4917" spans="1:11">
      <c r="A4917" s="32">
        <v>944</v>
      </c>
      <c r="B4917" s="33">
        <v>8356</v>
      </c>
      <c r="C4917" s="3">
        <v>1190000</v>
      </c>
      <c r="D4917" s="3"/>
      <c r="E4917" s="7">
        <f t="shared" si="101"/>
        <v>1190000</v>
      </c>
      <c r="F4917" s="5">
        <v>45930</v>
      </c>
      <c r="G4917" s="4">
        <v>20250929</v>
      </c>
      <c r="H4917" s="38" t="str">
        <f>VLOOKUP(B4917,CAJEROS!B:D,3,0)</f>
        <v>Dispensador</v>
      </c>
      <c r="I4917" s="34"/>
      <c r="J4917" s="38" t="str">
        <f>VLOOKUP(B4917,CAJEROS!B:E,4,0)</f>
        <v>SUCSANTABO2</v>
      </c>
      <c r="K4917" t="s">
        <v>579</v>
      </c>
    </row>
    <row r="4918" spans="1:11">
      <c r="A4918" s="32">
        <v>951</v>
      </c>
      <c r="B4918" s="33">
        <v>7776</v>
      </c>
      <c r="C4918" s="3">
        <v>50000</v>
      </c>
      <c r="D4918" s="3"/>
      <c r="E4918" s="7">
        <f t="shared" si="101"/>
        <v>50000</v>
      </c>
      <c r="F4918" s="5">
        <v>45930</v>
      </c>
      <c r="G4918" s="4">
        <v>20250929</v>
      </c>
      <c r="H4918" s="38" t="str">
        <f>VLOOKUP(B4918,CAJEROS!B:D,3,0)</f>
        <v>Dispensador</v>
      </c>
      <c r="I4918" s="34"/>
      <c r="J4918" s="38" t="str">
        <f>VLOOKUP(B4918,CAJEROS!B:E,4,0)</f>
        <v>AUTOBOSCO1</v>
      </c>
      <c r="K4918" t="s">
        <v>579</v>
      </c>
    </row>
    <row r="4919" spans="1:11">
      <c r="A4919" s="32">
        <v>951</v>
      </c>
      <c r="B4919" s="33">
        <v>7810</v>
      </c>
      <c r="C4919" s="3">
        <v>10000</v>
      </c>
      <c r="D4919" s="3"/>
      <c r="E4919" s="7">
        <f t="shared" si="101"/>
        <v>10000</v>
      </c>
      <c r="F4919" s="5">
        <v>45930</v>
      </c>
      <c r="G4919" s="4">
        <v>20250929</v>
      </c>
      <c r="H4919" s="38" t="str">
        <f>VLOOKUP(B4919,CAJEROS!B:D,3,0)</f>
        <v>Dispensador</v>
      </c>
      <c r="I4919" s="34"/>
      <c r="J4919" s="38" t="str">
        <f>VLOOKUP(B4919,CAJEROS!B:E,4,0)</f>
        <v>AUTOBOSC_3</v>
      </c>
      <c r="K4919" t="s">
        <v>579</v>
      </c>
    </row>
    <row r="4920" spans="1:11">
      <c r="A4920" s="32">
        <v>951</v>
      </c>
      <c r="B4920" s="33">
        <v>7816</v>
      </c>
      <c r="C4920" s="3">
        <v>20000</v>
      </c>
      <c r="D4920" s="3"/>
      <c r="E4920" s="7">
        <f t="shared" si="101"/>
        <v>20000</v>
      </c>
      <c r="F4920" s="5">
        <v>45930</v>
      </c>
      <c r="G4920" s="4">
        <v>20250929</v>
      </c>
      <c r="H4920" s="38" t="str">
        <f>VLOOKUP(B4920,CAJEROS!B:D,3,0)</f>
        <v>Dispensador</v>
      </c>
      <c r="I4920" s="34"/>
      <c r="J4920" s="38" t="str">
        <f>VLOOKUP(B4920,CAJEROS!B:E,4,0)</f>
        <v>AUTOBOSC_4</v>
      </c>
      <c r="K4920" t="s">
        <v>579</v>
      </c>
    </row>
    <row r="4921" spans="1:11">
      <c r="A4921" s="32">
        <v>15</v>
      </c>
      <c r="B4921" s="33">
        <v>8571</v>
      </c>
      <c r="C4921" s="3">
        <v>70000</v>
      </c>
      <c r="D4921" s="3"/>
      <c r="E4921" s="7">
        <f t="shared" si="101"/>
        <v>70000</v>
      </c>
      <c r="F4921" s="5">
        <v>45930</v>
      </c>
      <c r="G4921" s="4">
        <v>20250929</v>
      </c>
      <c r="H4921" s="38" t="str">
        <f>VLOOKUP(B4921,CAJEROS!B:D,3,0)</f>
        <v>Dispensador</v>
      </c>
      <c r="I4921" s="34" t="s">
        <v>9</v>
      </c>
      <c r="J4921" s="38" t="str">
        <f>VLOOKUP(B4921,CAJEROS!B:E,4,0)</f>
        <v>HALLITAGUI1</v>
      </c>
      <c r="K4921" t="s">
        <v>579</v>
      </c>
    </row>
    <row r="4922" spans="1:11">
      <c r="A4922" s="32">
        <v>186</v>
      </c>
      <c r="B4922" s="33">
        <v>6509</v>
      </c>
      <c r="C4922" s="3">
        <v>5000000</v>
      </c>
      <c r="D4922" s="3">
        <f>4500000+60000</f>
        <v>4560000</v>
      </c>
      <c r="E4922" s="7">
        <f t="shared" si="101"/>
        <v>440000</v>
      </c>
      <c r="F4922" s="5">
        <v>45930</v>
      </c>
      <c r="G4922" s="4">
        <v>20250929</v>
      </c>
      <c r="H4922" s="38" t="str">
        <f>VLOOKUP(B4922,CAJEROS!B:D,3,0)</f>
        <v>Dispensador</v>
      </c>
      <c r="I4922" s="34" t="s">
        <v>9</v>
      </c>
      <c r="J4922" s="38" t="str">
        <f>VLOOKUP(B4922,CAJEROS!B:E,4,0)</f>
        <v>SUC_GALERI2</v>
      </c>
      <c r="K4922" t="s">
        <v>579</v>
      </c>
    </row>
    <row r="4923" spans="1:11">
      <c r="A4923" s="32">
        <v>193</v>
      </c>
      <c r="B4923" s="33">
        <v>8532</v>
      </c>
      <c r="C4923" s="3">
        <v>620000</v>
      </c>
      <c r="D4923" s="3"/>
      <c r="E4923" s="7">
        <f t="shared" si="101"/>
        <v>620000</v>
      </c>
      <c r="F4923" s="5">
        <v>45930</v>
      </c>
      <c r="G4923" s="4">
        <v>20250929</v>
      </c>
      <c r="H4923" s="38" t="str">
        <f>VLOOKUP(B4923,CAJEROS!B:D,3,0)</f>
        <v>Dispensador</v>
      </c>
      <c r="I4923" s="34" t="s">
        <v>9</v>
      </c>
      <c r="J4923" s="38" t="str">
        <f>VLOOKUP(B4923,CAJEROS!B:E,4,0)</f>
        <v>HALLSUCFIC2</v>
      </c>
      <c r="K4923" t="s">
        <v>579</v>
      </c>
    </row>
    <row r="4924" spans="1:11">
      <c r="A4924" s="32">
        <v>211</v>
      </c>
      <c r="B4924" s="33">
        <v>5308</v>
      </c>
      <c r="C4924" s="3">
        <v>110000</v>
      </c>
      <c r="D4924" s="3">
        <v>100000</v>
      </c>
      <c r="E4924" s="7">
        <f t="shared" si="101"/>
        <v>10000</v>
      </c>
      <c r="F4924" s="5">
        <v>45930</v>
      </c>
      <c r="G4924" s="4">
        <v>20250929</v>
      </c>
      <c r="H4924" s="38" t="str">
        <f>VLOOKUP(B4924,CAJEROS!B:D,3,0)</f>
        <v>Dispensador</v>
      </c>
      <c r="I4924" s="34" t="s">
        <v>9</v>
      </c>
      <c r="J4924" s="38" t="str">
        <f>VLOOKUP(B4924,CAJEROS!B:E,4,0)</f>
        <v>SUC_INDUST1</v>
      </c>
      <c r="K4924" t="s">
        <v>579</v>
      </c>
    </row>
    <row r="4925" spans="1:11">
      <c r="A4925" s="32">
        <v>466</v>
      </c>
      <c r="B4925" s="33">
        <v>6596</v>
      </c>
      <c r="C4925" s="3">
        <v>200000</v>
      </c>
      <c r="D4925" s="3"/>
      <c r="E4925" s="7">
        <f t="shared" si="101"/>
        <v>200000</v>
      </c>
      <c r="F4925" s="5">
        <v>45930</v>
      </c>
      <c r="G4925" s="4">
        <v>20250929</v>
      </c>
      <c r="H4925" s="38" t="str">
        <f>VLOOKUP(B4925,CAJEROS!B:D,3,0)</f>
        <v>Dispensador</v>
      </c>
      <c r="I4925" s="34" t="s">
        <v>9</v>
      </c>
      <c r="J4925" s="38" t="str">
        <f>VLOOKUP(B4925,CAJEROS!B:E,4,0)</f>
        <v>SUC_FLOREN1</v>
      </c>
      <c r="K4925" t="s">
        <v>579</v>
      </c>
    </row>
    <row r="4926" spans="1:11">
      <c r="A4926" s="32">
        <v>484</v>
      </c>
      <c r="B4926" s="33">
        <v>3268</v>
      </c>
      <c r="C4926" s="3">
        <v>30000</v>
      </c>
      <c r="D4926" s="3"/>
      <c r="E4926" s="7">
        <f t="shared" si="101"/>
        <v>30000</v>
      </c>
      <c r="F4926" s="5">
        <v>45930</v>
      </c>
      <c r="G4926" s="4">
        <v>20250929</v>
      </c>
      <c r="H4926" s="38" t="str">
        <f>VLOOKUP(B4926,CAJEROS!B:D,3,0)</f>
        <v>Dispensador</v>
      </c>
      <c r="I4926" s="34" t="s">
        <v>9</v>
      </c>
      <c r="J4926" s="38" t="str">
        <f>VLOOKUP(B4926,CAJEROS!B:E,4,0)</f>
        <v>MAGANGUE_3</v>
      </c>
      <c r="K4926" t="s">
        <v>579</v>
      </c>
    </row>
    <row r="4927" spans="1:11">
      <c r="A4927" s="32">
        <v>486</v>
      </c>
      <c r="B4927" s="33">
        <v>5693</v>
      </c>
      <c r="C4927" s="3">
        <v>100000</v>
      </c>
      <c r="D4927" s="3"/>
      <c r="E4927" s="7">
        <f t="shared" si="101"/>
        <v>100000</v>
      </c>
      <c r="F4927" s="5">
        <v>45930</v>
      </c>
      <c r="G4927" s="4">
        <v>20250929</v>
      </c>
      <c r="H4927" s="38" t="str">
        <f>VLOOKUP(B4927,CAJEROS!B:D,3,0)</f>
        <v>Dispensador</v>
      </c>
      <c r="I4927" s="34" t="s">
        <v>9</v>
      </c>
      <c r="J4927" s="38" t="str">
        <f>VLOOKUP(B4927,CAJEROS!B:E,4,0)</f>
        <v>SUC_NICOL1</v>
      </c>
      <c r="K4927" t="s">
        <v>579</v>
      </c>
    </row>
    <row r="4928" spans="1:11">
      <c r="A4928" s="32">
        <v>631</v>
      </c>
      <c r="B4928" s="33">
        <v>2617</v>
      </c>
      <c r="C4928" s="3">
        <v>2130000</v>
      </c>
      <c r="D4928" s="3">
        <f>160000+650000</f>
        <v>810000</v>
      </c>
      <c r="E4928" s="7">
        <f t="shared" si="101"/>
        <v>1320000</v>
      </c>
      <c r="F4928" s="5">
        <v>45930</v>
      </c>
      <c r="G4928" s="4">
        <v>20250929</v>
      </c>
      <c r="H4928" s="38" t="str">
        <f>VLOOKUP(B4928,CAJEROS!B:D,3,0)</f>
        <v>Dispensador</v>
      </c>
      <c r="I4928" s="34" t="s">
        <v>9</v>
      </c>
      <c r="J4928" s="38" t="str">
        <f>VLOOKUP(B4928,CAJEROS!B:E,4,0)</f>
        <v>SUCURIBIA_3</v>
      </c>
      <c r="K4928" t="s">
        <v>579</v>
      </c>
    </row>
    <row r="4929" spans="1:11">
      <c r="A4929" s="32">
        <v>631</v>
      </c>
      <c r="B4929" s="33">
        <v>2795</v>
      </c>
      <c r="C4929" s="3">
        <v>1100000</v>
      </c>
      <c r="D4929" s="3">
        <v>260000</v>
      </c>
      <c r="E4929" s="7">
        <f t="shared" si="101"/>
        <v>840000</v>
      </c>
      <c r="F4929" s="5">
        <v>45930</v>
      </c>
      <c r="G4929" s="4">
        <v>20250929</v>
      </c>
      <c r="H4929" s="38" t="str">
        <f>VLOOKUP(B4929,CAJEROS!B:D,3,0)</f>
        <v>Dispensador</v>
      </c>
      <c r="I4929" s="34" t="s">
        <v>9</v>
      </c>
      <c r="J4929" s="38" t="str">
        <f>VLOOKUP(B4929,CAJEROS!B:E,4,0)</f>
        <v>SUCURIBIA_5</v>
      </c>
      <c r="K4929" t="s">
        <v>579</v>
      </c>
    </row>
    <row r="4930" spans="1:11">
      <c r="A4930" s="32">
        <v>682</v>
      </c>
      <c r="B4930" s="33">
        <v>5959</v>
      </c>
      <c r="C4930" s="3">
        <v>400000</v>
      </c>
      <c r="D4930" s="3"/>
      <c r="E4930" s="7">
        <f t="shared" si="101"/>
        <v>400000</v>
      </c>
      <c r="F4930" s="5">
        <v>45930</v>
      </c>
      <c r="G4930" s="4">
        <v>20250929</v>
      </c>
      <c r="H4930" s="38" t="str">
        <f>VLOOKUP(B4930,CAJEROS!B:D,3,0)</f>
        <v>Dispensador</v>
      </c>
      <c r="I4930" s="34" t="s">
        <v>9</v>
      </c>
      <c r="J4930" s="38" t="str">
        <f>VLOOKUP(B4930,CAJEROS!B:E,4,0)</f>
        <v>SUC_CCFONT1</v>
      </c>
      <c r="K4930" t="s">
        <v>579</v>
      </c>
    </row>
    <row r="4931" spans="1:11">
      <c r="A4931" s="32">
        <v>816</v>
      </c>
      <c r="B4931" s="33">
        <v>4113</v>
      </c>
      <c r="C4931" s="3">
        <v>180000</v>
      </c>
      <c r="D4931" s="3"/>
      <c r="E4931" s="7">
        <f t="shared" si="101"/>
        <v>180000</v>
      </c>
      <c r="F4931" s="5">
        <v>45930</v>
      </c>
      <c r="G4931" s="4">
        <v>20250929</v>
      </c>
      <c r="H4931" s="38" t="str">
        <f>VLOOKUP(B4931,CAJEROS!B:D,3,0)</f>
        <v>Dispensador</v>
      </c>
      <c r="I4931" s="34" t="s">
        <v>9</v>
      </c>
      <c r="J4931" s="38" t="str">
        <f>VLOOKUP(B4931,CAJEROS!B:E,4,0)</f>
        <v>SUC_CL10_4</v>
      </c>
      <c r="K4931" t="s">
        <v>579</v>
      </c>
    </row>
    <row r="4932" spans="1:11">
      <c r="A4932" s="32">
        <v>881</v>
      </c>
      <c r="B4932" s="33">
        <v>2477</v>
      </c>
      <c r="C4932" s="3">
        <v>600000</v>
      </c>
      <c r="D4932" s="3"/>
      <c r="E4932" s="7">
        <f t="shared" si="101"/>
        <v>600000</v>
      </c>
      <c r="F4932" s="5">
        <v>45930</v>
      </c>
      <c r="G4932" s="4">
        <v>20250929</v>
      </c>
      <c r="H4932" s="38" t="str">
        <f>VLOOKUP(B4932,CAJEROS!B:D,3,0)</f>
        <v>Dispensador</v>
      </c>
      <c r="I4932" s="34" t="s">
        <v>9</v>
      </c>
      <c r="J4932" s="38" t="str">
        <f>VLOOKUP(B4932,CAJEROS!B:E,4,0)</f>
        <v>SUCSEBDBEL2</v>
      </c>
      <c r="K4932" t="s">
        <v>579</v>
      </c>
    </row>
    <row r="4933" spans="1:11">
      <c r="A4933" s="32">
        <v>927</v>
      </c>
      <c r="B4933" s="33">
        <v>5749</v>
      </c>
      <c r="C4933" s="3">
        <v>90000</v>
      </c>
      <c r="D4933" s="3">
        <f>50000+10000</f>
        <v>60000</v>
      </c>
      <c r="E4933" s="7">
        <f t="shared" si="101"/>
        <v>30000</v>
      </c>
      <c r="F4933" s="5">
        <v>45930</v>
      </c>
      <c r="G4933" s="4">
        <v>20250929</v>
      </c>
      <c r="H4933" s="38" t="str">
        <f>VLOOKUP(B4933,CAJEROS!B:D,3,0)</f>
        <v>Dispensador</v>
      </c>
      <c r="I4933" s="34" t="s">
        <v>9</v>
      </c>
      <c r="J4933" s="38" t="str">
        <f>VLOOKUP(B4933,CAJEROS!B:E,4,0)</f>
        <v>SUC_MOCOA1</v>
      </c>
      <c r="K4933" t="s">
        <v>579</v>
      </c>
    </row>
    <row r="4934" spans="1:11">
      <c r="A4934" s="32">
        <v>57</v>
      </c>
      <c r="B4934" s="33">
        <v>9963</v>
      </c>
      <c r="C4934" s="3">
        <v>16790000</v>
      </c>
      <c r="D4934" s="3"/>
      <c r="E4934" s="7">
        <f t="shared" si="101"/>
        <v>16790000</v>
      </c>
      <c r="F4934" s="5">
        <v>45930</v>
      </c>
      <c r="G4934" s="4">
        <v>20250929</v>
      </c>
      <c r="H4934" s="38" t="str">
        <f>VLOOKUP(B4934,CAJEROS!B:D,3,0)</f>
        <v>Multifuncional</v>
      </c>
      <c r="I4934" s="34"/>
      <c r="J4934" s="38" t="str">
        <f>VLOOKUP(B4934,CAJEROS!B:E,4,0)</f>
        <v>MF_VILLAVI1</v>
      </c>
      <c r="K4934" t="s">
        <v>579</v>
      </c>
    </row>
    <row r="4935" spans="1:11">
      <c r="A4935" s="32">
        <v>85</v>
      </c>
      <c r="B4935" s="33">
        <v>8974</v>
      </c>
      <c r="C4935" s="3">
        <v>1000</v>
      </c>
      <c r="D4935" s="3"/>
      <c r="E4935" s="7">
        <f t="shared" si="101"/>
        <v>1000</v>
      </c>
      <c r="F4935" s="5">
        <v>45930</v>
      </c>
      <c r="G4935" s="4">
        <v>20250929</v>
      </c>
      <c r="H4935" s="38" t="str">
        <f>VLOOKUP(B4935,CAJEROS!B:D,3,0)</f>
        <v>Multifuncional</v>
      </c>
      <c r="I4935" s="34"/>
      <c r="J4935" s="38" t="str">
        <f>VLOOKUP(B4935,CAJEROS!B:E,4,0)</f>
        <v>MF_SUCSERZU</v>
      </c>
      <c r="K4935" t="s">
        <v>579</v>
      </c>
    </row>
    <row r="4936" spans="1:11">
      <c r="A4936" s="32">
        <v>253</v>
      </c>
      <c r="B4936" s="33">
        <v>5176</v>
      </c>
      <c r="C4936" s="3">
        <v>20000</v>
      </c>
      <c r="D4936" s="3"/>
      <c r="E4936" s="7">
        <f t="shared" si="101"/>
        <v>20000</v>
      </c>
      <c r="F4936" s="5">
        <v>45930</v>
      </c>
      <c r="G4936" s="4">
        <v>20250929</v>
      </c>
      <c r="H4936" s="38" t="str">
        <f>VLOOKUP(B4936,CAJEROS!B:D,3,0)</f>
        <v>Multifuncional</v>
      </c>
      <c r="I4936" s="34"/>
      <c r="J4936" s="38" t="str">
        <f>VLOOKUP(B4936,CAJEROS!B:E,4,0)</f>
        <v>MF_SPTANORT</v>
      </c>
      <c r="K4936" t="s">
        <v>579</v>
      </c>
    </row>
    <row r="4937" spans="1:11">
      <c r="A4937" s="32">
        <v>331</v>
      </c>
      <c r="B4937" s="33">
        <v>575</v>
      </c>
      <c r="C4937" s="3">
        <v>950</v>
      </c>
      <c r="D4937" s="3"/>
      <c r="E4937" s="7">
        <f t="shared" si="101"/>
        <v>950</v>
      </c>
      <c r="F4937" s="5">
        <v>45930</v>
      </c>
      <c r="G4937" s="4">
        <v>20250929</v>
      </c>
      <c r="H4937" s="38" t="str">
        <f>VLOOKUP(B4937,CAJEROS!B:D,3,0)</f>
        <v>Multifuncional</v>
      </c>
      <c r="I4937" s="34"/>
      <c r="J4937" s="38" t="str">
        <f>VLOOKUP(B4937,CAJEROS!B:E,4,0)</f>
        <v>MF_SUCARKA2</v>
      </c>
      <c r="K4937" t="s">
        <v>579</v>
      </c>
    </row>
    <row r="4938" spans="1:11">
      <c r="A4938" s="32">
        <v>351</v>
      </c>
      <c r="B4938" s="33">
        <v>6182</v>
      </c>
      <c r="C4938" s="3">
        <v>200000</v>
      </c>
      <c r="D4938" s="3"/>
      <c r="E4938" s="7">
        <f t="shared" si="101"/>
        <v>200000</v>
      </c>
      <c r="F4938" s="5">
        <v>45930</v>
      </c>
      <c r="G4938" s="4">
        <v>20250929</v>
      </c>
      <c r="H4938" s="38" t="str">
        <f>VLOOKUP(B4938,CAJEROS!B:D,3,0)</f>
        <v>Multifuncional</v>
      </c>
      <c r="I4938" s="34"/>
      <c r="J4938" s="38" t="str">
        <f>VLOOKUP(B4938,CAJEROS!B:E,4,0)</f>
        <v>MF_PUNTORIE</v>
      </c>
      <c r="K4938" t="s">
        <v>579</v>
      </c>
    </row>
    <row r="4939" spans="1:11">
      <c r="A4939" s="32">
        <v>367</v>
      </c>
      <c r="B4939" s="33">
        <v>9580</v>
      </c>
      <c r="C4939" s="3">
        <v>9825000</v>
      </c>
      <c r="D4939" s="3"/>
      <c r="E4939" s="7">
        <f t="shared" si="101"/>
        <v>9825000</v>
      </c>
      <c r="F4939" s="5">
        <v>45930</v>
      </c>
      <c r="G4939" s="4">
        <v>20250929</v>
      </c>
      <c r="H4939" s="38" t="str">
        <f>VLOOKUP(B4939,CAJEROS!B:D,3,0)</f>
        <v>Multifuncional</v>
      </c>
      <c r="I4939" s="34"/>
      <c r="J4939" s="38" t="str">
        <f>VLOOKUP(B4939,CAJEROS!B:E,4,0)</f>
        <v>MF_SUCGRAN1</v>
      </c>
      <c r="K4939" t="s">
        <v>579</v>
      </c>
    </row>
    <row r="4940" spans="1:11">
      <c r="A4940" s="32">
        <v>442</v>
      </c>
      <c r="B4940" s="33">
        <v>8887</v>
      </c>
      <c r="C4940" s="3">
        <v>5526050</v>
      </c>
      <c r="D4940" s="3"/>
      <c r="E4940" s="7">
        <f t="shared" si="101"/>
        <v>5526050</v>
      </c>
      <c r="F4940" s="5">
        <v>45930</v>
      </c>
      <c r="G4940" s="4">
        <v>20250929</v>
      </c>
      <c r="H4940" s="38" t="str">
        <f>VLOOKUP(B4940,CAJEROS!B:D,3,0)</f>
        <v>Multifuncional</v>
      </c>
      <c r="I4940" s="34"/>
      <c r="J4940" s="38" t="str">
        <f>VLOOKUP(B4940,CAJEROS!B:E,4,0)</f>
        <v>MFVIVABQUI1</v>
      </c>
      <c r="K4940" t="s">
        <v>579</v>
      </c>
    </row>
    <row r="4941" spans="1:11">
      <c r="A4941" s="32">
        <v>495</v>
      </c>
      <c r="B4941" s="33">
        <v>8482</v>
      </c>
      <c r="C4941" s="3">
        <v>600000</v>
      </c>
      <c r="D4941" s="3"/>
      <c r="E4941" s="7">
        <f t="shared" si="101"/>
        <v>600000</v>
      </c>
      <c r="F4941" s="5">
        <v>45930</v>
      </c>
      <c r="G4941" s="4">
        <v>20250929</v>
      </c>
      <c r="H4941" s="38" t="str">
        <f>VLOOKUP(B4941,CAJEROS!B:D,3,0)</f>
        <v>Multifuncional</v>
      </c>
      <c r="I4941" s="34"/>
      <c r="J4941" s="38" t="str">
        <f>VLOOKUP(B4941,CAJEROS!B:E,4,0)</f>
        <v>MF_SUCBOSQ1</v>
      </c>
      <c r="K4941" t="s">
        <v>579</v>
      </c>
    </row>
    <row r="4942" spans="1:11">
      <c r="A4942" s="32">
        <v>523</v>
      </c>
      <c r="B4942" s="33">
        <v>5082</v>
      </c>
      <c r="C4942" s="3">
        <v>3937000</v>
      </c>
      <c r="D4942" s="3"/>
      <c r="E4942" s="7">
        <f t="shared" si="101"/>
        <v>3937000</v>
      </c>
      <c r="F4942" s="5">
        <v>45930</v>
      </c>
      <c r="G4942" s="4">
        <v>20250929</v>
      </c>
      <c r="H4942" s="38" t="str">
        <f>VLOOKUP(B4942,CAJEROS!B:D,3,0)</f>
        <v>Multifuncional</v>
      </c>
      <c r="I4942" s="34"/>
      <c r="J4942" s="38" t="str">
        <f>VLOOKUP(B4942,CAJEROS!B:E,4,0)</f>
        <v>MF_OVALLEDU</v>
      </c>
      <c r="K4942" t="s">
        <v>579</v>
      </c>
    </row>
    <row r="4943" spans="1:11">
      <c r="A4943" s="32">
        <v>795</v>
      </c>
      <c r="B4943" s="33">
        <v>1029</v>
      </c>
      <c r="C4943" s="3">
        <v>5350200</v>
      </c>
      <c r="D4943" s="3">
        <v>3996850</v>
      </c>
      <c r="E4943" s="7">
        <f t="shared" si="101"/>
        <v>1353350</v>
      </c>
      <c r="F4943" s="5">
        <v>45930</v>
      </c>
      <c r="G4943" s="4">
        <v>20250929</v>
      </c>
      <c r="H4943" s="38" t="str">
        <f>VLOOKUP(B4943,CAJEROS!B:D,3,0)</f>
        <v>Multifuncional</v>
      </c>
      <c r="I4943" s="34"/>
      <c r="J4943" s="38" t="str">
        <f>VLOOKUP(B4943,CAJEROS!B:E,4,0)</f>
        <v>MFSUCANVER3</v>
      </c>
      <c r="K4943" t="s">
        <v>579</v>
      </c>
    </row>
    <row r="4944" spans="1:11">
      <c r="A4944" s="32">
        <v>292</v>
      </c>
      <c r="B4944" s="33">
        <v>5116</v>
      </c>
      <c r="C4944" s="3">
        <v>3425200</v>
      </c>
      <c r="D4944" s="3">
        <v>648000</v>
      </c>
      <c r="E4944" s="7">
        <f t="shared" si="101"/>
        <v>2777200</v>
      </c>
      <c r="F4944" s="5">
        <v>45930</v>
      </c>
      <c r="G4944" s="4">
        <v>20250929</v>
      </c>
      <c r="H4944" s="38" t="str">
        <f>VLOOKUP(B4944,CAJEROS!B:D,3,0)</f>
        <v>Multifuncional</v>
      </c>
      <c r="I4944" s="34" t="s">
        <v>9</v>
      </c>
      <c r="J4944" s="38" t="str">
        <f>VLOOKUP(B4944,CAJEROS!B:E,4,0)</f>
        <v>MF_CONFECCI</v>
      </c>
      <c r="K4944" t="s">
        <v>579</v>
      </c>
    </row>
    <row r="4945" spans="1:11">
      <c r="A4945" s="32">
        <v>388</v>
      </c>
      <c r="B4945" s="33">
        <v>5169</v>
      </c>
      <c r="C4945" s="3">
        <v>3340000</v>
      </c>
      <c r="D4945" s="3">
        <v>2640000</v>
      </c>
      <c r="E4945" s="7">
        <f t="shared" si="101"/>
        <v>700000</v>
      </c>
      <c r="F4945" s="5">
        <v>45930</v>
      </c>
      <c r="G4945" s="4">
        <v>20250929</v>
      </c>
      <c r="H4945" s="38" t="str">
        <f>VLOOKUP(B4945,CAJEROS!B:D,3,0)</f>
        <v>Multifuncional</v>
      </c>
      <c r="I4945" s="34" t="s">
        <v>9</v>
      </c>
      <c r="J4945" s="38" t="str">
        <f>VLOOKUP(B4945,CAJEROS!B:E,4,0)</f>
        <v>MF_SUCHAYU1</v>
      </c>
      <c r="K4945" t="s">
        <v>579</v>
      </c>
    </row>
    <row r="4946" spans="1:11">
      <c r="A4946" s="32">
        <v>907</v>
      </c>
      <c r="B4946" s="33">
        <v>5019</v>
      </c>
      <c r="C4946" s="3">
        <v>3180000</v>
      </c>
      <c r="D4946" s="3">
        <v>2555000</v>
      </c>
      <c r="E4946" s="7">
        <f t="shared" si="101"/>
        <v>625000</v>
      </c>
      <c r="F4946" s="5">
        <v>45930</v>
      </c>
      <c r="G4946" s="4">
        <v>20250929</v>
      </c>
      <c r="H4946" s="38" t="str">
        <f>VLOOKUP(B4946,CAJEROS!B:D,3,0)</f>
        <v>Multifuncional</v>
      </c>
      <c r="I4946" s="34" t="s">
        <v>9</v>
      </c>
      <c r="J4946" s="38" t="str">
        <f>VLOOKUP(B4946,CAJEROS!B:E,4,0)</f>
        <v>MF_FRONTERA</v>
      </c>
      <c r="K4946" t="s">
        <v>579</v>
      </c>
    </row>
    <row r="4947" spans="1:11">
      <c r="A4947" s="32">
        <v>750</v>
      </c>
      <c r="B4947" s="33">
        <v>5157</v>
      </c>
      <c r="C4947" s="3">
        <v>3030000</v>
      </c>
      <c r="D4947" s="3"/>
      <c r="E4947" s="7">
        <f t="shared" si="101"/>
        <v>3030000</v>
      </c>
      <c r="F4947" s="5">
        <v>45930</v>
      </c>
      <c r="G4947" s="4">
        <v>20250929</v>
      </c>
      <c r="H4947" s="38" t="str">
        <f>VLOOKUP(B4947,CAJEROS!B:D,3,0)</f>
        <v>Multifuncional</v>
      </c>
      <c r="I4947" s="34" t="s">
        <v>9</v>
      </c>
      <c r="J4947" s="38" t="str">
        <f>VLOOKUP(B4947,CAJEROS!B:E,4,0)</f>
        <v>MF_AVROOSVL</v>
      </c>
      <c r="K4947" t="s">
        <v>579</v>
      </c>
    </row>
    <row r="4948" spans="1:11">
      <c r="A4948" s="32">
        <v>366</v>
      </c>
      <c r="B4948" s="33">
        <v>5132</v>
      </c>
      <c r="C4948" s="3">
        <v>2350000</v>
      </c>
      <c r="D4948" s="3"/>
      <c r="E4948" s="7">
        <f t="shared" si="101"/>
        <v>2350000</v>
      </c>
      <c r="F4948" s="5">
        <v>45930</v>
      </c>
      <c r="G4948" s="4">
        <v>20250929</v>
      </c>
      <c r="H4948" s="38" t="str">
        <f>VLOOKUP(B4948,CAJEROS!B:D,3,0)</f>
        <v>Multifuncional</v>
      </c>
      <c r="I4948" s="34" t="s">
        <v>9</v>
      </c>
      <c r="J4948" s="38" t="str">
        <f>VLOOKUP(B4948,CAJEROS!B:E,4,0)</f>
        <v>MF_TERMTPTE</v>
      </c>
      <c r="K4948" t="s">
        <v>579</v>
      </c>
    </row>
    <row r="4949" spans="1:11">
      <c r="A4949" s="32">
        <v>849</v>
      </c>
      <c r="B4949" s="33">
        <v>9724</v>
      </c>
      <c r="C4949" s="3">
        <v>1690000</v>
      </c>
      <c r="D4949" s="3"/>
      <c r="E4949" s="7">
        <f t="shared" si="101"/>
        <v>1690000</v>
      </c>
      <c r="F4949" s="5">
        <v>45930</v>
      </c>
      <c r="G4949" s="4">
        <v>20250929</v>
      </c>
      <c r="H4949" s="38" t="str">
        <f>VLOOKUP(B4949,CAJEROS!B:D,3,0)</f>
        <v>Multifuncional</v>
      </c>
      <c r="I4949" s="34" t="s">
        <v>9</v>
      </c>
      <c r="J4949" s="38" t="str">
        <f>VLOOKUP(B4949,CAJEROS!B:E,4,0)</f>
        <v>MF_SUNIVIL1</v>
      </c>
      <c r="K4949" t="s">
        <v>579</v>
      </c>
    </row>
    <row r="4950" spans="1:11">
      <c r="A4950" s="32">
        <v>541</v>
      </c>
      <c r="B4950" s="33">
        <v>5185</v>
      </c>
      <c r="C4950" s="3">
        <v>1620000</v>
      </c>
      <c r="D4950" s="3"/>
      <c r="E4950" s="7">
        <f t="shared" ref="E4950:E5013" si="102">+C4950-D4950</f>
        <v>1620000</v>
      </c>
      <c r="F4950" s="5">
        <v>45930</v>
      </c>
      <c r="G4950" s="4">
        <v>20250929</v>
      </c>
      <c r="H4950" s="38" t="str">
        <f>VLOOKUP(B4950,CAJEROS!B:D,3,0)</f>
        <v>Multifuncional</v>
      </c>
      <c r="I4950" s="34" t="s">
        <v>9</v>
      </c>
      <c r="J4950" s="38" t="str">
        <f>VLOOKUP(B4950,CAJEROS!B:E,4,0)</f>
        <v>MF_PARQCALD</v>
      </c>
      <c r="K4950" t="s">
        <v>579</v>
      </c>
    </row>
    <row r="4951" spans="1:11">
      <c r="A4951" s="32">
        <v>348</v>
      </c>
      <c r="B4951" s="33">
        <v>6724</v>
      </c>
      <c r="C4951" s="3">
        <v>1271000</v>
      </c>
      <c r="D4951" s="3"/>
      <c r="E4951" s="7">
        <f t="shared" si="102"/>
        <v>1271000</v>
      </c>
      <c r="F4951" s="5">
        <v>45930</v>
      </c>
      <c r="G4951" s="4">
        <v>20250929</v>
      </c>
      <c r="H4951" s="38" t="str">
        <f>VLOOKUP(B4951,CAJEROS!B:D,3,0)</f>
        <v>Multifuncional</v>
      </c>
      <c r="I4951" s="34" t="s">
        <v>9</v>
      </c>
      <c r="J4951" s="38" t="str">
        <f>VLOOKUP(B4951,CAJEROS!B:E,4,0)</f>
        <v>MF_SANANDRE</v>
      </c>
      <c r="K4951" t="s">
        <v>579</v>
      </c>
    </row>
    <row r="4952" spans="1:11">
      <c r="A4952" s="32">
        <v>454</v>
      </c>
      <c r="B4952" s="33">
        <v>5231</v>
      </c>
      <c r="C4952" s="3">
        <v>965000</v>
      </c>
      <c r="D4952" s="3"/>
      <c r="E4952" s="7">
        <f t="shared" si="102"/>
        <v>965000</v>
      </c>
      <c r="F4952" s="5">
        <v>45930</v>
      </c>
      <c r="G4952" s="4">
        <v>20250929</v>
      </c>
      <c r="H4952" s="38" t="str">
        <f>VLOOKUP(B4952,CAJEROS!B:D,3,0)</f>
        <v>Multifuncional</v>
      </c>
      <c r="I4952" s="34" t="s">
        <v>9</v>
      </c>
      <c r="J4952" s="38" t="str">
        <f>VLOOKUP(B4952,CAJEROS!B:E,4,0)</f>
        <v>MF_5TAVENID</v>
      </c>
      <c r="K4952" t="s">
        <v>579</v>
      </c>
    </row>
    <row r="4953" spans="1:11">
      <c r="A4953" s="32">
        <v>721</v>
      </c>
      <c r="B4953" s="33">
        <v>8897</v>
      </c>
      <c r="C4953" s="3">
        <v>869100</v>
      </c>
      <c r="D4953" s="3"/>
      <c r="E4953" s="7">
        <f t="shared" si="102"/>
        <v>869100</v>
      </c>
      <c r="F4953" s="5">
        <v>45930</v>
      </c>
      <c r="G4953" s="4">
        <v>20250929</v>
      </c>
      <c r="H4953" s="38" t="str">
        <f>VLOOKUP(B4953,CAJEROS!B:D,3,0)</f>
        <v>Multifuncional</v>
      </c>
      <c r="I4953" s="34" t="s">
        <v>9</v>
      </c>
      <c r="J4953" s="38" t="str">
        <f>VLOOKUP(B4953,CAJEROS!B:E,4,0)</f>
        <v>MFSUCLAGO2</v>
      </c>
      <c r="K4953" t="s">
        <v>579</v>
      </c>
    </row>
    <row r="4954" spans="1:11">
      <c r="A4954" s="32">
        <v>957</v>
      </c>
      <c r="B4954" s="33">
        <v>9513</v>
      </c>
      <c r="C4954" s="3">
        <v>670000</v>
      </c>
      <c r="D4954" s="3"/>
      <c r="E4954" s="7">
        <f t="shared" si="102"/>
        <v>670000</v>
      </c>
      <c r="F4954" s="5">
        <v>45930</v>
      </c>
      <c r="G4954" s="4">
        <v>20250929</v>
      </c>
      <c r="H4954" s="38" t="str">
        <f>VLOOKUP(B4954,CAJEROS!B:D,3,0)</f>
        <v>Multifuncional</v>
      </c>
      <c r="I4954" s="34" t="s">
        <v>9</v>
      </c>
      <c r="J4954" s="38" t="str">
        <f>VLOOKUP(B4954,CAJEROS!B:E,4,0)</f>
        <v>MFSUCPARAL2</v>
      </c>
      <c r="K4954" t="s">
        <v>579</v>
      </c>
    </row>
    <row r="4955" spans="1:11">
      <c r="A4955" s="32">
        <v>957</v>
      </c>
      <c r="B4955" s="33">
        <v>9512</v>
      </c>
      <c r="C4955" s="3">
        <v>610000</v>
      </c>
      <c r="D4955" s="3">
        <v>470000</v>
      </c>
      <c r="E4955" s="7">
        <f t="shared" si="102"/>
        <v>140000</v>
      </c>
      <c r="F4955" s="5">
        <v>45930</v>
      </c>
      <c r="G4955" s="4">
        <v>20250929</v>
      </c>
      <c r="H4955" s="38" t="str">
        <f>VLOOKUP(B4955,CAJEROS!B:D,3,0)</f>
        <v>Multifuncional</v>
      </c>
      <c r="I4955" s="34" t="s">
        <v>9</v>
      </c>
      <c r="J4955" s="38" t="str">
        <f>VLOOKUP(B4955,CAJEROS!B:E,4,0)</f>
        <v>MFSUCPARAL1</v>
      </c>
      <c r="K4955" t="s">
        <v>579</v>
      </c>
    </row>
    <row r="4956" spans="1:11">
      <c r="A4956" s="32">
        <v>166</v>
      </c>
      <c r="B4956" s="33">
        <v>7939</v>
      </c>
      <c r="C4956" s="3">
        <v>430000</v>
      </c>
      <c r="D4956" s="3"/>
      <c r="E4956" s="7">
        <f t="shared" si="102"/>
        <v>430000</v>
      </c>
      <c r="F4956" s="5">
        <v>45930</v>
      </c>
      <c r="G4956" s="4">
        <v>20250929</v>
      </c>
      <c r="H4956" s="38" t="str">
        <f>VLOOKUP(B4956,CAJEROS!B:D,3,0)</f>
        <v>Multifuncional</v>
      </c>
      <c r="I4956" s="34" t="s">
        <v>9</v>
      </c>
      <c r="J4956" s="38" t="str">
        <f>VLOOKUP(B4956,CAJEROS!B:E,4,0)</f>
        <v>MF_ALDELSI1</v>
      </c>
      <c r="K4956" t="s">
        <v>579</v>
      </c>
    </row>
    <row r="4957" spans="1:11">
      <c r="A4957" s="32">
        <v>762</v>
      </c>
      <c r="B4957" s="33">
        <v>5181</v>
      </c>
      <c r="C4957" s="3">
        <v>421600</v>
      </c>
      <c r="D4957" s="3"/>
      <c r="E4957" s="7">
        <f t="shared" si="102"/>
        <v>421600</v>
      </c>
      <c r="F4957" s="5">
        <v>45930</v>
      </c>
      <c r="G4957" s="4">
        <v>20250929</v>
      </c>
      <c r="H4957" s="38" t="str">
        <f>VLOOKUP(B4957,CAJEROS!B:D,3,0)</f>
        <v>Multifuncional</v>
      </c>
      <c r="I4957" s="34" t="s">
        <v>9</v>
      </c>
      <c r="J4957" s="38" t="str">
        <f>VLOOKUP(B4957,CAJEROS!B:E,4,0)</f>
        <v>MF_HERRADU1</v>
      </c>
      <c r="K4957" t="s">
        <v>579</v>
      </c>
    </row>
    <row r="4958" spans="1:11">
      <c r="A4958" s="32">
        <v>70</v>
      </c>
      <c r="B4958" s="33">
        <v>5164</v>
      </c>
      <c r="C4958" s="3">
        <v>410000</v>
      </c>
      <c r="D4958" s="3"/>
      <c r="E4958" s="7">
        <f t="shared" si="102"/>
        <v>410000</v>
      </c>
      <c r="F4958" s="5">
        <v>45930</v>
      </c>
      <c r="G4958" s="4">
        <v>20250929</v>
      </c>
      <c r="H4958" s="38" t="str">
        <f>VLOOKUP(B4958,CAJEROS!B:D,3,0)</f>
        <v>Multifuncional</v>
      </c>
      <c r="I4958" s="34" t="s">
        <v>9</v>
      </c>
      <c r="J4958" s="38" t="str">
        <f>VLOOKUP(B4958,CAJEROS!B:E,4,0)</f>
        <v>MF_MANIZALE</v>
      </c>
      <c r="K4958" t="s">
        <v>579</v>
      </c>
    </row>
    <row r="4959" spans="1:11">
      <c r="A4959" s="32">
        <v>656</v>
      </c>
      <c r="B4959" s="33">
        <v>5103</v>
      </c>
      <c r="C4959" s="3">
        <v>410000</v>
      </c>
      <c r="D4959" s="3">
        <v>405000</v>
      </c>
      <c r="E4959" s="7">
        <f t="shared" si="102"/>
        <v>5000</v>
      </c>
      <c r="F4959" s="5">
        <v>45930</v>
      </c>
      <c r="G4959" s="4">
        <v>20250929</v>
      </c>
      <c r="H4959" s="38" t="str">
        <f>VLOOKUP(B4959,CAJEROS!B:D,3,0)</f>
        <v>Multifuncional</v>
      </c>
      <c r="I4959" s="34" t="s">
        <v>9</v>
      </c>
      <c r="J4959" s="38" t="str">
        <f>VLOOKUP(B4959,CAJEROS!B:E,4,0)</f>
        <v>MF_MAYPLAZA</v>
      </c>
      <c r="K4959" t="s">
        <v>579</v>
      </c>
    </row>
    <row r="4960" spans="1:11">
      <c r="A4960" s="32">
        <v>225</v>
      </c>
      <c r="B4960" s="33">
        <v>8869</v>
      </c>
      <c r="C4960" s="3">
        <v>337300</v>
      </c>
      <c r="D4960" s="3">
        <v>53550</v>
      </c>
      <c r="E4960" s="7">
        <f t="shared" si="102"/>
        <v>283750</v>
      </c>
      <c r="F4960" s="5">
        <v>45930</v>
      </c>
      <c r="G4960" s="4">
        <v>20250929</v>
      </c>
      <c r="H4960" s="38" t="str">
        <f>VLOOKUP(B4960,CAJEROS!B:D,3,0)</f>
        <v>Multifuncional</v>
      </c>
      <c r="I4960" s="34" t="s">
        <v>9</v>
      </c>
      <c r="J4960" s="38" t="str">
        <f>VLOOKUP(B4960,CAJEROS!B:E,4,0)</f>
        <v>MF_SMPLNQS2</v>
      </c>
      <c r="K4960" t="s">
        <v>579</v>
      </c>
    </row>
    <row r="4961" spans="1:11">
      <c r="A4961" s="32">
        <v>941</v>
      </c>
      <c r="B4961" s="33">
        <v>5220</v>
      </c>
      <c r="C4961" s="3">
        <v>337000</v>
      </c>
      <c r="D4961" s="3"/>
      <c r="E4961" s="7">
        <f t="shared" si="102"/>
        <v>337000</v>
      </c>
      <c r="F4961" s="5">
        <v>45930</v>
      </c>
      <c r="G4961" s="4">
        <v>20250929</v>
      </c>
      <c r="H4961" s="38" t="str">
        <f>VLOOKUP(B4961,CAJEROS!B:D,3,0)</f>
        <v>Multifuncional</v>
      </c>
      <c r="I4961" s="34" t="s">
        <v>9</v>
      </c>
      <c r="J4961" s="38" t="str">
        <f>VLOOKUP(B4961,CAJEROS!B:E,4,0)</f>
        <v>MF_NEIVANVA</v>
      </c>
      <c r="K4961" t="s">
        <v>579</v>
      </c>
    </row>
    <row r="4962" spans="1:11">
      <c r="A4962" s="32">
        <v>53</v>
      </c>
      <c r="B4962" s="33">
        <v>5141</v>
      </c>
      <c r="C4962" s="3">
        <v>310000</v>
      </c>
      <c r="D4962" s="3"/>
      <c r="E4962" s="7">
        <f t="shared" si="102"/>
        <v>310000</v>
      </c>
      <c r="F4962" s="5">
        <v>45930</v>
      </c>
      <c r="G4962" s="4">
        <v>20250929</v>
      </c>
      <c r="H4962" s="38" t="str">
        <f>VLOOKUP(B4962,CAJEROS!B:D,3,0)</f>
        <v>Multifuncional</v>
      </c>
      <c r="I4962" s="34" t="s">
        <v>9</v>
      </c>
      <c r="J4962" s="38" t="str">
        <f>VLOOKUP(B4962,CAJEROS!B:E,4,0)</f>
        <v>MF_CARRDECI</v>
      </c>
      <c r="K4962" t="s">
        <v>579</v>
      </c>
    </row>
    <row r="4963" spans="1:11">
      <c r="A4963" s="32">
        <v>432</v>
      </c>
      <c r="B4963" s="33">
        <v>5195</v>
      </c>
      <c r="C4963" s="3">
        <v>280000</v>
      </c>
      <c r="D4963" s="3"/>
      <c r="E4963" s="7">
        <f t="shared" si="102"/>
        <v>280000</v>
      </c>
      <c r="F4963" s="5">
        <v>45930</v>
      </c>
      <c r="G4963" s="4">
        <v>20250929</v>
      </c>
      <c r="H4963" s="38" t="str">
        <f>VLOOKUP(B4963,CAJEROS!B:D,3,0)</f>
        <v>Multifuncional</v>
      </c>
      <c r="I4963" s="34" t="s">
        <v>9</v>
      </c>
      <c r="J4963" s="38" t="str">
        <f>VLOOKUP(B4963,CAJEROS!B:E,4,0)</f>
        <v>MF_TTEDLSU1</v>
      </c>
      <c r="K4963" t="s">
        <v>579</v>
      </c>
    </row>
    <row r="4964" spans="1:11">
      <c r="A4964" s="32">
        <v>20</v>
      </c>
      <c r="B4964" s="33">
        <v>9204</v>
      </c>
      <c r="C4964" s="3">
        <v>170000</v>
      </c>
      <c r="D4964" s="3"/>
      <c r="E4964" s="7">
        <f t="shared" si="102"/>
        <v>170000</v>
      </c>
      <c r="F4964" s="5">
        <v>45930</v>
      </c>
      <c r="G4964" s="4">
        <v>20250929</v>
      </c>
      <c r="H4964" s="38" t="str">
        <f>VLOOKUP(B4964,CAJEROS!B:D,3,0)</f>
        <v>Multifuncional</v>
      </c>
      <c r="I4964" s="34" t="s">
        <v>9</v>
      </c>
      <c r="J4964" s="38" t="str">
        <f>VLOOKUP(B4964,CAJEROS!B:E,4,0)</f>
        <v>MF_BUCMANGA</v>
      </c>
      <c r="K4964" t="s">
        <v>579</v>
      </c>
    </row>
    <row r="4965" spans="1:11">
      <c r="A4965" s="32">
        <v>5</v>
      </c>
      <c r="B4965" s="33">
        <v>4866</v>
      </c>
      <c r="C4965" s="3">
        <v>161000</v>
      </c>
      <c r="D4965" s="3"/>
      <c r="E4965" s="7">
        <f t="shared" si="102"/>
        <v>161000</v>
      </c>
      <c r="F4965" s="5">
        <v>45930</v>
      </c>
      <c r="G4965" s="4">
        <v>20250929</v>
      </c>
      <c r="H4965" s="38" t="str">
        <f>VLOOKUP(B4965,CAJEROS!B:D,3,0)</f>
        <v>Multifuncional</v>
      </c>
      <c r="I4965" s="34" t="s">
        <v>9</v>
      </c>
      <c r="J4965" s="38" t="str">
        <f>VLOOKUP(B4965,CAJEROS!B:E,4,0)</f>
        <v>MFSUCAVPBL1</v>
      </c>
      <c r="K4965" t="s">
        <v>579</v>
      </c>
    </row>
    <row r="4966" spans="1:11">
      <c r="A4966" s="32">
        <v>54</v>
      </c>
      <c r="B4966" s="33">
        <v>6204</v>
      </c>
      <c r="C4966" s="3">
        <v>155000</v>
      </c>
      <c r="D4966" s="3">
        <v>150500</v>
      </c>
      <c r="E4966" s="7">
        <f t="shared" si="102"/>
        <v>4500</v>
      </c>
      <c r="F4966" s="5">
        <v>45930</v>
      </c>
      <c r="G4966" s="4">
        <v>20250929</v>
      </c>
      <c r="H4966" s="38" t="str">
        <f>VLOOKUP(B4966,CAJEROS!B:D,3,0)</f>
        <v>Multifuncional</v>
      </c>
      <c r="I4966" s="34" t="s">
        <v>9</v>
      </c>
      <c r="J4966" s="38" t="str">
        <f>VLOOKUP(B4966,CAJEROS!B:E,4,0)</f>
        <v>MF_CALLE122</v>
      </c>
      <c r="K4966" t="s">
        <v>579</v>
      </c>
    </row>
    <row r="4967" spans="1:11">
      <c r="A4967" s="32">
        <v>812</v>
      </c>
      <c r="B4967" s="33">
        <v>7614</v>
      </c>
      <c r="C4967" s="3">
        <v>155000</v>
      </c>
      <c r="D4967" s="3">
        <v>126000</v>
      </c>
      <c r="E4967" s="7">
        <f t="shared" si="102"/>
        <v>29000</v>
      </c>
      <c r="F4967" s="5">
        <v>45930</v>
      </c>
      <c r="G4967" s="4">
        <v>20250929</v>
      </c>
      <c r="H4967" s="38" t="str">
        <f>VLOOKUP(B4967,CAJEROS!B:D,3,0)</f>
        <v>Multifuncional</v>
      </c>
      <c r="I4967" s="34" t="s">
        <v>9</v>
      </c>
      <c r="J4967" s="38" t="str">
        <f>VLOOKUP(B4967,CAJEROS!B:E,4,0)</f>
        <v>MF_CHPICHP3</v>
      </c>
      <c r="K4967" t="s">
        <v>579</v>
      </c>
    </row>
    <row r="4968" spans="1:11">
      <c r="A4968" s="32">
        <v>859</v>
      </c>
      <c r="B4968" s="33">
        <v>5207</v>
      </c>
      <c r="C4968" s="3">
        <v>147000</v>
      </c>
      <c r="D4968" s="3"/>
      <c r="E4968" s="7">
        <f t="shared" si="102"/>
        <v>147000</v>
      </c>
      <c r="F4968" s="5">
        <v>45930</v>
      </c>
      <c r="G4968" s="4">
        <v>20250929</v>
      </c>
      <c r="H4968" s="38" t="e">
        <f>VLOOKUP(B4968,CAJEROS!B:D,3,0)</f>
        <v>#N/A</v>
      </c>
      <c r="I4968" s="34" t="s">
        <v>9</v>
      </c>
      <c r="J4968" s="38" t="e">
        <f>VLOOKUP(B4968,CAJEROS!B:E,4,0)</f>
        <v>#N/A</v>
      </c>
      <c r="K4968" t="s">
        <v>579</v>
      </c>
    </row>
    <row r="4969" spans="1:11">
      <c r="A4969" s="32">
        <v>108</v>
      </c>
      <c r="B4969" s="33">
        <v>2254</v>
      </c>
      <c r="C4969" s="3">
        <v>60000</v>
      </c>
      <c r="D4969" s="3">
        <v>30000</v>
      </c>
      <c r="E4969" s="7">
        <f t="shared" si="102"/>
        <v>30000</v>
      </c>
      <c r="F4969" s="5">
        <v>45930</v>
      </c>
      <c r="G4969" s="4">
        <v>20250929</v>
      </c>
      <c r="H4969" s="38" t="str">
        <f>VLOOKUP(B4969,CAJEROS!B:D,3,0)</f>
        <v>Multifuncional</v>
      </c>
      <c r="I4969" s="34" t="s">
        <v>9</v>
      </c>
      <c r="J4969" s="38" t="str">
        <f>VLOOKUP(B4969,CAJEROS!B:E,4,0)</f>
        <v>MFSUCPAMER2</v>
      </c>
      <c r="K4969" t="s">
        <v>579</v>
      </c>
    </row>
    <row r="4970" spans="1:11">
      <c r="A4970" s="32">
        <v>250</v>
      </c>
      <c r="B4970" s="33">
        <v>5197</v>
      </c>
      <c r="C4970" s="3">
        <v>10000</v>
      </c>
      <c r="D4970" s="3"/>
      <c r="E4970" s="7">
        <f t="shared" si="102"/>
        <v>10000</v>
      </c>
      <c r="F4970" s="5">
        <v>45930</v>
      </c>
      <c r="G4970" s="4">
        <v>20250929</v>
      </c>
      <c r="H4970" s="38" t="str">
        <f>VLOOKUP(B4970,CAJEROS!B:D,3,0)</f>
        <v>Multifuncional</v>
      </c>
      <c r="I4970" s="34" t="s">
        <v>10</v>
      </c>
      <c r="J4970" s="38" t="str">
        <f>VLOOKUP(B4970,CAJEROS!B:E,4,0)</f>
        <v>MF_MODELIA</v>
      </c>
      <c r="K4970" t="s">
        <v>579</v>
      </c>
    </row>
    <row r="4971" spans="1:11">
      <c r="A4971" s="32">
        <v>40</v>
      </c>
      <c r="B4971" s="33">
        <v>5142</v>
      </c>
      <c r="C4971" s="3">
        <v>20000</v>
      </c>
      <c r="D4971" s="3"/>
      <c r="E4971" s="7">
        <f t="shared" si="102"/>
        <v>20000</v>
      </c>
      <c r="F4971" s="5">
        <v>45930</v>
      </c>
      <c r="G4971" s="4">
        <v>20250929</v>
      </c>
      <c r="H4971" s="38" t="str">
        <f>VLOOKUP(B4971,CAJEROS!B:D,3,0)</f>
        <v>Multifuncional</v>
      </c>
      <c r="I4971" s="34" t="s">
        <v>10</v>
      </c>
      <c r="J4971" s="38" t="str">
        <f>VLOOKUP(B4971,CAJEROS!B:E,4,0)</f>
        <v>MF_CENTRO93</v>
      </c>
      <c r="K4971" t="s">
        <v>579</v>
      </c>
    </row>
    <row r="4972" spans="1:11">
      <c r="A4972" s="32">
        <v>331</v>
      </c>
      <c r="B4972" s="33">
        <v>575</v>
      </c>
      <c r="C4972" s="3">
        <v>950</v>
      </c>
      <c r="D4972" s="3"/>
      <c r="E4972" s="7">
        <f t="shared" si="102"/>
        <v>950</v>
      </c>
      <c r="F4972" s="5">
        <v>45930</v>
      </c>
      <c r="G4972" s="4">
        <v>20250929</v>
      </c>
      <c r="H4972" s="38" t="str">
        <f>VLOOKUP(B4972,CAJEROS!B:D,3,0)</f>
        <v>Multifuncional</v>
      </c>
      <c r="I4972" s="34" t="s">
        <v>10</v>
      </c>
      <c r="J4972" s="38" t="str">
        <f>VLOOKUP(B4972,CAJEROS!B:E,4,0)</f>
        <v>MF_SUCARKA2</v>
      </c>
      <c r="K4972" t="s">
        <v>579</v>
      </c>
    </row>
    <row r="4973" spans="1:11">
      <c r="A4973" s="32">
        <v>229</v>
      </c>
      <c r="B4973" s="33">
        <v>8956</v>
      </c>
      <c r="C4973" s="3">
        <v>20000</v>
      </c>
      <c r="D4973" s="3"/>
      <c r="E4973" s="7">
        <f t="shared" si="102"/>
        <v>20000</v>
      </c>
      <c r="F4973" s="5">
        <v>45930</v>
      </c>
      <c r="G4973" s="4">
        <v>20250929</v>
      </c>
      <c r="H4973" s="38" t="str">
        <f>VLOOKUP(B4973,CAJEROS!B:D,3,0)</f>
        <v>Dispensador</v>
      </c>
      <c r="I4973" s="34" t="s">
        <v>10</v>
      </c>
      <c r="J4973" s="38" t="str">
        <f>VLOOKUP(B4973,CAJEROS!B:E,4,0)</f>
        <v>SUCPASERIO2</v>
      </c>
      <c r="K4973" t="s">
        <v>579</v>
      </c>
    </row>
    <row r="4974" spans="1:11">
      <c r="A4974" s="32">
        <v>769</v>
      </c>
      <c r="B4974" s="33">
        <v>8677</v>
      </c>
      <c r="C4974" s="3">
        <v>10000</v>
      </c>
      <c r="D4974" s="3"/>
      <c r="E4974" s="7">
        <f t="shared" si="102"/>
        <v>10000</v>
      </c>
      <c r="F4974" s="5">
        <v>45930</v>
      </c>
      <c r="G4974" s="4">
        <v>20250929</v>
      </c>
      <c r="H4974" s="38" t="str">
        <f>VLOOKUP(B4974,CAJEROS!B:D,3,0)</f>
        <v>Dispensador</v>
      </c>
      <c r="I4974" s="34" t="s">
        <v>10</v>
      </c>
      <c r="J4974" s="38" t="str">
        <f>VLOOKUP(B4974,CAJEROS!B:E,4,0)</f>
        <v>SUCPORPRAD6</v>
      </c>
      <c r="K4974" t="s">
        <v>579</v>
      </c>
    </row>
    <row r="4975" spans="1:11">
      <c r="A4975" s="32">
        <v>348</v>
      </c>
      <c r="B4975" s="33">
        <v>5649</v>
      </c>
      <c r="C4975" s="3">
        <v>20000</v>
      </c>
      <c r="D4975" s="3"/>
      <c r="E4975" s="7">
        <f t="shared" si="102"/>
        <v>20000</v>
      </c>
      <c r="F4975" s="5">
        <v>45930</v>
      </c>
      <c r="G4975" s="4">
        <v>20250929</v>
      </c>
      <c r="H4975" s="38" t="str">
        <f>VLOOKUP(B4975,CAJEROS!B:D,3,0)</f>
        <v>Dispensador</v>
      </c>
      <c r="I4975" s="34" t="s">
        <v>10</v>
      </c>
      <c r="J4975" s="38" t="str">
        <f>VLOOKUP(B4975,CAJEROS!B:E,4,0)</f>
        <v>SUCSANDRES5</v>
      </c>
      <c r="K4975" t="s">
        <v>579</v>
      </c>
    </row>
    <row r="4976" spans="1:11">
      <c r="A4976" s="32">
        <v>318</v>
      </c>
      <c r="B4976" s="33">
        <v>5348</v>
      </c>
      <c r="C4976" s="3">
        <v>10000</v>
      </c>
      <c r="D4976" s="3"/>
      <c r="E4976" s="7">
        <f t="shared" si="102"/>
        <v>10000</v>
      </c>
      <c r="F4976" s="5">
        <v>45930</v>
      </c>
      <c r="G4976" s="4">
        <v>20250929</v>
      </c>
      <c r="H4976" s="38" t="str">
        <f>VLOOKUP(B4976,CAJEROS!B:D,3,0)</f>
        <v>Dispensador</v>
      </c>
      <c r="I4976" s="34" t="s">
        <v>10</v>
      </c>
      <c r="J4976" s="38" t="str">
        <f>VLOOKUP(B4976,CAJEROS!B:E,4,0)</f>
        <v>SUC_OCANA1</v>
      </c>
      <c r="K4976" t="s">
        <v>579</v>
      </c>
    </row>
    <row r="4977" spans="1:11">
      <c r="A4977" s="32">
        <v>502</v>
      </c>
      <c r="B4977" s="33">
        <v>4626</v>
      </c>
      <c r="C4977" s="3">
        <v>20000</v>
      </c>
      <c r="D4977" s="3">
        <v>10000</v>
      </c>
      <c r="E4977" s="7">
        <f t="shared" si="102"/>
        <v>10000</v>
      </c>
      <c r="F4977" s="5">
        <v>45930</v>
      </c>
      <c r="G4977" s="4">
        <v>20250929</v>
      </c>
      <c r="H4977" s="38" t="str">
        <f>VLOOKUP(B4977,CAJEROS!B:D,3,0)</f>
        <v>Dispensador</v>
      </c>
      <c r="I4977" s="34" t="s">
        <v>10</v>
      </c>
      <c r="J4977" s="38" t="str">
        <f>VLOOKUP(B4977,CAJEROS!B:E,4,0)</f>
        <v>SUC_LEYVA2</v>
      </c>
      <c r="K4977" t="s">
        <v>579</v>
      </c>
    </row>
    <row r="4978" spans="1:11">
      <c r="A4978" s="32">
        <v>216</v>
      </c>
      <c r="B4978" s="33">
        <v>4434</v>
      </c>
      <c r="C4978" s="3">
        <v>20000</v>
      </c>
      <c r="D4978" s="3"/>
      <c r="E4978" s="7">
        <f t="shared" si="102"/>
        <v>20000</v>
      </c>
      <c r="F4978" s="5">
        <v>45930</v>
      </c>
      <c r="G4978" s="4">
        <v>20250929</v>
      </c>
      <c r="H4978" s="38" t="str">
        <f>VLOOKUP(B4978,CAJEROS!B:D,3,0)</f>
        <v>Dispensador</v>
      </c>
      <c r="I4978" s="34" t="s">
        <v>10</v>
      </c>
      <c r="J4978" s="38" t="str">
        <f>VLOOKUP(B4978,CAJEROS!B:E,4,0)</f>
        <v>SUC_SABANA2</v>
      </c>
      <c r="K4978" t="s">
        <v>579</v>
      </c>
    </row>
    <row r="4979" spans="1:11">
      <c r="A4979" s="32">
        <v>846</v>
      </c>
      <c r="B4979" s="33">
        <v>4377</v>
      </c>
      <c r="C4979" s="3">
        <v>20000</v>
      </c>
      <c r="D4979" s="3"/>
      <c r="E4979" s="7">
        <f t="shared" si="102"/>
        <v>20000</v>
      </c>
      <c r="F4979" s="5">
        <v>45930</v>
      </c>
      <c r="G4979" s="4">
        <v>20250929</v>
      </c>
      <c r="H4979" s="38" t="str">
        <f>VLOOKUP(B4979,CAJEROS!B:D,3,0)</f>
        <v>Dispensador</v>
      </c>
      <c r="I4979" s="34" t="s">
        <v>10</v>
      </c>
      <c r="J4979" s="38" t="str">
        <f>VLOOKUP(B4979,CAJEROS!B:E,4,0)</f>
        <v>SUC_CUMAR2</v>
      </c>
      <c r="K4979" t="s">
        <v>579</v>
      </c>
    </row>
    <row r="4980" spans="1:11">
      <c r="A4980" s="32">
        <v>775</v>
      </c>
      <c r="B4980" s="33">
        <v>6986</v>
      </c>
      <c r="C4980" s="3">
        <v>20000</v>
      </c>
      <c r="D4980" s="3"/>
      <c r="E4980" s="7">
        <f t="shared" si="102"/>
        <v>20000</v>
      </c>
      <c r="F4980" s="5">
        <v>45930</v>
      </c>
      <c r="G4980" s="4">
        <v>20250929</v>
      </c>
      <c r="H4980" s="38" t="str">
        <f>VLOOKUP(B4980,CAJEROS!B:D,3,0)</f>
        <v>Dispensador</v>
      </c>
      <c r="I4980" s="34" t="s">
        <v>10</v>
      </c>
      <c r="J4980" s="38" t="str">
        <f>VLOOKUP(B4980,CAJEROS!B:E,4,0)</f>
        <v>BOULEVA_54</v>
      </c>
      <c r="K4980" t="s">
        <v>579</v>
      </c>
    </row>
    <row r="4981" spans="1:11">
      <c r="A4981" s="32">
        <v>237</v>
      </c>
      <c r="B4981" s="33">
        <v>6467</v>
      </c>
      <c r="C4981" s="3">
        <v>200</v>
      </c>
      <c r="D4981" s="3"/>
      <c r="E4981" s="7">
        <f t="shared" si="102"/>
        <v>200</v>
      </c>
      <c r="F4981" s="5">
        <v>45930</v>
      </c>
      <c r="G4981" s="4">
        <v>20250929</v>
      </c>
      <c r="H4981" s="38" t="str">
        <f>VLOOKUP(B4981,CAJEROS!B:D,3,0)</f>
        <v>Multifuncional</v>
      </c>
      <c r="I4981" s="34" t="s">
        <v>10</v>
      </c>
      <c r="J4981" s="38" t="str">
        <f>VLOOKUP(B4981,CAJEROS!B:E,4,0)</f>
        <v>MF_DORADOPL</v>
      </c>
      <c r="K4981" t="s">
        <v>579</v>
      </c>
    </row>
    <row r="4982" spans="1:11">
      <c r="A4982" s="32">
        <v>101</v>
      </c>
      <c r="B4982" s="33">
        <v>5128</v>
      </c>
      <c r="C4982" s="3">
        <v>1650000</v>
      </c>
      <c r="D4982" s="3"/>
      <c r="E4982" s="7">
        <f t="shared" si="102"/>
        <v>1650000</v>
      </c>
      <c r="F4982" s="5">
        <v>45930</v>
      </c>
      <c r="G4982" s="4">
        <v>20250928</v>
      </c>
      <c r="H4982" s="38" t="str">
        <f>VLOOKUP(B4982,CAJEROS!B:D,3,0)</f>
        <v>Multifuncional</v>
      </c>
      <c r="I4982" s="34" t="s">
        <v>12</v>
      </c>
      <c r="J4982" s="38" t="str">
        <f>VLOOKUP(B4982,CAJEROS!B:E,4,0)</f>
        <v>MF_MULTDRIV</v>
      </c>
      <c r="K4982" t="s">
        <v>579</v>
      </c>
    </row>
    <row r="4983" spans="1:11">
      <c r="A4983" s="32">
        <v>473</v>
      </c>
      <c r="B4983" s="33">
        <v>3442</v>
      </c>
      <c r="C4983" s="3">
        <v>20000</v>
      </c>
      <c r="D4983" s="3"/>
      <c r="E4983" s="7">
        <f t="shared" si="102"/>
        <v>20000</v>
      </c>
      <c r="F4983" s="5">
        <v>45925</v>
      </c>
      <c r="G4983" s="4">
        <v>20250924</v>
      </c>
      <c r="H4983" s="38" t="str">
        <f>VLOOKUP(B4983,CAJEROS!B:D,3,0)</f>
        <v>Dispensador</v>
      </c>
      <c r="I4983" s="34" t="s">
        <v>10</v>
      </c>
      <c r="J4983" s="38" t="str">
        <f>VLOOKUP(B4983,CAJEROS!B:E,4,0)</f>
        <v>VICAGUAN2</v>
      </c>
      <c r="K4983" t="s">
        <v>579</v>
      </c>
    </row>
    <row r="4984" spans="1:11">
      <c r="A4984" s="32">
        <v>358</v>
      </c>
      <c r="B4984" s="33">
        <v>4499</v>
      </c>
      <c r="C4984" s="3">
        <v>10000</v>
      </c>
      <c r="D4984" s="3"/>
      <c r="E4984" s="7">
        <f t="shared" si="102"/>
        <v>10000</v>
      </c>
      <c r="F4984" s="5">
        <v>45925</v>
      </c>
      <c r="G4984" s="4">
        <v>20250924</v>
      </c>
      <c r="H4984" s="38" t="str">
        <f>VLOOKUP(B4984,CAJEROS!B:D,3,0)</f>
        <v>Dispensador</v>
      </c>
      <c r="I4984" s="34" t="s">
        <v>10</v>
      </c>
      <c r="J4984" s="38" t="str">
        <f>VLOOKUP(B4984,CAJEROS!B:E,4,0)</f>
        <v>SUC_SOGAMO1</v>
      </c>
      <c r="K4984" t="s">
        <v>579</v>
      </c>
    </row>
    <row r="4985" spans="1:11">
      <c r="A4985" s="32">
        <v>77</v>
      </c>
      <c r="B4985" s="33">
        <v>4853</v>
      </c>
      <c r="C4985" s="3">
        <v>20000</v>
      </c>
      <c r="D4985" s="3"/>
      <c r="E4985" s="7">
        <f t="shared" si="102"/>
        <v>20000</v>
      </c>
      <c r="F4985" s="5">
        <v>45925</v>
      </c>
      <c r="G4985" s="4">
        <v>20250924</v>
      </c>
      <c r="H4985" s="38" t="str">
        <f>VLOOKUP(B4985,CAJEROS!B:D,3,0)</f>
        <v>Dispensador</v>
      </c>
      <c r="I4985" s="34" t="s">
        <v>10</v>
      </c>
      <c r="J4985" s="38" t="str">
        <f>VLOOKUP(B4985,CAJEROS!B:E,4,0)</f>
        <v>SUC_TEQUEN1</v>
      </c>
      <c r="K4985" t="s">
        <v>579</v>
      </c>
    </row>
    <row r="4986" spans="1:11">
      <c r="A4986" s="32">
        <v>466</v>
      </c>
      <c r="B4986" s="33">
        <v>6596</v>
      </c>
      <c r="C4986" s="3">
        <v>10000</v>
      </c>
      <c r="D4986" s="3"/>
      <c r="E4986" s="7">
        <f t="shared" si="102"/>
        <v>10000</v>
      </c>
      <c r="F4986" s="5">
        <v>45925</v>
      </c>
      <c r="G4986" s="4">
        <v>20250924</v>
      </c>
      <c r="H4986" s="38" t="str">
        <f>VLOOKUP(B4986,CAJEROS!B:D,3,0)</f>
        <v>Dispensador</v>
      </c>
      <c r="I4986" s="34" t="s">
        <v>10</v>
      </c>
      <c r="J4986" s="38" t="str">
        <f>VLOOKUP(B4986,CAJEROS!B:E,4,0)</f>
        <v>SUC_FLOREN1</v>
      </c>
      <c r="K4986" t="s">
        <v>579</v>
      </c>
    </row>
    <row r="4987" spans="1:11">
      <c r="A4987" s="32">
        <v>348</v>
      </c>
      <c r="B4987" s="33">
        <v>9007</v>
      </c>
      <c r="C4987" s="3">
        <v>10000</v>
      </c>
      <c r="D4987" s="3"/>
      <c r="E4987" s="7">
        <f t="shared" si="102"/>
        <v>10000</v>
      </c>
      <c r="F4987" s="5">
        <v>45925</v>
      </c>
      <c r="G4987" s="4">
        <v>20250924</v>
      </c>
      <c r="H4987" s="38" t="str">
        <f>VLOOKUP(B4987,CAJEROS!B:D,3,0)</f>
        <v>Dispensador</v>
      </c>
      <c r="I4987" s="34" t="s">
        <v>10</v>
      </c>
      <c r="J4987" s="38" t="str">
        <f>VLOOKUP(B4987,CAJEROS!B:E,4,0)</f>
        <v>SUCSANDRES7</v>
      </c>
      <c r="K4987" t="s">
        <v>579</v>
      </c>
    </row>
    <row r="4988" spans="1:11">
      <c r="A4988" s="32">
        <v>499</v>
      </c>
      <c r="B4988" s="33">
        <v>9810</v>
      </c>
      <c r="C4988" s="3">
        <v>10000</v>
      </c>
      <c r="D4988" s="3"/>
      <c r="E4988" s="7">
        <f t="shared" si="102"/>
        <v>10000</v>
      </c>
      <c r="F4988" s="5">
        <v>45925</v>
      </c>
      <c r="G4988" s="4">
        <v>20250924</v>
      </c>
      <c r="H4988" s="38" t="str">
        <f>VLOOKUP(B4988,CAJEROS!B:D,3,0)</f>
        <v>Multifuncional</v>
      </c>
      <c r="I4988" s="34" t="s">
        <v>10</v>
      </c>
      <c r="J4988" s="38" t="str">
        <f>VLOOKUP(B4988,CAJEROS!B:E,4,0)</f>
        <v>MF_SUCPARF1</v>
      </c>
      <c r="K4988" t="s">
        <v>579</v>
      </c>
    </row>
    <row r="4989" spans="1:11">
      <c r="A4989" s="32">
        <v>64</v>
      </c>
      <c r="B4989" s="33">
        <v>6605</v>
      </c>
      <c r="C4989" s="3">
        <v>40000</v>
      </c>
      <c r="D4989" s="3"/>
      <c r="E4989" s="7">
        <f t="shared" si="102"/>
        <v>40000</v>
      </c>
      <c r="F4989" s="5">
        <v>45925</v>
      </c>
      <c r="G4989" s="14">
        <v>20250925</v>
      </c>
      <c r="H4989" s="38" t="str">
        <f>VLOOKUP(B4989,CAJEROS!B:D,3,0)</f>
        <v>Dispensador</v>
      </c>
      <c r="I4989" s="34"/>
      <c r="J4989" s="38" t="str">
        <f>VLOOKUP(B4989,CAJEROS!B:E,4,0)</f>
        <v>VIPASA_6_R</v>
      </c>
      <c r="K4989" t="s">
        <v>579</v>
      </c>
    </row>
    <row r="4990" spans="1:11">
      <c r="A4990" s="32">
        <v>551</v>
      </c>
      <c r="B4990" s="33">
        <v>9643</v>
      </c>
      <c r="C4990" s="3">
        <v>100000</v>
      </c>
      <c r="D4990" s="3"/>
      <c r="E4990" s="7">
        <f t="shared" si="102"/>
        <v>100000</v>
      </c>
      <c r="F4990" s="5">
        <v>45925</v>
      </c>
      <c r="G4990" s="4">
        <v>20250930</v>
      </c>
      <c r="H4990" s="38" t="str">
        <f>VLOOKUP(B4990,CAJEROS!B:D,3,0)</f>
        <v>Multifuncional</v>
      </c>
      <c r="I4990" s="34" t="s">
        <v>581</v>
      </c>
      <c r="J4990" s="38" t="str">
        <f>VLOOKUP(B4990,CAJEROS!B:E,4,0)</f>
        <v>MFSUCUNIME1</v>
      </c>
      <c r="K4990" t="s">
        <v>579</v>
      </c>
    </row>
    <row r="4991" spans="1:11">
      <c r="A4991" s="32">
        <v>33</v>
      </c>
      <c r="B4991" s="33">
        <v>8861</v>
      </c>
      <c r="C4991" s="3">
        <v>650000</v>
      </c>
      <c r="D4991" s="3"/>
      <c r="E4991" s="7">
        <f t="shared" si="102"/>
        <v>650000</v>
      </c>
      <c r="F4991" s="5">
        <v>45930</v>
      </c>
      <c r="G4991" s="4">
        <v>20250930</v>
      </c>
      <c r="H4991" s="38" t="str">
        <f>VLOOKUP(B4991,CAJEROS!B:D,3,0)</f>
        <v>Multifuncional</v>
      </c>
      <c r="I4991" s="34"/>
      <c r="J4991" s="38" t="str">
        <f>VLOOKUP(B4991,CAJEROS!B:E,4,0)</f>
        <v>MF_SPOLCLU1</v>
      </c>
      <c r="K4991" t="s">
        <v>579</v>
      </c>
    </row>
    <row r="4992" spans="1:11">
      <c r="A4992" s="32">
        <v>68</v>
      </c>
      <c r="B4992" s="33">
        <v>5135</v>
      </c>
      <c r="C4992" s="3">
        <v>2018000</v>
      </c>
      <c r="D4992" s="3"/>
      <c r="E4992" s="7">
        <f t="shared" si="102"/>
        <v>2018000</v>
      </c>
      <c r="F4992" s="5">
        <v>45930</v>
      </c>
      <c r="G4992" s="4">
        <v>20250930</v>
      </c>
      <c r="H4992" s="38" t="str">
        <f>VLOOKUP(B4992,CAJEROS!B:D,3,0)</f>
        <v>Multifuncional</v>
      </c>
      <c r="I4992" s="34"/>
      <c r="J4992" s="38" t="str">
        <f>VLOOKUP(B4992,CAJEROS!B:E,4,0)</f>
        <v>MF_IBAGUE</v>
      </c>
      <c r="K4992" t="s">
        <v>579</v>
      </c>
    </row>
    <row r="4993" spans="1:11">
      <c r="A4993" s="32">
        <v>225</v>
      </c>
      <c r="B4993" s="33">
        <v>8868</v>
      </c>
      <c r="C4993" s="3">
        <v>7146250</v>
      </c>
      <c r="D4993" s="3"/>
      <c r="E4993" s="7">
        <f t="shared" si="102"/>
        <v>7146250</v>
      </c>
      <c r="F4993" s="5">
        <v>45930</v>
      </c>
      <c r="G4993" s="4">
        <v>20250930</v>
      </c>
      <c r="H4993" s="38" t="str">
        <f>VLOOKUP(B4993,CAJEROS!B:D,3,0)</f>
        <v>Multifuncional</v>
      </c>
      <c r="I4993" s="34"/>
      <c r="J4993" s="38" t="str">
        <f>VLOOKUP(B4993,CAJEROS!B:E,4,0)</f>
        <v>MF_SMPLNQS1</v>
      </c>
      <c r="K4993" t="s">
        <v>579</v>
      </c>
    </row>
    <row r="4994" spans="1:11">
      <c r="A4994" s="32">
        <v>229</v>
      </c>
      <c r="B4994" s="33">
        <v>9605</v>
      </c>
      <c r="C4994" s="3">
        <v>11700050</v>
      </c>
      <c r="D4994" s="3"/>
      <c r="E4994" s="7">
        <f t="shared" si="102"/>
        <v>11700050</v>
      </c>
      <c r="F4994" s="5">
        <v>45930</v>
      </c>
      <c r="G4994" s="4">
        <v>20250930</v>
      </c>
      <c r="H4994" s="38" t="str">
        <f>VLOOKUP(B4994,CAJEROS!B:D,3,0)</f>
        <v>Multifuncional</v>
      </c>
      <c r="I4994" s="34"/>
      <c r="J4994" s="38" t="str">
        <f>VLOOKUP(B4994,CAJEROS!B:E,4,0)</f>
        <v>MFSUCPASER2</v>
      </c>
      <c r="K4994" t="s">
        <v>579</v>
      </c>
    </row>
    <row r="4995" spans="1:11">
      <c r="A4995" s="32">
        <v>442</v>
      </c>
      <c r="B4995" s="33">
        <v>8887</v>
      </c>
      <c r="C4995" s="3">
        <v>2924950</v>
      </c>
      <c r="D4995" s="3">
        <v>500</v>
      </c>
      <c r="E4995" s="7">
        <f t="shared" si="102"/>
        <v>2924450</v>
      </c>
      <c r="F4995" s="5">
        <v>45930</v>
      </c>
      <c r="G4995" s="4">
        <v>20250930</v>
      </c>
      <c r="H4995" s="38" t="str">
        <f>VLOOKUP(B4995,CAJEROS!B:D,3,0)</f>
        <v>Multifuncional</v>
      </c>
      <c r="I4995" s="34"/>
      <c r="J4995" s="38" t="str">
        <f>VLOOKUP(B4995,CAJEROS!B:E,4,0)</f>
        <v>MFVIVABQUI1</v>
      </c>
      <c r="K4995" t="s">
        <v>579</v>
      </c>
    </row>
    <row r="4996" spans="1:11">
      <c r="A4996" s="32">
        <v>442</v>
      </c>
      <c r="B4996" s="33">
        <v>8888</v>
      </c>
      <c r="C4996" s="3">
        <v>14335000</v>
      </c>
      <c r="D4996" s="3"/>
      <c r="E4996" s="7">
        <f t="shared" si="102"/>
        <v>14335000</v>
      </c>
      <c r="F4996" s="5">
        <v>45930</v>
      </c>
      <c r="G4996" s="4">
        <v>20250930</v>
      </c>
      <c r="H4996" s="38" t="str">
        <f>VLOOKUP(B4996,CAJEROS!B:D,3,0)</f>
        <v>Multifuncional</v>
      </c>
      <c r="I4996" s="34"/>
      <c r="J4996" s="38" t="str">
        <f>VLOOKUP(B4996,CAJEROS!B:E,4,0)</f>
        <v>MFVIVABQUI2</v>
      </c>
      <c r="K4996" t="s">
        <v>579</v>
      </c>
    </row>
    <row r="4997" spans="1:11">
      <c r="A4997" s="32">
        <v>455</v>
      </c>
      <c r="B4997" s="33">
        <v>5206</v>
      </c>
      <c r="C4997" s="3">
        <v>3360050</v>
      </c>
      <c r="D4997" s="3"/>
      <c r="E4997" s="7">
        <f t="shared" si="102"/>
        <v>3360050</v>
      </c>
      <c r="F4997" s="5">
        <v>45930</v>
      </c>
      <c r="G4997" s="4">
        <v>20250930</v>
      </c>
      <c r="H4997" s="38" t="str">
        <f>VLOOKUP(B4997,CAJEROS!B:D,3,0)</f>
        <v>Multifuncional</v>
      </c>
      <c r="I4997" s="34"/>
      <c r="J4997" s="38" t="str">
        <f>VLOOKUP(B4997,CAJEROS!B:E,4,0)</f>
        <v>MF_CEIBAS1</v>
      </c>
      <c r="K4997" t="s">
        <v>579</v>
      </c>
    </row>
    <row r="4998" spans="1:11">
      <c r="A4998" s="32">
        <v>467</v>
      </c>
      <c r="B4998" s="33">
        <v>9052</v>
      </c>
      <c r="C4998" s="3">
        <v>4084000</v>
      </c>
      <c r="D4998" s="3"/>
      <c r="E4998" s="7">
        <f t="shared" si="102"/>
        <v>4084000</v>
      </c>
      <c r="F4998" s="5">
        <v>45930</v>
      </c>
      <c r="G4998" s="4">
        <v>20250930</v>
      </c>
      <c r="H4998" s="38" t="str">
        <f>VLOOKUP(B4998,CAJEROS!B:D,3,0)</f>
        <v>Multifuncional</v>
      </c>
      <c r="I4998" s="34"/>
      <c r="J4998" s="38" t="str">
        <f>VLOOKUP(B4998,CAJEROS!B:E,4,0)</f>
        <v>MFHDVERPLZ2</v>
      </c>
      <c r="K4998" t="s">
        <v>579</v>
      </c>
    </row>
    <row r="4999" spans="1:11">
      <c r="A4999" s="32">
        <v>698</v>
      </c>
      <c r="B4999" s="33">
        <v>5187</v>
      </c>
      <c r="C4999" s="3">
        <v>6000</v>
      </c>
      <c r="D4999" s="3"/>
      <c r="E4999" s="7">
        <f t="shared" si="102"/>
        <v>6000</v>
      </c>
      <c r="F4999" s="5">
        <v>45930</v>
      </c>
      <c r="G4999" s="4">
        <v>20250930</v>
      </c>
      <c r="H4999" s="38" t="str">
        <f>VLOOKUP(B4999,CAJEROS!B:D,3,0)</f>
        <v>Multifuncional</v>
      </c>
      <c r="I4999" s="34"/>
      <c r="J4999" s="38" t="str">
        <f>VLOOKUP(B4999,CAJEROS!B:E,4,0)</f>
        <v>MF_SCLLE79</v>
      </c>
      <c r="K4999" t="s">
        <v>579</v>
      </c>
    </row>
    <row r="5000" spans="1:11">
      <c r="A5000" s="32">
        <v>843</v>
      </c>
      <c r="B5000" s="33">
        <v>6716</v>
      </c>
      <c r="C5000" s="3">
        <v>54100</v>
      </c>
      <c r="D5000" s="3"/>
      <c r="E5000" s="7">
        <f t="shared" si="102"/>
        <v>54100</v>
      </c>
      <c r="F5000" s="5">
        <v>45930</v>
      </c>
      <c r="G5000" s="4">
        <v>20250930</v>
      </c>
      <c r="H5000" s="38" t="str">
        <f>VLOOKUP(B5000,CAJEROS!B:D,3,0)</f>
        <v>Multifuncional</v>
      </c>
      <c r="I5000" s="34"/>
      <c r="J5000" s="38" t="str">
        <f>VLOOKUP(B5000,CAJEROS!B:E,4,0)</f>
        <v>MF_CPBUENAV</v>
      </c>
      <c r="K5000" t="s">
        <v>579</v>
      </c>
    </row>
    <row r="5001" spans="1:11">
      <c r="A5001" s="32">
        <v>845</v>
      </c>
      <c r="B5001" s="33">
        <v>9232</v>
      </c>
      <c r="C5001" s="3">
        <v>18852800</v>
      </c>
      <c r="D5001" s="3"/>
      <c r="E5001" s="7">
        <f t="shared" si="102"/>
        <v>18852800</v>
      </c>
      <c r="F5001" s="5">
        <v>45930</v>
      </c>
      <c r="G5001" s="4">
        <v>20250930</v>
      </c>
      <c r="H5001" s="38" t="str">
        <f>VLOOKUP(B5001,CAJEROS!B:D,3,0)</f>
        <v>Multifuncional</v>
      </c>
      <c r="I5001" s="34"/>
      <c r="J5001" s="38" t="str">
        <f>VLOOKUP(B5001,CAJEROS!B:E,4,0)</f>
        <v>MFSUCLAPLT1</v>
      </c>
      <c r="K5001" t="s">
        <v>579</v>
      </c>
    </row>
    <row r="5002" spans="1:11">
      <c r="A5002" s="32">
        <v>551</v>
      </c>
      <c r="B5002" s="33">
        <v>9643</v>
      </c>
      <c r="C5002" s="3">
        <v>2754000</v>
      </c>
      <c r="D5002" s="3">
        <v>1810000</v>
      </c>
      <c r="E5002" s="7">
        <f t="shared" si="102"/>
        <v>944000</v>
      </c>
      <c r="F5002" s="5">
        <v>45930</v>
      </c>
      <c r="G5002" s="4">
        <v>20250930</v>
      </c>
      <c r="H5002" s="38" t="str">
        <f>VLOOKUP(B5002,CAJEROS!B:D,3,0)</f>
        <v>Multifuncional</v>
      </c>
      <c r="I5002" s="34"/>
      <c r="J5002" s="38" t="str">
        <f>VLOOKUP(B5002,CAJEROS!B:E,4,0)</f>
        <v>MFSUCUNIME1</v>
      </c>
      <c r="K5002" t="s">
        <v>579</v>
      </c>
    </row>
    <row r="5003" spans="1:11">
      <c r="A5003" s="32">
        <v>166</v>
      </c>
      <c r="B5003" s="33">
        <v>7927</v>
      </c>
      <c r="C5003" s="3">
        <v>10000</v>
      </c>
      <c r="D5003" s="3"/>
      <c r="E5003" s="7">
        <f t="shared" si="102"/>
        <v>10000</v>
      </c>
      <c r="F5003" s="5">
        <v>45930</v>
      </c>
      <c r="G5003" s="4">
        <v>20250930</v>
      </c>
      <c r="H5003" s="38" t="str">
        <f>VLOOKUP(B5003,CAJEROS!B:D,3,0)</f>
        <v>Dispensador</v>
      </c>
      <c r="I5003" s="34"/>
      <c r="J5003" s="38" t="str">
        <f>VLOOKUP(B5003,CAJEROS!B:E,4,0)</f>
        <v>SUCALMSIN1</v>
      </c>
      <c r="K5003" t="s">
        <v>579</v>
      </c>
    </row>
    <row r="5004" spans="1:11">
      <c r="A5004" s="32">
        <v>359</v>
      </c>
      <c r="B5004" s="33">
        <v>4650</v>
      </c>
      <c r="C5004" s="3">
        <v>160000</v>
      </c>
      <c r="D5004" s="3">
        <v>90000</v>
      </c>
      <c r="E5004" s="7">
        <f t="shared" si="102"/>
        <v>70000</v>
      </c>
      <c r="F5004" s="5">
        <v>45930</v>
      </c>
      <c r="G5004" s="4">
        <v>20250930</v>
      </c>
      <c r="H5004" s="38" t="str">
        <f>VLOOKUP(B5004,CAJEROS!B:D,3,0)</f>
        <v>Dispensador</v>
      </c>
      <c r="I5004" s="34"/>
      <c r="J5004" s="38" t="str">
        <f>VLOOKUP(B5004,CAJEROS!B:E,4,0)</f>
        <v>SUC_COVEN1</v>
      </c>
      <c r="K5004" t="s">
        <v>579</v>
      </c>
    </row>
    <row r="5005" spans="1:11">
      <c r="A5005" s="32">
        <v>371</v>
      </c>
      <c r="B5005" s="33">
        <v>3741</v>
      </c>
      <c r="C5005" s="3">
        <v>100000</v>
      </c>
      <c r="D5005" s="3"/>
      <c r="E5005" s="7">
        <f t="shared" si="102"/>
        <v>100000</v>
      </c>
      <c r="F5005" s="5">
        <v>45930</v>
      </c>
      <c r="G5005" s="4">
        <v>20250930</v>
      </c>
      <c r="H5005" s="38" t="str">
        <f>VLOOKUP(B5005,CAJEROS!B:D,3,0)</f>
        <v>Dispensador</v>
      </c>
      <c r="I5005" s="34"/>
      <c r="J5005" s="38" t="str">
        <f>VLOOKUP(B5005,CAJEROS!B:E,4,0)</f>
        <v>SUC_CAUCAS3</v>
      </c>
      <c r="K5005" t="s">
        <v>579</v>
      </c>
    </row>
    <row r="5006" spans="1:11">
      <c r="A5006" s="32">
        <v>398</v>
      </c>
      <c r="B5006" s="33">
        <v>3527</v>
      </c>
      <c r="C5006" s="3">
        <v>20000</v>
      </c>
      <c r="D5006" s="3"/>
      <c r="E5006" s="7">
        <f t="shared" si="102"/>
        <v>20000</v>
      </c>
      <c r="F5006" s="5">
        <v>45930</v>
      </c>
      <c r="G5006" s="4">
        <v>20250930</v>
      </c>
      <c r="H5006" s="38" t="str">
        <f>VLOOKUP(B5006,CAJEROS!B:D,3,0)</f>
        <v>Dispensador</v>
      </c>
      <c r="I5006" s="34"/>
      <c r="J5006" s="38" t="str">
        <f>VLOOKUP(B5006,CAJEROS!B:E,4,0)</f>
        <v>SUC_CHINU</v>
      </c>
      <c r="K5006" t="s">
        <v>579</v>
      </c>
    </row>
    <row r="5007" spans="1:11">
      <c r="A5007" s="32">
        <v>398</v>
      </c>
      <c r="B5007" s="33">
        <v>9562</v>
      </c>
      <c r="C5007" s="3">
        <v>140000</v>
      </c>
      <c r="D5007" s="3">
        <v>100000</v>
      </c>
      <c r="E5007" s="7">
        <f t="shared" si="102"/>
        <v>40000</v>
      </c>
      <c r="F5007" s="5">
        <v>45930</v>
      </c>
      <c r="G5007" s="4">
        <v>20250930</v>
      </c>
      <c r="H5007" s="38" t="str">
        <f>VLOOKUP(B5007,CAJEROS!B:D,3,0)</f>
        <v>Dispensador</v>
      </c>
      <c r="I5007" s="34"/>
      <c r="J5007" s="38" t="str">
        <f>VLOOKUP(B5007,CAJEROS!B:E,4,0)</f>
        <v>SUC_CHINU2</v>
      </c>
      <c r="K5007" t="s">
        <v>579</v>
      </c>
    </row>
    <row r="5008" spans="1:11">
      <c r="A5008" s="32">
        <v>442</v>
      </c>
      <c r="B5008" s="33">
        <v>8883</v>
      </c>
      <c r="C5008" s="3">
        <v>50000</v>
      </c>
      <c r="D5008" s="3"/>
      <c r="E5008" s="7">
        <f t="shared" si="102"/>
        <v>50000</v>
      </c>
      <c r="F5008" s="5">
        <v>45930</v>
      </c>
      <c r="G5008" s="4">
        <v>20250930</v>
      </c>
      <c r="H5008" s="38" t="str">
        <f>VLOOKUP(B5008,CAJEROS!B:D,3,0)</f>
        <v>Dispensador</v>
      </c>
      <c r="I5008" s="34"/>
      <c r="J5008" s="38" t="str">
        <f>VLOOKUP(B5008,CAJEROS!B:E,4,0)</f>
        <v>VIVABQUILA1</v>
      </c>
      <c r="K5008" t="s">
        <v>579</v>
      </c>
    </row>
    <row r="5009" spans="1:11">
      <c r="A5009" s="32">
        <v>466</v>
      </c>
      <c r="B5009" s="33">
        <v>6596</v>
      </c>
      <c r="C5009" s="3">
        <v>100000</v>
      </c>
      <c r="D5009" s="3"/>
      <c r="E5009" s="7">
        <f t="shared" si="102"/>
        <v>100000</v>
      </c>
      <c r="F5009" s="5">
        <v>45930</v>
      </c>
      <c r="G5009" s="4">
        <v>20250930</v>
      </c>
      <c r="H5009" s="38" t="str">
        <f>VLOOKUP(B5009,CAJEROS!B:D,3,0)</f>
        <v>Dispensador</v>
      </c>
      <c r="I5009" s="34"/>
      <c r="J5009" s="38" t="str">
        <f>VLOOKUP(B5009,CAJEROS!B:E,4,0)</f>
        <v>SUC_FLOREN1</v>
      </c>
      <c r="K5009" t="s">
        <v>579</v>
      </c>
    </row>
    <row r="5010" spans="1:11">
      <c r="A5010" s="32">
        <v>467</v>
      </c>
      <c r="B5010" s="33">
        <v>8911</v>
      </c>
      <c r="C5010" s="3">
        <v>850000</v>
      </c>
      <c r="D5010" s="3"/>
      <c r="E5010" s="7">
        <f t="shared" si="102"/>
        <v>850000</v>
      </c>
      <c r="F5010" s="5">
        <v>45930</v>
      </c>
      <c r="G5010" s="4">
        <v>20250930</v>
      </c>
      <c r="H5010" s="38" t="str">
        <f>VLOOKUP(B5010,CAJEROS!B:D,3,0)</f>
        <v>Dispensador</v>
      </c>
      <c r="I5010" s="34"/>
      <c r="J5010" s="38" t="str">
        <f>VLOOKUP(B5010,CAJEROS!B:E,4,0)</f>
        <v>HDIVERPLZ_1</v>
      </c>
      <c r="K5010" t="s">
        <v>579</v>
      </c>
    </row>
    <row r="5011" spans="1:11">
      <c r="A5011" s="32">
        <v>467</v>
      </c>
      <c r="B5011" s="33">
        <v>8916</v>
      </c>
      <c r="C5011" s="3">
        <v>50000</v>
      </c>
      <c r="D5011" s="3"/>
      <c r="E5011" s="7">
        <f t="shared" si="102"/>
        <v>50000</v>
      </c>
      <c r="F5011" s="5">
        <v>45930</v>
      </c>
      <c r="G5011" s="4">
        <v>20250930</v>
      </c>
      <c r="H5011" s="38" t="str">
        <f>VLOOKUP(B5011,CAJEROS!B:D,3,0)</f>
        <v>Dispensador</v>
      </c>
      <c r="I5011" s="34"/>
      <c r="J5011" s="38" t="str">
        <f>VLOOKUP(B5011,CAJEROS!B:E,4,0)</f>
        <v>HDIVERPLZ_6</v>
      </c>
      <c r="K5011" t="s">
        <v>579</v>
      </c>
    </row>
    <row r="5012" spans="1:11">
      <c r="A5012" s="32">
        <v>467</v>
      </c>
      <c r="B5012" s="33">
        <v>8917</v>
      </c>
      <c r="C5012" s="3">
        <v>450000</v>
      </c>
      <c r="D5012" s="3"/>
      <c r="E5012" s="7">
        <f t="shared" si="102"/>
        <v>450000</v>
      </c>
      <c r="F5012" s="5">
        <v>45930</v>
      </c>
      <c r="G5012" s="4">
        <v>20250930</v>
      </c>
      <c r="H5012" s="38" t="str">
        <f>VLOOKUP(B5012,CAJEROS!B:D,3,0)</f>
        <v>Dispensador</v>
      </c>
      <c r="I5012" s="34"/>
      <c r="J5012" s="38" t="str">
        <f>VLOOKUP(B5012,CAJEROS!B:E,4,0)</f>
        <v>HDIVERPLZ_7</v>
      </c>
      <c r="K5012" t="s">
        <v>579</v>
      </c>
    </row>
    <row r="5013" spans="1:11">
      <c r="A5013" s="32">
        <v>513</v>
      </c>
      <c r="B5013" s="33">
        <v>4949</v>
      </c>
      <c r="C5013" s="3">
        <v>790000</v>
      </c>
      <c r="D5013" s="3"/>
      <c r="E5013" s="7">
        <f t="shared" si="102"/>
        <v>790000</v>
      </c>
      <c r="F5013" s="5">
        <v>45930</v>
      </c>
      <c r="G5013" s="4">
        <v>20250930</v>
      </c>
      <c r="H5013" s="38" t="str">
        <f>VLOOKUP(B5013,CAJEROS!B:D,3,0)</f>
        <v>Dispensador</v>
      </c>
      <c r="I5013" s="34"/>
      <c r="J5013" s="38" t="str">
        <f>VLOOKUP(B5013,CAJEROS!B:E,4,0)</f>
        <v>SUC_AGUARI1</v>
      </c>
      <c r="K5013" t="s">
        <v>579</v>
      </c>
    </row>
    <row r="5014" spans="1:11">
      <c r="A5014" s="32">
        <v>687</v>
      </c>
      <c r="B5014" s="33">
        <v>6363</v>
      </c>
      <c r="C5014" s="3">
        <v>140000</v>
      </c>
      <c r="D5014" s="3"/>
      <c r="E5014" s="7">
        <f t="shared" ref="E5014:E5016" si="103">+C5014-D5014</f>
        <v>140000</v>
      </c>
      <c r="F5014" s="5">
        <v>45930</v>
      </c>
      <c r="G5014" s="4">
        <v>20250930</v>
      </c>
      <c r="H5014" s="38" t="str">
        <f>VLOOKUP(B5014,CAJEROS!B:D,3,0)</f>
        <v>Dispensador</v>
      </c>
      <c r="I5014" s="34"/>
      <c r="J5014" s="38" t="str">
        <f>VLOOKUP(B5014,CAJEROS!B:E,4,0)</f>
        <v>PLANET_RIC2</v>
      </c>
      <c r="K5014" t="s">
        <v>579</v>
      </c>
    </row>
    <row r="5015" spans="1:11">
      <c r="A5015" s="32">
        <v>687</v>
      </c>
      <c r="B5015" s="33">
        <v>8513</v>
      </c>
      <c r="C5015" s="3">
        <v>10000</v>
      </c>
      <c r="D5015" s="3"/>
      <c r="E5015" s="7">
        <f t="shared" si="103"/>
        <v>10000</v>
      </c>
      <c r="F5015" s="5">
        <v>45930</v>
      </c>
      <c r="G5015" s="4">
        <v>20250930</v>
      </c>
      <c r="H5015" s="38" t="str">
        <f>VLOOKUP(B5015,CAJEROS!B:D,3,0)</f>
        <v>Dispensador</v>
      </c>
      <c r="I5015" s="34"/>
      <c r="J5015" s="38" t="str">
        <f>VLOOKUP(B5015,CAJEROS!B:E,4,0)</f>
        <v>SUC_PLANE3</v>
      </c>
      <c r="K5015" t="s">
        <v>579</v>
      </c>
    </row>
    <row r="5016" spans="1:11">
      <c r="A5016" s="32">
        <v>944</v>
      </c>
      <c r="B5016" s="33">
        <v>8358</v>
      </c>
      <c r="C5016" s="3">
        <v>20000</v>
      </c>
      <c r="D5016" s="3"/>
      <c r="E5016" s="7">
        <f t="shared" si="103"/>
        <v>20000</v>
      </c>
      <c r="F5016" s="5">
        <v>45930</v>
      </c>
      <c r="G5016" s="4">
        <v>20250930</v>
      </c>
      <c r="H5016" s="38" t="str">
        <f>VLOOKUP(B5016,CAJEROS!B:D,3,0)</f>
        <v>Dispensador</v>
      </c>
      <c r="I5016" s="34"/>
      <c r="J5016" s="38" t="str">
        <f>VLOOKUP(B5016,CAJEROS!B:E,4,0)</f>
        <v>SUCSANTABO4</v>
      </c>
      <c r="K5016" t="s">
        <v>579</v>
      </c>
    </row>
    <row r="5017" spans="1:11">
      <c r="A5017" s="32">
        <v>882</v>
      </c>
      <c r="B5017" s="33">
        <v>3510</v>
      </c>
      <c r="C5017" s="3">
        <v>340000</v>
      </c>
      <c r="D5017" s="3">
        <v>340000</v>
      </c>
      <c r="E5017" s="7">
        <v>0</v>
      </c>
      <c r="F5017" s="5">
        <v>45939</v>
      </c>
      <c r="G5017" s="4">
        <v>20251008</v>
      </c>
      <c r="H5017" s="38" t="s">
        <v>30</v>
      </c>
      <c r="I5017" s="34" t="s">
        <v>9</v>
      </c>
      <c r="J5017" s="38" t="s">
        <v>222</v>
      </c>
    </row>
    <row r="5018" spans="1:11">
      <c r="A5018" s="32">
        <v>882</v>
      </c>
      <c r="B5018" s="33">
        <v>3510</v>
      </c>
      <c r="C5018" s="3">
        <v>110000</v>
      </c>
      <c r="D5018" s="3">
        <v>110000</v>
      </c>
      <c r="E5018" s="7">
        <v>0</v>
      </c>
      <c r="F5018" s="5">
        <v>45940</v>
      </c>
      <c r="G5018" s="4">
        <v>20251009</v>
      </c>
      <c r="H5018" s="38" t="s">
        <v>30</v>
      </c>
      <c r="I5018" s="34" t="s">
        <v>9</v>
      </c>
      <c r="J5018" s="38" t="s">
        <v>222</v>
      </c>
    </row>
    <row r="5019" spans="1:11">
      <c r="A5019" s="32">
        <v>882</v>
      </c>
      <c r="B5019" s="33">
        <v>5020</v>
      </c>
      <c r="C5019" s="3">
        <v>630000</v>
      </c>
      <c r="D5019" s="3">
        <v>630000</v>
      </c>
      <c r="E5019" s="7">
        <v>0</v>
      </c>
      <c r="F5019" s="5">
        <v>45944</v>
      </c>
      <c r="G5019" s="4">
        <v>20251013</v>
      </c>
      <c r="H5019" s="38" t="s">
        <v>24</v>
      </c>
      <c r="I5019" s="34" t="s">
        <v>9</v>
      </c>
      <c r="J5019" s="38" t="s">
        <v>224</v>
      </c>
    </row>
    <row r="5020" spans="1:11">
      <c r="A5020" s="32">
        <v>258</v>
      </c>
      <c r="B5020" s="33">
        <v>5155</v>
      </c>
      <c r="C5020" s="3">
        <v>2450000</v>
      </c>
      <c r="D5020" s="3">
        <v>2450000</v>
      </c>
      <c r="E5020" s="7">
        <v>0</v>
      </c>
      <c r="F5020" s="5">
        <v>45945</v>
      </c>
      <c r="G5020" s="4">
        <v>20251014</v>
      </c>
      <c r="H5020" s="38" t="s">
        <v>24</v>
      </c>
      <c r="I5020" s="34" t="s">
        <v>9</v>
      </c>
      <c r="J5020" s="38" t="s">
        <v>331</v>
      </c>
    </row>
    <row r="5021" spans="1:11">
      <c r="A5021" s="32">
        <v>882</v>
      </c>
      <c r="B5021" s="33">
        <v>5020</v>
      </c>
      <c r="C5021" s="3">
        <v>2370000</v>
      </c>
      <c r="D5021" s="3">
        <v>2370000</v>
      </c>
      <c r="E5021" s="7">
        <v>0</v>
      </c>
      <c r="F5021" s="5">
        <v>45946</v>
      </c>
      <c r="G5021" s="4">
        <v>20251015</v>
      </c>
      <c r="H5021" s="38" t="s">
        <v>24</v>
      </c>
      <c r="I5021" s="34"/>
      <c r="J5021" s="38" t="s">
        <v>224</v>
      </c>
    </row>
    <row r="5022" spans="1:11">
      <c r="A5022" s="32">
        <v>882</v>
      </c>
      <c r="B5022" s="33">
        <v>3510</v>
      </c>
      <c r="C5022" s="3">
        <v>450000</v>
      </c>
      <c r="D5022" s="3">
        <v>450000</v>
      </c>
      <c r="E5022" s="7">
        <v>0</v>
      </c>
      <c r="F5022" s="5">
        <v>45947</v>
      </c>
      <c r="G5022" s="4">
        <v>20251016</v>
      </c>
      <c r="H5022" s="38" t="s">
        <v>30</v>
      </c>
      <c r="I5022" s="34" t="s">
        <v>9</v>
      </c>
      <c r="J5022" s="38" t="s">
        <v>222</v>
      </c>
    </row>
    <row r="5023" spans="1:11">
      <c r="A5023" s="32">
        <v>882</v>
      </c>
      <c r="B5023" s="33">
        <v>5020</v>
      </c>
      <c r="C5023" s="3">
        <v>525000</v>
      </c>
      <c r="D5023" s="3">
        <v>525000</v>
      </c>
      <c r="E5023" s="7">
        <v>0</v>
      </c>
      <c r="F5023" s="5">
        <v>45950</v>
      </c>
      <c r="G5023" s="4">
        <v>20251019</v>
      </c>
      <c r="H5023" s="38" t="s">
        <v>24</v>
      </c>
      <c r="I5023" s="34" t="s">
        <v>9</v>
      </c>
      <c r="J5023" s="38" t="s">
        <v>224</v>
      </c>
    </row>
    <row r="5024" spans="1:11">
      <c r="A5024" s="32">
        <v>258</v>
      </c>
      <c r="B5024" s="33">
        <v>5155</v>
      </c>
      <c r="C5024" s="3">
        <v>3550000</v>
      </c>
      <c r="D5024" s="3">
        <v>3550000</v>
      </c>
      <c r="E5024" s="7">
        <v>0</v>
      </c>
      <c r="F5024" s="5">
        <v>45951</v>
      </c>
      <c r="G5024" s="4">
        <v>20251020</v>
      </c>
      <c r="H5024" s="38" t="s">
        <v>24</v>
      </c>
      <c r="I5024" s="34" t="s">
        <v>9</v>
      </c>
      <c r="J5024" s="38" t="s">
        <v>331</v>
      </c>
    </row>
    <row r="5025" spans="1:10">
      <c r="A5025" s="32">
        <v>882</v>
      </c>
      <c r="B5025" s="33">
        <v>5020</v>
      </c>
      <c r="C5025" s="3">
        <v>2427750</v>
      </c>
      <c r="D5025" s="3">
        <v>2427750</v>
      </c>
      <c r="E5025" s="7">
        <v>0</v>
      </c>
      <c r="F5025" s="5">
        <v>45959</v>
      </c>
      <c r="G5025" s="4">
        <v>20251028</v>
      </c>
      <c r="H5025" s="38" t="s">
        <v>24</v>
      </c>
      <c r="I5025" s="34"/>
      <c r="J5025" s="38" t="s">
        <v>224</v>
      </c>
    </row>
    <row r="5026" spans="1:10">
      <c r="A5026" s="32">
        <v>345</v>
      </c>
      <c r="B5026" s="33">
        <v>1962</v>
      </c>
      <c r="C5026" s="3">
        <v>100000</v>
      </c>
      <c r="D5026" s="3">
        <v>100000</v>
      </c>
      <c r="E5026" s="7">
        <v>0</v>
      </c>
      <c r="F5026" s="5">
        <v>45946</v>
      </c>
      <c r="G5026" s="4">
        <v>20251015</v>
      </c>
      <c r="H5026" s="38" t="s">
        <v>30</v>
      </c>
      <c r="I5026" s="34" t="s">
        <v>9</v>
      </c>
      <c r="J5026" s="38" t="s">
        <v>391</v>
      </c>
    </row>
    <row r="5027" spans="1:10">
      <c r="A5027" s="32">
        <v>567</v>
      </c>
      <c r="B5027" s="33">
        <v>2423</v>
      </c>
      <c r="C5027" s="3">
        <v>3240000</v>
      </c>
      <c r="D5027" s="3">
        <v>3240000</v>
      </c>
      <c r="E5027" s="7">
        <v>0</v>
      </c>
      <c r="F5027" s="5">
        <v>45946</v>
      </c>
      <c r="G5027" s="4">
        <v>20251015</v>
      </c>
      <c r="H5027" s="38" t="s">
        <v>30</v>
      </c>
      <c r="I5027" s="34" t="s">
        <v>9</v>
      </c>
      <c r="J5027" s="38" t="s">
        <v>342</v>
      </c>
    </row>
    <row r="5028" spans="1:10">
      <c r="A5028" s="32">
        <v>567</v>
      </c>
      <c r="B5028" s="33">
        <v>2423</v>
      </c>
      <c r="C5028" s="3">
        <v>1760000</v>
      </c>
      <c r="D5028" s="3">
        <v>1760000</v>
      </c>
      <c r="E5028" s="7">
        <v>0</v>
      </c>
      <c r="F5028" s="5">
        <v>45947</v>
      </c>
      <c r="G5028" s="4">
        <v>20251016</v>
      </c>
      <c r="H5028" s="38" t="s">
        <v>30</v>
      </c>
      <c r="I5028" s="34" t="s">
        <v>9</v>
      </c>
      <c r="J5028" s="38" t="s">
        <v>342</v>
      </c>
    </row>
    <row r="5029" spans="1:10">
      <c r="A5029" s="32">
        <v>221</v>
      </c>
      <c r="B5029" s="33">
        <v>5221</v>
      </c>
      <c r="C5029" s="3">
        <v>3289000</v>
      </c>
      <c r="D5029" s="3">
        <v>3289000</v>
      </c>
      <c r="E5029" s="7">
        <v>0</v>
      </c>
      <c r="F5029" s="5">
        <v>45947</v>
      </c>
      <c r="G5029" s="4">
        <v>20251016</v>
      </c>
      <c r="H5029" s="38" t="s">
        <v>24</v>
      </c>
      <c r="I5029" s="34" t="s">
        <v>9</v>
      </c>
      <c r="J5029" s="38" t="s">
        <v>187</v>
      </c>
    </row>
    <row r="5030" spans="1:10">
      <c r="A5030" s="32">
        <v>944</v>
      </c>
      <c r="B5030" s="33">
        <v>8353</v>
      </c>
      <c r="C5030" s="3">
        <v>2015000</v>
      </c>
      <c r="D5030" s="3">
        <v>2015000</v>
      </c>
      <c r="E5030" s="7">
        <v>0</v>
      </c>
      <c r="F5030" s="5">
        <v>45947</v>
      </c>
      <c r="G5030" s="4">
        <v>20251016</v>
      </c>
      <c r="H5030" s="38" t="s">
        <v>24</v>
      </c>
      <c r="I5030" s="34" t="s">
        <v>9</v>
      </c>
      <c r="J5030" s="38" t="s">
        <v>582</v>
      </c>
    </row>
    <row r="5031" spans="1:10">
      <c r="A5031" s="32">
        <v>567</v>
      </c>
      <c r="B5031" s="33">
        <v>2423</v>
      </c>
      <c r="C5031" s="3">
        <v>3540000</v>
      </c>
      <c r="D5031" s="3">
        <v>3540000</v>
      </c>
      <c r="E5031" s="7">
        <v>0</v>
      </c>
      <c r="F5031" s="5">
        <v>45952</v>
      </c>
      <c r="G5031" s="4">
        <v>20251021</v>
      </c>
      <c r="H5031" s="38" t="s">
        <v>30</v>
      </c>
      <c r="I5031" s="34" t="s">
        <v>9</v>
      </c>
      <c r="J5031" s="38" t="s">
        <v>342</v>
      </c>
    </row>
    <row r="5032" spans="1:10">
      <c r="A5032" s="32">
        <v>631</v>
      </c>
      <c r="B5032" s="33">
        <v>2794</v>
      </c>
      <c r="C5032" s="3">
        <v>230000</v>
      </c>
      <c r="D5032" s="3">
        <v>230000</v>
      </c>
      <c r="E5032" s="7">
        <v>0</v>
      </c>
      <c r="F5032" s="5">
        <v>45952</v>
      </c>
      <c r="G5032" s="4">
        <v>20251021</v>
      </c>
      <c r="H5032" s="38" t="s">
        <v>30</v>
      </c>
      <c r="I5032" s="34" t="s">
        <v>9</v>
      </c>
      <c r="J5032" s="38" t="s">
        <v>97</v>
      </c>
    </row>
    <row r="5033" spans="1:10">
      <c r="A5033" s="32">
        <v>536</v>
      </c>
      <c r="B5033" s="33">
        <v>8993</v>
      </c>
      <c r="C5033" s="3">
        <v>200000</v>
      </c>
      <c r="D5033" s="3">
        <v>200000</v>
      </c>
      <c r="E5033" s="7">
        <v>0</v>
      </c>
      <c r="F5033" s="5">
        <v>45957</v>
      </c>
      <c r="G5033" s="4">
        <v>20251026</v>
      </c>
      <c r="H5033" s="38" t="s">
        <v>30</v>
      </c>
      <c r="I5033" s="34" t="s">
        <v>9</v>
      </c>
      <c r="J5033" s="38" t="s">
        <v>405</v>
      </c>
    </row>
    <row r="5034" spans="1:10">
      <c r="A5034" s="32">
        <v>567</v>
      </c>
      <c r="B5034" s="33">
        <v>2423</v>
      </c>
      <c r="C5034" s="3">
        <v>970000</v>
      </c>
      <c r="D5034" s="3">
        <v>970000</v>
      </c>
      <c r="E5034" s="7">
        <v>0</v>
      </c>
      <c r="F5034" s="5">
        <v>45957</v>
      </c>
      <c r="G5034" s="4">
        <v>20251026</v>
      </c>
      <c r="H5034" s="38" t="s">
        <v>30</v>
      </c>
      <c r="I5034" s="34" t="s">
        <v>9</v>
      </c>
      <c r="J5034" s="38" t="s">
        <v>342</v>
      </c>
    </row>
    <row r="5035" spans="1:10">
      <c r="A5035" s="32">
        <v>631</v>
      </c>
      <c r="B5035" s="33">
        <v>2794</v>
      </c>
      <c r="C5035" s="3">
        <v>2570000</v>
      </c>
      <c r="D5035" s="3">
        <v>2570000</v>
      </c>
      <c r="E5035" s="7">
        <v>0</v>
      </c>
      <c r="F5035" s="5">
        <v>45957</v>
      </c>
      <c r="G5035" s="4">
        <v>20251026</v>
      </c>
      <c r="H5035" s="38" t="s">
        <v>30</v>
      </c>
      <c r="I5035" s="34" t="s">
        <v>9</v>
      </c>
      <c r="J5035" s="38" t="s">
        <v>97</v>
      </c>
    </row>
    <row r="5036" spans="1:10">
      <c r="A5036" s="32">
        <v>861</v>
      </c>
      <c r="B5036" s="33">
        <v>5957</v>
      </c>
      <c r="C5036" s="3">
        <v>50000</v>
      </c>
      <c r="D5036" s="3">
        <v>50000</v>
      </c>
      <c r="E5036" s="7">
        <v>0</v>
      </c>
      <c r="F5036" s="5">
        <v>45957</v>
      </c>
      <c r="G5036" s="4">
        <v>20251026</v>
      </c>
      <c r="H5036" s="38" t="s">
        <v>30</v>
      </c>
      <c r="I5036" s="34" t="s">
        <v>9</v>
      </c>
      <c r="J5036" s="38" t="s">
        <v>135</v>
      </c>
    </row>
    <row r="5037" spans="1:10">
      <c r="A5037" s="32">
        <v>861</v>
      </c>
      <c r="B5037" s="33">
        <v>5958</v>
      </c>
      <c r="C5037" s="3">
        <v>200000</v>
      </c>
      <c r="D5037" s="3">
        <v>200000</v>
      </c>
      <c r="E5037" s="7">
        <v>0</v>
      </c>
      <c r="F5037" s="5">
        <v>45957</v>
      </c>
      <c r="G5037" s="4">
        <v>20251024</v>
      </c>
      <c r="H5037" s="38" t="s">
        <v>30</v>
      </c>
      <c r="I5037" s="34" t="s">
        <v>9</v>
      </c>
      <c r="J5037" s="38" t="s">
        <v>136</v>
      </c>
    </row>
    <row r="5038" spans="1:10">
      <c r="A5038" s="32">
        <v>59</v>
      </c>
      <c r="B5038" s="33">
        <v>5002</v>
      </c>
      <c r="C5038" s="3">
        <v>3960000</v>
      </c>
      <c r="D5038" s="3">
        <v>3960000</v>
      </c>
      <c r="E5038" s="7">
        <v>0</v>
      </c>
      <c r="F5038" s="5">
        <v>45958</v>
      </c>
      <c r="G5038" s="4">
        <v>20251027</v>
      </c>
      <c r="H5038" s="38" t="s">
        <v>24</v>
      </c>
      <c r="I5038" s="34" t="s">
        <v>9</v>
      </c>
      <c r="J5038" s="38" t="s">
        <v>407</v>
      </c>
    </row>
    <row r="5039" spans="1:10">
      <c r="A5039" s="32">
        <v>946</v>
      </c>
      <c r="B5039" s="33">
        <v>5225</v>
      </c>
      <c r="C5039" s="3">
        <v>1620000</v>
      </c>
      <c r="D5039" s="3">
        <v>1620000</v>
      </c>
      <c r="E5039" s="7">
        <v>0</v>
      </c>
      <c r="F5039" s="5">
        <v>45958</v>
      </c>
      <c r="G5039" s="4">
        <v>20251027</v>
      </c>
      <c r="H5039" s="38" t="s">
        <v>24</v>
      </c>
      <c r="I5039" s="34" t="s">
        <v>9</v>
      </c>
      <c r="J5039" s="38" t="s">
        <v>459</v>
      </c>
    </row>
    <row r="5040" spans="1:10">
      <c r="A5040" s="32">
        <v>343</v>
      </c>
      <c r="B5040" s="33">
        <v>7955</v>
      </c>
      <c r="C5040" s="3">
        <v>10000</v>
      </c>
      <c r="D5040" s="3">
        <v>10000</v>
      </c>
      <c r="E5040" s="7">
        <v>0</v>
      </c>
      <c r="F5040" s="5">
        <v>45958</v>
      </c>
      <c r="G5040" s="4">
        <v>20251027</v>
      </c>
      <c r="H5040" s="38" t="s">
        <v>30</v>
      </c>
      <c r="I5040" s="34" t="s">
        <v>10</v>
      </c>
      <c r="J5040" s="38" t="s">
        <v>95</v>
      </c>
    </row>
    <row r="5041" spans="1:10">
      <c r="A5041" s="32">
        <v>946</v>
      </c>
      <c r="B5041" s="33">
        <v>5225</v>
      </c>
      <c r="C5041" s="3">
        <v>3790000</v>
      </c>
      <c r="D5041" s="3">
        <v>3790000</v>
      </c>
      <c r="E5041" s="7">
        <v>0</v>
      </c>
      <c r="F5041" s="5">
        <v>45959</v>
      </c>
      <c r="G5041" s="4">
        <v>20251028</v>
      </c>
      <c r="H5041" s="38" t="s">
        <v>24</v>
      </c>
      <c r="I5041" s="34" t="s">
        <v>9</v>
      </c>
      <c r="J5041" s="38" t="s">
        <v>459</v>
      </c>
    </row>
    <row r="5042" spans="1:10">
      <c r="A5042" s="32">
        <v>634</v>
      </c>
      <c r="B5042" s="33">
        <v>5087</v>
      </c>
      <c r="C5042" s="3">
        <v>2610000</v>
      </c>
      <c r="D5042" s="3">
        <v>2610000</v>
      </c>
      <c r="E5042" s="7">
        <v>0</v>
      </c>
      <c r="F5042" s="5">
        <v>45959</v>
      </c>
      <c r="G5042" s="4">
        <v>20251028</v>
      </c>
      <c r="H5042" s="38" t="s">
        <v>24</v>
      </c>
      <c r="I5042" s="34" t="s">
        <v>9</v>
      </c>
      <c r="J5042" s="38" t="s">
        <v>183</v>
      </c>
    </row>
    <row r="5043" spans="1:10">
      <c r="A5043" s="32">
        <v>659</v>
      </c>
      <c r="B5043" s="33">
        <v>5102</v>
      </c>
      <c r="C5043" s="3">
        <v>1680000</v>
      </c>
      <c r="D5043" s="3">
        <v>1680000</v>
      </c>
      <c r="E5043" s="7">
        <v>0</v>
      </c>
      <c r="F5043" s="5">
        <v>45959</v>
      </c>
      <c r="G5043" s="4">
        <v>20251028</v>
      </c>
      <c r="H5043" s="38" t="s">
        <v>24</v>
      </c>
      <c r="I5043" s="34" t="s">
        <v>9</v>
      </c>
      <c r="J5043" s="38" t="s">
        <v>481</v>
      </c>
    </row>
    <row r="5044" spans="1:10">
      <c r="A5044" s="32">
        <v>337</v>
      </c>
      <c r="B5044" s="33">
        <v>6253</v>
      </c>
      <c r="C5044" s="3">
        <v>1470000</v>
      </c>
      <c r="D5044" s="3">
        <v>1470000</v>
      </c>
      <c r="E5044" s="7">
        <v>0</v>
      </c>
      <c r="F5044" s="5">
        <v>45959</v>
      </c>
      <c r="G5044" s="4">
        <v>20251028</v>
      </c>
      <c r="H5044" s="38" t="s">
        <v>24</v>
      </c>
      <c r="I5044" s="34" t="s">
        <v>9</v>
      </c>
      <c r="J5044" s="38" t="s">
        <v>352</v>
      </c>
    </row>
    <row r="5045" spans="1:10">
      <c r="A5045" s="32">
        <v>861</v>
      </c>
      <c r="B5045" s="33">
        <v>5957</v>
      </c>
      <c r="C5045" s="3">
        <v>40000</v>
      </c>
      <c r="D5045" s="3">
        <v>40000</v>
      </c>
      <c r="E5045" s="7">
        <v>0</v>
      </c>
      <c r="F5045" s="5">
        <v>45959</v>
      </c>
      <c r="G5045" s="4">
        <v>20251028</v>
      </c>
      <c r="H5045" s="38" t="s">
        <v>30</v>
      </c>
      <c r="I5045" s="34" t="s">
        <v>9</v>
      </c>
      <c r="J5045" s="38" t="s">
        <v>135</v>
      </c>
    </row>
    <row r="5046" spans="1:10">
      <c r="A5046" s="32">
        <v>861</v>
      </c>
      <c r="B5046" s="33">
        <v>5958</v>
      </c>
      <c r="C5046" s="3">
        <v>100000</v>
      </c>
      <c r="D5046" s="3">
        <v>100000</v>
      </c>
      <c r="E5046" s="7">
        <v>0</v>
      </c>
      <c r="F5046" s="5">
        <v>45959</v>
      </c>
      <c r="G5046" s="4">
        <v>20251028</v>
      </c>
      <c r="H5046" s="38" t="s">
        <v>30</v>
      </c>
      <c r="I5046" s="34" t="s">
        <v>9</v>
      </c>
      <c r="J5046" s="38" t="s">
        <v>136</v>
      </c>
    </row>
    <row r="5047" spans="1:10">
      <c r="A5047" s="32">
        <v>631</v>
      </c>
      <c r="B5047" s="33">
        <v>2794</v>
      </c>
      <c r="C5047" s="3">
        <v>10000</v>
      </c>
      <c r="D5047" s="3">
        <v>10000</v>
      </c>
      <c r="E5047" s="7">
        <v>0</v>
      </c>
      <c r="F5047" s="5">
        <v>45959</v>
      </c>
      <c r="G5047" s="4">
        <v>20251028</v>
      </c>
      <c r="H5047" s="38" t="s">
        <v>30</v>
      </c>
      <c r="I5047" s="34" t="s">
        <v>10</v>
      </c>
      <c r="J5047" s="38" t="s">
        <v>97</v>
      </c>
    </row>
    <row r="5048" spans="1:10">
      <c r="A5048" s="32">
        <v>567</v>
      </c>
      <c r="B5048" s="33">
        <v>2423</v>
      </c>
      <c r="C5048" s="3">
        <v>9960000</v>
      </c>
      <c r="D5048" s="3">
        <v>9960000</v>
      </c>
      <c r="E5048" s="7">
        <v>0</v>
      </c>
      <c r="F5048" s="5">
        <v>45960</v>
      </c>
      <c r="G5048" s="4">
        <v>20251029</v>
      </c>
      <c r="H5048" s="38" t="s">
        <v>30</v>
      </c>
      <c r="I5048" s="34" t="s">
        <v>9</v>
      </c>
      <c r="J5048" s="38" t="s">
        <v>342</v>
      </c>
    </row>
    <row r="5049" spans="1:10">
      <c r="A5049" s="32">
        <v>861</v>
      </c>
      <c r="B5049" s="33">
        <v>5958</v>
      </c>
      <c r="C5049" s="3">
        <v>350000</v>
      </c>
      <c r="D5049" s="3">
        <v>350000</v>
      </c>
      <c r="E5049" s="7">
        <v>0</v>
      </c>
      <c r="F5049" s="5">
        <v>45960</v>
      </c>
      <c r="G5049" s="4">
        <v>20251029</v>
      </c>
      <c r="H5049" s="38" t="s">
        <v>30</v>
      </c>
      <c r="I5049" s="34" t="s">
        <v>9</v>
      </c>
      <c r="J5049" s="38" t="s">
        <v>136</v>
      </c>
    </row>
    <row r="5050" spans="1:10">
      <c r="A5050" s="32">
        <v>634</v>
      </c>
      <c r="B5050" s="33">
        <v>5087</v>
      </c>
      <c r="C5050" s="3">
        <v>1240000</v>
      </c>
      <c r="D5050" s="3">
        <v>1240000</v>
      </c>
      <c r="E5050" s="7">
        <v>0</v>
      </c>
      <c r="F5050" s="5">
        <v>45960</v>
      </c>
      <c r="G5050" s="4">
        <v>20251029</v>
      </c>
      <c r="H5050" s="38" t="s">
        <v>24</v>
      </c>
      <c r="I5050" s="34" t="s">
        <v>9</v>
      </c>
      <c r="J5050" s="38" t="s">
        <v>183</v>
      </c>
    </row>
    <row r="5051" spans="1:10">
      <c r="A5051" s="32">
        <v>601</v>
      </c>
      <c r="B5051" s="33">
        <v>6424</v>
      </c>
      <c r="C5051" s="3">
        <v>20000</v>
      </c>
      <c r="D5051" s="3">
        <v>20000</v>
      </c>
      <c r="E5051" s="7">
        <v>0</v>
      </c>
      <c r="F5051" s="5">
        <v>45960</v>
      </c>
      <c r="G5051" s="4">
        <v>20251029</v>
      </c>
      <c r="H5051" s="38" t="s">
        <v>30</v>
      </c>
      <c r="I5051" s="34" t="s">
        <v>10</v>
      </c>
      <c r="J5051" s="38" t="s">
        <v>583</v>
      </c>
    </row>
    <row r="5052" spans="1:10">
      <c r="A5052" s="32">
        <v>631</v>
      </c>
      <c r="B5052" s="33">
        <v>2794</v>
      </c>
      <c r="C5052" s="3">
        <v>2390000</v>
      </c>
      <c r="D5052" s="3">
        <v>2390000</v>
      </c>
      <c r="E5052" s="7">
        <v>0</v>
      </c>
      <c r="F5052" s="5">
        <v>45961</v>
      </c>
      <c r="G5052" s="4">
        <v>20251030</v>
      </c>
      <c r="H5052" s="38" t="s">
        <v>30</v>
      </c>
      <c r="I5052" s="34" t="s">
        <v>9</v>
      </c>
      <c r="J5052" s="38" t="s">
        <v>97</v>
      </c>
    </row>
    <row r="5053" spans="1:10">
      <c r="A5053" s="32">
        <v>769</v>
      </c>
      <c r="B5053" s="33">
        <v>8678</v>
      </c>
      <c r="C5053" s="3">
        <v>20000000</v>
      </c>
      <c r="D5053" s="3">
        <v>20000000</v>
      </c>
      <c r="E5053" s="7">
        <v>0</v>
      </c>
      <c r="F5053" s="5">
        <v>45961</v>
      </c>
      <c r="G5053" s="4">
        <v>20251030</v>
      </c>
      <c r="H5053" s="38" t="s">
        <v>30</v>
      </c>
      <c r="I5053" s="34" t="s">
        <v>9</v>
      </c>
      <c r="J5053" s="38" t="s">
        <v>584</v>
      </c>
    </row>
    <row r="5054" spans="1:10">
      <c r="A5054" s="32">
        <v>300</v>
      </c>
      <c r="B5054" s="33">
        <v>5139</v>
      </c>
      <c r="C5054" s="3">
        <v>380000</v>
      </c>
      <c r="D5054" s="3">
        <v>380000</v>
      </c>
      <c r="E5054" s="7">
        <v>0</v>
      </c>
      <c r="F5054" s="5">
        <v>45961</v>
      </c>
      <c r="G5054" s="4">
        <v>20251030</v>
      </c>
      <c r="H5054" s="38" t="s">
        <v>24</v>
      </c>
      <c r="I5054" s="34" t="s">
        <v>9</v>
      </c>
      <c r="J5054" s="38" t="s">
        <v>51</v>
      </c>
    </row>
    <row r="5055" spans="1:10">
      <c r="A5055" s="32">
        <v>760</v>
      </c>
      <c r="B5055" s="33">
        <v>6092</v>
      </c>
      <c r="C5055" s="3">
        <v>50000</v>
      </c>
      <c r="D5055" s="3">
        <v>50000</v>
      </c>
      <c r="E5055" s="7">
        <v>0</v>
      </c>
      <c r="F5055" s="5">
        <v>45961</v>
      </c>
      <c r="G5055" s="4">
        <v>20251030</v>
      </c>
      <c r="H5055" s="38" t="s">
        <v>24</v>
      </c>
      <c r="I5055" s="34" t="s">
        <v>9</v>
      </c>
      <c r="J5055" s="38" t="s">
        <v>553</v>
      </c>
    </row>
    <row r="5056" spans="1:10">
      <c r="A5056" s="32">
        <v>705</v>
      </c>
      <c r="B5056" s="33">
        <v>4151</v>
      </c>
      <c r="C5056" s="3">
        <v>4910000</v>
      </c>
      <c r="D5056" s="3">
        <v>4910000</v>
      </c>
      <c r="E5056" s="7">
        <v>0</v>
      </c>
      <c r="F5056" s="5">
        <v>45940</v>
      </c>
      <c r="G5056" s="4">
        <v>20251009</v>
      </c>
      <c r="H5056" s="38" t="s">
        <v>30</v>
      </c>
      <c r="I5056" s="34" t="s">
        <v>9</v>
      </c>
      <c r="J5056" s="38" t="s">
        <v>79</v>
      </c>
    </row>
    <row r="5057" spans="1:10">
      <c r="A5057" s="32">
        <v>705</v>
      </c>
      <c r="B5057" s="33">
        <v>4151</v>
      </c>
      <c r="C5057" s="3">
        <v>500000</v>
      </c>
      <c r="D5057" s="3">
        <v>500000</v>
      </c>
      <c r="E5057" s="7">
        <v>0</v>
      </c>
      <c r="F5057" s="5">
        <v>45944</v>
      </c>
      <c r="G5057" s="4">
        <v>20251013</v>
      </c>
      <c r="H5057" s="38" t="s">
        <v>30</v>
      </c>
      <c r="I5057" s="34" t="s">
        <v>9</v>
      </c>
      <c r="J5057" s="38" t="s">
        <v>79</v>
      </c>
    </row>
    <row r="5058" spans="1:10">
      <c r="A5058" s="32">
        <v>345</v>
      </c>
      <c r="B5058" s="33">
        <v>6254</v>
      </c>
      <c r="C5058" s="3">
        <v>1130000</v>
      </c>
      <c r="D5058" s="3">
        <v>1130000</v>
      </c>
      <c r="E5058" s="7">
        <v>0</v>
      </c>
      <c r="F5058" s="5">
        <v>45952</v>
      </c>
      <c r="G5058" s="4">
        <v>20251021</v>
      </c>
      <c r="H5058" s="38" t="s">
        <v>30</v>
      </c>
      <c r="I5058" s="34" t="s">
        <v>9</v>
      </c>
      <c r="J5058" s="38" t="s">
        <v>64</v>
      </c>
    </row>
    <row r="5059" spans="1:10">
      <c r="A5059" s="32">
        <v>217</v>
      </c>
      <c r="B5059" s="33">
        <v>5208</v>
      </c>
      <c r="C5059" s="3">
        <v>70000</v>
      </c>
      <c r="D5059" s="3">
        <v>70000</v>
      </c>
      <c r="E5059" s="7">
        <v>0</v>
      </c>
      <c r="F5059" s="5">
        <v>45952</v>
      </c>
      <c r="G5059" s="4">
        <v>20251021</v>
      </c>
      <c r="H5059" s="38" t="s">
        <v>24</v>
      </c>
      <c r="I5059" s="34" t="s">
        <v>9</v>
      </c>
      <c r="J5059" s="38" t="s">
        <v>326</v>
      </c>
    </row>
    <row r="5060" spans="1:10">
      <c r="A5060" s="32">
        <v>881</v>
      </c>
      <c r="B5060" s="33">
        <v>2478</v>
      </c>
      <c r="C5060" s="3">
        <v>60000</v>
      </c>
      <c r="D5060" s="3">
        <v>60000</v>
      </c>
      <c r="E5060" s="7">
        <v>0</v>
      </c>
      <c r="F5060" s="5">
        <v>45959</v>
      </c>
      <c r="G5060" s="4">
        <v>20251028</v>
      </c>
      <c r="H5060" s="38" t="s">
        <v>30</v>
      </c>
      <c r="I5060" s="34" t="s">
        <v>9</v>
      </c>
      <c r="J5060" s="38" t="s">
        <v>585</v>
      </c>
    </row>
    <row r="5061" spans="1:10">
      <c r="A5061" s="32">
        <v>159</v>
      </c>
      <c r="B5061" s="33">
        <v>6893</v>
      </c>
      <c r="C5061" s="3">
        <v>100000</v>
      </c>
      <c r="D5061" s="3">
        <v>100000</v>
      </c>
      <c r="E5061" s="7">
        <v>0</v>
      </c>
      <c r="F5061" s="5">
        <v>45960</v>
      </c>
      <c r="G5061" s="4">
        <v>20251029</v>
      </c>
      <c r="H5061" s="38" t="s">
        <v>30</v>
      </c>
      <c r="I5061" s="34" t="s">
        <v>9</v>
      </c>
      <c r="J5061" s="38" t="s">
        <v>215</v>
      </c>
    </row>
    <row r="5062" spans="1:10">
      <c r="A5062" s="32">
        <v>297</v>
      </c>
      <c r="B5062" s="33">
        <v>4565</v>
      </c>
      <c r="C5062" s="3">
        <v>50000</v>
      </c>
      <c r="D5062" s="3">
        <v>50000</v>
      </c>
      <c r="E5062" s="7">
        <v>0</v>
      </c>
      <c r="F5062" s="5">
        <v>45960</v>
      </c>
      <c r="G5062" s="4">
        <v>20251029</v>
      </c>
      <c r="H5062" s="38" t="s">
        <v>30</v>
      </c>
      <c r="I5062" s="34" t="s">
        <v>9</v>
      </c>
      <c r="J5062" s="38" t="s">
        <v>586</v>
      </c>
    </row>
    <row r="5063" spans="1:10">
      <c r="A5063" s="32">
        <v>312</v>
      </c>
      <c r="B5063" s="33">
        <v>3122</v>
      </c>
      <c r="C5063" s="3">
        <v>100000</v>
      </c>
      <c r="D5063" s="3">
        <v>100000</v>
      </c>
      <c r="E5063" s="7">
        <v>0</v>
      </c>
      <c r="F5063" s="5">
        <v>45960</v>
      </c>
      <c r="G5063" s="4">
        <v>20251029</v>
      </c>
      <c r="H5063" s="38" t="s">
        <v>30</v>
      </c>
      <c r="I5063" s="34" t="s">
        <v>9</v>
      </c>
      <c r="J5063" s="38" t="s">
        <v>67</v>
      </c>
    </row>
    <row r="5064" spans="1:10">
      <c r="A5064" s="32">
        <v>178</v>
      </c>
      <c r="B5064" s="33">
        <v>6218</v>
      </c>
      <c r="C5064" s="3">
        <v>1000000</v>
      </c>
      <c r="D5064" s="3">
        <v>1000000</v>
      </c>
      <c r="E5064" s="7">
        <v>0</v>
      </c>
      <c r="F5064" s="5">
        <v>45960</v>
      </c>
      <c r="G5064" s="4">
        <v>20251029</v>
      </c>
      <c r="H5064" s="38" t="s">
        <v>24</v>
      </c>
      <c r="I5064" s="34" t="s">
        <v>9</v>
      </c>
      <c r="J5064" s="38" t="s">
        <v>189</v>
      </c>
    </row>
    <row r="5065" spans="1:10">
      <c r="A5065" s="32">
        <v>38</v>
      </c>
      <c r="B5065" s="33">
        <v>6554</v>
      </c>
      <c r="C5065" s="3">
        <v>100000</v>
      </c>
      <c r="D5065" s="3">
        <v>100000</v>
      </c>
      <c r="E5065" s="7">
        <v>0</v>
      </c>
      <c r="F5065" s="5">
        <v>45961</v>
      </c>
      <c r="G5065" s="4">
        <v>20251030</v>
      </c>
      <c r="H5065" s="38" t="s">
        <v>30</v>
      </c>
      <c r="I5065" s="34" t="s">
        <v>9</v>
      </c>
      <c r="J5065" s="38" t="s">
        <v>84</v>
      </c>
    </row>
    <row r="5066" spans="1:10">
      <c r="A5066" s="32">
        <v>297</v>
      </c>
      <c r="B5066" s="33">
        <v>5398</v>
      </c>
      <c r="C5066" s="3">
        <v>120000</v>
      </c>
      <c r="D5066" s="3">
        <v>120000</v>
      </c>
      <c r="E5066" s="7">
        <v>0</v>
      </c>
      <c r="F5066" s="5">
        <v>45961</v>
      </c>
      <c r="G5066" s="4">
        <v>20251030</v>
      </c>
      <c r="H5066" s="38" t="s">
        <v>30</v>
      </c>
      <c r="I5066" s="34" t="s">
        <v>9</v>
      </c>
      <c r="J5066" s="38" t="s">
        <v>312</v>
      </c>
    </row>
    <row r="5067" spans="1:10">
      <c r="A5067" s="32">
        <v>345</v>
      </c>
      <c r="B5067" s="33">
        <v>6254</v>
      </c>
      <c r="C5067" s="3">
        <v>200000</v>
      </c>
      <c r="D5067" s="3">
        <v>200000</v>
      </c>
      <c r="E5067" s="7">
        <v>0</v>
      </c>
      <c r="F5067" s="5">
        <v>45961</v>
      </c>
      <c r="G5067" s="4">
        <v>20251030</v>
      </c>
      <c r="H5067" s="38" t="s">
        <v>30</v>
      </c>
      <c r="I5067" s="34" t="s">
        <v>9</v>
      </c>
      <c r="J5067" s="38" t="s">
        <v>64</v>
      </c>
    </row>
    <row r="5068" spans="1:10">
      <c r="A5068" s="32">
        <v>178</v>
      </c>
      <c r="B5068" s="33">
        <v>6218</v>
      </c>
      <c r="C5068" s="3">
        <v>2590000</v>
      </c>
      <c r="D5068" s="3">
        <v>2590000</v>
      </c>
      <c r="E5068" s="7">
        <v>0</v>
      </c>
      <c r="F5068" s="5">
        <v>45961</v>
      </c>
      <c r="G5068" s="4">
        <v>20251030</v>
      </c>
      <c r="H5068" s="38" t="s">
        <v>24</v>
      </c>
      <c r="I5068" s="34" t="s">
        <v>9</v>
      </c>
      <c r="J5068" s="38" t="s">
        <v>189</v>
      </c>
    </row>
    <row r="5069" spans="1:10">
      <c r="A5069" s="32">
        <v>609</v>
      </c>
      <c r="B5069" s="33">
        <v>7875</v>
      </c>
      <c r="C5069" s="3">
        <v>1680000</v>
      </c>
      <c r="D5069" s="3">
        <v>1680000</v>
      </c>
      <c r="E5069" s="7">
        <v>0</v>
      </c>
      <c r="F5069" s="5">
        <v>45961</v>
      </c>
      <c r="G5069" s="4">
        <v>20251030</v>
      </c>
      <c r="H5069" s="38" t="s">
        <v>24</v>
      </c>
      <c r="I5069" s="34" t="s">
        <v>9</v>
      </c>
      <c r="J5069" s="38" t="s">
        <v>416</v>
      </c>
    </row>
    <row r="5070" spans="1:10">
      <c r="A5070" s="32">
        <v>38</v>
      </c>
      <c r="B5070" s="33">
        <v>6553</v>
      </c>
      <c r="C5070" s="3">
        <v>60000</v>
      </c>
      <c r="D5070" s="3">
        <v>60000</v>
      </c>
      <c r="E5070" s="31">
        <v>0</v>
      </c>
      <c r="F5070" s="5">
        <v>45965</v>
      </c>
      <c r="G5070" s="4">
        <v>20251103</v>
      </c>
      <c r="H5070" s="38" t="s">
        <v>30</v>
      </c>
      <c r="I5070" s="34" t="s">
        <v>9</v>
      </c>
      <c r="J5070" s="38" t="s">
        <v>216</v>
      </c>
    </row>
    <row r="5071" spans="1:10">
      <c r="A5071" s="32">
        <v>225</v>
      </c>
      <c r="B5071" s="33">
        <v>8865</v>
      </c>
      <c r="C5071" s="3">
        <v>70000</v>
      </c>
      <c r="D5071" s="3">
        <v>70000</v>
      </c>
      <c r="E5071" s="31">
        <v>0</v>
      </c>
      <c r="F5071" s="5">
        <v>45965</v>
      </c>
      <c r="G5071" s="4">
        <v>20251103</v>
      </c>
      <c r="H5071" s="38" t="s">
        <v>30</v>
      </c>
      <c r="I5071" s="34" t="s">
        <v>9</v>
      </c>
      <c r="J5071" s="38" t="s">
        <v>288</v>
      </c>
    </row>
    <row r="5072" spans="1:10">
      <c r="A5072" s="32">
        <v>229</v>
      </c>
      <c r="B5072" s="33">
        <v>8955</v>
      </c>
      <c r="C5072" s="3">
        <v>700000</v>
      </c>
      <c r="D5072" s="3">
        <v>700000</v>
      </c>
      <c r="E5072" s="31">
        <v>0</v>
      </c>
      <c r="F5072" s="5">
        <v>45965</v>
      </c>
      <c r="G5072" s="4">
        <v>20251103</v>
      </c>
      <c r="H5072" s="38" t="s">
        <v>30</v>
      </c>
      <c r="I5072" s="34" t="s">
        <v>9</v>
      </c>
      <c r="J5072" s="38" t="s">
        <v>289</v>
      </c>
    </row>
    <row r="5073" spans="1:10">
      <c r="A5073" s="32">
        <v>229</v>
      </c>
      <c r="B5073" s="33">
        <v>8956</v>
      </c>
      <c r="C5073" s="3">
        <v>100000</v>
      </c>
      <c r="D5073" s="3">
        <v>100000</v>
      </c>
      <c r="E5073" s="31">
        <v>0</v>
      </c>
      <c r="F5073" s="5">
        <v>45965</v>
      </c>
      <c r="G5073" s="4">
        <v>20251103</v>
      </c>
      <c r="H5073" s="38" t="s">
        <v>30</v>
      </c>
      <c r="I5073" s="34" t="s">
        <v>9</v>
      </c>
      <c r="J5073" s="38" t="s">
        <v>260</v>
      </c>
    </row>
    <row r="5074" spans="1:10">
      <c r="A5074" s="32">
        <v>264</v>
      </c>
      <c r="B5074" s="33">
        <v>9903</v>
      </c>
      <c r="C5074" s="3">
        <v>200000</v>
      </c>
      <c r="D5074" s="3">
        <v>200000</v>
      </c>
      <c r="E5074" s="31">
        <v>0</v>
      </c>
      <c r="F5074" s="5">
        <v>45965</v>
      </c>
      <c r="G5074" s="4">
        <v>20251103</v>
      </c>
      <c r="H5074" s="38" t="s">
        <v>30</v>
      </c>
      <c r="I5074" s="34" t="s">
        <v>9</v>
      </c>
      <c r="J5074" s="38" t="s">
        <v>487</v>
      </c>
    </row>
    <row r="5075" spans="1:10">
      <c r="A5075" s="32">
        <v>343</v>
      </c>
      <c r="B5075" s="33">
        <v>7954</v>
      </c>
      <c r="C5075" s="3">
        <v>300000</v>
      </c>
      <c r="D5075" s="3">
        <v>300000</v>
      </c>
      <c r="E5075" s="31">
        <v>0</v>
      </c>
      <c r="F5075" s="5">
        <v>45965</v>
      </c>
      <c r="G5075" s="4">
        <v>20251103</v>
      </c>
      <c r="H5075" s="38" t="s">
        <v>30</v>
      </c>
      <c r="I5075" s="34" t="s">
        <v>9</v>
      </c>
      <c r="J5075" s="38" t="s">
        <v>122</v>
      </c>
    </row>
    <row r="5076" spans="1:10">
      <c r="A5076" s="32">
        <v>343</v>
      </c>
      <c r="B5076" s="33">
        <v>7955</v>
      </c>
      <c r="C5076" s="3">
        <v>400000</v>
      </c>
      <c r="D5076" s="3">
        <v>400000</v>
      </c>
      <c r="E5076" s="31">
        <v>0</v>
      </c>
      <c r="F5076" s="5">
        <v>45965</v>
      </c>
      <c r="G5076" s="4">
        <v>20251103</v>
      </c>
      <c r="H5076" s="38" t="s">
        <v>30</v>
      </c>
      <c r="I5076" s="34" t="s">
        <v>9</v>
      </c>
      <c r="J5076" s="38" t="s">
        <v>95</v>
      </c>
    </row>
    <row r="5077" spans="1:10">
      <c r="A5077" s="32">
        <v>454</v>
      </c>
      <c r="B5077" s="33">
        <v>1884</v>
      </c>
      <c r="C5077" s="3">
        <v>600000</v>
      </c>
      <c r="D5077" s="3">
        <v>600000</v>
      </c>
      <c r="E5077" s="31">
        <v>0</v>
      </c>
      <c r="F5077" s="5">
        <v>45965</v>
      </c>
      <c r="G5077" s="4">
        <v>20251103</v>
      </c>
      <c r="H5077" s="38" t="s">
        <v>30</v>
      </c>
      <c r="I5077" s="34" t="s">
        <v>9</v>
      </c>
      <c r="J5077" s="38" t="s">
        <v>587</v>
      </c>
    </row>
    <row r="5078" spans="1:10">
      <c r="A5078" s="32">
        <v>509</v>
      </c>
      <c r="B5078" s="33">
        <v>8834</v>
      </c>
      <c r="C5078" s="3">
        <v>40000</v>
      </c>
      <c r="D5078" s="3">
        <v>40000</v>
      </c>
      <c r="E5078" s="31">
        <v>0</v>
      </c>
      <c r="F5078" s="5">
        <v>45965</v>
      </c>
      <c r="G5078" s="4">
        <v>20251103</v>
      </c>
      <c r="H5078" s="38" t="s">
        <v>30</v>
      </c>
      <c r="I5078" s="34" t="s">
        <v>9</v>
      </c>
      <c r="J5078" s="38" t="s">
        <v>588</v>
      </c>
    </row>
    <row r="5079" spans="1:10">
      <c r="A5079" s="32">
        <v>849</v>
      </c>
      <c r="B5079" s="33">
        <v>9720</v>
      </c>
      <c r="C5079" s="3">
        <v>500000</v>
      </c>
      <c r="D5079" s="3">
        <v>500000</v>
      </c>
      <c r="E5079" s="31">
        <v>0</v>
      </c>
      <c r="F5079" s="5">
        <v>45965</v>
      </c>
      <c r="G5079" s="4">
        <v>20251103</v>
      </c>
      <c r="H5079" s="38" t="s">
        <v>30</v>
      </c>
      <c r="I5079" s="34" t="s">
        <v>9</v>
      </c>
      <c r="J5079" s="38" t="s">
        <v>146</v>
      </c>
    </row>
    <row r="5080" spans="1:10">
      <c r="A5080" s="32">
        <v>849</v>
      </c>
      <c r="B5080" s="33">
        <v>9722</v>
      </c>
      <c r="C5080" s="3">
        <v>30000</v>
      </c>
      <c r="D5080" s="3">
        <v>30000</v>
      </c>
      <c r="E5080" s="31">
        <v>0</v>
      </c>
      <c r="F5080" s="5">
        <v>45965</v>
      </c>
      <c r="G5080" s="4">
        <v>20251103</v>
      </c>
      <c r="H5080" s="38" t="s">
        <v>30</v>
      </c>
      <c r="I5080" s="34" t="s">
        <v>9</v>
      </c>
      <c r="J5080" s="38" t="s">
        <v>200</v>
      </c>
    </row>
    <row r="5081" spans="1:10">
      <c r="A5081" s="32">
        <v>849</v>
      </c>
      <c r="B5081" s="33">
        <v>9723</v>
      </c>
      <c r="C5081" s="3">
        <v>100000</v>
      </c>
      <c r="D5081" s="3">
        <v>100000</v>
      </c>
      <c r="E5081" s="31">
        <v>0</v>
      </c>
      <c r="F5081" s="5">
        <v>45965</v>
      </c>
      <c r="G5081" s="4">
        <v>20251103</v>
      </c>
      <c r="H5081" s="38" t="s">
        <v>30</v>
      </c>
      <c r="I5081" s="34" t="s">
        <v>9</v>
      </c>
      <c r="J5081" s="38" t="s">
        <v>34</v>
      </c>
    </row>
    <row r="5082" spans="1:10">
      <c r="A5082" s="32">
        <v>927</v>
      </c>
      <c r="B5082" s="33">
        <v>5751</v>
      </c>
      <c r="C5082" s="3">
        <v>330000</v>
      </c>
      <c r="D5082" s="3">
        <v>330000</v>
      </c>
      <c r="E5082" s="31">
        <v>0</v>
      </c>
      <c r="F5082" s="5">
        <v>45965</v>
      </c>
      <c r="G5082" s="4">
        <v>20251103</v>
      </c>
      <c r="H5082" s="38" t="s">
        <v>30</v>
      </c>
      <c r="I5082" s="34" t="s">
        <v>9</v>
      </c>
      <c r="J5082" s="38" t="s">
        <v>210</v>
      </c>
    </row>
    <row r="5083" spans="1:10">
      <c r="A5083" s="32">
        <v>178</v>
      </c>
      <c r="B5083" s="33">
        <v>6218</v>
      </c>
      <c r="C5083" s="3">
        <v>1010000</v>
      </c>
      <c r="D5083" s="3">
        <v>1010000</v>
      </c>
      <c r="E5083" s="31">
        <v>0</v>
      </c>
      <c r="F5083" s="5">
        <v>45965</v>
      </c>
      <c r="G5083" s="4">
        <v>20251103</v>
      </c>
      <c r="H5083" s="38" t="s">
        <v>24</v>
      </c>
      <c r="I5083" s="34" t="s">
        <v>9</v>
      </c>
      <c r="J5083" s="38" t="s">
        <v>189</v>
      </c>
    </row>
    <row r="5084" spans="1:10">
      <c r="A5084" s="32">
        <v>789</v>
      </c>
      <c r="B5084" s="33">
        <v>5660</v>
      </c>
      <c r="C5084" s="3">
        <v>20000</v>
      </c>
      <c r="D5084" s="3">
        <v>20000</v>
      </c>
      <c r="E5084" s="7">
        <v>0</v>
      </c>
      <c r="F5084" s="5">
        <v>45932</v>
      </c>
      <c r="G5084" s="4">
        <v>20251001</v>
      </c>
      <c r="H5084" s="38" t="s">
        <v>30</v>
      </c>
      <c r="I5084" s="34" t="s">
        <v>10</v>
      </c>
      <c r="J5084" s="38" t="s">
        <v>550</v>
      </c>
    </row>
    <row r="5085" spans="1:10">
      <c r="A5085" s="32">
        <v>60</v>
      </c>
      <c r="B5085" s="33">
        <v>8720</v>
      </c>
      <c r="C5085" s="3">
        <v>700000</v>
      </c>
      <c r="D5085" s="3">
        <v>700000</v>
      </c>
      <c r="E5085" s="7">
        <v>0</v>
      </c>
      <c r="F5085" s="5">
        <v>45947</v>
      </c>
      <c r="G5085" s="4">
        <v>20251016</v>
      </c>
      <c r="H5085" s="38" t="s">
        <v>30</v>
      </c>
      <c r="I5085" s="34" t="s">
        <v>9</v>
      </c>
      <c r="J5085" s="38" t="s">
        <v>324</v>
      </c>
    </row>
    <row r="5086" spans="1:10">
      <c r="A5086" s="32">
        <v>371</v>
      </c>
      <c r="B5086" s="33">
        <v>3741</v>
      </c>
      <c r="C5086" s="3">
        <v>650000</v>
      </c>
      <c r="D5086" s="3">
        <v>650000</v>
      </c>
      <c r="E5086" s="7">
        <v>0</v>
      </c>
      <c r="F5086" s="5">
        <v>45947</v>
      </c>
      <c r="G5086" s="4">
        <v>20251016</v>
      </c>
      <c r="H5086" s="38" t="s">
        <v>30</v>
      </c>
      <c r="I5086" s="34" t="s">
        <v>9</v>
      </c>
      <c r="J5086" s="38" t="s">
        <v>345</v>
      </c>
    </row>
    <row r="5087" spans="1:10">
      <c r="A5087" s="32">
        <v>65</v>
      </c>
      <c r="B5087" s="33">
        <v>2686</v>
      </c>
      <c r="C5087" s="3">
        <v>50000</v>
      </c>
      <c r="D5087" s="3">
        <v>50000</v>
      </c>
      <c r="E5087" s="7">
        <v>0</v>
      </c>
      <c r="F5087" s="5">
        <v>45952</v>
      </c>
      <c r="G5087" s="4">
        <v>20251021</v>
      </c>
      <c r="H5087" s="38" t="s">
        <v>30</v>
      </c>
      <c r="I5087" s="34"/>
      <c r="J5087" s="38" t="s">
        <v>589</v>
      </c>
    </row>
    <row r="5088" spans="1:10">
      <c r="A5088" s="32">
        <v>371</v>
      </c>
      <c r="B5088" s="33">
        <v>3741</v>
      </c>
      <c r="C5088" s="3">
        <v>50000</v>
      </c>
      <c r="D5088" s="3">
        <v>50000</v>
      </c>
      <c r="E5088" s="7">
        <v>0</v>
      </c>
      <c r="F5088" s="5">
        <v>45952</v>
      </c>
      <c r="G5088" s="4">
        <v>20251021</v>
      </c>
      <c r="H5088" s="38" t="s">
        <v>30</v>
      </c>
      <c r="I5088" s="34" t="s">
        <v>9</v>
      </c>
      <c r="J5088" s="38" t="s">
        <v>345</v>
      </c>
    </row>
    <row r="5089" spans="1:10">
      <c r="A5089" s="32">
        <v>709</v>
      </c>
      <c r="B5089" s="33">
        <v>3426</v>
      </c>
      <c r="C5089" s="3">
        <v>100000</v>
      </c>
      <c r="D5089" s="3">
        <v>100000</v>
      </c>
      <c r="E5089" s="7">
        <v>0</v>
      </c>
      <c r="F5089" s="5">
        <v>45952</v>
      </c>
      <c r="G5089" s="4">
        <v>20251021</v>
      </c>
      <c r="H5089" s="38" t="s">
        <v>30</v>
      </c>
      <c r="I5089" s="34" t="s">
        <v>9</v>
      </c>
      <c r="J5089" s="38" t="s">
        <v>417</v>
      </c>
    </row>
    <row r="5090" spans="1:10">
      <c r="A5090" s="32">
        <v>789</v>
      </c>
      <c r="B5090" s="33">
        <v>5660</v>
      </c>
      <c r="C5090" s="3">
        <v>290000</v>
      </c>
      <c r="D5090" s="3">
        <v>290000</v>
      </c>
      <c r="E5090" s="7">
        <v>0</v>
      </c>
      <c r="F5090" s="5">
        <v>45957</v>
      </c>
      <c r="G5090" s="4">
        <v>20251026</v>
      </c>
      <c r="H5090" s="38" t="s">
        <v>30</v>
      </c>
      <c r="I5090" s="34" t="s">
        <v>9</v>
      </c>
      <c r="J5090" s="38" t="s">
        <v>550</v>
      </c>
    </row>
    <row r="5091" spans="1:10">
      <c r="A5091" s="32">
        <v>789</v>
      </c>
      <c r="B5091" s="33">
        <v>5660</v>
      </c>
      <c r="C5091" s="3">
        <v>110000</v>
      </c>
      <c r="D5091" s="3">
        <v>110000</v>
      </c>
      <c r="E5091" s="7">
        <v>0</v>
      </c>
      <c r="F5091" s="5">
        <v>45958</v>
      </c>
      <c r="G5091" s="4">
        <v>20251027</v>
      </c>
      <c r="H5091" s="38" t="s">
        <v>30</v>
      </c>
      <c r="I5091" s="34" t="s">
        <v>9</v>
      </c>
      <c r="J5091" s="38" t="s">
        <v>550</v>
      </c>
    </row>
    <row r="5092" spans="1:10">
      <c r="A5092" s="32">
        <v>229</v>
      </c>
      <c r="B5092" s="33">
        <v>8955</v>
      </c>
      <c r="C5092" s="3">
        <v>10000</v>
      </c>
      <c r="D5092" s="3">
        <v>10000</v>
      </c>
      <c r="E5092" s="7">
        <v>0</v>
      </c>
      <c r="F5092" s="5">
        <v>45960</v>
      </c>
      <c r="G5092" s="4">
        <v>20251029</v>
      </c>
      <c r="H5092" s="38" t="s">
        <v>30</v>
      </c>
      <c r="I5092" s="34" t="s">
        <v>10</v>
      </c>
      <c r="J5092" s="38" t="s">
        <v>289</v>
      </c>
    </row>
    <row r="5093" spans="1:10">
      <c r="A5093" s="32">
        <v>253</v>
      </c>
      <c r="B5093" s="33">
        <v>5892</v>
      </c>
      <c r="C5093" s="3">
        <v>300000</v>
      </c>
      <c r="D5093" s="3">
        <v>300000</v>
      </c>
      <c r="E5093" s="7">
        <v>0</v>
      </c>
      <c r="F5093" s="5">
        <v>45961</v>
      </c>
      <c r="G5093" s="4">
        <v>20251030</v>
      </c>
      <c r="H5093" s="38" t="s">
        <v>30</v>
      </c>
      <c r="I5093" s="34" t="s">
        <v>9</v>
      </c>
      <c r="J5093" s="38" t="s">
        <v>469</v>
      </c>
    </row>
    <row r="5094" spans="1:10">
      <c r="A5094" s="32">
        <v>789</v>
      </c>
      <c r="B5094" s="33">
        <v>5660</v>
      </c>
      <c r="C5094" s="3">
        <v>610000</v>
      </c>
      <c r="D5094" s="3">
        <v>610000</v>
      </c>
      <c r="E5094" s="7">
        <v>0</v>
      </c>
      <c r="F5094" s="5">
        <v>45961</v>
      </c>
      <c r="G5094" s="4">
        <v>20251030</v>
      </c>
      <c r="H5094" s="38" t="s">
        <v>30</v>
      </c>
      <c r="I5094" s="34" t="s">
        <v>9</v>
      </c>
      <c r="J5094" s="38" t="s">
        <v>550</v>
      </c>
    </row>
    <row r="5095" spans="1:10">
      <c r="A5095" s="32">
        <v>65</v>
      </c>
      <c r="B5095" s="33">
        <v>2686</v>
      </c>
      <c r="C5095" s="3">
        <v>200000</v>
      </c>
      <c r="D5095" s="3">
        <v>200000</v>
      </c>
      <c r="E5095" s="31">
        <v>0</v>
      </c>
      <c r="F5095" s="5">
        <v>45965</v>
      </c>
      <c r="G5095" s="4">
        <v>20251103</v>
      </c>
      <c r="H5095" s="38" t="s">
        <v>30</v>
      </c>
      <c r="I5095" s="34" t="s">
        <v>9</v>
      </c>
      <c r="J5095" s="38" t="s">
        <v>589</v>
      </c>
    </row>
    <row r="5096" spans="1:10">
      <c r="A5096" s="32">
        <v>153</v>
      </c>
      <c r="B5096" s="33">
        <v>9879</v>
      </c>
      <c r="C5096" s="3">
        <v>140000</v>
      </c>
      <c r="D5096" s="3">
        <v>140000</v>
      </c>
      <c r="E5096" s="31">
        <v>0</v>
      </c>
      <c r="F5096" s="5">
        <v>45965</v>
      </c>
      <c r="G5096" s="4">
        <v>20251103</v>
      </c>
      <c r="H5096" s="38" t="s">
        <v>30</v>
      </c>
      <c r="I5096" s="34" t="s">
        <v>9</v>
      </c>
      <c r="J5096" s="38" t="s">
        <v>262</v>
      </c>
    </row>
    <row r="5097" spans="1:10">
      <c r="A5097" s="32">
        <v>153</v>
      </c>
      <c r="B5097" s="33">
        <v>9882</v>
      </c>
      <c r="C5097" s="3">
        <v>60000</v>
      </c>
      <c r="D5097" s="3">
        <v>60000</v>
      </c>
      <c r="E5097" s="31">
        <v>0</v>
      </c>
      <c r="F5097" s="5">
        <v>45965</v>
      </c>
      <c r="G5097" s="4">
        <v>20251103</v>
      </c>
      <c r="H5097" s="38" t="s">
        <v>30</v>
      </c>
      <c r="I5097" s="34" t="s">
        <v>9</v>
      </c>
      <c r="J5097" s="38" t="s">
        <v>156</v>
      </c>
    </row>
    <row r="5098" spans="1:10">
      <c r="A5098" s="32">
        <v>253</v>
      </c>
      <c r="B5098" s="33">
        <v>5892</v>
      </c>
      <c r="C5098" s="3">
        <v>200000</v>
      </c>
      <c r="D5098" s="3">
        <v>200000</v>
      </c>
      <c r="E5098" s="31">
        <v>0</v>
      </c>
      <c r="F5098" s="5">
        <v>45965</v>
      </c>
      <c r="G5098" s="4">
        <v>20251103</v>
      </c>
      <c r="H5098" s="38" t="s">
        <v>30</v>
      </c>
      <c r="I5098" s="34" t="s">
        <v>9</v>
      </c>
      <c r="J5098" s="38" t="s">
        <v>469</v>
      </c>
    </row>
    <row r="5099" spans="1:10">
      <c r="A5099" s="32">
        <v>318</v>
      </c>
      <c r="B5099" s="33">
        <v>6631</v>
      </c>
      <c r="C5099" s="3">
        <v>50000</v>
      </c>
      <c r="D5099" s="3">
        <v>50000</v>
      </c>
      <c r="E5099" s="31">
        <v>0</v>
      </c>
      <c r="F5099" s="5">
        <v>45965</v>
      </c>
      <c r="G5099" s="4">
        <v>20251103</v>
      </c>
      <c r="H5099" s="38" t="s">
        <v>30</v>
      </c>
      <c r="I5099" s="34" t="s">
        <v>9</v>
      </c>
      <c r="J5099" s="38" t="s">
        <v>590</v>
      </c>
    </row>
    <row r="5100" spans="1:10">
      <c r="A5100" s="32">
        <v>763</v>
      </c>
      <c r="B5100" s="33">
        <v>4997</v>
      </c>
      <c r="C5100" s="3">
        <v>230000</v>
      </c>
      <c r="D5100" s="3">
        <v>230000</v>
      </c>
      <c r="E5100" s="31">
        <v>0</v>
      </c>
      <c r="F5100" s="5">
        <v>45965</v>
      </c>
      <c r="G5100" s="4">
        <v>20251103</v>
      </c>
      <c r="H5100" s="38" t="s">
        <v>30</v>
      </c>
      <c r="I5100" s="34" t="s">
        <v>9</v>
      </c>
      <c r="J5100" s="38" t="s">
        <v>393</v>
      </c>
    </row>
    <row r="5101" spans="1:10">
      <c r="A5101" s="32">
        <v>789</v>
      </c>
      <c r="B5101" s="33">
        <v>5660</v>
      </c>
      <c r="C5101" s="3">
        <v>1340000</v>
      </c>
      <c r="D5101" s="3">
        <v>1340000</v>
      </c>
      <c r="E5101" s="31">
        <v>0</v>
      </c>
      <c r="F5101" s="5">
        <v>45965</v>
      </c>
      <c r="G5101" s="4">
        <v>20251103</v>
      </c>
      <c r="H5101" s="38" t="s">
        <v>30</v>
      </c>
      <c r="I5101" s="34" t="s">
        <v>9</v>
      </c>
      <c r="J5101" s="38" t="s">
        <v>550</v>
      </c>
    </row>
    <row r="5102" spans="1:10">
      <c r="A5102" s="32">
        <v>799</v>
      </c>
      <c r="B5102" s="33">
        <v>8186</v>
      </c>
      <c r="C5102" s="3">
        <v>120000</v>
      </c>
      <c r="D5102" s="3">
        <v>120000</v>
      </c>
      <c r="E5102" s="31">
        <v>0</v>
      </c>
      <c r="F5102" s="5">
        <v>45965</v>
      </c>
      <c r="G5102" s="4">
        <v>20251103</v>
      </c>
      <c r="H5102" s="38" t="s">
        <v>30</v>
      </c>
      <c r="I5102" s="34" t="s">
        <v>9</v>
      </c>
      <c r="J5102" s="38" t="s">
        <v>463</v>
      </c>
    </row>
    <row r="5103" spans="1:10">
      <c r="A5103" s="32">
        <v>966</v>
      </c>
      <c r="B5103" s="33">
        <v>9941</v>
      </c>
      <c r="C5103" s="3">
        <v>400000</v>
      </c>
      <c r="D5103" s="3">
        <v>400000</v>
      </c>
      <c r="E5103" s="31">
        <v>0</v>
      </c>
      <c r="F5103" s="5">
        <v>45965</v>
      </c>
      <c r="G5103" s="4">
        <v>20251103</v>
      </c>
      <c r="H5103" s="38" t="s">
        <v>30</v>
      </c>
      <c r="I5103" s="34" t="s">
        <v>9</v>
      </c>
      <c r="J5103" s="38" t="s">
        <v>240</v>
      </c>
    </row>
    <row r="5104" spans="1:10">
      <c r="A5104" s="32">
        <v>153</v>
      </c>
      <c r="B5104" s="33">
        <v>9879</v>
      </c>
      <c r="C5104" s="3">
        <v>30000</v>
      </c>
      <c r="D5104" s="3">
        <v>30000</v>
      </c>
      <c r="E5104" s="31">
        <v>0</v>
      </c>
      <c r="F5104" s="5">
        <v>45966</v>
      </c>
      <c r="G5104" s="4">
        <v>20251104</v>
      </c>
      <c r="H5104" s="38" t="s">
        <v>30</v>
      </c>
      <c r="I5104" s="34" t="s">
        <v>9</v>
      </c>
      <c r="J5104" s="38" t="s">
        <v>262</v>
      </c>
    </row>
    <row r="5105" spans="1:10">
      <c r="A5105" s="32">
        <v>187</v>
      </c>
      <c r="B5105" s="33">
        <v>5485</v>
      </c>
      <c r="C5105" s="3">
        <v>3240000</v>
      </c>
      <c r="D5105" s="3">
        <v>3240000</v>
      </c>
      <c r="E5105" s="31">
        <v>0</v>
      </c>
      <c r="F5105" s="5">
        <v>45966</v>
      </c>
      <c r="G5105" s="4">
        <v>20251104</v>
      </c>
      <c r="H5105" s="38" t="s">
        <v>30</v>
      </c>
      <c r="I5105" s="34" t="s">
        <v>9</v>
      </c>
      <c r="J5105" s="38" t="s">
        <v>191</v>
      </c>
    </row>
    <row r="5106" spans="1:10">
      <c r="A5106" s="32">
        <v>484</v>
      </c>
      <c r="B5106" s="33">
        <v>7125</v>
      </c>
      <c r="C5106" s="3">
        <v>2338000</v>
      </c>
      <c r="D5106" s="3">
        <v>2338000</v>
      </c>
      <c r="E5106" s="7">
        <v>0</v>
      </c>
      <c r="F5106" s="5">
        <v>45933</v>
      </c>
      <c r="G5106" s="4">
        <v>20251002</v>
      </c>
      <c r="H5106" s="38" t="s">
        <v>24</v>
      </c>
      <c r="I5106" s="34"/>
      <c r="J5106" s="38" t="s">
        <v>437</v>
      </c>
    </row>
    <row r="5107" spans="1:10">
      <c r="A5107" s="32">
        <v>551</v>
      </c>
      <c r="B5107" s="33">
        <v>9644</v>
      </c>
      <c r="C5107" s="3">
        <v>760000</v>
      </c>
      <c r="D5107" s="3">
        <v>760000</v>
      </c>
      <c r="E5107" s="7">
        <v>0</v>
      </c>
      <c r="F5107" s="5">
        <v>45938</v>
      </c>
      <c r="G5107" s="4">
        <v>20251007</v>
      </c>
      <c r="H5107" s="38" t="s">
        <v>24</v>
      </c>
      <c r="I5107" s="34" t="s">
        <v>9</v>
      </c>
      <c r="J5107" s="38" t="s">
        <v>255</v>
      </c>
    </row>
    <row r="5108" spans="1:10">
      <c r="A5108" s="32">
        <v>244</v>
      </c>
      <c r="B5108" s="33">
        <v>5129</v>
      </c>
      <c r="C5108" s="3">
        <v>3963000</v>
      </c>
      <c r="D5108" s="3">
        <v>3963000</v>
      </c>
      <c r="E5108" s="7">
        <v>0</v>
      </c>
      <c r="F5108" s="5">
        <v>45940</v>
      </c>
      <c r="G5108" s="4">
        <v>20251009</v>
      </c>
      <c r="H5108" s="38" t="s">
        <v>24</v>
      </c>
      <c r="I5108" s="34" t="s">
        <v>9</v>
      </c>
      <c r="J5108" s="38" t="s">
        <v>591</v>
      </c>
    </row>
    <row r="5109" spans="1:10">
      <c r="A5109" s="32">
        <v>601</v>
      </c>
      <c r="B5109" s="33">
        <v>6407</v>
      </c>
      <c r="C5109" s="3">
        <v>2590000</v>
      </c>
      <c r="D5109" s="3">
        <v>2590000</v>
      </c>
      <c r="E5109" s="7">
        <v>0</v>
      </c>
      <c r="F5109" s="5">
        <v>45947</v>
      </c>
      <c r="G5109" s="4">
        <v>20251016</v>
      </c>
      <c r="H5109" s="38" t="s">
        <v>24</v>
      </c>
      <c r="I5109" s="34" t="s">
        <v>9</v>
      </c>
      <c r="J5109" s="38" t="s">
        <v>415</v>
      </c>
    </row>
    <row r="5110" spans="1:10">
      <c r="A5110" s="32">
        <v>262</v>
      </c>
      <c r="B5110" s="33">
        <v>5153</v>
      </c>
      <c r="C5110" s="3">
        <v>1730000</v>
      </c>
      <c r="D5110" s="3">
        <v>1730000</v>
      </c>
      <c r="E5110" s="7">
        <v>0</v>
      </c>
      <c r="F5110" s="5">
        <v>45952</v>
      </c>
      <c r="G5110" s="4">
        <v>20251021</v>
      </c>
      <c r="H5110" s="38" t="s">
        <v>24</v>
      </c>
      <c r="I5110" s="34" t="s">
        <v>9</v>
      </c>
      <c r="J5110" s="38" t="s">
        <v>52</v>
      </c>
    </row>
    <row r="5111" spans="1:10">
      <c r="A5111" s="32">
        <v>820</v>
      </c>
      <c r="B5111" s="33">
        <v>6174</v>
      </c>
      <c r="C5111" s="3">
        <v>3025100</v>
      </c>
      <c r="D5111" s="3">
        <v>3025100</v>
      </c>
      <c r="E5111" s="7">
        <v>0</v>
      </c>
      <c r="F5111" s="5">
        <v>45957</v>
      </c>
      <c r="G5111" s="4">
        <v>20251026</v>
      </c>
      <c r="H5111" s="38" t="s">
        <v>24</v>
      </c>
      <c r="I5111" s="34" t="s">
        <v>9</v>
      </c>
      <c r="J5111" s="38" t="s">
        <v>395</v>
      </c>
    </row>
    <row r="5112" spans="1:10">
      <c r="A5112" s="32">
        <v>432</v>
      </c>
      <c r="B5112" s="33">
        <v>5195</v>
      </c>
      <c r="C5112" s="3">
        <v>1635000</v>
      </c>
      <c r="D5112" s="3">
        <v>1635000</v>
      </c>
      <c r="E5112" s="7">
        <v>0</v>
      </c>
      <c r="F5112" s="5">
        <v>45957</v>
      </c>
      <c r="G5112" s="4">
        <v>20251026</v>
      </c>
      <c r="H5112" s="38" t="s">
        <v>24</v>
      </c>
      <c r="I5112" s="34" t="s">
        <v>9</v>
      </c>
      <c r="J5112" s="38" t="s">
        <v>126</v>
      </c>
    </row>
    <row r="5113" spans="1:10">
      <c r="A5113" s="32">
        <v>667</v>
      </c>
      <c r="B5113" s="33">
        <v>5167</v>
      </c>
      <c r="C5113" s="3">
        <v>630100</v>
      </c>
      <c r="D5113" s="3">
        <v>630100</v>
      </c>
      <c r="E5113" s="7">
        <v>0</v>
      </c>
      <c r="F5113" s="5">
        <v>45957</v>
      </c>
      <c r="G5113" s="4">
        <v>20251026</v>
      </c>
      <c r="H5113" s="38" t="s">
        <v>24</v>
      </c>
      <c r="I5113" s="34" t="s">
        <v>9</v>
      </c>
      <c r="J5113" s="38" t="s">
        <v>277</v>
      </c>
    </row>
    <row r="5114" spans="1:10">
      <c r="A5114" s="32">
        <v>432</v>
      </c>
      <c r="B5114" s="33">
        <v>5195</v>
      </c>
      <c r="C5114" s="3">
        <v>780000</v>
      </c>
      <c r="D5114" s="3">
        <v>780000</v>
      </c>
      <c r="E5114" s="7">
        <v>0</v>
      </c>
      <c r="F5114" s="5">
        <v>45958</v>
      </c>
      <c r="G5114" s="4">
        <v>20251027</v>
      </c>
      <c r="H5114" s="38" t="s">
        <v>24</v>
      </c>
      <c r="I5114" s="34" t="s">
        <v>9</v>
      </c>
      <c r="J5114" s="38" t="s">
        <v>126</v>
      </c>
    </row>
    <row r="5115" spans="1:10">
      <c r="A5115" s="32">
        <v>690</v>
      </c>
      <c r="B5115" s="33">
        <v>6180</v>
      </c>
      <c r="C5115" s="3">
        <v>1760000</v>
      </c>
      <c r="D5115" s="3">
        <v>1760000</v>
      </c>
      <c r="E5115" s="7">
        <v>0</v>
      </c>
      <c r="F5115" s="5">
        <v>45959</v>
      </c>
      <c r="G5115" s="4">
        <v>20251028</v>
      </c>
      <c r="H5115" s="38" t="s">
        <v>24</v>
      </c>
      <c r="I5115" s="34" t="s">
        <v>9</v>
      </c>
      <c r="J5115" s="38" t="s">
        <v>77</v>
      </c>
    </row>
    <row r="5116" spans="1:10">
      <c r="A5116" s="32">
        <v>907</v>
      </c>
      <c r="B5116" s="33">
        <v>4830</v>
      </c>
      <c r="C5116" s="3">
        <v>3186000</v>
      </c>
      <c r="D5116" s="3">
        <v>3186000</v>
      </c>
      <c r="E5116" s="7">
        <v>0</v>
      </c>
      <c r="F5116" s="5">
        <v>45960</v>
      </c>
      <c r="G5116" s="4">
        <v>20251029</v>
      </c>
      <c r="H5116" s="38" t="s">
        <v>24</v>
      </c>
      <c r="I5116" s="34" t="s">
        <v>9</v>
      </c>
      <c r="J5116" s="38" t="s">
        <v>110</v>
      </c>
    </row>
    <row r="5117" spans="1:10">
      <c r="A5117" s="32">
        <v>54</v>
      </c>
      <c r="B5117" s="33">
        <v>6204</v>
      </c>
      <c r="C5117" s="3">
        <v>3910000</v>
      </c>
      <c r="D5117" s="3">
        <v>3910000</v>
      </c>
      <c r="E5117" s="7">
        <v>0</v>
      </c>
      <c r="F5117" s="5">
        <v>45961</v>
      </c>
      <c r="G5117" s="4">
        <v>20251030</v>
      </c>
      <c r="H5117" s="38" t="s">
        <v>24</v>
      </c>
      <c r="I5117" s="34" t="s">
        <v>9</v>
      </c>
      <c r="J5117" s="38" t="s">
        <v>152</v>
      </c>
    </row>
    <row r="5118" spans="1:10">
      <c r="A5118" s="32">
        <v>779</v>
      </c>
      <c r="B5118" s="33">
        <v>5013</v>
      </c>
      <c r="C5118" s="3">
        <v>2880000</v>
      </c>
      <c r="D5118" s="3">
        <v>2880000</v>
      </c>
      <c r="E5118" s="7">
        <v>0</v>
      </c>
      <c r="F5118" s="5">
        <v>45961</v>
      </c>
      <c r="G5118" s="4">
        <v>20251030</v>
      </c>
      <c r="H5118" s="38" t="s">
        <v>24</v>
      </c>
      <c r="I5118" s="34" t="s">
        <v>9</v>
      </c>
      <c r="J5118" s="38" t="s">
        <v>554</v>
      </c>
    </row>
    <row r="5119" spans="1:10">
      <c r="A5119" s="32">
        <v>167</v>
      </c>
      <c r="B5119" s="33">
        <v>5030</v>
      </c>
      <c r="C5119" s="3">
        <v>2410000</v>
      </c>
      <c r="D5119" s="3">
        <v>2410000</v>
      </c>
      <c r="E5119" s="7">
        <v>0</v>
      </c>
      <c r="F5119" s="5">
        <v>45961</v>
      </c>
      <c r="G5119" s="4">
        <v>20251030</v>
      </c>
      <c r="H5119" s="38" t="s">
        <v>24</v>
      </c>
      <c r="I5119" s="34" t="s">
        <v>9</v>
      </c>
      <c r="J5119" s="38" t="s">
        <v>330</v>
      </c>
    </row>
    <row r="5120" spans="1:10">
      <c r="A5120" s="32">
        <v>19</v>
      </c>
      <c r="B5120" s="33">
        <v>5078</v>
      </c>
      <c r="C5120" s="3">
        <v>594000</v>
      </c>
      <c r="D5120" s="3">
        <v>594000</v>
      </c>
      <c r="E5120" s="7">
        <v>0</v>
      </c>
      <c r="F5120" s="5">
        <v>45961</v>
      </c>
      <c r="G5120" s="4">
        <v>20251030</v>
      </c>
      <c r="H5120" s="38" t="s">
        <v>24</v>
      </c>
      <c r="I5120" s="34" t="s">
        <v>9</v>
      </c>
      <c r="J5120" s="38" t="s">
        <v>367</v>
      </c>
    </row>
    <row r="5121" spans="1:10">
      <c r="A5121" s="32">
        <v>332</v>
      </c>
      <c r="B5121" s="33">
        <v>7569</v>
      </c>
      <c r="C5121" s="3">
        <v>780000</v>
      </c>
      <c r="D5121" s="3">
        <v>780000</v>
      </c>
      <c r="E5121" s="31">
        <v>0</v>
      </c>
      <c r="F5121" s="5">
        <v>45965</v>
      </c>
      <c r="G5121" s="4">
        <v>20251103</v>
      </c>
      <c r="H5121" s="38" t="s">
        <v>24</v>
      </c>
      <c r="I5121" s="34" t="s">
        <v>9</v>
      </c>
      <c r="J5121" s="38" t="s">
        <v>351</v>
      </c>
    </row>
    <row r="5122" spans="1:10">
      <c r="A5122" s="32">
        <v>571</v>
      </c>
      <c r="B5122" s="33">
        <v>6150</v>
      </c>
      <c r="C5122" s="3">
        <v>500000</v>
      </c>
      <c r="D5122" s="3">
        <v>500000</v>
      </c>
      <c r="E5122" s="31">
        <v>0</v>
      </c>
      <c r="F5122" s="5">
        <v>45965</v>
      </c>
      <c r="G5122" s="4">
        <v>20251103</v>
      </c>
      <c r="H5122" s="38" t="s">
        <v>24</v>
      </c>
      <c r="I5122" s="34" t="s">
        <v>9</v>
      </c>
      <c r="J5122" s="38" t="s">
        <v>249</v>
      </c>
    </row>
    <row r="5123" spans="1:10">
      <c r="A5123" s="32">
        <v>571</v>
      </c>
      <c r="B5123" s="33">
        <v>6150</v>
      </c>
      <c r="C5123" s="3">
        <v>1950000</v>
      </c>
      <c r="D5123" s="3">
        <v>1950000</v>
      </c>
      <c r="E5123" s="31">
        <v>0</v>
      </c>
      <c r="F5123" s="5">
        <v>45966</v>
      </c>
      <c r="G5123" s="4">
        <v>20251104</v>
      </c>
      <c r="H5123" s="38" t="s">
        <v>24</v>
      </c>
      <c r="I5123" s="34" t="s">
        <v>9</v>
      </c>
      <c r="J5123" s="38" t="s">
        <v>249</v>
      </c>
    </row>
    <row r="5124" spans="1:10">
      <c r="A5124" s="32">
        <v>115</v>
      </c>
      <c r="B5124" s="33">
        <v>5080</v>
      </c>
      <c r="C5124" s="3">
        <v>1550000</v>
      </c>
      <c r="D5124" s="3">
        <v>1550000</v>
      </c>
      <c r="E5124" s="31">
        <v>0</v>
      </c>
      <c r="F5124" s="5">
        <v>45966</v>
      </c>
      <c r="G5124" s="4">
        <v>20251104</v>
      </c>
      <c r="H5124" s="38" t="s">
        <v>24</v>
      </c>
      <c r="I5124" s="34" t="s">
        <v>9</v>
      </c>
      <c r="J5124" s="38" t="s">
        <v>263</v>
      </c>
    </row>
    <row r="5125" spans="1:10">
      <c r="A5125" s="32">
        <v>81</v>
      </c>
      <c r="B5125" s="33">
        <v>5036</v>
      </c>
      <c r="C5125" s="3">
        <v>610000</v>
      </c>
      <c r="D5125" s="3">
        <v>610000</v>
      </c>
      <c r="E5125" s="31">
        <v>0</v>
      </c>
      <c r="F5125" s="5">
        <v>45966</v>
      </c>
      <c r="G5125" s="4">
        <v>20251104</v>
      </c>
      <c r="H5125" s="38" t="s">
        <v>24</v>
      </c>
      <c r="I5125" s="34" t="s">
        <v>9</v>
      </c>
      <c r="J5125" s="38" t="s">
        <v>419</v>
      </c>
    </row>
    <row r="5126" spans="1:10">
      <c r="A5126" s="32">
        <v>30</v>
      </c>
      <c r="B5126" s="33">
        <v>6172</v>
      </c>
      <c r="C5126" s="3">
        <v>50000</v>
      </c>
      <c r="D5126" s="3">
        <v>50000</v>
      </c>
      <c r="E5126" s="31">
        <v>0</v>
      </c>
      <c r="F5126" s="5">
        <v>45966</v>
      </c>
      <c r="G5126" s="4">
        <v>20251104</v>
      </c>
      <c r="H5126" s="38" t="s">
        <v>24</v>
      </c>
      <c r="I5126" s="34" t="s">
        <v>9</v>
      </c>
      <c r="J5126" s="38" t="s">
        <v>490</v>
      </c>
    </row>
    <row r="5127" spans="1:10">
      <c r="A5127" s="32">
        <v>741</v>
      </c>
      <c r="B5127" s="33">
        <v>6841</v>
      </c>
      <c r="C5127" s="3">
        <v>950000</v>
      </c>
      <c r="D5127" s="3">
        <v>950000</v>
      </c>
      <c r="E5127" s="7">
        <v>0</v>
      </c>
      <c r="F5127" s="5">
        <v>45932</v>
      </c>
      <c r="G5127" s="4">
        <v>20251001</v>
      </c>
      <c r="H5127" s="38" t="s">
        <v>30</v>
      </c>
      <c r="I5127" s="34" t="s">
        <v>9</v>
      </c>
      <c r="J5127" s="38" t="s">
        <v>137</v>
      </c>
    </row>
    <row r="5128" spans="1:10">
      <c r="A5128" s="32">
        <v>828</v>
      </c>
      <c r="B5128" s="33">
        <v>2234</v>
      </c>
      <c r="C5128" s="3">
        <v>200000</v>
      </c>
      <c r="D5128" s="3">
        <v>200000</v>
      </c>
      <c r="E5128" s="7">
        <v>0</v>
      </c>
      <c r="F5128" s="5">
        <v>45932</v>
      </c>
      <c r="G5128" s="4">
        <v>20251001</v>
      </c>
      <c r="H5128" s="38" t="s">
        <v>30</v>
      </c>
      <c r="I5128" s="34" t="s">
        <v>9</v>
      </c>
      <c r="J5128" s="38" t="s">
        <v>236</v>
      </c>
    </row>
    <row r="5129" spans="1:10">
      <c r="A5129" s="32">
        <v>31</v>
      </c>
      <c r="B5129" s="33">
        <v>8737</v>
      </c>
      <c r="C5129" s="3">
        <v>3000000</v>
      </c>
      <c r="D5129" s="3">
        <v>3000000</v>
      </c>
      <c r="E5129" s="7">
        <v>0</v>
      </c>
      <c r="F5129" s="5">
        <v>45932</v>
      </c>
      <c r="G5129" s="4">
        <v>20251001</v>
      </c>
      <c r="H5129" s="38" t="s">
        <v>24</v>
      </c>
      <c r="I5129" s="34" t="s">
        <v>9</v>
      </c>
      <c r="J5129" s="38" t="s">
        <v>299</v>
      </c>
    </row>
    <row r="5130" spans="1:10">
      <c r="A5130" s="32">
        <v>419</v>
      </c>
      <c r="B5130" s="33">
        <v>5077</v>
      </c>
      <c r="C5130" s="3">
        <v>1320000</v>
      </c>
      <c r="D5130" s="3">
        <v>1320000</v>
      </c>
      <c r="E5130" s="7">
        <v>0</v>
      </c>
      <c r="F5130" s="5">
        <v>45933</v>
      </c>
      <c r="G5130" s="4">
        <v>20251002</v>
      </c>
      <c r="H5130" s="38" t="s">
        <v>24</v>
      </c>
      <c r="I5130" s="34" t="s">
        <v>9</v>
      </c>
      <c r="J5130" s="38" t="s">
        <v>422</v>
      </c>
    </row>
    <row r="5131" spans="1:10">
      <c r="A5131" s="32">
        <v>795</v>
      </c>
      <c r="B5131" s="33">
        <v>1027</v>
      </c>
      <c r="C5131" s="3">
        <v>840000</v>
      </c>
      <c r="D5131" s="3">
        <v>840000</v>
      </c>
      <c r="E5131" s="7">
        <v>0</v>
      </c>
      <c r="F5131" s="5">
        <v>45933</v>
      </c>
      <c r="G5131" s="4">
        <v>20251002</v>
      </c>
      <c r="H5131" s="38" t="s">
        <v>24</v>
      </c>
      <c r="I5131" s="34" t="s">
        <v>9</v>
      </c>
      <c r="J5131" s="38" t="s">
        <v>276</v>
      </c>
    </row>
    <row r="5132" spans="1:10">
      <c r="A5132" s="32">
        <v>741</v>
      </c>
      <c r="B5132" s="33">
        <v>6841</v>
      </c>
      <c r="C5132" s="3">
        <v>1550000</v>
      </c>
      <c r="D5132" s="3">
        <v>1550000</v>
      </c>
      <c r="E5132" s="7">
        <v>0</v>
      </c>
      <c r="F5132" s="5">
        <v>45933</v>
      </c>
      <c r="G5132" s="4">
        <v>20251002</v>
      </c>
      <c r="H5132" s="38" t="s">
        <v>30</v>
      </c>
      <c r="I5132" s="34" t="s">
        <v>9</v>
      </c>
      <c r="J5132" s="38" t="s">
        <v>137</v>
      </c>
    </row>
    <row r="5133" spans="1:10">
      <c r="A5133" s="32">
        <v>741</v>
      </c>
      <c r="B5133" s="33">
        <v>6841</v>
      </c>
      <c r="C5133" s="3">
        <v>630000</v>
      </c>
      <c r="D5133" s="3">
        <v>630000</v>
      </c>
      <c r="E5133" s="7">
        <v>0</v>
      </c>
      <c r="F5133" s="5">
        <v>45936</v>
      </c>
      <c r="G5133" s="4">
        <v>20251005</v>
      </c>
      <c r="H5133" s="38" t="s">
        <v>30</v>
      </c>
      <c r="I5133" s="34" t="s">
        <v>9</v>
      </c>
      <c r="J5133" s="38" t="s">
        <v>137</v>
      </c>
    </row>
    <row r="5134" spans="1:10">
      <c r="A5134" s="32">
        <v>828</v>
      </c>
      <c r="B5134" s="33">
        <v>2234</v>
      </c>
      <c r="C5134" s="3">
        <v>200000</v>
      </c>
      <c r="D5134" s="3">
        <v>200000</v>
      </c>
      <c r="E5134" s="7">
        <v>0</v>
      </c>
      <c r="F5134" s="5">
        <v>45936</v>
      </c>
      <c r="G5134" s="4">
        <v>20251005</v>
      </c>
      <c r="H5134" s="38" t="s">
        <v>30</v>
      </c>
      <c r="I5134" s="34" t="s">
        <v>9</v>
      </c>
      <c r="J5134" s="38" t="s">
        <v>236</v>
      </c>
    </row>
    <row r="5135" spans="1:10">
      <c r="A5135" s="32">
        <v>453</v>
      </c>
      <c r="B5135" s="33">
        <v>8018</v>
      </c>
      <c r="C5135" s="3">
        <v>2399950</v>
      </c>
      <c r="D5135" s="3">
        <v>2399950</v>
      </c>
      <c r="E5135" s="7">
        <v>0</v>
      </c>
      <c r="F5135" s="5">
        <v>45937</v>
      </c>
      <c r="G5135" s="4">
        <v>20251006</v>
      </c>
      <c r="H5135" s="38" t="s">
        <v>24</v>
      </c>
      <c r="I5135" s="34" t="s">
        <v>9</v>
      </c>
      <c r="J5135" s="38" t="s">
        <v>456</v>
      </c>
    </row>
    <row r="5136" spans="1:10">
      <c r="A5136" s="32">
        <v>237</v>
      </c>
      <c r="B5136" s="33">
        <v>6467</v>
      </c>
      <c r="C5136" s="3">
        <v>100000</v>
      </c>
      <c r="D5136" s="3">
        <v>100000</v>
      </c>
      <c r="E5136" s="7">
        <v>0</v>
      </c>
      <c r="F5136" s="5">
        <v>45938</v>
      </c>
      <c r="G5136" s="4">
        <v>20251007</v>
      </c>
      <c r="H5136" s="38" t="s">
        <v>24</v>
      </c>
      <c r="I5136" s="34" t="s">
        <v>9</v>
      </c>
      <c r="J5136" s="38" t="s">
        <v>151</v>
      </c>
    </row>
    <row r="5137" spans="1:10">
      <c r="A5137" s="32">
        <v>31</v>
      </c>
      <c r="B5137" s="33">
        <v>8733</v>
      </c>
      <c r="C5137" s="3">
        <v>40000</v>
      </c>
      <c r="D5137" s="3">
        <v>40000</v>
      </c>
      <c r="E5137" s="7">
        <v>0</v>
      </c>
      <c r="F5137" s="5">
        <v>45939</v>
      </c>
      <c r="G5137" s="4">
        <v>20251008</v>
      </c>
      <c r="H5137" s="38" t="s">
        <v>30</v>
      </c>
      <c r="I5137" s="34" t="s">
        <v>9</v>
      </c>
      <c r="J5137" s="38" t="s">
        <v>196</v>
      </c>
    </row>
    <row r="5138" spans="1:10">
      <c r="A5138" s="32">
        <v>741</v>
      </c>
      <c r="B5138" s="33">
        <v>6841</v>
      </c>
      <c r="C5138" s="3">
        <v>60000</v>
      </c>
      <c r="D5138" s="3">
        <v>60000</v>
      </c>
      <c r="E5138" s="7">
        <v>0</v>
      </c>
      <c r="F5138" s="5">
        <v>45939</v>
      </c>
      <c r="G5138" s="4">
        <v>20251008</v>
      </c>
      <c r="H5138" s="38" t="s">
        <v>30</v>
      </c>
      <c r="I5138" s="34" t="s">
        <v>9</v>
      </c>
      <c r="J5138" s="38" t="s">
        <v>137</v>
      </c>
    </row>
    <row r="5139" spans="1:10">
      <c r="A5139" s="32">
        <v>625</v>
      </c>
      <c r="B5139" s="33">
        <v>6096</v>
      </c>
      <c r="C5139" s="3">
        <v>3590000</v>
      </c>
      <c r="D5139" s="3">
        <v>3590000</v>
      </c>
      <c r="E5139" s="7">
        <v>0</v>
      </c>
      <c r="F5139" s="5">
        <v>45939</v>
      </c>
      <c r="G5139" s="4">
        <v>20251008</v>
      </c>
      <c r="H5139" s="38" t="s">
        <v>24</v>
      </c>
      <c r="I5139" s="34" t="s">
        <v>9</v>
      </c>
      <c r="J5139" s="38" t="s">
        <v>188</v>
      </c>
    </row>
    <row r="5140" spans="1:10">
      <c r="A5140" s="32">
        <v>554</v>
      </c>
      <c r="B5140" s="33">
        <v>8295</v>
      </c>
      <c r="C5140" s="3">
        <v>1400000</v>
      </c>
      <c r="D5140" s="3">
        <v>1400000</v>
      </c>
      <c r="E5140" s="7">
        <v>0</v>
      </c>
      <c r="F5140" s="5">
        <v>45939</v>
      </c>
      <c r="G5140" s="4">
        <v>20251008</v>
      </c>
      <c r="H5140" s="38" t="s">
        <v>24</v>
      </c>
      <c r="I5140" s="34" t="s">
        <v>9</v>
      </c>
      <c r="J5140" s="38" t="s">
        <v>592</v>
      </c>
    </row>
    <row r="5141" spans="1:10">
      <c r="A5141" s="32">
        <v>828</v>
      </c>
      <c r="B5141" s="33">
        <v>2234</v>
      </c>
      <c r="C5141" s="3">
        <v>900000</v>
      </c>
      <c r="D5141" s="3">
        <v>900000</v>
      </c>
      <c r="E5141" s="7">
        <v>0</v>
      </c>
      <c r="F5141" s="5">
        <v>45940</v>
      </c>
      <c r="G5141" s="4">
        <v>20251009</v>
      </c>
      <c r="H5141" s="38" t="s">
        <v>30</v>
      </c>
      <c r="I5141" s="34" t="s">
        <v>9</v>
      </c>
      <c r="J5141" s="38" t="s">
        <v>236</v>
      </c>
    </row>
    <row r="5142" spans="1:10">
      <c r="A5142" s="32">
        <v>741</v>
      </c>
      <c r="B5142" s="33">
        <v>6841</v>
      </c>
      <c r="C5142" s="3">
        <v>200000</v>
      </c>
      <c r="D5142" s="3">
        <v>200000</v>
      </c>
      <c r="E5142" s="7">
        <v>0</v>
      </c>
      <c r="F5142" s="5">
        <v>45940</v>
      </c>
      <c r="G5142" s="4">
        <v>20251009</v>
      </c>
      <c r="H5142" s="38" t="s">
        <v>30</v>
      </c>
      <c r="I5142" s="34" t="s">
        <v>9</v>
      </c>
      <c r="J5142" s="38" t="s">
        <v>137</v>
      </c>
    </row>
    <row r="5143" spans="1:10">
      <c r="A5143" s="32">
        <v>31</v>
      </c>
      <c r="B5143" s="33">
        <v>8732</v>
      </c>
      <c r="C5143" s="3">
        <v>200000</v>
      </c>
      <c r="D5143" s="3">
        <v>200000</v>
      </c>
      <c r="E5143" s="7">
        <v>0</v>
      </c>
      <c r="F5143" s="5">
        <v>45944</v>
      </c>
      <c r="G5143" s="4">
        <v>20251013</v>
      </c>
      <c r="H5143" s="38" t="s">
        <v>30</v>
      </c>
      <c r="I5143" s="34" t="s">
        <v>9</v>
      </c>
      <c r="J5143" s="38" t="s">
        <v>195</v>
      </c>
    </row>
    <row r="5144" spans="1:10">
      <c r="A5144" s="32">
        <v>741</v>
      </c>
      <c r="B5144" s="33">
        <v>6841</v>
      </c>
      <c r="C5144" s="3">
        <v>60000</v>
      </c>
      <c r="D5144" s="3">
        <v>60000</v>
      </c>
      <c r="E5144" s="7">
        <v>0</v>
      </c>
      <c r="F5144" s="5">
        <v>45944</v>
      </c>
      <c r="G5144" s="4">
        <v>20251013</v>
      </c>
      <c r="H5144" s="38" t="s">
        <v>30</v>
      </c>
      <c r="I5144" s="34" t="s">
        <v>9</v>
      </c>
      <c r="J5144" s="38" t="s">
        <v>137</v>
      </c>
    </row>
    <row r="5145" spans="1:10">
      <c r="A5145" s="32">
        <v>828</v>
      </c>
      <c r="B5145" s="33">
        <v>2234</v>
      </c>
      <c r="C5145" s="3">
        <v>800000</v>
      </c>
      <c r="D5145" s="3">
        <v>800000</v>
      </c>
      <c r="E5145" s="7">
        <v>0</v>
      </c>
      <c r="F5145" s="5">
        <v>45944</v>
      </c>
      <c r="G5145" s="4">
        <v>20251012</v>
      </c>
      <c r="H5145" s="38" t="s">
        <v>30</v>
      </c>
      <c r="I5145" s="34" t="s">
        <v>9</v>
      </c>
      <c r="J5145" s="38" t="s">
        <v>236</v>
      </c>
    </row>
    <row r="5146" spans="1:10">
      <c r="A5146" s="32">
        <v>481</v>
      </c>
      <c r="B5146" s="33">
        <v>1008</v>
      </c>
      <c r="C5146" s="3">
        <v>10000</v>
      </c>
      <c r="D5146" s="3">
        <v>10000</v>
      </c>
      <c r="E5146" s="7">
        <v>0</v>
      </c>
      <c r="F5146" s="5">
        <v>45945</v>
      </c>
      <c r="G5146" s="4">
        <v>20251010</v>
      </c>
      <c r="H5146" s="38" t="s">
        <v>30</v>
      </c>
      <c r="I5146" s="34"/>
      <c r="J5146" s="38" t="s">
        <v>284</v>
      </c>
    </row>
    <row r="5147" spans="1:10">
      <c r="A5147" s="32">
        <v>741</v>
      </c>
      <c r="B5147" s="33">
        <v>6841</v>
      </c>
      <c r="C5147" s="3">
        <v>2100000</v>
      </c>
      <c r="D5147" s="3">
        <v>2100000</v>
      </c>
      <c r="E5147" s="7">
        <v>0</v>
      </c>
      <c r="F5147" s="5">
        <v>45946</v>
      </c>
      <c r="G5147" s="4">
        <v>20251015</v>
      </c>
      <c r="H5147" s="38" t="s">
        <v>30</v>
      </c>
      <c r="I5147" s="34" t="s">
        <v>9</v>
      </c>
      <c r="J5147" s="38" t="s">
        <v>137</v>
      </c>
    </row>
    <row r="5148" spans="1:10">
      <c r="A5148" s="32">
        <v>231</v>
      </c>
      <c r="B5148" s="33">
        <v>5209</v>
      </c>
      <c r="C5148" s="3">
        <v>200000</v>
      </c>
      <c r="D5148" s="3">
        <v>200000</v>
      </c>
      <c r="E5148" s="7">
        <v>0</v>
      </c>
      <c r="F5148" s="5">
        <v>45947</v>
      </c>
      <c r="G5148" s="4">
        <v>20251016</v>
      </c>
      <c r="H5148" s="38" t="s">
        <v>30</v>
      </c>
      <c r="I5148" s="34" t="s">
        <v>9</v>
      </c>
      <c r="J5148" s="38" t="s">
        <v>486</v>
      </c>
    </row>
    <row r="5149" spans="1:10">
      <c r="A5149" s="32">
        <v>890</v>
      </c>
      <c r="B5149" s="33">
        <v>9584</v>
      </c>
      <c r="C5149" s="3">
        <v>3460000</v>
      </c>
      <c r="D5149" s="3">
        <v>3460000</v>
      </c>
      <c r="E5149" s="7">
        <v>0</v>
      </c>
      <c r="F5149" s="5">
        <v>45947</v>
      </c>
      <c r="G5149" s="4">
        <v>20251016</v>
      </c>
      <c r="H5149" s="38" t="s">
        <v>24</v>
      </c>
      <c r="I5149" s="34" t="s">
        <v>9</v>
      </c>
      <c r="J5149" s="38" t="s">
        <v>593</v>
      </c>
    </row>
    <row r="5150" spans="1:10">
      <c r="A5150" s="32">
        <v>267</v>
      </c>
      <c r="B5150" s="33">
        <v>6186</v>
      </c>
      <c r="C5150" s="3">
        <v>2290000</v>
      </c>
      <c r="D5150" s="3">
        <v>2290000</v>
      </c>
      <c r="E5150" s="7">
        <v>0</v>
      </c>
      <c r="F5150" s="5">
        <v>45947</v>
      </c>
      <c r="G5150" s="4">
        <v>20251016</v>
      </c>
      <c r="H5150" s="38" t="s">
        <v>24</v>
      </c>
      <c r="I5150" s="34" t="s">
        <v>9</v>
      </c>
      <c r="J5150" s="38" t="s">
        <v>300</v>
      </c>
    </row>
    <row r="5151" spans="1:10">
      <c r="A5151" s="32">
        <v>322</v>
      </c>
      <c r="B5151" s="33">
        <v>2444</v>
      </c>
      <c r="C5151" s="3">
        <v>1630000</v>
      </c>
      <c r="D5151" s="3">
        <v>1630000</v>
      </c>
      <c r="E5151" s="7">
        <v>0</v>
      </c>
      <c r="F5151" s="5">
        <v>45951</v>
      </c>
      <c r="G5151" s="4">
        <v>20251020</v>
      </c>
      <c r="H5151" s="38" t="s">
        <v>24</v>
      </c>
      <c r="I5151" s="34" t="s">
        <v>9</v>
      </c>
      <c r="J5151" s="38" t="s">
        <v>109</v>
      </c>
    </row>
    <row r="5152" spans="1:10">
      <c r="A5152" s="32">
        <v>743</v>
      </c>
      <c r="B5152" s="33">
        <v>5106</v>
      </c>
      <c r="C5152" s="3">
        <v>490000</v>
      </c>
      <c r="D5152" s="3">
        <v>490000</v>
      </c>
      <c r="E5152" s="7">
        <v>0</v>
      </c>
      <c r="F5152" s="5">
        <v>45951</v>
      </c>
      <c r="G5152" s="4">
        <v>20251020</v>
      </c>
      <c r="H5152" s="38" t="s">
        <v>24</v>
      </c>
      <c r="I5152" s="34" t="s">
        <v>9</v>
      </c>
      <c r="J5152" s="38" t="s">
        <v>319</v>
      </c>
    </row>
    <row r="5153" spans="1:10">
      <c r="A5153" s="32">
        <v>368</v>
      </c>
      <c r="B5153" s="33">
        <v>6775</v>
      </c>
      <c r="C5153" s="3">
        <v>330000</v>
      </c>
      <c r="D5153" s="3">
        <v>330000</v>
      </c>
      <c r="E5153" s="7">
        <v>0</v>
      </c>
      <c r="F5153" s="5">
        <v>45952</v>
      </c>
      <c r="G5153" s="4">
        <v>20251021</v>
      </c>
      <c r="H5153" s="38" t="s">
        <v>30</v>
      </c>
      <c r="I5153" s="34" t="s">
        <v>9</v>
      </c>
      <c r="J5153" s="38" t="s">
        <v>159</v>
      </c>
    </row>
    <row r="5154" spans="1:10">
      <c r="A5154" s="32">
        <v>741</v>
      </c>
      <c r="B5154" s="33">
        <v>6841</v>
      </c>
      <c r="C5154" s="3">
        <v>2710000</v>
      </c>
      <c r="D5154" s="3">
        <v>2710000</v>
      </c>
      <c r="E5154" s="7">
        <v>0</v>
      </c>
      <c r="F5154" s="5">
        <v>45952</v>
      </c>
      <c r="G5154" s="4">
        <v>20251021</v>
      </c>
      <c r="H5154" s="38" t="s">
        <v>30</v>
      </c>
      <c r="I5154" s="34" t="s">
        <v>9</v>
      </c>
      <c r="J5154" s="38" t="s">
        <v>137</v>
      </c>
    </row>
    <row r="5155" spans="1:10">
      <c r="A5155" s="32">
        <v>31</v>
      </c>
      <c r="B5155" s="33">
        <v>8737</v>
      </c>
      <c r="C5155" s="3">
        <v>2051000</v>
      </c>
      <c r="D5155" s="3">
        <v>2051000</v>
      </c>
      <c r="E5155" s="7">
        <v>0</v>
      </c>
      <c r="F5155" s="5">
        <v>45952</v>
      </c>
      <c r="G5155" s="4">
        <v>20251021</v>
      </c>
      <c r="H5155" s="38" t="s">
        <v>24</v>
      </c>
      <c r="I5155" s="34" t="s">
        <v>9</v>
      </c>
      <c r="J5155" s="38" t="s">
        <v>299</v>
      </c>
    </row>
    <row r="5156" spans="1:10">
      <c r="A5156" s="32">
        <v>31</v>
      </c>
      <c r="B5156" s="33">
        <v>8733</v>
      </c>
      <c r="C5156" s="3">
        <v>10000</v>
      </c>
      <c r="D5156" s="3">
        <v>10000</v>
      </c>
      <c r="E5156" s="7">
        <v>0</v>
      </c>
      <c r="F5156" s="5">
        <v>45952</v>
      </c>
      <c r="G5156" s="4">
        <v>20251021</v>
      </c>
      <c r="H5156" s="38" t="s">
        <v>30</v>
      </c>
      <c r="I5156" s="34" t="s">
        <v>10</v>
      </c>
      <c r="J5156" s="38" t="s">
        <v>196</v>
      </c>
    </row>
    <row r="5157" spans="1:10">
      <c r="A5157" s="32">
        <v>231</v>
      </c>
      <c r="B5157" s="33">
        <v>6243</v>
      </c>
      <c r="C5157" s="3">
        <v>8000</v>
      </c>
      <c r="D5157" s="3">
        <v>8000</v>
      </c>
      <c r="E5157" s="7">
        <v>0</v>
      </c>
      <c r="F5157" s="5">
        <v>45954</v>
      </c>
      <c r="G5157" s="4">
        <v>20251023</v>
      </c>
      <c r="H5157" s="38" t="s">
        <v>24</v>
      </c>
      <c r="I5157" s="34"/>
      <c r="J5157" s="38" t="s">
        <v>594</v>
      </c>
    </row>
    <row r="5158" spans="1:10">
      <c r="A5158" s="32">
        <v>31</v>
      </c>
      <c r="B5158" s="33">
        <v>8733</v>
      </c>
      <c r="C5158" s="3">
        <v>3900000</v>
      </c>
      <c r="D5158" s="3">
        <v>3900000</v>
      </c>
      <c r="E5158" s="7">
        <v>0</v>
      </c>
      <c r="F5158" s="5">
        <v>45957</v>
      </c>
      <c r="G5158" s="4">
        <v>20251026</v>
      </c>
      <c r="H5158" s="38" t="s">
        <v>30</v>
      </c>
      <c r="I5158" s="34" t="s">
        <v>9</v>
      </c>
      <c r="J5158" s="38" t="s">
        <v>196</v>
      </c>
    </row>
    <row r="5159" spans="1:10">
      <c r="A5159" s="32">
        <v>231</v>
      </c>
      <c r="B5159" s="33">
        <v>2311</v>
      </c>
      <c r="C5159" s="3">
        <v>4400000</v>
      </c>
      <c r="D5159" s="3">
        <v>4400000</v>
      </c>
      <c r="E5159" s="7">
        <v>0</v>
      </c>
      <c r="F5159" s="5">
        <v>45957</v>
      </c>
      <c r="G5159" s="4">
        <v>20251026</v>
      </c>
      <c r="H5159" s="38" t="s">
        <v>30</v>
      </c>
      <c r="I5159" s="34" t="s">
        <v>9</v>
      </c>
      <c r="J5159" s="38" t="s">
        <v>595</v>
      </c>
    </row>
    <row r="5160" spans="1:10">
      <c r="A5160" s="32">
        <v>828</v>
      </c>
      <c r="B5160" s="33">
        <v>2235</v>
      </c>
      <c r="C5160" s="3">
        <v>300000</v>
      </c>
      <c r="D5160" s="3">
        <v>300000</v>
      </c>
      <c r="E5160" s="7">
        <v>0</v>
      </c>
      <c r="F5160" s="5">
        <v>45957</v>
      </c>
      <c r="G5160" s="4">
        <v>20251026</v>
      </c>
      <c r="H5160" s="38" t="s">
        <v>30</v>
      </c>
      <c r="I5160" s="34" t="s">
        <v>9</v>
      </c>
      <c r="J5160" s="38" t="s">
        <v>237</v>
      </c>
    </row>
    <row r="5161" spans="1:10">
      <c r="A5161" s="32">
        <v>832</v>
      </c>
      <c r="B5161" s="33">
        <v>4767</v>
      </c>
      <c r="C5161" s="3">
        <v>300000</v>
      </c>
      <c r="D5161" s="3">
        <v>300000</v>
      </c>
      <c r="E5161" s="7">
        <v>0</v>
      </c>
      <c r="F5161" s="5">
        <v>45957</v>
      </c>
      <c r="G5161" s="4">
        <v>20251026</v>
      </c>
      <c r="H5161" s="38" t="s">
        <v>30</v>
      </c>
      <c r="I5161" s="34" t="s">
        <v>9</v>
      </c>
      <c r="J5161" s="38" t="s">
        <v>204</v>
      </c>
    </row>
    <row r="5162" spans="1:10">
      <c r="A5162" s="32">
        <v>37</v>
      </c>
      <c r="B5162" s="33">
        <v>6406</v>
      </c>
      <c r="C5162" s="3">
        <v>2400000</v>
      </c>
      <c r="D5162" s="3">
        <v>2400000</v>
      </c>
      <c r="E5162" s="7">
        <v>0</v>
      </c>
      <c r="F5162" s="5">
        <v>45957</v>
      </c>
      <c r="G5162" s="4">
        <v>20251026</v>
      </c>
      <c r="H5162" s="38" t="s">
        <v>24</v>
      </c>
      <c r="I5162" s="34" t="s">
        <v>9</v>
      </c>
      <c r="J5162" s="38" t="s">
        <v>219</v>
      </c>
    </row>
    <row r="5163" spans="1:10">
      <c r="A5163" s="32">
        <v>331</v>
      </c>
      <c r="B5163" s="33">
        <v>575</v>
      </c>
      <c r="C5163" s="3">
        <v>1670000</v>
      </c>
      <c r="D5163" s="3">
        <v>1670000</v>
      </c>
      <c r="E5163" s="7">
        <v>0</v>
      </c>
      <c r="F5163" s="5">
        <v>45957</v>
      </c>
      <c r="G5163" s="4">
        <v>20251026</v>
      </c>
      <c r="H5163" s="38" t="s">
        <v>24</v>
      </c>
      <c r="I5163" s="34" t="s">
        <v>9</v>
      </c>
      <c r="J5163" s="38" t="s">
        <v>596</v>
      </c>
    </row>
    <row r="5164" spans="1:10">
      <c r="A5164" s="32">
        <v>828</v>
      </c>
      <c r="B5164" s="33">
        <v>2235</v>
      </c>
      <c r="C5164" s="3">
        <v>70000</v>
      </c>
      <c r="D5164" s="3">
        <v>70000</v>
      </c>
      <c r="E5164" s="7">
        <v>0</v>
      </c>
      <c r="F5164" s="5">
        <v>45958</v>
      </c>
      <c r="G5164" s="4">
        <v>20251027</v>
      </c>
      <c r="H5164" s="38" t="s">
        <v>30</v>
      </c>
      <c r="I5164" s="34" t="s">
        <v>9</v>
      </c>
      <c r="J5164" s="38" t="s">
        <v>237</v>
      </c>
    </row>
    <row r="5165" spans="1:10">
      <c r="A5165" s="32">
        <v>890</v>
      </c>
      <c r="B5165" s="33">
        <v>3897</v>
      </c>
      <c r="C5165" s="3">
        <v>140000</v>
      </c>
      <c r="D5165" s="3">
        <v>140000</v>
      </c>
      <c r="E5165" s="7">
        <v>0</v>
      </c>
      <c r="F5165" s="5">
        <v>45958</v>
      </c>
      <c r="G5165" s="4">
        <v>20251027</v>
      </c>
      <c r="H5165" s="38" t="s">
        <v>30</v>
      </c>
      <c r="I5165" s="34" t="s">
        <v>9</v>
      </c>
      <c r="J5165" s="38" t="s">
        <v>597</v>
      </c>
    </row>
    <row r="5166" spans="1:10">
      <c r="A5166" s="32">
        <v>866</v>
      </c>
      <c r="B5166" s="33">
        <v>8662</v>
      </c>
      <c r="C5166" s="3">
        <v>3170000</v>
      </c>
      <c r="D5166" s="3">
        <v>3170000</v>
      </c>
      <c r="E5166" s="7">
        <v>0</v>
      </c>
      <c r="F5166" s="5">
        <v>45958</v>
      </c>
      <c r="G5166" s="4">
        <v>20251027</v>
      </c>
      <c r="H5166" s="38" t="s">
        <v>24</v>
      </c>
      <c r="I5166" s="34" t="s">
        <v>9</v>
      </c>
      <c r="J5166" s="38" t="s">
        <v>131</v>
      </c>
    </row>
    <row r="5167" spans="1:10">
      <c r="A5167" s="32">
        <v>178</v>
      </c>
      <c r="B5167" s="33">
        <v>6218</v>
      </c>
      <c r="C5167" s="3">
        <v>2340000</v>
      </c>
      <c r="D5167" s="3">
        <v>2340000</v>
      </c>
      <c r="E5167" s="7">
        <v>0</v>
      </c>
      <c r="F5167" s="5">
        <v>45958</v>
      </c>
      <c r="G5167" s="4">
        <v>20251027</v>
      </c>
      <c r="H5167" s="38" t="s">
        <v>24</v>
      </c>
      <c r="I5167" s="34" t="s">
        <v>9</v>
      </c>
      <c r="J5167" s="38" t="s">
        <v>189</v>
      </c>
    </row>
    <row r="5168" spans="1:10">
      <c r="A5168" s="32">
        <v>330</v>
      </c>
      <c r="B5168" s="33">
        <v>4407</v>
      </c>
      <c r="C5168" s="3">
        <v>10000</v>
      </c>
      <c r="D5168" s="3">
        <v>10000</v>
      </c>
      <c r="E5168" s="7">
        <v>0</v>
      </c>
      <c r="F5168" s="5">
        <v>45958</v>
      </c>
      <c r="G5168" s="4">
        <v>20251027</v>
      </c>
      <c r="H5168" s="38" t="s">
        <v>30</v>
      </c>
      <c r="I5168" s="34" t="s">
        <v>10</v>
      </c>
      <c r="J5168" s="38" t="s">
        <v>598</v>
      </c>
    </row>
    <row r="5169" spans="1:10">
      <c r="A5169" s="32">
        <v>959</v>
      </c>
      <c r="B5169" s="33">
        <v>9265</v>
      </c>
      <c r="C5169" s="3">
        <v>1290000</v>
      </c>
      <c r="D5169" s="3">
        <v>1290000</v>
      </c>
      <c r="E5169" s="7">
        <v>0</v>
      </c>
      <c r="F5169" s="5">
        <v>45959</v>
      </c>
      <c r="G5169" s="4">
        <v>20251028</v>
      </c>
      <c r="H5169" s="38" t="s">
        <v>24</v>
      </c>
      <c r="I5169" s="34" t="s">
        <v>9</v>
      </c>
      <c r="J5169" s="38" t="s">
        <v>397</v>
      </c>
    </row>
    <row r="5170" spans="1:10">
      <c r="A5170" s="32">
        <v>31</v>
      </c>
      <c r="B5170" s="33">
        <v>8733</v>
      </c>
      <c r="C5170" s="3">
        <v>1600000</v>
      </c>
      <c r="D5170" s="3">
        <v>1600000</v>
      </c>
      <c r="E5170" s="7">
        <v>0</v>
      </c>
      <c r="F5170" s="5">
        <v>45960</v>
      </c>
      <c r="G5170" s="4">
        <v>20251029</v>
      </c>
      <c r="H5170" s="38" t="s">
        <v>30</v>
      </c>
      <c r="I5170" s="34" t="s">
        <v>9</v>
      </c>
      <c r="J5170" s="38" t="s">
        <v>196</v>
      </c>
    </row>
    <row r="5171" spans="1:10">
      <c r="A5171" s="32">
        <v>229</v>
      </c>
      <c r="B5171" s="33">
        <v>9605</v>
      </c>
      <c r="C5171" s="3">
        <v>630000</v>
      </c>
      <c r="D5171" s="3">
        <v>630000</v>
      </c>
      <c r="E5171" s="7">
        <v>0</v>
      </c>
      <c r="F5171" s="5">
        <v>45960</v>
      </c>
      <c r="G5171" s="4">
        <v>20251029</v>
      </c>
      <c r="H5171" s="38" t="s">
        <v>24</v>
      </c>
      <c r="I5171" s="34" t="s">
        <v>9</v>
      </c>
      <c r="J5171" s="38" t="s">
        <v>153</v>
      </c>
    </row>
    <row r="5172" spans="1:10">
      <c r="A5172" s="32">
        <v>848</v>
      </c>
      <c r="B5172" s="33">
        <v>4740</v>
      </c>
      <c r="C5172" s="3">
        <v>100000</v>
      </c>
      <c r="D5172" s="3">
        <v>100000</v>
      </c>
      <c r="E5172" s="7">
        <v>0</v>
      </c>
      <c r="F5172" s="5">
        <v>45961</v>
      </c>
      <c r="G5172" s="4">
        <v>20251030</v>
      </c>
      <c r="H5172" s="38" t="s">
        <v>30</v>
      </c>
      <c r="I5172" s="34" t="s">
        <v>9</v>
      </c>
      <c r="J5172" s="38" t="s">
        <v>599</v>
      </c>
    </row>
    <row r="5173" spans="1:10">
      <c r="A5173" s="32">
        <v>385</v>
      </c>
      <c r="B5173" s="33">
        <v>7139</v>
      </c>
      <c r="C5173" s="3">
        <v>848600</v>
      </c>
      <c r="D5173" s="3">
        <v>848600</v>
      </c>
      <c r="E5173" s="7">
        <v>0</v>
      </c>
      <c r="F5173" s="5">
        <v>45961</v>
      </c>
      <c r="G5173" s="4">
        <v>20251030</v>
      </c>
      <c r="H5173" s="38" t="s">
        <v>24</v>
      </c>
      <c r="I5173" s="34" t="s">
        <v>9</v>
      </c>
      <c r="J5173" s="38" t="s">
        <v>560</v>
      </c>
    </row>
    <row r="5174" spans="1:10">
      <c r="A5174" s="32">
        <v>231</v>
      </c>
      <c r="B5174" s="33">
        <v>6243</v>
      </c>
      <c r="C5174" s="3">
        <v>197000</v>
      </c>
      <c r="D5174" s="3">
        <v>197000</v>
      </c>
      <c r="E5174" s="7">
        <v>0</v>
      </c>
      <c r="F5174" s="5">
        <v>45961</v>
      </c>
      <c r="G5174" s="4">
        <v>20251030</v>
      </c>
      <c r="H5174" s="38" t="s">
        <v>24</v>
      </c>
      <c r="I5174" s="34" t="s">
        <v>9</v>
      </c>
      <c r="J5174" s="38" t="s">
        <v>594</v>
      </c>
    </row>
    <row r="5175" spans="1:10">
      <c r="A5175" s="32">
        <v>231</v>
      </c>
      <c r="B5175" s="33">
        <v>5209</v>
      </c>
      <c r="C5175" s="3">
        <v>800000</v>
      </c>
      <c r="D5175" s="3">
        <v>800000</v>
      </c>
      <c r="E5175" s="31">
        <v>0</v>
      </c>
      <c r="F5175" s="5">
        <v>45965</v>
      </c>
      <c r="G5175" s="4">
        <v>20251103</v>
      </c>
      <c r="H5175" s="38" t="s">
        <v>30</v>
      </c>
      <c r="I5175" s="34" t="s">
        <v>9</v>
      </c>
      <c r="J5175" s="38" t="s">
        <v>486</v>
      </c>
    </row>
    <row r="5176" spans="1:10">
      <c r="A5176" s="32">
        <v>481</v>
      </c>
      <c r="B5176" s="33">
        <v>1008</v>
      </c>
      <c r="C5176" s="3">
        <v>450000</v>
      </c>
      <c r="D5176" s="3">
        <v>450000</v>
      </c>
      <c r="E5176" s="31">
        <v>0</v>
      </c>
      <c r="F5176" s="5">
        <v>45965</v>
      </c>
      <c r="G5176" s="4">
        <v>20251103</v>
      </c>
      <c r="H5176" s="38" t="s">
        <v>30</v>
      </c>
      <c r="I5176" s="34" t="s">
        <v>9</v>
      </c>
      <c r="J5176" s="38" t="s">
        <v>284</v>
      </c>
    </row>
    <row r="5177" spans="1:10">
      <c r="A5177" s="32">
        <v>536</v>
      </c>
      <c r="B5177" s="33">
        <v>4796</v>
      </c>
      <c r="C5177" s="3">
        <v>60000</v>
      </c>
      <c r="D5177" s="3">
        <v>60000</v>
      </c>
      <c r="E5177" s="31">
        <v>0</v>
      </c>
      <c r="F5177" s="5">
        <v>45965</v>
      </c>
      <c r="G5177" s="4">
        <v>20251103</v>
      </c>
      <c r="H5177" s="38" t="s">
        <v>30</v>
      </c>
      <c r="I5177" s="34" t="s">
        <v>9</v>
      </c>
      <c r="J5177" s="38" t="s">
        <v>273</v>
      </c>
    </row>
    <row r="5178" spans="1:10">
      <c r="A5178" s="32">
        <v>536</v>
      </c>
      <c r="B5178" s="33">
        <v>6913</v>
      </c>
      <c r="C5178" s="3">
        <v>220000</v>
      </c>
      <c r="D5178" s="3">
        <v>220000</v>
      </c>
      <c r="E5178" s="31">
        <v>0</v>
      </c>
      <c r="F5178" s="5">
        <v>45965</v>
      </c>
      <c r="G5178" s="4">
        <v>20251103</v>
      </c>
      <c r="H5178" s="38" t="s">
        <v>30</v>
      </c>
      <c r="I5178" s="34" t="s">
        <v>9</v>
      </c>
      <c r="J5178" s="38" t="s">
        <v>525</v>
      </c>
    </row>
    <row r="5179" spans="1:10">
      <c r="A5179" s="32">
        <v>536</v>
      </c>
      <c r="B5179" s="33">
        <v>6914</v>
      </c>
      <c r="C5179" s="3">
        <v>750000</v>
      </c>
      <c r="D5179" s="3">
        <v>750000</v>
      </c>
      <c r="E5179" s="31">
        <v>0</v>
      </c>
      <c r="F5179" s="5">
        <v>45965</v>
      </c>
      <c r="G5179" s="4">
        <v>20251103</v>
      </c>
      <c r="H5179" s="38" t="s">
        <v>30</v>
      </c>
      <c r="I5179" s="34" t="s">
        <v>9</v>
      </c>
      <c r="J5179" s="38" t="s">
        <v>483</v>
      </c>
    </row>
    <row r="5180" spans="1:10">
      <c r="A5180" s="32">
        <v>536</v>
      </c>
      <c r="B5180" s="33">
        <v>6915</v>
      </c>
      <c r="C5180" s="3">
        <v>360000</v>
      </c>
      <c r="D5180" s="3">
        <v>360000</v>
      </c>
      <c r="E5180" s="31">
        <v>0</v>
      </c>
      <c r="F5180" s="5">
        <v>45965</v>
      </c>
      <c r="G5180" s="4">
        <v>20251103</v>
      </c>
      <c r="H5180" s="38" t="s">
        <v>30</v>
      </c>
      <c r="I5180" s="34" t="s">
        <v>9</v>
      </c>
      <c r="J5180" s="38" t="s">
        <v>600</v>
      </c>
    </row>
    <row r="5181" spans="1:10">
      <c r="A5181" s="32">
        <v>832</v>
      </c>
      <c r="B5181" s="33">
        <v>4767</v>
      </c>
      <c r="C5181" s="3">
        <v>2070000</v>
      </c>
      <c r="D5181" s="3">
        <v>2070000</v>
      </c>
      <c r="E5181" s="31">
        <v>0</v>
      </c>
      <c r="F5181" s="5">
        <v>45965</v>
      </c>
      <c r="G5181" s="4">
        <v>20251103</v>
      </c>
      <c r="H5181" s="38" t="s">
        <v>30</v>
      </c>
      <c r="I5181" s="34" t="s">
        <v>9</v>
      </c>
      <c r="J5181" s="38" t="s">
        <v>204</v>
      </c>
    </row>
    <row r="5182" spans="1:10">
      <c r="A5182" s="32">
        <v>844</v>
      </c>
      <c r="B5182" s="33">
        <v>6157</v>
      </c>
      <c r="C5182" s="3">
        <v>40000</v>
      </c>
      <c r="D5182" s="3">
        <v>40000</v>
      </c>
      <c r="E5182" s="31">
        <v>0</v>
      </c>
      <c r="F5182" s="5">
        <v>45965</v>
      </c>
      <c r="G5182" s="4">
        <v>20251103</v>
      </c>
      <c r="H5182" s="38" t="s">
        <v>30</v>
      </c>
      <c r="I5182" s="34" t="s">
        <v>9</v>
      </c>
      <c r="J5182" s="38" t="s">
        <v>43</v>
      </c>
    </row>
    <row r="5183" spans="1:10">
      <c r="A5183" s="32">
        <v>848</v>
      </c>
      <c r="B5183" s="33">
        <v>4739</v>
      </c>
      <c r="C5183" s="3">
        <v>460000</v>
      </c>
      <c r="D5183" s="3">
        <v>460000</v>
      </c>
      <c r="E5183" s="31">
        <v>0</v>
      </c>
      <c r="F5183" s="5">
        <v>45965</v>
      </c>
      <c r="G5183" s="4">
        <v>20251103</v>
      </c>
      <c r="H5183" s="38" t="s">
        <v>30</v>
      </c>
      <c r="I5183" s="34" t="s">
        <v>9</v>
      </c>
      <c r="J5183" s="38" t="s">
        <v>72</v>
      </c>
    </row>
    <row r="5184" spans="1:10">
      <c r="A5184" s="32">
        <v>728</v>
      </c>
      <c r="B5184" s="33">
        <v>8586</v>
      </c>
      <c r="C5184" s="3">
        <v>2350000</v>
      </c>
      <c r="D5184" s="3">
        <v>2350000</v>
      </c>
      <c r="E5184" s="31">
        <v>0</v>
      </c>
      <c r="F5184" s="5">
        <v>45965</v>
      </c>
      <c r="G5184" s="4">
        <v>20251103</v>
      </c>
      <c r="H5184" s="38" t="s">
        <v>24</v>
      </c>
      <c r="I5184" s="34" t="s">
        <v>9</v>
      </c>
      <c r="J5184" s="38" t="s">
        <v>479</v>
      </c>
    </row>
    <row r="5185" spans="1:10">
      <c r="A5185" s="32">
        <v>31</v>
      </c>
      <c r="B5185" s="33">
        <v>8733</v>
      </c>
      <c r="C5185" s="3">
        <v>160000</v>
      </c>
      <c r="D5185" s="3">
        <v>160000</v>
      </c>
      <c r="E5185" s="31">
        <v>0</v>
      </c>
      <c r="F5185" s="5">
        <v>45966</v>
      </c>
      <c r="G5185" s="4">
        <v>20251104</v>
      </c>
      <c r="H5185" s="38" t="s">
        <v>30</v>
      </c>
      <c r="I5185" s="34" t="s">
        <v>9</v>
      </c>
      <c r="J5185" s="38" t="s">
        <v>196</v>
      </c>
    </row>
    <row r="5186" spans="1:10">
      <c r="A5186" s="32">
        <v>163</v>
      </c>
      <c r="B5186" s="33">
        <v>4130</v>
      </c>
      <c r="C5186" s="3">
        <v>120000</v>
      </c>
      <c r="D5186" s="3">
        <v>120000</v>
      </c>
      <c r="E5186" s="31">
        <v>0</v>
      </c>
      <c r="F5186" s="5">
        <v>45966</v>
      </c>
      <c r="G5186" s="4">
        <v>20251104</v>
      </c>
      <c r="H5186" s="38" t="s">
        <v>30</v>
      </c>
      <c r="I5186" s="34" t="s">
        <v>9</v>
      </c>
      <c r="J5186" s="38" t="s">
        <v>148</v>
      </c>
    </row>
    <row r="5187" spans="1:10">
      <c r="A5187" s="32">
        <v>536</v>
      </c>
      <c r="B5187" s="33">
        <v>6913</v>
      </c>
      <c r="C5187" s="3">
        <v>110000</v>
      </c>
      <c r="D5187" s="3">
        <v>110000</v>
      </c>
      <c r="E5187" s="31">
        <v>0</v>
      </c>
      <c r="F5187" s="5">
        <v>45966</v>
      </c>
      <c r="G5187" s="4">
        <v>20251104</v>
      </c>
      <c r="H5187" s="38" t="s">
        <v>30</v>
      </c>
      <c r="I5187" s="34" t="s">
        <v>9</v>
      </c>
      <c r="J5187" s="38" t="s">
        <v>525</v>
      </c>
    </row>
    <row r="5188" spans="1:10">
      <c r="A5188" s="32">
        <v>844</v>
      </c>
      <c r="B5188" s="33">
        <v>6157</v>
      </c>
      <c r="C5188" s="3">
        <v>80000</v>
      </c>
      <c r="D5188" s="3">
        <v>80000</v>
      </c>
      <c r="E5188" s="31">
        <v>0</v>
      </c>
      <c r="F5188" s="5">
        <v>45966</v>
      </c>
      <c r="G5188" s="4">
        <v>20251104</v>
      </c>
      <c r="H5188" s="38" t="s">
        <v>30</v>
      </c>
      <c r="I5188" s="34" t="s">
        <v>9</v>
      </c>
      <c r="J5188" s="38" t="s">
        <v>43</v>
      </c>
    </row>
    <row r="5189" spans="1:10">
      <c r="A5189" s="32">
        <v>536</v>
      </c>
      <c r="B5189" s="33">
        <v>6914</v>
      </c>
      <c r="C5189" s="3">
        <v>20000</v>
      </c>
      <c r="D5189" s="3">
        <v>20000</v>
      </c>
      <c r="E5189" s="31">
        <v>0</v>
      </c>
      <c r="F5189" s="5">
        <v>45966</v>
      </c>
      <c r="G5189" s="4">
        <v>20251104</v>
      </c>
      <c r="H5189" s="38" t="s">
        <v>30</v>
      </c>
      <c r="I5189" s="34" t="s">
        <v>10</v>
      </c>
      <c r="J5189" s="38" t="s">
        <v>483</v>
      </c>
    </row>
    <row r="5190" spans="1:10">
      <c r="A5190" s="32">
        <v>866</v>
      </c>
      <c r="B5190" s="33">
        <v>6260</v>
      </c>
      <c r="C5190" s="3">
        <v>20000</v>
      </c>
      <c r="D5190" s="3">
        <v>20000</v>
      </c>
      <c r="E5190" s="31">
        <v>0</v>
      </c>
      <c r="F5190" s="5">
        <v>45966</v>
      </c>
      <c r="G5190" s="4">
        <v>20251104</v>
      </c>
      <c r="H5190" s="38" t="s">
        <v>30</v>
      </c>
      <c r="I5190" s="34" t="s">
        <v>10</v>
      </c>
      <c r="J5190" s="38" t="s">
        <v>35</v>
      </c>
    </row>
    <row r="5191" spans="1:10">
      <c r="A5191" s="32">
        <v>502</v>
      </c>
      <c r="B5191" s="33">
        <v>4626</v>
      </c>
      <c r="C5191" s="3">
        <v>210000</v>
      </c>
      <c r="D5191" s="3">
        <v>210000</v>
      </c>
      <c r="E5191" s="31">
        <v>0</v>
      </c>
      <c r="F5191" s="5">
        <v>45967</v>
      </c>
      <c r="G5191" s="4">
        <v>20251105</v>
      </c>
      <c r="H5191" s="38" t="s">
        <v>30</v>
      </c>
      <c r="I5191" s="34" t="s">
        <v>9</v>
      </c>
      <c r="J5191" s="38" t="s">
        <v>68</v>
      </c>
    </row>
    <row r="5192" spans="1:10">
      <c r="A5192" s="32">
        <v>832</v>
      </c>
      <c r="B5192" s="33">
        <v>4767</v>
      </c>
      <c r="C5192" s="3">
        <v>200000</v>
      </c>
      <c r="D5192" s="3">
        <v>200000</v>
      </c>
      <c r="E5192" s="31">
        <v>0</v>
      </c>
      <c r="F5192" s="5">
        <v>45967</v>
      </c>
      <c r="G5192" s="4">
        <v>20251105</v>
      </c>
      <c r="H5192" s="38" t="s">
        <v>30</v>
      </c>
      <c r="I5192" s="34" t="s">
        <v>9</v>
      </c>
      <c r="J5192" s="38" t="s">
        <v>204</v>
      </c>
    </row>
    <row r="5193" spans="1:10">
      <c r="A5193" s="32">
        <v>844</v>
      </c>
      <c r="B5193" s="33">
        <v>6157</v>
      </c>
      <c r="C5193" s="3">
        <v>400000</v>
      </c>
      <c r="D5193" s="3">
        <v>400000</v>
      </c>
      <c r="E5193" s="31">
        <v>0</v>
      </c>
      <c r="F5193" s="5">
        <v>45967</v>
      </c>
      <c r="G5193" s="4">
        <v>20251105</v>
      </c>
      <c r="H5193" s="38" t="s">
        <v>30</v>
      </c>
      <c r="I5193" s="34" t="s">
        <v>9</v>
      </c>
      <c r="J5193" s="38" t="s">
        <v>43</v>
      </c>
    </row>
    <row r="5194" spans="1:10">
      <c r="A5194" s="32">
        <v>848</v>
      </c>
      <c r="B5194" s="33">
        <v>4739</v>
      </c>
      <c r="C5194" s="3">
        <v>300000</v>
      </c>
      <c r="D5194" s="3">
        <v>300000</v>
      </c>
      <c r="E5194" s="31">
        <v>0</v>
      </c>
      <c r="F5194" s="5">
        <v>45967</v>
      </c>
      <c r="G5194" s="4">
        <v>20251105</v>
      </c>
      <c r="H5194" s="38" t="s">
        <v>30</v>
      </c>
      <c r="I5194" s="34" t="s">
        <v>9</v>
      </c>
      <c r="J5194" s="38" t="s">
        <v>72</v>
      </c>
    </row>
    <row r="5195" spans="1:10">
      <c r="A5195" s="32">
        <v>866</v>
      </c>
      <c r="B5195" s="33">
        <v>6260</v>
      </c>
      <c r="C5195" s="3">
        <v>180000</v>
      </c>
      <c r="D5195" s="3">
        <v>180000</v>
      </c>
      <c r="E5195" s="31">
        <v>0</v>
      </c>
      <c r="F5195" s="5">
        <v>45967</v>
      </c>
      <c r="G5195" s="4">
        <v>20251105</v>
      </c>
      <c r="H5195" s="38" t="s">
        <v>30</v>
      </c>
      <c r="I5195" s="34" t="s">
        <v>9</v>
      </c>
      <c r="J5195" s="38" t="s">
        <v>35</v>
      </c>
    </row>
    <row r="5196" spans="1:10">
      <c r="A5196" s="32">
        <v>337</v>
      </c>
      <c r="B5196" s="33">
        <v>6253</v>
      </c>
      <c r="C5196" s="3">
        <v>3640000</v>
      </c>
      <c r="D5196" s="3">
        <v>3640000</v>
      </c>
      <c r="E5196" s="31">
        <v>0</v>
      </c>
      <c r="F5196" s="5">
        <v>45967</v>
      </c>
      <c r="G5196" s="4">
        <v>20251105</v>
      </c>
      <c r="H5196" s="38" t="s">
        <v>24</v>
      </c>
      <c r="I5196" s="34" t="s">
        <v>9</v>
      </c>
      <c r="J5196" s="38" t="s">
        <v>352</v>
      </c>
    </row>
    <row r="5197" spans="1:10">
      <c r="A5197" s="32">
        <v>609</v>
      </c>
      <c r="B5197" s="33">
        <v>7888</v>
      </c>
      <c r="C5197" s="3">
        <v>2950000</v>
      </c>
      <c r="D5197" s="3">
        <v>2950000</v>
      </c>
      <c r="E5197" s="31">
        <v>0</v>
      </c>
      <c r="F5197" s="5">
        <v>45967</v>
      </c>
      <c r="G5197" s="4">
        <v>20251105</v>
      </c>
      <c r="H5197" s="38" t="s">
        <v>24</v>
      </c>
      <c r="I5197" s="34" t="s">
        <v>9</v>
      </c>
      <c r="J5197" s="38" t="s">
        <v>252</v>
      </c>
    </row>
    <row r="5198" spans="1:10">
      <c r="A5198" s="32">
        <v>609</v>
      </c>
      <c r="B5198" s="33">
        <v>7875</v>
      </c>
      <c r="C5198" s="3">
        <v>310000</v>
      </c>
      <c r="D5198" s="3">
        <v>310000</v>
      </c>
      <c r="E5198" s="31">
        <v>0</v>
      </c>
      <c r="F5198" s="5">
        <v>45967</v>
      </c>
      <c r="G5198" s="4">
        <v>20251105</v>
      </c>
      <c r="H5198" s="38" t="s">
        <v>24</v>
      </c>
      <c r="I5198" s="34" t="s">
        <v>9</v>
      </c>
      <c r="J5198" s="38" t="s">
        <v>416</v>
      </c>
    </row>
    <row r="5199" spans="1:10">
      <c r="A5199" s="32">
        <v>523</v>
      </c>
      <c r="B5199" s="33">
        <v>3975</v>
      </c>
      <c r="C5199" s="3">
        <v>60000</v>
      </c>
      <c r="D5199" s="3">
        <v>60000</v>
      </c>
      <c r="E5199" s="7">
        <v>0</v>
      </c>
      <c r="F5199" s="5">
        <v>45938</v>
      </c>
      <c r="G5199" s="4">
        <v>20251007</v>
      </c>
      <c r="H5199" s="38" t="s">
        <v>30</v>
      </c>
      <c r="I5199" s="34"/>
      <c r="J5199" s="38" t="s">
        <v>601</v>
      </c>
    </row>
    <row r="5200" spans="1:10">
      <c r="A5200" s="32">
        <v>291</v>
      </c>
      <c r="B5200" s="33">
        <v>8139</v>
      </c>
      <c r="C5200" s="3">
        <v>568000</v>
      </c>
      <c r="D5200" s="3">
        <v>568000</v>
      </c>
      <c r="E5200" s="7">
        <v>0</v>
      </c>
      <c r="F5200" s="5">
        <v>45940</v>
      </c>
      <c r="G5200" s="4">
        <v>20251008</v>
      </c>
      <c r="H5200" s="38" t="s">
        <v>24</v>
      </c>
      <c r="I5200" s="34"/>
      <c r="J5200" s="38" t="s">
        <v>428</v>
      </c>
    </row>
    <row r="5201" spans="1:10">
      <c r="A5201" s="32">
        <v>419</v>
      </c>
      <c r="B5201" s="33">
        <v>5077</v>
      </c>
      <c r="C5201" s="3">
        <v>3150000</v>
      </c>
      <c r="D5201" s="3">
        <v>3150000</v>
      </c>
      <c r="E5201" s="7">
        <v>0</v>
      </c>
      <c r="F5201" s="5">
        <v>45940</v>
      </c>
      <c r="G5201" s="4">
        <v>20251009</v>
      </c>
      <c r="H5201" s="38" t="s">
        <v>24</v>
      </c>
      <c r="I5201" s="34" t="s">
        <v>9</v>
      </c>
      <c r="J5201" s="38" t="s">
        <v>422</v>
      </c>
    </row>
    <row r="5202" spans="1:10">
      <c r="A5202" s="32">
        <v>451</v>
      </c>
      <c r="B5202" s="33">
        <v>9434</v>
      </c>
      <c r="C5202" s="3">
        <v>1000000</v>
      </c>
      <c r="D5202" s="3">
        <v>1000000</v>
      </c>
      <c r="E5202" s="7">
        <v>0</v>
      </c>
      <c r="F5202" s="5">
        <v>45944</v>
      </c>
      <c r="G5202" s="4">
        <v>20251009</v>
      </c>
      <c r="H5202" s="38" t="s">
        <v>24</v>
      </c>
      <c r="I5202" s="34"/>
      <c r="J5202" s="38" t="s">
        <v>327</v>
      </c>
    </row>
    <row r="5203" spans="1:10">
      <c r="A5203" s="32">
        <v>705</v>
      </c>
      <c r="B5203" s="33">
        <v>4151</v>
      </c>
      <c r="C5203" s="3">
        <v>450000</v>
      </c>
      <c r="D5203" s="3">
        <v>450000</v>
      </c>
      <c r="E5203" s="7">
        <v>0</v>
      </c>
      <c r="F5203" s="5">
        <v>45952</v>
      </c>
      <c r="G5203" s="4">
        <v>20251021</v>
      </c>
      <c r="H5203" s="38" t="s">
        <v>30</v>
      </c>
      <c r="I5203" s="34" t="s">
        <v>9</v>
      </c>
      <c r="J5203" s="38" t="s">
        <v>79</v>
      </c>
    </row>
    <row r="5204" spans="1:10">
      <c r="A5204" s="32">
        <v>705</v>
      </c>
      <c r="B5204" s="33">
        <v>4151</v>
      </c>
      <c r="C5204" s="3">
        <v>300000</v>
      </c>
      <c r="D5204" s="3">
        <v>300000</v>
      </c>
      <c r="E5204" s="7">
        <v>0</v>
      </c>
      <c r="F5204" s="5">
        <v>45958</v>
      </c>
      <c r="G5204" s="4">
        <v>20251027</v>
      </c>
      <c r="H5204" s="38" t="s">
        <v>30</v>
      </c>
      <c r="I5204" s="34" t="s">
        <v>9</v>
      </c>
      <c r="J5204" s="38" t="s">
        <v>79</v>
      </c>
    </row>
    <row r="5205" spans="1:10">
      <c r="A5205" s="32">
        <v>4</v>
      </c>
      <c r="B5205" s="33">
        <v>316</v>
      </c>
      <c r="C5205" s="3">
        <v>2560000</v>
      </c>
      <c r="D5205" s="3">
        <v>2560000</v>
      </c>
      <c r="E5205" s="7">
        <v>0</v>
      </c>
      <c r="F5205" s="5">
        <v>45958</v>
      </c>
      <c r="G5205" s="4">
        <v>20251027</v>
      </c>
      <c r="H5205" s="38" t="s">
        <v>24</v>
      </c>
      <c r="I5205" s="34" t="s">
        <v>9</v>
      </c>
      <c r="J5205" s="38" t="s">
        <v>602</v>
      </c>
    </row>
    <row r="5206" spans="1:10">
      <c r="A5206" s="32">
        <v>229</v>
      </c>
      <c r="B5206" s="33">
        <v>9605</v>
      </c>
      <c r="C5206" s="3">
        <v>2140000</v>
      </c>
      <c r="D5206" s="3">
        <v>2140000</v>
      </c>
      <c r="E5206" s="7">
        <v>0</v>
      </c>
      <c r="F5206" s="5">
        <v>45958</v>
      </c>
      <c r="G5206" s="4">
        <v>20251027</v>
      </c>
      <c r="H5206" s="38" t="s">
        <v>24</v>
      </c>
      <c r="I5206" s="34" t="s">
        <v>9</v>
      </c>
      <c r="J5206" s="38" t="s">
        <v>153</v>
      </c>
    </row>
    <row r="5207" spans="1:10">
      <c r="A5207" s="32">
        <v>96</v>
      </c>
      <c r="B5207" s="33">
        <v>6735</v>
      </c>
      <c r="C5207" s="3">
        <v>45000</v>
      </c>
      <c r="D5207" s="3">
        <v>45000</v>
      </c>
      <c r="E5207" s="7">
        <v>0</v>
      </c>
      <c r="F5207" s="5">
        <v>45958</v>
      </c>
      <c r="G5207" s="4">
        <v>20251027</v>
      </c>
      <c r="H5207" s="38" t="s">
        <v>24</v>
      </c>
      <c r="I5207" s="34" t="s">
        <v>9</v>
      </c>
      <c r="J5207" s="38" t="s">
        <v>603</v>
      </c>
    </row>
    <row r="5208" spans="1:10">
      <c r="A5208" s="32">
        <v>96</v>
      </c>
      <c r="B5208" s="33">
        <v>6735</v>
      </c>
      <c r="C5208" s="3">
        <v>3205000</v>
      </c>
      <c r="D5208" s="3">
        <v>3205000</v>
      </c>
      <c r="E5208" s="7">
        <v>0</v>
      </c>
      <c r="F5208" s="5">
        <v>45959</v>
      </c>
      <c r="G5208" s="4">
        <v>20251028</v>
      </c>
      <c r="H5208" s="38" t="s">
        <v>24</v>
      </c>
      <c r="I5208" s="34" t="s">
        <v>9</v>
      </c>
      <c r="J5208" s="38" t="s">
        <v>603</v>
      </c>
    </row>
    <row r="5209" spans="1:10">
      <c r="A5209" s="32">
        <v>395</v>
      </c>
      <c r="B5209" s="33">
        <v>1528</v>
      </c>
      <c r="C5209" s="3">
        <v>3200000</v>
      </c>
      <c r="D5209" s="3">
        <v>3200000</v>
      </c>
      <c r="E5209" s="7">
        <v>0</v>
      </c>
      <c r="F5209" s="5">
        <v>45959</v>
      </c>
      <c r="G5209" s="4">
        <v>20251028</v>
      </c>
      <c r="H5209" s="38" t="s">
        <v>24</v>
      </c>
      <c r="I5209" s="34" t="s">
        <v>9</v>
      </c>
      <c r="J5209" s="38" t="s">
        <v>211</v>
      </c>
    </row>
    <row r="5210" spans="1:10">
      <c r="A5210" s="32">
        <v>705</v>
      </c>
      <c r="B5210" s="33">
        <v>4151</v>
      </c>
      <c r="C5210" s="3">
        <v>900000</v>
      </c>
      <c r="D5210" s="3">
        <v>900000</v>
      </c>
      <c r="E5210" s="7">
        <v>0</v>
      </c>
      <c r="F5210" s="5">
        <v>45959</v>
      </c>
      <c r="G5210" s="4">
        <v>20251028</v>
      </c>
      <c r="H5210" s="38" t="s">
        <v>30</v>
      </c>
      <c r="I5210" s="34" t="s">
        <v>9</v>
      </c>
      <c r="J5210" s="38" t="s">
        <v>79</v>
      </c>
    </row>
    <row r="5211" spans="1:10">
      <c r="A5211" s="32">
        <v>705</v>
      </c>
      <c r="B5211" s="33">
        <v>4151</v>
      </c>
      <c r="C5211" s="3">
        <v>150000</v>
      </c>
      <c r="D5211" s="3">
        <v>150000</v>
      </c>
      <c r="E5211" s="7">
        <v>0</v>
      </c>
      <c r="F5211" s="5">
        <v>45960</v>
      </c>
      <c r="G5211" s="4">
        <v>20251029</v>
      </c>
      <c r="H5211" s="38" t="s">
        <v>30</v>
      </c>
      <c r="I5211" s="34" t="s">
        <v>9</v>
      </c>
      <c r="J5211" s="38" t="s">
        <v>79</v>
      </c>
    </row>
    <row r="5212" spans="1:10">
      <c r="A5212" s="32">
        <v>96</v>
      </c>
      <c r="B5212" s="33">
        <v>6735</v>
      </c>
      <c r="C5212" s="3">
        <v>2830000</v>
      </c>
      <c r="D5212" s="3">
        <v>2830000</v>
      </c>
      <c r="E5212" s="7">
        <v>0</v>
      </c>
      <c r="F5212" s="5">
        <v>45960</v>
      </c>
      <c r="G5212" s="4">
        <v>20251029</v>
      </c>
      <c r="H5212" s="38" t="s">
        <v>24</v>
      </c>
      <c r="I5212" s="34" t="s">
        <v>9</v>
      </c>
      <c r="J5212" s="38" t="s">
        <v>603</v>
      </c>
    </row>
    <row r="5213" spans="1:10">
      <c r="A5213" s="32">
        <v>291</v>
      </c>
      <c r="B5213" s="33">
        <v>8139</v>
      </c>
      <c r="C5213" s="3">
        <v>2500900</v>
      </c>
      <c r="D5213" s="3">
        <v>2500900</v>
      </c>
      <c r="E5213" s="7">
        <v>0</v>
      </c>
      <c r="F5213" s="5">
        <v>45960</v>
      </c>
      <c r="G5213" s="4">
        <v>20251029</v>
      </c>
      <c r="H5213" s="38" t="s">
        <v>24</v>
      </c>
      <c r="I5213" s="34" t="s">
        <v>9</v>
      </c>
      <c r="J5213" s="38" t="s">
        <v>428</v>
      </c>
    </row>
    <row r="5214" spans="1:10">
      <c r="A5214" s="32">
        <v>30</v>
      </c>
      <c r="B5214" s="33">
        <v>4957</v>
      </c>
      <c r="C5214" s="3">
        <v>500000</v>
      </c>
      <c r="D5214" s="3">
        <v>500000</v>
      </c>
      <c r="E5214" s="7">
        <v>0</v>
      </c>
      <c r="F5214" s="5">
        <v>45961</v>
      </c>
      <c r="G5214" s="4">
        <v>20251030</v>
      </c>
      <c r="H5214" s="38" t="s">
        <v>30</v>
      </c>
      <c r="I5214" s="34" t="s">
        <v>9</v>
      </c>
      <c r="J5214" s="38" t="s">
        <v>143</v>
      </c>
    </row>
    <row r="5215" spans="1:10">
      <c r="A5215" s="32">
        <v>915</v>
      </c>
      <c r="B5215" s="33">
        <v>8314</v>
      </c>
      <c r="C5215" s="3">
        <v>880000</v>
      </c>
      <c r="D5215" s="3">
        <v>880000</v>
      </c>
      <c r="E5215" s="7">
        <v>0</v>
      </c>
      <c r="F5215" s="5">
        <v>45961</v>
      </c>
      <c r="G5215" s="4">
        <v>20251030</v>
      </c>
      <c r="H5215" s="38" t="s">
        <v>24</v>
      </c>
      <c r="I5215" s="34" t="s">
        <v>9</v>
      </c>
      <c r="J5215" s="38" t="s">
        <v>56</v>
      </c>
    </row>
    <row r="5216" spans="1:10">
      <c r="A5216" s="32">
        <v>536</v>
      </c>
      <c r="B5216" s="33">
        <v>4795</v>
      </c>
      <c r="C5216" s="3">
        <v>700000</v>
      </c>
      <c r="D5216" s="3">
        <v>700000</v>
      </c>
      <c r="E5216" s="31">
        <v>0</v>
      </c>
      <c r="F5216" s="5">
        <v>45965</v>
      </c>
      <c r="G5216" s="4">
        <v>20251103</v>
      </c>
      <c r="H5216" s="38" t="s">
        <v>30</v>
      </c>
      <c r="I5216" s="34" t="s">
        <v>9</v>
      </c>
      <c r="J5216" s="38" t="s">
        <v>37</v>
      </c>
    </row>
    <row r="5217" spans="1:10">
      <c r="A5217" s="32">
        <v>567</v>
      </c>
      <c r="B5217" s="33">
        <v>4521</v>
      </c>
      <c r="C5217" s="3">
        <v>7590000</v>
      </c>
      <c r="D5217" s="3">
        <v>7590000</v>
      </c>
      <c r="E5217" s="31">
        <v>0</v>
      </c>
      <c r="F5217" s="5">
        <v>45965</v>
      </c>
      <c r="G5217" s="4">
        <v>20251103</v>
      </c>
      <c r="H5217" s="38" t="s">
        <v>30</v>
      </c>
      <c r="I5217" s="34" t="s">
        <v>9</v>
      </c>
      <c r="J5217" s="38" t="s">
        <v>120</v>
      </c>
    </row>
    <row r="5218" spans="1:10">
      <c r="A5218" s="32">
        <v>451</v>
      </c>
      <c r="B5218" s="33">
        <v>9434</v>
      </c>
      <c r="C5218" s="3">
        <v>4030000</v>
      </c>
      <c r="D5218" s="3">
        <v>4030000</v>
      </c>
      <c r="E5218" s="31">
        <v>0</v>
      </c>
      <c r="F5218" s="5">
        <v>45966</v>
      </c>
      <c r="G5218" s="4">
        <v>20251104</v>
      </c>
      <c r="H5218" s="38" t="s">
        <v>24</v>
      </c>
      <c r="I5218" s="34" t="s">
        <v>9</v>
      </c>
      <c r="J5218" s="38" t="s">
        <v>327</v>
      </c>
    </row>
    <row r="5219" spans="1:10">
      <c r="A5219" s="32">
        <v>229</v>
      </c>
      <c r="B5219" s="33">
        <v>8957</v>
      </c>
      <c r="C5219" s="3">
        <v>1530000</v>
      </c>
      <c r="D5219" s="3">
        <v>1530000</v>
      </c>
      <c r="E5219" s="31">
        <v>0</v>
      </c>
      <c r="F5219" s="5">
        <v>45966</v>
      </c>
      <c r="G5219" s="4">
        <v>20251104</v>
      </c>
      <c r="H5219" s="38" t="s">
        <v>30</v>
      </c>
      <c r="I5219" s="34" t="s">
        <v>9</v>
      </c>
      <c r="J5219" s="38" t="s">
        <v>71</v>
      </c>
    </row>
    <row r="5220" spans="1:10">
      <c r="A5220" s="32">
        <v>536</v>
      </c>
      <c r="B5220" s="33">
        <v>4795</v>
      </c>
      <c r="C5220" s="3">
        <v>50000</v>
      </c>
      <c r="D5220" s="3">
        <v>50000</v>
      </c>
      <c r="E5220" s="31">
        <v>0</v>
      </c>
      <c r="F5220" s="5">
        <v>45966</v>
      </c>
      <c r="G5220" s="4">
        <v>20251104</v>
      </c>
      <c r="H5220" s="38" t="s">
        <v>30</v>
      </c>
      <c r="I5220" s="34" t="s">
        <v>9</v>
      </c>
      <c r="J5220" s="38" t="s">
        <v>37</v>
      </c>
    </row>
    <row r="5221" spans="1:10">
      <c r="A5221" s="32">
        <v>705</v>
      </c>
      <c r="B5221" s="33">
        <v>4151</v>
      </c>
      <c r="C5221" s="3">
        <v>100000</v>
      </c>
      <c r="D5221" s="3">
        <v>100000</v>
      </c>
      <c r="E5221" s="31">
        <v>0</v>
      </c>
      <c r="F5221" s="5">
        <v>45966</v>
      </c>
      <c r="G5221" s="4">
        <v>20251104</v>
      </c>
      <c r="H5221" s="38" t="s">
        <v>30</v>
      </c>
      <c r="I5221" s="34" t="s">
        <v>9</v>
      </c>
      <c r="J5221" s="38" t="s">
        <v>79</v>
      </c>
    </row>
    <row r="5222" spans="1:10">
      <c r="A5222" s="32">
        <v>229</v>
      </c>
      <c r="B5222" s="33">
        <v>8956</v>
      </c>
      <c r="C5222" s="3">
        <v>1400000</v>
      </c>
      <c r="D5222" s="3">
        <v>1400000</v>
      </c>
      <c r="E5222" s="31">
        <v>0</v>
      </c>
      <c r="F5222" s="5">
        <v>45967</v>
      </c>
      <c r="G5222" s="4">
        <v>20251105</v>
      </c>
      <c r="H5222" s="38" t="s">
        <v>30</v>
      </c>
      <c r="I5222" s="34" t="s">
        <v>9</v>
      </c>
      <c r="J5222" s="38" t="s">
        <v>260</v>
      </c>
    </row>
    <row r="5223" spans="1:10">
      <c r="A5223" s="32">
        <v>705</v>
      </c>
      <c r="B5223" s="33">
        <v>4151</v>
      </c>
      <c r="C5223" s="3">
        <v>3000000</v>
      </c>
      <c r="D5223" s="3">
        <v>3000000</v>
      </c>
      <c r="E5223" s="31">
        <v>0</v>
      </c>
      <c r="F5223" s="5">
        <v>45967</v>
      </c>
      <c r="G5223" s="4">
        <v>20251105</v>
      </c>
      <c r="H5223" s="38" t="s">
        <v>30</v>
      </c>
      <c r="I5223" s="34" t="s">
        <v>9</v>
      </c>
      <c r="J5223" s="38" t="s">
        <v>79</v>
      </c>
    </row>
    <row r="5224" spans="1:10">
      <c r="A5224" s="32">
        <v>536</v>
      </c>
      <c r="B5224" s="33">
        <v>4795</v>
      </c>
      <c r="C5224" s="3">
        <v>7250000</v>
      </c>
      <c r="D5224" s="3">
        <v>7250000</v>
      </c>
      <c r="E5224" s="31">
        <v>0</v>
      </c>
      <c r="F5224" s="5">
        <v>45968</v>
      </c>
      <c r="G5224" s="4">
        <v>20251106</v>
      </c>
      <c r="H5224" s="38" t="s">
        <v>30</v>
      </c>
      <c r="I5224" s="34"/>
      <c r="J5224" s="38" t="s">
        <v>37</v>
      </c>
    </row>
    <row r="5225" spans="1:10">
      <c r="A5225" s="32">
        <v>91</v>
      </c>
      <c r="B5225" s="33">
        <v>5148</v>
      </c>
      <c r="C5225" s="3">
        <v>2880000</v>
      </c>
      <c r="D5225" s="3">
        <v>2880000</v>
      </c>
      <c r="E5225" s="31">
        <v>0</v>
      </c>
      <c r="F5225" s="5">
        <v>45968</v>
      </c>
      <c r="G5225" s="4">
        <v>20251106</v>
      </c>
      <c r="H5225" s="38" t="s">
        <v>24</v>
      </c>
      <c r="I5225" s="34" t="s">
        <v>9</v>
      </c>
      <c r="J5225" s="38" t="s">
        <v>88</v>
      </c>
    </row>
    <row r="5226" spans="1:10">
      <c r="A5226" s="32">
        <v>824</v>
      </c>
      <c r="B5226" s="33">
        <v>5040</v>
      </c>
      <c r="C5226" s="3">
        <v>1885000</v>
      </c>
      <c r="D5226" s="3">
        <v>1885000</v>
      </c>
      <c r="E5226" s="31">
        <v>0</v>
      </c>
      <c r="F5226" s="5">
        <v>45968</v>
      </c>
      <c r="G5226" s="4">
        <v>20251106</v>
      </c>
      <c r="H5226" s="38" t="s">
        <v>24</v>
      </c>
      <c r="I5226" s="34" t="s">
        <v>9</v>
      </c>
      <c r="J5226" s="38" t="s">
        <v>530</v>
      </c>
    </row>
    <row r="5227" spans="1:10">
      <c r="A5227" s="32">
        <v>379</v>
      </c>
      <c r="B5227" s="33">
        <v>6465</v>
      </c>
      <c r="C5227" s="3">
        <v>490000</v>
      </c>
      <c r="D5227" s="3">
        <v>490000</v>
      </c>
      <c r="E5227" s="31">
        <v>0</v>
      </c>
      <c r="F5227" s="5">
        <v>45968</v>
      </c>
      <c r="G5227" s="4">
        <v>20251106</v>
      </c>
      <c r="H5227" s="38" t="s">
        <v>24</v>
      </c>
      <c r="I5227" s="34" t="s">
        <v>9</v>
      </c>
      <c r="J5227" s="38" t="s">
        <v>354</v>
      </c>
    </row>
    <row r="5228" spans="1:10">
      <c r="A5228" s="32">
        <v>389</v>
      </c>
      <c r="B5228" s="33">
        <v>4690</v>
      </c>
      <c r="C5228" s="3">
        <v>300000</v>
      </c>
      <c r="D5228" s="3">
        <v>300000</v>
      </c>
      <c r="E5228" s="7">
        <v>0</v>
      </c>
      <c r="F5228" s="5">
        <v>45933</v>
      </c>
      <c r="G5228" s="4">
        <v>20251002</v>
      </c>
      <c r="H5228" s="38" t="s">
        <v>30</v>
      </c>
      <c r="I5228" s="34"/>
      <c r="J5228" s="38" t="s">
        <v>100</v>
      </c>
    </row>
    <row r="5229" spans="1:10">
      <c r="A5229" s="32">
        <v>163</v>
      </c>
      <c r="B5229" s="33">
        <v>5554</v>
      </c>
      <c r="C5229" s="3">
        <v>80000</v>
      </c>
      <c r="D5229" s="3">
        <v>80000</v>
      </c>
      <c r="E5229" s="7">
        <v>0</v>
      </c>
      <c r="F5229" s="5">
        <v>45936</v>
      </c>
      <c r="G5229" s="4">
        <v>20251005</v>
      </c>
      <c r="H5229" s="38" t="s">
        <v>30</v>
      </c>
      <c r="I5229" s="34" t="s">
        <v>9</v>
      </c>
      <c r="J5229" s="38" t="s">
        <v>604</v>
      </c>
    </row>
    <row r="5230" spans="1:10">
      <c r="A5230" s="32">
        <v>166</v>
      </c>
      <c r="B5230" s="33">
        <v>7940</v>
      </c>
      <c r="C5230" s="3">
        <v>360000</v>
      </c>
      <c r="D5230" s="3">
        <v>360000</v>
      </c>
      <c r="E5230" s="7">
        <v>0</v>
      </c>
      <c r="F5230" s="5">
        <v>45937</v>
      </c>
      <c r="G5230" s="4">
        <v>20251006</v>
      </c>
      <c r="H5230" s="38" t="s">
        <v>24</v>
      </c>
      <c r="I5230" s="34" t="s">
        <v>9</v>
      </c>
      <c r="J5230" s="38" t="s">
        <v>55</v>
      </c>
    </row>
    <row r="5231" spans="1:10">
      <c r="A5231" s="32">
        <v>163</v>
      </c>
      <c r="B5231" s="33">
        <v>5554</v>
      </c>
      <c r="C5231" s="3">
        <v>220000</v>
      </c>
      <c r="D5231" s="3">
        <v>220000</v>
      </c>
      <c r="E5231" s="7">
        <v>0</v>
      </c>
      <c r="F5231" s="5">
        <v>45945</v>
      </c>
      <c r="G5231" s="4">
        <v>20251014</v>
      </c>
      <c r="H5231" s="38" t="s">
        <v>30</v>
      </c>
      <c r="I5231" s="34"/>
      <c r="J5231" s="38" t="s">
        <v>604</v>
      </c>
    </row>
    <row r="5232" spans="1:10">
      <c r="A5232" s="32">
        <v>473</v>
      </c>
      <c r="B5232" s="33">
        <v>3441</v>
      </c>
      <c r="C5232" s="3">
        <v>600000</v>
      </c>
      <c r="D5232" s="3">
        <v>600000</v>
      </c>
      <c r="E5232" s="7">
        <v>0</v>
      </c>
      <c r="F5232" s="5">
        <v>45945</v>
      </c>
      <c r="G5232" s="4">
        <v>20251014</v>
      </c>
      <c r="H5232" s="38" t="s">
        <v>30</v>
      </c>
      <c r="I5232" s="34" t="s">
        <v>9</v>
      </c>
      <c r="J5232" s="38" t="s">
        <v>470</v>
      </c>
    </row>
    <row r="5233" spans="1:10">
      <c r="A5233" s="32">
        <v>705</v>
      </c>
      <c r="B5233" s="33">
        <v>4151</v>
      </c>
      <c r="C5233" s="3">
        <v>6220000</v>
      </c>
      <c r="D5233" s="3">
        <v>6220000</v>
      </c>
      <c r="E5233" s="7">
        <v>0</v>
      </c>
      <c r="F5233" s="5">
        <v>45945</v>
      </c>
      <c r="G5233" s="4">
        <v>20251014</v>
      </c>
      <c r="H5233" s="38" t="s">
        <v>30</v>
      </c>
      <c r="I5233" s="34" t="s">
        <v>9</v>
      </c>
      <c r="J5233" s="38" t="s">
        <v>79</v>
      </c>
    </row>
    <row r="5234" spans="1:10">
      <c r="A5234" s="32">
        <v>322</v>
      </c>
      <c r="B5234" s="33">
        <v>2441</v>
      </c>
      <c r="C5234" s="3">
        <v>100000</v>
      </c>
      <c r="D5234" s="3">
        <v>100000</v>
      </c>
      <c r="E5234" s="7">
        <v>0</v>
      </c>
      <c r="F5234" s="5">
        <v>45947</v>
      </c>
      <c r="G5234" s="4">
        <v>20251016</v>
      </c>
      <c r="H5234" s="38" t="s">
        <v>30</v>
      </c>
      <c r="I5234" s="34"/>
      <c r="J5234" s="38" t="s">
        <v>198</v>
      </c>
    </row>
    <row r="5235" spans="1:10">
      <c r="A5235" s="32">
        <v>322</v>
      </c>
      <c r="B5235" s="33">
        <v>2444</v>
      </c>
      <c r="C5235" s="3">
        <v>270000</v>
      </c>
      <c r="D5235" s="3">
        <v>270000</v>
      </c>
      <c r="E5235" s="7">
        <v>0</v>
      </c>
      <c r="F5235" s="5">
        <v>45950</v>
      </c>
      <c r="G5235" s="4">
        <v>20251019</v>
      </c>
      <c r="H5235" s="38" t="s">
        <v>24</v>
      </c>
      <c r="I5235" s="34" t="s">
        <v>9</v>
      </c>
      <c r="J5235" s="38" t="s">
        <v>109</v>
      </c>
    </row>
    <row r="5236" spans="1:10">
      <c r="A5236" s="32">
        <v>186</v>
      </c>
      <c r="B5236" s="33">
        <v>6508</v>
      </c>
      <c r="C5236" s="3">
        <v>200000</v>
      </c>
      <c r="D5236" s="3">
        <v>200000</v>
      </c>
      <c r="E5236" s="7">
        <v>0</v>
      </c>
      <c r="F5236" s="5">
        <v>45952</v>
      </c>
      <c r="G5236" s="4">
        <v>20251021</v>
      </c>
      <c r="H5236" s="38" t="s">
        <v>30</v>
      </c>
      <c r="I5236" s="34" t="s">
        <v>9</v>
      </c>
      <c r="J5236" s="38" t="s">
        <v>269</v>
      </c>
    </row>
    <row r="5237" spans="1:10">
      <c r="A5237" s="32">
        <v>522</v>
      </c>
      <c r="B5237" s="33">
        <v>4592</v>
      </c>
      <c r="C5237" s="3">
        <v>2100000</v>
      </c>
      <c r="D5237" s="3">
        <v>2100000</v>
      </c>
      <c r="E5237" s="7">
        <v>0</v>
      </c>
      <c r="F5237" s="5">
        <v>45952</v>
      </c>
      <c r="G5237" s="4">
        <v>20251021</v>
      </c>
      <c r="H5237" s="38" t="s">
        <v>30</v>
      </c>
      <c r="I5237" s="34" t="s">
        <v>9</v>
      </c>
      <c r="J5237" s="38" t="s">
        <v>350</v>
      </c>
    </row>
    <row r="5238" spans="1:10">
      <c r="A5238" s="32">
        <v>522</v>
      </c>
      <c r="B5238" s="33">
        <v>4592</v>
      </c>
      <c r="C5238" s="3">
        <v>1480000</v>
      </c>
      <c r="D5238" s="3">
        <v>1480000</v>
      </c>
      <c r="E5238" s="7">
        <v>0</v>
      </c>
      <c r="F5238" s="5">
        <v>45957</v>
      </c>
      <c r="G5238" s="4">
        <v>20251026</v>
      </c>
      <c r="H5238" s="38" t="s">
        <v>30</v>
      </c>
      <c r="I5238" s="34" t="s">
        <v>9</v>
      </c>
      <c r="J5238" s="38" t="s">
        <v>350</v>
      </c>
    </row>
    <row r="5239" spans="1:10">
      <c r="A5239" s="32">
        <v>163</v>
      </c>
      <c r="B5239" s="33">
        <v>5554</v>
      </c>
      <c r="C5239" s="3">
        <v>110000</v>
      </c>
      <c r="D5239" s="3">
        <v>110000</v>
      </c>
      <c r="E5239" s="7">
        <v>0</v>
      </c>
      <c r="F5239" s="5">
        <v>45958</v>
      </c>
      <c r="G5239" s="4">
        <v>20251027</v>
      </c>
      <c r="H5239" s="38" t="s">
        <v>30</v>
      </c>
      <c r="I5239" s="34"/>
      <c r="J5239" s="38" t="s">
        <v>604</v>
      </c>
    </row>
    <row r="5240" spans="1:10">
      <c r="A5240" s="32">
        <v>42</v>
      </c>
      <c r="B5240" s="33">
        <v>7886</v>
      </c>
      <c r="C5240" s="3">
        <v>40000</v>
      </c>
      <c r="D5240" s="3">
        <v>40000</v>
      </c>
      <c r="E5240" s="7">
        <v>0</v>
      </c>
      <c r="F5240" s="5">
        <v>45958</v>
      </c>
      <c r="G5240" s="4">
        <v>20251027</v>
      </c>
      <c r="H5240" s="38" t="s">
        <v>30</v>
      </c>
      <c r="I5240" s="34" t="s">
        <v>9</v>
      </c>
      <c r="J5240" s="38" t="s">
        <v>227</v>
      </c>
    </row>
    <row r="5241" spans="1:10">
      <c r="A5241" s="32">
        <v>15</v>
      </c>
      <c r="B5241" s="33">
        <v>8577</v>
      </c>
      <c r="C5241" s="3">
        <v>410000</v>
      </c>
      <c r="D5241" s="3">
        <v>410000</v>
      </c>
      <c r="E5241" s="7">
        <v>0</v>
      </c>
      <c r="F5241" s="5">
        <v>45958</v>
      </c>
      <c r="G5241" s="4">
        <v>20251027</v>
      </c>
      <c r="H5241" s="38" t="s">
        <v>24</v>
      </c>
      <c r="I5241" s="34" t="s">
        <v>9</v>
      </c>
      <c r="J5241" s="38" t="s">
        <v>374</v>
      </c>
    </row>
    <row r="5242" spans="1:10">
      <c r="A5242" s="32">
        <v>522</v>
      </c>
      <c r="B5242" s="33">
        <v>4592</v>
      </c>
      <c r="C5242" s="3">
        <v>100000</v>
      </c>
      <c r="D5242" s="3">
        <v>100000</v>
      </c>
      <c r="E5242" s="7">
        <v>0</v>
      </c>
      <c r="F5242" s="5">
        <v>45960</v>
      </c>
      <c r="G5242" s="4">
        <v>20251029</v>
      </c>
      <c r="H5242" s="38" t="s">
        <v>30</v>
      </c>
      <c r="I5242" s="34" t="s">
        <v>9</v>
      </c>
      <c r="J5242" s="38" t="s">
        <v>350</v>
      </c>
    </row>
    <row r="5243" spans="1:10">
      <c r="A5243" s="32">
        <v>769</v>
      </c>
      <c r="B5243" s="33">
        <v>8679</v>
      </c>
      <c r="C5243" s="3">
        <v>1200000</v>
      </c>
      <c r="D5243" s="3">
        <v>1200000</v>
      </c>
      <c r="E5243" s="7">
        <v>0</v>
      </c>
      <c r="F5243" s="5">
        <v>45960</v>
      </c>
      <c r="G5243" s="4">
        <v>20251029</v>
      </c>
      <c r="H5243" s="38" t="s">
        <v>24</v>
      </c>
      <c r="I5243" s="34" t="s">
        <v>9</v>
      </c>
      <c r="J5243" s="38" t="s">
        <v>480</v>
      </c>
    </row>
    <row r="5244" spans="1:10">
      <c r="A5244" s="32">
        <v>42</v>
      </c>
      <c r="B5244" s="33">
        <v>7886</v>
      </c>
      <c r="C5244" s="3">
        <v>20000</v>
      </c>
      <c r="D5244" s="3">
        <v>20000</v>
      </c>
      <c r="E5244" s="7">
        <v>0</v>
      </c>
      <c r="F5244" s="5">
        <v>45960</v>
      </c>
      <c r="G5244" s="4">
        <v>20251029</v>
      </c>
      <c r="H5244" s="38" t="s">
        <v>30</v>
      </c>
      <c r="I5244" s="34" t="s">
        <v>10</v>
      </c>
      <c r="J5244" s="38" t="s">
        <v>227</v>
      </c>
    </row>
    <row r="5245" spans="1:10">
      <c r="A5245" s="32">
        <v>522</v>
      </c>
      <c r="B5245" s="33">
        <v>4592</v>
      </c>
      <c r="C5245" s="3">
        <v>220000</v>
      </c>
      <c r="D5245" s="3">
        <v>220000</v>
      </c>
      <c r="E5245" s="7">
        <v>0</v>
      </c>
      <c r="F5245" s="5">
        <v>45961</v>
      </c>
      <c r="G5245" s="4">
        <v>20251030</v>
      </c>
      <c r="H5245" s="38" t="s">
        <v>30</v>
      </c>
      <c r="I5245" s="34" t="s">
        <v>9</v>
      </c>
      <c r="J5245" s="38" t="s">
        <v>350</v>
      </c>
    </row>
    <row r="5246" spans="1:10">
      <c r="A5246" s="32">
        <v>42</v>
      </c>
      <c r="B5246" s="33">
        <v>7886</v>
      </c>
      <c r="C5246" s="3">
        <v>70000</v>
      </c>
      <c r="D5246" s="3">
        <v>70000</v>
      </c>
      <c r="E5246" s="31">
        <v>0</v>
      </c>
      <c r="F5246" s="5">
        <v>45965</v>
      </c>
      <c r="G5246" s="4">
        <v>20251103</v>
      </c>
      <c r="H5246" s="38" t="s">
        <v>30</v>
      </c>
      <c r="I5246" s="34" t="s">
        <v>9</v>
      </c>
      <c r="J5246" s="38" t="s">
        <v>227</v>
      </c>
    </row>
    <row r="5247" spans="1:10">
      <c r="A5247" s="32">
        <v>186</v>
      </c>
      <c r="B5247" s="33">
        <v>6508</v>
      </c>
      <c r="C5247" s="3">
        <v>260000</v>
      </c>
      <c r="D5247" s="3">
        <v>260000</v>
      </c>
      <c r="E5247" s="31">
        <v>0</v>
      </c>
      <c r="F5247" s="5">
        <v>45965</v>
      </c>
      <c r="G5247" s="4">
        <v>20251103</v>
      </c>
      <c r="H5247" s="38" t="s">
        <v>30</v>
      </c>
      <c r="I5247" s="34" t="s">
        <v>9</v>
      </c>
      <c r="J5247" s="38" t="s">
        <v>269</v>
      </c>
    </row>
    <row r="5248" spans="1:10">
      <c r="A5248" s="32">
        <v>264</v>
      </c>
      <c r="B5248" s="33">
        <v>9904</v>
      </c>
      <c r="C5248" s="3">
        <v>300000</v>
      </c>
      <c r="D5248" s="3">
        <v>300000</v>
      </c>
      <c r="E5248" s="31">
        <v>0</v>
      </c>
      <c r="F5248" s="5">
        <v>45965</v>
      </c>
      <c r="G5248" s="4">
        <v>20251103</v>
      </c>
      <c r="H5248" s="38" t="s">
        <v>30</v>
      </c>
      <c r="I5248" s="34" t="s">
        <v>9</v>
      </c>
      <c r="J5248" s="38" t="s">
        <v>488</v>
      </c>
    </row>
    <row r="5249" spans="1:10">
      <c r="A5249" s="32">
        <v>457</v>
      </c>
      <c r="B5249" s="33">
        <v>9001</v>
      </c>
      <c r="C5249" s="3">
        <v>240000</v>
      </c>
      <c r="D5249" s="3">
        <v>240000</v>
      </c>
      <c r="E5249" s="31">
        <v>0</v>
      </c>
      <c r="F5249" s="5">
        <v>45965</v>
      </c>
      <c r="G5249" s="4">
        <v>20251103</v>
      </c>
      <c r="H5249" s="38" t="s">
        <v>30</v>
      </c>
      <c r="I5249" s="34" t="s">
        <v>9</v>
      </c>
      <c r="J5249" s="38" t="s">
        <v>166</v>
      </c>
    </row>
    <row r="5250" spans="1:10">
      <c r="A5250" s="32">
        <v>484</v>
      </c>
      <c r="B5250" s="33">
        <v>7226</v>
      </c>
      <c r="C5250" s="3">
        <v>710000</v>
      </c>
      <c r="D5250" s="3">
        <v>710000</v>
      </c>
      <c r="E5250" s="31">
        <v>0</v>
      </c>
      <c r="F5250" s="5">
        <v>45965</v>
      </c>
      <c r="G5250" s="4">
        <v>20251103</v>
      </c>
      <c r="H5250" s="38" t="s">
        <v>30</v>
      </c>
      <c r="I5250" s="34" t="s">
        <v>9</v>
      </c>
      <c r="J5250" s="38" t="s">
        <v>346</v>
      </c>
    </row>
    <row r="5251" spans="1:10">
      <c r="A5251" s="32">
        <v>522</v>
      </c>
      <c r="B5251" s="33">
        <v>4592</v>
      </c>
      <c r="C5251" s="3">
        <v>500000</v>
      </c>
      <c r="D5251" s="3">
        <v>500000</v>
      </c>
      <c r="E5251" s="31">
        <v>0</v>
      </c>
      <c r="F5251" s="5">
        <v>45965</v>
      </c>
      <c r="G5251" s="4">
        <v>20251103</v>
      </c>
      <c r="H5251" s="38" t="s">
        <v>30</v>
      </c>
      <c r="I5251" s="34" t="s">
        <v>9</v>
      </c>
      <c r="J5251" s="38" t="s">
        <v>350</v>
      </c>
    </row>
    <row r="5252" spans="1:10">
      <c r="A5252" s="32">
        <v>383</v>
      </c>
      <c r="B5252" s="33">
        <v>5194</v>
      </c>
      <c r="C5252" s="3">
        <v>405000</v>
      </c>
      <c r="D5252" s="3">
        <v>405000</v>
      </c>
      <c r="E5252" s="31">
        <v>0</v>
      </c>
      <c r="F5252" s="5">
        <v>45965</v>
      </c>
      <c r="G5252" s="4">
        <v>20251103</v>
      </c>
      <c r="H5252" s="38" t="s">
        <v>24</v>
      </c>
      <c r="I5252" s="34" t="s">
        <v>9</v>
      </c>
      <c r="J5252" s="38" t="s">
        <v>605</v>
      </c>
    </row>
    <row r="5253" spans="1:10">
      <c r="A5253" s="32">
        <v>186</v>
      </c>
      <c r="B5253" s="33">
        <v>6508</v>
      </c>
      <c r="C5253" s="3">
        <v>840000</v>
      </c>
      <c r="D5253" s="3">
        <v>840000</v>
      </c>
      <c r="E5253" s="31">
        <v>0</v>
      </c>
      <c r="F5253" s="5">
        <v>45966</v>
      </c>
      <c r="G5253" s="4">
        <v>20251104</v>
      </c>
      <c r="H5253" s="38" t="s">
        <v>30</v>
      </c>
      <c r="I5253" s="34"/>
      <c r="J5253" s="38" t="s">
        <v>269</v>
      </c>
    </row>
    <row r="5254" spans="1:10">
      <c r="A5254" s="32">
        <v>385</v>
      </c>
      <c r="B5254" s="33">
        <v>1826</v>
      </c>
      <c r="C5254" s="3">
        <v>20000</v>
      </c>
      <c r="D5254" s="3">
        <v>20000</v>
      </c>
      <c r="E5254" s="31">
        <v>0</v>
      </c>
      <c r="F5254" s="5">
        <v>45966</v>
      </c>
      <c r="G5254" s="4">
        <v>20251104</v>
      </c>
      <c r="H5254" s="38" t="s">
        <v>30</v>
      </c>
      <c r="I5254" s="34" t="s">
        <v>10</v>
      </c>
      <c r="J5254" s="38" t="s">
        <v>145</v>
      </c>
    </row>
    <row r="5255" spans="1:10">
      <c r="A5255" s="32">
        <v>163</v>
      </c>
      <c r="B5255" s="33">
        <v>5554</v>
      </c>
      <c r="C5255" s="3">
        <v>100000</v>
      </c>
      <c r="D5255" s="3">
        <v>100000</v>
      </c>
      <c r="E5255" s="31">
        <v>0</v>
      </c>
      <c r="F5255" s="5">
        <v>45967</v>
      </c>
      <c r="G5255" s="4">
        <v>20251105</v>
      </c>
      <c r="H5255" s="38" t="s">
        <v>30</v>
      </c>
      <c r="I5255" s="34" t="s">
        <v>9</v>
      </c>
      <c r="J5255" s="38" t="s">
        <v>604</v>
      </c>
    </row>
    <row r="5256" spans="1:10">
      <c r="A5256" s="32">
        <v>211</v>
      </c>
      <c r="B5256" s="33">
        <v>5309</v>
      </c>
      <c r="C5256" s="3">
        <v>220000</v>
      </c>
      <c r="D5256" s="3">
        <v>220000</v>
      </c>
      <c r="E5256" s="31">
        <v>0</v>
      </c>
      <c r="F5256" s="5">
        <v>45967</v>
      </c>
      <c r="G5256" s="4">
        <v>20251105</v>
      </c>
      <c r="H5256" s="38" t="s">
        <v>30</v>
      </c>
      <c r="I5256" s="34" t="s">
        <v>9</v>
      </c>
      <c r="J5256" s="38" t="s">
        <v>99</v>
      </c>
    </row>
    <row r="5257" spans="1:10">
      <c r="A5257" s="32">
        <v>297</v>
      </c>
      <c r="B5257" s="33">
        <v>5398</v>
      </c>
      <c r="C5257" s="3">
        <v>1210000</v>
      </c>
      <c r="D5257" s="3">
        <v>1210000</v>
      </c>
      <c r="E5257" s="31">
        <v>0</v>
      </c>
      <c r="F5257" s="5">
        <v>45967</v>
      </c>
      <c r="G5257" s="4">
        <v>20251105</v>
      </c>
      <c r="H5257" s="38" t="s">
        <v>30</v>
      </c>
      <c r="I5257" s="34" t="s">
        <v>9</v>
      </c>
      <c r="J5257" s="38" t="s">
        <v>312</v>
      </c>
    </row>
    <row r="5258" spans="1:10">
      <c r="A5258" s="32">
        <v>384</v>
      </c>
      <c r="B5258" s="33">
        <v>3841</v>
      </c>
      <c r="C5258" s="3">
        <v>200000</v>
      </c>
      <c r="D5258" s="3">
        <v>200000</v>
      </c>
      <c r="E5258" s="31">
        <v>0</v>
      </c>
      <c r="F5258" s="5">
        <v>45967</v>
      </c>
      <c r="G5258" s="4">
        <v>20251105</v>
      </c>
      <c r="H5258" s="38" t="s">
        <v>30</v>
      </c>
      <c r="I5258" s="34" t="s">
        <v>9</v>
      </c>
      <c r="J5258" s="38" t="s">
        <v>173</v>
      </c>
    </row>
    <row r="5259" spans="1:10">
      <c r="A5259" s="32">
        <v>499</v>
      </c>
      <c r="B5259" s="33">
        <v>9807</v>
      </c>
      <c r="C5259" s="3">
        <v>800000</v>
      </c>
      <c r="D5259" s="3">
        <v>800000</v>
      </c>
      <c r="E5259" s="31">
        <v>0</v>
      </c>
      <c r="F5259" s="5">
        <v>45967</v>
      </c>
      <c r="G5259" s="4">
        <v>20251105</v>
      </c>
      <c r="H5259" s="38" t="s">
        <v>30</v>
      </c>
      <c r="I5259" s="34" t="s">
        <v>9</v>
      </c>
      <c r="J5259" s="38" t="s">
        <v>409</v>
      </c>
    </row>
    <row r="5260" spans="1:10">
      <c r="A5260" s="32">
        <v>927</v>
      </c>
      <c r="B5260" s="33">
        <v>5750</v>
      </c>
      <c r="C5260" s="3">
        <v>100000</v>
      </c>
      <c r="D5260" s="3">
        <v>100000</v>
      </c>
      <c r="E5260" s="31">
        <v>0</v>
      </c>
      <c r="F5260" s="5">
        <v>45967</v>
      </c>
      <c r="G5260" s="4">
        <v>20251105</v>
      </c>
      <c r="H5260" s="38" t="s">
        <v>30</v>
      </c>
      <c r="I5260" s="34" t="s">
        <v>9</v>
      </c>
      <c r="J5260" s="38" t="s">
        <v>39</v>
      </c>
    </row>
    <row r="5261" spans="1:10">
      <c r="A5261" s="32">
        <v>623</v>
      </c>
      <c r="B5261" s="33">
        <v>5047</v>
      </c>
      <c r="C5261" s="3">
        <v>900000</v>
      </c>
      <c r="D5261" s="3">
        <v>900000</v>
      </c>
      <c r="E5261" s="31">
        <v>0</v>
      </c>
      <c r="F5261" s="5">
        <v>45967</v>
      </c>
      <c r="G5261" s="4">
        <v>20251105</v>
      </c>
      <c r="H5261" s="38" t="s">
        <v>24</v>
      </c>
      <c r="I5261" s="34" t="s">
        <v>9</v>
      </c>
      <c r="J5261" s="38" t="s">
        <v>26</v>
      </c>
    </row>
    <row r="5262" spans="1:10">
      <c r="A5262" s="32">
        <v>163</v>
      </c>
      <c r="B5262" s="33">
        <v>5554</v>
      </c>
      <c r="C5262" s="3">
        <v>200000</v>
      </c>
      <c r="D5262" s="3">
        <v>200000</v>
      </c>
      <c r="E5262" s="31">
        <v>0</v>
      </c>
      <c r="F5262" s="5">
        <v>45968</v>
      </c>
      <c r="G5262" s="4">
        <v>20251106</v>
      </c>
      <c r="H5262" s="38" t="s">
        <v>30</v>
      </c>
      <c r="I5262" s="34"/>
      <c r="J5262" s="38" t="s">
        <v>604</v>
      </c>
    </row>
    <row r="5263" spans="1:10">
      <c r="A5263" s="32">
        <v>484</v>
      </c>
      <c r="B5263" s="33">
        <v>7226</v>
      </c>
      <c r="C5263" s="3">
        <v>3290000</v>
      </c>
      <c r="D5263" s="3">
        <v>3290000</v>
      </c>
      <c r="E5263" s="31">
        <v>0</v>
      </c>
      <c r="F5263" s="5">
        <v>45968</v>
      </c>
      <c r="G5263" s="4">
        <v>20251106</v>
      </c>
      <c r="H5263" s="38" t="s">
        <v>30</v>
      </c>
      <c r="I5263" s="34"/>
      <c r="J5263" s="38" t="s">
        <v>346</v>
      </c>
    </row>
    <row r="5264" spans="1:10">
      <c r="A5264" s="32">
        <v>484</v>
      </c>
      <c r="B5264" s="33">
        <v>7234</v>
      </c>
      <c r="C5264" s="3">
        <v>2150000</v>
      </c>
      <c r="D5264" s="3">
        <v>2150000</v>
      </c>
      <c r="E5264" s="31">
        <v>0</v>
      </c>
      <c r="F5264" s="5">
        <v>45968</v>
      </c>
      <c r="G5264" s="4">
        <v>20251106</v>
      </c>
      <c r="H5264" s="38" t="s">
        <v>30</v>
      </c>
      <c r="I5264" s="34"/>
      <c r="J5264" s="38" t="s">
        <v>606</v>
      </c>
    </row>
    <row r="5265" spans="1:10">
      <c r="A5265" s="32">
        <v>838</v>
      </c>
      <c r="B5265" s="33">
        <v>4009</v>
      </c>
      <c r="C5265" s="3">
        <v>3540000</v>
      </c>
      <c r="D5265" s="3">
        <v>3540000</v>
      </c>
      <c r="E5265" s="31">
        <v>0</v>
      </c>
      <c r="F5265" s="5">
        <v>45968</v>
      </c>
      <c r="G5265" s="4">
        <v>20251106</v>
      </c>
      <c r="H5265" s="38" t="s">
        <v>30</v>
      </c>
      <c r="I5265" s="34"/>
      <c r="J5265" s="38" t="s">
        <v>238</v>
      </c>
    </row>
    <row r="5266" spans="1:10">
      <c r="A5266" s="32">
        <v>42</v>
      </c>
      <c r="B5266" s="33">
        <v>7886</v>
      </c>
      <c r="C5266" s="3">
        <v>90000</v>
      </c>
      <c r="D5266" s="3">
        <v>90000</v>
      </c>
      <c r="E5266" s="31">
        <v>0</v>
      </c>
      <c r="F5266" s="5">
        <v>45968</v>
      </c>
      <c r="G5266" s="4">
        <v>20251106</v>
      </c>
      <c r="H5266" s="38" t="s">
        <v>30</v>
      </c>
      <c r="I5266" s="34" t="s">
        <v>9</v>
      </c>
      <c r="J5266" s="38" t="s">
        <v>227</v>
      </c>
    </row>
    <row r="5267" spans="1:10">
      <c r="A5267" s="32">
        <v>211</v>
      </c>
      <c r="B5267" s="33">
        <v>5308</v>
      </c>
      <c r="C5267" s="3">
        <v>50000</v>
      </c>
      <c r="D5267" s="3">
        <v>50000</v>
      </c>
      <c r="E5267" s="31">
        <v>0</v>
      </c>
      <c r="F5267" s="5">
        <v>45968</v>
      </c>
      <c r="G5267" s="4">
        <v>20251106</v>
      </c>
      <c r="H5267" s="38" t="s">
        <v>30</v>
      </c>
      <c r="I5267" s="34" t="s">
        <v>9</v>
      </c>
      <c r="J5267" s="38" t="s">
        <v>182</v>
      </c>
    </row>
    <row r="5268" spans="1:10">
      <c r="A5268" s="32">
        <v>332</v>
      </c>
      <c r="B5268" s="33">
        <v>2559</v>
      </c>
      <c r="C5268" s="3">
        <v>100000</v>
      </c>
      <c r="D5268" s="3">
        <v>100000</v>
      </c>
      <c r="E5268" s="31">
        <v>0</v>
      </c>
      <c r="F5268" s="5">
        <v>45968</v>
      </c>
      <c r="G5268" s="4">
        <v>20251106</v>
      </c>
      <c r="H5268" s="38" t="s">
        <v>30</v>
      </c>
      <c r="I5268" s="34" t="s">
        <v>9</v>
      </c>
      <c r="J5268" s="38" t="s">
        <v>503</v>
      </c>
    </row>
    <row r="5269" spans="1:10">
      <c r="A5269" s="32">
        <v>345</v>
      </c>
      <c r="B5269" s="33">
        <v>6254</v>
      </c>
      <c r="C5269" s="3">
        <v>320000</v>
      </c>
      <c r="D5269" s="3">
        <v>320000</v>
      </c>
      <c r="E5269" s="31">
        <v>0</v>
      </c>
      <c r="F5269" s="5">
        <v>45968</v>
      </c>
      <c r="G5269" s="4">
        <v>20251106</v>
      </c>
      <c r="H5269" s="38" t="s">
        <v>30</v>
      </c>
      <c r="I5269" s="34" t="s">
        <v>9</v>
      </c>
      <c r="J5269" s="38" t="s">
        <v>64</v>
      </c>
    </row>
    <row r="5270" spans="1:10">
      <c r="A5270" s="32">
        <v>457</v>
      </c>
      <c r="B5270" s="33">
        <v>9001</v>
      </c>
      <c r="C5270" s="3">
        <v>400000</v>
      </c>
      <c r="D5270" s="3">
        <v>400000</v>
      </c>
      <c r="E5270" s="31">
        <v>0</v>
      </c>
      <c r="F5270" s="5">
        <v>45968</v>
      </c>
      <c r="G5270" s="4">
        <v>20251106</v>
      </c>
      <c r="H5270" s="38" t="s">
        <v>30</v>
      </c>
      <c r="I5270" s="34" t="s">
        <v>9</v>
      </c>
      <c r="J5270" s="38" t="s">
        <v>166</v>
      </c>
    </row>
    <row r="5271" spans="1:10">
      <c r="A5271" s="32">
        <v>300</v>
      </c>
      <c r="B5271" s="33">
        <v>5139</v>
      </c>
      <c r="C5271" s="3">
        <v>3040000</v>
      </c>
      <c r="D5271" s="3">
        <v>3040000</v>
      </c>
      <c r="E5271" s="31">
        <v>0</v>
      </c>
      <c r="F5271" s="5">
        <v>45968</v>
      </c>
      <c r="G5271" s="4">
        <v>20251106</v>
      </c>
      <c r="H5271" s="38" t="s">
        <v>24</v>
      </c>
      <c r="I5271" s="34" t="s">
        <v>9</v>
      </c>
      <c r="J5271" s="38" t="s">
        <v>51</v>
      </c>
    </row>
    <row r="5272" spans="1:10">
      <c r="A5272" s="32">
        <v>674</v>
      </c>
      <c r="B5272" s="33">
        <v>5200</v>
      </c>
      <c r="C5272" s="3">
        <v>2519950</v>
      </c>
      <c r="D5272" s="3">
        <v>2519950</v>
      </c>
      <c r="E5272" s="31">
        <v>0</v>
      </c>
      <c r="F5272" s="5">
        <v>45968</v>
      </c>
      <c r="G5272" s="4">
        <v>20251106</v>
      </c>
      <c r="H5272" s="38" t="s">
        <v>24</v>
      </c>
      <c r="I5272" s="34" t="s">
        <v>9</v>
      </c>
      <c r="J5272" s="38" t="s">
        <v>93</v>
      </c>
    </row>
    <row r="5273" spans="1:10">
      <c r="A5273" s="32">
        <v>115</v>
      </c>
      <c r="B5273" s="33">
        <v>5080</v>
      </c>
      <c r="C5273" s="3">
        <v>1439000</v>
      </c>
      <c r="D5273" s="3">
        <v>1439000</v>
      </c>
      <c r="E5273" s="31">
        <v>0</v>
      </c>
      <c r="F5273" s="5">
        <v>45968</v>
      </c>
      <c r="G5273" s="4">
        <v>20251106</v>
      </c>
      <c r="H5273" s="38" t="s">
        <v>24</v>
      </c>
      <c r="I5273" s="34" t="s">
        <v>9</v>
      </c>
      <c r="J5273" s="38" t="s">
        <v>263</v>
      </c>
    </row>
    <row r="5274" spans="1:10">
      <c r="A5274" s="32">
        <v>54</v>
      </c>
      <c r="B5274" s="33">
        <v>6204</v>
      </c>
      <c r="C5274" s="3">
        <v>820000</v>
      </c>
      <c r="D5274" s="3">
        <v>820000</v>
      </c>
      <c r="E5274" s="31">
        <v>0</v>
      </c>
      <c r="F5274" s="5">
        <v>45968</v>
      </c>
      <c r="G5274" s="4">
        <v>20251106</v>
      </c>
      <c r="H5274" s="38" t="s">
        <v>24</v>
      </c>
      <c r="I5274" s="34" t="s">
        <v>9</v>
      </c>
      <c r="J5274" s="38" t="s">
        <v>152</v>
      </c>
    </row>
    <row r="5275" spans="1:10">
      <c r="A5275" s="32">
        <v>76</v>
      </c>
      <c r="B5275" s="33">
        <v>5126</v>
      </c>
      <c r="C5275" s="3">
        <v>205000</v>
      </c>
      <c r="D5275" s="3">
        <v>205000</v>
      </c>
      <c r="E5275" s="31">
        <v>0</v>
      </c>
      <c r="F5275" s="5">
        <v>45968</v>
      </c>
      <c r="G5275" s="4">
        <v>20251106</v>
      </c>
      <c r="H5275" s="38" t="s">
        <v>24</v>
      </c>
      <c r="I5275" s="34" t="s">
        <v>9</v>
      </c>
      <c r="J5275" s="38" t="s">
        <v>607</v>
      </c>
    </row>
    <row r="5276" spans="1:10">
      <c r="A5276" s="32">
        <v>211</v>
      </c>
      <c r="B5276" s="33">
        <v>5308</v>
      </c>
      <c r="C5276" s="3">
        <v>50000</v>
      </c>
      <c r="D5276" s="3">
        <v>50000</v>
      </c>
      <c r="E5276" s="31">
        <v>0</v>
      </c>
      <c r="F5276" s="5">
        <v>45971</v>
      </c>
      <c r="G5276" s="4">
        <v>20251110</v>
      </c>
      <c r="H5276" s="38" t="s">
        <v>30</v>
      </c>
      <c r="I5276" s="34" t="s">
        <v>9</v>
      </c>
      <c r="J5276" s="38" t="s">
        <v>182</v>
      </c>
    </row>
    <row r="5277" spans="1:10">
      <c r="A5277" s="32">
        <v>297</v>
      </c>
      <c r="B5277" s="33">
        <v>5398</v>
      </c>
      <c r="C5277" s="3">
        <v>2700000</v>
      </c>
      <c r="D5277" s="3">
        <v>2700000</v>
      </c>
      <c r="E5277" s="31">
        <v>0</v>
      </c>
      <c r="F5277" s="5">
        <v>45971</v>
      </c>
      <c r="G5277" s="4">
        <v>20251110</v>
      </c>
      <c r="H5277" s="38" t="s">
        <v>30</v>
      </c>
      <c r="I5277" s="34" t="s">
        <v>9</v>
      </c>
      <c r="J5277" s="38" t="s">
        <v>312</v>
      </c>
    </row>
    <row r="5278" spans="1:10">
      <c r="A5278" s="32">
        <v>115</v>
      </c>
      <c r="B5278" s="33">
        <v>5080</v>
      </c>
      <c r="C5278" s="3">
        <v>1521000</v>
      </c>
      <c r="D5278" s="3">
        <v>1521000</v>
      </c>
      <c r="E5278" s="31">
        <v>0</v>
      </c>
      <c r="F5278" s="5">
        <v>45971</v>
      </c>
      <c r="G5278" s="4">
        <v>20251109</v>
      </c>
      <c r="H5278" s="38" t="s">
        <v>24</v>
      </c>
      <c r="I5278" s="34" t="s">
        <v>9</v>
      </c>
      <c r="J5278" s="38" t="s">
        <v>263</v>
      </c>
    </row>
    <row r="5279" spans="1:10">
      <c r="A5279" s="32">
        <v>167</v>
      </c>
      <c r="B5279" s="33">
        <v>5030</v>
      </c>
      <c r="C5279" s="3">
        <v>700000</v>
      </c>
      <c r="D5279" s="3">
        <v>700000</v>
      </c>
      <c r="E5279" s="31">
        <v>0</v>
      </c>
      <c r="F5279" s="5">
        <v>45971</v>
      </c>
      <c r="G5279" s="4">
        <v>20251109</v>
      </c>
      <c r="H5279" s="38" t="s">
        <v>24</v>
      </c>
      <c r="I5279" s="34" t="s">
        <v>9</v>
      </c>
      <c r="J5279" s="38" t="s">
        <v>330</v>
      </c>
    </row>
    <row r="5280" spans="1:10">
      <c r="A5280" s="32">
        <v>343</v>
      </c>
      <c r="B5280" s="33">
        <v>7954</v>
      </c>
      <c r="C5280" s="3">
        <v>600000</v>
      </c>
      <c r="D5280" s="3">
        <v>600000</v>
      </c>
      <c r="E5280" s="7">
        <v>0</v>
      </c>
      <c r="F5280" s="5">
        <v>45932</v>
      </c>
      <c r="G5280" s="4">
        <v>20251001</v>
      </c>
      <c r="H5280" s="38" t="s">
        <v>30</v>
      </c>
      <c r="I5280" s="34" t="s">
        <v>9</v>
      </c>
      <c r="J5280" s="38" t="s">
        <v>122</v>
      </c>
    </row>
    <row r="5281" spans="1:10">
      <c r="A5281" s="32">
        <v>101</v>
      </c>
      <c r="B5281" s="33">
        <v>5128</v>
      </c>
      <c r="C5281" s="3">
        <v>1206000</v>
      </c>
      <c r="D5281" s="3">
        <v>1206000</v>
      </c>
      <c r="E5281" s="7">
        <v>0</v>
      </c>
      <c r="F5281" s="5">
        <v>45932</v>
      </c>
      <c r="G5281" s="4">
        <v>20251001</v>
      </c>
      <c r="H5281" s="38" t="s">
        <v>24</v>
      </c>
      <c r="I5281" s="34" t="s">
        <v>9</v>
      </c>
      <c r="J5281" s="38" t="s">
        <v>294</v>
      </c>
    </row>
    <row r="5282" spans="1:10">
      <c r="A5282" s="32">
        <v>779</v>
      </c>
      <c r="B5282" s="33">
        <v>8685</v>
      </c>
      <c r="C5282" s="3">
        <v>3220200</v>
      </c>
      <c r="D5282" s="3">
        <v>3220200</v>
      </c>
      <c r="E5282" s="7">
        <v>0</v>
      </c>
      <c r="F5282" s="5">
        <v>45933</v>
      </c>
      <c r="G5282" s="4">
        <v>20251002</v>
      </c>
      <c r="H5282" s="38" t="s">
        <v>24</v>
      </c>
      <c r="I5282" s="34" t="s">
        <v>9</v>
      </c>
      <c r="J5282" s="38" t="s">
        <v>184</v>
      </c>
    </row>
    <row r="5283" spans="1:10">
      <c r="A5283" s="32">
        <v>236</v>
      </c>
      <c r="B5283" s="33">
        <v>6242</v>
      </c>
      <c r="C5283" s="3">
        <v>3865000</v>
      </c>
      <c r="D5283" s="3">
        <v>3865000</v>
      </c>
      <c r="E5283" s="7">
        <v>0</v>
      </c>
      <c r="F5283" s="5">
        <v>45937</v>
      </c>
      <c r="G5283" s="4">
        <v>20251006</v>
      </c>
      <c r="H5283" s="38" t="s">
        <v>24</v>
      </c>
      <c r="I5283" s="34" t="s">
        <v>9</v>
      </c>
      <c r="J5283" s="38" t="s">
        <v>578</v>
      </c>
    </row>
    <row r="5284" spans="1:10">
      <c r="A5284" s="32">
        <v>38</v>
      </c>
      <c r="B5284" s="33">
        <v>6554</v>
      </c>
      <c r="C5284" s="3">
        <v>60000</v>
      </c>
      <c r="D5284" s="3">
        <v>60000</v>
      </c>
      <c r="E5284" s="7">
        <v>0</v>
      </c>
      <c r="F5284" s="5">
        <v>45944</v>
      </c>
      <c r="G5284" s="4">
        <v>20251013</v>
      </c>
      <c r="H5284" s="38" t="s">
        <v>30</v>
      </c>
      <c r="I5284" s="34" t="s">
        <v>9</v>
      </c>
      <c r="J5284" s="38" t="s">
        <v>84</v>
      </c>
    </row>
    <row r="5285" spans="1:10">
      <c r="A5285" s="32">
        <v>60</v>
      </c>
      <c r="B5285" s="33">
        <v>8726</v>
      </c>
      <c r="C5285" s="3">
        <v>20000</v>
      </c>
      <c r="D5285" s="3">
        <v>20000</v>
      </c>
      <c r="E5285" s="7">
        <v>0</v>
      </c>
      <c r="F5285" s="5">
        <v>45946</v>
      </c>
      <c r="G5285" s="4">
        <v>20251015</v>
      </c>
      <c r="H5285" s="38" t="s">
        <v>30</v>
      </c>
      <c r="I5285" s="34"/>
      <c r="J5285" s="38" t="s">
        <v>608</v>
      </c>
    </row>
    <row r="5286" spans="1:10">
      <c r="A5286" s="32">
        <v>96</v>
      </c>
      <c r="B5286" s="33">
        <v>6735</v>
      </c>
      <c r="C5286" s="3">
        <v>10590000</v>
      </c>
      <c r="D5286" s="3">
        <v>10590000</v>
      </c>
      <c r="E5286" s="7">
        <v>0</v>
      </c>
      <c r="F5286" s="5">
        <v>45951</v>
      </c>
      <c r="G5286" s="4">
        <v>20251020</v>
      </c>
      <c r="H5286" s="38" t="s">
        <v>24</v>
      </c>
      <c r="I5286" s="34"/>
      <c r="J5286" s="38" t="s">
        <v>603</v>
      </c>
    </row>
    <row r="5287" spans="1:10">
      <c r="A5287" s="32">
        <v>667</v>
      </c>
      <c r="B5287" s="33">
        <v>5167</v>
      </c>
      <c r="C5287" s="3">
        <v>1530000</v>
      </c>
      <c r="D5287" s="3">
        <v>1530000</v>
      </c>
      <c r="E5287" s="7">
        <v>0</v>
      </c>
      <c r="F5287" s="5">
        <v>45951</v>
      </c>
      <c r="G5287" s="4">
        <v>20251020</v>
      </c>
      <c r="H5287" s="38" t="s">
        <v>24</v>
      </c>
      <c r="I5287" s="34" t="s">
        <v>9</v>
      </c>
      <c r="J5287" s="38" t="s">
        <v>277</v>
      </c>
    </row>
    <row r="5288" spans="1:10">
      <c r="A5288" s="32">
        <v>60</v>
      </c>
      <c r="B5288" s="33">
        <v>8721</v>
      </c>
      <c r="C5288" s="3">
        <v>800000</v>
      </c>
      <c r="D5288" s="3">
        <v>800000</v>
      </c>
      <c r="E5288" s="7">
        <v>0</v>
      </c>
      <c r="F5288" s="5">
        <v>45952</v>
      </c>
      <c r="G5288" s="4">
        <v>20251021</v>
      </c>
      <c r="H5288" s="38" t="s">
        <v>30</v>
      </c>
      <c r="I5288" s="34" t="s">
        <v>9</v>
      </c>
      <c r="J5288" s="38" t="s">
        <v>59</v>
      </c>
    </row>
    <row r="5289" spans="1:10">
      <c r="A5289" s="32">
        <v>163</v>
      </c>
      <c r="B5289" s="33">
        <v>4130</v>
      </c>
      <c r="C5289" s="3">
        <v>10000</v>
      </c>
      <c r="D5289" s="3">
        <v>10000</v>
      </c>
      <c r="E5289" s="7">
        <v>0</v>
      </c>
      <c r="F5289" s="5">
        <v>45952</v>
      </c>
      <c r="G5289" s="4">
        <v>20251021</v>
      </c>
      <c r="H5289" s="38" t="s">
        <v>30</v>
      </c>
      <c r="I5289" s="34" t="s">
        <v>10</v>
      </c>
      <c r="J5289" s="38" t="s">
        <v>148</v>
      </c>
    </row>
    <row r="5290" spans="1:10">
      <c r="A5290" s="32">
        <v>343</v>
      </c>
      <c r="B5290" s="33">
        <v>7954</v>
      </c>
      <c r="C5290" s="3">
        <v>150000</v>
      </c>
      <c r="D5290" s="3">
        <v>150000</v>
      </c>
      <c r="E5290" s="7">
        <v>0</v>
      </c>
      <c r="F5290" s="5">
        <v>45954</v>
      </c>
      <c r="G5290" s="4">
        <v>20251023</v>
      </c>
      <c r="H5290" s="38" t="s">
        <v>30</v>
      </c>
      <c r="I5290" s="34"/>
      <c r="J5290" s="38" t="s">
        <v>122</v>
      </c>
    </row>
    <row r="5291" spans="1:10">
      <c r="A5291" s="32">
        <v>79</v>
      </c>
      <c r="B5291" s="33">
        <v>6245</v>
      </c>
      <c r="C5291" s="3">
        <v>4850000</v>
      </c>
      <c r="D5291" s="3">
        <v>4850000</v>
      </c>
      <c r="E5291" s="7">
        <v>0</v>
      </c>
      <c r="F5291" s="5">
        <v>45954</v>
      </c>
      <c r="G5291" s="4">
        <v>20251023</v>
      </c>
      <c r="H5291" s="38" t="s">
        <v>24</v>
      </c>
      <c r="I5291" s="34"/>
      <c r="J5291" s="38" t="s">
        <v>202</v>
      </c>
    </row>
    <row r="5292" spans="1:10">
      <c r="A5292" s="32">
        <v>779</v>
      </c>
      <c r="B5292" s="33">
        <v>8685</v>
      </c>
      <c r="C5292" s="3">
        <v>7263500</v>
      </c>
      <c r="D5292" s="3">
        <v>7263500</v>
      </c>
      <c r="E5292" s="7">
        <v>0</v>
      </c>
      <c r="F5292" s="5">
        <v>45954</v>
      </c>
      <c r="G5292" s="4">
        <v>20251023</v>
      </c>
      <c r="H5292" s="38" t="s">
        <v>24</v>
      </c>
      <c r="I5292" s="34"/>
      <c r="J5292" s="38" t="s">
        <v>184</v>
      </c>
    </row>
    <row r="5293" spans="1:10">
      <c r="A5293" s="32">
        <v>163</v>
      </c>
      <c r="B5293" s="33">
        <v>4130</v>
      </c>
      <c r="C5293" s="3">
        <v>100000</v>
      </c>
      <c r="D5293" s="3">
        <v>100000</v>
      </c>
      <c r="E5293" s="7">
        <v>0</v>
      </c>
      <c r="F5293" s="5">
        <v>45957</v>
      </c>
      <c r="G5293" s="4">
        <v>20251026</v>
      </c>
      <c r="H5293" s="38" t="s">
        <v>30</v>
      </c>
      <c r="I5293" s="34" t="s">
        <v>9</v>
      </c>
      <c r="J5293" s="38" t="s">
        <v>148</v>
      </c>
    </row>
    <row r="5294" spans="1:10">
      <c r="A5294" s="32">
        <v>993</v>
      </c>
      <c r="B5294" s="33">
        <v>3469</v>
      </c>
      <c r="C5294" s="3">
        <v>670000</v>
      </c>
      <c r="D5294" s="3">
        <v>670000</v>
      </c>
      <c r="E5294" s="7">
        <v>0</v>
      </c>
      <c r="F5294" s="5">
        <v>45957</v>
      </c>
      <c r="G5294" s="4">
        <v>20251026</v>
      </c>
      <c r="H5294" s="38" t="s">
        <v>30</v>
      </c>
      <c r="I5294" s="34" t="s">
        <v>9</v>
      </c>
      <c r="J5294" s="38" t="s">
        <v>533</v>
      </c>
    </row>
    <row r="5295" spans="1:10">
      <c r="A5295" s="32">
        <v>291</v>
      </c>
      <c r="B5295" s="33">
        <v>5114</v>
      </c>
      <c r="C5295" s="3">
        <v>3606400</v>
      </c>
      <c r="D5295" s="3">
        <v>3606400</v>
      </c>
      <c r="E5295" s="7">
        <v>0</v>
      </c>
      <c r="F5295" s="5">
        <v>45957</v>
      </c>
      <c r="G5295" s="4">
        <v>20251024</v>
      </c>
      <c r="H5295" s="38" t="s">
        <v>24</v>
      </c>
      <c r="I5295" s="34"/>
      <c r="J5295" s="38" t="s">
        <v>245</v>
      </c>
    </row>
    <row r="5296" spans="1:10">
      <c r="A5296" s="32">
        <v>741</v>
      </c>
      <c r="B5296" s="33">
        <v>6843</v>
      </c>
      <c r="C5296" s="3">
        <v>1935000</v>
      </c>
      <c r="D5296" s="3">
        <v>1935000</v>
      </c>
      <c r="E5296" s="7">
        <v>0</v>
      </c>
      <c r="F5296" s="5">
        <v>45957</v>
      </c>
      <c r="G5296" s="4">
        <v>20251026</v>
      </c>
      <c r="H5296" s="38" t="s">
        <v>24</v>
      </c>
      <c r="I5296" s="34" t="s">
        <v>9</v>
      </c>
      <c r="J5296" s="38" t="s">
        <v>89</v>
      </c>
    </row>
    <row r="5297" spans="1:10">
      <c r="A5297" s="32">
        <v>388</v>
      </c>
      <c r="B5297" s="33">
        <v>5169</v>
      </c>
      <c r="C5297" s="3">
        <v>570000</v>
      </c>
      <c r="D5297" s="3">
        <v>570000</v>
      </c>
      <c r="E5297" s="7">
        <v>0</v>
      </c>
      <c r="F5297" s="5">
        <v>45957</v>
      </c>
      <c r="G5297" s="4">
        <v>20251026</v>
      </c>
      <c r="H5297" s="38" t="s">
        <v>24</v>
      </c>
      <c r="I5297" s="34" t="s">
        <v>9</v>
      </c>
      <c r="J5297" s="38" t="s">
        <v>186</v>
      </c>
    </row>
    <row r="5298" spans="1:10">
      <c r="A5298" s="32">
        <v>163</v>
      </c>
      <c r="B5298" s="33">
        <v>4130</v>
      </c>
      <c r="C5298" s="3">
        <v>340000</v>
      </c>
      <c r="D5298" s="3">
        <v>340000</v>
      </c>
      <c r="E5298" s="7">
        <v>0</v>
      </c>
      <c r="F5298" s="5">
        <v>45958</v>
      </c>
      <c r="G5298" s="4">
        <v>20251027</v>
      </c>
      <c r="H5298" s="38" t="s">
        <v>30</v>
      </c>
      <c r="I5298" s="34"/>
      <c r="J5298" s="38" t="s">
        <v>148</v>
      </c>
    </row>
    <row r="5299" spans="1:10">
      <c r="A5299" s="32">
        <v>292</v>
      </c>
      <c r="B5299" s="33">
        <v>5116</v>
      </c>
      <c r="C5299" s="3">
        <v>2520000</v>
      </c>
      <c r="D5299" s="3">
        <v>2520000</v>
      </c>
      <c r="E5299" s="7">
        <v>0</v>
      </c>
      <c r="F5299" s="5">
        <v>45958</v>
      </c>
      <c r="G5299" s="4">
        <v>20251027</v>
      </c>
      <c r="H5299" s="38" t="s">
        <v>24</v>
      </c>
      <c r="I5299" s="34" t="s">
        <v>9</v>
      </c>
      <c r="J5299" s="38" t="s">
        <v>372</v>
      </c>
    </row>
    <row r="5300" spans="1:10">
      <c r="A5300" s="32">
        <v>388</v>
      </c>
      <c r="B5300" s="33">
        <v>5169</v>
      </c>
      <c r="C5300" s="3">
        <v>50000</v>
      </c>
      <c r="D5300" s="3">
        <v>50000</v>
      </c>
      <c r="E5300" s="7">
        <v>0</v>
      </c>
      <c r="F5300" s="5">
        <v>45958</v>
      </c>
      <c r="G5300" s="4">
        <v>20251027</v>
      </c>
      <c r="H5300" s="38" t="s">
        <v>24</v>
      </c>
      <c r="I5300" s="34" t="s">
        <v>9</v>
      </c>
      <c r="J5300" s="38" t="s">
        <v>186</v>
      </c>
    </row>
    <row r="5301" spans="1:10">
      <c r="A5301" s="32">
        <v>388</v>
      </c>
      <c r="B5301" s="33">
        <v>5169</v>
      </c>
      <c r="C5301" s="3">
        <v>3315000</v>
      </c>
      <c r="D5301" s="3">
        <v>3315000</v>
      </c>
      <c r="E5301" s="7">
        <v>0</v>
      </c>
      <c r="F5301" s="5">
        <v>45959</v>
      </c>
      <c r="G5301" s="4">
        <v>20251028</v>
      </c>
      <c r="H5301" s="38" t="s">
        <v>24</v>
      </c>
      <c r="I5301" s="34" t="s">
        <v>9</v>
      </c>
      <c r="J5301" s="38" t="s">
        <v>186</v>
      </c>
    </row>
    <row r="5302" spans="1:10">
      <c r="A5302" s="32">
        <v>721</v>
      </c>
      <c r="B5302" s="33">
        <v>8897</v>
      </c>
      <c r="C5302" s="3">
        <v>1917900</v>
      </c>
      <c r="D5302" s="3">
        <v>1917900</v>
      </c>
      <c r="E5302" s="7">
        <v>0</v>
      </c>
      <c r="F5302" s="5">
        <v>45959</v>
      </c>
      <c r="G5302" s="4">
        <v>20251028</v>
      </c>
      <c r="H5302" s="38" t="s">
        <v>24</v>
      </c>
      <c r="I5302" s="34" t="s">
        <v>9</v>
      </c>
      <c r="J5302" s="38" t="s">
        <v>476</v>
      </c>
    </row>
    <row r="5303" spans="1:10">
      <c r="A5303" s="32">
        <v>15</v>
      </c>
      <c r="B5303" s="33">
        <v>8577</v>
      </c>
      <c r="C5303" s="3">
        <v>2891600</v>
      </c>
      <c r="D5303" s="3">
        <v>2891600</v>
      </c>
      <c r="E5303" s="7">
        <v>0</v>
      </c>
      <c r="F5303" s="5">
        <v>45960</v>
      </c>
      <c r="G5303" s="4">
        <v>20251029</v>
      </c>
      <c r="H5303" s="38" t="s">
        <v>24</v>
      </c>
      <c r="I5303" s="34" t="s">
        <v>9</v>
      </c>
      <c r="J5303" s="38" t="s">
        <v>374</v>
      </c>
    </row>
    <row r="5304" spans="1:10">
      <c r="A5304" s="32">
        <v>829</v>
      </c>
      <c r="B5304" s="33">
        <v>5137</v>
      </c>
      <c r="C5304" s="3">
        <v>2106000</v>
      </c>
      <c r="D5304" s="3">
        <v>2106000</v>
      </c>
      <c r="E5304" s="7">
        <v>0</v>
      </c>
      <c r="F5304" s="5">
        <v>45960</v>
      </c>
      <c r="G5304" s="4">
        <v>20251029</v>
      </c>
      <c r="H5304" s="38" t="s">
        <v>24</v>
      </c>
      <c r="I5304" s="34" t="s">
        <v>9</v>
      </c>
      <c r="J5304" s="38" t="s">
        <v>50</v>
      </c>
    </row>
    <row r="5305" spans="1:10">
      <c r="A5305" s="32">
        <v>957</v>
      </c>
      <c r="B5305" s="33">
        <v>9512</v>
      </c>
      <c r="C5305" s="3">
        <v>3190000</v>
      </c>
      <c r="D5305" s="3">
        <v>3190000</v>
      </c>
      <c r="E5305" s="7">
        <v>0</v>
      </c>
      <c r="F5305" s="5">
        <v>45961</v>
      </c>
      <c r="G5305" s="4">
        <v>20251030</v>
      </c>
      <c r="H5305" s="38" t="s">
        <v>24</v>
      </c>
      <c r="I5305" s="34" t="s">
        <v>9</v>
      </c>
      <c r="J5305" s="38" t="s">
        <v>297</v>
      </c>
    </row>
    <row r="5306" spans="1:10">
      <c r="A5306" s="32">
        <v>667</v>
      </c>
      <c r="B5306" s="33">
        <v>5167</v>
      </c>
      <c r="C5306" s="3">
        <v>2963400</v>
      </c>
      <c r="D5306" s="3">
        <v>2963400</v>
      </c>
      <c r="E5306" s="7">
        <v>0</v>
      </c>
      <c r="F5306" s="5">
        <v>45961</v>
      </c>
      <c r="G5306" s="4">
        <v>20251030</v>
      </c>
      <c r="H5306" s="38" t="s">
        <v>24</v>
      </c>
      <c r="I5306" s="34" t="s">
        <v>9</v>
      </c>
      <c r="J5306" s="38" t="s">
        <v>277</v>
      </c>
    </row>
    <row r="5307" spans="1:10">
      <c r="A5307" s="32">
        <v>331</v>
      </c>
      <c r="B5307" s="33">
        <v>574</v>
      </c>
      <c r="C5307" s="3">
        <v>2641750</v>
      </c>
      <c r="D5307" s="3">
        <v>2641750</v>
      </c>
      <c r="E5307" s="7">
        <v>0</v>
      </c>
      <c r="F5307" s="5">
        <v>45961</v>
      </c>
      <c r="G5307" s="4">
        <v>20251030</v>
      </c>
      <c r="H5307" s="38" t="s">
        <v>24</v>
      </c>
      <c r="I5307" s="34" t="s">
        <v>9</v>
      </c>
      <c r="J5307" s="38" t="s">
        <v>457</v>
      </c>
    </row>
    <row r="5308" spans="1:10">
      <c r="A5308" s="32">
        <v>163</v>
      </c>
      <c r="B5308" s="33">
        <v>4130</v>
      </c>
      <c r="C5308" s="3">
        <v>80000</v>
      </c>
      <c r="D5308" s="3">
        <v>80000</v>
      </c>
      <c r="E5308" s="31">
        <v>0</v>
      </c>
      <c r="F5308" s="5">
        <v>45965</v>
      </c>
      <c r="G5308" s="4">
        <v>20251103</v>
      </c>
      <c r="H5308" s="38" t="s">
        <v>30</v>
      </c>
      <c r="I5308" s="34" t="s">
        <v>9</v>
      </c>
      <c r="J5308" s="38" t="s">
        <v>148</v>
      </c>
    </row>
    <row r="5309" spans="1:10">
      <c r="A5309" s="32">
        <v>762</v>
      </c>
      <c r="B5309" s="33">
        <v>5181</v>
      </c>
      <c r="C5309" s="3">
        <v>730000</v>
      </c>
      <c r="D5309" s="3">
        <v>730000</v>
      </c>
      <c r="E5309" s="31">
        <v>0</v>
      </c>
      <c r="F5309" s="5">
        <v>45965</v>
      </c>
      <c r="G5309" s="4">
        <v>20251103</v>
      </c>
      <c r="H5309" s="38" t="s">
        <v>24</v>
      </c>
      <c r="I5309" s="34" t="s">
        <v>9</v>
      </c>
      <c r="J5309" s="38" t="s">
        <v>304</v>
      </c>
    </row>
    <row r="5310" spans="1:10">
      <c r="A5310" s="32">
        <v>762</v>
      </c>
      <c r="B5310" s="33">
        <v>5181</v>
      </c>
      <c r="C5310" s="3">
        <v>390000</v>
      </c>
      <c r="D5310" s="3">
        <v>390000</v>
      </c>
      <c r="E5310" s="31">
        <v>0</v>
      </c>
      <c r="F5310" s="5">
        <v>45966</v>
      </c>
      <c r="G5310" s="4">
        <v>20251104</v>
      </c>
      <c r="H5310" s="38" t="s">
        <v>24</v>
      </c>
      <c r="I5310" s="34" t="s">
        <v>9</v>
      </c>
      <c r="J5310" s="38" t="s">
        <v>304</v>
      </c>
    </row>
    <row r="5311" spans="1:10">
      <c r="A5311" s="32">
        <v>96</v>
      </c>
      <c r="B5311" s="33">
        <v>1036</v>
      </c>
      <c r="C5311" s="3">
        <v>300000</v>
      </c>
      <c r="D5311" s="3">
        <v>300000</v>
      </c>
      <c r="E5311" s="31">
        <v>0</v>
      </c>
      <c r="F5311" s="5">
        <v>45967</v>
      </c>
      <c r="G5311" s="4">
        <v>20251105</v>
      </c>
      <c r="H5311" s="38" t="s">
        <v>30</v>
      </c>
      <c r="I5311" s="34" t="s">
        <v>9</v>
      </c>
      <c r="J5311" s="38" t="s">
        <v>161</v>
      </c>
    </row>
    <row r="5312" spans="1:10">
      <c r="A5312" s="32">
        <v>163</v>
      </c>
      <c r="B5312" s="33">
        <v>5553</v>
      </c>
      <c r="C5312" s="3">
        <v>990000</v>
      </c>
      <c r="D5312" s="3">
        <v>990000</v>
      </c>
      <c r="E5312" s="31">
        <v>0</v>
      </c>
      <c r="F5312" s="5">
        <v>45967</v>
      </c>
      <c r="G5312" s="4">
        <v>20251105</v>
      </c>
      <c r="H5312" s="38" t="s">
        <v>30</v>
      </c>
      <c r="I5312" s="34" t="s">
        <v>9</v>
      </c>
      <c r="J5312" s="38" t="s">
        <v>577</v>
      </c>
    </row>
    <row r="5313" spans="1:11">
      <c r="A5313" s="32">
        <v>631</v>
      </c>
      <c r="B5313" s="33">
        <v>2795</v>
      </c>
      <c r="C5313" s="3">
        <v>50000</v>
      </c>
      <c r="D5313" s="3">
        <v>50000</v>
      </c>
      <c r="E5313" s="31">
        <v>0</v>
      </c>
      <c r="F5313" s="5">
        <v>45967</v>
      </c>
      <c r="G5313" s="4">
        <v>20251105</v>
      </c>
      <c r="H5313" s="38" t="s">
        <v>30</v>
      </c>
      <c r="I5313" s="34" t="s">
        <v>9</v>
      </c>
      <c r="J5313" s="38" t="s">
        <v>98</v>
      </c>
    </row>
    <row r="5314" spans="1:11">
      <c r="A5314" s="32">
        <v>762</v>
      </c>
      <c r="B5314" s="33">
        <v>5181</v>
      </c>
      <c r="C5314" s="3">
        <v>3730000</v>
      </c>
      <c r="D5314" s="3">
        <v>3730000</v>
      </c>
      <c r="E5314" s="31">
        <v>0</v>
      </c>
      <c r="F5314" s="5">
        <v>45967</v>
      </c>
      <c r="G5314" s="4">
        <v>20251105</v>
      </c>
      <c r="H5314" s="38" t="s">
        <v>24</v>
      </c>
      <c r="I5314" s="34" t="s">
        <v>9</v>
      </c>
      <c r="J5314" s="38" t="s">
        <v>304</v>
      </c>
    </row>
    <row r="5315" spans="1:11">
      <c r="A5315" s="32">
        <v>201</v>
      </c>
      <c r="B5315" s="33">
        <v>6919</v>
      </c>
      <c r="C5315" s="3">
        <v>100000</v>
      </c>
      <c r="D5315" s="3">
        <v>100000</v>
      </c>
      <c r="E5315" s="31">
        <v>0</v>
      </c>
      <c r="F5315" s="5">
        <v>45968</v>
      </c>
      <c r="G5315" s="4">
        <v>20251106</v>
      </c>
      <c r="H5315" s="38" t="s">
        <v>30</v>
      </c>
      <c r="I5315" s="34"/>
      <c r="J5315" s="38" t="s">
        <v>609</v>
      </c>
    </row>
    <row r="5316" spans="1:11">
      <c r="A5316" s="32">
        <v>861</v>
      </c>
      <c r="B5316" s="33">
        <v>5957</v>
      </c>
      <c r="C5316" s="3">
        <v>300000</v>
      </c>
      <c r="D5316" s="3">
        <v>300000</v>
      </c>
      <c r="E5316" s="31">
        <v>0</v>
      </c>
      <c r="F5316" s="5">
        <v>45968</v>
      </c>
      <c r="G5316" s="4">
        <v>20251106</v>
      </c>
      <c r="H5316" s="38" t="s">
        <v>30</v>
      </c>
      <c r="I5316" s="34" t="s">
        <v>9</v>
      </c>
      <c r="J5316" s="38" t="s">
        <v>135</v>
      </c>
    </row>
    <row r="5317" spans="1:11">
      <c r="A5317" s="32">
        <v>96</v>
      </c>
      <c r="B5317" s="33">
        <v>1036</v>
      </c>
      <c r="C5317" s="3">
        <v>2600000</v>
      </c>
      <c r="D5317" s="3">
        <v>2600000</v>
      </c>
      <c r="E5317" s="31">
        <v>0</v>
      </c>
      <c r="F5317" s="5">
        <v>45971</v>
      </c>
      <c r="G5317" s="4">
        <v>20251109</v>
      </c>
      <c r="H5317" s="38" t="s">
        <v>30</v>
      </c>
      <c r="I5317" s="34" t="s">
        <v>9</v>
      </c>
      <c r="J5317" s="38" t="s">
        <v>161</v>
      </c>
    </row>
    <row r="5318" spans="1:11">
      <c r="A5318" s="32">
        <v>652</v>
      </c>
      <c r="B5318" s="33">
        <v>5070</v>
      </c>
      <c r="C5318" s="3">
        <v>2052000</v>
      </c>
      <c r="D5318" s="3">
        <v>2052000</v>
      </c>
      <c r="E5318" s="31">
        <v>0</v>
      </c>
      <c r="F5318" s="5">
        <v>45971</v>
      </c>
      <c r="G5318" s="4">
        <v>20251109</v>
      </c>
      <c r="H5318" s="38" t="s">
        <v>24</v>
      </c>
      <c r="I5318" s="34" t="s">
        <v>9</v>
      </c>
      <c r="J5318" s="38" t="s">
        <v>201</v>
      </c>
    </row>
    <row r="5319" spans="1:11">
      <c r="A5319" s="32">
        <v>168</v>
      </c>
      <c r="B5319" s="33">
        <v>5224</v>
      </c>
      <c r="C5319" s="3">
        <v>3940000</v>
      </c>
      <c r="D5319" s="3">
        <v>3940000</v>
      </c>
      <c r="E5319" s="31">
        <v>0</v>
      </c>
      <c r="F5319" s="5">
        <v>45972</v>
      </c>
      <c r="G5319" s="4">
        <v>20251110</v>
      </c>
      <c r="H5319" s="38" t="s">
        <v>24</v>
      </c>
      <c r="I5319" s="34" t="s">
        <v>9</v>
      </c>
      <c r="J5319" s="38" t="s">
        <v>248</v>
      </c>
    </row>
    <row r="5320" spans="1:11">
      <c r="A5320" s="32">
        <v>634</v>
      </c>
      <c r="B5320" s="33">
        <v>5087</v>
      </c>
      <c r="C5320" s="3">
        <v>3150000</v>
      </c>
      <c r="D5320" s="3">
        <v>3150000</v>
      </c>
      <c r="E5320" s="31">
        <v>0</v>
      </c>
      <c r="F5320" s="5">
        <v>45972</v>
      </c>
      <c r="G5320" s="4">
        <v>20251110</v>
      </c>
      <c r="H5320" s="38" t="s">
        <v>24</v>
      </c>
      <c r="I5320" s="34" t="s">
        <v>9</v>
      </c>
      <c r="J5320" s="38" t="s">
        <v>183</v>
      </c>
    </row>
    <row r="5321" spans="1:11">
      <c r="A5321" s="32">
        <v>824</v>
      </c>
      <c r="B5321" s="33">
        <v>5040</v>
      </c>
      <c r="C5321" s="3">
        <v>2869950</v>
      </c>
      <c r="D5321" s="3">
        <v>2869950</v>
      </c>
      <c r="E5321" s="31">
        <v>0</v>
      </c>
      <c r="F5321" s="5">
        <v>45972</v>
      </c>
      <c r="G5321" s="4">
        <v>20251110</v>
      </c>
      <c r="H5321" s="38" t="s">
        <v>24</v>
      </c>
      <c r="I5321" s="34" t="s">
        <v>9</v>
      </c>
      <c r="J5321" s="38" t="s">
        <v>530</v>
      </c>
    </row>
    <row r="5322" spans="1:11">
      <c r="A5322" s="32">
        <v>937</v>
      </c>
      <c r="B5322" s="33">
        <v>5115</v>
      </c>
      <c r="C5322" s="3">
        <v>2525000</v>
      </c>
      <c r="D5322" s="3">
        <v>2525000</v>
      </c>
      <c r="E5322" s="31">
        <v>0</v>
      </c>
      <c r="F5322" s="5">
        <v>45972</v>
      </c>
      <c r="G5322" s="4">
        <v>20251110</v>
      </c>
      <c r="H5322" s="38" t="s">
        <v>24</v>
      </c>
      <c r="I5322" s="34" t="s">
        <v>9</v>
      </c>
      <c r="J5322" s="38" t="s">
        <v>164</v>
      </c>
    </row>
    <row r="5323" spans="1:11">
      <c r="A5323" s="32">
        <v>77</v>
      </c>
      <c r="B5323" s="33">
        <v>4853</v>
      </c>
      <c r="C5323" s="3">
        <v>50000</v>
      </c>
      <c r="D5323" s="3"/>
      <c r="E5323" s="7">
        <f t="shared" ref="E5323:E5386" si="104">+C5323-D5323</f>
        <v>50000</v>
      </c>
      <c r="F5323" s="5">
        <v>45932</v>
      </c>
      <c r="G5323" s="4">
        <v>20251001</v>
      </c>
      <c r="H5323" s="38" t="str">
        <f>VLOOKUP(B5323,CAJEROS!B:D,3,0)</f>
        <v>Dispensador</v>
      </c>
      <c r="I5323" s="34"/>
      <c r="J5323" s="38" t="str">
        <f>VLOOKUP(B5323,CAJEROS!B:E,4,0)</f>
        <v>SUC_TEQUEN1</v>
      </c>
      <c r="K5323" t="s">
        <v>610</v>
      </c>
    </row>
    <row r="5324" spans="1:11">
      <c r="A5324" s="32">
        <v>186</v>
      </c>
      <c r="B5324" s="33">
        <v>6510</v>
      </c>
      <c r="C5324" s="3">
        <v>30000</v>
      </c>
      <c r="D5324" s="3"/>
      <c r="E5324" s="7">
        <f t="shared" si="104"/>
        <v>30000</v>
      </c>
      <c r="F5324" s="5">
        <v>45932</v>
      </c>
      <c r="G5324" s="4">
        <v>20251001</v>
      </c>
      <c r="H5324" s="38" t="str">
        <f>VLOOKUP(B5324,CAJEROS!B:D,3,0)</f>
        <v>Dispensador</v>
      </c>
      <c r="I5324" s="34"/>
      <c r="J5324" s="38" t="str">
        <f>VLOOKUP(B5324,CAJEROS!B:E,4,0)</f>
        <v>SUC_GALERI3</v>
      </c>
      <c r="K5324" t="s">
        <v>610</v>
      </c>
    </row>
    <row r="5325" spans="1:11">
      <c r="A5325" s="32">
        <v>186</v>
      </c>
      <c r="B5325" s="33">
        <v>6513</v>
      </c>
      <c r="C5325" s="3">
        <v>150000</v>
      </c>
      <c r="D5325" s="3">
        <v>20000</v>
      </c>
      <c r="E5325" s="7">
        <f t="shared" si="104"/>
        <v>130000</v>
      </c>
      <c r="F5325" s="5">
        <v>45932</v>
      </c>
      <c r="G5325" s="4">
        <v>20251001</v>
      </c>
      <c r="H5325" s="38" t="str">
        <f>VLOOKUP(B5325,CAJEROS!B:D,3,0)</f>
        <v>Dispensador</v>
      </c>
      <c r="I5325" s="34"/>
      <c r="J5325" s="38" t="str">
        <f>VLOOKUP(B5325,CAJEROS!B:E,4,0)</f>
        <v>SUC_GALERI4</v>
      </c>
      <c r="K5325" t="s">
        <v>610</v>
      </c>
    </row>
    <row r="5326" spans="1:11">
      <c r="A5326" s="32">
        <v>240</v>
      </c>
      <c r="B5326" s="33">
        <v>4510</v>
      </c>
      <c r="C5326" s="3">
        <v>4010000</v>
      </c>
      <c r="D5326" s="3"/>
      <c r="E5326" s="7">
        <f t="shared" si="104"/>
        <v>4010000</v>
      </c>
      <c r="F5326" s="5">
        <v>45932</v>
      </c>
      <c r="G5326" s="4">
        <v>20251001</v>
      </c>
      <c r="H5326" s="38" t="str">
        <f>VLOOKUP(B5326,CAJEROS!B:D,3,0)</f>
        <v>Dispensador</v>
      </c>
      <c r="I5326" s="34"/>
      <c r="J5326" s="38" t="str">
        <f>VLOOKUP(B5326,CAJEROS!B:E,4,0)</f>
        <v>SUC_SANTFE1</v>
      </c>
      <c r="K5326" t="s">
        <v>610</v>
      </c>
    </row>
    <row r="5327" spans="1:11">
      <c r="A5327" s="32">
        <v>348</v>
      </c>
      <c r="B5327" s="33">
        <v>2991</v>
      </c>
      <c r="C5327" s="3">
        <v>100000</v>
      </c>
      <c r="D5327" s="3"/>
      <c r="E5327" s="7">
        <f t="shared" si="104"/>
        <v>100000</v>
      </c>
      <c r="F5327" s="5">
        <v>45932</v>
      </c>
      <c r="G5327" s="4">
        <v>20251001</v>
      </c>
      <c r="H5327" s="38" t="str">
        <f>VLOOKUP(B5327,CAJEROS!B:D,3,0)</f>
        <v>Dispensador</v>
      </c>
      <c r="I5327" s="34"/>
      <c r="J5327" s="38" t="str">
        <f>VLOOKUP(B5327,CAJEROS!B:E,4,0)</f>
        <v>SUCSANDRES4</v>
      </c>
      <c r="K5327" t="s">
        <v>610</v>
      </c>
    </row>
    <row r="5328" spans="1:11">
      <c r="A5328" s="32">
        <v>348</v>
      </c>
      <c r="B5328" s="33">
        <v>5649</v>
      </c>
      <c r="C5328" s="3">
        <v>1350000</v>
      </c>
      <c r="D5328" s="3">
        <v>150000</v>
      </c>
      <c r="E5328" s="7">
        <f t="shared" si="104"/>
        <v>1200000</v>
      </c>
      <c r="F5328" s="5">
        <v>45932</v>
      </c>
      <c r="G5328" s="4">
        <v>20251001</v>
      </c>
      <c r="H5328" s="38" t="str">
        <f>VLOOKUP(B5328,CAJEROS!B:D,3,0)</f>
        <v>Dispensador</v>
      </c>
      <c r="I5328" s="34"/>
      <c r="J5328" s="38" t="str">
        <f>VLOOKUP(B5328,CAJEROS!B:E,4,0)</f>
        <v>SUCSANDRES5</v>
      </c>
      <c r="K5328" t="s">
        <v>610</v>
      </c>
    </row>
    <row r="5329" spans="1:11">
      <c r="A5329" s="32">
        <v>426</v>
      </c>
      <c r="B5329" s="33">
        <v>7819</v>
      </c>
      <c r="C5329" s="3">
        <v>2420000</v>
      </c>
      <c r="D5329" s="3">
        <f>630000+250000+740000</f>
        <v>1620000</v>
      </c>
      <c r="E5329" s="7">
        <f t="shared" si="104"/>
        <v>800000</v>
      </c>
      <c r="F5329" s="5">
        <v>45932</v>
      </c>
      <c r="G5329" s="4">
        <v>20251001</v>
      </c>
      <c r="H5329" s="38" t="str">
        <f>VLOOKUP(B5329,CAJEROS!B:D,3,0)</f>
        <v>Dispensador</v>
      </c>
      <c r="I5329" s="34"/>
      <c r="J5329" s="38" t="str">
        <f>VLOOKUP(B5329,CAJEROS!B:E,4,0)</f>
        <v>PURIFICACI2</v>
      </c>
      <c r="K5329" t="s">
        <v>610</v>
      </c>
    </row>
    <row r="5330" spans="1:11">
      <c r="A5330" s="32">
        <v>68</v>
      </c>
      <c r="B5330" s="33">
        <v>4981</v>
      </c>
      <c r="C5330" s="3">
        <v>9640000</v>
      </c>
      <c r="D5330" s="3"/>
      <c r="E5330" s="7">
        <f t="shared" si="104"/>
        <v>9640000</v>
      </c>
      <c r="F5330" s="5">
        <v>45932</v>
      </c>
      <c r="G5330" s="4">
        <v>20251001</v>
      </c>
      <c r="H5330" s="38" t="str">
        <f>VLOOKUP(B5330,CAJEROS!B:D,3,0)</f>
        <v>Dispensador</v>
      </c>
      <c r="I5330" s="34" t="s">
        <v>9</v>
      </c>
      <c r="J5330" s="38" t="str">
        <f>VLOOKUP(B5330,CAJEROS!B:E,4,0)</f>
        <v>AUTO_IBAGU3</v>
      </c>
      <c r="K5330" t="s">
        <v>610</v>
      </c>
    </row>
    <row r="5331" spans="1:11">
      <c r="A5331" s="32">
        <v>111</v>
      </c>
      <c r="B5331" s="33">
        <v>3654</v>
      </c>
      <c r="C5331" s="3">
        <v>340000</v>
      </c>
      <c r="D5331" s="3"/>
      <c r="E5331" s="7">
        <f t="shared" si="104"/>
        <v>340000</v>
      </c>
      <c r="F5331" s="5">
        <v>45932</v>
      </c>
      <c r="G5331" s="4">
        <v>20251001</v>
      </c>
      <c r="H5331" s="38" t="str">
        <f>VLOOKUP(B5331,CAJEROS!B:D,3,0)</f>
        <v>Dispensador</v>
      </c>
      <c r="I5331" s="34" t="s">
        <v>9</v>
      </c>
      <c r="J5331" s="38" t="str">
        <f>VLOOKUP(B5331,CAJEROS!B:E,4,0)</f>
        <v>SUC_COROZ2</v>
      </c>
      <c r="K5331" t="s">
        <v>610</v>
      </c>
    </row>
    <row r="5332" spans="1:11">
      <c r="A5332" s="32">
        <v>201</v>
      </c>
      <c r="B5332" s="33">
        <v>6919</v>
      </c>
      <c r="C5332" s="3">
        <v>1000000</v>
      </c>
      <c r="D5332" s="3"/>
      <c r="E5332" s="7">
        <f t="shared" si="104"/>
        <v>1000000</v>
      </c>
      <c r="F5332" s="5">
        <v>45932</v>
      </c>
      <c r="G5332" s="4">
        <v>20251001</v>
      </c>
      <c r="H5332" s="38" t="str">
        <f>VLOOKUP(B5332,CAJEROS!B:D,3,0)</f>
        <v>Dispensador</v>
      </c>
      <c r="I5332" s="34" t="s">
        <v>9</v>
      </c>
      <c r="J5332" s="38" t="str">
        <f>VLOOKUP(B5332,CAJEROS!B:E,4,0)</f>
        <v>SUC_USASTB4</v>
      </c>
      <c r="K5332" t="s">
        <v>610</v>
      </c>
    </row>
    <row r="5333" spans="1:11">
      <c r="A5333" s="32">
        <v>229</v>
      </c>
      <c r="B5333" s="33">
        <v>8956</v>
      </c>
      <c r="C5333" s="3">
        <v>700000</v>
      </c>
      <c r="D5333" s="3">
        <v>680000</v>
      </c>
      <c r="E5333" s="7">
        <f t="shared" si="104"/>
        <v>20000</v>
      </c>
      <c r="F5333" s="5">
        <v>45932</v>
      </c>
      <c r="G5333" s="4">
        <v>20251001</v>
      </c>
      <c r="H5333" s="38" t="str">
        <f>VLOOKUP(B5333,CAJEROS!B:D,3,0)</f>
        <v>Dispensador</v>
      </c>
      <c r="I5333" s="34" t="s">
        <v>9</v>
      </c>
      <c r="J5333" s="38" t="str">
        <f>VLOOKUP(B5333,CAJEROS!B:E,4,0)</f>
        <v>SUCPASERIO2</v>
      </c>
      <c r="K5333" t="s">
        <v>610</v>
      </c>
    </row>
    <row r="5334" spans="1:11">
      <c r="A5334" s="32">
        <v>289</v>
      </c>
      <c r="B5334" s="33">
        <v>8225</v>
      </c>
      <c r="C5334" s="3">
        <v>1050000</v>
      </c>
      <c r="D5334" s="3"/>
      <c r="E5334" s="7">
        <f t="shared" si="104"/>
        <v>1050000</v>
      </c>
      <c r="F5334" s="5">
        <v>45932</v>
      </c>
      <c r="G5334" s="4">
        <v>20251001</v>
      </c>
      <c r="H5334" s="38" t="str">
        <f>VLOOKUP(B5334,CAJEROS!B:D,3,0)</f>
        <v>Dispensador</v>
      </c>
      <c r="I5334" s="34" t="s">
        <v>9</v>
      </c>
      <c r="J5334" s="38" t="str">
        <f>VLOOKUP(B5334,CAJEROS!B:E,4,0)</f>
        <v>PUERTO_GAI4</v>
      </c>
      <c r="K5334" t="s">
        <v>610</v>
      </c>
    </row>
    <row r="5335" spans="1:11">
      <c r="A5335" s="32">
        <v>335</v>
      </c>
      <c r="B5335" s="33">
        <v>5741</v>
      </c>
      <c r="C5335" s="3">
        <v>640000</v>
      </c>
      <c r="D5335" s="3">
        <v>140000</v>
      </c>
      <c r="E5335" s="7">
        <f t="shared" si="104"/>
        <v>500000</v>
      </c>
      <c r="F5335" s="5">
        <v>45932</v>
      </c>
      <c r="G5335" s="4">
        <v>20251001</v>
      </c>
      <c r="H5335" s="38" t="str">
        <f>VLOOKUP(B5335,CAJEROS!B:D,3,0)</f>
        <v>Dispensador</v>
      </c>
      <c r="I5335" s="34" t="s">
        <v>9</v>
      </c>
      <c r="J5335" s="38" t="str">
        <f>VLOOKUP(B5335,CAJEROS!B:E,4,0)</f>
        <v>SUC_CAJICA5</v>
      </c>
      <c r="K5335" t="s">
        <v>610</v>
      </c>
    </row>
    <row r="5336" spans="1:11">
      <c r="A5336" s="32">
        <v>343</v>
      </c>
      <c r="B5336" s="33">
        <v>7955</v>
      </c>
      <c r="C5336" s="3">
        <v>620000</v>
      </c>
      <c r="D5336" s="3">
        <v>610000</v>
      </c>
      <c r="E5336" s="7">
        <f t="shared" si="104"/>
        <v>10000</v>
      </c>
      <c r="F5336" s="5">
        <v>45932</v>
      </c>
      <c r="G5336" s="4">
        <v>20251001</v>
      </c>
      <c r="H5336" s="38" t="str">
        <f>VLOOKUP(B5336,CAJEROS!B:D,3,0)</f>
        <v>Dispensador</v>
      </c>
      <c r="I5336" s="34" t="s">
        <v>9</v>
      </c>
      <c r="J5336" s="38" t="str">
        <f>VLOOKUP(B5336,CAJEROS!B:E,4,0)</f>
        <v>SUCTABIO2</v>
      </c>
      <c r="K5336" t="s">
        <v>610</v>
      </c>
    </row>
    <row r="5337" spans="1:11">
      <c r="A5337" s="32">
        <v>385</v>
      </c>
      <c r="B5337" s="33">
        <v>6601</v>
      </c>
      <c r="C5337" s="3">
        <v>300000</v>
      </c>
      <c r="D5337" s="3"/>
      <c r="E5337" s="7">
        <f t="shared" si="104"/>
        <v>300000</v>
      </c>
      <c r="F5337" s="5">
        <v>45932</v>
      </c>
      <c r="G5337" s="4">
        <v>20251001</v>
      </c>
      <c r="H5337" s="38" t="str">
        <f>VLOOKUP(B5337,CAJEROS!B:D,3,0)</f>
        <v>Dispensador</v>
      </c>
      <c r="I5337" s="34" t="s">
        <v>9</v>
      </c>
      <c r="J5337" s="38" t="str">
        <f>VLOOKUP(B5337,CAJEROS!B:E,4,0)</f>
        <v>OFVILLETA_2</v>
      </c>
      <c r="K5337" t="s">
        <v>610</v>
      </c>
    </row>
    <row r="5338" spans="1:11">
      <c r="A5338" s="32">
        <v>466</v>
      </c>
      <c r="B5338" s="33">
        <v>6596</v>
      </c>
      <c r="C5338" s="3">
        <v>500000</v>
      </c>
      <c r="D5338" s="3"/>
      <c r="E5338" s="7">
        <f t="shared" si="104"/>
        <v>500000</v>
      </c>
      <c r="F5338" s="5">
        <v>45932</v>
      </c>
      <c r="G5338" s="4">
        <v>20251001</v>
      </c>
      <c r="H5338" s="38" t="str">
        <f>VLOOKUP(B5338,CAJEROS!B:D,3,0)</f>
        <v>Dispensador</v>
      </c>
      <c r="I5338" s="34" t="s">
        <v>9</v>
      </c>
      <c r="J5338" s="38" t="str">
        <f>VLOOKUP(B5338,CAJEROS!B:E,4,0)</f>
        <v>SUC_FLOREN1</v>
      </c>
      <c r="K5338" t="s">
        <v>610</v>
      </c>
    </row>
    <row r="5339" spans="1:11">
      <c r="A5339" s="32">
        <v>503</v>
      </c>
      <c r="B5339" s="33">
        <v>5032</v>
      </c>
      <c r="C5339" s="3">
        <v>150000</v>
      </c>
      <c r="D5339" s="3">
        <v>120000</v>
      </c>
      <c r="E5339" s="7">
        <f t="shared" si="104"/>
        <v>30000</v>
      </c>
      <c r="F5339" s="5">
        <v>45932</v>
      </c>
      <c r="G5339" s="4">
        <v>20251001</v>
      </c>
      <c r="H5339" s="38" t="str">
        <f>VLOOKUP(B5339,CAJEROS!B:D,3,0)</f>
        <v>Dispensador</v>
      </c>
      <c r="I5339" s="34" t="s">
        <v>9</v>
      </c>
      <c r="J5339" s="38" t="str">
        <f>VLOOKUP(B5339,CAJEROS!B:E,4,0)</f>
        <v>YARUMAL2</v>
      </c>
      <c r="K5339" t="s">
        <v>610</v>
      </c>
    </row>
    <row r="5340" spans="1:11">
      <c r="A5340" s="32">
        <v>536</v>
      </c>
      <c r="B5340" s="33">
        <v>4795</v>
      </c>
      <c r="C5340" s="3">
        <v>500000</v>
      </c>
      <c r="D5340" s="3">
        <v>150000</v>
      </c>
      <c r="E5340" s="7">
        <f t="shared" si="104"/>
        <v>350000</v>
      </c>
      <c r="F5340" s="5">
        <v>45932</v>
      </c>
      <c r="G5340" s="4">
        <v>20251001</v>
      </c>
      <c r="H5340" s="38" t="str">
        <f>VLOOKUP(B5340,CAJEROS!B:D,3,0)</f>
        <v>Dispensador</v>
      </c>
      <c r="I5340" s="34" t="s">
        <v>9</v>
      </c>
      <c r="J5340" s="38" t="str">
        <f>VLOOKUP(B5340,CAJEROS!B:E,4,0)</f>
        <v>SUC_QUIBDO1</v>
      </c>
      <c r="K5340" t="s">
        <v>610</v>
      </c>
    </row>
    <row r="5341" spans="1:11">
      <c r="A5341" s="32">
        <v>541</v>
      </c>
      <c r="B5341" s="33">
        <v>8654</v>
      </c>
      <c r="C5341" s="3">
        <v>500000</v>
      </c>
      <c r="D5341" s="3"/>
      <c r="E5341" s="7">
        <f t="shared" si="104"/>
        <v>500000</v>
      </c>
      <c r="F5341" s="5">
        <v>45932</v>
      </c>
      <c r="G5341" s="4">
        <v>20251001</v>
      </c>
      <c r="H5341" s="38" t="str">
        <f>VLOOKUP(B5341,CAJEROS!B:D,3,0)</f>
        <v>Dispensador</v>
      </c>
      <c r="I5341" s="34" t="s">
        <v>9</v>
      </c>
      <c r="J5341" s="38" t="str">
        <f>VLOOKUP(B5341,CAJEROS!B:E,4,0)</f>
        <v>SUCCALDASP5</v>
      </c>
      <c r="K5341" t="s">
        <v>610</v>
      </c>
    </row>
    <row r="5342" spans="1:11">
      <c r="A5342" s="32">
        <v>595</v>
      </c>
      <c r="B5342" s="33">
        <v>3697</v>
      </c>
      <c r="C5342" s="3">
        <v>1000000</v>
      </c>
      <c r="D5342" s="3"/>
      <c r="E5342" s="7">
        <f t="shared" si="104"/>
        <v>1000000</v>
      </c>
      <c r="F5342" s="5">
        <v>45932</v>
      </c>
      <c r="G5342" s="4">
        <v>20251001</v>
      </c>
      <c r="H5342" s="38" t="str">
        <f>VLOOKUP(B5342,CAJEROS!B:D,3,0)</f>
        <v>Dispensador</v>
      </c>
      <c r="I5342" s="34" t="s">
        <v>9</v>
      </c>
      <c r="J5342" s="38" t="str">
        <f>VLOOKUP(B5342,CAJEROS!B:E,4,0)</f>
        <v>SUC_BARAN1</v>
      </c>
      <c r="K5342" t="s">
        <v>610</v>
      </c>
    </row>
    <row r="5343" spans="1:11">
      <c r="A5343" s="32">
        <v>595</v>
      </c>
      <c r="B5343" s="33">
        <v>5928</v>
      </c>
      <c r="C5343" s="3">
        <v>750000</v>
      </c>
      <c r="D5343" s="3"/>
      <c r="E5343" s="7">
        <f t="shared" si="104"/>
        <v>750000</v>
      </c>
      <c r="F5343" s="5">
        <v>45932</v>
      </c>
      <c r="G5343" s="4">
        <v>20251001</v>
      </c>
      <c r="H5343" s="38" t="str">
        <f>VLOOKUP(B5343,CAJEROS!B:D,3,0)</f>
        <v>Dispensador</v>
      </c>
      <c r="I5343" s="34" t="s">
        <v>9</v>
      </c>
      <c r="J5343" s="38" t="str">
        <f>VLOOKUP(B5343,CAJEROS!B:E,4,0)</f>
        <v>SUC_BARAN2</v>
      </c>
      <c r="K5343" t="s">
        <v>610</v>
      </c>
    </row>
    <row r="5344" spans="1:11">
      <c r="A5344" s="32">
        <v>721</v>
      </c>
      <c r="B5344" s="33">
        <v>8893</v>
      </c>
      <c r="C5344" s="3">
        <v>100000</v>
      </c>
      <c r="D5344" s="3"/>
      <c r="E5344" s="7">
        <f t="shared" si="104"/>
        <v>100000</v>
      </c>
      <c r="F5344" s="5">
        <v>45932</v>
      </c>
      <c r="G5344" s="4">
        <v>20251001</v>
      </c>
      <c r="H5344" s="38" t="str">
        <f>VLOOKUP(B5344,CAJEROS!B:D,3,0)</f>
        <v>Dispensador</v>
      </c>
      <c r="I5344" s="34" t="s">
        <v>9</v>
      </c>
      <c r="J5344" s="38" t="str">
        <f>VLOOKUP(B5344,CAJEROS!B:E,4,0)</f>
        <v>SUCHALLAGO3</v>
      </c>
      <c r="K5344" t="s">
        <v>610</v>
      </c>
    </row>
    <row r="5345" spans="1:11">
      <c r="A5345" s="32">
        <v>732</v>
      </c>
      <c r="B5345" s="33">
        <v>6966</v>
      </c>
      <c r="C5345" s="3">
        <v>230000</v>
      </c>
      <c r="D5345" s="3">
        <v>100000</v>
      </c>
      <c r="E5345" s="7">
        <f t="shared" si="104"/>
        <v>130000</v>
      </c>
      <c r="F5345" s="5">
        <v>45932</v>
      </c>
      <c r="G5345" s="4">
        <v>20251001</v>
      </c>
      <c r="H5345" s="38" t="str">
        <f>VLOOKUP(B5345,CAJEROS!B:D,3,0)</f>
        <v>Dispensador</v>
      </c>
      <c r="I5345" s="34" t="s">
        <v>9</v>
      </c>
      <c r="J5345" s="38" t="str">
        <f>VLOOKUP(B5345,CAJEROS!B:E,4,0)</f>
        <v>ROLDANIL_2</v>
      </c>
      <c r="K5345" t="s">
        <v>610</v>
      </c>
    </row>
    <row r="5346" spans="1:11">
      <c r="A5346" s="32">
        <v>832</v>
      </c>
      <c r="B5346" s="33">
        <v>4767</v>
      </c>
      <c r="C5346" s="3">
        <v>7710000</v>
      </c>
      <c r="D5346" s="3">
        <v>7700000</v>
      </c>
      <c r="E5346" s="7">
        <f t="shared" si="104"/>
        <v>10000</v>
      </c>
      <c r="F5346" s="5">
        <v>45932</v>
      </c>
      <c r="G5346" s="4">
        <v>20251001</v>
      </c>
      <c r="H5346" s="38" t="str">
        <f>VLOOKUP(B5346,CAJEROS!B:D,3,0)</f>
        <v>Dispensador</v>
      </c>
      <c r="I5346" s="34" t="s">
        <v>9</v>
      </c>
      <c r="J5346" s="38" t="str">
        <f>VLOOKUP(B5346,CAJEROS!B:E,4,0)</f>
        <v>SUC_SANTAN1</v>
      </c>
      <c r="K5346" t="s">
        <v>610</v>
      </c>
    </row>
    <row r="5347" spans="1:11">
      <c r="A5347" s="32">
        <v>848</v>
      </c>
      <c r="B5347" s="33">
        <v>4740</v>
      </c>
      <c r="C5347" s="3">
        <v>2350000</v>
      </c>
      <c r="D5347" s="3"/>
      <c r="E5347" s="7">
        <f t="shared" si="104"/>
        <v>2350000</v>
      </c>
      <c r="F5347" s="5">
        <v>45932</v>
      </c>
      <c r="G5347" s="4">
        <v>20251001</v>
      </c>
      <c r="H5347" s="38" t="str">
        <f>VLOOKUP(B5347,CAJEROS!B:D,3,0)</f>
        <v>Dispensador</v>
      </c>
      <c r="I5347" s="34" t="s">
        <v>9</v>
      </c>
      <c r="J5347" s="38" t="str">
        <f>VLOOKUP(B5347,CAJEROS!B:E,4,0)</f>
        <v>PQECABAL_3</v>
      </c>
      <c r="K5347" t="s">
        <v>610</v>
      </c>
    </row>
    <row r="5348" spans="1:11">
      <c r="A5348" s="32">
        <v>861</v>
      </c>
      <c r="B5348" s="33">
        <v>5958</v>
      </c>
      <c r="C5348" s="3">
        <v>50000</v>
      </c>
      <c r="D5348" s="3"/>
      <c r="E5348" s="7">
        <f t="shared" si="104"/>
        <v>50000</v>
      </c>
      <c r="F5348" s="5">
        <v>45932</v>
      </c>
      <c r="G5348" s="4">
        <v>20251001</v>
      </c>
      <c r="H5348" s="38" t="str">
        <f>VLOOKUP(B5348,CAJEROS!B:D,3,0)</f>
        <v>Dispensador</v>
      </c>
      <c r="I5348" s="34" t="s">
        <v>9</v>
      </c>
      <c r="J5348" s="38" t="str">
        <f>VLOOKUP(B5348,CAJEROS!B:E,4,0)</f>
        <v>SUC_ALBANI2</v>
      </c>
      <c r="K5348" t="s">
        <v>610</v>
      </c>
    </row>
    <row r="5349" spans="1:11">
      <c r="A5349" s="32">
        <v>77</v>
      </c>
      <c r="B5349" s="33">
        <v>5204</v>
      </c>
      <c r="C5349" s="3">
        <v>3959500</v>
      </c>
      <c r="D5349" s="3"/>
      <c r="E5349" s="7">
        <f t="shared" si="104"/>
        <v>3959500</v>
      </c>
      <c r="F5349" s="5">
        <v>45932</v>
      </c>
      <c r="G5349" s="4">
        <v>20251001</v>
      </c>
      <c r="H5349" s="38" t="str">
        <f>VLOOKUP(B5349,CAJEROS!B:D,3,0)</f>
        <v>Multifuncional</v>
      </c>
      <c r="I5349" s="34"/>
      <c r="J5349" s="38" t="str">
        <f>VLOOKUP(B5349,CAJEROS!B:E,4,0)</f>
        <v>MF_TEQENDMA</v>
      </c>
      <c r="K5349" t="s">
        <v>610</v>
      </c>
    </row>
    <row r="5350" spans="1:11">
      <c r="A5350" s="32">
        <v>217</v>
      </c>
      <c r="B5350" s="33">
        <v>5208</v>
      </c>
      <c r="C5350" s="3">
        <v>50</v>
      </c>
      <c r="D5350" s="3"/>
      <c r="E5350" s="7">
        <f t="shared" si="104"/>
        <v>50</v>
      </c>
      <c r="F5350" s="5">
        <v>45932</v>
      </c>
      <c r="G5350" s="4">
        <v>20251001</v>
      </c>
      <c r="H5350" s="38" t="str">
        <f>VLOOKUP(B5350,CAJEROS!B:D,3,0)</f>
        <v>Multifuncional</v>
      </c>
      <c r="I5350" s="34"/>
      <c r="J5350" s="38" t="str">
        <f>VLOOKUP(B5350,CAJEROS!B:E,4,0)</f>
        <v>MF_MONTEVID</v>
      </c>
      <c r="K5350" t="s">
        <v>610</v>
      </c>
    </row>
    <row r="5351" spans="1:11">
      <c r="A5351" s="32">
        <v>275</v>
      </c>
      <c r="B5351" s="33">
        <v>5034</v>
      </c>
      <c r="C5351" s="3">
        <v>97800</v>
      </c>
      <c r="D5351" s="3"/>
      <c r="E5351" s="7">
        <f t="shared" si="104"/>
        <v>97800</v>
      </c>
      <c r="F5351" s="5">
        <v>45932</v>
      </c>
      <c r="G5351" s="4">
        <v>20251001</v>
      </c>
      <c r="H5351" s="38" t="str">
        <f>VLOOKUP(B5351,CAJEROS!B:D,3,0)</f>
        <v>Multifuncional</v>
      </c>
      <c r="I5351" s="34"/>
      <c r="J5351" s="38" t="str">
        <f>VLOOKUP(B5351,CAJEROS!B:E,4,0)</f>
        <v>MF_BOUENVIG</v>
      </c>
      <c r="K5351" t="s">
        <v>610</v>
      </c>
    </row>
    <row r="5352" spans="1:11">
      <c r="A5352" s="32">
        <v>291</v>
      </c>
      <c r="B5352" s="33">
        <v>5114</v>
      </c>
      <c r="C5352" s="3">
        <v>3335500</v>
      </c>
      <c r="D5352" s="3">
        <v>130000</v>
      </c>
      <c r="E5352" s="7">
        <f t="shared" si="104"/>
        <v>3205500</v>
      </c>
      <c r="F5352" s="5">
        <v>45932</v>
      </c>
      <c r="G5352" s="4">
        <v>20251001</v>
      </c>
      <c r="H5352" s="38" t="str">
        <f>VLOOKUP(B5352,CAJEROS!B:D,3,0)</f>
        <v>Multifuncional</v>
      </c>
      <c r="I5352" s="34"/>
      <c r="J5352" s="38" t="str">
        <f>VLOOKUP(B5352,CAJEROS!B:E,4,0)</f>
        <v>MF_LPALMAS</v>
      </c>
      <c r="K5352" t="s">
        <v>610</v>
      </c>
    </row>
    <row r="5353" spans="1:11">
      <c r="A5353" s="32">
        <v>625</v>
      </c>
      <c r="B5353" s="33">
        <v>6096</v>
      </c>
      <c r="C5353" s="3">
        <v>4802000</v>
      </c>
      <c r="D5353" s="3"/>
      <c r="E5353" s="7">
        <f t="shared" si="104"/>
        <v>4802000</v>
      </c>
      <c r="F5353" s="5">
        <v>45932</v>
      </c>
      <c r="G5353" s="4">
        <v>20251001</v>
      </c>
      <c r="H5353" s="38" t="str">
        <f>VLOOKUP(B5353,CAJEROS!B:D,3,0)</f>
        <v>Multifuncional</v>
      </c>
      <c r="I5353" s="34"/>
      <c r="J5353" s="38" t="str">
        <f>VLOOKUP(B5353,CAJEROS!B:E,4,0)</f>
        <v>MF_BTRISTE</v>
      </c>
      <c r="K5353" t="s">
        <v>610</v>
      </c>
    </row>
    <row r="5354" spans="1:11">
      <c r="A5354" s="32">
        <v>651</v>
      </c>
      <c r="B5354" s="33">
        <v>7318</v>
      </c>
      <c r="C5354" s="3">
        <v>50</v>
      </c>
      <c r="D5354" s="3"/>
      <c r="E5354" s="7">
        <f t="shared" si="104"/>
        <v>50</v>
      </c>
      <c r="F5354" s="5">
        <v>45932</v>
      </c>
      <c r="G5354" s="4">
        <v>20251001</v>
      </c>
      <c r="H5354" s="38" t="str">
        <f>VLOOKUP(B5354,CAJEROS!B:D,3,0)</f>
        <v>Multifuncional</v>
      </c>
      <c r="I5354" s="34"/>
      <c r="J5354" s="38" t="str">
        <f>VLOOKUP(B5354,CAJEROS!B:E,4,0)</f>
        <v>MF_BARBOSA2</v>
      </c>
      <c r="K5354" t="s">
        <v>610</v>
      </c>
    </row>
    <row r="5355" spans="1:11">
      <c r="A5355" s="32">
        <v>941</v>
      </c>
      <c r="B5355" s="33">
        <v>5220</v>
      </c>
      <c r="C5355" s="3">
        <v>2368000</v>
      </c>
      <c r="D5355" s="3"/>
      <c r="E5355" s="7">
        <f t="shared" si="104"/>
        <v>2368000</v>
      </c>
      <c r="F5355" s="5">
        <v>45932</v>
      </c>
      <c r="G5355" s="4">
        <v>20251001</v>
      </c>
      <c r="H5355" s="38" t="str">
        <f>VLOOKUP(B5355,CAJEROS!B:D,3,0)</f>
        <v>Multifuncional</v>
      </c>
      <c r="I5355" s="34"/>
      <c r="J5355" s="38" t="str">
        <f>VLOOKUP(B5355,CAJEROS!B:E,4,0)</f>
        <v>MF_NEIVANVA</v>
      </c>
      <c r="K5355" t="s">
        <v>610</v>
      </c>
    </row>
    <row r="5356" spans="1:11">
      <c r="A5356" s="32">
        <v>225</v>
      </c>
      <c r="B5356" s="33">
        <v>8868</v>
      </c>
      <c r="C5356" s="3">
        <v>3990000</v>
      </c>
      <c r="D5356" s="3">
        <v>3330000</v>
      </c>
      <c r="E5356" s="7">
        <f t="shared" si="104"/>
        <v>660000</v>
      </c>
      <c r="F5356" s="5">
        <v>45932</v>
      </c>
      <c r="G5356" s="4">
        <v>20251001</v>
      </c>
      <c r="H5356" s="38" t="str">
        <f>VLOOKUP(B5356,CAJEROS!B:D,3,0)</f>
        <v>Multifuncional</v>
      </c>
      <c r="I5356" s="34" t="s">
        <v>9</v>
      </c>
      <c r="J5356" s="38" t="str">
        <f>VLOOKUP(B5356,CAJEROS!B:E,4,0)</f>
        <v>MF_SMPLNQS1</v>
      </c>
      <c r="K5356" t="s">
        <v>610</v>
      </c>
    </row>
    <row r="5357" spans="1:11">
      <c r="A5357" s="32">
        <v>457</v>
      </c>
      <c r="B5357" s="33">
        <v>9004</v>
      </c>
      <c r="C5357" s="3">
        <v>3970000</v>
      </c>
      <c r="D5357" s="3">
        <v>3928100</v>
      </c>
      <c r="E5357" s="7">
        <f t="shared" si="104"/>
        <v>41900</v>
      </c>
      <c r="F5357" s="5">
        <v>45932</v>
      </c>
      <c r="G5357" s="4">
        <v>20251001</v>
      </c>
      <c r="H5357" s="38" t="str">
        <f>VLOOKUP(B5357,CAJEROS!B:D,3,0)</f>
        <v>Multifuncional</v>
      </c>
      <c r="I5357" s="34" t="s">
        <v>9</v>
      </c>
      <c r="J5357" s="38" t="str">
        <f>VLOOKUP(B5357,CAJEROS!B:E,4,0)</f>
        <v>MF_SSANPED1</v>
      </c>
      <c r="K5357" t="s">
        <v>610</v>
      </c>
    </row>
    <row r="5358" spans="1:11">
      <c r="A5358" s="32">
        <v>178</v>
      </c>
      <c r="B5358" s="33">
        <v>6218</v>
      </c>
      <c r="C5358" s="3">
        <v>3450000</v>
      </c>
      <c r="D5358" s="3">
        <v>3270200</v>
      </c>
      <c r="E5358" s="7">
        <f t="shared" si="104"/>
        <v>179800</v>
      </c>
      <c r="F5358" s="5">
        <v>45932</v>
      </c>
      <c r="G5358" s="4">
        <v>20251001</v>
      </c>
      <c r="H5358" s="38" t="str">
        <f>VLOOKUP(B5358,CAJEROS!B:D,3,0)</f>
        <v>Multifuncional</v>
      </c>
      <c r="I5358" s="34" t="s">
        <v>9</v>
      </c>
      <c r="J5358" s="38" t="str">
        <f>VLOOKUP(B5358,CAJEROS!B:E,4,0)</f>
        <v>MF_CFINANCI</v>
      </c>
      <c r="K5358" t="s">
        <v>610</v>
      </c>
    </row>
    <row r="5359" spans="1:11">
      <c r="A5359" s="32">
        <v>716</v>
      </c>
      <c r="B5359" s="33">
        <v>5192</v>
      </c>
      <c r="C5359" s="3">
        <v>3350000</v>
      </c>
      <c r="D5359" s="3">
        <f>120000+400000+340000</f>
        <v>860000</v>
      </c>
      <c r="E5359" s="7">
        <f t="shared" si="104"/>
        <v>2490000</v>
      </c>
      <c r="F5359" s="5">
        <v>45932</v>
      </c>
      <c r="G5359" s="4">
        <v>20251001</v>
      </c>
      <c r="H5359" s="38" t="str">
        <f>VLOOKUP(B5359,CAJEROS!B:D,3,0)</f>
        <v>Multifuncional</v>
      </c>
      <c r="I5359" s="34" t="s">
        <v>9</v>
      </c>
      <c r="J5359" s="38" t="str">
        <f>VLOOKUP(B5359,CAJEROS!B:E,4,0)</f>
        <v>MF_AVCGORDS</v>
      </c>
      <c r="K5359" t="s">
        <v>610</v>
      </c>
    </row>
    <row r="5360" spans="1:11">
      <c r="A5360" s="32">
        <v>193</v>
      </c>
      <c r="B5360" s="33">
        <v>8537</v>
      </c>
      <c r="C5360" s="3">
        <v>3339200</v>
      </c>
      <c r="D5360" s="3">
        <f>1999600+699000</f>
        <v>2698600</v>
      </c>
      <c r="E5360" s="7">
        <f t="shared" si="104"/>
        <v>640600</v>
      </c>
      <c r="F5360" s="5">
        <v>45932</v>
      </c>
      <c r="G5360" s="4">
        <v>20251001</v>
      </c>
      <c r="H5360" s="38" t="str">
        <f>VLOOKUP(B5360,CAJEROS!B:D,3,0)</f>
        <v>Multifuncional</v>
      </c>
      <c r="I5360" s="34" t="s">
        <v>9</v>
      </c>
      <c r="J5360" s="38" t="str">
        <f>VLOOKUP(B5360,CAJEROS!B:E,4,0)</f>
        <v>MF_HSUCFIC1</v>
      </c>
      <c r="K5360" t="s">
        <v>610</v>
      </c>
    </row>
    <row r="5361" spans="1:11">
      <c r="A5361" s="32">
        <v>166</v>
      </c>
      <c r="B5361" s="33">
        <v>7940</v>
      </c>
      <c r="C5361" s="3">
        <v>2905000</v>
      </c>
      <c r="D5361" s="3">
        <v>2115000</v>
      </c>
      <c r="E5361" s="7">
        <f t="shared" si="104"/>
        <v>790000</v>
      </c>
      <c r="F5361" s="5">
        <v>45932</v>
      </c>
      <c r="G5361" s="4">
        <v>20251001</v>
      </c>
      <c r="H5361" s="38" t="str">
        <f>VLOOKUP(B5361,CAJEROS!B:D,3,0)</f>
        <v>Multifuncional</v>
      </c>
      <c r="I5361" s="34" t="s">
        <v>9</v>
      </c>
      <c r="J5361" s="38" t="str">
        <f>VLOOKUP(B5361,CAJEROS!B:E,4,0)</f>
        <v>MF_ALDELS22</v>
      </c>
      <c r="K5361" t="s">
        <v>610</v>
      </c>
    </row>
    <row r="5362" spans="1:11">
      <c r="A5362" s="32">
        <v>454</v>
      </c>
      <c r="B5362" s="33">
        <v>5231</v>
      </c>
      <c r="C5362" s="3">
        <v>2555000</v>
      </c>
      <c r="D5362" s="3">
        <v>2550000</v>
      </c>
      <c r="E5362" s="7">
        <f t="shared" si="104"/>
        <v>5000</v>
      </c>
      <c r="F5362" s="5">
        <v>45932</v>
      </c>
      <c r="G5362" s="4">
        <v>20251001</v>
      </c>
      <c r="H5362" s="38" t="str">
        <f>VLOOKUP(B5362,CAJEROS!B:D,3,0)</f>
        <v>Multifuncional</v>
      </c>
      <c r="I5362" s="34" t="s">
        <v>9</v>
      </c>
      <c r="J5362" s="38" t="str">
        <f>VLOOKUP(B5362,CAJEROS!B:E,4,0)</f>
        <v>MF_5TAVENID</v>
      </c>
      <c r="K5362" t="s">
        <v>610</v>
      </c>
    </row>
    <row r="5363" spans="1:11">
      <c r="A5363" s="32">
        <v>944</v>
      </c>
      <c r="B5363" s="33">
        <v>2228</v>
      </c>
      <c r="C5363" s="3">
        <v>2490000</v>
      </c>
      <c r="D5363" s="3">
        <v>1285000</v>
      </c>
      <c r="E5363" s="7">
        <f t="shared" si="104"/>
        <v>1205000</v>
      </c>
      <c r="F5363" s="5">
        <v>45932</v>
      </c>
      <c r="G5363" s="4">
        <v>20251001</v>
      </c>
      <c r="H5363" s="38" t="str">
        <f>VLOOKUP(B5363,CAJEROS!B:D,3,0)</f>
        <v>Multifuncional</v>
      </c>
      <c r="I5363" s="34" t="s">
        <v>9</v>
      </c>
      <c r="J5363" s="38" t="str">
        <f>VLOOKUP(B5363,CAJEROS!B:E,4,0)</f>
        <v>MF_SANTABO3</v>
      </c>
      <c r="K5363" t="s">
        <v>610</v>
      </c>
    </row>
    <row r="5364" spans="1:11">
      <c r="A5364" s="32">
        <v>61</v>
      </c>
      <c r="B5364" s="33">
        <v>788</v>
      </c>
      <c r="C5364" s="3">
        <v>2461000</v>
      </c>
      <c r="D5364" s="3">
        <f>1190000+557000</f>
        <v>1747000</v>
      </c>
      <c r="E5364" s="7">
        <f t="shared" si="104"/>
        <v>714000</v>
      </c>
      <c r="F5364" s="5">
        <v>45932</v>
      </c>
      <c r="G5364" s="4">
        <v>20251001</v>
      </c>
      <c r="H5364" s="38" t="str">
        <f>VLOOKUP(B5364,CAJEROS!B:D,3,0)</f>
        <v>Multifuncional</v>
      </c>
      <c r="I5364" s="34" t="s">
        <v>9</v>
      </c>
      <c r="J5364" s="38" t="str">
        <f>VLOOKUP(B5364,CAJEROS!B:E,4,0)</f>
        <v>MFSUCLAEST1</v>
      </c>
      <c r="K5364" t="s">
        <v>610</v>
      </c>
    </row>
    <row r="5365" spans="1:11">
      <c r="A5365" s="32">
        <v>379</v>
      </c>
      <c r="B5365" s="33">
        <v>6465</v>
      </c>
      <c r="C5365" s="3">
        <v>2300200</v>
      </c>
      <c r="D5365" s="3">
        <v>2287100</v>
      </c>
      <c r="E5365" s="7">
        <f t="shared" si="104"/>
        <v>13100</v>
      </c>
      <c r="F5365" s="5">
        <v>45932</v>
      </c>
      <c r="G5365" s="4">
        <v>20251001</v>
      </c>
      <c r="H5365" s="38" t="str">
        <f>VLOOKUP(B5365,CAJEROS!B:D,3,0)</f>
        <v>Multifuncional</v>
      </c>
      <c r="I5365" s="34" t="s">
        <v>9</v>
      </c>
      <c r="J5365" s="38" t="str">
        <f>VLOOKUP(B5365,CAJEROS!B:E,4,0)</f>
        <v>MF_SUCTESO1</v>
      </c>
      <c r="K5365" t="s">
        <v>610</v>
      </c>
    </row>
    <row r="5366" spans="1:11">
      <c r="A5366" s="32">
        <v>351</v>
      </c>
      <c r="B5366" s="33">
        <v>6182</v>
      </c>
      <c r="C5366" s="3">
        <v>2000000</v>
      </c>
      <c r="D5366" s="3">
        <f>300000+50000</f>
        <v>350000</v>
      </c>
      <c r="E5366" s="7">
        <f t="shared" si="104"/>
        <v>1650000</v>
      </c>
      <c r="F5366" s="5">
        <v>45932</v>
      </c>
      <c r="G5366" s="4">
        <v>20251001</v>
      </c>
      <c r="H5366" s="38" t="str">
        <f>VLOOKUP(B5366,CAJEROS!B:D,3,0)</f>
        <v>Multifuncional</v>
      </c>
      <c r="I5366" s="34" t="s">
        <v>9</v>
      </c>
      <c r="J5366" s="38" t="str">
        <f>VLOOKUP(B5366,CAJEROS!B:E,4,0)</f>
        <v>MF_PUNTORIE</v>
      </c>
      <c r="K5366" t="s">
        <v>610</v>
      </c>
    </row>
    <row r="5367" spans="1:11">
      <c r="A5367" s="32">
        <v>78</v>
      </c>
      <c r="B5367" s="33">
        <v>6246</v>
      </c>
      <c r="C5367" s="3">
        <v>1970000</v>
      </c>
      <c r="D5367" s="3">
        <v>1290000</v>
      </c>
      <c r="E5367" s="7">
        <f t="shared" si="104"/>
        <v>680000</v>
      </c>
      <c r="F5367" s="5">
        <v>45932</v>
      </c>
      <c r="G5367" s="4">
        <v>20251001</v>
      </c>
      <c r="H5367" s="38" t="str">
        <f>VLOOKUP(B5367,CAJEROS!B:D,3,0)</f>
        <v>Multifuncional</v>
      </c>
      <c r="I5367" s="34" t="s">
        <v>9</v>
      </c>
      <c r="J5367" s="38" t="str">
        <f>VLOOKUP(B5367,CAJEROS!B:E,4,0)</f>
        <v>MF_CACIQUE</v>
      </c>
      <c r="K5367" t="s">
        <v>610</v>
      </c>
    </row>
    <row r="5368" spans="1:11">
      <c r="A5368" s="32">
        <v>467</v>
      </c>
      <c r="B5368" s="33">
        <v>9052</v>
      </c>
      <c r="C5368" s="3">
        <v>1638000</v>
      </c>
      <c r="D5368" s="3">
        <v>1300000</v>
      </c>
      <c r="E5368" s="7">
        <f t="shared" si="104"/>
        <v>338000</v>
      </c>
      <c r="F5368" s="5">
        <v>45932</v>
      </c>
      <c r="G5368" s="4">
        <v>20251001</v>
      </c>
      <c r="H5368" s="38" t="str">
        <f>VLOOKUP(B5368,CAJEROS!B:D,3,0)</f>
        <v>Multifuncional</v>
      </c>
      <c r="I5368" s="34" t="s">
        <v>9</v>
      </c>
      <c r="J5368" s="38" t="str">
        <f>VLOOKUP(B5368,CAJEROS!B:E,4,0)</f>
        <v>MFHDVERPLZ2</v>
      </c>
      <c r="K5368" t="s">
        <v>610</v>
      </c>
    </row>
    <row r="5369" spans="1:11">
      <c r="A5369" s="32">
        <v>829</v>
      </c>
      <c r="B5369" s="33">
        <v>5137</v>
      </c>
      <c r="C5369" s="3">
        <v>1500200</v>
      </c>
      <c r="D5369" s="3">
        <v>1500000</v>
      </c>
      <c r="E5369" s="7">
        <f t="shared" si="104"/>
        <v>200</v>
      </c>
      <c r="F5369" s="5">
        <v>45932</v>
      </c>
      <c r="G5369" s="4">
        <v>20251001</v>
      </c>
      <c r="H5369" s="38" t="str">
        <f>VLOOKUP(B5369,CAJEROS!B:D,3,0)</f>
        <v>Multifuncional</v>
      </c>
      <c r="I5369" s="34" t="s">
        <v>9</v>
      </c>
      <c r="J5369" s="38" t="str">
        <f>VLOOKUP(B5369,CAJEROS!B:E,4,0)</f>
        <v>MF_UNICALI1</v>
      </c>
      <c r="K5369" t="s">
        <v>610</v>
      </c>
    </row>
    <row r="5370" spans="1:11">
      <c r="A5370" s="32">
        <v>601</v>
      </c>
      <c r="B5370" s="33">
        <v>6407</v>
      </c>
      <c r="C5370" s="3">
        <v>1440000</v>
      </c>
      <c r="D5370" s="3">
        <v>595950</v>
      </c>
      <c r="E5370" s="7">
        <f t="shared" si="104"/>
        <v>844050</v>
      </c>
      <c r="F5370" s="5">
        <v>45932</v>
      </c>
      <c r="G5370" s="4">
        <v>20251001</v>
      </c>
      <c r="H5370" s="38" t="str">
        <f>VLOOKUP(B5370,CAJEROS!B:D,3,0)</f>
        <v>Multifuncional</v>
      </c>
      <c r="I5370" s="34" t="s">
        <v>9</v>
      </c>
      <c r="J5370" s="38" t="str">
        <f>VLOOKUP(B5370,CAJEROS!B:E,4,0)</f>
        <v>MF_COLINACA</v>
      </c>
      <c r="K5370" t="s">
        <v>610</v>
      </c>
    </row>
    <row r="5371" spans="1:11">
      <c r="A5371" s="32">
        <v>795</v>
      </c>
      <c r="B5371" s="33">
        <v>1029</v>
      </c>
      <c r="C5371" s="3">
        <v>1402250</v>
      </c>
      <c r="D5371" s="3">
        <v>1360000</v>
      </c>
      <c r="E5371" s="7">
        <f t="shared" si="104"/>
        <v>42250</v>
      </c>
      <c r="F5371" s="5">
        <v>45932</v>
      </c>
      <c r="G5371" s="4">
        <v>20251001</v>
      </c>
      <c r="H5371" s="38" t="str">
        <f>VLOOKUP(B5371,CAJEROS!B:D,3,0)</f>
        <v>Multifuncional</v>
      </c>
      <c r="I5371" s="34" t="s">
        <v>9</v>
      </c>
      <c r="J5371" s="38" t="str">
        <f>VLOOKUP(B5371,CAJEROS!B:E,4,0)</f>
        <v>MFSUCANVER3</v>
      </c>
      <c r="K5371" t="s">
        <v>610</v>
      </c>
    </row>
    <row r="5372" spans="1:11">
      <c r="A5372" s="32">
        <v>377</v>
      </c>
      <c r="B5372" s="33">
        <v>1508</v>
      </c>
      <c r="C5372" s="3">
        <v>1281000</v>
      </c>
      <c r="D5372" s="3">
        <v>262000</v>
      </c>
      <c r="E5372" s="7">
        <f t="shared" si="104"/>
        <v>1019000</v>
      </c>
      <c r="F5372" s="5">
        <v>45932</v>
      </c>
      <c r="G5372" s="4">
        <v>20251001</v>
      </c>
      <c r="H5372" s="38" t="str">
        <f>VLOOKUP(B5372,CAJEROS!B:D,3,0)</f>
        <v>Multifuncional</v>
      </c>
      <c r="I5372" s="34" t="s">
        <v>9</v>
      </c>
      <c r="J5372" s="38" t="str">
        <f>VLOOKUP(B5372,CAJEROS!B:E,4,0)</f>
        <v>MFSUCCIAV1</v>
      </c>
      <c r="K5372" t="s">
        <v>610</v>
      </c>
    </row>
    <row r="5373" spans="1:11">
      <c r="A5373" s="32">
        <v>317</v>
      </c>
      <c r="B5373" s="33">
        <v>6613</v>
      </c>
      <c r="C5373" s="3">
        <v>1227000</v>
      </c>
      <c r="D5373" s="3"/>
      <c r="E5373" s="7">
        <f t="shared" si="104"/>
        <v>1227000</v>
      </c>
      <c r="F5373" s="5">
        <v>45932</v>
      </c>
      <c r="G5373" s="4">
        <v>20251001</v>
      </c>
      <c r="H5373" s="38" t="str">
        <f>VLOOKUP(B5373,CAJEROS!B:D,3,0)</f>
        <v>Multifuncional</v>
      </c>
      <c r="I5373" s="34" t="s">
        <v>9</v>
      </c>
      <c r="J5373" s="38" t="str">
        <f>VLOOKUP(B5373,CAJEROS!B:E,4,0)</f>
        <v>MF_ARAUCA</v>
      </c>
      <c r="K5373" t="s">
        <v>610</v>
      </c>
    </row>
    <row r="5374" spans="1:11">
      <c r="A5374" s="32">
        <v>495</v>
      </c>
      <c r="B5374" s="33">
        <v>8482</v>
      </c>
      <c r="C5374" s="3">
        <v>850000</v>
      </c>
      <c r="D5374" s="3">
        <f>450000+379800</f>
        <v>829800</v>
      </c>
      <c r="E5374" s="7">
        <f t="shared" si="104"/>
        <v>20200</v>
      </c>
      <c r="F5374" s="5">
        <v>45932</v>
      </c>
      <c r="G5374" s="4">
        <v>20251001</v>
      </c>
      <c r="H5374" s="38" t="str">
        <f>VLOOKUP(B5374,CAJEROS!B:D,3,0)</f>
        <v>Multifuncional</v>
      </c>
      <c r="I5374" s="34" t="s">
        <v>9</v>
      </c>
      <c r="J5374" s="38" t="str">
        <f>VLOOKUP(B5374,CAJEROS!B:E,4,0)</f>
        <v>MF_SUCBOSQ1</v>
      </c>
      <c r="K5374" t="s">
        <v>610</v>
      </c>
    </row>
    <row r="5375" spans="1:11">
      <c r="A5375" s="32">
        <v>944</v>
      </c>
      <c r="B5375" s="33">
        <v>8353</v>
      </c>
      <c r="C5375" s="3">
        <v>840000</v>
      </c>
      <c r="D5375" s="3"/>
      <c r="E5375" s="7">
        <f t="shared" si="104"/>
        <v>840000</v>
      </c>
      <c r="F5375" s="5">
        <v>45932</v>
      </c>
      <c r="G5375" s="4">
        <v>20251001</v>
      </c>
      <c r="H5375" s="38" t="str">
        <f>VLOOKUP(B5375,CAJEROS!B:D,3,0)</f>
        <v>Multifuncional</v>
      </c>
      <c r="I5375" s="34" t="s">
        <v>9</v>
      </c>
      <c r="J5375" s="38" t="str">
        <f>VLOOKUP(B5375,CAJEROS!B:E,4,0)</f>
        <v>MF_SANTABO1</v>
      </c>
      <c r="K5375" t="s">
        <v>610</v>
      </c>
    </row>
    <row r="5376" spans="1:11">
      <c r="A5376" s="32">
        <v>859</v>
      </c>
      <c r="B5376" s="33">
        <v>5207</v>
      </c>
      <c r="C5376" s="3">
        <v>810000</v>
      </c>
      <c r="D5376" s="3"/>
      <c r="E5376" s="7">
        <f t="shared" si="104"/>
        <v>810000</v>
      </c>
      <c r="F5376" s="5">
        <v>45932</v>
      </c>
      <c r="G5376" s="4">
        <v>20251001</v>
      </c>
      <c r="H5376" s="38" t="e">
        <f>VLOOKUP(B5376,CAJEROS!B:D,3,0)</f>
        <v>#N/A</v>
      </c>
      <c r="I5376" s="34" t="s">
        <v>9</v>
      </c>
      <c r="J5376" s="38" t="e">
        <f>VLOOKUP(B5376,CAJEROS!B:E,4,0)</f>
        <v>#N/A</v>
      </c>
      <c r="K5376" t="s">
        <v>610</v>
      </c>
    </row>
    <row r="5377" spans="1:11">
      <c r="A5377" s="32">
        <v>166</v>
      </c>
      <c r="B5377" s="33">
        <v>7939</v>
      </c>
      <c r="C5377" s="3">
        <v>526000</v>
      </c>
      <c r="D5377" s="3"/>
      <c r="E5377" s="7">
        <f t="shared" si="104"/>
        <v>526000</v>
      </c>
      <c r="F5377" s="5">
        <v>45932</v>
      </c>
      <c r="G5377" s="4">
        <v>20251001</v>
      </c>
      <c r="H5377" s="38" t="str">
        <f>VLOOKUP(B5377,CAJEROS!B:D,3,0)</f>
        <v>Multifuncional</v>
      </c>
      <c r="I5377" s="34" t="s">
        <v>9</v>
      </c>
      <c r="J5377" s="38" t="str">
        <f>VLOOKUP(B5377,CAJEROS!B:E,4,0)</f>
        <v>MF_ALDELSI1</v>
      </c>
      <c r="K5377" t="s">
        <v>610</v>
      </c>
    </row>
    <row r="5378" spans="1:11">
      <c r="A5378" s="32">
        <v>53</v>
      </c>
      <c r="B5378" s="33">
        <v>5141</v>
      </c>
      <c r="C5378" s="3">
        <v>430000</v>
      </c>
      <c r="D5378" s="3"/>
      <c r="E5378" s="7">
        <f t="shared" si="104"/>
        <v>430000</v>
      </c>
      <c r="F5378" s="5">
        <v>45932</v>
      </c>
      <c r="G5378" s="4">
        <v>20251001</v>
      </c>
      <c r="H5378" s="38" t="str">
        <f>VLOOKUP(B5378,CAJEROS!B:D,3,0)</f>
        <v>Multifuncional</v>
      </c>
      <c r="I5378" s="34" t="s">
        <v>9</v>
      </c>
      <c r="J5378" s="38" t="str">
        <f>VLOOKUP(B5378,CAJEROS!B:E,4,0)</f>
        <v>MF_CARRDECI</v>
      </c>
      <c r="K5378" t="s">
        <v>610</v>
      </c>
    </row>
    <row r="5379" spans="1:11">
      <c r="A5379" s="32">
        <v>267</v>
      </c>
      <c r="B5379" s="33">
        <v>6186</v>
      </c>
      <c r="C5379" s="3">
        <v>394000</v>
      </c>
      <c r="D5379" s="3"/>
      <c r="E5379" s="7">
        <f t="shared" si="104"/>
        <v>394000</v>
      </c>
      <c r="F5379" s="5">
        <v>45932</v>
      </c>
      <c r="G5379" s="4">
        <v>20251001</v>
      </c>
      <c r="H5379" s="38" t="str">
        <f>VLOOKUP(B5379,CAJEROS!B:D,3,0)</f>
        <v>Multifuncional</v>
      </c>
      <c r="I5379" s="34" t="s">
        <v>9</v>
      </c>
      <c r="J5379" s="38" t="str">
        <f>VLOOKUP(B5379,CAJEROS!B:E,4,0)</f>
        <v>MF_VISITACI</v>
      </c>
      <c r="K5379" t="s">
        <v>610</v>
      </c>
    </row>
    <row r="5380" spans="1:11">
      <c r="A5380" s="32">
        <v>486</v>
      </c>
      <c r="B5380" s="33">
        <v>5081</v>
      </c>
      <c r="C5380" s="3">
        <v>290000</v>
      </c>
      <c r="D5380" s="3"/>
      <c r="E5380" s="7">
        <f t="shared" si="104"/>
        <v>290000</v>
      </c>
      <c r="F5380" s="5">
        <v>45932</v>
      </c>
      <c r="G5380" s="4">
        <v>20251001</v>
      </c>
      <c r="H5380" s="38" t="str">
        <f>VLOOKUP(B5380,CAJEROS!B:D,3,0)</f>
        <v>Multifuncional</v>
      </c>
      <c r="I5380" s="34" t="s">
        <v>9</v>
      </c>
      <c r="J5380" s="38" t="str">
        <f>VLOOKUP(B5380,CAJEROS!B:E,4,0)</f>
        <v>MF_SANNIBA1</v>
      </c>
      <c r="K5380" t="s">
        <v>610</v>
      </c>
    </row>
    <row r="5381" spans="1:11">
      <c r="A5381" s="32">
        <v>907</v>
      </c>
      <c r="B5381" s="33">
        <v>5019</v>
      </c>
      <c r="C5381" s="3">
        <v>241500</v>
      </c>
      <c r="D5381" s="3"/>
      <c r="E5381" s="7">
        <f t="shared" si="104"/>
        <v>241500</v>
      </c>
      <c r="F5381" s="5">
        <v>45932</v>
      </c>
      <c r="G5381" s="4">
        <v>20251001</v>
      </c>
      <c r="H5381" s="38" t="str">
        <f>VLOOKUP(B5381,CAJEROS!B:D,3,0)</f>
        <v>Multifuncional</v>
      </c>
      <c r="I5381" s="34" t="s">
        <v>9</v>
      </c>
      <c r="J5381" s="38" t="str">
        <f>VLOOKUP(B5381,CAJEROS!B:E,4,0)</f>
        <v>MF_FRONTERA</v>
      </c>
      <c r="K5381" t="s">
        <v>610</v>
      </c>
    </row>
    <row r="5382" spans="1:11">
      <c r="A5382" s="32">
        <v>915</v>
      </c>
      <c r="B5382" s="33">
        <v>8313</v>
      </c>
      <c r="C5382" s="3">
        <v>100000</v>
      </c>
      <c r="D5382" s="3"/>
      <c r="E5382" s="7">
        <f t="shared" si="104"/>
        <v>100000</v>
      </c>
      <c r="F5382" s="5">
        <v>45932</v>
      </c>
      <c r="G5382" s="4">
        <v>20251001</v>
      </c>
      <c r="H5382" s="38" t="str">
        <f>VLOOKUP(B5382,CAJEROS!B:D,3,0)</f>
        <v>Multifuncional</v>
      </c>
      <c r="I5382" s="34" t="s">
        <v>9</v>
      </c>
      <c r="J5382" s="38" t="str">
        <f>VLOOKUP(B5382,CAJEROS!B:E,4,0)</f>
        <v>MF_BANLABB1</v>
      </c>
      <c r="K5382" t="s">
        <v>610</v>
      </c>
    </row>
    <row r="5383" spans="1:11">
      <c r="A5383" s="32">
        <v>606</v>
      </c>
      <c r="B5383" s="33">
        <v>5201</v>
      </c>
      <c r="C5383" s="3">
        <v>30000</v>
      </c>
      <c r="D5383" s="3"/>
      <c r="E5383" s="7">
        <f t="shared" si="104"/>
        <v>30000</v>
      </c>
      <c r="F5383" s="5">
        <v>45932</v>
      </c>
      <c r="G5383" s="4">
        <v>20251001</v>
      </c>
      <c r="H5383" s="38" t="str">
        <f>VLOOKUP(B5383,CAJEROS!B:D,3,0)</f>
        <v>Multifuncional</v>
      </c>
      <c r="I5383" s="34" t="s">
        <v>9</v>
      </c>
      <c r="J5383" s="38" t="str">
        <f>VLOOKUP(B5383,CAJEROS!B:E,4,0)</f>
        <v>MF_UNITUNJA</v>
      </c>
      <c r="K5383" t="s">
        <v>610</v>
      </c>
    </row>
    <row r="5384" spans="1:11">
      <c r="A5384" s="32">
        <v>944</v>
      </c>
      <c r="B5384" s="33">
        <v>8356</v>
      </c>
      <c r="C5384" s="3">
        <v>10000</v>
      </c>
      <c r="D5384" s="3"/>
      <c r="E5384" s="7">
        <f t="shared" si="104"/>
        <v>10000</v>
      </c>
      <c r="F5384" s="5">
        <v>45932</v>
      </c>
      <c r="G5384" s="4">
        <v>20251001</v>
      </c>
      <c r="H5384" s="38" t="str">
        <f>VLOOKUP(B5384,CAJEROS!B:D,3,0)</f>
        <v>Dispensador</v>
      </c>
      <c r="I5384" s="34" t="s">
        <v>10</v>
      </c>
      <c r="J5384" s="38" t="str">
        <f>VLOOKUP(B5384,CAJEROS!B:E,4,0)</f>
        <v>SUCSANTABO2</v>
      </c>
      <c r="K5384" t="s">
        <v>610</v>
      </c>
    </row>
    <row r="5385" spans="1:11">
      <c r="A5385" s="32">
        <v>486</v>
      </c>
      <c r="B5385" s="33">
        <v>5693</v>
      </c>
      <c r="C5385" s="3">
        <v>20000</v>
      </c>
      <c r="D5385" s="3"/>
      <c r="E5385" s="7">
        <f t="shared" si="104"/>
        <v>20000</v>
      </c>
      <c r="F5385" s="5">
        <v>45932</v>
      </c>
      <c r="G5385" s="4">
        <v>20251001</v>
      </c>
      <c r="H5385" s="38" t="str">
        <f>VLOOKUP(B5385,CAJEROS!B:D,3,0)</f>
        <v>Dispensador</v>
      </c>
      <c r="I5385" s="34" t="s">
        <v>10</v>
      </c>
      <c r="J5385" s="38" t="str">
        <f>VLOOKUP(B5385,CAJEROS!B:E,4,0)</f>
        <v>SUC_NICOL1</v>
      </c>
      <c r="K5385" t="s">
        <v>610</v>
      </c>
    </row>
    <row r="5386" spans="1:11">
      <c r="A5386" s="32">
        <v>70</v>
      </c>
      <c r="B5386" s="33">
        <v>4729</v>
      </c>
      <c r="C5386" s="3">
        <v>20000</v>
      </c>
      <c r="D5386" s="3"/>
      <c r="E5386" s="7">
        <f t="shared" si="104"/>
        <v>20000</v>
      </c>
      <c r="F5386" s="5">
        <v>45932</v>
      </c>
      <c r="G5386" s="4">
        <v>20251001</v>
      </c>
      <c r="H5386" s="38" t="str">
        <f>VLOOKUP(B5386,CAJEROS!B:D,3,0)</f>
        <v>Dispensador</v>
      </c>
      <c r="I5386" s="34" t="s">
        <v>10</v>
      </c>
      <c r="J5386" s="38" t="str">
        <f>VLOOKUP(B5386,CAJEROS!B:E,4,0)</f>
        <v>PPMANIZLES4</v>
      </c>
      <c r="K5386" t="s">
        <v>610</v>
      </c>
    </row>
    <row r="5387" spans="1:11">
      <c r="A5387" s="32">
        <v>725</v>
      </c>
      <c r="B5387" s="33">
        <v>8090</v>
      </c>
      <c r="C5387" s="3">
        <v>5000</v>
      </c>
      <c r="D5387" s="3"/>
      <c r="E5387" s="7">
        <f t="shared" ref="E5387:E5450" si="105">+C5387-D5387</f>
        <v>5000</v>
      </c>
      <c r="F5387" s="5">
        <v>45932</v>
      </c>
      <c r="G5387" s="4">
        <v>20251001</v>
      </c>
      <c r="H5387" s="38" t="str">
        <f>VLOOKUP(B5387,CAJEROS!B:D,3,0)</f>
        <v>Multifuncional</v>
      </c>
      <c r="I5387" s="34" t="s">
        <v>10</v>
      </c>
      <c r="J5387" s="38" t="str">
        <f>VLOOKUP(B5387,CAJEROS!B:E,4,0)</f>
        <v>MF_DOSQUEB2</v>
      </c>
      <c r="K5387" t="s">
        <v>610</v>
      </c>
    </row>
    <row r="5388" spans="1:11">
      <c r="A5388" s="32">
        <v>337</v>
      </c>
      <c r="B5388" s="33">
        <v>6253</v>
      </c>
      <c r="C5388" s="3">
        <v>2650000</v>
      </c>
      <c r="D5388" s="3">
        <v>219400</v>
      </c>
      <c r="E5388" s="7">
        <f t="shared" si="105"/>
        <v>2430600</v>
      </c>
      <c r="F5388" s="5">
        <v>45932</v>
      </c>
      <c r="G5388" s="4">
        <v>20251001</v>
      </c>
      <c r="H5388" s="38" t="str">
        <f>VLOOKUP(B5388,CAJEROS!B:D,3,0)</f>
        <v>Multifuncional</v>
      </c>
      <c r="I5388" s="34" t="s">
        <v>12</v>
      </c>
      <c r="J5388" s="38" t="str">
        <f>VLOOKUP(B5388,CAJEROS!B:E,4,0)</f>
        <v>MF_CHIA</v>
      </c>
      <c r="K5388" t="s">
        <v>610</v>
      </c>
    </row>
    <row r="5389" spans="1:11">
      <c r="A5389" s="32">
        <v>30</v>
      </c>
      <c r="B5389" s="33">
        <v>6172</v>
      </c>
      <c r="C5389" s="3">
        <v>1145000</v>
      </c>
      <c r="D5389" s="3"/>
      <c r="E5389" s="7">
        <f t="shared" si="105"/>
        <v>1145000</v>
      </c>
      <c r="F5389" s="5">
        <v>45933</v>
      </c>
      <c r="G5389" s="4">
        <v>20251002</v>
      </c>
      <c r="H5389" s="38" t="str">
        <f>VLOOKUP(B5389,CAJEROS!B:D,3,0)</f>
        <v>Multifuncional</v>
      </c>
      <c r="I5389" s="34"/>
      <c r="J5389" s="38" t="str">
        <f>VLOOKUP(B5389,CAJEROS!B:E,4,0)</f>
        <v>MF_CROCTAV1</v>
      </c>
      <c r="K5389" t="s">
        <v>610</v>
      </c>
    </row>
    <row r="5390" spans="1:11">
      <c r="A5390" s="32">
        <v>33</v>
      </c>
      <c r="B5390" s="33">
        <v>8861</v>
      </c>
      <c r="C5390" s="3">
        <v>4992000</v>
      </c>
      <c r="D5390" s="3">
        <f>3550000+40000</f>
        <v>3590000</v>
      </c>
      <c r="E5390" s="7">
        <f t="shared" si="105"/>
        <v>1402000</v>
      </c>
      <c r="F5390" s="5">
        <v>45933</v>
      </c>
      <c r="G5390" s="4">
        <v>20251002</v>
      </c>
      <c r="H5390" s="38" t="str">
        <f>VLOOKUP(B5390,CAJEROS!B:D,3,0)</f>
        <v>Multifuncional</v>
      </c>
      <c r="I5390" s="34"/>
      <c r="J5390" s="38" t="str">
        <f>VLOOKUP(B5390,CAJEROS!B:E,4,0)</f>
        <v>MF_SPOLCLU1</v>
      </c>
      <c r="K5390" t="s">
        <v>610</v>
      </c>
    </row>
    <row r="5391" spans="1:11">
      <c r="A5391" s="32">
        <v>302</v>
      </c>
      <c r="B5391" s="33">
        <v>5170</v>
      </c>
      <c r="C5391" s="3">
        <v>110000</v>
      </c>
      <c r="D5391" s="3"/>
      <c r="E5391" s="7">
        <f t="shared" si="105"/>
        <v>110000</v>
      </c>
      <c r="F5391" s="5">
        <v>45933</v>
      </c>
      <c r="G5391" s="4">
        <v>20251002</v>
      </c>
      <c r="H5391" s="38" t="str">
        <f>VLOOKUP(B5391,CAJEROS!B:D,3,0)</f>
        <v>Multifuncional</v>
      </c>
      <c r="I5391" s="34"/>
      <c r="J5391" s="38" t="str">
        <f>VLOOKUP(B5391,CAJEROS!B:E,4,0)</f>
        <v>MF_QUEBRASE</v>
      </c>
      <c r="K5391" t="s">
        <v>610</v>
      </c>
    </row>
    <row r="5392" spans="1:11">
      <c r="A5392" s="32">
        <v>318</v>
      </c>
      <c r="B5392" s="33">
        <v>7680</v>
      </c>
      <c r="C5392" s="3">
        <v>150000</v>
      </c>
      <c r="D5392" s="3">
        <v>1000</v>
      </c>
      <c r="E5392" s="7">
        <f t="shared" si="105"/>
        <v>149000</v>
      </c>
      <c r="F5392" s="5">
        <v>45933</v>
      </c>
      <c r="G5392" s="4">
        <v>20251002</v>
      </c>
      <c r="H5392" s="38" t="str">
        <f>VLOOKUP(B5392,CAJEROS!B:D,3,0)</f>
        <v>Multifuncional</v>
      </c>
      <c r="I5392" s="34"/>
      <c r="J5392" s="38" t="str">
        <f>VLOOKUP(B5392,CAJEROS!B:E,4,0)</f>
        <v>MF_OCANA2</v>
      </c>
      <c r="K5392" t="s">
        <v>610</v>
      </c>
    </row>
    <row r="5393" spans="1:11">
      <c r="A5393" s="32">
        <v>348</v>
      </c>
      <c r="B5393" s="33">
        <v>9009</v>
      </c>
      <c r="C5393" s="3">
        <v>800000</v>
      </c>
      <c r="D5393" s="3"/>
      <c r="E5393" s="7">
        <f t="shared" si="105"/>
        <v>800000</v>
      </c>
      <c r="F5393" s="5">
        <v>45933</v>
      </c>
      <c r="G5393" s="4">
        <v>20251002</v>
      </c>
      <c r="H5393" s="38" t="str">
        <f>VLOOKUP(B5393,CAJEROS!B:D,3,0)</f>
        <v>Multifuncional</v>
      </c>
      <c r="I5393" s="34"/>
      <c r="J5393" s="38" t="str">
        <f>VLOOKUP(B5393,CAJEROS!B:E,4,0)</f>
        <v>MF_SANDRES2</v>
      </c>
      <c r="K5393" t="s">
        <v>610</v>
      </c>
    </row>
    <row r="5394" spans="1:11">
      <c r="A5394" s="32">
        <v>366</v>
      </c>
      <c r="B5394" s="33">
        <v>5132</v>
      </c>
      <c r="C5394" s="3">
        <v>7899600</v>
      </c>
      <c r="D5394" s="3"/>
      <c r="E5394" s="7">
        <f t="shared" si="105"/>
        <v>7899600</v>
      </c>
      <c r="F5394" s="5">
        <v>45933</v>
      </c>
      <c r="G5394" s="4">
        <v>20251002</v>
      </c>
      <c r="H5394" s="38" t="str">
        <f>VLOOKUP(B5394,CAJEROS!B:D,3,0)</f>
        <v>Multifuncional</v>
      </c>
      <c r="I5394" s="34"/>
      <c r="J5394" s="38" t="str">
        <f>VLOOKUP(B5394,CAJEROS!B:E,4,0)</f>
        <v>MF_TERMTPTE</v>
      </c>
      <c r="K5394" t="s">
        <v>610</v>
      </c>
    </row>
    <row r="5395" spans="1:11">
      <c r="A5395" s="32">
        <v>524</v>
      </c>
      <c r="B5395" s="33">
        <v>6336</v>
      </c>
      <c r="C5395" s="3">
        <v>20000</v>
      </c>
      <c r="D5395" s="3"/>
      <c r="E5395" s="7">
        <f t="shared" si="105"/>
        <v>20000</v>
      </c>
      <c r="F5395" s="5">
        <v>45933</v>
      </c>
      <c r="G5395" s="4">
        <v>20251002</v>
      </c>
      <c r="H5395" s="38" t="str">
        <f>VLOOKUP(B5395,CAJEROS!B:D,3,0)</f>
        <v>Multifuncional</v>
      </c>
      <c r="I5395" s="34"/>
      <c r="J5395" s="38" t="str">
        <f>VLOOKUP(B5395,CAJEROS!B:E,4,0)</f>
        <v>MF_VALLEDUP</v>
      </c>
      <c r="K5395" t="s">
        <v>610</v>
      </c>
    </row>
    <row r="5396" spans="1:11">
      <c r="A5396" s="32">
        <v>745</v>
      </c>
      <c r="B5396" s="33">
        <v>1477</v>
      </c>
      <c r="C5396" s="3">
        <v>14408000</v>
      </c>
      <c r="D5396" s="3"/>
      <c r="E5396" s="7">
        <f t="shared" si="105"/>
        <v>14408000</v>
      </c>
      <c r="F5396" s="5">
        <v>45933</v>
      </c>
      <c r="G5396" s="4">
        <v>20251002</v>
      </c>
      <c r="H5396" s="38" t="str">
        <f>VLOOKUP(B5396,CAJEROS!B:D,3,0)</f>
        <v>Multifuncional</v>
      </c>
      <c r="I5396" s="34"/>
      <c r="J5396" s="38" t="str">
        <f>VLOOKUP(B5396,CAJEROS!B:E,4,0)</f>
        <v>MFSUCMALPZ2</v>
      </c>
      <c r="K5396" t="s">
        <v>610</v>
      </c>
    </row>
    <row r="5397" spans="1:11">
      <c r="A5397" s="32">
        <v>859</v>
      </c>
      <c r="B5397" s="33">
        <v>5207</v>
      </c>
      <c r="C5397" s="3">
        <v>2487500</v>
      </c>
      <c r="D5397" s="3"/>
      <c r="E5397" s="7">
        <f t="shared" si="105"/>
        <v>2487500</v>
      </c>
      <c r="F5397" s="5">
        <v>45933</v>
      </c>
      <c r="G5397" s="4">
        <v>20251002</v>
      </c>
      <c r="H5397" s="38" t="e">
        <f>VLOOKUP(B5397,CAJEROS!B:D,3,0)</f>
        <v>#N/A</v>
      </c>
      <c r="I5397" s="34"/>
      <c r="J5397" s="38" t="e">
        <f>VLOOKUP(B5397,CAJEROS!B:E,4,0)</f>
        <v>#N/A</v>
      </c>
      <c r="K5397" t="s">
        <v>610</v>
      </c>
    </row>
    <row r="5398" spans="1:11">
      <c r="A5398" s="32">
        <v>795</v>
      </c>
      <c r="B5398" s="33">
        <v>1028</v>
      </c>
      <c r="C5398" s="3">
        <v>3729950</v>
      </c>
      <c r="D5398" s="3">
        <v>3719950</v>
      </c>
      <c r="E5398" s="7">
        <f t="shared" si="105"/>
        <v>10000</v>
      </c>
      <c r="F5398" s="5">
        <v>45933</v>
      </c>
      <c r="G5398" s="4">
        <v>20251002</v>
      </c>
      <c r="H5398" s="38" t="str">
        <f>VLOOKUP(B5398,CAJEROS!B:D,3,0)</f>
        <v>Multifuncional</v>
      </c>
      <c r="I5398" s="34" t="s">
        <v>9</v>
      </c>
      <c r="J5398" s="38" t="str">
        <f>VLOOKUP(B5398,CAJEROS!B:E,4,0)</f>
        <v>MFSUCANVER2</v>
      </c>
      <c r="K5398" t="s">
        <v>610</v>
      </c>
    </row>
    <row r="5399" spans="1:11">
      <c r="A5399" s="32">
        <v>781</v>
      </c>
      <c r="B5399" s="33">
        <v>5057</v>
      </c>
      <c r="C5399" s="3">
        <v>3672000</v>
      </c>
      <c r="D5399" s="3">
        <v>3670000</v>
      </c>
      <c r="E5399" s="7">
        <f t="shared" si="105"/>
        <v>2000</v>
      </c>
      <c r="F5399" s="5">
        <v>45933</v>
      </c>
      <c r="G5399" s="4">
        <v>20251002</v>
      </c>
      <c r="H5399" s="38" t="str">
        <f>VLOOKUP(B5399,CAJEROS!B:D,3,0)</f>
        <v>Multifuncional</v>
      </c>
      <c r="I5399" s="34" t="s">
        <v>9</v>
      </c>
      <c r="J5399" s="38" t="str">
        <f>VLOOKUP(B5399,CAJEROS!B:E,4,0)</f>
        <v>MF_PRPLAZA</v>
      </c>
      <c r="K5399" t="s">
        <v>610</v>
      </c>
    </row>
    <row r="5400" spans="1:11">
      <c r="A5400" s="32">
        <v>4</v>
      </c>
      <c r="B5400" s="33">
        <v>8631</v>
      </c>
      <c r="C5400" s="3">
        <v>3100000</v>
      </c>
      <c r="D5400" s="3"/>
      <c r="E5400" s="7">
        <f t="shared" si="105"/>
        <v>3100000</v>
      </c>
      <c r="F5400" s="5">
        <v>45933</v>
      </c>
      <c r="G5400" s="4">
        <v>20251002</v>
      </c>
      <c r="H5400" s="38" t="str">
        <f>VLOOKUP(B5400,CAJEROS!B:D,3,0)</f>
        <v>Multifuncional</v>
      </c>
      <c r="I5400" s="34" t="s">
        <v>9</v>
      </c>
      <c r="J5400" s="38" t="str">
        <f>VLOOKUP(B5400,CAJEROS!B:E,4,0)</f>
        <v>MF_SUCLAUR2</v>
      </c>
      <c r="K5400" t="s">
        <v>610</v>
      </c>
    </row>
    <row r="5401" spans="1:11">
      <c r="A5401" s="32">
        <v>54</v>
      </c>
      <c r="B5401" s="33">
        <v>6204</v>
      </c>
      <c r="C5401" s="3">
        <v>2770000</v>
      </c>
      <c r="D5401" s="3">
        <f>2765000+50</f>
        <v>2765050</v>
      </c>
      <c r="E5401" s="7">
        <f t="shared" si="105"/>
        <v>4950</v>
      </c>
      <c r="F5401" s="5">
        <v>45933</v>
      </c>
      <c r="G5401" s="4">
        <v>20251002</v>
      </c>
      <c r="H5401" s="38" t="str">
        <f>VLOOKUP(B5401,CAJEROS!B:D,3,0)</f>
        <v>Multifuncional</v>
      </c>
      <c r="I5401" s="34" t="s">
        <v>9</v>
      </c>
      <c r="J5401" s="38" t="str">
        <f>VLOOKUP(B5401,CAJEROS!B:E,4,0)</f>
        <v>MF_CALLE122</v>
      </c>
      <c r="K5401" t="s">
        <v>610</v>
      </c>
    </row>
    <row r="5402" spans="1:11">
      <c r="A5402" s="32">
        <v>907</v>
      </c>
      <c r="B5402" s="33">
        <v>4830</v>
      </c>
      <c r="C5402" s="3">
        <v>2420000</v>
      </c>
      <c r="D5402" s="3">
        <v>1645650</v>
      </c>
      <c r="E5402" s="7">
        <f t="shared" si="105"/>
        <v>774350</v>
      </c>
      <c r="F5402" s="5">
        <v>45933</v>
      </c>
      <c r="G5402" s="4">
        <v>20251002</v>
      </c>
      <c r="H5402" s="38" t="str">
        <f>VLOOKUP(B5402,CAJEROS!B:D,3,0)</f>
        <v>Multifuncional</v>
      </c>
      <c r="I5402" s="34" t="s">
        <v>9</v>
      </c>
      <c r="J5402" s="38" t="str">
        <f>VLOOKUP(B5402,CAJEROS!B:E,4,0)</f>
        <v>MF_FRONTER2</v>
      </c>
      <c r="K5402" t="s">
        <v>610</v>
      </c>
    </row>
    <row r="5403" spans="1:11">
      <c r="A5403" s="32">
        <v>517</v>
      </c>
      <c r="B5403" s="33">
        <v>5053</v>
      </c>
      <c r="C5403" s="3">
        <v>2360000</v>
      </c>
      <c r="D5403" s="3">
        <v>2347000</v>
      </c>
      <c r="E5403" s="7">
        <f t="shared" si="105"/>
        <v>13000</v>
      </c>
      <c r="F5403" s="5">
        <v>45933</v>
      </c>
      <c r="G5403" s="4">
        <v>20251002</v>
      </c>
      <c r="H5403" s="38" t="str">
        <f>VLOOKUP(B5403,CAJEROS!B:D,3,0)</f>
        <v>Multifuncional</v>
      </c>
      <c r="I5403" s="34" t="s">
        <v>9</v>
      </c>
      <c r="J5403" s="38" t="str">
        <f>VLOOKUP(B5403,CAJEROS!B:E,4,0)</f>
        <v>MF_RODADERO</v>
      </c>
      <c r="K5403" t="s">
        <v>610</v>
      </c>
    </row>
    <row r="5404" spans="1:11">
      <c r="A5404" s="32">
        <v>762</v>
      </c>
      <c r="B5404" s="33">
        <v>5181</v>
      </c>
      <c r="C5404" s="3">
        <v>2270000</v>
      </c>
      <c r="D5404" s="3"/>
      <c r="E5404" s="7">
        <f t="shared" si="105"/>
        <v>2270000</v>
      </c>
      <c r="F5404" s="5">
        <v>45933</v>
      </c>
      <c r="G5404" s="4">
        <v>20251002</v>
      </c>
      <c r="H5404" s="38" t="str">
        <f>VLOOKUP(B5404,CAJEROS!B:D,3,0)</f>
        <v>Multifuncional</v>
      </c>
      <c r="I5404" s="34" t="s">
        <v>9</v>
      </c>
      <c r="J5404" s="38" t="str">
        <f>VLOOKUP(B5404,CAJEROS!B:E,4,0)</f>
        <v>MF_HERRADU1</v>
      </c>
      <c r="K5404" t="s">
        <v>610</v>
      </c>
    </row>
    <row r="5405" spans="1:11">
      <c r="A5405" s="32">
        <v>556</v>
      </c>
      <c r="B5405" s="33">
        <v>8333</v>
      </c>
      <c r="C5405" s="3">
        <v>2200000</v>
      </c>
      <c r="D5405" s="3">
        <v>200000</v>
      </c>
      <c r="E5405" s="7">
        <f t="shared" si="105"/>
        <v>2000000</v>
      </c>
      <c r="F5405" s="5">
        <v>45933</v>
      </c>
      <c r="G5405" s="4">
        <v>20251002</v>
      </c>
      <c r="H5405" s="38" t="str">
        <f>VLOOKUP(B5405,CAJEROS!B:D,3,0)</f>
        <v>Multifuncional</v>
      </c>
      <c r="I5405" s="34" t="s">
        <v>9</v>
      </c>
      <c r="J5405" s="38" t="str">
        <f>VLOOKUP(B5405,CAJEROS!B:E,4,0)</f>
        <v>MF_SCARVIB1</v>
      </c>
      <c r="K5405" t="s">
        <v>610</v>
      </c>
    </row>
    <row r="5406" spans="1:11">
      <c r="A5406" s="32">
        <v>291</v>
      </c>
      <c r="B5406" s="33">
        <v>8139</v>
      </c>
      <c r="C5406" s="3">
        <v>1992000</v>
      </c>
      <c r="D5406" s="3">
        <v>1221000</v>
      </c>
      <c r="E5406" s="7">
        <f t="shared" si="105"/>
        <v>771000</v>
      </c>
      <c r="F5406" s="5">
        <v>45933</v>
      </c>
      <c r="G5406" s="4">
        <v>20251002</v>
      </c>
      <c r="H5406" s="38" t="str">
        <f>VLOOKUP(B5406,CAJEROS!B:D,3,0)</f>
        <v>Multifuncional</v>
      </c>
      <c r="I5406" s="34" t="s">
        <v>9</v>
      </c>
      <c r="J5406" s="38" t="str">
        <f>VLOOKUP(B5406,CAJEROS!B:E,4,0)</f>
        <v>MF_LPALMAS2</v>
      </c>
      <c r="K5406" t="s">
        <v>610</v>
      </c>
    </row>
    <row r="5407" spans="1:11">
      <c r="A5407" s="32">
        <v>915</v>
      </c>
      <c r="B5407" s="33">
        <v>8313</v>
      </c>
      <c r="C5407" s="3">
        <v>1950000</v>
      </c>
      <c r="D5407" s="3"/>
      <c r="E5407" s="7">
        <f t="shared" si="105"/>
        <v>1950000</v>
      </c>
      <c r="F5407" s="5">
        <v>45933</v>
      </c>
      <c r="G5407" s="4">
        <v>20251002</v>
      </c>
      <c r="H5407" s="38" t="str">
        <f>VLOOKUP(B5407,CAJEROS!B:D,3,0)</f>
        <v>Multifuncional</v>
      </c>
      <c r="I5407" s="34" t="s">
        <v>9</v>
      </c>
      <c r="J5407" s="38" t="str">
        <f>VLOOKUP(B5407,CAJEROS!B:E,4,0)</f>
        <v>MF_BANLABB1</v>
      </c>
      <c r="K5407" t="s">
        <v>610</v>
      </c>
    </row>
    <row r="5408" spans="1:11">
      <c r="A5408" s="32">
        <v>15</v>
      </c>
      <c r="B5408" s="33">
        <v>8578</v>
      </c>
      <c r="C5408" s="3">
        <v>1690000</v>
      </c>
      <c r="D5408" s="3"/>
      <c r="E5408" s="7">
        <f t="shared" si="105"/>
        <v>1690000</v>
      </c>
      <c r="F5408" s="5">
        <v>45933</v>
      </c>
      <c r="G5408" s="4">
        <v>20251002</v>
      </c>
      <c r="H5408" s="38" t="str">
        <f>VLOOKUP(B5408,CAJEROS!B:D,3,0)</f>
        <v>Multifuncional</v>
      </c>
      <c r="I5408" s="34" t="s">
        <v>9</v>
      </c>
      <c r="J5408" s="38" t="str">
        <f>VLOOKUP(B5408,CAJEROS!B:E,4,0)</f>
        <v>MF_HITAGUI3</v>
      </c>
      <c r="K5408" t="s">
        <v>610</v>
      </c>
    </row>
    <row r="5409" spans="1:11">
      <c r="A5409" s="32">
        <v>725</v>
      </c>
      <c r="B5409" s="33">
        <v>5166</v>
      </c>
      <c r="C5409" s="3">
        <v>1448000</v>
      </c>
      <c r="D5409" s="3">
        <v>1325000</v>
      </c>
      <c r="E5409" s="7">
        <f t="shared" si="105"/>
        <v>123000</v>
      </c>
      <c r="F5409" s="5">
        <v>45933</v>
      </c>
      <c r="G5409" s="4">
        <v>20251002</v>
      </c>
      <c r="H5409" s="38" t="str">
        <f>VLOOKUP(B5409,CAJEROS!B:D,3,0)</f>
        <v>Multifuncional</v>
      </c>
      <c r="I5409" s="34" t="s">
        <v>9</v>
      </c>
      <c r="J5409" s="38" t="str">
        <f>VLOOKUP(B5409,CAJEROS!B:E,4,0)</f>
        <v>MF_DOSQUEBR</v>
      </c>
      <c r="K5409" t="s">
        <v>610</v>
      </c>
    </row>
    <row r="5410" spans="1:11">
      <c r="A5410" s="32">
        <v>944</v>
      </c>
      <c r="B5410" s="33">
        <v>8354</v>
      </c>
      <c r="C5410" s="3">
        <v>1325000</v>
      </c>
      <c r="D5410" s="3">
        <v>1002300</v>
      </c>
      <c r="E5410" s="7">
        <f t="shared" si="105"/>
        <v>322700</v>
      </c>
      <c r="F5410" s="5">
        <v>45933</v>
      </c>
      <c r="G5410" s="4">
        <v>20251002</v>
      </c>
      <c r="H5410" s="38" t="str">
        <f>VLOOKUP(B5410,CAJEROS!B:D,3,0)</f>
        <v>Multifuncional</v>
      </c>
      <c r="I5410" s="34" t="s">
        <v>9</v>
      </c>
      <c r="J5410" s="38" t="str">
        <f>VLOOKUP(B5410,CAJEROS!B:E,4,0)</f>
        <v>MF_SANTABO2</v>
      </c>
      <c r="K5410" t="s">
        <v>610</v>
      </c>
    </row>
    <row r="5411" spans="1:11">
      <c r="A5411" s="32">
        <v>806</v>
      </c>
      <c r="B5411" s="33">
        <v>5156</v>
      </c>
      <c r="C5411" s="3">
        <v>1095000</v>
      </c>
      <c r="D5411" s="3">
        <v>1064500</v>
      </c>
      <c r="E5411" s="7">
        <f t="shared" si="105"/>
        <v>30500</v>
      </c>
      <c r="F5411" s="5">
        <v>45933</v>
      </c>
      <c r="G5411" s="4">
        <v>20251002</v>
      </c>
      <c r="H5411" s="38" t="str">
        <f>VLOOKUP(B5411,CAJEROS!B:D,3,0)</f>
        <v>Multifuncional</v>
      </c>
      <c r="I5411" s="34" t="s">
        <v>9</v>
      </c>
      <c r="J5411" s="38" t="str">
        <f>VLOOKUP(B5411,CAJEROS!B:E,4,0)</f>
        <v>MF_ALZACIA</v>
      </c>
      <c r="K5411" t="s">
        <v>610</v>
      </c>
    </row>
    <row r="5412" spans="1:11">
      <c r="A5412" s="32">
        <v>388</v>
      </c>
      <c r="B5412" s="33">
        <v>5169</v>
      </c>
      <c r="C5412" s="3">
        <v>1010000</v>
      </c>
      <c r="D5412" s="3">
        <v>800750</v>
      </c>
      <c r="E5412" s="7">
        <f t="shared" si="105"/>
        <v>209250</v>
      </c>
      <c r="F5412" s="5">
        <v>45933</v>
      </c>
      <c r="G5412" s="4">
        <v>20251002</v>
      </c>
      <c r="H5412" s="38" t="str">
        <f>VLOOKUP(B5412,CAJEROS!B:D,3,0)</f>
        <v>Multifuncional</v>
      </c>
      <c r="I5412" s="34" t="s">
        <v>9</v>
      </c>
      <c r="J5412" s="38" t="str">
        <f>VLOOKUP(B5412,CAJEROS!B:E,4,0)</f>
        <v>MF_SUCHAYU1</v>
      </c>
      <c r="K5412" t="s">
        <v>610</v>
      </c>
    </row>
    <row r="5413" spans="1:11">
      <c r="A5413" s="32">
        <v>812</v>
      </c>
      <c r="B5413" s="33">
        <v>7614</v>
      </c>
      <c r="C5413" s="3">
        <v>928000</v>
      </c>
      <c r="D5413" s="3">
        <f>699000+180000</f>
        <v>879000</v>
      </c>
      <c r="E5413" s="7">
        <f t="shared" si="105"/>
        <v>49000</v>
      </c>
      <c r="F5413" s="5">
        <v>45933</v>
      </c>
      <c r="G5413" s="4">
        <v>20251002</v>
      </c>
      <c r="H5413" s="38" t="str">
        <f>VLOOKUP(B5413,CAJEROS!B:D,3,0)</f>
        <v>Multifuncional</v>
      </c>
      <c r="I5413" s="34" t="s">
        <v>9</v>
      </c>
      <c r="J5413" s="38" t="str">
        <f>VLOOKUP(B5413,CAJEROS!B:E,4,0)</f>
        <v>MF_CHPICHP3</v>
      </c>
      <c r="K5413" t="s">
        <v>610</v>
      </c>
    </row>
    <row r="5414" spans="1:11">
      <c r="A5414" s="32">
        <v>60</v>
      </c>
      <c r="B5414" s="33">
        <v>8728</v>
      </c>
      <c r="C5414" s="3">
        <v>901300</v>
      </c>
      <c r="D5414" s="3">
        <f>51100+280000</f>
        <v>331100</v>
      </c>
      <c r="E5414" s="7">
        <f t="shared" si="105"/>
        <v>570200</v>
      </c>
      <c r="F5414" s="5">
        <v>45933</v>
      </c>
      <c r="G5414" s="4">
        <v>20251002</v>
      </c>
      <c r="H5414" s="38" t="str">
        <f>VLOOKUP(B5414,CAJEROS!B:D,3,0)</f>
        <v>Multifuncional</v>
      </c>
      <c r="I5414" s="34" t="s">
        <v>9</v>
      </c>
      <c r="J5414" s="38" t="str">
        <f>VLOOKUP(B5414,CAJEROS!B:E,4,0)</f>
        <v>MF_HCALIPR2</v>
      </c>
      <c r="K5414" t="s">
        <v>610</v>
      </c>
    </row>
    <row r="5415" spans="1:11">
      <c r="A5415" s="32">
        <v>317</v>
      </c>
      <c r="B5415" s="33">
        <v>6613</v>
      </c>
      <c r="C5415" s="3">
        <v>880000</v>
      </c>
      <c r="D5415" s="3"/>
      <c r="E5415" s="7">
        <f t="shared" si="105"/>
        <v>880000</v>
      </c>
      <c r="F5415" s="5">
        <v>45933</v>
      </c>
      <c r="G5415" s="4">
        <v>20251002</v>
      </c>
      <c r="H5415" s="38" t="str">
        <f>VLOOKUP(B5415,CAJEROS!B:D,3,0)</f>
        <v>Multifuncional</v>
      </c>
      <c r="I5415" s="34" t="s">
        <v>9</v>
      </c>
      <c r="J5415" s="38" t="str">
        <f>VLOOKUP(B5415,CAJEROS!B:E,4,0)</f>
        <v>MF_ARAUCA</v>
      </c>
      <c r="K5415" t="s">
        <v>610</v>
      </c>
    </row>
    <row r="5416" spans="1:11">
      <c r="A5416" s="32">
        <v>677</v>
      </c>
      <c r="B5416" s="33">
        <v>7124</v>
      </c>
      <c r="C5416" s="3">
        <v>700350</v>
      </c>
      <c r="D5416" s="3"/>
      <c r="E5416" s="7">
        <f t="shared" si="105"/>
        <v>700350</v>
      </c>
      <c r="F5416" s="5">
        <v>45933</v>
      </c>
      <c r="G5416" s="4">
        <v>20251002</v>
      </c>
      <c r="H5416" s="38" t="str">
        <f>VLOOKUP(B5416,CAJEROS!B:D,3,0)</f>
        <v>Multifuncional</v>
      </c>
      <c r="I5416" s="34" t="s">
        <v>9</v>
      </c>
      <c r="J5416" s="38" t="str">
        <f>VLOOKUP(B5416,CAJEROS!B:E,4,0)</f>
        <v>MF_PLMERMON</v>
      </c>
      <c r="K5416" t="s">
        <v>610</v>
      </c>
    </row>
    <row r="5417" spans="1:11">
      <c r="A5417" s="32">
        <v>454</v>
      </c>
      <c r="B5417" s="33">
        <v>5231</v>
      </c>
      <c r="C5417" s="3">
        <v>600000</v>
      </c>
      <c r="D5417" s="3"/>
      <c r="E5417" s="7">
        <f t="shared" si="105"/>
        <v>600000</v>
      </c>
      <c r="F5417" s="5">
        <v>45933</v>
      </c>
      <c r="G5417" s="4">
        <v>20251002</v>
      </c>
      <c r="H5417" s="38" t="str">
        <f>VLOOKUP(B5417,CAJEROS!B:D,3,0)</f>
        <v>Multifuncional</v>
      </c>
      <c r="I5417" s="34" t="s">
        <v>9</v>
      </c>
      <c r="J5417" s="38" t="str">
        <f>VLOOKUP(B5417,CAJEROS!B:E,4,0)</f>
        <v>MF_5TAVENID</v>
      </c>
      <c r="K5417" t="s">
        <v>610</v>
      </c>
    </row>
    <row r="5418" spans="1:11">
      <c r="A5418" s="32">
        <v>467</v>
      </c>
      <c r="B5418" s="33">
        <v>9051</v>
      </c>
      <c r="C5418" s="3">
        <v>320000</v>
      </c>
      <c r="D5418" s="3"/>
      <c r="E5418" s="7">
        <f t="shared" si="105"/>
        <v>320000</v>
      </c>
      <c r="F5418" s="5">
        <v>45933</v>
      </c>
      <c r="G5418" s="4">
        <v>20251002</v>
      </c>
      <c r="H5418" s="38" t="str">
        <f>VLOOKUP(B5418,CAJEROS!B:D,3,0)</f>
        <v>Multifuncional</v>
      </c>
      <c r="I5418" s="34" t="s">
        <v>9</v>
      </c>
      <c r="J5418" s="38" t="str">
        <f>VLOOKUP(B5418,CAJEROS!B:E,4,0)</f>
        <v>MFHDVERPLZ1</v>
      </c>
      <c r="K5418" t="s">
        <v>610</v>
      </c>
    </row>
    <row r="5419" spans="1:11">
      <c r="A5419" s="32">
        <v>287</v>
      </c>
      <c r="B5419" s="33">
        <v>907</v>
      </c>
      <c r="C5419" s="3">
        <v>301000</v>
      </c>
      <c r="D5419" s="3"/>
      <c r="E5419" s="7">
        <f t="shared" si="105"/>
        <v>301000</v>
      </c>
      <c r="F5419" s="5">
        <v>45933</v>
      </c>
      <c r="G5419" s="4">
        <v>20251002</v>
      </c>
      <c r="H5419" s="38" t="str">
        <f>VLOOKUP(B5419,CAJEROS!B:D,3,0)</f>
        <v>Multifuncional</v>
      </c>
      <c r="I5419" s="34" t="s">
        <v>9</v>
      </c>
      <c r="J5419" s="38" t="str">
        <f>VLOOKUP(B5419,CAJEROS!B:E,4,0)</f>
        <v>MFABASTOBGA</v>
      </c>
      <c r="K5419" t="s">
        <v>610</v>
      </c>
    </row>
    <row r="5420" spans="1:11">
      <c r="A5420" s="32">
        <v>217</v>
      </c>
      <c r="B5420" s="33">
        <v>5208</v>
      </c>
      <c r="C5420" s="3">
        <v>120000</v>
      </c>
      <c r="D5420" s="3"/>
      <c r="E5420" s="7">
        <f t="shared" si="105"/>
        <v>120000</v>
      </c>
      <c r="F5420" s="5">
        <v>45933</v>
      </c>
      <c r="G5420" s="4">
        <v>20251002</v>
      </c>
      <c r="H5420" s="38" t="str">
        <f>VLOOKUP(B5420,CAJEROS!B:D,3,0)</f>
        <v>Multifuncional</v>
      </c>
      <c r="I5420" s="34" t="s">
        <v>9</v>
      </c>
      <c r="J5420" s="38" t="str">
        <f>VLOOKUP(B5420,CAJEROS!B:E,4,0)</f>
        <v>MF_MONTEVID</v>
      </c>
      <c r="K5420" t="s">
        <v>610</v>
      </c>
    </row>
    <row r="5421" spans="1:11">
      <c r="A5421" s="32">
        <v>331</v>
      </c>
      <c r="B5421" s="33">
        <v>575</v>
      </c>
      <c r="C5421" s="3">
        <v>115000</v>
      </c>
      <c r="D5421" s="3"/>
      <c r="E5421" s="7">
        <f t="shared" si="105"/>
        <v>115000</v>
      </c>
      <c r="F5421" s="5">
        <v>45933</v>
      </c>
      <c r="G5421" s="4">
        <v>20251002</v>
      </c>
      <c r="H5421" s="38" t="str">
        <f>VLOOKUP(B5421,CAJEROS!B:D,3,0)</f>
        <v>Multifuncional</v>
      </c>
      <c r="I5421" s="34" t="s">
        <v>9</v>
      </c>
      <c r="J5421" s="38" t="str">
        <f>VLOOKUP(B5421,CAJEROS!B:E,4,0)</f>
        <v>MF_SUCARKA2</v>
      </c>
      <c r="K5421" t="s">
        <v>610</v>
      </c>
    </row>
    <row r="5422" spans="1:11">
      <c r="A5422" s="32">
        <v>261</v>
      </c>
      <c r="B5422" s="33">
        <v>8477</v>
      </c>
      <c r="C5422" s="3">
        <v>50000</v>
      </c>
      <c r="D5422" s="3"/>
      <c r="E5422" s="7">
        <f t="shared" si="105"/>
        <v>50000</v>
      </c>
      <c r="F5422" s="5">
        <v>45933</v>
      </c>
      <c r="G5422" s="4">
        <v>20251002</v>
      </c>
      <c r="H5422" s="38" t="str">
        <f>VLOOKUP(B5422,CAJEROS!B:D,3,0)</f>
        <v>Dispensador</v>
      </c>
      <c r="I5422" s="34"/>
      <c r="J5422" s="38" t="str">
        <f>VLOOKUP(B5422,CAJEROS!B:E,4,0)</f>
        <v>SUCAMPA3</v>
      </c>
      <c r="K5422" t="s">
        <v>610</v>
      </c>
    </row>
    <row r="5423" spans="1:11">
      <c r="A5423" s="32">
        <v>341</v>
      </c>
      <c r="B5423" s="33">
        <v>3412</v>
      </c>
      <c r="C5423" s="3">
        <v>420000</v>
      </c>
      <c r="D5423" s="3">
        <v>280000</v>
      </c>
      <c r="E5423" s="7">
        <f t="shared" si="105"/>
        <v>140000</v>
      </c>
      <c r="F5423" s="5">
        <v>45933</v>
      </c>
      <c r="G5423" s="4">
        <v>20251002</v>
      </c>
      <c r="H5423" s="38" t="str">
        <f>VLOOKUP(B5423,CAJEROS!B:D,3,0)</f>
        <v>Dispensador</v>
      </c>
      <c r="I5423" s="34"/>
      <c r="J5423" s="38" t="str">
        <f>VLOOKUP(B5423,CAJEROS!B:E,4,0)</f>
        <v>PACHO2</v>
      </c>
      <c r="K5423" t="s">
        <v>610</v>
      </c>
    </row>
    <row r="5424" spans="1:11">
      <c r="A5424" s="32">
        <v>404</v>
      </c>
      <c r="B5424" s="33">
        <v>5873</v>
      </c>
      <c r="C5424" s="3">
        <v>900000</v>
      </c>
      <c r="D5424" s="3"/>
      <c r="E5424" s="7">
        <f t="shared" si="105"/>
        <v>900000</v>
      </c>
      <c r="F5424" s="5">
        <v>45933</v>
      </c>
      <c r="G5424" s="4">
        <v>20251002</v>
      </c>
      <c r="H5424" s="38" t="str">
        <f>VLOOKUP(B5424,CAJEROS!B:D,3,0)</f>
        <v>Dispensador</v>
      </c>
      <c r="I5424" s="34"/>
      <c r="J5424" s="38" t="str">
        <f>VLOOKUP(B5424,CAJEROS!B:E,4,0)</f>
        <v>JARDIN_2</v>
      </c>
      <c r="K5424" t="s">
        <v>610</v>
      </c>
    </row>
    <row r="5425" spans="1:11">
      <c r="A5425" s="32">
        <v>422</v>
      </c>
      <c r="B5425" s="33">
        <v>4555</v>
      </c>
      <c r="C5425" s="3">
        <v>2750000</v>
      </c>
      <c r="D5425" s="3"/>
      <c r="E5425" s="7">
        <f t="shared" si="105"/>
        <v>2750000</v>
      </c>
      <c r="F5425" s="5">
        <v>45933</v>
      </c>
      <c r="G5425" s="4">
        <v>20251002</v>
      </c>
      <c r="H5425" s="38" t="str">
        <f>VLOOKUP(B5425,CAJEROS!B:D,3,0)</f>
        <v>Dispensador</v>
      </c>
      <c r="I5425" s="34"/>
      <c r="J5425" s="38" t="str">
        <f>VLOOKUP(B5425,CAJEROS!B:E,4,0)</f>
        <v>CHAPARRAL_2</v>
      </c>
      <c r="K5425" t="s">
        <v>610</v>
      </c>
    </row>
    <row r="5426" spans="1:11">
      <c r="A5426" s="32">
        <v>556</v>
      </c>
      <c r="B5426" s="33">
        <v>8336</v>
      </c>
      <c r="C5426" s="3">
        <v>1250000</v>
      </c>
      <c r="D5426" s="3"/>
      <c r="E5426" s="7">
        <f t="shared" si="105"/>
        <v>1250000</v>
      </c>
      <c r="F5426" s="5">
        <v>45933</v>
      </c>
      <c r="G5426" s="4">
        <v>20251002</v>
      </c>
      <c r="H5426" s="38" t="str">
        <f>VLOOKUP(B5426,CAJEROS!B:D,3,0)</f>
        <v>Dispensador</v>
      </c>
      <c r="I5426" s="34"/>
      <c r="J5426" s="38" t="str">
        <f>VLOOKUP(B5426,CAJEROS!B:E,4,0)</f>
        <v>SUCCARVIBO3</v>
      </c>
      <c r="K5426" t="s">
        <v>610</v>
      </c>
    </row>
    <row r="5427" spans="1:11">
      <c r="A5427" s="32">
        <v>829</v>
      </c>
      <c r="B5427" s="33">
        <v>1157</v>
      </c>
      <c r="C5427" s="3">
        <v>6100000</v>
      </c>
      <c r="D5427" s="3"/>
      <c r="E5427" s="7">
        <f t="shared" si="105"/>
        <v>6100000</v>
      </c>
      <c r="F5427" s="5">
        <v>45933</v>
      </c>
      <c r="G5427" s="4">
        <v>20251002</v>
      </c>
      <c r="H5427" s="38" t="str">
        <f>VLOOKUP(B5427,CAJEROS!B:D,3,0)</f>
        <v>Dispensador</v>
      </c>
      <c r="I5427" s="34"/>
      <c r="J5427" s="38" t="str">
        <f>VLOOKUP(B5427,CAJEROS!B:E,4,0)</f>
        <v>SUCUNICCAL3</v>
      </c>
      <c r="K5427" t="s">
        <v>610</v>
      </c>
    </row>
    <row r="5428" spans="1:11">
      <c r="A5428" s="32">
        <v>859</v>
      </c>
      <c r="B5428" s="33">
        <v>5599</v>
      </c>
      <c r="C5428" s="3">
        <v>2700000</v>
      </c>
      <c r="D5428" s="3"/>
      <c r="E5428" s="7">
        <f t="shared" si="105"/>
        <v>2700000</v>
      </c>
      <c r="F5428" s="5">
        <v>45933</v>
      </c>
      <c r="G5428" s="4">
        <v>20251002</v>
      </c>
      <c r="H5428" s="38" t="e">
        <f>VLOOKUP(B5428,CAJEROS!B:D,3,0)</f>
        <v>#N/A</v>
      </c>
      <c r="I5428" s="34"/>
      <c r="J5428" s="38" t="e">
        <f>VLOOKUP(B5428,CAJEROS!B:E,4,0)</f>
        <v>#N/A</v>
      </c>
      <c r="K5428" t="s">
        <v>610</v>
      </c>
    </row>
    <row r="5429" spans="1:11">
      <c r="A5429" s="32">
        <v>866</v>
      </c>
      <c r="B5429" s="33">
        <v>8661</v>
      </c>
      <c r="C5429" s="3">
        <v>50000</v>
      </c>
      <c r="D5429" s="3"/>
      <c r="E5429" s="7">
        <f t="shared" si="105"/>
        <v>50000</v>
      </c>
      <c r="F5429" s="5">
        <v>45933</v>
      </c>
      <c r="G5429" s="4">
        <v>20251002</v>
      </c>
      <c r="H5429" s="38" t="str">
        <f>VLOOKUP(B5429,CAJEROS!B:D,3,0)</f>
        <v>Dispensador</v>
      </c>
      <c r="I5429" s="34"/>
      <c r="J5429" s="38" t="str">
        <f>VLOOKUP(B5429,CAJEROS!B:E,4,0)</f>
        <v>SUC_FLORID1</v>
      </c>
      <c r="K5429" t="s">
        <v>610</v>
      </c>
    </row>
    <row r="5430" spans="1:11">
      <c r="A5430" s="32">
        <v>70</v>
      </c>
      <c r="B5430" s="33">
        <v>4729</v>
      </c>
      <c r="C5430" s="3">
        <v>60000</v>
      </c>
      <c r="D5430" s="3"/>
      <c r="E5430" s="7">
        <f t="shared" si="105"/>
        <v>60000</v>
      </c>
      <c r="F5430" s="5">
        <v>45933</v>
      </c>
      <c r="G5430" s="4">
        <v>20251002</v>
      </c>
      <c r="H5430" s="38" t="str">
        <f>VLOOKUP(B5430,CAJEROS!B:D,3,0)</f>
        <v>Dispensador</v>
      </c>
      <c r="I5430" s="34" t="s">
        <v>9</v>
      </c>
      <c r="J5430" s="38" t="str">
        <f>VLOOKUP(B5430,CAJEROS!B:E,4,0)</f>
        <v>PPMANIZLES4</v>
      </c>
      <c r="K5430" t="s">
        <v>610</v>
      </c>
    </row>
    <row r="5431" spans="1:11">
      <c r="A5431" s="32">
        <v>193</v>
      </c>
      <c r="B5431" s="33">
        <v>8532</v>
      </c>
      <c r="C5431" s="3">
        <v>1280000</v>
      </c>
      <c r="D5431" s="3"/>
      <c r="E5431" s="7">
        <f t="shared" si="105"/>
        <v>1280000</v>
      </c>
      <c r="F5431" s="5">
        <v>45933</v>
      </c>
      <c r="G5431" s="4">
        <v>20251002</v>
      </c>
      <c r="H5431" s="38" t="str">
        <f>VLOOKUP(B5431,CAJEROS!B:D,3,0)</f>
        <v>Dispensador</v>
      </c>
      <c r="I5431" s="34" t="s">
        <v>9</v>
      </c>
      <c r="J5431" s="38" t="str">
        <f>VLOOKUP(B5431,CAJEROS!B:E,4,0)</f>
        <v>HALLSUCFIC2</v>
      </c>
      <c r="K5431" t="s">
        <v>610</v>
      </c>
    </row>
    <row r="5432" spans="1:11">
      <c r="A5432" s="32">
        <v>193</v>
      </c>
      <c r="B5432" s="33">
        <v>8534</v>
      </c>
      <c r="C5432" s="3">
        <v>50000</v>
      </c>
      <c r="D5432" s="3"/>
      <c r="E5432" s="7">
        <f t="shared" si="105"/>
        <v>50000</v>
      </c>
      <c r="F5432" s="5">
        <v>45933</v>
      </c>
      <c r="G5432" s="4">
        <v>20251002</v>
      </c>
      <c r="H5432" s="38" t="str">
        <f>VLOOKUP(B5432,CAJEROS!B:D,3,0)</f>
        <v>Dispensador</v>
      </c>
      <c r="I5432" s="34" t="s">
        <v>9</v>
      </c>
      <c r="J5432" s="38" t="str">
        <f>VLOOKUP(B5432,CAJEROS!B:E,4,0)</f>
        <v>HALLSUCFIC4</v>
      </c>
      <c r="K5432" t="s">
        <v>610</v>
      </c>
    </row>
    <row r="5433" spans="1:11">
      <c r="A5433" s="32">
        <v>289</v>
      </c>
      <c r="B5433" s="33">
        <v>8225</v>
      </c>
      <c r="C5433" s="3">
        <v>30000</v>
      </c>
      <c r="D5433" s="3"/>
      <c r="E5433" s="7">
        <f t="shared" si="105"/>
        <v>30000</v>
      </c>
      <c r="F5433" s="5">
        <v>45933</v>
      </c>
      <c r="G5433" s="4">
        <v>20251002</v>
      </c>
      <c r="H5433" s="38" t="str">
        <f>VLOOKUP(B5433,CAJEROS!B:D,3,0)</f>
        <v>Dispensador</v>
      </c>
      <c r="I5433" s="34" t="s">
        <v>9</v>
      </c>
      <c r="J5433" s="38" t="str">
        <f>VLOOKUP(B5433,CAJEROS!B:E,4,0)</f>
        <v>PUERTO_GAI4</v>
      </c>
      <c r="K5433" t="s">
        <v>610</v>
      </c>
    </row>
    <row r="5434" spans="1:11">
      <c r="A5434" s="32">
        <v>348</v>
      </c>
      <c r="B5434" s="33">
        <v>5649</v>
      </c>
      <c r="C5434" s="3">
        <v>200000</v>
      </c>
      <c r="D5434" s="3">
        <v>190000</v>
      </c>
      <c r="E5434" s="7">
        <f t="shared" si="105"/>
        <v>10000</v>
      </c>
      <c r="F5434" s="5">
        <v>45933</v>
      </c>
      <c r="G5434" s="4">
        <v>20251002</v>
      </c>
      <c r="H5434" s="38" t="str">
        <f>VLOOKUP(B5434,CAJEROS!B:D,3,0)</f>
        <v>Dispensador</v>
      </c>
      <c r="I5434" s="34" t="s">
        <v>9</v>
      </c>
      <c r="J5434" s="38" t="str">
        <f>VLOOKUP(B5434,CAJEROS!B:E,4,0)</f>
        <v>SUCSANDRES5</v>
      </c>
      <c r="K5434" t="s">
        <v>610</v>
      </c>
    </row>
    <row r="5435" spans="1:11">
      <c r="A5435" s="32">
        <v>348</v>
      </c>
      <c r="B5435" s="33">
        <v>9006</v>
      </c>
      <c r="C5435" s="3">
        <v>2160000</v>
      </c>
      <c r="D5435" s="3"/>
      <c r="E5435" s="7">
        <f t="shared" si="105"/>
        <v>2160000</v>
      </c>
      <c r="F5435" s="5">
        <v>45933</v>
      </c>
      <c r="G5435" s="4">
        <v>20251002</v>
      </c>
      <c r="H5435" s="38" t="str">
        <f>VLOOKUP(B5435,CAJEROS!B:D,3,0)</f>
        <v>Dispensador</v>
      </c>
      <c r="I5435" s="34" t="s">
        <v>9</v>
      </c>
      <c r="J5435" s="38" t="str">
        <f>VLOOKUP(B5435,CAJEROS!B:E,4,0)</f>
        <v>SUCSANDRES6</v>
      </c>
      <c r="K5435" t="s">
        <v>610</v>
      </c>
    </row>
    <row r="5436" spans="1:11">
      <c r="A5436" s="32">
        <v>358</v>
      </c>
      <c r="B5436" s="33">
        <v>4499</v>
      </c>
      <c r="C5436" s="3">
        <v>680000</v>
      </c>
      <c r="D5436" s="3"/>
      <c r="E5436" s="7">
        <f t="shared" si="105"/>
        <v>680000</v>
      </c>
      <c r="F5436" s="5">
        <v>45933</v>
      </c>
      <c r="G5436" s="4">
        <v>20251002</v>
      </c>
      <c r="H5436" s="38" t="str">
        <f>VLOOKUP(B5436,CAJEROS!B:D,3,0)</f>
        <v>Dispensador</v>
      </c>
      <c r="I5436" s="34" t="s">
        <v>9</v>
      </c>
      <c r="J5436" s="38" t="str">
        <f>VLOOKUP(B5436,CAJEROS!B:E,4,0)</f>
        <v>SUC_SOGAMO1</v>
      </c>
      <c r="K5436" t="s">
        <v>610</v>
      </c>
    </row>
    <row r="5437" spans="1:11">
      <c r="A5437" s="32">
        <v>426</v>
      </c>
      <c r="B5437" s="33">
        <v>7819</v>
      </c>
      <c r="C5437" s="3">
        <v>120000</v>
      </c>
      <c r="D5437" s="3">
        <v>110000</v>
      </c>
      <c r="E5437" s="7">
        <f t="shared" si="105"/>
        <v>10000</v>
      </c>
      <c r="F5437" s="5">
        <v>45933</v>
      </c>
      <c r="G5437" s="4">
        <v>20251002</v>
      </c>
      <c r="H5437" s="38" t="str">
        <f>VLOOKUP(B5437,CAJEROS!B:D,3,0)</f>
        <v>Dispensador</v>
      </c>
      <c r="I5437" s="34" t="s">
        <v>9</v>
      </c>
      <c r="J5437" s="38" t="str">
        <f>VLOOKUP(B5437,CAJEROS!B:E,4,0)</f>
        <v>PURIFICACI2</v>
      </c>
      <c r="K5437" t="s">
        <v>610</v>
      </c>
    </row>
    <row r="5438" spans="1:11">
      <c r="A5438" s="32">
        <v>451</v>
      </c>
      <c r="B5438" s="33">
        <v>4967</v>
      </c>
      <c r="C5438" s="3">
        <v>120000</v>
      </c>
      <c r="D5438" s="3"/>
      <c r="E5438" s="7">
        <f t="shared" si="105"/>
        <v>120000</v>
      </c>
      <c r="F5438" s="5">
        <v>45933</v>
      </c>
      <c r="G5438" s="4">
        <v>20251002</v>
      </c>
      <c r="H5438" s="38" t="str">
        <f>VLOOKUP(B5438,CAJEROS!B:D,3,0)</f>
        <v>Dispensador</v>
      </c>
      <c r="I5438" s="34" t="s">
        <v>9</v>
      </c>
      <c r="J5438" s="38" t="str">
        <f>VLOOKUP(B5438,CAJEROS!B:E,4,0)</f>
        <v>SUCPTOASIS2</v>
      </c>
      <c r="K5438" t="s">
        <v>610</v>
      </c>
    </row>
    <row r="5439" spans="1:11">
      <c r="A5439" s="32">
        <v>536</v>
      </c>
      <c r="B5439" s="33">
        <v>6915</v>
      </c>
      <c r="C5439" s="3">
        <v>480000</v>
      </c>
      <c r="D5439" s="3">
        <v>470000</v>
      </c>
      <c r="E5439" s="7">
        <f t="shared" si="105"/>
        <v>10000</v>
      </c>
      <c r="F5439" s="5">
        <v>45933</v>
      </c>
      <c r="G5439" s="4">
        <v>20251002</v>
      </c>
      <c r="H5439" s="38" t="str">
        <f>VLOOKUP(B5439,CAJEROS!B:D,3,0)</f>
        <v>Dispensador</v>
      </c>
      <c r="I5439" s="34" t="s">
        <v>9</v>
      </c>
      <c r="J5439" s="38" t="str">
        <f>VLOOKUP(B5439,CAJEROS!B:E,4,0)</f>
        <v>SUC_QUIBDO7</v>
      </c>
      <c r="K5439" t="s">
        <v>610</v>
      </c>
    </row>
    <row r="5440" spans="1:11">
      <c r="A5440" s="32">
        <v>567</v>
      </c>
      <c r="B5440" s="33">
        <v>2423</v>
      </c>
      <c r="C5440" s="3">
        <v>1980000</v>
      </c>
      <c r="D5440" s="3">
        <v>720000</v>
      </c>
      <c r="E5440" s="7">
        <f t="shared" si="105"/>
        <v>1260000</v>
      </c>
      <c r="F5440" s="5">
        <v>45933</v>
      </c>
      <c r="G5440" s="4">
        <v>20251002</v>
      </c>
      <c r="H5440" s="38" t="str">
        <f>VLOOKUP(B5440,CAJEROS!B:D,3,0)</f>
        <v>Dispensador</v>
      </c>
      <c r="I5440" s="34" t="s">
        <v>9</v>
      </c>
      <c r="J5440" s="38" t="str">
        <f>VLOOKUP(B5440,CAJEROS!B:E,4,0)</f>
        <v>VENECIA_1_R</v>
      </c>
      <c r="K5440" t="s">
        <v>610</v>
      </c>
    </row>
    <row r="5441" spans="1:11">
      <c r="A5441" s="32">
        <v>595</v>
      </c>
      <c r="B5441" s="33">
        <v>3697</v>
      </c>
      <c r="C5441" s="3">
        <v>330000</v>
      </c>
      <c r="D5441" s="3"/>
      <c r="E5441" s="7">
        <f t="shared" si="105"/>
        <v>330000</v>
      </c>
      <c r="F5441" s="5">
        <v>45933</v>
      </c>
      <c r="G5441" s="4">
        <v>20251002</v>
      </c>
      <c r="H5441" s="38" t="str">
        <f>VLOOKUP(B5441,CAJEROS!B:D,3,0)</f>
        <v>Dispensador</v>
      </c>
      <c r="I5441" s="34" t="s">
        <v>9</v>
      </c>
      <c r="J5441" s="38" t="str">
        <f>VLOOKUP(B5441,CAJEROS!B:E,4,0)</f>
        <v>SUC_BARAN1</v>
      </c>
      <c r="K5441" t="s">
        <v>610</v>
      </c>
    </row>
    <row r="5442" spans="1:11">
      <c r="A5442" s="32">
        <v>816</v>
      </c>
      <c r="B5442" s="33">
        <v>4113</v>
      </c>
      <c r="C5442" s="3">
        <v>210000</v>
      </c>
      <c r="D5442" s="3"/>
      <c r="E5442" s="7">
        <f t="shared" si="105"/>
        <v>210000</v>
      </c>
      <c r="F5442" s="5">
        <v>45933</v>
      </c>
      <c r="G5442" s="4">
        <v>20251002</v>
      </c>
      <c r="H5442" s="38" t="str">
        <f>VLOOKUP(B5442,CAJEROS!B:D,3,0)</f>
        <v>Dispensador</v>
      </c>
      <c r="I5442" s="34" t="s">
        <v>9</v>
      </c>
      <c r="J5442" s="38" t="str">
        <f>VLOOKUP(B5442,CAJEROS!B:E,4,0)</f>
        <v>SUC_CL10_4</v>
      </c>
      <c r="K5442" t="s">
        <v>610</v>
      </c>
    </row>
    <row r="5443" spans="1:11">
      <c r="A5443" s="32">
        <v>927</v>
      </c>
      <c r="B5443" s="33">
        <v>5751</v>
      </c>
      <c r="C5443" s="3">
        <v>400000</v>
      </c>
      <c r="D5443" s="3"/>
      <c r="E5443" s="7">
        <f t="shared" si="105"/>
        <v>400000</v>
      </c>
      <c r="F5443" s="5">
        <v>45933</v>
      </c>
      <c r="G5443" s="4">
        <v>20251002</v>
      </c>
      <c r="H5443" s="38" t="str">
        <f>VLOOKUP(B5443,CAJEROS!B:D,3,0)</f>
        <v>Dispensador</v>
      </c>
      <c r="I5443" s="34" t="s">
        <v>9</v>
      </c>
      <c r="J5443" s="38" t="str">
        <f>VLOOKUP(B5443,CAJEROS!B:E,4,0)</f>
        <v>SUC_MOCOA3</v>
      </c>
      <c r="K5443" t="s">
        <v>610</v>
      </c>
    </row>
    <row r="5444" spans="1:11">
      <c r="A5444" s="32">
        <v>57</v>
      </c>
      <c r="B5444" s="33">
        <v>9949</v>
      </c>
      <c r="C5444" s="3">
        <v>50000</v>
      </c>
      <c r="D5444" s="3"/>
      <c r="E5444" s="7">
        <f t="shared" si="105"/>
        <v>50000</v>
      </c>
      <c r="F5444" s="5">
        <v>45934</v>
      </c>
      <c r="G5444" s="4">
        <v>20251003</v>
      </c>
      <c r="H5444" s="38" t="str">
        <f>VLOOKUP(B5444,CAJEROS!B:D,3,0)</f>
        <v>Dispensador</v>
      </c>
      <c r="I5444" s="34"/>
      <c r="J5444" s="38" t="str">
        <f>VLOOKUP(B5444,CAJEROS!B:E,4,0)</f>
        <v>SUC_VILLAO4</v>
      </c>
      <c r="K5444" t="s">
        <v>610</v>
      </c>
    </row>
    <row r="5445" spans="1:11">
      <c r="A5445" s="32">
        <v>261</v>
      </c>
      <c r="B5445" s="33">
        <v>8475</v>
      </c>
      <c r="C5445" s="3">
        <v>500000</v>
      </c>
      <c r="D5445" s="3"/>
      <c r="E5445" s="7">
        <f t="shared" si="105"/>
        <v>500000</v>
      </c>
      <c r="F5445" s="5">
        <v>45934</v>
      </c>
      <c r="G5445" s="4">
        <v>20251003</v>
      </c>
      <c r="H5445" s="38" t="str">
        <f>VLOOKUP(B5445,CAJEROS!B:D,3,0)</f>
        <v>Dispensador</v>
      </c>
      <c r="I5445" s="34"/>
      <c r="J5445" s="38" t="str">
        <f>VLOOKUP(B5445,CAJEROS!B:E,4,0)</f>
        <v>SUCAMPA1</v>
      </c>
      <c r="K5445" t="s">
        <v>610</v>
      </c>
    </row>
    <row r="5446" spans="1:11">
      <c r="A5446" s="32">
        <v>297</v>
      </c>
      <c r="B5446" s="33">
        <v>4564</v>
      </c>
      <c r="C5446" s="3">
        <v>1000000</v>
      </c>
      <c r="D5446" s="3"/>
      <c r="E5446" s="7">
        <f t="shared" si="105"/>
        <v>1000000</v>
      </c>
      <c r="F5446" s="5">
        <v>45934</v>
      </c>
      <c r="G5446" s="4">
        <v>20251003</v>
      </c>
      <c r="H5446" s="38" t="str">
        <f>VLOOKUP(B5446,CAJEROS!B:D,3,0)</f>
        <v>Dispensador</v>
      </c>
      <c r="I5446" s="34"/>
      <c r="J5446" s="38" t="str">
        <f>VLOOKUP(B5446,CAJEROS!B:E,4,0)</f>
        <v>SUC_AGUAC3</v>
      </c>
      <c r="K5446" t="s">
        <v>610</v>
      </c>
    </row>
    <row r="5447" spans="1:11">
      <c r="A5447" s="32">
        <v>516</v>
      </c>
      <c r="B5447" s="33">
        <v>9726</v>
      </c>
      <c r="C5447" s="3">
        <v>30000</v>
      </c>
      <c r="D5447" s="3"/>
      <c r="E5447" s="7">
        <f t="shared" si="105"/>
        <v>30000</v>
      </c>
      <c r="F5447" s="5">
        <v>45934</v>
      </c>
      <c r="G5447" s="4">
        <v>20251003</v>
      </c>
      <c r="H5447" s="38" t="str">
        <f>VLOOKUP(B5447,CAJEROS!B:D,3,0)</f>
        <v>Dispensador</v>
      </c>
      <c r="I5447" s="34"/>
      <c r="J5447" s="38" t="str">
        <f>VLOOKUP(B5447,CAJEROS!B:E,4,0)</f>
        <v>SUCSTAMART1</v>
      </c>
      <c r="K5447" t="s">
        <v>610</v>
      </c>
    </row>
    <row r="5448" spans="1:11">
      <c r="A5448" s="32">
        <v>863</v>
      </c>
      <c r="B5448" s="33">
        <v>3488</v>
      </c>
      <c r="C5448" s="3">
        <v>20000</v>
      </c>
      <c r="D5448" s="3"/>
      <c r="E5448" s="7">
        <f t="shared" si="105"/>
        <v>20000</v>
      </c>
      <c r="F5448" s="5">
        <v>45934</v>
      </c>
      <c r="G5448" s="4">
        <v>20251003</v>
      </c>
      <c r="H5448" s="38" t="str">
        <f>VLOOKUP(B5448,CAJEROS!B:D,3,0)</f>
        <v>Dispensador</v>
      </c>
      <c r="I5448" s="34"/>
      <c r="J5448" s="38" t="str">
        <f>VLOOKUP(B5448,CAJEROS!B:E,4,0)</f>
        <v>LOSPATIOS</v>
      </c>
      <c r="K5448" t="s">
        <v>610</v>
      </c>
    </row>
    <row r="5449" spans="1:11">
      <c r="A5449" s="32">
        <v>914</v>
      </c>
      <c r="B5449" s="33">
        <v>5544</v>
      </c>
      <c r="C5449" s="3">
        <v>570000</v>
      </c>
      <c r="D5449" s="3"/>
      <c r="E5449" s="7">
        <f t="shared" si="105"/>
        <v>570000</v>
      </c>
      <c r="F5449" s="5">
        <v>45934</v>
      </c>
      <c r="G5449" s="4">
        <v>20251003</v>
      </c>
      <c r="H5449" s="38" t="str">
        <f>VLOOKUP(B5449,CAJEROS!B:D,3,0)</f>
        <v>Dispensador</v>
      </c>
      <c r="I5449" s="34"/>
      <c r="J5449" s="38" t="str">
        <f>VLOOKUP(B5449,CAJEROS!B:E,4,0)</f>
        <v>DONMATIA2</v>
      </c>
      <c r="K5449" t="s">
        <v>610</v>
      </c>
    </row>
    <row r="5450" spans="1:11">
      <c r="A5450" s="32">
        <v>15</v>
      </c>
      <c r="B5450" s="33">
        <v>8573</v>
      </c>
      <c r="C5450" s="3">
        <v>60000</v>
      </c>
      <c r="D5450" s="3"/>
      <c r="E5450" s="7">
        <f t="shared" si="105"/>
        <v>60000</v>
      </c>
      <c r="F5450" s="5">
        <v>45936</v>
      </c>
      <c r="G5450" s="4">
        <v>20251005</v>
      </c>
      <c r="H5450" s="38" t="str">
        <f>VLOOKUP(B5450,CAJEROS!B:D,3,0)</f>
        <v>Dispensador</v>
      </c>
      <c r="I5450" s="34" t="s">
        <v>9</v>
      </c>
      <c r="J5450" s="38" t="str">
        <f>VLOOKUP(B5450,CAJEROS!B:E,4,0)</f>
        <v>HALLITAGUI3</v>
      </c>
      <c r="K5450" t="s">
        <v>610</v>
      </c>
    </row>
    <row r="5451" spans="1:11">
      <c r="A5451" s="32">
        <v>70</v>
      </c>
      <c r="B5451" s="33">
        <v>4729</v>
      </c>
      <c r="C5451" s="3">
        <v>1000000</v>
      </c>
      <c r="D5451" s="3">
        <v>950000</v>
      </c>
      <c r="E5451" s="7">
        <f t="shared" ref="E5451:E5514" si="106">+C5451-D5451</f>
        <v>50000</v>
      </c>
      <c r="F5451" s="5">
        <v>45936</v>
      </c>
      <c r="G5451" s="4">
        <v>20251005</v>
      </c>
      <c r="H5451" s="38" t="str">
        <f>VLOOKUP(B5451,CAJEROS!B:D,3,0)</f>
        <v>Dispensador</v>
      </c>
      <c r="I5451" s="34" t="s">
        <v>9</v>
      </c>
      <c r="J5451" s="38" t="str">
        <f>VLOOKUP(B5451,CAJEROS!B:E,4,0)</f>
        <v>PPMANIZLES4</v>
      </c>
      <c r="K5451" t="s">
        <v>610</v>
      </c>
    </row>
    <row r="5452" spans="1:11">
      <c r="A5452" s="32">
        <v>153</v>
      </c>
      <c r="B5452" s="33">
        <v>9879</v>
      </c>
      <c r="C5452" s="3">
        <v>280000</v>
      </c>
      <c r="D5452" s="3"/>
      <c r="E5452" s="7">
        <f t="shared" si="106"/>
        <v>280000</v>
      </c>
      <c r="F5452" s="5">
        <v>45936</v>
      </c>
      <c r="G5452" s="4">
        <v>20251005</v>
      </c>
      <c r="H5452" s="38" t="str">
        <f>VLOOKUP(B5452,CAJEROS!B:D,3,0)</f>
        <v>Dispensador</v>
      </c>
      <c r="I5452" s="34" t="s">
        <v>9</v>
      </c>
      <c r="J5452" s="38" t="str">
        <f>VLOOKUP(B5452,CAJEROS!B:E,4,0)</f>
        <v>EXITOIBAG_1</v>
      </c>
      <c r="K5452" t="s">
        <v>610</v>
      </c>
    </row>
    <row r="5453" spans="1:11">
      <c r="A5453" s="32">
        <v>163</v>
      </c>
      <c r="B5453" s="33">
        <v>5553</v>
      </c>
      <c r="C5453" s="3">
        <v>100000</v>
      </c>
      <c r="D5453" s="3">
        <v>90000</v>
      </c>
      <c r="E5453" s="7">
        <f t="shared" si="106"/>
        <v>10000</v>
      </c>
      <c r="F5453" s="5">
        <v>45936</v>
      </c>
      <c r="G5453" s="4">
        <v>20251005</v>
      </c>
      <c r="H5453" s="38" t="str">
        <f>VLOOKUP(B5453,CAJEROS!B:D,3,0)</f>
        <v>Dispensador</v>
      </c>
      <c r="I5453" s="34" t="s">
        <v>9</v>
      </c>
      <c r="J5453" s="38" t="str">
        <f>VLOOKUP(B5453,CAJEROS!B:E,4,0)</f>
        <v>PTO_BERRIO1</v>
      </c>
      <c r="K5453" t="s">
        <v>610</v>
      </c>
    </row>
    <row r="5454" spans="1:11">
      <c r="A5454" s="32">
        <v>289</v>
      </c>
      <c r="B5454" s="33">
        <v>8225</v>
      </c>
      <c r="C5454" s="3">
        <v>1000000</v>
      </c>
      <c r="D5454" s="3"/>
      <c r="E5454" s="7">
        <f t="shared" si="106"/>
        <v>1000000</v>
      </c>
      <c r="F5454" s="5">
        <v>45936</v>
      </c>
      <c r="G5454" s="4">
        <v>20251005</v>
      </c>
      <c r="H5454" s="38" t="str">
        <f>VLOOKUP(B5454,CAJEROS!B:D,3,0)</f>
        <v>Dispensador</v>
      </c>
      <c r="I5454" s="34" t="s">
        <v>9</v>
      </c>
      <c r="J5454" s="38" t="str">
        <f>VLOOKUP(B5454,CAJEROS!B:E,4,0)</f>
        <v>PUERTO_GAI4</v>
      </c>
      <c r="K5454" t="s">
        <v>610</v>
      </c>
    </row>
    <row r="5455" spans="1:11">
      <c r="A5455" s="32">
        <v>305</v>
      </c>
      <c r="B5455" s="33">
        <v>4897</v>
      </c>
      <c r="C5455" s="3">
        <v>340000</v>
      </c>
      <c r="D5455" s="3"/>
      <c r="E5455" s="7">
        <f t="shared" si="106"/>
        <v>340000</v>
      </c>
      <c r="F5455" s="5">
        <v>45936</v>
      </c>
      <c r="G5455" s="4">
        <v>20251005</v>
      </c>
      <c r="H5455" s="38" t="str">
        <f>VLOOKUP(B5455,CAJEROS!B:D,3,0)</f>
        <v>Dispensador</v>
      </c>
      <c r="I5455" s="34" t="s">
        <v>9</v>
      </c>
      <c r="J5455" s="38" t="str">
        <f>VLOOKUP(B5455,CAJEROS!B:E,4,0)</f>
        <v>SUC_VILLAN3</v>
      </c>
      <c r="K5455" t="s">
        <v>610</v>
      </c>
    </row>
    <row r="5456" spans="1:11">
      <c r="A5456" s="32">
        <v>322</v>
      </c>
      <c r="B5456" s="33">
        <v>2441</v>
      </c>
      <c r="C5456" s="3">
        <v>100000</v>
      </c>
      <c r="D5456" s="3"/>
      <c r="E5456" s="7">
        <f t="shared" si="106"/>
        <v>100000</v>
      </c>
      <c r="F5456" s="5">
        <v>45936</v>
      </c>
      <c r="G5456" s="4">
        <v>20251005</v>
      </c>
      <c r="H5456" s="38" t="str">
        <f>VLOOKUP(B5456,CAJEROS!B:D,3,0)</f>
        <v>Dispensador</v>
      </c>
      <c r="I5456" s="34" t="s">
        <v>9</v>
      </c>
      <c r="J5456" s="38" t="str">
        <f>VLOOKUP(B5456,CAJEROS!B:E,4,0)</f>
        <v>SUCSANGIL1</v>
      </c>
      <c r="K5456" t="s">
        <v>610</v>
      </c>
    </row>
    <row r="5457" spans="1:11">
      <c r="A5457" s="32">
        <v>322</v>
      </c>
      <c r="B5457" s="33">
        <v>2443</v>
      </c>
      <c r="C5457" s="3">
        <v>250000</v>
      </c>
      <c r="D5457" s="3">
        <v>240000</v>
      </c>
      <c r="E5457" s="7">
        <f t="shared" si="106"/>
        <v>10000</v>
      </c>
      <c r="F5457" s="5">
        <v>45936</v>
      </c>
      <c r="G5457" s="4">
        <v>20251005</v>
      </c>
      <c r="H5457" s="38" t="str">
        <f>VLOOKUP(B5457,CAJEROS!B:D,3,0)</f>
        <v>Dispensador</v>
      </c>
      <c r="I5457" s="34" t="s">
        <v>9</v>
      </c>
      <c r="J5457" s="38" t="str">
        <f>VLOOKUP(B5457,CAJEROS!B:E,4,0)</f>
        <v>SUCSANGIL3</v>
      </c>
      <c r="K5457" t="s">
        <v>610</v>
      </c>
    </row>
    <row r="5458" spans="1:11">
      <c r="A5458" s="32">
        <v>371</v>
      </c>
      <c r="B5458" s="33">
        <v>3741</v>
      </c>
      <c r="C5458" s="3">
        <v>100000</v>
      </c>
      <c r="D5458" s="3"/>
      <c r="E5458" s="7">
        <f t="shared" si="106"/>
        <v>100000</v>
      </c>
      <c r="F5458" s="5">
        <v>45936</v>
      </c>
      <c r="G5458" s="4">
        <v>20251005</v>
      </c>
      <c r="H5458" s="38" t="str">
        <f>VLOOKUP(B5458,CAJEROS!B:D,3,0)</f>
        <v>Dispensador</v>
      </c>
      <c r="I5458" s="34" t="s">
        <v>9</v>
      </c>
      <c r="J5458" s="38" t="str">
        <f>VLOOKUP(B5458,CAJEROS!B:E,4,0)</f>
        <v>SUC_CAUCAS3</v>
      </c>
      <c r="K5458" t="s">
        <v>610</v>
      </c>
    </row>
    <row r="5459" spans="1:11">
      <c r="A5459" s="32">
        <v>422</v>
      </c>
      <c r="B5459" s="33">
        <v>4555</v>
      </c>
      <c r="C5459" s="3">
        <v>7250000</v>
      </c>
      <c r="D5459" s="3">
        <f>250000+3700000+410000+350000</f>
        <v>4710000</v>
      </c>
      <c r="E5459" s="7">
        <f t="shared" si="106"/>
        <v>2540000</v>
      </c>
      <c r="F5459" s="5">
        <v>45936</v>
      </c>
      <c r="G5459" s="4">
        <v>20251005</v>
      </c>
      <c r="H5459" s="38" t="str">
        <f>VLOOKUP(B5459,CAJEROS!B:D,3,0)</f>
        <v>Dispensador</v>
      </c>
      <c r="I5459" s="34" t="s">
        <v>9</v>
      </c>
      <c r="J5459" s="38" t="str">
        <f>VLOOKUP(B5459,CAJEROS!B:E,4,0)</f>
        <v>CHAPARRAL_2</v>
      </c>
      <c r="K5459" t="s">
        <v>610</v>
      </c>
    </row>
    <row r="5460" spans="1:11">
      <c r="A5460" s="32">
        <v>453</v>
      </c>
      <c r="B5460" s="33">
        <v>8012</v>
      </c>
      <c r="C5460" s="3">
        <v>30000</v>
      </c>
      <c r="D5460" s="3"/>
      <c r="E5460" s="7">
        <f t="shared" si="106"/>
        <v>30000</v>
      </c>
      <c r="F5460" s="5">
        <v>45936</v>
      </c>
      <c r="G5460" s="4">
        <v>20251005</v>
      </c>
      <c r="H5460" s="38" t="str">
        <f>VLOOKUP(B5460,CAJEROS!B:D,3,0)</f>
        <v>Dispensador</v>
      </c>
      <c r="I5460" s="34" t="s">
        <v>9</v>
      </c>
      <c r="J5460" s="38" t="str">
        <f>VLOOKUP(B5460,CAJEROS!B:E,4,0)</f>
        <v>SUCPITALTO1</v>
      </c>
      <c r="K5460" t="s">
        <v>610</v>
      </c>
    </row>
    <row r="5461" spans="1:11">
      <c r="A5461" s="32">
        <v>473</v>
      </c>
      <c r="B5461" s="33">
        <v>3441</v>
      </c>
      <c r="C5461" s="3">
        <v>700000</v>
      </c>
      <c r="D5461" s="3">
        <v>600000</v>
      </c>
      <c r="E5461" s="7">
        <f t="shared" si="106"/>
        <v>100000</v>
      </c>
      <c r="F5461" s="5">
        <v>45936</v>
      </c>
      <c r="G5461" s="4">
        <v>20251005</v>
      </c>
      <c r="H5461" s="38" t="str">
        <f>VLOOKUP(B5461,CAJEROS!B:D,3,0)</f>
        <v>Dispensador</v>
      </c>
      <c r="I5461" s="34" t="s">
        <v>9</v>
      </c>
      <c r="J5461" s="38" t="str">
        <f>VLOOKUP(B5461,CAJEROS!B:E,4,0)</f>
        <v>VICAGUAN1</v>
      </c>
      <c r="K5461" t="s">
        <v>610</v>
      </c>
    </row>
    <row r="5462" spans="1:11">
      <c r="A5462" s="32">
        <v>481</v>
      </c>
      <c r="B5462" s="33">
        <v>1008</v>
      </c>
      <c r="C5462" s="3">
        <v>320000</v>
      </c>
      <c r="D5462" s="3">
        <v>20000</v>
      </c>
      <c r="E5462" s="7">
        <f t="shared" si="106"/>
        <v>300000</v>
      </c>
      <c r="F5462" s="5">
        <v>45936</v>
      </c>
      <c r="G5462" s="4">
        <v>20251005</v>
      </c>
      <c r="H5462" s="38" t="str">
        <f>VLOOKUP(B5462,CAJEROS!B:D,3,0)</f>
        <v>Dispensador</v>
      </c>
      <c r="I5462" s="34" t="s">
        <v>9</v>
      </c>
      <c r="J5462" s="38" t="str">
        <f>VLOOKUP(B5462,CAJEROS!B:E,4,0)</f>
        <v>SUC_SOLEDA4</v>
      </c>
      <c r="K5462" t="s">
        <v>610</v>
      </c>
    </row>
    <row r="5463" spans="1:11">
      <c r="A5463" s="32">
        <v>536</v>
      </c>
      <c r="B5463" s="33">
        <v>6915</v>
      </c>
      <c r="C5463" s="3">
        <v>310000</v>
      </c>
      <c r="D5463" s="3">
        <v>300000</v>
      </c>
      <c r="E5463" s="7">
        <f t="shared" si="106"/>
        <v>10000</v>
      </c>
      <c r="F5463" s="5">
        <v>45936</v>
      </c>
      <c r="G5463" s="4">
        <v>20251005</v>
      </c>
      <c r="H5463" s="38" t="str">
        <f>VLOOKUP(B5463,CAJEROS!B:D,3,0)</f>
        <v>Dispensador</v>
      </c>
      <c r="I5463" s="34" t="s">
        <v>9</v>
      </c>
      <c r="J5463" s="38" t="str">
        <f>VLOOKUP(B5463,CAJEROS!B:E,4,0)</f>
        <v>SUC_QUIBDO7</v>
      </c>
      <c r="K5463" t="s">
        <v>610</v>
      </c>
    </row>
    <row r="5464" spans="1:11">
      <c r="A5464" s="32">
        <v>601</v>
      </c>
      <c r="B5464" s="33">
        <v>6423</v>
      </c>
      <c r="C5464" s="3">
        <v>100000</v>
      </c>
      <c r="D5464" s="3"/>
      <c r="E5464" s="7">
        <f t="shared" si="106"/>
        <v>100000</v>
      </c>
      <c r="F5464" s="5">
        <v>45936</v>
      </c>
      <c r="G5464" s="4">
        <v>20251005</v>
      </c>
      <c r="H5464" s="38" t="str">
        <f>VLOOKUP(B5464,CAJEROS!B:D,3,0)</f>
        <v>Dispensador</v>
      </c>
      <c r="I5464" s="34" t="s">
        <v>9</v>
      </c>
      <c r="J5464" s="38" t="str">
        <f>VLOOKUP(B5464,CAJEROS!B:E,4,0)</f>
        <v>SUC_PQCOL3</v>
      </c>
      <c r="K5464" t="s">
        <v>610</v>
      </c>
    </row>
    <row r="5465" spans="1:11">
      <c r="A5465" s="32">
        <v>682</v>
      </c>
      <c r="B5465" s="33">
        <v>5959</v>
      </c>
      <c r="C5465" s="3">
        <v>1200000</v>
      </c>
      <c r="D5465" s="3"/>
      <c r="E5465" s="7">
        <f t="shared" si="106"/>
        <v>1200000</v>
      </c>
      <c r="F5465" s="5">
        <v>45936</v>
      </c>
      <c r="G5465" s="4">
        <v>20251005</v>
      </c>
      <c r="H5465" s="38" t="str">
        <f>VLOOKUP(B5465,CAJEROS!B:D,3,0)</f>
        <v>Dispensador</v>
      </c>
      <c r="I5465" s="34" t="s">
        <v>9</v>
      </c>
      <c r="J5465" s="38" t="str">
        <f>VLOOKUP(B5465,CAJEROS!B:E,4,0)</f>
        <v>SUC_CCFONT1</v>
      </c>
      <c r="K5465" t="s">
        <v>610</v>
      </c>
    </row>
    <row r="5466" spans="1:11">
      <c r="A5466" s="32">
        <v>750</v>
      </c>
      <c r="B5466" s="33">
        <v>5538</v>
      </c>
      <c r="C5466" s="3">
        <v>200000</v>
      </c>
      <c r="D5466" s="3">
        <v>130000</v>
      </c>
      <c r="E5466" s="7">
        <f t="shared" si="106"/>
        <v>70000</v>
      </c>
      <c r="F5466" s="5">
        <v>45936</v>
      </c>
      <c r="G5466" s="4">
        <v>20251005</v>
      </c>
      <c r="H5466" s="38" t="str">
        <f>VLOOKUP(B5466,CAJEROS!B:D,3,0)</f>
        <v>Dispensador</v>
      </c>
      <c r="I5466" s="34" t="s">
        <v>9</v>
      </c>
      <c r="J5466" s="38" t="str">
        <f>VLOOKUP(B5466,CAJEROS!B:E,4,0)</f>
        <v>AV_ROOSVEL2</v>
      </c>
      <c r="K5466" t="s">
        <v>610</v>
      </c>
    </row>
    <row r="5467" spans="1:11">
      <c r="A5467" s="32">
        <v>765</v>
      </c>
      <c r="B5467" s="33">
        <v>4998</v>
      </c>
      <c r="C5467" s="3">
        <v>200000</v>
      </c>
      <c r="D5467" s="3"/>
      <c r="E5467" s="7">
        <f t="shared" si="106"/>
        <v>200000</v>
      </c>
      <c r="F5467" s="5">
        <v>45936</v>
      </c>
      <c r="G5467" s="4">
        <v>20251005</v>
      </c>
      <c r="H5467" s="38" t="str">
        <f>VLOOKUP(B5467,CAJEROS!B:D,3,0)</f>
        <v>Dispensador</v>
      </c>
      <c r="I5467" s="34" t="s">
        <v>9</v>
      </c>
      <c r="J5467" s="38" t="str">
        <f>VLOOKUP(B5467,CAJEROS!B:E,4,0)</f>
        <v>SUC_BECERR1</v>
      </c>
      <c r="K5467" t="s">
        <v>610</v>
      </c>
    </row>
    <row r="5468" spans="1:11">
      <c r="A5468" s="32">
        <v>848</v>
      </c>
      <c r="B5468" s="33">
        <v>4740</v>
      </c>
      <c r="C5468" s="3">
        <v>2650000</v>
      </c>
      <c r="D5468" s="3"/>
      <c r="E5468" s="7">
        <f t="shared" si="106"/>
        <v>2650000</v>
      </c>
      <c r="F5468" s="5">
        <v>45936</v>
      </c>
      <c r="G5468" s="4">
        <v>20251005</v>
      </c>
      <c r="H5468" s="38" t="str">
        <f>VLOOKUP(B5468,CAJEROS!B:D,3,0)</f>
        <v>Dispensador</v>
      </c>
      <c r="I5468" s="34" t="s">
        <v>9</v>
      </c>
      <c r="J5468" s="38" t="str">
        <f>VLOOKUP(B5468,CAJEROS!B:E,4,0)</f>
        <v>PQECABAL_3</v>
      </c>
      <c r="K5468" t="s">
        <v>610</v>
      </c>
    </row>
    <row r="5469" spans="1:11">
      <c r="A5469" s="32">
        <v>866</v>
      </c>
      <c r="B5469" s="33">
        <v>467</v>
      </c>
      <c r="C5469" s="3">
        <v>40000</v>
      </c>
      <c r="D5469" s="3"/>
      <c r="E5469" s="7">
        <f t="shared" si="106"/>
        <v>40000</v>
      </c>
      <c r="F5469" s="5">
        <v>45936</v>
      </c>
      <c r="G5469" s="4">
        <v>20251005</v>
      </c>
      <c r="H5469" s="38" t="str">
        <f>VLOOKUP(B5469,CAJEROS!B:D,3,0)</f>
        <v>Dispensador</v>
      </c>
      <c r="I5469" s="34" t="s">
        <v>9</v>
      </c>
      <c r="J5469" s="38" t="str">
        <f>VLOOKUP(B5469,CAJEROS!B:E,4,0)</f>
        <v>OFCFLORIDA2</v>
      </c>
      <c r="K5469" t="s">
        <v>610</v>
      </c>
    </row>
    <row r="5470" spans="1:11">
      <c r="A5470" s="32">
        <v>944</v>
      </c>
      <c r="B5470" s="33">
        <v>8356</v>
      </c>
      <c r="C5470" s="3">
        <v>1000000</v>
      </c>
      <c r="D5470" s="3"/>
      <c r="E5470" s="7">
        <f t="shared" si="106"/>
        <v>1000000</v>
      </c>
      <c r="F5470" s="5">
        <v>45936</v>
      </c>
      <c r="G5470" s="4">
        <v>20251005</v>
      </c>
      <c r="H5470" s="38" t="str">
        <f>VLOOKUP(B5470,CAJEROS!B:D,3,0)</f>
        <v>Dispensador</v>
      </c>
      <c r="I5470" s="34" t="s">
        <v>9</v>
      </c>
      <c r="J5470" s="38" t="str">
        <f>VLOOKUP(B5470,CAJEROS!B:E,4,0)</f>
        <v>SUCSANTABO2</v>
      </c>
      <c r="K5470" t="s">
        <v>610</v>
      </c>
    </row>
    <row r="5471" spans="1:11">
      <c r="A5471" s="32">
        <v>944</v>
      </c>
      <c r="B5471" s="33">
        <v>8358</v>
      </c>
      <c r="C5471" s="3">
        <v>200000</v>
      </c>
      <c r="D5471" s="3">
        <v>190000</v>
      </c>
      <c r="E5471" s="7">
        <f t="shared" si="106"/>
        <v>10000</v>
      </c>
      <c r="F5471" s="5">
        <v>45936</v>
      </c>
      <c r="G5471" s="4">
        <v>20251005</v>
      </c>
      <c r="H5471" s="38" t="str">
        <f>VLOOKUP(B5471,CAJEROS!B:D,3,0)</f>
        <v>Dispensador</v>
      </c>
      <c r="I5471" s="34" t="s">
        <v>9</v>
      </c>
      <c r="J5471" s="38" t="str">
        <f>VLOOKUP(B5471,CAJEROS!B:E,4,0)</f>
        <v>SUCSANTABO4</v>
      </c>
      <c r="K5471" t="s">
        <v>610</v>
      </c>
    </row>
    <row r="5472" spans="1:11">
      <c r="A5472" s="32">
        <v>951</v>
      </c>
      <c r="B5472" s="33">
        <v>7776</v>
      </c>
      <c r="C5472" s="3">
        <v>500000</v>
      </c>
      <c r="D5472" s="3"/>
      <c r="E5472" s="7">
        <f t="shared" si="106"/>
        <v>500000</v>
      </c>
      <c r="F5472" s="5">
        <v>45936</v>
      </c>
      <c r="G5472" s="4">
        <v>20251005</v>
      </c>
      <c r="H5472" s="38" t="str">
        <f>VLOOKUP(B5472,CAJEROS!B:D,3,0)</f>
        <v>Dispensador</v>
      </c>
      <c r="I5472" s="34" t="s">
        <v>9</v>
      </c>
      <c r="J5472" s="38" t="str">
        <f>VLOOKUP(B5472,CAJEROS!B:E,4,0)</f>
        <v>AUTOBOSCO1</v>
      </c>
      <c r="K5472" t="s">
        <v>610</v>
      </c>
    </row>
    <row r="5473" spans="1:11">
      <c r="A5473" s="32">
        <v>959</v>
      </c>
      <c r="B5473" s="33">
        <v>5577</v>
      </c>
      <c r="C5473" s="3">
        <v>90000</v>
      </c>
      <c r="D5473" s="3"/>
      <c r="E5473" s="7">
        <f t="shared" si="106"/>
        <v>90000</v>
      </c>
      <c r="F5473" s="5">
        <v>45936</v>
      </c>
      <c r="G5473" s="4">
        <v>20251005</v>
      </c>
      <c r="H5473" s="38" t="str">
        <f>VLOOKUP(B5473,CAJEROS!B:D,3,0)</f>
        <v>Dispensador</v>
      </c>
      <c r="I5473" s="34" t="s">
        <v>9</v>
      </c>
      <c r="J5473" s="38" t="str">
        <f>VLOOKUP(B5473,CAJEROS!B:E,4,0)</f>
        <v>TURBO2</v>
      </c>
      <c r="K5473" t="s">
        <v>610</v>
      </c>
    </row>
    <row r="5474" spans="1:11">
      <c r="A5474" s="32">
        <v>7</v>
      </c>
      <c r="B5474" s="33">
        <v>5059</v>
      </c>
      <c r="C5474" s="3">
        <v>10000</v>
      </c>
      <c r="D5474" s="3"/>
      <c r="E5474" s="7">
        <f t="shared" si="106"/>
        <v>10000</v>
      </c>
      <c r="F5474" s="5">
        <v>45936</v>
      </c>
      <c r="G5474" s="4">
        <v>20251003</v>
      </c>
      <c r="H5474" s="38" t="str">
        <f>VLOOKUP(B5474,CAJEROS!B:D,3,0)</f>
        <v>Multifuncional</v>
      </c>
      <c r="I5474" s="34"/>
      <c r="J5474" s="38" t="str">
        <f>VLOOKUP(B5474,CAJEROS!B:E,4,0)</f>
        <v>MF_LOSMOLI1</v>
      </c>
      <c r="K5474" t="s">
        <v>610</v>
      </c>
    </row>
    <row r="5475" spans="1:11">
      <c r="A5475" s="32">
        <v>7</v>
      </c>
      <c r="B5475" s="33">
        <v>7812</v>
      </c>
      <c r="C5475" s="3">
        <v>1790000</v>
      </c>
      <c r="D5475" s="3">
        <f>108400+710000+136000</f>
        <v>954400</v>
      </c>
      <c r="E5475" s="7">
        <f t="shared" si="106"/>
        <v>835600</v>
      </c>
      <c r="F5475" s="5">
        <v>45936</v>
      </c>
      <c r="G5475" s="4">
        <v>20251003</v>
      </c>
      <c r="H5475" s="38" t="str">
        <f>VLOOKUP(B5475,CAJEROS!B:D,3,0)</f>
        <v>Multifuncional</v>
      </c>
      <c r="I5475" s="34"/>
      <c r="J5475" s="38" t="str">
        <f>VLOOKUP(B5475,CAJEROS!B:E,4,0)</f>
        <v>MF_LOSMOLI3</v>
      </c>
      <c r="K5475" t="s">
        <v>610</v>
      </c>
    </row>
    <row r="5476" spans="1:11">
      <c r="A5476" s="32">
        <v>15</v>
      </c>
      <c r="B5476" s="33">
        <v>8576</v>
      </c>
      <c r="C5476" s="3">
        <v>7610000</v>
      </c>
      <c r="D5476" s="3"/>
      <c r="E5476" s="7">
        <f t="shared" si="106"/>
        <v>7610000</v>
      </c>
      <c r="F5476" s="5">
        <v>45936</v>
      </c>
      <c r="G5476" s="4">
        <v>20251003</v>
      </c>
      <c r="H5476" s="38" t="str">
        <f>VLOOKUP(B5476,CAJEROS!B:D,3,0)</f>
        <v>Multifuncional</v>
      </c>
      <c r="I5476" s="34"/>
      <c r="J5476" s="38" t="str">
        <f>VLOOKUP(B5476,CAJEROS!B:E,4,0)</f>
        <v>MF_HITAGUI1</v>
      </c>
      <c r="K5476" t="s">
        <v>610</v>
      </c>
    </row>
    <row r="5477" spans="1:11">
      <c r="A5477" s="32">
        <v>33</v>
      </c>
      <c r="B5477" s="33">
        <v>8861</v>
      </c>
      <c r="C5477" s="3">
        <v>1692000</v>
      </c>
      <c r="D5477" s="3"/>
      <c r="E5477" s="7">
        <f t="shared" si="106"/>
        <v>1692000</v>
      </c>
      <c r="F5477" s="5">
        <v>45936</v>
      </c>
      <c r="G5477" s="4">
        <v>20251003</v>
      </c>
      <c r="H5477" s="38" t="str">
        <f>VLOOKUP(B5477,CAJEROS!B:D,3,0)</f>
        <v>Multifuncional</v>
      </c>
      <c r="I5477" s="34"/>
      <c r="J5477" s="38" t="str">
        <f>VLOOKUP(B5477,CAJEROS!B:E,4,0)</f>
        <v>MF_SPOLCLU1</v>
      </c>
      <c r="K5477" t="s">
        <v>610</v>
      </c>
    </row>
    <row r="5478" spans="1:11">
      <c r="A5478" s="32">
        <v>64</v>
      </c>
      <c r="B5478" s="33">
        <v>9306</v>
      </c>
      <c r="C5478" s="3">
        <v>5000</v>
      </c>
      <c r="D5478" s="3"/>
      <c r="E5478" s="7">
        <f t="shared" si="106"/>
        <v>5000</v>
      </c>
      <c r="F5478" s="5">
        <v>45936</v>
      </c>
      <c r="G5478" s="4">
        <v>20251003</v>
      </c>
      <c r="H5478" s="38" t="str">
        <f>VLOOKUP(B5478,CAJEROS!B:D,3,0)</f>
        <v>Multifuncional</v>
      </c>
      <c r="I5478" s="34"/>
      <c r="J5478" s="38" t="str">
        <f>VLOOKUP(B5478,CAJEROS!B:E,4,0)</f>
        <v>MFSUCVIPA1</v>
      </c>
      <c r="K5478" t="s">
        <v>610</v>
      </c>
    </row>
    <row r="5479" spans="1:11">
      <c r="A5479" s="32">
        <v>91</v>
      </c>
      <c r="B5479" s="33">
        <v>7943</v>
      </c>
      <c r="C5479" s="3">
        <v>19254000</v>
      </c>
      <c r="D5479" s="3">
        <v>3048000</v>
      </c>
      <c r="E5479" s="7">
        <f t="shared" si="106"/>
        <v>16206000</v>
      </c>
      <c r="F5479" s="5">
        <v>45936</v>
      </c>
      <c r="G5479" s="4">
        <v>20251003</v>
      </c>
      <c r="H5479" s="38" t="str">
        <f>VLOOKUP(B5479,CAJEROS!B:D,3,0)</f>
        <v>Multifuncional</v>
      </c>
      <c r="I5479" s="34"/>
      <c r="J5479" s="38" t="str">
        <f>VLOOKUP(B5479,CAJEROS!B:E,4,0)</f>
        <v>MF_MONTERI2</v>
      </c>
      <c r="K5479" t="s">
        <v>610</v>
      </c>
    </row>
    <row r="5480" spans="1:11">
      <c r="A5480" s="32">
        <v>96</v>
      </c>
      <c r="B5480" s="33">
        <v>6735</v>
      </c>
      <c r="C5480" s="3">
        <v>11525000</v>
      </c>
      <c r="D5480" s="3"/>
      <c r="E5480" s="7">
        <f t="shared" si="106"/>
        <v>11525000</v>
      </c>
      <c r="F5480" s="5">
        <v>45936</v>
      </c>
      <c r="G5480" s="4">
        <v>20251003</v>
      </c>
      <c r="H5480" s="38" t="str">
        <f>VLOOKUP(B5480,CAJEROS!B:D,3,0)</f>
        <v>Multifuncional</v>
      </c>
      <c r="I5480" s="34"/>
      <c r="J5480" s="38" t="str">
        <f>VLOOKUP(B5480,CAJEROS!B:E,4,0)</f>
        <v>MF_MAICAO</v>
      </c>
      <c r="K5480" t="s">
        <v>610</v>
      </c>
    </row>
    <row r="5481" spans="1:11">
      <c r="A5481" s="32">
        <v>138</v>
      </c>
      <c r="B5481" s="33">
        <v>6628</v>
      </c>
      <c r="C5481" s="3">
        <v>45000</v>
      </c>
      <c r="D5481" s="3"/>
      <c r="E5481" s="7">
        <f t="shared" si="106"/>
        <v>45000</v>
      </c>
      <c r="F5481" s="5">
        <v>45936</v>
      </c>
      <c r="G5481" s="4">
        <v>20251003</v>
      </c>
      <c r="H5481" s="38" t="str">
        <f>VLOOKUP(B5481,CAJEROS!B:D,3,0)</f>
        <v>Multifuncional</v>
      </c>
      <c r="I5481" s="34"/>
      <c r="J5481" s="38" t="str">
        <f>VLOOKUP(B5481,CAJEROS!B:E,4,0)</f>
        <v>MF_MOSQUERA</v>
      </c>
      <c r="K5481" t="s">
        <v>610</v>
      </c>
    </row>
    <row r="5482" spans="1:11">
      <c r="A5482" s="32">
        <v>154</v>
      </c>
      <c r="B5482" s="33">
        <v>5041</v>
      </c>
      <c r="C5482" s="3">
        <v>11881800</v>
      </c>
      <c r="D5482" s="3"/>
      <c r="E5482" s="7">
        <f t="shared" si="106"/>
        <v>11881800</v>
      </c>
      <c r="F5482" s="5">
        <v>45936</v>
      </c>
      <c r="G5482" s="4">
        <v>20251003</v>
      </c>
      <c r="H5482" s="38" t="str">
        <f>VLOOKUP(B5482,CAJEROS!B:D,3,0)</f>
        <v>Multifuncional</v>
      </c>
      <c r="I5482" s="34"/>
      <c r="J5482" s="38" t="str">
        <f>VLOOKUP(B5482,CAJEROS!B:E,4,0)</f>
        <v>MF_CMAYOR</v>
      </c>
      <c r="K5482" t="s">
        <v>610</v>
      </c>
    </row>
    <row r="5483" spans="1:11">
      <c r="A5483" s="32">
        <v>202</v>
      </c>
      <c r="B5483" s="33">
        <v>6608</v>
      </c>
      <c r="C5483" s="3">
        <v>4049600</v>
      </c>
      <c r="D5483" s="3"/>
      <c r="E5483" s="7">
        <f t="shared" si="106"/>
        <v>4049600</v>
      </c>
      <c r="F5483" s="5">
        <v>45936</v>
      </c>
      <c r="G5483" s="4">
        <v>20251003</v>
      </c>
      <c r="H5483" s="38" t="str">
        <f>VLOOKUP(B5483,CAJEROS!B:D,3,0)</f>
        <v>Multifuncional</v>
      </c>
      <c r="I5483" s="34"/>
      <c r="J5483" s="38" t="str">
        <f>VLOOKUP(B5483,CAJEROS!B:E,4,0)</f>
        <v>MF_AVPEPESI</v>
      </c>
      <c r="K5483" t="s">
        <v>610</v>
      </c>
    </row>
    <row r="5484" spans="1:11">
      <c r="A5484" s="32">
        <v>225</v>
      </c>
      <c r="B5484" s="33">
        <v>8869</v>
      </c>
      <c r="C5484" s="3">
        <v>1965700</v>
      </c>
      <c r="D5484" s="3"/>
      <c r="E5484" s="7">
        <f t="shared" si="106"/>
        <v>1965700</v>
      </c>
      <c r="F5484" s="5">
        <v>45936</v>
      </c>
      <c r="G5484" s="4">
        <v>20251003</v>
      </c>
      <c r="H5484" s="38" t="str">
        <f>VLOOKUP(B5484,CAJEROS!B:D,3,0)</f>
        <v>Multifuncional</v>
      </c>
      <c r="I5484" s="34"/>
      <c r="J5484" s="38" t="str">
        <f>VLOOKUP(B5484,CAJEROS!B:E,4,0)</f>
        <v>MF_SMPLNQS2</v>
      </c>
      <c r="K5484" t="s">
        <v>610</v>
      </c>
    </row>
    <row r="5485" spans="1:11">
      <c r="A5485" s="32">
        <v>229</v>
      </c>
      <c r="B5485" s="33">
        <v>9604</v>
      </c>
      <c r="C5485" s="3">
        <v>5480000</v>
      </c>
      <c r="D5485" s="3"/>
      <c r="E5485" s="7">
        <f t="shared" si="106"/>
        <v>5480000</v>
      </c>
      <c r="F5485" s="5">
        <v>45936</v>
      </c>
      <c r="G5485" s="4">
        <v>20251003</v>
      </c>
      <c r="H5485" s="38" t="str">
        <f>VLOOKUP(B5485,CAJEROS!B:D,3,0)</f>
        <v>Multifuncional</v>
      </c>
      <c r="I5485" s="34"/>
      <c r="J5485" s="38" t="str">
        <f>VLOOKUP(B5485,CAJEROS!B:E,4,0)</f>
        <v>MFSUCPASER1</v>
      </c>
      <c r="K5485" t="s">
        <v>610</v>
      </c>
    </row>
    <row r="5486" spans="1:11">
      <c r="A5486" s="32">
        <v>250</v>
      </c>
      <c r="B5486" s="33">
        <v>5197</v>
      </c>
      <c r="C5486" s="3">
        <v>2400000</v>
      </c>
      <c r="D5486" s="3">
        <v>1250000</v>
      </c>
      <c r="E5486" s="7">
        <f t="shared" si="106"/>
        <v>1150000</v>
      </c>
      <c r="F5486" s="5">
        <v>45936</v>
      </c>
      <c r="G5486" s="4">
        <v>20251003</v>
      </c>
      <c r="H5486" s="38" t="str">
        <f>VLOOKUP(B5486,CAJEROS!B:D,3,0)</f>
        <v>Multifuncional</v>
      </c>
      <c r="I5486" s="34"/>
      <c r="J5486" s="38" t="str">
        <f>VLOOKUP(B5486,CAJEROS!B:E,4,0)</f>
        <v>MF_MODELIA</v>
      </c>
      <c r="K5486" t="s">
        <v>610</v>
      </c>
    </row>
    <row r="5487" spans="1:11">
      <c r="A5487" s="32">
        <v>385</v>
      </c>
      <c r="B5487" s="33">
        <v>7139</v>
      </c>
      <c r="C5487" s="3">
        <v>1000</v>
      </c>
      <c r="D5487" s="3"/>
      <c r="E5487" s="7">
        <f t="shared" si="106"/>
        <v>1000</v>
      </c>
      <c r="F5487" s="5">
        <v>45936</v>
      </c>
      <c r="G5487" s="4">
        <v>20251003</v>
      </c>
      <c r="H5487" s="38" t="str">
        <f>VLOOKUP(B5487,CAJEROS!B:D,3,0)</f>
        <v>Multifuncional</v>
      </c>
      <c r="I5487" s="34"/>
      <c r="J5487" s="38" t="str">
        <f>VLOOKUP(B5487,CAJEROS!B:E,4,0)</f>
        <v>MF_VILLETA</v>
      </c>
      <c r="K5487" t="s">
        <v>610</v>
      </c>
    </row>
    <row r="5488" spans="1:11">
      <c r="A5488" s="32">
        <v>453</v>
      </c>
      <c r="B5488" s="33">
        <v>8018</v>
      </c>
      <c r="C5488" s="3">
        <v>270700</v>
      </c>
      <c r="D5488" s="3">
        <v>184050</v>
      </c>
      <c r="E5488" s="7">
        <f t="shared" si="106"/>
        <v>86650</v>
      </c>
      <c r="F5488" s="5">
        <v>45936</v>
      </c>
      <c r="G5488" s="4">
        <v>20251003</v>
      </c>
      <c r="H5488" s="38" t="str">
        <f>VLOOKUP(B5488,CAJEROS!B:D,3,0)</f>
        <v>Multifuncional</v>
      </c>
      <c r="I5488" s="34"/>
      <c r="J5488" s="38" t="str">
        <f>VLOOKUP(B5488,CAJEROS!B:E,4,0)</f>
        <v>MFSUCPITAL1</v>
      </c>
      <c r="K5488" t="s">
        <v>610</v>
      </c>
    </row>
    <row r="5489" spans="1:11">
      <c r="A5489" s="32">
        <v>453</v>
      </c>
      <c r="B5489" s="33">
        <v>8019</v>
      </c>
      <c r="C5489" s="3">
        <v>2539350</v>
      </c>
      <c r="D5489" s="3"/>
      <c r="E5489" s="7">
        <f t="shared" si="106"/>
        <v>2539350</v>
      </c>
      <c r="F5489" s="5">
        <v>45936</v>
      </c>
      <c r="G5489" s="4">
        <v>20251003</v>
      </c>
      <c r="H5489" s="38" t="str">
        <f>VLOOKUP(B5489,CAJEROS!B:D,3,0)</f>
        <v>Multifuncional</v>
      </c>
      <c r="I5489" s="34"/>
      <c r="J5489" s="38" t="str">
        <f>VLOOKUP(B5489,CAJEROS!B:E,4,0)</f>
        <v>MFSUCPITAL2</v>
      </c>
      <c r="K5489" t="s">
        <v>610</v>
      </c>
    </row>
    <row r="5490" spans="1:11">
      <c r="A5490" s="32">
        <v>506</v>
      </c>
      <c r="B5490" s="33">
        <v>7316</v>
      </c>
      <c r="C5490" s="3">
        <v>5319200</v>
      </c>
      <c r="D5490" s="3"/>
      <c r="E5490" s="7">
        <f t="shared" si="106"/>
        <v>5319200</v>
      </c>
      <c r="F5490" s="5">
        <v>45936</v>
      </c>
      <c r="G5490" s="4">
        <v>20251003</v>
      </c>
      <c r="H5490" s="38" t="str">
        <f>VLOOKUP(B5490,CAJEROS!B:D,3,0)</f>
        <v>Multifuncional</v>
      </c>
      <c r="I5490" s="34"/>
      <c r="J5490" s="38" t="str">
        <f>VLOOKUP(B5490,CAJEROS!B:E,4,0)</f>
        <v>MF_SINCELE2</v>
      </c>
      <c r="K5490" t="s">
        <v>610</v>
      </c>
    </row>
    <row r="5491" spans="1:11">
      <c r="A5491" s="32">
        <v>516</v>
      </c>
      <c r="B5491" s="33">
        <v>9729</v>
      </c>
      <c r="C5491" s="3">
        <v>7473600</v>
      </c>
      <c r="D5491" s="3"/>
      <c r="E5491" s="7">
        <f t="shared" si="106"/>
        <v>7473600</v>
      </c>
      <c r="F5491" s="5">
        <v>45936</v>
      </c>
      <c r="G5491" s="4">
        <v>20251003</v>
      </c>
      <c r="H5491" s="38" t="str">
        <f>VLOOKUP(B5491,CAJEROS!B:D,3,0)</f>
        <v>Multifuncional</v>
      </c>
      <c r="I5491" s="34"/>
      <c r="J5491" s="38" t="str">
        <f>VLOOKUP(B5491,CAJEROS!B:E,4,0)</f>
        <v>MF_SUCSTAM1</v>
      </c>
      <c r="K5491" t="s">
        <v>610</v>
      </c>
    </row>
    <row r="5492" spans="1:11">
      <c r="A5492" s="32">
        <v>541</v>
      </c>
      <c r="B5492" s="33">
        <v>5185</v>
      </c>
      <c r="C5492" s="3">
        <v>5500000</v>
      </c>
      <c r="D5492" s="3">
        <v>2650000</v>
      </c>
      <c r="E5492" s="7">
        <f t="shared" si="106"/>
        <v>2850000</v>
      </c>
      <c r="F5492" s="5">
        <v>45936</v>
      </c>
      <c r="G5492" s="4">
        <v>20251003</v>
      </c>
      <c r="H5492" s="38" t="str">
        <f>VLOOKUP(B5492,CAJEROS!B:D,3,0)</f>
        <v>Multifuncional</v>
      </c>
      <c r="I5492" s="34"/>
      <c r="J5492" s="38" t="str">
        <f>VLOOKUP(B5492,CAJEROS!B:E,4,0)</f>
        <v>MF_PARQCALD</v>
      </c>
      <c r="K5492" t="s">
        <v>610</v>
      </c>
    </row>
    <row r="5493" spans="1:11">
      <c r="A5493" s="32">
        <v>556</v>
      </c>
      <c r="B5493" s="33">
        <v>8333</v>
      </c>
      <c r="C5493" s="3">
        <v>1501000</v>
      </c>
      <c r="D5493" s="3"/>
      <c r="E5493" s="7">
        <f t="shared" si="106"/>
        <v>1501000</v>
      </c>
      <c r="F5493" s="5">
        <v>45936</v>
      </c>
      <c r="G5493" s="4">
        <v>20251003</v>
      </c>
      <c r="H5493" s="38" t="str">
        <f>VLOOKUP(B5493,CAJEROS!B:D,3,0)</f>
        <v>Multifuncional</v>
      </c>
      <c r="I5493" s="34"/>
      <c r="J5493" s="38" t="str">
        <f>VLOOKUP(B5493,CAJEROS!B:E,4,0)</f>
        <v>MF_SCARVIB1</v>
      </c>
      <c r="K5493" t="s">
        <v>610</v>
      </c>
    </row>
    <row r="5494" spans="1:11">
      <c r="A5494" s="32">
        <v>613</v>
      </c>
      <c r="B5494" s="33">
        <v>6713</v>
      </c>
      <c r="C5494" s="3">
        <v>100</v>
      </c>
      <c r="D5494" s="3"/>
      <c r="E5494" s="7">
        <f t="shared" si="106"/>
        <v>100</v>
      </c>
      <c r="F5494" s="5">
        <v>45936</v>
      </c>
      <c r="G5494" s="4">
        <v>20251003</v>
      </c>
      <c r="H5494" s="38" t="str">
        <f>VLOOKUP(B5494,CAJEROS!B:D,3,0)</f>
        <v>Multifuncional</v>
      </c>
      <c r="I5494" s="34"/>
      <c r="J5494" s="38" t="str">
        <f>VLOOKUP(B5494,CAJEROS!B:E,4,0)</f>
        <v>MF_LAMERICA</v>
      </c>
      <c r="K5494" t="s">
        <v>610</v>
      </c>
    </row>
    <row r="5495" spans="1:11">
      <c r="A5495" s="32">
        <v>656</v>
      </c>
      <c r="B5495" s="33">
        <v>5103</v>
      </c>
      <c r="C5495" s="3">
        <v>55000</v>
      </c>
      <c r="D5495" s="3"/>
      <c r="E5495" s="7">
        <f t="shared" si="106"/>
        <v>55000</v>
      </c>
      <c r="F5495" s="5">
        <v>45936</v>
      </c>
      <c r="G5495" s="4">
        <v>20251003</v>
      </c>
      <c r="H5495" s="38" t="str">
        <f>VLOOKUP(B5495,CAJEROS!B:D,3,0)</f>
        <v>Multifuncional</v>
      </c>
      <c r="I5495" s="34"/>
      <c r="J5495" s="38" t="str">
        <f>VLOOKUP(B5495,CAJEROS!B:E,4,0)</f>
        <v>MF_MAYPLAZA</v>
      </c>
      <c r="K5495" t="s">
        <v>610</v>
      </c>
    </row>
    <row r="5496" spans="1:11">
      <c r="A5496" s="32">
        <v>728</v>
      </c>
      <c r="B5496" s="33">
        <v>8587</v>
      </c>
      <c r="C5496" s="3">
        <v>2100000</v>
      </c>
      <c r="D5496" s="3"/>
      <c r="E5496" s="7">
        <f t="shared" si="106"/>
        <v>2100000</v>
      </c>
      <c r="F5496" s="5">
        <v>45936</v>
      </c>
      <c r="G5496" s="4">
        <v>20251003</v>
      </c>
      <c r="H5496" s="38" t="str">
        <f>VLOOKUP(B5496,CAJEROS!B:D,3,0)</f>
        <v>Multifuncional</v>
      </c>
      <c r="I5496" s="34"/>
      <c r="J5496" s="38" t="str">
        <f>VLOOKUP(B5496,CAJEROS!B:E,4,0)</f>
        <v>MF_SUCCART2</v>
      </c>
      <c r="K5496" t="s">
        <v>610</v>
      </c>
    </row>
    <row r="5497" spans="1:11">
      <c r="A5497" s="32">
        <v>779</v>
      </c>
      <c r="B5497" s="33">
        <v>5013</v>
      </c>
      <c r="C5497" s="3">
        <v>902000</v>
      </c>
      <c r="D5497" s="3"/>
      <c r="E5497" s="7">
        <f t="shared" si="106"/>
        <v>902000</v>
      </c>
      <c r="F5497" s="5">
        <v>45936</v>
      </c>
      <c r="G5497" s="4">
        <v>20251003</v>
      </c>
      <c r="H5497" s="38" t="str">
        <f>VLOOKUP(B5497,CAJEROS!B:D,3,0)</f>
        <v>Multifuncional</v>
      </c>
      <c r="I5497" s="34"/>
      <c r="J5497" s="38" t="str">
        <f>VLOOKUP(B5497,CAJEROS!B:E,4,0)</f>
        <v>MF_BUENASM1</v>
      </c>
      <c r="K5497" t="s">
        <v>610</v>
      </c>
    </row>
    <row r="5498" spans="1:11">
      <c r="A5498" s="32">
        <v>796</v>
      </c>
      <c r="B5498" s="33">
        <v>6911</v>
      </c>
      <c r="C5498" s="3">
        <v>2050</v>
      </c>
      <c r="D5498" s="3"/>
      <c r="E5498" s="7">
        <f t="shared" si="106"/>
        <v>2050</v>
      </c>
      <c r="F5498" s="5">
        <v>45936</v>
      </c>
      <c r="G5498" s="4">
        <v>20251003</v>
      </c>
      <c r="H5498" s="38" t="str">
        <f>VLOOKUP(B5498,CAJEROS!B:D,3,0)</f>
        <v>Multifuncional</v>
      </c>
      <c r="I5498" s="34"/>
      <c r="J5498" s="38" t="str">
        <f>VLOOKUP(B5498,CAJEROS!B:E,4,0)</f>
        <v>MF_GIRON</v>
      </c>
      <c r="K5498" t="s">
        <v>610</v>
      </c>
    </row>
    <row r="5499" spans="1:11">
      <c r="A5499" s="32">
        <v>812</v>
      </c>
      <c r="B5499" s="33">
        <v>7613</v>
      </c>
      <c r="C5499" s="3">
        <v>1273000</v>
      </c>
      <c r="D5499" s="3"/>
      <c r="E5499" s="7">
        <f t="shared" si="106"/>
        <v>1273000</v>
      </c>
      <c r="F5499" s="5">
        <v>45936</v>
      </c>
      <c r="G5499" s="4">
        <v>20251003</v>
      </c>
      <c r="H5499" s="38" t="str">
        <f>VLOOKUP(B5499,CAJEROS!B:D,3,0)</f>
        <v>Multifuncional</v>
      </c>
      <c r="I5499" s="34"/>
      <c r="J5499" s="38" t="str">
        <f>VLOOKUP(B5499,CAJEROS!B:E,4,0)</f>
        <v>MF_CHPICHP2</v>
      </c>
      <c r="K5499" t="s">
        <v>610</v>
      </c>
    </row>
    <row r="5500" spans="1:11">
      <c r="A5500" s="32">
        <v>812</v>
      </c>
      <c r="B5500" s="33">
        <v>7614</v>
      </c>
      <c r="C5500" s="3">
        <v>1076000</v>
      </c>
      <c r="D5500" s="3"/>
      <c r="E5500" s="7">
        <f t="shared" si="106"/>
        <v>1076000</v>
      </c>
      <c r="F5500" s="5">
        <v>45936</v>
      </c>
      <c r="G5500" s="4">
        <v>20251003</v>
      </c>
      <c r="H5500" s="38" t="str">
        <f>VLOOKUP(B5500,CAJEROS!B:D,3,0)</f>
        <v>Multifuncional</v>
      </c>
      <c r="I5500" s="34"/>
      <c r="J5500" s="38" t="str">
        <f>VLOOKUP(B5500,CAJEROS!B:E,4,0)</f>
        <v>MF_CHPICHP3</v>
      </c>
      <c r="K5500" t="s">
        <v>610</v>
      </c>
    </row>
    <row r="5501" spans="1:11">
      <c r="A5501" s="32">
        <v>816</v>
      </c>
      <c r="B5501" s="33">
        <v>5205</v>
      </c>
      <c r="C5501" s="3">
        <v>5362700</v>
      </c>
      <c r="D5501" s="3"/>
      <c r="E5501" s="7">
        <f t="shared" si="106"/>
        <v>5362700</v>
      </c>
      <c r="F5501" s="5">
        <v>45936</v>
      </c>
      <c r="G5501" s="4">
        <v>20251003</v>
      </c>
      <c r="H5501" s="38" t="str">
        <f>VLOOKUP(B5501,CAJEROS!B:D,3,0)</f>
        <v>Multifuncional</v>
      </c>
      <c r="I5501" s="34"/>
      <c r="J5501" s="38" t="str">
        <f>VLOOKUP(B5501,CAJEROS!B:E,4,0)</f>
        <v>MF_SUCLLE10</v>
      </c>
      <c r="K5501" t="s">
        <v>610</v>
      </c>
    </row>
    <row r="5502" spans="1:11">
      <c r="A5502" s="32">
        <v>825</v>
      </c>
      <c r="B5502" s="33">
        <v>5023</v>
      </c>
      <c r="C5502" s="3">
        <v>7050000</v>
      </c>
      <c r="D5502" s="3">
        <f>4412000+38000+500000</f>
        <v>4950000</v>
      </c>
      <c r="E5502" s="7">
        <f t="shared" si="106"/>
        <v>2100000</v>
      </c>
      <c r="F5502" s="5">
        <v>45936</v>
      </c>
      <c r="G5502" s="4">
        <v>20251003</v>
      </c>
      <c r="H5502" s="38" t="str">
        <f>VLOOKUP(B5502,CAJEROS!B:D,3,0)</f>
        <v>Multifuncional</v>
      </c>
      <c r="I5502" s="34"/>
      <c r="J5502" s="38" t="str">
        <f>VLOOKUP(B5502,CAJEROS!B:E,4,0)</f>
        <v>MF_ASTROCEN</v>
      </c>
      <c r="K5502" t="s">
        <v>610</v>
      </c>
    </row>
    <row r="5503" spans="1:11">
      <c r="A5503" s="32">
        <v>849</v>
      </c>
      <c r="B5503" s="33">
        <v>9725</v>
      </c>
      <c r="C5503" s="3">
        <v>4405000</v>
      </c>
      <c r="D5503" s="3">
        <v>625000</v>
      </c>
      <c r="E5503" s="7">
        <f t="shared" si="106"/>
        <v>3780000</v>
      </c>
      <c r="F5503" s="5">
        <v>45936</v>
      </c>
      <c r="G5503" s="4">
        <v>20251003</v>
      </c>
      <c r="H5503" s="38" t="str">
        <f>VLOOKUP(B5503,CAJEROS!B:D,3,0)</f>
        <v>Multifuncional</v>
      </c>
      <c r="I5503" s="34"/>
      <c r="J5503" s="38" t="str">
        <f>VLOOKUP(B5503,CAJEROS!B:E,4,0)</f>
        <v>MF_SUNIVIL2</v>
      </c>
      <c r="K5503" t="s">
        <v>610</v>
      </c>
    </row>
    <row r="5504" spans="1:11">
      <c r="A5504" s="32">
        <v>866</v>
      </c>
      <c r="B5504" s="33">
        <v>8662</v>
      </c>
      <c r="C5504" s="3">
        <v>3500</v>
      </c>
      <c r="D5504" s="3"/>
      <c r="E5504" s="7">
        <f t="shared" si="106"/>
        <v>3500</v>
      </c>
      <c r="F5504" s="5">
        <v>45936</v>
      </c>
      <c r="G5504" s="4">
        <v>20251003</v>
      </c>
      <c r="H5504" s="38" t="str">
        <f>VLOOKUP(B5504,CAJEROS!B:D,3,0)</f>
        <v>Multifuncional</v>
      </c>
      <c r="I5504" s="34"/>
      <c r="J5504" s="38" t="str">
        <f>VLOOKUP(B5504,CAJEROS!B:E,4,0)</f>
        <v>MF_FLORID3</v>
      </c>
      <c r="K5504" t="s">
        <v>610</v>
      </c>
    </row>
    <row r="5505" spans="1:11">
      <c r="A5505" s="32">
        <v>879</v>
      </c>
      <c r="B5505" s="33">
        <v>5045</v>
      </c>
      <c r="C5505" s="3">
        <v>13895350</v>
      </c>
      <c r="D5505" s="3"/>
      <c r="E5505" s="7">
        <f t="shared" si="106"/>
        <v>13895350</v>
      </c>
      <c r="F5505" s="5">
        <v>45936</v>
      </c>
      <c r="G5505" s="4">
        <v>20251003</v>
      </c>
      <c r="H5505" s="38" t="str">
        <f>VLOOKUP(B5505,CAJEROS!B:D,3,0)</f>
        <v>Multifuncional</v>
      </c>
      <c r="I5505" s="34"/>
      <c r="J5505" s="38" t="str">
        <f>VLOOKUP(B5505,CAJEROS!B:E,4,0)</f>
        <v>MF_UNPASTO</v>
      </c>
      <c r="K5505" t="s">
        <v>610</v>
      </c>
    </row>
    <row r="5506" spans="1:11">
      <c r="A5506" s="32">
        <v>927</v>
      </c>
      <c r="B5506" s="33">
        <v>5143</v>
      </c>
      <c r="C5506" s="3">
        <v>6581000</v>
      </c>
      <c r="D5506" s="3"/>
      <c r="E5506" s="7">
        <f t="shared" si="106"/>
        <v>6581000</v>
      </c>
      <c r="F5506" s="5">
        <v>45936</v>
      </c>
      <c r="G5506" s="4">
        <v>20251003</v>
      </c>
      <c r="H5506" s="38" t="str">
        <f>VLOOKUP(B5506,CAJEROS!B:D,3,0)</f>
        <v>Multifuncional</v>
      </c>
      <c r="I5506" s="34"/>
      <c r="J5506" s="38" t="str">
        <f>VLOOKUP(B5506,CAJEROS!B:E,4,0)</f>
        <v>MF_SUCMOCOA</v>
      </c>
      <c r="K5506" t="s">
        <v>610</v>
      </c>
    </row>
    <row r="5507" spans="1:11">
      <c r="A5507" s="32">
        <v>937</v>
      </c>
      <c r="B5507" s="33">
        <v>5115</v>
      </c>
      <c r="C5507" s="3">
        <v>24100000</v>
      </c>
      <c r="D5507" s="3"/>
      <c r="E5507" s="7">
        <f t="shared" si="106"/>
        <v>24100000</v>
      </c>
      <c r="F5507" s="5">
        <v>45936</v>
      </c>
      <c r="G5507" s="4">
        <v>20251003</v>
      </c>
      <c r="H5507" s="38" t="str">
        <f>VLOOKUP(B5507,CAJEROS!B:D,3,0)</f>
        <v>Multifuncional</v>
      </c>
      <c r="I5507" s="34"/>
      <c r="J5507" s="38" t="str">
        <f>VLOOKUP(B5507,CAJEROS!B:E,4,0)</f>
        <v>MFSUCMODEL1</v>
      </c>
      <c r="K5507" t="s">
        <v>610</v>
      </c>
    </row>
    <row r="5508" spans="1:11">
      <c r="A5508" s="32">
        <v>70</v>
      </c>
      <c r="B5508" s="33">
        <v>5164</v>
      </c>
      <c r="C5508" s="3">
        <v>3916850</v>
      </c>
      <c r="D5508" s="3">
        <v>3045000</v>
      </c>
      <c r="E5508" s="7">
        <f t="shared" si="106"/>
        <v>871850</v>
      </c>
      <c r="F5508" s="5">
        <v>45936</v>
      </c>
      <c r="G5508" s="4">
        <v>20251005</v>
      </c>
      <c r="H5508" s="38" t="str">
        <f>VLOOKUP(B5508,CAJEROS!B:D,3,0)</f>
        <v>Multifuncional</v>
      </c>
      <c r="I5508" s="34" t="s">
        <v>9</v>
      </c>
      <c r="J5508" s="38" t="str">
        <f>VLOOKUP(B5508,CAJEROS!B:E,4,0)</f>
        <v>MF_MANIZALE</v>
      </c>
      <c r="K5508" t="s">
        <v>610</v>
      </c>
    </row>
    <row r="5509" spans="1:11">
      <c r="A5509" s="32">
        <v>957</v>
      </c>
      <c r="B5509" s="33">
        <v>9513</v>
      </c>
      <c r="C5509" s="3">
        <v>3790000</v>
      </c>
      <c r="D5509" s="3">
        <v>3651000</v>
      </c>
      <c r="E5509" s="7">
        <f t="shared" si="106"/>
        <v>139000</v>
      </c>
      <c r="F5509" s="5">
        <v>45936</v>
      </c>
      <c r="G5509" s="4">
        <v>20251005</v>
      </c>
      <c r="H5509" s="38" t="str">
        <f>VLOOKUP(B5509,CAJEROS!B:D,3,0)</f>
        <v>Multifuncional</v>
      </c>
      <c r="I5509" s="34" t="s">
        <v>9</v>
      </c>
      <c r="J5509" s="38" t="str">
        <f>VLOOKUP(B5509,CAJEROS!B:E,4,0)</f>
        <v>MFSUCPARAL2</v>
      </c>
      <c r="K5509" t="s">
        <v>610</v>
      </c>
    </row>
    <row r="5510" spans="1:11">
      <c r="A5510" s="32">
        <v>395</v>
      </c>
      <c r="B5510" s="33">
        <v>1528</v>
      </c>
      <c r="C5510" s="3">
        <v>3325000</v>
      </c>
      <c r="D5510" s="3">
        <f>1399700+390000</f>
        <v>1789700</v>
      </c>
      <c r="E5510" s="7">
        <f t="shared" si="106"/>
        <v>1535300</v>
      </c>
      <c r="F5510" s="5">
        <v>45936</v>
      </c>
      <c r="G5510" s="4">
        <v>20251005</v>
      </c>
      <c r="H5510" s="38" t="str">
        <f>VLOOKUP(B5510,CAJEROS!B:D,3,0)</f>
        <v>Multifuncional</v>
      </c>
      <c r="I5510" s="34" t="s">
        <v>9</v>
      </c>
      <c r="J5510" s="38" t="str">
        <f>VLOOKUP(B5510,CAJEROS!B:E,4,0)</f>
        <v>SUCMFVIVCI1</v>
      </c>
      <c r="K5510" t="s">
        <v>610</v>
      </c>
    </row>
    <row r="5511" spans="1:11">
      <c r="A5511" s="32">
        <v>68</v>
      </c>
      <c r="B5511" s="33">
        <v>5135</v>
      </c>
      <c r="C5511" s="3">
        <v>3304100</v>
      </c>
      <c r="D5511" s="3">
        <v>1212100</v>
      </c>
      <c r="E5511" s="7">
        <f t="shared" si="106"/>
        <v>2092000</v>
      </c>
      <c r="F5511" s="5">
        <v>45936</v>
      </c>
      <c r="G5511" s="4">
        <v>20251005</v>
      </c>
      <c r="H5511" s="38" t="str">
        <f>VLOOKUP(B5511,CAJEROS!B:D,3,0)</f>
        <v>Multifuncional</v>
      </c>
      <c r="I5511" s="34" t="s">
        <v>9</v>
      </c>
      <c r="J5511" s="38" t="str">
        <f>VLOOKUP(B5511,CAJEROS!B:E,4,0)</f>
        <v>MF_IBAGUE</v>
      </c>
      <c r="K5511" t="s">
        <v>610</v>
      </c>
    </row>
    <row r="5512" spans="1:11">
      <c r="A5512" s="32">
        <v>890</v>
      </c>
      <c r="B5512" s="33">
        <v>9584</v>
      </c>
      <c r="C5512" s="3">
        <v>3010000</v>
      </c>
      <c r="D5512" s="3">
        <v>3000000</v>
      </c>
      <c r="E5512" s="7">
        <f t="shared" si="106"/>
        <v>10000</v>
      </c>
      <c r="F5512" s="5">
        <v>45936</v>
      </c>
      <c r="G5512" s="4">
        <v>20251005</v>
      </c>
      <c r="H5512" s="38" t="str">
        <f>VLOOKUP(B5512,CAJEROS!B:D,3,0)</f>
        <v>Multifuncional</v>
      </c>
      <c r="I5512" s="34" t="s">
        <v>9</v>
      </c>
      <c r="J5512" s="38" t="str">
        <f>VLOOKUP(B5512,CAJEROS!B:E,4,0)</f>
        <v>MFSUCACACI1</v>
      </c>
      <c r="K5512" t="s">
        <v>610</v>
      </c>
    </row>
    <row r="5513" spans="1:11">
      <c r="A5513" s="32">
        <v>166</v>
      </c>
      <c r="B5513" s="33">
        <v>7939</v>
      </c>
      <c r="C5513" s="3">
        <v>2950000</v>
      </c>
      <c r="D5513" s="3"/>
      <c r="E5513" s="7">
        <f t="shared" si="106"/>
        <v>2950000</v>
      </c>
      <c r="F5513" s="5">
        <v>45936</v>
      </c>
      <c r="G5513" s="4">
        <v>20251005</v>
      </c>
      <c r="H5513" s="38" t="str">
        <f>VLOOKUP(B5513,CAJEROS!B:D,3,0)</f>
        <v>Multifuncional</v>
      </c>
      <c r="I5513" s="34" t="s">
        <v>9</v>
      </c>
      <c r="J5513" s="38" t="str">
        <f>VLOOKUP(B5513,CAJEROS!B:E,4,0)</f>
        <v>MF_ALDELSI1</v>
      </c>
      <c r="K5513" t="s">
        <v>610</v>
      </c>
    </row>
    <row r="5514" spans="1:11">
      <c r="A5514" s="32">
        <v>569</v>
      </c>
      <c r="B5514" s="33">
        <v>8129</v>
      </c>
      <c r="C5514" s="3">
        <v>2563000</v>
      </c>
      <c r="D5514" s="3">
        <v>1094000</v>
      </c>
      <c r="E5514" s="7">
        <f t="shared" si="106"/>
        <v>1469000</v>
      </c>
      <c r="F5514" s="5">
        <v>45936</v>
      </c>
      <c r="G5514" s="4">
        <v>20251005</v>
      </c>
      <c r="H5514" s="38" t="str">
        <f>VLOOKUP(B5514,CAJEROS!B:D,3,0)</f>
        <v>Multifuncional</v>
      </c>
      <c r="I5514" s="34" t="s">
        <v>9</v>
      </c>
      <c r="J5514" s="38" t="str">
        <f>VLOOKUP(B5514,CAJEROS!B:E,4,0)</f>
        <v>MF_BUENMON2</v>
      </c>
      <c r="K5514" t="s">
        <v>610</v>
      </c>
    </row>
    <row r="5515" spans="1:11">
      <c r="A5515" s="32">
        <v>693</v>
      </c>
      <c r="B5515" s="33">
        <v>7979</v>
      </c>
      <c r="C5515" s="3">
        <v>2502350</v>
      </c>
      <c r="D5515" s="3">
        <f>2417350+50000</f>
        <v>2467350</v>
      </c>
      <c r="E5515" s="7">
        <f t="shared" ref="E5515:E5578" si="107">+C5515-D5515</f>
        <v>35000</v>
      </c>
      <c r="F5515" s="5">
        <v>45936</v>
      </c>
      <c r="G5515" s="4">
        <v>20251005</v>
      </c>
      <c r="H5515" s="38" t="str">
        <f>VLOOKUP(B5515,CAJEROS!B:D,3,0)</f>
        <v>Multifuncional</v>
      </c>
      <c r="I5515" s="34" t="s">
        <v>9</v>
      </c>
      <c r="J5515" s="38" t="str">
        <f>VLOOKUP(B5515,CAJEROS!B:E,4,0)</f>
        <v>MF_CCSNTAF3</v>
      </c>
      <c r="K5515" t="s">
        <v>610</v>
      </c>
    </row>
    <row r="5516" spans="1:11">
      <c r="A5516" s="32">
        <v>554</v>
      </c>
      <c r="B5516" s="33">
        <v>8295</v>
      </c>
      <c r="C5516" s="3">
        <v>2500000</v>
      </c>
      <c r="D5516" s="3">
        <v>150000</v>
      </c>
      <c r="E5516" s="7">
        <f t="shared" si="107"/>
        <v>2350000</v>
      </c>
      <c r="F5516" s="5">
        <v>45936</v>
      </c>
      <c r="G5516" s="4">
        <v>20251005</v>
      </c>
      <c r="H5516" s="38" t="str">
        <f>VLOOKUP(B5516,CAJEROS!B:D,3,0)</f>
        <v>Multifuncional</v>
      </c>
      <c r="I5516" s="34" t="s">
        <v>9</v>
      </c>
      <c r="J5516" s="38" t="str">
        <f>VLOOKUP(B5516,CAJEROS!B:E,4,0)</f>
        <v>MF_SBUVIII2</v>
      </c>
      <c r="K5516" t="s">
        <v>610</v>
      </c>
    </row>
    <row r="5517" spans="1:11">
      <c r="A5517" s="32">
        <v>481</v>
      </c>
      <c r="B5517" s="33">
        <v>1011</v>
      </c>
      <c r="C5517" s="3">
        <v>2000000</v>
      </c>
      <c r="D5517" s="3"/>
      <c r="E5517" s="7">
        <f t="shared" si="107"/>
        <v>2000000</v>
      </c>
      <c r="F5517" s="5">
        <v>45936</v>
      </c>
      <c r="G5517" s="4">
        <v>20251005</v>
      </c>
      <c r="H5517" s="38" t="str">
        <f>VLOOKUP(B5517,CAJEROS!B:D,3,0)</f>
        <v>Multifuncional</v>
      </c>
      <c r="I5517" s="34" t="s">
        <v>9</v>
      </c>
      <c r="J5517" s="38" t="str">
        <f>VLOOKUP(B5517,CAJEROS!B:E,4,0)</f>
        <v>MF_SOLEDAD2</v>
      </c>
      <c r="K5517" t="s">
        <v>610</v>
      </c>
    </row>
    <row r="5518" spans="1:11">
      <c r="A5518" s="32">
        <v>16</v>
      </c>
      <c r="B5518" s="33">
        <v>5219</v>
      </c>
      <c r="C5518" s="3">
        <v>1784400</v>
      </c>
      <c r="D5518" s="3"/>
      <c r="E5518" s="7">
        <f t="shared" si="107"/>
        <v>1784400</v>
      </c>
      <c r="F5518" s="5">
        <v>45936</v>
      </c>
      <c r="G5518" s="4">
        <v>20251005</v>
      </c>
      <c r="H5518" s="38" t="str">
        <f>VLOOKUP(B5518,CAJEROS!B:D,3,0)</f>
        <v>Multifuncional</v>
      </c>
      <c r="I5518" s="34" t="s">
        <v>9</v>
      </c>
      <c r="J5518" s="38" t="str">
        <f>VLOOKUP(B5518,CAJEROS!B:E,4,0)</f>
        <v>MF_AEOLAYA</v>
      </c>
      <c r="K5518" t="s">
        <v>610</v>
      </c>
    </row>
    <row r="5519" spans="1:11">
      <c r="A5519" s="32">
        <v>690</v>
      </c>
      <c r="B5519" s="33">
        <v>6180</v>
      </c>
      <c r="C5519" s="3">
        <v>1530000</v>
      </c>
      <c r="D5519" s="3">
        <f>1430000+60000</f>
        <v>1490000</v>
      </c>
      <c r="E5519" s="7">
        <f t="shared" si="107"/>
        <v>40000</v>
      </c>
      <c r="F5519" s="5">
        <v>45936</v>
      </c>
      <c r="G5519" s="4">
        <v>20251005</v>
      </c>
      <c r="H5519" s="38" t="str">
        <f>VLOOKUP(B5519,CAJEROS!B:D,3,0)</f>
        <v>Multifuncional</v>
      </c>
      <c r="I5519" s="34" t="s">
        <v>9</v>
      </c>
      <c r="J5519" s="38" t="str">
        <f>VLOOKUP(B5519,CAJEROS!B:E,4,0)</f>
        <v>MF_HTQENDAM</v>
      </c>
      <c r="K5519" t="s">
        <v>610</v>
      </c>
    </row>
    <row r="5520" spans="1:11">
      <c r="A5520" s="32">
        <v>623</v>
      </c>
      <c r="B5520" s="33">
        <v>7375</v>
      </c>
      <c r="C5520" s="3">
        <v>1239950</v>
      </c>
      <c r="D5520" s="3"/>
      <c r="E5520" s="7">
        <f t="shared" si="107"/>
        <v>1239950</v>
      </c>
      <c r="F5520" s="5">
        <v>45936</v>
      </c>
      <c r="G5520" s="4">
        <v>20251005</v>
      </c>
      <c r="H5520" s="38" t="str">
        <f>VLOOKUP(B5520,CAJEROS!B:D,3,0)</f>
        <v>Multifuncional</v>
      </c>
      <c r="I5520" s="34" t="s">
        <v>9</v>
      </c>
      <c r="J5520" s="38" t="str">
        <f>VLOOKUP(B5520,CAJEROS!B:E,4,0)</f>
        <v>MF_FUNDMAN2</v>
      </c>
      <c r="K5520" t="s">
        <v>610</v>
      </c>
    </row>
    <row r="5521" spans="1:11">
      <c r="A5521" s="32">
        <v>351</v>
      </c>
      <c r="B5521" s="33">
        <v>6182</v>
      </c>
      <c r="C5521" s="3">
        <v>300000</v>
      </c>
      <c r="D5521" s="3"/>
      <c r="E5521" s="7">
        <f t="shared" si="107"/>
        <v>300000</v>
      </c>
      <c r="F5521" s="5">
        <v>45936</v>
      </c>
      <c r="G5521" s="4">
        <v>20251005</v>
      </c>
      <c r="H5521" s="38" t="str">
        <f>VLOOKUP(B5521,CAJEROS!B:D,3,0)</f>
        <v>Multifuncional</v>
      </c>
      <c r="I5521" s="34" t="s">
        <v>9</v>
      </c>
      <c r="J5521" s="38" t="str">
        <f>VLOOKUP(B5521,CAJEROS!B:E,4,0)</f>
        <v>MF_PUNTORIE</v>
      </c>
      <c r="K5521" t="s">
        <v>610</v>
      </c>
    </row>
    <row r="5522" spans="1:11">
      <c r="A5522" s="32">
        <v>551</v>
      </c>
      <c r="B5522" s="33">
        <v>9643</v>
      </c>
      <c r="C5522" s="3">
        <v>820000</v>
      </c>
      <c r="D5522" s="3">
        <v>770000</v>
      </c>
      <c r="E5522" s="7">
        <f t="shared" si="107"/>
        <v>50000</v>
      </c>
      <c r="F5522" s="5">
        <v>45936</v>
      </c>
      <c r="G5522" s="4">
        <v>20251005</v>
      </c>
      <c r="H5522" s="38" t="str">
        <f>VLOOKUP(B5522,CAJEROS!B:D,3,0)</f>
        <v>Multifuncional</v>
      </c>
      <c r="I5522" s="34" t="s">
        <v>9</v>
      </c>
      <c r="J5522" s="38" t="str">
        <f>VLOOKUP(B5522,CAJEROS!B:E,4,0)</f>
        <v>MFSUCUNIME1</v>
      </c>
      <c r="K5522" t="s">
        <v>610</v>
      </c>
    </row>
    <row r="5523" spans="1:11">
      <c r="A5523" s="32">
        <v>907</v>
      </c>
      <c r="B5523" s="33">
        <v>4830</v>
      </c>
      <c r="C5523" s="3">
        <v>630000</v>
      </c>
      <c r="D5523" s="3"/>
      <c r="E5523" s="7">
        <f t="shared" si="107"/>
        <v>630000</v>
      </c>
      <c r="F5523" s="5">
        <v>45936</v>
      </c>
      <c r="G5523" s="4">
        <v>20251005</v>
      </c>
      <c r="H5523" s="38" t="str">
        <f>VLOOKUP(B5523,CAJEROS!B:D,3,0)</f>
        <v>Multifuncional</v>
      </c>
      <c r="I5523" s="34" t="s">
        <v>9</v>
      </c>
      <c r="J5523" s="38" t="str">
        <f>VLOOKUP(B5523,CAJEROS!B:E,4,0)</f>
        <v>MF_FRONTER2</v>
      </c>
      <c r="K5523" t="s">
        <v>610</v>
      </c>
    </row>
    <row r="5524" spans="1:11">
      <c r="A5524" s="32">
        <v>237</v>
      </c>
      <c r="B5524" s="33">
        <v>6467</v>
      </c>
      <c r="C5524" s="3">
        <v>440000</v>
      </c>
      <c r="D5524" s="3">
        <v>300000</v>
      </c>
      <c r="E5524" s="7">
        <f t="shared" si="107"/>
        <v>140000</v>
      </c>
      <c r="F5524" s="5">
        <v>45936</v>
      </c>
      <c r="G5524" s="4">
        <v>20251005</v>
      </c>
      <c r="H5524" s="38" t="str">
        <f>VLOOKUP(B5524,CAJEROS!B:D,3,0)</f>
        <v>Multifuncional</v>
      </c>
      <c r="I5524" s="34" t="s">
        <v>9</v>
      </c>
      <c r="J5524" s="38" t="str">
        <f>VLOOKUP(B5524,CAJEROS!B:E,4,0)</f>
        <v>MF_DORADOPL</v>
      </c>
      <c r="K5524" t="s">
        <v>610</v>
      </c>
    </row>
    <row r="5525" spans="1:11">
      <c r="A5525" s="32">
        <v>61</v>
      </c>
      <c r="B5525" s="33">
        <v>788</v>
      </c>
      <c r="C5525" s="3">
        <v>380000</v>
      </c>
      <c r="D5525" s="3">
        <f>100+210000</f>
        <v>210100</v>
      </c>
      <c r="E5525" s="7">
        <f t="shared" si="107"/>
        <v>169900</v>
      </c>
      <c r="F5525" s="5">
        <v>45936</v>
      </c>
      <c r="G5525" s="4">
        <v>20251005</v>
      </c>
      <c r="H5525" s="38" t="str">
        <f>VLOOKUP(B5525,CAJEROS!B:D,3,0)</f>
        <v>Multifuncional</v>
      </c>
      <c r="I5525" s="34" t="s">
        <v>9</v>
      </c>
      <c r="J5525" s="38" t="str">
        <f>VLOOKUP(B5525,CAJEROS!B:E,4,0)</f>
        <v>MFSUCLAEST1</v>
      </c>
      <c r="K5525" t="s">
        <v>610</v>
      </c>
    </row>
    <row r="5526" spans="1:11">
      <c r="A5526" s="32">
        <v>741</v>
      </c>
      <c r="B5526" s="33">
        <v>6843</v>
      </c>
      <c r="C5526" s="3">
        <v>380000</v>
      </c>
      <c r="D5526" s="3"/>
      <c r="E5526" s="7">
        <f t="shared" si="107"/>
        <v>380000</v>
      </c>
      <c r="F5526" s="5">
        <v>45936</v>
      </c>
      <c r="G5526" s="4">
        <v>20251005</v>
      </c>
      <c r="H5526" s="38" t="str">
        <f>VLOOKUP(B5526,CAJEROS!B:D,3,0)</f>
        <v>Multifuncional</v>
      </c>
      <c r="I5526" s="34" t="s">
        <v>9</v>
      </c>
      <c r="J5526" s="38" t="str">
        <f>VLOOKUP(B5526,CAJEROS!B:E,4,0)</f>
        <v>MFSUC_IDEO1</v>
      </c>
      <c r="K5526" t="s">
        <v>610</v>
      </c>
    </row>
    <row r="5527" spans="1:11">
      <c r="A5527" s="32">
        <v>101</v>
      </c>
      <c r="B5527" s="33">
        <v>5128</v>
      </c>
      <c r="C5527" s="3">
        <v>372000</v>
      </c>
      <c r="D5527" s="3">
        <v>20000</v>
      </c>
      <c r="E5527" s="7">
        <f t="shared" si="107"/>
        <v>352000</v>
      </c>
      <c r="F5527" s="5">
        <v>45936</v>
      </c>
      <c r="G5527" s="4">
        <v>20251005</v>
      </c>
      <c r="H5527" s="38" t="str">
        <f>VLOOKUP(B5527,CAJEROS!B:D,3,0)</f>
        <v>Multifuncional</v>
      </c>
      <c r="I5527" s="34" t="s">
        <v>9</v>
      </c>
      <c r="J5527" s="38" t="str">
        <f>VLOOKUP(B5527,CAJEROS!B:E,4,0)</f>
        <v>MF_MULTDRIV</v>
      </c>
      <c r="K5527" t="s">
        <v>610</v>
      </c>
    </row>
    <row r="5528" spans="1:11">
      <c r="A5528" s="32">
        <v>777</v>
      </c>
      <c r="B5528" s="33">
        <v>5009</v>
      </c>
      <c r="C5528" s="3">
        <v>290000</v>
      </c>
      <c r="D5528" s="3"/>
      <c r="E5528" s="7">
        <f t="shared" si="107"/>
        <v>290000</v>
      </c>
      <c r="F5528" s="5">
        <v>45936</v>
      </c>
      <c r="G5528" s="4">
        <v>20251005</v>
      </c>
      <c r="H5528" s="38" t="str">
        <f>VLOOKUP(B5528,CAJEROS!B:D,3,0)</f>
        <v>Multifuncional</v>
      </c>
      <c r="I5528" s="34" t="s">
        <v>9</v>
      </c>
      <c r="J5528" s="38" t="str">
        <f>VLOOKUP(B5528,CAJEROS!B:E,4,0)</f>
        <v>MF_PWASHING</v>
      </c>
      <c r="K5528" t="s">
        <v>610</v>
      </c>
    </row>
    <row r="5529" spans="1:11">
      <c r="A5529" s="32">
        <v>658</v>
      </c>
      <c r="B5529" s="33">
        <v>7074</v>
      </c>
      <c r="C5529" s="3">
        <v>286050</v>
      </c>
      <c r="D5529" s="3">
        <v>280150</v>
      </c>
      <c r="E5529" s="7">
        <f t="shared" si="107"/>
        <v>5900</v>
      </c>
      <c r="F5529" s="5">
        <v>45936</v>
      </c>
      <c r="G5529" s="4">
        <v>20251005</v>
      </c>
      <c r="H5529" s="38" t="str">
        <f>VLOOKUP(B5529,CAJEROS!B:D,3,0)</f>
        <v>Multifuncional</v>
      </c>
      <c r="I5529" s="34" t="s">
        <v>9</v>
      </c>
      <c r="J5529" s="38" t="str">
        <f>VLOOKUP(B5529,CAJEROS!B:E,4,0)</f>
        <v>MF_BELLASUI</v>
      </c>
      <c r="K5529" t="s">
        <v>610</v>
      </c>
    </row>
    <row r="5530" spans="1:11">
      <c r="A5530" s="32">
        <v>253</v>
      </c>
      <c r="B5530" s="33">
        <v>5176</v>
      </c>
      <c r="C5530" s="3">
        <v>171700</v>
      </c>
      <c r="D5530" s="3">
        <v>170000</v>
      </c>
      <c r="E5530" s="7">
        <f t="shared" si="107"/>
        <v>1700</v>
      </c>
      <c r="F5530" s="5">
        <v>45936</v>
      </c>
      <c r="G5530" s="4">
        <v>20251005</v>
      </c>
      <c r="H5530" s="38" t="str">
        <f>VLOOKUP(B5530,CAJEROS!B:D,3,0)</f>
        <v>Multifuncional</v>
      </c>
      <c r="I5530" s="34" t="s">
        <v>9</v>
      </c>
      <c r="J5530" s="38" t="str">
        <f>VLOOKUP(B5530,CAJEROS!B:E,4,0)</f>
        <v>MF_SPTANORT</v>
      </c>
      <c r="K5530" t="s">
        <v>610</v>
      </c>
    </row>
    <row r="5531" spans="1:11">
      <c r="A5531" s="32">
        <v>40</v>
      </c>
      <c r="B5531" s="33">
        <v>5142</v>
      </c>
      <c r="C5531" s="3">
        <v>50000</v>
      </c>
      <c r="D5531" s="3"/>
      <c r="E5531" s="7">
        <f t="shared" si="107"/>
        <v>50000</v>
      </c>
      <c r="F5531" s="5">
        <v>45936</v>
      </c>
      <c r="G5531" s="4">
        <v>20251005</v>
      </c>
      <c r="H5531" s="38" t="str">
        <f>VLOOKUP(B5531,CAJEROS!B:D,3,0)</f>
        <v>Multifuncional</v>
      </c>
      <c r="I5531" s="34" t="s">
        <v>9</v>
      </c>
      <c r="J5531" s="38" t="str">
        <f>VLOOKUP(B5531,CAJEROS!B:E,4,0)</f>
        <v>MF_CENTRO93</v>
      </c>
      <c r="K5531" t="s">
        <v>610</v>
      </c>
    </row>
    <row r="5532" spans="1:11">
      <c r="A5532" s="32">
        <v>868</v>
      </c>
      <c r="B5532" s="33">
        <v>6149</v>
      </c>
      <c r="C5532" s="3">
        <v>50000</v>
      </c>
      <c r="D5532" s="3"/>
      <c r="E5532" s="7">
        <f t="shared" si="107"/>
        <v>50000</v>
      </c>
      <c r="F5532" s="5">
        <v>45936</v>
      </c>
      <c r="G5532" s="4">
        <v>20251005</v>
      </c>
      <c r="H5532" s="38" t="str">
        <f>VLOOKUP(B5532,CAJEROS!B:D,3,0)</f>
        <v>Multifuncional</v>
      </c>
      <c r="I5532" s="34" t="s">
        <v>9</v>
      </c>
      <c r="J5532" s="38" t="str">
        <f>VLOOKUP(B5532,CAJEROS!B:E,4,0)</f>
        <v>MF_POPAYAN1</v>
      </c>
      <c r="K5532" t="s">
        <v>610</v>
      </c>
    </row>
    <row r="5533" spans="1:11">
      <c r="A5533" s="32">
        <v>455</v>
      </c>
      <c r="B5533" s="33">
        <v>5206</v>
      </c>
      <c r="C5533" s="3">
        <v>1400000</v>
      </c>
      <c r="D5533" s="3"/>
      <c r="E5533" s="7">
        <f t="shared" si="107"/>
        <v>1400000</v>
      </c>
      <c r="F5533" s="5">
        <v>45933</v>
      </c>
      <c r="G5533" s="4">
        <v>20251003</v>
      </c>
      <c r="H5533" s="38" t="str">
        <f>VLOOKUP(B5533,CAJEROS!B:D,3,0)</f>
        <v>Multifuncional</v>
      </c>
      <c r="I5533" s="34" t="s">
        <v>12</v>
      </c>
      <c r="J5533" s="38" t="str">
        <f>VLOOKUP(B5533,CAJEROS!B:E,4,0)</f>
        <v>MF_CEIBAS1</v>
      </c>
      <c r="K5533" t="s">
        <v>610</v>
      </c>
    </row>
    <row r="5534" spans="1:11">
      <c r="A5534" s="32">
        <v>108</v>
      </c>
      <c r="B5534" s="33">
        <v>1740</v>
      </c>
      <c r="C5534" s="3">
        <v>1800000</v>
      </c>
      <c r="D5534" s="3"/>
      <c r="E5534" s="7">
        <f t="shared" si="107"/>
        <v>1800000</v>
      </c>
      <c r="F5534" s="5">
        <v>45937</v>
      </c>
      <c r="G5534" s="4">
        <v>20251006</v>
      </c>
      <c r="H5534" s="38" t="str">
        <f>VLOOKUP(B5534,CAJEROS!B:D,3,0)</f>
        <v>Dispensador</v>
      </c>
      <c r="I5534" s="34"/>
      <c r="J5534" s="38" t="str">
        <f>VLOOKUP(B5534,CAJEROS!B:E,4,0)</f>
        <v>SUCPLZAMER3</v>
      </c>
      <c r="K5534" t="s">
        <v>610</v>
      </c>
    </row>
    <row r="5535" spans="1:11">
      <c r="A5535" s="32">
        <v>108</v>
      </c>
      <c r="B5535" s="33">
        <v>2041</v>
      </c>
      <c r="C5535" s="3">
        <v>400000</v>
      </c>
      <c r="D5535" s="3"/>
      <c r="E5535" s="7">
        <f t="shared" si="107"/>
        <v>400000</v>
      </c>
      <c r="F5535" s="5">
        <v>45937</v>
      </c>
      <c r="G5535" s="4">
        <v>20251006</v>
      </c>
      <c r="H5535" s="38" t="str">
        <f>VLOOKUP(B5535,CAJEROS!B:D,3,0)</f>
        <v>Dispensador</v>
      </c>
      <c r="I5535" s="34"/>
      <c r="J5535" s="38" t="str">
        <f>VLOOKUP(B5535,CAJEROS!B:E,4,0)</f>
        <v>SUCPLZAMER4</v>
      </c>
      <c r="K5535" t="s">
        <v>610</v>
      </c>
    </row>
    <row r="5536" spans="1:11">
      <c r="A5536" s="32">
        <v>522</v>
      </c>
      <c r="B5536" s="33">
        <v>4590</v>
      </c>
      <c r="C5536" s="3">
        <v>150000</v>
      </c>
      <c r="D5536" s="3"/>
      <c r="E5536" s="7">
        <f t="shared" si="107"/>
        <v>150000</v>
      </c>
      <c r="F5536" s="5">
        <v>45937</v>
      </c>
      <c r="G5536" s="4">
        <v>20251006</v>
      </c>
      <c r="H5536" s="38" t="str">
        <f>VLOOKUP(B5536,CAJEROS!B:D,3,0)</f>
        <v>Dispensador</v>
      </c>
      <c r="I5536" s="34"/>
      <c r="J5536" s="38" t="str">
        <f>VLOOKUP(B5536,CAJEROS!B:E,4,0)</f>
        <v>SUC_PUERTC1</v>
      </c>
      <c r="K5536" t="s">
        <v>610</v>
      </c>
    </row>
    <row r="5537" spans="1:11">
      <c r="A5537" s="32">
        <v>629</v>
      </c>
      <c r="B5537" s="33">
        <v>4569</v>
      </c>
      <c r="C5537" s="3">
        <v>2340000</v>
      </c>
      <c r="D5537" s="3"/>
      <c r="E5537" s="7">
        <f t="shared" si="107"/>
        <v>2340000</v>
      </c>
      <c r="F5537" s="5">
        <v>45937</v>
      </c>
      <c r="G5537" s="4">
        <v>20251006</v>
      </c>
      <c r="H5537" s="38" t="str">
        <f>VLOOKUP(B5537,CAJEROS!B:D,3,0)</f>
        <v>Dispensador</v>
      </c>
      <c r="I5537" s="34"/>
      <c r="J5537" s="38" t="str">
        <f>VLOOKUP(B5537,CAJEROS!B:E,4,0)</f>
        <v>SUC_YOPAL1</v>
      </c>
      <c r="K5537" t="s">
        <v>610</v>
      </c>
    </row>
    <row r="5538" spans="1:11">
      <c r="A5538" s="32">
        <v>629</v>
      </c>
      <c r="B5538" s="33">
        <v>4571</v>
      </c>
      <c r="C5538" s="3">
        <v>120000</v>
      </c>
      <c r="D5538" s="3"/>
      <c r="E5538" s="7">
        <f t="shared" si="107"/>
        <v>120000</v>
      </c>
      <c r="F5538" s="5">
        <v>45937</v>
      </c>
      <c r="G5538" s="4">
        <v>20251006</v>
      </c>
      <c r="H5538" s="38" t="str">
        <f>VLOOKUP(B5538,CAJEROS!B:D,3,0)</f>
        <v>Dispensador</v>
      </c>
      <c r="I5538" s="34"/>
      <c r="J5538" s="38" t="str">
        <f>VLOOKUP(B5538,CAJEROS!B:E,4,0)</f>
        <v>SUC_YOPAL2</v>
      </c>
      <c r="K5538" t="s">
        <v>610</v>
      </c>
    </row>
    <row r="5539" spans="1:11">
      <c r="A5539" s="32">
        <v>865</v>
      </c>
      <c r="B5539" s="33">
        <v>7596</v>
      </c>
      <c r="C5539" s="3">
        <v>1000000</v>
      </c>
      <c r="D5539" s="3"/>
      <c r="E5539" s="7">
        <f t="shared" si="107"/>
        <v>1000000</v>
      </c>
      <c r="F5539" s="5">
        <v>45937</v>
      </c>
      <c r="G5539" s="4">
        <v>20251006</v>
      </c>
      <c r="H5539" s="38" t="str">
        <f>VLOOKUP(B5539,CAJEROS!B:D,3,0)</f>
        <v>Dispensador</v>
      </c>
      <c r="I5539" s="34"/>
      <c r="J5539" s="38" t="str">
        <f>VLOOKUP(B5539,CAJEROS!B:E,4,0)</f>
        <v>SUC_PLBOAR2</v>
      </c>
      <c r="K5539" t="s">
        <v>610</v>
      </c>
    </row>
    <row r="5540" spans="1:11">
      <c r="A5540" s="32">
        <v>19</v>
      </c>
      <c r="B5540" s="33">
        <v>1449</v>
      </c>
      <c r="C5540" s="3">
        <v>100000</v>
      </c>
      <c r="D5540" s="3"/>
      <c r="E5540" s="7">
        <f t="shared" si="107"/>
        <v>100000</v>
      </c>
      <c r="F5540" s="5">
        <v>45937</v>
      </c>
      <c r="G5540" s="4">
        <v>20251006</v>
      </c>
      <c r="H5540" s="38" t="str">
        <f>VLOOKUP(B5540,CAJEROS!B:D,3,0)</f>
        <v>Dispensador</v>
      </c>
      <c r="I5540" s="34" t="s">
        <v>9</v>
      </c>
      <c r="J5540" s="38" t="str">
        <f>VLOOKUP(B5540,CAJEROS!B:E,4,0)</f>
        <v>ENVIGADO_2</v>
      </c>
      <c r="K5540" t="s">
        <v>610</v>
      </c>
    </row>
    <row r="5541" spans="1:11">
      <c r="A5541" s="32">
        <v>77</v>
      </c>
      <c r="B5541" s="33">
        <v>4853</v>
      </c>
      <c r="C5541" s="3">
        <v>60000</v>
      </c>
      <c r="D5541" s="3"/>
      <c r="E5541" s="7">
        <f t="shared" si="107"/>
        <v>60000</v>
      </c>
      <c r="F5541" s="5">
        <v>45937</v>
      </c>
      <c r="G5541" s="4">
        <v>20251006</v>
      </c>
      <c r="H5541" s="38" t="str">
        <f>VLOOKUP(B5541,CAJEROS!B:D,3,0)</f>
        <v>Dispensador</v>
      </c>
      <c r="I5541" s="34" t="s">
        <v>9</v>
      </c>
      <c r="J5541" s="38" t="str">
        <f>VLOOKUP(B5541,CAJEROS!B:E,4,0)</f>
        <v>SUC_TEQUEN1</v>
      </c>
      <c r="K5541" t="s">
        <v>610</v>
      </c>
    </row>
    <row r="5542" spans="1:11">
      <c r="A5542" s="32">
        <v>345</v>
      </c>
      <c r="B5542" s="33">
        <v>1962</v>
      </c>
      <c r="C5542" s="3">
        <v>170000</v>
      </c>
      <c r="D5542" s="3"/>
      <c r="E5542" s="7">
        <f t="shared" si="107"/>
        <v>170000</v>
      </c>
      <c r="F5542" s="5">
        <v>45937</v>
      </c>
      <c r="G5542" s="4">
        <v>20251006</v>
      </c>
      <c r="H5542" s="38" t="str">
        <f>VLOOKUP(B5542,CAJEROS!B:D,3,0)</f>
        <v>Dispensador</v>
      </c>
      <c r="I5542" s="34" t="s">
        <v>9</v>
      </c>
      <c r="J5542" s="38" t="str">
        <f>VLOOKUP(B5542,CAJEROS!B:E,4,0)</f>
        <v>SUCTENJO1</v>
      </c>
      <c r="K5542" t="s">
        <v>610</v>
      </c>
    </row>
    <row r="5543" spans="1:11">
      <c r="A5543" s="32">
        <v>473</v>
      </c>
      <c r="B5543" s="33">
        <v>3441</v>
      </c>
      <c r="C5543" s="3">
        <v>50000</v>
      </c>
      <c r="D5543" s="3">
        <v>30000</v>
      </c>
      <c r="E5543" s="7">
        <f t="shared" si="107"/>
        <v>20000</v>
      </c>
      <c r="F5543" s="5">
        <v>45937</v>
      </c>
      <c r="G5543" s="4">
        <v>20251006</v>
      </c>
      <c r="H5543" s="38" t="str">
        <f>VLOOKUP(B5543,CAJEROS!B:D,3,0)</f>
        <v>Dispensador</v>
      </c>
      <c r="I5543" s="34" t="s">
        <v>9</v>
      </c>
      <c r="J5543" s="38" t="str">
        <f>VLOOKUP(B5543,CAJEROS!B:E,4,0)</f>
        <v>VICAGUAN1</v>
      </c>
      <c r="K5543" t="s">
        <v>610</v>
      </c>
    </row>
    <row r="5544" spans="1:11">
      <c r="A5544" s="32">
        <v>651</v>
      </c>
      <c r="B5544" s="33">
        <v>6511</v>
      </c>
      <c r="C5544" s="3">
        <v>2700000</v>
      </c>
      <c r="D5544" s="3">
        <v>100000</v>
      </c>
      <c r="E5544" s="7">
        <f t="shared" si="107"/>
        <v>2600000</v>
      </c>
      <c r="F5544" s="5">
        <v>45937</v>
      </c>
      <c r="G5544" s="4">
        <v>20251006</v>
      </c>
      <c r="H5544" s="38" t="str">
        <f>VLOOKUP(B5544,CAJEROS!B:D,3,0)</f>
        <v>Dispensador</v>
      </c>
      <c r="I5544" s="34" t="s">
        <v>9</v>
      </c>
      <c r="J5544" s="38" t="str">
        <f>VLOOKUP(B5544,CAJEROS!B:E,4,0)</f>
        <v>BARBOSA</v>
      </c>
      <c r="K5544" t="s">
        <v>610</v>
      </c>
    </row>
    <row r="5545" spans="1:11">
      <c r="A5545" s="32">
        <v>724</v>
      </c>
      <c r="B5545" s="33">
        <v>4005</v>
      </c>
      <c r="C5545" s="3">
        <v>50000</v>
      </c>
      <c r="D5545" s="3"/>
      <c r="E5545" s="7">
        <f t="shared" si="107"/>
        <v>50000</v>
      </c>
      <c r="F5545" s="5">
        <v>45937</v>
      </c>
      <c r="G5545" s="4">
        <v>20251006</v>
      </c>
      <c r="H5545" s="38" t="str">
        <f>VLOOKUP(B5545,CAJEROS!B:D,3,0)</f>
        <v>Dispensador</v>
      </c>
      <c r="I5545" s="34" t="s">
        <v>9</v>
      </c>
      <c r="J5545" s="38" t="str">
        <f>VLOOKUP(B5545,CAJEROS!B:E,4,0)</f>
        <v>SUC_FONSEC2</v>
      </c>
      <c r="K5545" t="s">
        <v>610</v>
      </c>
    </row>
    <row r="5546" spans="1:11">
      <c r="A5546" s="32">
        <v>782</v>
      </c>
      <c r="B5546" s="33">
        <v>9855</v>
      </c>
      <c r="C5546" s="3">
        <v>150000</v>
      </c>
      <c r="D5546" s="3"/>
      <c r="E5546" s="7">
        <f t="shared" si="107"/>
        <v>150000</v>
      </c>
      <c r="F5546" s="5">
        <v>45937</v>
      </c>
      <c r="G5546" s="4">
        <v>20251006</v>
      </c>
      <c r="H5546" s="38" t="str">
        <f>VLOOKUP(B5546,CAJEROS!B:D,3,0)</f>
        <v>Dispensador</v>
      </c>
      <c r="I5546" s="34" t="s">
        <v>9</v>
      </c>
      <c r="J5546" s="38" t="str">
        <f>VLOOKUP(B5546,CAJEROS!B:E,4,0)</f>
        <v>SUCSEVILLA2</v>
      </c>
      <c r="K5546" t="s">
        <v>610</v>
      </c>
    </row>
    <row r="5547" spans="1:11">
      <c r="A5547" s="32">
        <v>946</v>
      </c>
      <c r="B5547" s="33">
        <v>4497</v>
      </c>
      <c r="C5547" s="3">
        <v>110000</v>
      </c>
      <c r="D5547" s="3"/>
      <c r="E5547" s="7">
        <f t="shared" si="107"/>
        <v>110000</v>
      </c>
      <c r="F5547" s="5">
        <v>45937</v>
      </c>
      <c r="G5547" s="4">
        <v>20251006</v>
      </c>
      <c r="H5547" s="38" t="str">
        <f>VLOOKUP(B5547,CAJEROS!B:D,3,0)</f>
        <v>Dispensador</v>
      </c>
      <c r="I5547" s="34" t="s">
        <v>9</v>
      </c>
      <c r="J5547" s="38" t="str">
        <f>VLOOKUP(B5547,CAJEROS!B:E,4,0)</f>
        <v>SUC_CHIA1</v>
      </c>
      <c r="K5547" t="s">
        <v>610</v>
      </c>
    </row>
    <row r="5548" spans="1:11">
      <c r="A5548" s="32">
        <v>78</v>
      </c>
      <c r="B5548" s="33">
        <v>8594</v>
      </c>
      <c r="C5548" s="3">
        <v>406000</v>
      </c>
      <c r="D5548" s="3"/>
      <c r="E5548" s="7">
        <f t="shared" si="107"/>
        <v>406000</v>
      </c>
      <c r="F5548" s="5">
        <v>45937</v>
      </c>
      <c r="G5548" s="4">
        <v>20251006</v>
      </c>
      <c r="H5548" s="38" t="str">
        <f>VLOOKUP(B5548,CAJEROS!B:D,3,0)</f>
        <v>Multifuncional</v>
      </c>
      <c r="I5548" s="34"/>
      <c r="J5548" s="38" t="str">
        <f>VLOOKUP(B5548,CAJEROS!B:E,4,0)</f>
        <v>MF_CACIQUE2</v>
      </c>
      <c r="K5548" t="s">
        <v>610</v>
      </c>
    </row>
    <row r="5549" spans="1:11">
      <c r="A5549" s="32">
        <v>197</v>
      </c>
      <c r="B5549" s="33">
        <v>5084</v>
      </c>
      <c r="C5549" s="3">
        <v>4165000</v>
      </c>
      <c r="D5549" s="3"/>
      <c r="E5549" s="7">
        <f t="shared" si="107"/>
        <v>4165000</v>
      </c>
      <c r="F5549" s="5">
        <v>45937</v>
      </c>
      <c r="G5549" s="4">
        <v>20251006</v>
      </c>
      <c r="H5549" s="38" t="str">
        <f>VLOOKUP(B5549,CAJEROS!B:D,3,0)</f>
        <v>Multifuncional</v>
      </c>
      <c r="I5549" s="34"/>
      <c r="J5549" s="38" t="str">
        <f>VLOOKUP(B5549,CAJEROS!B:E,4,0)</f>
        <v>MF_GUATAPUR</v>
      </c>
      <c r="K5549" t="s">
        <v>610</v>
      </c>
    </row>
    <row r="5550" spans="1:11">
      <c r="A5550" s="32">
        <v>229</v>
      </c>
      <c r="B5550" s="33">
        <v>9604</v>
      </c>
      <c r="C5550" s="3">
        <v>7500000</v>
      </c>
      <c r="D5550" s="3"/>
      <c r="E5550" s="7">
        <f t="shared" si="107"/>
        <v>7500000</v>
      </c>
      <c r="F5550" s="5">
        <v>45937</v>
      </c>
      <c r="G5550" s="4">
        <v>20251006</v>
      </c>
      <c r="H5550" s="38" t="str">
        <f>VLOOKUP(B5550,CAJEROS!B:D,3,0)</f>
        <v>Multifuncional</v>
      </c>
      <c r="I5550" s="34"/>
      <c r="J5550" s="38" t="str">
        <f>VLOOKUP(B5550,CAJEROS!B:E,4,0)</f>
        <v>MFSUCPASER1</v>
      </c>
      <c r="K5550" t="s">
        <v>610</v>
      </c>
    </row>
    <row r="5551" spans="1:11">
      <c r="A5551" s="32">
        <v>233</v>
      </c>
      <c r="B5551" s="33">
        <v>7212</v>
      </c>
      <c r="C5551" s="3">
        <v>5600</v>
      </c>
      <c r="D5551" s="3"/>
      <c r="E5551" s="7">
        <f t="shared" si="107"/>
        <v>5600</v>
      </c>
      <c r="F5551" s="5">
        <v>45937</v>
      </c>
      <c r="G5551" s="4">
        <v>20251006</v>
      </c>
      <c r="H5551" s="38" t="str">
        <f>VLOOKUP(B5551,CAJEROS!B:D,3,0)</f>
        <v>Multifuncional</v>
      </c>
      <c r="I5551" s="34"/>
      <c r="J5551" s="38" t="str">
        <f>VLOOKUP(B5551,CAJEROS!B:E,4,0)</f>
        <v>MF_BARRIRPO</v>
      </c>
      <c r="K5551" t="s">
        <v>610</v>
      </c>
    </row>
    <row r="5552" spans="1:11">
      <c r="A5552" s="32">
        <v>536</v>
      </c>
      <c r="B5552" s="33">
        <v>6927</v>
      </c>
      <c r="C5552" s="3">
        <v>3156000</v>
      </c>
      <c r="D5552" s="3"/>
      <c r="E5552" s="7">
        <f t="shared" si="107"/>
        <v>3156000</v>
      </c>
      <c r="F5552" s="5">
        <v>45937</v>
      </c>
      <c r="G5552" s="4">
        <v>20251006</v>
      </c>
      <c r="H5552" s="38" t="str">
        <f>VLOOKUP(B5552,CAJEROS!B:D,3,0)</f>
        <v>Multifuncional</v>
      </c>
      <c r="I5552" s="34"/>
      <c r="J5552" s="38" t="str">
        <f>VLOOKUP(B5552,CAJEROS!B:E,4,0)</f>
        <v>MF_QUIBDO</v>
      </c>
      <c r="K5552" t="s">
        <v>610</v>
      </c>
    </row>
    <row r="5553" spans="1:11">
      <c r="A5553" s="32">
        <v>795</v>
      </c>
      <c r="B5553" s="33">
        <v>1029</v>
      </c>
      <c r="C5553" s="3">
        <v>10000000</v>
      </c>
      <c r="D5553" s="3">
        <v>3940000</v>
      </c>
      <c r="E5553" s="7">
        <f t="shared" si="107"/>
        <v>6060000</v>
      </c>
      <c r="F5553" s="5">
        <v>45937</v>
      </c>
      <c r="G5553" s="4">
        <v>20251006</v>
      </c>
      <c r="H5553" s="38" t="str">
        <f>VLOOKUP(B5553,CAJEROS!B:D,3,0)</f>
        <v>Multifuncional</v>
      </c>
      <c r="I5553" s="34"/>
      <c r="J5553" s="38" t="str">
        <f>VLOOKUP(B5553,CAJEROS!B:E,4,0)</f>
        <v>MFSUCANVER3</v>
      </c>
      <c r="K5553" t="s">
        <v>610</v>
      </c>
    </row>
    <row r="5554" spans="1:11">
      <c r="A5554" s="32">
        <v>569</v>
      </c>
      <c r="B5554" s="33">
        <v>8129</v>
      </c>
      <c r="C5554" s="3">
        <v>3716000</v>
      </c>
      <c r="D5554" s="3"/>
      <c r="E5554" s="7">
        <f t="shared" si="107"/>
        <v>3716000</v>
      </c>
      <c r="F5554" s="5">
        <v>45937</v>
      </c>
      <c r="G5554" s="4">
        <v>20251006</v>
      </c>
      <c r="H5554" s="38" t="str">
        <f>VLOOKUP(B5554,CAJEROS!B:D,3,0)</f>
        <v>Multifuncional</v>
      </c>
      <c r="I5554" s="34" t="s">
        <v>9</v>
      </c>
      <c r="J5554" s="38" t="str">
        <f>VLOOKUP(B5554,CAJEROS!B:E,4,0)</f>
        <v>MF_BUENMON2</v>
      </c>
      <c r="K5554" t="s">
        <v>610</v>
      </c>
    </row>
    <row r="5555" spans="1:11">
      <c r="A5555" s="32">
        <v>261</v>
      </c>
      <c r="B5555" s="33">
        <v>5048</v>
      </c>
      <c r="C5555" s="3">
        <v>3250000</v>
      </c>
      <c r="D5555" s="3">
        <f>2000000+1248500</f>
        <v>3248500</v>
      </c>
      <c r="E5555" s="7">
        <f t="shared" si="107"/>
        <v>1500</v>
      </c>
      <c r="F5555" s="5">
        <v>45937</v>
      </c>
      <c r="G5555" s="4">
        <v>20251006</v>
      </c>
      <c r="H5555" s="38" t="str">
        <f>VLOOKUP(B5555,CAJEROS!B:D,3,0)</f>
        <v>Multifuncional</v>
      </c>
      <c r="I5555" s="34" t="s">
        <v>9</v>
      </c>
      <c r="J5555" s="38" t="str">
        <f>VLOOKUP(B5555,CAJEROS!B:E,4,0)</f>
        <v>MF_CAMPANA</v>
      </c>
      <c r="K5555" t="s">
        <v>610</v>
      </c>
    </row>
    <row r="5556" spans="1:11">
      <c r="A5556" s="32">
        <v>337</v>
      </c>
      <c r="B5556" s="33">
        <v>6253</v>
      </c>
      <c r="C5556" s="3">
        <v>2254000</v>
      </c>
      <c r="D5556" s="3">
        <v>1890200</v>
      </c>
      <c r="E5556" s="7">
        <f t="shared" si="107"/>
        <v>363800</v>
      </c>
      <c r="F5556" s="5">
        <v>45937</v>
      </c>
      <c r="G5556" s="4">
        <v>20251006</v>
      </c>
      <c r="H5556" s="38" t="str">
        <f>VLOOKUP(B5556,CAJEROS!B:D,3,0)</f>
        <v>Multifuncional</v>
      </c>
      <c r="I5556" s="34" t="s">
        <v>9</v>
      </c>
      <c r="J5556" s="38" t="str">
        <f>VLOOKUP(B5556,CAJEROS!B:E,4,0)</f>
        <v>MF_CHIA</v>
      </c>
      <c r="K5556" t="s">
        <v>610</v>
      </c>
    </row>
    <row r="5557" spans="1:11">
      <c r="A5557" s="32">
        <v>721</v>
      </c>
      <c r="B5557" s="33">
        <v>8897</v>
      </c>
      <c r="C5557" s="3">
        <v>2046500</v>
      </c>
      <c r="D5557" s="3">
        <v>247000</v>
      </c>
      <c r="E5557" s="7">
        <f t="shared" si="107"/>
        <v>1799500</v>
      </c>
      <c r="F5557" s="5">
        <v>45937</v>
      </c>
      <c r="G5557" s="4">
        <v>20251006</v>
      </c>
      <c r="H5557" s="38" t="str">
        <f>VLOOKUP(B5557,CAJEROS!B:D,3,0)</f>
        <v>Multifuncional</v>
      </c>
      <c r="I5557" s="34" t="s">
        <v>9</v>
      </c>
      <c r="J5557" s="38" t="str">
        <f>VLOOKUP(B5557,CAJEROS!B:E,4,0)</f>
        <v>MFSUCLAGO2</v>
      </c>
      <c r="K5557" t="s">
        <v>610</v>
      </c>
    </row>
    <row r="5558" spans="1:11">
      <c r="A5558" s="32">
        <v>166</v>
      </c>
      <c r="B5558" s="33">
        <v>7939</v>
      </c>
      <c r="C5558" s="3">
        <v>1950000</v>
      </c>
      <c r="D5558" s="3">
        <v>1869800</v>
      </c>
      <c r="E5558" s="7">
        <f t="shared" si="107"/>
        <v>80200</v>
      </c>
      <c r="F5558" s="5">
        <v>45937</v>
      </c>
      <c r="G5558" s="4">
        <v>20251006</v>
      </c>
      <c r="H5558" s="38" t="str">
        <f>VLOOKUP(B5558,CAJEROS!B:D,3,0)</f>
        <v>Multifuncional</v>
      </c>
      <c r="I5558" s="34" t="s">
        <v>9</v>
      </c>
      <c r="J5558" s="38" t="str">
        <f>VLOOKUP(B5558,CAJEROS!B:E,4,0)</f>
        <v>MF_ALDELSI1</v>
      </c>
      <c r="K5558" t="s">
        <v>610</v>
      </c>
    </row>
    <row r="5559" spans="1:11">
      <c r="A5559" s="32">
        <v>678</v>
      </c>
      <c r="B5559" s="33">
        <v>5227</v>
      </c>
      <c r="C5559" s="3">
        <v>1848000</v>
      </c>
      <c r="D5559" s="3">
        <v>837000</v>
      </c>
      <c r="E5559" s="7">
        <f t="shared" si="107"/>
        <v>1011000</v>
      </c>
      <c r="F5559" s="5">
        <v>45937</v>
      </c>
      <c r="G5559" s="4">
        <v>20251006</v>
      </c>
      <c r="H5559" s="38" t="str">
        <f>VLOOKUP(B5559,CAJEROS!B:D,3,0)</f>
        <v>Multifuncional</v>
      </c>
      <c r="I5559" s="34" t="s">
        <v>9</v>
      </c>
      <c r="J5559" s="38" t="str">
        <f>VLOOKUP(B5559,CAJEROS!B:E,4,0)</f>
        <v>MF_PASCASTE</v>
      </c>
      <c r="K5559" t="s">
        <v>610</v>
      </c>
    </row>
    <row r="5560" spans="1:11">
      <c r="A5560" s="32">
        <v>244</v>
      </c>
      <c r="B5560" s="33">
        <v>5129</v>
      </c>
      <c r="C5560" s="3">
        <v>1753000</v>
      </c>
      <c r="D5560" s="3">
        <v>1747000</v>
      </c>
      <c r="E5560" s="7">
        <f t="shared" si="107"/>
        <v>6000</v>
      </c>
      <c r="F5560" s="5">
        <v>45937</v>
      </c>
      <c r="G5560" s="4">
        <v>20251006</v>
      </c>
      <c r="H5560" s="38" t="str">
        <f>VLOOKUP(B5560,CAJEROS!B:D,3,0)</f>
        <v>Multifuncional</v>
      </c>
      <c r="I5560" s="34" t="s">
        <v>9</v>
      </c>
      <c r="J5560" s="38" t="str">
        <f>VLOOKUP(B5560,CAJEROS!B:E,4,0)</f>
        <v>MF_TRIGALAN</v>
      </c>
      <c r="K5560" t="s">
        <v>610</v>
      </c>
    </row>
    <row r="5561" spans="1:11">
      <c r="A5561" s="32">
        <v>868</v>
      </c>
      <c r="B5561" s="33">
        <v>6149</v>
      </c>
      <c r="C5561" s="3">
        <v>1520050</v>
      </c>
      <c r="D5561" s="3"/>
      <c r="E5561" s="7">
        <f t="shared" si="107"/>
        <v>1520050</v>
      </c>
      <c r="F5561" s="5">
        <v>45937</v>
      </c>
      <c r="G5561" s="4">
        <v>20251006</v>
      </c>
      <c r="H5561" s="38" t="str">
        <f>VLOOKUP(B5561,CAJEROS!B:D,3,0)</f>
        <v>Multifuncional</v>
      </c>
      <c r="I5561" s="34" t="s">
        <v>9</v>
      </c>
      <c r="J5561" s="38" t="str">
        <f>VLOOKUP(B5561,CAJEROS!B:E,4,0)</f>
        <v>MF_POPAYAN1</v>
      </c>
      <c r="K5561" t="s">
        <v>610</v>
      </c>
    </row>
    <row r="5562" spans="1:11">
      <c r="A5562" s="32">
        <v>556</v>
      </c>
      <c r="B5562" s="33">
        <v>8333</v>
      </c>
      <c r="C5562" s="3">
        <v>1420000</v>
      </c>
      <c r="D5562" s="3"/>
      <c r="E5562" s="7">
        <f t="shared" si="107"/>
        <v>1420000</v>
      </c>
      <c r="F5562" s="5">
        <v>45937</v>
      </c>
      <c r="G5562" s="4">
        <v>20251006</v>
      </c>
      <c r="H5562" s="38" t="str">
        <f>VLOOKUP(B5562,CAJEROS!B:D,3,0)</f>
        <v>Multifuncional</v>
      </c>
      <c r="I5562" s="34" t="s">
        <v>9</v>
      </c>
      <c r="J5562" s="38" t="str">
        <f>VLOOKUP(B5562,CAJEROS!B:E,4,0)</f>
        <v>MF_SCARVIB1</v>
      </c>
      <c r="K5562" t="s">
        <v>610</v>
      </c>
    </row>
    <row r="5563" spans="1:11">
      <c r="A5563" s="32">
        <v>879</v>
      </c>
      <c r="B5563" s="33">
        <v>5045</v>
      </c>
      <c r="C5563" s="3">
        <v>1350350</v>
      </c>
      <c r="D5563" s="3"/>
      <c r="E5563" s="7">
        <f t="shared" si="107"/>
        <v>1350350</v>
      </c>
      <c r="F5563" s="5">
        <v>45937</v>
      </c>
      <c r="G5563" s="4">
        <v>20251006</v>
      </c>
      <c r="H5563" s="38" t="str">
        <f>VLOOKUP(B5563,CAJEROS!B:D,3,0)</f>
        <v>Multifuncional</v>
      </c>
      <c r="I5563" s="34" t="s">
        <v>9</v>
      </c>
      <c r="J5563" s="38" t="str">
        <f>VLOOKUP(B5563,CAJEROS!B:E,4,0)</f>
        <v>MF_UNPASTO</v>
      </c>
      <c r="K5563" t="s">
        <v>610</v>
      </c>
    </row>
    <row r="5564" spans="1:11">
      <c r="A5564" s="32">
        <v>745</v>
      </c>
      <c r="B5564" s="33">
        <v>1477</v>
      </c>
      <c r="C5564" s="3">
        <v>1279000</v>
      </c>
      <c r="D5564" s="3"/>
      <c r="E5564" s="7">
        <f t="shared" si="107"/>
        <v>1279000</v>
      </c>
      <c r="F5564" s="5">
        <v>45937</v>
      </c>
      <c r="G5564" s="4">
        <v>20251006</v>
      </c>
      <c r="H5564" s="38" t="str">
        <f>VLOOKUP(B5564,CAJEROS!B:D,3,0)</f>
        <v>Multifuncional</v>
      </c>
      <c r="I5564" s="34" t="s">
        <v>9</v>
      </c>
      <c r="J5564" s="38" t="str">
        <f>VLOOKUP(B5564,CAJEROS!B:E,4,0)</f>
        <v>MFSUCMALPZ2</v>
      </c>
      <c r="K5564" t="s">
        <v>610</v>
      </c>
    </row>
    <row r="5565" spans="1:11">
      <c r="A5565" s="32">
        <v>154</v>
      </c>
      <c r="B5565" s="33">
        <v>5041</v>
      </c>
      <c r="C5565" s="3">
        <v>993500</v>
      </c>
      <c r="D5565" s="3"/>
      <c r="E5565" s="7">
        <f t="shared" si="107"/>
        <v>993500</v>
      </c>
      <c r="F5565" s="5">
        <v>45937</v>
      </c>
      <c r="G5565" s="4">
        <v>20251006</v>
      </c>
      <c r="H5565" s="38" t="str">
        <f>VLOOKUP(B5565,CAJEROS!B:D,3,0)</f>
        <v>Multifuncional</v>
      </c>
      <c r="I5565" s="34" t="s">
        <v>9</v>
      </c>
      <c r="J5565" s="38" t="str">
        <f>VLOOKUP(B5565,CAJEROS!B:E,4,0)</f>
        <v>MF_CMAYOR</v>
      </c>
      <c r="K5565" t="s">
        <v>610</v>
      </c>
    </row>
    <row r="5566" spans="1:11">
      <c r="A5566" s="32">
        <v>15</v>
      </c>
      <c r="B5566" s="33">
        <v>8576</v>
      </c>
      <c r="C5566" s="3">
        <v>990000</v>
      </c>
      <c r="D5566" s="3"/>
      <c r="E5566" s="7">
        <f t="shared" si="107"/>
        <v>990000</v>
      </c>
      <c r="F5566" s="5">
        <v>45937</v>
      </c>
      <c r="G5566" s="4">
        <v>20251006</v>
      </c>
      <c r="H5566" s="38" t="str">
        <f>VLOOKUP(B5566,CAJEROS!B:D,3,0)</f>
        <v>Multifuncional</v>
      </c>
      <c r="I5566" s="34" t="s">
        <v>9</v>
      </c>
      <c r="J5566" s="38" t="str">
        <f>VLOOKUP(B5566,CAJEROS!B:E,4,0)</f>
        <v>MF_HITAGUI1</v>
      </c>
      <c r="K5566" t="s">
        <v>610</v>
      </c>
    </row>
    <row r="5567" spans="1:11">
      <c r="A5567" s="32">
        <v>623</v>
      </c>
      <c r="B5567" s="33">
        <v>7375</v>
      </c>
      <c r="C5567" s="3">
        <v>820000</v>
      </c>
      <c r="D5567" s="3"/>
      <c r="E5567" s="7">
        <f t="shared" si="107"/>
        <v>820000</v>
      </c>
      <c r="F5567" s="5">
        <v>45937</v>
      </c>
      <c r="G5567" s="4">
        <v>20251006</v>
      </c>
      <c r="H5567" s="38" t="str">
        <f>VLOOKUP(B5567,CAJEROS!B:D,3,0)</f>
        <v>Multifuncional</v>
      </c>
      <c r="I5567" s="34" t="s">
        <v>9</v>
      </c>
      <c r="J5567" s="38" t="str">
        <f>VLOOKUP(B5567,CAJEROS!B:E,4,0)</f>
        <v>MF_FUNDMAN2</v>
      </c>
      <c r="K5567" t="s">
        <v>610</v>
      </c>
    </row>
    <row r="5568" spans="1:11">
      <c r="A5568" s="32">
        <v>876</v>
      </c>
      <c r="B5568" s="33">
        <v>9682</v>
      </c>
      <c r="C5568" s="3">
        <v>710000</v>
      </c>
      <c r="D5568" s="3">
        <v>410000</v>
      </c>
      <c r="E5568" s="7">
        <f t="shared" si="107"/>
        <v>300000</v>
      </c>
      <c r="F5568" s="5">
        <v>45937</v>
      </c>
      <c r="G5568" s="4">
        <v>20251006</v>
      </c>
      <c r="H5568" s="38" t="str">
        <f>VLOOKUP(B5568,CAJEROS!B:D,3,0)</f>
        <v>Multifuncional</v>
      </c>
      <c r="I5568" s="34" t="s">
        <v>9</v>
      </c>
      <c r="J5568" s="38" t="str">
        <f>VLOOKUP(B5568,CAJEROS!B:E,4,0)</f>
        <v>MF_VILCAM1</v>
      </c>
      <c r="K5568" t="s">
        <v>610</v>
      </c>
    </row>
    <row r="5569" spans="1:11">
      <c r="A5569" s="32">
        <v>769</v>
      </c>
      <c r="B5569" s="33">
        <v>8679</v>
      </c>
      <c r="C5569" s="3">
        <v>613300</v>
      </c>
      <c r="D5569" s="3">
        <v>186000</v>
      </c>
      <c r="E5569" s="7">
        <f t="shared" si="107"/>
        <v>427300</v>
      </c>
      <c r="F5569" s="5">
        <v>45937</v>
      </c>
      <c r="G5569" s="4">
        <v>20251006</v>
      </c>
      <c r="H5569" s="38" t="str">
        <f>VLOOKUP(B5569,CAJEROS!B:D,3,0)</f>
        <v>Multifuncional</v>
      </c>
      <c r="I5569" s="34" t="s">
        <v>9</v>
      </c>
      <c r="J5569" s="38" t="str">
        <f>VLOOKUP(B5569,CAJEROS!B:E,4,0)</f>
        <v>MF_SUCPPRA1</v>
      </c>
      <c r="K5569" t="s">
        <v>610</v>
      </c>
    </row>
    <row r="5570" spans="1:11">
      <c r="A5570" s="32">
        <v>115</v>
      </c>
      <c r="B5570" s="33">
        <v>5080</v>
      </c>
      <c r="C5570" s="3">
        <v>360000</v>
      </c>
      <c r="D5570" s="3"/>
      <c r="E5570" s="7">
        <f t="shared" si="107"/>
        <v>360000</v>
      </c>
      <c r="F5570" s="5">
        <v>45937</v>
      </c>
      <c r="G5570" s="4">
        <v>20251006</v>
      </c>
      <c r="H5570" s="38" t="str">
        <f>VLOOKUP(B5570,CAJEROS!B:D,3,0)</f>
        <v>Multifuncional</v>
      </c>
      <c r="I5570" s="34" t="s">
        <v>9</v>
      </c>
      <c r="J5570" s="38" t="str">
        <f>VLOOKUP(B5570,CAJEROS!B:E,4,0)</f>
        <v>MF_CIPEREIR</v>
      </c>
      <c r="K5570" t="s">
        <v>610</v>
      </c>
    </row>
    <row r="5571" spans="1:11">
      <c r="A5571" s="32">
        <v>317</v>
      </c>
      <c r="B5571" s="33">
        <v>6613</v>
      </c>
      <c r="C5571" s="3">
        <v>330000</v>
      </c>
      <c r="D5571" s="3">
        <v>130000</v>
      </c>
      <c r="E5571" s="7">
        <f t="shared" si="107"/>
        <v>200000</v>
      </c>
      <c r="F5571" s="5">
        <v>45937</v>
      </c>
      <c r="G5571" s="4">
        <v>20251006</v>
      </c>
      <c r="H5571" s="38" t="str">
        <f>VLOOKUP(B5571,CAJEROS!B:D,3,0)</f>
        <v>Multifuncional</v>
      </c>
      <c r="I5571" s="34" t="s">
        <v>9</v>
      </c>
      <c r="J5571" s="38" t="str">
        <f>VLOOKUP(B5571,CAJEROS!B:E,4,0)</f>
        <v>MF_ARAUCA</v>
      </c>
      <c r="K5571" t="s">
        <v>610</v>
      </c>
    </row>
    <row r="5572" spans="1:11">
      <c r="A5572" s="32">
        <v>541</v>
      </c>
      <c r="B5572" s="33">
        <v>8660</v>
      </c>
      <c r="C5572" s="3">
        <v>309000</v>
      </c>
      <c r="D5572" s="3"/>
      <c r="E5572" s="7">
        <f t="shared" si="107"/>
        <v>309000</v>
      </c>
      <c r="F5572" s="5">
        <v>45937</v>
      </c>
      <c r="G5572" s="4">
        <v>20251006</v>
      </c>
      <c r="H5572" s="38" t="str">
        <f>VLOOKUP(B5572,CAJEROS!B:D,3,0)</f>
        <v>Multifuncional</v>
      </c>
      <c r="I5572" s="34" t="s">
        <v>9</v>
      </c>
      <c r="J5572" s="38" t="str">
        <f>VLOOKUP(B5572,CAJEROS!B:E,4,0)</f>
        <v>MF_SUCCALP2</v>
      </c>
      <c r="K5572" t="s">
        <v>610</v>
      </c>
    </row>
    <row r="5573" spans="1:11">
      <c r="A5573" s="32">
        <v>300</v>
      </c>
      <c r="B5573" s="33">
        <v>5139</v>
      </c>
      <c r="C5573" s="3">
        <v>280000</v>
      </c>
      <c r="D5573" s="3"/>
      <c r="E5573" s="7">
        <f t="shared" si="107"/>
        <v>280000</v>
      </c>
      <c r="F5573" s="5">
        <v>45937</v>
      </c>
      <c r="G5573" s="4">
        <v>20251006</v>
      </c>
      <c r="H5573" s="38" t="str">
        <f>VLOOKUP(B5573,CAJEROS!B:D,3,0)</f>
        <v>Multifuncional</v>
      </c>
      <c r="I5573" s="34" t="s">
        <v>9</v>
      </c>
      <c r="J5573" s="38" t="str">
        <f>VLOOKUP(B5573,CAJEROS!B:E,4,0)</f>
        <v>MF_AUTOP98</v>
      </c>
      <c r="K5573" t="s">
        <v>610</v>
      </c>
    </row>
    <row r="5574" spans="1:11">
      <c r="A5574" s="32">
        <v>61</v>
      </c>
      <c r="B5574" s="33">
        <v>788</v>
      </c>
      <c r="C5574" s="3">
        <v>230000</v>
      </c>
      <c r="D5574" s="3">
        <v>229950</v>
      </c>
      <c r="E5574" s="7">
        <f t="shared" si="107"/>
        <v>50</v>
      </c>
      <c r="F5574" s="5">
        <v>45937</v>
      </c>
      <c r="G5574" s="4">
        <v>20251006</v>
      </c>
      <c r="H5574" s="38" t="str">
        <f>VLOOKUP(B5574,CAJEROS!B:D,3,0)</f>
        <v>Multifuncional</v>
      </c>
      <c r="I5574" s="34" t="s">
        <v>9</v>
      </c>
      <c r="J5574" s="38" t="str">
        <f>VLOOKUP(B5574,CAJEROS!B:E,4,0)</f>
        <v>MFSUCLAEST1</v>
      </c>
      <c r="K5574" t="s">
        <v>610</v>
      </c>
    </row>
    <row r="5575" spans="1:11">
      <c r="A5575" s="32">
        <v>907</v>
      </c>
      <c r="B5575" s="33">
        <v>4830</v>
      </c>
      <c r="C5575" s="3">
        <v>210000</v>
      </c>
      <c r="D5575" s="3"/>
      <c r="E5575" s="7">
        <f t="shared" si="107"/>
        <v>210000</v>
      </c>
      <c r="F5575" s="5">
        <v>45937</v>
      </c>
      <c r="G5575" s="4">
        <v>20251006</v>
      </c>
      <c r="H5575" s="38" t="str">
        <f>VLOOKUP(B5575,CAJEROS!B:D,3,0)</f>
        <v>Multifuncional</v>
      </c>
      <c r="I5575" s="34" t="s">
        <v>9</v>
      </c>
      <c r="J5575" s="38" t="str">
        <f>VLOOKUP(B5575,CAJEROS!B:E,4,0)</f>
        <v>MF_FRONTER2</v>
      </c>
      <c r="K5575" t="s">
        <v>610</v>
      </c>
    </row>
    <row r="5576" spans="1:11">
      <c r="A5576" s="32">
        <v>70</v>
      </c>
      <c r="B5576" s="33">
        <v>5164</v>
      </c>
      <c r="C5576" s="3">
        <v>190000</v>
      </c>
      <c r="D5576" s="3"/>
      <c r="E5576" s="7">
        <f t="shared" si="107"/>
        <v>190000</v>
      </c>
      <c r="F5576" s="5">
        <v>45937</v>
      </c>
      <c r="G5576" s="4">
        <v>20251006</v>
      </c>
      <c r="H5576" s="38" t="str">
        <f>VLOOKUP(B5576,CAJEROS!B:D,3,0)</f>
        <v>Multifuncional</v>
      </c>
      <c r="I5576" s="34" t="s">
        <v>9</v>
      </c>
      <c r="J5576" s="38" t="str">
        <f>VLOOKUP(B5576,CAJEROS!B:E,4,0)</f>
        <v>MF_MANIZALE</v>
      </c>
      <c r="K5576" t="s">
        <v>610</v>
      </c>
    </row>
    <row r="5577" spans="1:11">
      <c r="A5577" s="32">
        <v>779</v>
      </c>
      <c r="B5577" s="33">
        <v>5013</v>
      </c>
      <c r="C5577" s="3">
        <v>100700</v>
      </c>
      <c r="D5577" s="3"/>
      <c r="E5577" s="7">
        <f t="shared" si="107"/>
        <v>100700</v>
      </c>
      <c r="F5577" s="5">
        <v>45937</v>
      </c>
      <c r="G5577" s="4">
        <v>20251006</v>
      </c>
      <c r="H5577" s="38" t="str">
        <f>VLOOKUP(B5577,CAJEROS!B:D,3,0)</f>
        <v>Multifuncional</v>
      </c>
      <c r="I5577" s="34" t="s">
        <v>9</v>
      </c>
      <c r="J5577" s="38" t="str">
        <f>VLOOKUP(B5577,CAJEROS!B:E,4,0)</f>
        <v>MF_BUENASM1</v>
      </c>
      <c r="K5577" t="s">
        <v>610</v>
      </c>
    </row>
    <row r="5578" spans="1:11">
      <c r="A5578" s="32">
        <v>642</v>
      </c>
      <c r="B5578" s="33">
        <v>1949</v>
      </c>
      <c r="C5578" s="3">
        <v>20000</v>
      </c>
      <c r="D5578" s="3"/>
      <c r="E5578" s="7">
        <f t="shared" si="107"/>
        <v>20000</v>
      </c>
      <c r="F5578" s="5">
        <v>45937</v>
      </c>
      <c r="G5578" s="4">
        <v>20251006</v>
      </c>
      <c r="H5578" s="38" t="str">
        <f>VLOOKUP(B5578,CAJEROS!B:D,3,0)</f>
        <v>Dispensador</v>
      </c>
      <c r="I5578" s="34" t="s">
        <v>10</v>
      </c>
      <c r="J5578" s="38" t="str">
        <f>VLOOKUP(B5578,CAJEROS!B:E,4,0)</f>
        <v>SANTAROSOS1</v>
      </c>
      <c r="K5578" t="s">
        <v>610</v>
      </c>
    </row>
    <row r="5579" spans="1:11">
      <c r="A5579" s="32">
        <v>371</v>
      </c>
      <c r="B5579" s="33">
        <v>4279</v>
      </c>
      <c r="C5579" s="3">
        <v>20000</v>
      </c>
      <c r="D5579" s="3"/>
      <c r="E5579" s="7">
        <f t="shared" ref="E5579:E5642" si="108">+C5579-D5579</f>
        <v>20000</v>
      </c>
      <c r="F5579" s="5">
        <v>45937</v>
      </c>
      <c r="G5579" s="4">
        <v>20251006</v>
      </c>
      <c r="H5579" s="38" t="str">
        <f>VLOOKUP(B5579,CAJEROS!B:D,3,0)</f>
        <v>Dispensador</v>
      </c>
      <c r="I5579" s="34" t="s">
        <v>10</v>
      </c>
      <c r="J5579" s="38" t="str">
        <f>VLOOKUP(B5579,CAJEROS!B:E,4,0)</f>
        <v>CAUCASIA_2</v>
      </c>
      <c r="K5579" t="s">
        <v>610</v>
      </c>
    </row>
    <row r="5580" spans="1:11">
      <c r="A5580" s="32">
        <v>909</v>
      </c>
      <c r="B5580" s="33">
        <v>6641</v>
      </c>
      <c r="C5580" s="3">
        <v>10000</v>
      </c>
      <c r="D5580" s="3"/>
      <c r="E5580" s="7">
        <f t="shared" si="108"/>
        <v>10000</v>
      </c>
      <c r="F5580" s="5">
        <v>45937</v>
      </c>
      <c r="G5580" s="4">
        <v>20251006</v>
      </c>
      <c r="H5580" s="38" t="str">
        <f>VLOOKUP(B5580,CAJEROS!B:D,3,0)</f>
        <v>Dispensador</v>
      </c>
      <c r="I5580" s="34" t="s">
        <v>10</v>
      </c>
      <c r="J5580" s="38" t="str">
        <f>VLOOKUP(B5580,CAJEROS!B:E,4,0)</f>
        <v>SUC_ROSAL2</v>
      </c>
      <c r="K5580" t="s">
        <v>610</v>
      </c>
    </row>
    <row r="5581" spans="1:11">
      <c r="A5581" s="32">
        <v>177</v>
      </c>
      <c r="B5581" s="33">
        <v>7043</v>
      </c>
      <c r="C5581" s="3">
        <v>20000</v>
      </c>
      <c r="D5581" s="3"/>
      <c r="E5581" s="7">
        <f t="shared" si="108"/>
        <v>20000</v>
      </c>
      <c r="F5581" s="5">
        <v>45937</v>
      </c>
      <c r="G5581" s="4">
        <v>20251006</v>
      </c>
      <c r="H5581" s="38" t="str">
        <f>VLOOKUP(B5581,CAJEROS!B:D,3,0)</f>
        <v>Dispensador</v>
      </c>
      <c r="I5581" s="34" t="s">
        <v>10</v>
      </c>
      <c r="J5581" s="38" t="str">
        <f>VLOOKUP(B5581,CAJEROS!B:E,4,0)</f>
        <v>SUC_CL573</v>
      </c>
      <c r="K5581" t="s">
        <v>610</v>
      </c>
    </row>
    <row r="5582" spans="1:11">
      <c r="A5582" s="32">
        <v>261</v>
      </c>
      <c r="B5582" s="33">
        <v>8476</v>
      </c>
      <c r="C5582" s="3">
        <v>10000</v>
      </c>
      <c r="D5582" s="3"/>
      <c r="E5582" s="7">
        <f t="shared" si="108"/>
        <v>10000</v>
      </c>
      <c r="F5582" s="5">
        <v>45937</v>
      </c>
      <c r="G5582" s="4">
        <v>20251006</v>
      </c>
      <c r="H5582" s="38" t="str">
        <f>VLOOKUP(B5582,CAJEROS!B:D,3,0)</f>
        <v>Dispensador</v>
      </c>
      <c r="I5582" s="34" t="s">
        <v>10</v>
      </c>
      <c r="J5582" s="38" t="str">
        <f>VLOOKUP(B5582,CAJEROS!B:E,4,0)</f>
        <v>SUCAMPA2</v>
      </c>
      <c r="K5582" t="s">
        <v>610</v>
      </c>
    </row>
    <row r="5583" spans="1:11">
      <c r="A5583" s="32">
        <v>78</v>
      </c>
      <c r="B5583" s="33">
        <v>8590</v>
      </c>
      <c r="C5583" s="3">
        <v>10000</v>
      </c>
      <c r="D5583" s="3"/>
      <c r="E5583" s="7">
        <f t="shared" si="108"/>
        <v>10000</v>
      </c>
      <c r="F5583" s="5">
        <v>45937</v>
      </c>
      <c r="G5583" s="4">
        <v>20251006</v>
      </c>
      <c r="H5583" s="38" t="str">
        <f>VLOOKUP(B5583,CAJEROS!B:D,3,0)</f>
        <v>Dispensador</v>
      </c>
      <c r="I5583" s="34" t="s">
        <v>10</v>
      </c>
      <c r="J5583" s="38" t="str">
        <f>VLOOKUP(B5583,CAJEROS!B:E,4,0)</f>
        <v>HALLCACIQ1</v>
      </c>
      <c r="K5583" t="s">
        <v>610</v>
      </c>
    </row>
    <row r="5584" spans="1:11">
      <c r="A5584" s="32">
        <v>482</v>
      </c>
      <c r="B5584" s="33">
        <v>8620</v>
      </c>
      <c r="C5584" s="3">
        <v>20000</v>
      </c>
      <c r="D5584" s="3"/>
      <c r="E5584" s="7">
        <f t="shared" si="108"/>
        <v>20000</v>
      </c>
      <c r="F5584" s="5">
        <v>45937</v>
      </c>
      <c r="G5584" s="4">
        <v>20251006</v>
      </c>
      <c r="H5584" s="38" t="str">
        <f>VLOOKUP(B5584,CAJEROS!B:D,3,0)</f>
        <v>Dispensador</v>
      </c>
      <c r="I5584" s="34" t="s">
        <v>10</v>
      </c>
      <c r="J5584" s="38" t="str">
        <f>VLOOKUP(B5584,CAJEROS!B:E,4,0)</f>
        <v>SUC_CIENAG1</v>
      </c>
      <c r="K5584" t="s">
        <v>610</v>
      </c>
    </row>
    <row r="5585" spans="1:11">
      <c r="A5585" s="32">
        <v>769</v>
      </c>
      <c r="B5585" s="33">
        <v>8677</v>
      </c>
      <c r="C5585" s="3">
        <v>10000</v>
      </c>
      <c r="D5585" s="3"/>
      <c r="E5585" s="7">
        <f t="shared" si="108"/>
        <v>10000</v>
      </c>
      <c r="F5585" s="5">
        <v>45937</v>
      </c>
      <c r="G5585" s="4">
        <v>20251006</v>
      </c>
      <c r="H5585" s="38" t="str">
        <f>VLOOKUP(B5585,CAJEROS!B:D,3,0)</f>
        <v>Dispensador</v>
      </c>
      <c r="I5585" s="34" t="s">
        <v>10</v>
      </c>
      <c r="J5585" s="38" t="str">
        <f>VLOOKUP(B5585,CAJEROS!B:E,4,0)</f>
        <v>SUCPORPRAD6</v>
      </c>
      <c r="K5585" t="s">
        <v>610</v>
      </c>
    </row>
    <row r="5586" spans="1:11">
      <c r="A5586" s="32">
        <v>225</v>
      </c>
      <c r="B5586" s="33">
        <v>8864</v>
      </c>
      <c r="C5586" s="3">
        <v>20000</v>
      </c>
      <c r="D5586" s="3"/>
      <c r="E5586" s="7">
        <f t="shared" si="108"/>
        <v>20000</v>
      </c>
      <c r="F5586" s="5">
        <v>45937</v>
      </c>
      <c r="G5586" s="4">
        <v>20251006</v>
      </c>
      <c r="H5586" s="38" t="str">
        <f>VLOOKUP(B5586,CAJEROS!B:D,3,0)</f>
        <v>Dispensador</v>
      </c>
      <c r="I5586" s="34" t="s">
        <v>10</v>
      </c>
      <c r="J5586" s="38" t="str">
        <f>VLOOKUP(B5586,CAJEROS!B:E,4,0)</f>
        <v>SMALPLANQS2</v>
      </c>
      <c r="K5586" t="s">
        <v>610</v>
      </c>
    </row>
    <row r="5587" spans="1:11">
      <c r="A5587" s="32">
        <v>317</v>
      </c>
      <c r="B5587" s="33">
        <v>9730</v>
      </c>
      <c r="C5587" s="3">
        <v>20000</v>
      </c>
      <c r="D5587" s="3"/>
      <c r="E5587" s="7">
        <f t="shared" si="108"/>
        <v>20000</v>
      </c>
      <c r="F5587" s="5">
        <v>45937</v>
      </c>
      <c r="G5587" s="4">
        <v>20251006</v>
      </c>
      <c r="H5587" s="38" t="str">
        <f>VLOOKUP(B5587,CAJEROS!B:D,3,0)</f>
        <v>Dispensador</v>
      </c>
      <c r="I5587" s="34" t="s">
        <v>10</v>
      </c>
      <c r="J5587" s="38" t="str">
        <f>VLOOKUP(B5587,CAJEROS!B:E,4,0)</f>
        <v>SUCARAUCA_5</v>
      </c>
      <c r="K5587" t="s">
        <v>610</v>
      </c>
    </row>
    <row r="5588" spans="1:11">
      <c r="A5588" s="32">
        <v>524</v>
      </c>
      <c r="B5588" s="33">
        <v>6336</v>
      </c>
      <c r="C5588" s="3">
        <v>10000</v>
      </c>
      <c r="D5588" s="3"/>
      <c r="E5588" s="7">
        <f t="shared" si="108"/>
        <v>10000</v>
      </c>
      <c r="F5588" s="5">
        <v>45937</v>
      </c>
      <c r="G5588" s="4">
        <v>20251006</v>
      </c>
      <c r="H5588" s="38" t="str">
        <f>VLOOKUP(B5588,CAJEROS!B:D,3,0)</f>
        <v>Multifuncional</v>
      </c>
      <c r="I5588" s="34" t="s">
        <v>10</v>
      </c>
      <c r="J5588" s="38" t="str">
        <f>VLOOKUP(B5588,CAJEROS!B:E,4,0)</f>
        <v>MF_VALLEDUP</v>
      </c>
      <c r="K5588" t="s">
        <v>610</v>
      </c>
    </row>
    <row r="5589" spans="1:11">
      <c r="A5589" s="32">
        <v>60</v>
      </c>
      <c r="B5589" s="33">
        <v>8729</v>
      </c>
      <c r="C5589" s="3">
        <v>1000</v>
      </c>
      <c r="D5589" s="3"/>
      <c r="E5589" s="7">
        <f t="shared" si="108"/>
        <v>1000</v>
      </c>
      <c r="F5589" s="5">
        <v>45937</v>
      </c>
      <c r="G5589" s="4">
        <v>20251006</v>
      </c>
      <c r="H5589" s="38" t="str">
        <f>VLOOKUP(B5589,CAJEROS!B:D,3,0)</f>
        <v>Multifuncional</v>
      </c>
      <c r="I5589" s="34" t="s">
        <v>10</v>
      </c>
      <c r="J5589" s="38" t="str">
        <f>VLOOKUP(B5589,CAJEROS!B:E,4,0)</f>
        <v>MF_HCALIPR3</v>
      </c>
      <c r="K5589" t="s">
        <v>610</v>
      </c>
    </row>
    <row r="5590" spans="1:11">
      <c r="A5590" s="32">
        <v>287</v>
      </c>
      <c r="B5590" s="33">
        <v>907</v>
      </c>
      <c r="C5590" s="3">
        <v>3757000</v>
      </c>
      <c r="D5590" s="3"/>
      <c r="E5590" s="7">
        <f t="shared" si="108"/>
        <v>3757000</v>
      </c>
      <c r="F5590" s="5">
        <v>45938</v>
      </c>
      <c r="G5590" s="4">
        <v>20251007</v>
      </c>
      <c r="H5590" s="38" t="str">
        <f>VLOOKUP(B5590,CAJEROS!B:D,3,0)</f>
        <v>Multifuncional</v>
      </c>
      <c r="I5590" s="34"/>
      <c r="J5590" s="38" t="str">
        <f>VLOOKUP(B5590,CAJEROS!B:E,4,0)</f>
        <v>MFABASTOBGA</v>
      </c>
      <c r="K5590" t="s">
        <v>610</v>
      </c>
    </row>
    <row r="5591" spans="1:11">
      <c r="A5591" s="32">
        <v>371</v>
      </c>
      <c r="B5591" s="33">
        <v>6718</v>
      </c>
      <c r="C5591" s="3">
        <v>29799950</v>
      </c>
      <c r="D5591" s="3"/>
      <c r="E5591" s="7">
        <f t="shared" si="108"/>
        <v>29799950</v>
      </c>
      <c r="F5591" s="5">
        <v>45938</v>
      </c>
      <c r="G5591" s="4">
        <v>20251007</v>
      </c>
      <c r="H5591" s="38" t="str">
        <f>VLOOKUP(B5591,CAJEROS!B:D,3,0)</f>
        <v>Multifuncional</v>
      </c>
      <c r="I5591" s="34"/>
      <c r="J5591" s="38" t="str">
        <f>VLOOKUP(B5591,CAJEROS!B:E,4,0)</f>
        <v>MF_CAUCASIA</v>
      </c>
      <c r="K5591" t="s">
        <v>610</v>
      </c>
    </row>
    <row r="5592" spans="1:11">
      <c r="A5592" s="32">
        <v>432</v>
      </c>
      <c r="B5592" s="33">
        <v>5195</v>
      </c>
      <c r="C5592" s="3">
        <v>1970000</v>
      </c>
      <c r="D5592" s="3"/>
      <c r="E5592" s="7">
        <f t="shared" si="108"/>
        <v>1970000</v>
      </c>
      <c r="F5592" s="5">
        <v>45938</v>
      </c>
      <c r="G5592" s="4">
        <v>20251007</v>
      </c>
      <c r="H5592" s="38" t="str">
        <f>VLOOKUP(B5592,CAJEROS!B:D,3,0)</f>
        <v>Multifuncional</v>
      </c>
      <c r="I5592" s="34"/>
      <c r="J5592" s="38" t="str">
        <f>VLOOKUP(B5592,CAJEROS!B:E,4,0)</f>
        <v>MF_TTEDLSU1</v>
      </c>
      <c r="K5592" t="s">
        <v>610</v>
      </c>
    </row>
    <row r="5593" spans="1:11">
      <c r="A5593" s="32">
        <v>442</v>
      </c>
      <c r="B5593" s="33">
        <v>8888</v>
      </c>
      <c r="C5593" s="3">
        <v>951000</v>
      </c>
      <c r="D5593" s="3"/>
      <c r="E5593" s="7">
        <f t="shared" si="108"/>
        <v>951000</v>
      </c>
      <c r="F5593" s="5">
        <v>45938</v>
      </c>
      <c r="G5593" s="4">
        <v>20251007</v>
      </c>
      <c r="H5593" s="38" t="str">
        <f>VLOOKUP(B5593,CAJEROS!B:D,3,0)</f>
        <v>Multifuncional</v>
      </c>
      <c r="I5593" s="34"/>
      <c r="J5593" s="38" t="str">
        <f>VLOOKUP(B5593,CAJEROS!B:E,4,0)</f>
        <v>MFVIVABQUI2</v>
      </c>
      <c r="K5593" t="s">
        <v>610</v>
      </c>
    </row>
    <row r="5594" spans="1:11">
      <c r="A5594" s="32">
        <v>476</v>
      </c>
      <c r="B5594" s="33">
        <v>7759</v>
      </c>
      <c r="C5594" s="3">
        <v>4515250</v>
      </c>
      <c r="D5594" s="3">
        <v>50</v>
      </c>
      <c r="E5594" s="7">
        <f t="shared" si="108"/>
        <v>4515200</v>
      </c>
      <c r="F5594" s="5">
        <v>45938</v>
      </c>
      <c r="G5594" s="4">
        <v>20251007</v>
      </c>
      <c r="H5594" s="38" t="str">
        <f>VLOOKUP(B5594,CAJEROS!B:D,3,0)</f>
        <v>Multifuncional</v>
      </c>
      <c r="I5594" s="34"/>
      <c r="J5594" s="38" t="str">
        <f>VLOOKUP(B5594,CAJEROS!B:E,4,0)</f>
        <v>MF_PAMPLONA</v>
      </c>
      <c r="K5594" t="s">
        <v>610</v>
      </c>
    </row>
    <row r="5595" spans="1:11">
      <c r="A5595" s="32">
        <v>667</v>
      </c>
      <c r="B5595" s="33">
        <v>5167</v>
      </c>
      <c r="C5595" s="3">
        <v>899950</v>
      </c>
      <c r="D5595" s="3"/>
      <c r="E5595" s="7">
        <f t="shared" si="108"/>
        <v>899950</v>
      </c>
      <c r="F5595" s="5">
        <v>45938</v>
      </c>
      <c r="G5595" s="4">
        <v>20251007</v>
      </c>
      <c r="H5595" s="38" t="str">
        <f>VLOOKUP(B5595,CAJEROS!B:D,3,0)</f>
        <v>Multifuncional</v>
      </c>
      <c r="I5595" s="34"/>
      <c r="J5595" s="38" t="str">
        <f>VLOOKUP(B5595,CAJEROS!B:E,4,0)</f>
        <v>MF_VALVANE1</v>
      </c>
      <c r="K5595" t="s">
        <v>610</v>
      </c>
    </row>
    <row r="5596" spans="1:11">
      <c r="A5596" s="32">
        <v>688</v>
      </c>
      <c r="B5596" s="33">
        <v>6209</v>
      </c>
      <c r="C5596" s="3">
        <v>76800</v>
      </c>
      <c r="D5596" s="3"/>
      <c r="E5596" s="7">
        <f t="shared" si="108"/>
        <v>76800</v>
      </c>
      <c r="F5596" s="5">
        <v>45938</v>
      </c>
      <c r="G5596" s="4">
        <v>20251007</v>
      </c>
      <c r="H5596" s="38" t="str">
        <f>VLOOKUP(B5596,CAJEROS!B:D,3,0)</f>
        <v>Multifuncional</v>
      </c>
      <c r="I5596" s="34"/>
      <c r="J5596" s="38" t="str">
        <f>VLOOKUP(B5596,CAJEROS!B:E,4,0)</f>
        <v>MF_CONTADOR</v>
      </c>
      <c r="K5596" t="s">
        <v>610</v>
      </c>
    </row>
    <row r="5597" spans="1:11">
      <c r="A5597" s="32">
        <v>777</v>
      </c>
      <c r="B5597" s="33">
        <v>4868</v>
      </c>
      <c r="C5597" s="3">
        <v>9900200</v>
      </c>
      <c r="D5597" s="3"/>
      <c r="E5597" s="7">
        <f t="shared" si="108"/>
        <v>9900200</v>
      </c>
      <c r="F5597" s="5">
        <v>45938</v>
      </c>
      <c r="G5597" s="4">
        <v>20251007</v>
      </c>
      <c r="H5597" s="38" t="str">
        <f>VLOOKUP(B5597,CAJEROS!B:D,3,0)</f>
        <v>Multifuncional</v>
      </c>
      <c r="I5597" s="34"/>
      <c r="J5597" s="38" t="str">
        <f>VLOOKUP(B5597,CAJEROS!B:E,4,0)</f>
        <v>MFPWASHING2</v>
      </c>
      <c r="K5597" t="s">
        <v>610</v>
      </c>
    </row>
    <row r="5598" spans="1:11">
      <c r="A5598" s="32">
        <v>779</v>
      </c>
      <c r="B5598" s="33">
        <v>8684</v>
      </c>
      <c r="C5598" s="3">
        <v>1304850</v>
      </c>
      <c r="D5598" s="3"/>
      <c r="E5598" s="7">
        <f t="shared" si="108"/>
        <v>1304850</v>
      </c>
      <c r="F5598" s="5">
        <v>45938</v>
      </c>
      <c r="G5598" s="4">
        <v>20251007</v>
      </c>
      <c r="H5598" s="38" t="str">
        <f>VLOOKUP(B5598,CAJEROS!B:D,3,0)</f>
        <v>Multifuncional</v>
      </c>
      <c r="I5598" s="34"/>
      <c r="J5598" s="38" t="str">
        <f>VLOOKUP(B5598,CAJEROS!B:E,4,0)</f>
        <v>MF_BUENVSM2</v>
      </c>
      <c r="K5598" t="s">
        <v>610</v>
      </c>
    </row>
    <row r="5599" spans="1:11">
      <c r="A5599" s="32">
        <v>781</v>
      </c>
      <c r="B5599" s="33">
        <v>5057</v>
      </c>
      <c r="C5599" s="3">
        <v>1400000</v>
      </c>
      <c r="D5599" s="3"/>
      <c r="E5599" s="7">
        <f t="shared" si="108"/>
        <v>1400000</v>
      </c>
      <c r="F5599" s="5">
        <v>45938</v>
      </c>
      <c r="G5599" s="4">
        <v>20251007</v>
      </c>
      <c r="H5599" s="38" t="str">
        <f>VLOOKUP(B5599,CAJEROS!B:D,3,0)</f>
        <v>Multifuncional</v>
      </c>
      <c r="I5599" s="34"/>
      <c r="J5599" s="38" t="str">
        <f>VLOOKUP(B5599,CAJEROS!B:E,4,0)</f>
        <v>MF_PRPLAZA</v>
      </c>
      <c r="K5599" t="s">
        <v>610</v>
      </c>
    </row>
    <row r="5600" spans="1:11">
      <c r="A5600" s="32">
        <v>868</v>
      </c>
      <c r="B5600" s="33">
        <v>6149</v>
      </c>
      <c r="C5600" s="3">
        <v>1504000</v>
      </c>
      <c r="D5600" s="3"/>
      <c r="E5600" s="7">
        <f t="shared" si="108"/>
        <v>1504000</v>
      </c>
      <c r="F5600" s="5">
        <v>45938</v>
      </c>
      <c r="G5600" s="4">
        <v>20251007</v>
      </c>
      <c r="H5600" s="38" t="str">
        <f>VLOOKUP(B5600,CAJEROS!B:D,3,0)</f>
        <v>Multifuncional</v>
      </c>
      <c r="I5600" s="34"/>
      <c r="J5600" s="38" t="str">
        <f>VLOOKUP(B5600,CAJEROS!B:E,4,0)</f>
        <v>MF_POPAYAN1</v>
      </c>
      <c r="K5600" t="s">
        <v>610</v>
      </c>
    </row>
    <row r="5601" spans="1:11">
      <c r="A5601" s="32">
        <v>894</v>
      </c>
      <c r="B5601" s="33">
        <v>6466</v>
      </c>
      <c r="C5601" s="3">
        <v>20851500</v>
      </c>
      <c r="D5601" s="3"/>
      <c r="E5601" s="7">
        <f t="shared" si="108"/>
        <v>20851500</v>
      </c>
      <c r="F5601" s="5">
        <v>45938</v>
      </c>
      <c r="G5601" s="4">
        <v>20251007</v>
      </c>
      <c r="H5601" s="38" t="str">
        <f>VLOOKUP(B5601,CAJEROS!B:D,3,0)</f>
        <v>Multifuncional</v>
      </c>
      <c r="I5601" s="34"/>
      <c r="J5601" s="38" t="str">
        <f>VLOOKUP(B5601,CAJEROS!B:E,4,0)</f>
        <v>MF_TUMACO</v>
      </c>
      <c r="K5601" t="s">
        <v>610</v>
      </c>
    </row>
    <row r="5602" spans="1:11">
      <c r="A5602" s="32">
        <v>659</v>
      </c>
      <c r="B5602" s="33">
        <v>5102</v>
      </c>
      <c r="C5602" s="3">
        <v>3880000</v>
      </c>
      <c r="D5602" s="3">
        <f>2880000+100</f>
        <v>2880100</v>
      </c>
      <c r="E5602" s="7">
        <f t="shared" si="108"/>
        <v>999900</v>
      </c>
      <c r="F5602" s="5">
        <v>45938</v>
      </c>
      <c r="G5602" s="4">
        <v>20251007</v>
      </c>
      <c r="H5602" s="38" t="str">
        <f>VLOOKUP(B5602,CAJEROS!B:D,3,0)</f>
        <v>Multifuncional</v>
      </c>
      <c r="I5602" s="34" t="s">
        <v>9</v>
      </c>
      <c r="J5602" s="38" t="str">
        <f>VLOOKUP(B5602,CAJEROS!B:E,4,0)</f>
        <v>MF_GIRARDOT</v>
      </c>
      <c r="K5602" t="s">
        <v>610</v>
      </c>
    </row>
    <row r="5603" spans="1:11">
      <c r="A5603" s="32">
        <v>795</v>
      </c>
      <c r="B5603" s="33">
        <v>1029</v>
      </c>
      <c r="C5603" s="3">
        <v>3880000</v>
      </c>
      <c r="D5603" s="3">
        <v>3560000</v>
      </c>
      <c r="E5603" s="7">
        <f t="shared" si="108"/>
        <v>320000</v>
      </c>
      <c r="F5603" s="5">
        <v>45938</v>
      </c>
      <c r="G5603" s="4">
        <v>20251007</v>
      </c>
      <c r="H5603" s="38" t="str">
        <f>VLOOKUP(B5603,CAJEROS!B:D,3,0)</f>
        <v>Multifuncional</v>
      </c>
      <c r="I5603" s="34" t="s">
        <v>9</v>
      </c>
      <c r="J5603" s="38" t="str">
        <f>VLOOKUP(B5603,CAJEROS!B:E,4,0)</f>
        <v>MFSUCANVER3</v>
      </c>
      <c r="K5603" t="s">
        <v>610</v>
      </c>
    </row>
    <row r="5604" spans="1:11">
      <c r="A5604" s="32">
        <v>845</v>
      </c>
      <c r="B5604" s="33">
        <v>9232</v>
      </c>
      <c r="C5604" s="3">
        <v>3834000</v>
      </c>
      <c r="D5604" s="3"/>
      <c r="E5604" s="7">
        <f t="shared" si="108"/>
        <v>3834000</v>
      </c>
      <c r="F5604" s="5">
        <v>45938</v>
      </c>
      <c r="G5604" s="4">
        <v>20251007</v>
      </c>
      <c r="H5604" s="38" t="str">
        <f>VLOOKUP(B5604,CAJEROS!B:D,3,0)</f>
        <v>Multifuncional</v>
      </c>
      <c r="I5604" s="34" t="s">
        <v>9</v>
      </c>
      <c r="J5604" s="38" t="str">
        <f>VLOOKUP(B5604,CAJEROS!B:E,4,0)</f>
        <v>MFSUCLAPLT1</v>
      </c>
      <c r="K5604" t="s">
        <v>610</v>
      </c>
    </row>
    <row r="5605" spans="1:11">
      <c r="A5605" s="32">
        <v>76</v>
      </c>
      <c r="B5605" s="33">
        <v>5126</v>
      </c>
      <c r="C5605" s="3">
        <v>3645000</v>
      </c>
      <c r="D5605" s="3"/>
      <c r="E5605" s="7">
        <f t="shared" si="108"/>
        <v>3645000</v>
      </c>
      <c r="F5605" s="5">
        <v>45938</v>
      </c>
      <c r="G5605" s="4">
        <v>20251007</v>
      </c>
      <c r="H5605" s="38" t="str">
        <f>VLOOKUP(B5605,CAJEROS!B:D,3,0)</f>
        <v>Multifuncional</v>
      </c>
      <c r="I5605" s="34" t="s">
        <v>9</v>
      </c>
      <c r="J5605" s="38" t="str">
        <f>VLOOKUP(B5605,CAJEROS!B:E,4,0)</f>
        <v>MF_NEIVA</v>
      </c>
      <c r="K5605" t="s">
        <v>610</v>
      </c>
    </row>
    <row r="5606" spans="1:11">
      <c r="A5606" s="32">
        <v>166</v>
      </c>
      <c r="B5606" s="33">
        <v>7939</v>
      </c>
      <c r="C5606" s="3">
        <v>3370000</v>
      </c>
      <c r="D5606" s="3"/>
      <c r="E5606" s="7">
        <f t="shared" si="108"/>
        <v>3370000</v>
      </c>
      <c r="F5606" s="5">
        <v>45938</v>
      </c>
      <c r="G5606" s="4">
        <v>20251007</v>
      </c>
      <c r="H5606" s="38" t="str">
        <f>VLOOKUP(B5606,CAJEROS!B:D,3,0)</f>
        <v>Multifuncional</v>
      </c>
      <c r="I5606" s="34" t="s">
        <v>9</v>
      </c>
      <c r="J5606" s="38" t="str">
        <f>VLOOKUP(B5606,CAJEROS!B:E,4,0)</f>
        <v>MF_ALDELSI1</v>
      </c>
      <c r="K5606" t="s">
        <v>610</v>
      </c>
    </row>
    <row r="5607" spans="1:11">
      <c r="A5607" s="32">
        <v>509</v>
      </c>
      <c r="B5607" s="33">
        <v>8835</v>
      </c>
      <c r="C5607" s="3">
        <v>2520000</v>
      </c>
      <c r="D5607" s="3">
        <v>1870000</v>
      </c>
      <c r="E5607" s="7">
        <f t="shared" si="108"/>
        <v>650000</v>
      </c>
      <c r="F5607" s="5">
        <v>45938</v>
      </c>
      <c r="G5607" s="4">
        <v>20251007</v>
      </c>
      <c r="H5607" s="38" t="str">
        <f>VLOOKUP(B5607,CAJEROS!B:D,3,0)</f>
        <v>Multifuncional</v>
      </c>
      <c r="I5607" s="34" t="s">
        <v>9</v>
      </c>
      <c r="J5607" s="38" t="str">
        <f>VLOOKUP(B5607,CAJEROS!B:E,4,0)</f>
        <v>MFTSUCURB1</v>
      </c>
      <c r="K5607" t="s">
        <v>610</v>
      </c>
    </row>
    <row r="5608" spans="1:11">
      <c r="A5608" s="32">
        <v>317</v>
      </c>
      <c r="B5608" s="33">
        <v>6613</v>
      </c>
      <c r="C5608" s="3">
        <v>2300000</v>
      </c>
      <c r="D5608" s="3">
        <v>2200000</v>
      </c>
      <c r="E5608" s="7">
        <f t="shared" si="108"/>
        <v>100000</v>
      </c>
      <c r="F5608" s="5">
        <v>45938</v>
      </c>
      <c r="G5608" s="4">
        <v>20251007</v>
      </c>
      <c r="H5608" s="38" t="str">
        <f>VLOOKUP(B5608,CAJEROS!B:D,3,0)</f>
        <v>Multifuncional</v>
      </c>
      <c r="I5608" s="34" t="s">
        <v>9</v>
      </c>
      <c r="J5608" s="38" t="str">
        <f>VLOOKUP(B5608,CAJEROS!B:E,4,0)</f>
        <v>MF_ARAUCA</v>
      </c>
      <c r="K5608" t="s">
        <v>610</v>
      </c>
    </row>
    <row r="5609" spans="1:11">
      <c r="A5609" s="32">
        <v>383</v>
      </c>
      <c r="B5609" s="33">
        <v>5194</v>
      </c>
      <c r="C5609" s="3">
        <v>2061000</v>
      </c>
      <c r="D5609" s="3"/>
      <c r="E5609" s="7">
        <f t="shared" si="108"/>
        <v>2061000</v>
      </c>
      <c r="F5609" s="5">
        <v>45938</v>
      </c>
      <c r="G5609" s="4">
        <v>20251007</v>
      </c>
      <c r="H5609" s="38" t="str">
        <f>VLOOKUP(B5609,CAJEROS!B:D,3,0)</f>
        <v>Multifuncional</v>
      </c>
      <c r="I5609" s="34" t="s">
        <v>9</v>
      </c>
      <c r="J5609" s="38" t="str">
        <f>VLOOKUP(B5609,CAJEROS!B:E,4,0)</f>
        <v>MF_MADRID</v>
      </c>
      <c r="K5609" t="s">
        <v>610</v>
      </c>
    </row>
    <row r="5610" spans="1:11">
      <c r="A5610" s="32">
        <v>944</v>
      </c>
      <c r="B5610" s="33">
        <v>2228</v>
      </c>
      <c r="C5610" s="3">
        <v>1765000</v>
      </c>
      <c r="D5610" s="3">
        <v>950000</v>
      </c>
      <c r="E5610" s="7">
        <f t="shared" si="108"/>
        <v>815000</v>
      </c>
      <c r="F5610" s="5">
        <v>45938</v>
      </c>
      <c r="G5610" s="4">
        <v>20251007</v>
      </c>
      <c r="H5610" s="38" t="str">
        <f>VLOOKUP(B5610,CAJEROS!B:D,3,0)</f>
        <v>Multifuncional</v>
      </c>
      <c r="I5610" s="34" t="s">
        <v>9</v>
      </c>
      <c r="J5610" s="38" t="str">
        <f>VLOOKUP(B5610,CAJEROS!B:E,4,0)</f>
        <v>MF_SANTABO3</v>
      </c>
      <c r="K5610" t="s">
        <v>610</v>
      </c>
    </row>
    <row r="5611" spans="1:11">
      <c r="A5611" s="32">
        <v>541</v>
      </c>
      <c r="B5611" s="33">
        <v>8660</v>
      </c>
      <c r="C5611" s="3">
        <v>1720000</v>
      </c>
      <c r="D5611" s="3"/>
      <c r="E5611" s="7">
        <f t="shared" si="108"/>
        <v>1720000</v>
      </c>
      <c r="F5611" s="5">
        <v>45938</v>
      </c>
      <c r="G5611" s="4">
        <v>20251007</v>
      </c>
      <c r="H5611" s="38" t="str">
        <f>VLOOKUP(B5611,CAJEROS!B:D,3,0)</f>
        <v>Multifuncional</v>
      </c>
      <c r="I5611" s="34" t="s">
        <v>9</v>
      </c>
      <c r="J5611" s="38" t="str">
        <f>VLOOKUP(B5611,CAJEROS!B:E,4,0)</f>
        <v>MF_SUCCALP2</v>
      </c>
      <c r="K5611" t="s">
        <v>610</v>
      </c>
    </row>
    <row r="5612" spans="1:11">
      <c r="A5612" s="32">
        <v>481</v>
      </c>
      <c r="B5612" s="33">
        <v>1011</v>
      </c>
      <c r="C5612" s="3">
        <v>1570000</v>
      </c>
      <c r="D5612" s="3"/>
      <c r="E5612" s="7">
        <f t="shared" si="108"/>
        <v>1570000</v>
      </c>
      <c r="F5612" s="5">
        <v>45938</v>
      </c>
      <c r="G5612" s="4">
        <v>20251007</v>
      </c>
      <c r="H5612" s="38" t="str">
        <f>VLOOKUP(B5612,CAJEROS!B:D,3,0)</f>
        <v>Multifuncional</v>
      </c>
      <c r="I5612" s="34" t="s">
        <v>9</v>
      </c>
      <c r="J5612" s="38" t="str">
        <f>VLOOKUP(B5612,CAJEROS!B:E,4,0)</f>
        <v>MF_SOLEDAD2</v>
      </c>
      <c r="K5612" t="s">
        <v>610</v>
      </c>
    </row>
    <row r="5613" spans="1:11">
      <c r="A5613" s="32">
        <v>467</v>
      </c>
      <c r="B5613" s="33">
        <v>9052</v>
      </c>
      <c r="C5613" s="3">
        <v>1534000</v>
      </c>
      <c r="D5613" s="3">
        <v>1520000</v>
      </c>
      <c r="E5613" s="7">
        <f t="shared" si="108"/>
        <v>14000</v>
      </c>
      <c r="F5613" s="5">
        <v>45938</v>
      </c>
      <c r="G5613" s="4">
        <v>20251007</v>
      </c>
      <c r="H5613" s="38" t="str">
        <f>VLOOKUP(B5613,CAJEROS!B:D,3,0)</f>
        <v>Multifuncional</v>
      </c>
      <c r="I5613" s="34" t="s">
        <v>9</v>
      </c>
      <c r="J5613" s="38" t="str">
        <f>VLOOKUP(B5613,CAJEROS!B:E,4,0)</f>
        <v>MFHDVERPLZ2</v>
      </c>
      <c r="K5613" t="s">
        <v>610</v>
      </c>
    </row>
    <row r="5614" spans="1:11">
      <c r="A5614" s="32">
        <v>6</v>
      </c>
      <c r="B5614" s="33">
        <v>5001</v>
      </c>
      <c r="C5614" s="3">
        <v>1430000</v>
      </c>
      <c r="D5614" s="3"/>
      <c r="E5614" s="7">
        <f t="shared" si="108"/>
        <v>1430000</v>
      </c>
      <c r="F5614" s="5">
        <v>45938</v>
      </c>
      <c r="G5614" s="4">
        <v>20251007</v>
      </c>
      <c r="H5614" s="38" t="str">
        <f>VLOOKUP(B5614,CAJEROS!B:D,3,0)</f>
        <v>Multifuncional</v>
      </c>
      <c r="I5614" s="34" t="s">
        <v>9</v>
      </c>
      <c r="J5614" s="38" t="str">
        <f>VLOOKUP(B5614,CAJEROS!B:E,4,0)</f>
        <v>MF_AVJUNIN</v>
      </c>
      <c r="K5614" t="s">
        <v>610</v>
      </c>
    </row>
    <row r="5615" spans="1:11">
      <c r="A5615" s="32">
        <v>453</v>
      </c>
      <c r="B5615" s="33">
        <v>8018</v>
      </c>
      <c r="C5615" s="3">
        <v>1380200</v>
      </c>
      <c r="D5615" s="3"/>
      <c r="E5615" s="7">
        <f t="shared" si="108"/>
        <v>1380200</v>
      </c>
      <c r="F5615" s="5">
        <v>45938</v>
      </c>
      <c r="G5615" s="4">
        <v>20251007</v>
      </c>
      <c r="H5615" s="38" t="str">
        <f>VLOOKUP(B5615,CAJEROS!B:D,3,0)</f>
        <v>Multifuncional</v>
      </c>
      <c r="I5615" s="34" t="s">
        <v>9</v>
      </c>
      <c r="J5615" s="38" t="str">
        <f>VLOOKUP(B5615,CAJEROS!B:E,4,0)</f>
        <v>MFSUCPITAL1</v>
      </c>
      <c r="K5615" t="s">
        <v>610</v>
      </c>
    </row>
    <row r="5616" spans="1:11">
      <c r="A5616" s="32">
        <v>571</v>
      </c>
      <c r="B5616" s="33">
        <v>6150</v>
      </c>
      <c r="C5616" s="3">
        <v>1030000</v>
      </c>
      <c r="D5616" s="3">
        <v>1014000</v>
      </c>
      <c r="E5616" s="7">
        <f t="shared" si="108"/>
        <v>16000</v>
      </c>
      <c r="F5616" s="5">
        <v>45938</v>
      </c>
      <c r="G5616" s="4">
        <v>20251007</v>
      </c>
      <c r="H5616" s="38" t="str">
        <f>VLOOKUP(B5616,CAJEROS!B:D,3,0)</f>
        <v>Multifuncional</v>
      </c>
      <c r="I5616" s="34" t="s">
        <v>9</v>
      </c>
      <c r="J5616" s="38" t="str">
        <f>VLOOKUP(B5616,CAJEROS!B:E,4,0)</f>
        <v>MF_PALATIN</v>
      </c>
      <c r="K5616" t="s">
        <v>610</v>
      </c>
    </row>
    <row r="5617" spans="1:11">
      <c r="A5617" s="32">
        <v>656</v>
      </c>
      <c r="B5617" s="33">
        <v>5103</v>
      </c>
      <c r="C5617" s="3">
        <v>990000</v>
      </c>
      <c r="D5617" s="3"/>
      <c r="E5617" s="7">
        <f t="shared" si="108"/>
        <v>990000</v>
      </c>
      <c r="F5617" s="5">
        <v>45938</v>
      </c>
      <c r="G5617" s="4">
        <v>20251007</v>
      </c>
      <c r="H5617" s="38" t="str">
        <f>VLOOKUP(B5617,CAJEROS!B:D,3,0)</f>
        <v>Multifuncional</v>
      </c>
      <c r="I5617" s="34" t="s">
        <v>9</v>
      </c>
      <c r="J5617" s="38" t="str">
        <f>VLOOKUP(B5617,CAJEROS!B:E,4,0)</f>
        <v>MF_MAYPLAZA</v>
      </c>
      <c r="K5617" t="s">
        <v>610</v>
      </c>
    </row>
    <row r="5618" spans="1:11">
      <c r="A5618" s="32">
        <v>879</v>
      </c>
      <c r="B5618" s="33">
        <v>5045</v>
      </c>
      <c r="C5618" s="3">
        <v>950000</v>
      </c>
      <c r="D5618" s="3"/>
      <c r="E5618" s="7">
        <f t="shared" si="108"/>
        <v>950000</v>
      </c>
      <c r="F5618" s="5">
        <v>45938</v>
      </c>
      <c r="G5618" s="4">
        <v>20251007</v>
      </c>
      <c r="H5618" s="38" t="str">
        <f>VLOOKUP(B5618,CAJEROS!B:D,3,0)</f>
        <v>Multifuncional</v>
      </c>
      <c r="I5618" s="34" t="s">
        <v>9</v>
      </c>
      <c r="J5618" s="38" t="str">
        <f>VLOOKUP(B5618,CAJEROS!B:E,4,0)</f>
        <v>MF_UNPASTO</v>
      </c>
      <c r="K5618" t="s">
        <v>610</v>
      </c>
    </row>
    <row r="5619" spans="1:11">
      <c r="A5619" s="32">
        <v>499</v>
      </c>
      <c r="B5619" s="33">
        <v>9811</v>
      </c>
      <c r="C5619" s="3">
        <v>658950</v>
      </c>
      <c r="D5619" s="3"/>
      <c r="E5619" s="7">
        <f t="shared" si="108"/>
        <v>658950</v>
      </c>
      <c r="F5619" s="5">
        <v>45938</v>
      </c>
      <c r="G5619" s="4">
        <v>20251007</v>
      </c>
      <c r="H5619" s="38" t="str">
        <f>VLOOKUP(B5619,CAJEROS!B:D,3,0)</f>
        <v>Multifuncional</v>
      </c>
      <c r="I5619" s="34" t="s">
        <v>9</v>
      </c>
      <c r="J5619" s="38" t="str">
        <f>VLOOKUP(B5619,CAJEROS!B:E,4,0)</f>
        <v>MF_SUCPLZF2</v>
      </c>
      <c r="K5619" t="s">
        <v>610</v>
      </c>
    </row>
    <row r="5620" spans="1:11">
      <c r="A5620" s="32">
        <v>154</v>
      </c>
      <c r="B5620" s="33">
        <v>5041</v>
      </c>
      <c r="C5620" s="3">
        <v>540000</v>
      </c>
      <c r="D5620" s="3"/>
      <c r="E5620" s="7">
        <f t="shared" si="108"/>
        <v>540000</v>
      </c>
      <c r="F5620" s="5">
        <v>45938</v>
      </c>
      <c r="G5620" s="4">
        <v>20251007</v>
      </c>
      <c r="H5620" s="38" t="str">
        <f>VLOOKUP(B5620,CAJEROS!B:D,3,0)</f>
        <v>Multifuncional</v>
      </c>
      <c r="I5620" s="34" t="s">
        <v>9</v>
      </c>
      <c r="J5620" s="38" t="str">
        <f>VLOOKUP(B5620,CAJEROS!B:E,4,0)</f>
        <v>MF_CMAYOR</v>
      </c>
      <c r="K5620" t="s">
        <v>610</v>
      </c>
    </row>
    <row r="5621" spans="1:11">
      <c r="A5621" s="32">
        <v>760</v>
      </c>
      <c r="B5621" s="33">
        <v>6092</v>
      </c>
      <c r="C5621" s="3">
        <v>400000</v>
      </c>
      <c r="D5621" s="3"/>
      <c r="E5621" s="7">
        <f t="shared" si="108"/>
        <v>400000</v>
      </c>
      <c r="F5621" s="5">
        <v>45938</v>
      </c>
      <c r="G5621" s="4">
        <v>20251007</v>
      </c>
      <c r="H5621" s="38" t="str">
        <f>VLOOKUP(B5621,CAJEROS!B:D,3,0)</f>
        <v>Multifuncional</v>
      </c>
      <c r="I5621" s="34" t="s">
        <v>9</v>
      </c>
      <c r="J5621" s="38" t="str">
        <f>VLOOKUP(B5621,CAJEROS!B:E,4,0)</f>
        <v>MF_CR26PALM</v>
      </c>
      <c r="K5621" t="s">
        <v>610</v>
      </c>
    </row>
    <row r="5622" spans="1:11">
      <c r="A5622" s="32">
        <v>167</v>
      </c>
      <c r="B5622" s="33">
        <v>5030</v>
      </c>
      <c r="C5622" s="3">
        <v>160000</v>
      </c>
      <c r="D5622" s="3">
        <v>159500</v>
      </c>
      <c r="E5622" s="7">
        <f t="shared" si="108"/>
        <v>500</v>
      </c>
      <c r="F5622" s="5">
        <v>45938</v>
      </c>
      <c r="G5622" s="4">
        <v>20251007</v>
      </c>
      <c r="H5622" s="38" t="str">
        <f>VLOOKUP(B5622,CAJEROS!B:D,3,0)</f>
        <v>Multifuncional</v>
      </c>
      <c r="I5622" s="34" t="s">
        <v>9</v>
      </c>
      <c r="J5622" s="38" t="str">
        <f>VLOOKUP(B5622,CAJEROS!B:E,4,0)</f>
        <v>MF_AVENID82</v>
      </c>
      <c r="K5622" t="s">
        <v>610</v>
      </c>
    </row>
    <row r="5623" spans="1:11">
      <c r="A5623" s="32">
        <v>957</v>
      </c>
      <c r="B5623" s="33">
        <v>9513</v>
      </c>
      <c r="C5623" s="3">
        <v>160000</v>
      </c>
      <c r="D5623" s="3"/>
      <c r="E5623" s="7">
        <f t="shared" si="108"/>
        <v>160000</v>
      </c>
      <c r="F5623" s="5">
        <v>45938</v>
      </c>
      <c r="G5623" s="4">
        <v>20251007</v>
      </c>
      <c r="H5623" s="38" t="str">
        <f>VLOOKUP(B5623,CAJEROS!B:D,3,0)</f>
        <v>Multifuncional</v>
      </c>
      <c r="I5623" s="34" t="s">
        <v>9</v>
      </c>
      <c r="J5623" s="38" t="str">
        <f>VLOOKUP(B5623,CAJEROS!B:E,4,0)</f>
        <v>MFSUCPARAL2</v>
      </c>
      <c r="K5623" t="s">
        <v>610</v>
      </c>
    </row>
    <row r="5624" spans="1:11">
      <c r="A5624" s="32">
        <v>300</v>
      </c>
      <c r="B5624" s="33">
        <v>5139</v>
      </c>
      <c r="C5624" s="3">
        <v>110000</v>
      </c>
      <c r="D5624" s="3"/>
      <c r="E5624" s="7">
        <f t="shared" si="108"/>
        <v>110000</v>
      </c>
      <c r="F5624" s="5">
        <v>45938</v>
      </c>
      <c r="G5624" s="4">
        <v>20251007</v>
      </c>
      <c r="H5624" s="38" t="str">
        <f>VLOOKUP(B5624,CAJEROS!B:D,3,0)</f>
        <v>Multifuncional</v>
      </c>
      <c r="I5624" s="34" t="s">
        <v>9</v>
      </c>
      <c r="J5624" s="38" t="str">
        <f>VLOOKUP(B5624,CAJEROS!B:E,4,0)</f>
        <v>MF_AUTOP98</v>
      </c>
      <c r="K5624" t="s">
        <v>610</v>
      </c>
    </row>
    <row r="5625" spans="1:11">
      <c r="A5625" s="32">
        <v>229</v>
      </c>
      <c r="B5625" s="33">
        <v>8957</v>
      </c>
      <c r="C5625" s="3">
        <v>20000</v>
      </c>
      <c r="D5625" s="3"/>
      <c r="E5625" s="7">
        <f t="shared" si="108"/>
        <v>20000</v>
      </c>
      <c r="F5625" s="5">
        <v>45938</v>
      </c>
      <c r="G5625" s="4">
        <v>20251007</v>
      </c>
      <c r="H5625" s="38" t="str">
        <f>VLOOKUP(B5625,CAJEROS!B:D,3,0)</f>
        <v>Dispensador</v>
      </c>
      <c r="I5625" s="34" t="s">
        <v>10</v>
      </c>
      <c r="J5625" s="38" t="str">
        <f>VLOOKUP(B5625,CAJEROS!B:E,4,0)</f>
        <v>SUCPASERIO3</v>
      </c>
      <c r="K5625" t="s">
        <v>610</v>
      </c>
    </row>
    <row r="5626" spans="1:11">
      <c r="A5626" s="32">
        <v>943</v>
      </c>
      <c r="B5626" s="33">
        <v>7348</v>
      </c>
      <c r="C5626" s="3">
        <v>20000</v>
      </c>
      <c r="D5626" s="3"/>
      <c r="E5626" s="7">
        <f t="shared" si="108"/>
        <v>20000</v>
      </c>
      <c r="F5626" s="5">
        <v>45938</v>
      </c>
      <c r="G5626" s="4">
        <v>20251007</v>
      </c>
      <c r="H5626" s="38" t="str">
        <f>VLOOKUP(B5626,CAJEROS!B:D,3,0)</f>
        <v>Dispensador</v>
      </c>
      <c r="I5626" s="34" t="s">
        <v>10</v>
      </c>
      <c r="J5626" s="38" t="str">
        <f>VLOOKUP(B5626,CAJEROS!B:E,4,0)</f>
        <v>LETICIA_3</v>
      </c>
      <c r="K5626" t="s">
        <v>610</v>
      </c>
    </row>
    <row r="5627" spans="1:11">
      <c r="A5627" s="32">
        <v>318</v>
      </c>
      <c r="B5627" s="33">
        <v>6631</v>
      </c>
      <c r="C5627" s="3">
        <v>10000</v>
      </c>
      <c r="D5627" s="3"/>
      <c r="E5627" s="7">
        <f t="shared" si="108"/>
        <v>10000</v>
      </c>
      <c r="F5627" s="5">
        <v>45938</v>
      </c>
      <c r="G5627" s="4">
        <v>20251007</v>
      </c>
      <c r="H5627" s="38" t="str">
        <f>VLOOKUP(B5627,CAJEROS!B:D,3,0)</f>
        <v>Dispensador</v>
      </c>
      <c r="I5627" s="34" t="s">
        <v>10</v>
      </c>
      <c r="J5627" s="38" t="str">
        <f>VLOOKUP(B5627,CAJEROS!B:E,4,0)</f>
        <v>SUC_OCANA4</v>
      </c>
      <c r="K5627" t="s">
        <v>610</v>
      </c>
    </row>
    <row r="5628" spans="1:11">
      <c r="A5628" s="32">
        <v>163</v>
      </c>
      <c r="B5628" s="33">
        <v>5553</v>
      </c>
      <c r="C5628" s="3">
        <v>20000</v>
      </c>
      <c r="D5628" s="3"/>
      <c r="E5628" s="7">
        <f t="shared" si="108"/>
        <v>20000</v>
      </c>
      <c r="F5628" s="5">
        <v>45938</v>
      </c>
      <c r="G5628" s="4">
        <v>20251007</v>
      </c>
      <c r="H5628" s="38" t="str">
        <f>VLOOKUP(B5628,CAJEROS!B:D,3,0)</f>
        <v>Dispensador</v>
      </c>
      <c r="I5628" s="34" t="s">
        <v>10</v>
      </c>
      <c r="J5628" s="38" t="str">
        <f>VLOOKUP(B5628,CAJEROS!B:E,4,0)</f>
        <v>PTO_BERRIO1</v>
      </c>
      <c r="K5628" t="s">
        <v>610</v>
      </c>
    </row>
    <row r="5629" spans="1:11">
      <c r="A5629" s="32">
        <v>141</v>
      </c>
      <c r="B5629" s="33">
        <v>1541</v>
      </c>
      <c r="C5629" s="3">
        <v>15000</v>
      </c>
      <c r="D5629" s="3"/>
      <c r="E5629" s="7">
        <f t="shared" si="108"/>
        <v>15000</v>
      </c>
      <c r="F5629" s="5">
        <v>45938</v>
      </c>
      <c r="G5629" s="4">
        <v>20251007</v>
      </c>
      <c r="H5629" s="38" t="str">
        <f>VLOOKUP(B5629,CAJEROS!B:D,3,0)</f>
        <v>Multifuncional</v>
      </c>
      <c r="I5629" s="34" t="s">
        <v>10</v>
      </c>
      <c r="J5629" s="38" t="str">
        <f>VLOOKUP(B5629,CAJEROS!B:E,4,0)</f>
        <v>MFSUCMERCA1</v>
      </c>
      <c r="K5629" t="s">
        <v>610</v>
      </c>
    </row>
    <row r="5630" spans="1:11">
      <c r="A5630" s="32">
        <v>240</v>
      </c>
      <c r="B5630" s="33">
        <v>4510</v>
      </c>
      <c r="C5630" s="3">
        <v>20000</v>
      </c>
      <c r="D5630" s="3"/>
      <c r="E5630" s="7">
        <f t="shared" si="108"/>
        <v>20000</v>
      </c>
      <c r="F5630" s="5">
        <v>45938</v>
      </c>
      <c r="G5630" s="4">
        <v>20251007</v>
      </c>
      <c r="H5630" s="38" t="str">
        <f>VLOOKUP(B5630,CAJEROS!B:D,3,0)</f>
        <v>Dispensador</v>
      </c>
      <c r="I5630" s="34" t="s">
        <v>10</v>
      </c>
      <c r="J5630" s="38" t="str">
        <f>VLOOKUP(B5630,CAJEROS!B:E,4,0)</f>
        <v>SUC_SANTFE1</v>
      </c>
      <c r="K5630" t="s">
        <v>610</v>
      </c>
    </row>
    <row r="5631" spans="1:11">
      <c r="A5631" s="32">
        <v>476</v>
      </c>
      <c r="B5631" s="33">
        <v>3657</v>
      </c>
      <c r="C5631" s="3">
        <v>20000</v>
      </c>
      <c r="D5631" s="3"/>
      <c r="E5631" s="7">
        <f t="shared" si="108"/>
        <v>20000</v>
      </c>
      <c r="F5631" s="5">
        <v>45938</v>
      </c>
      <c r="G5631" s="4">
        <v>20251007</v>
      </c>
      <c r="H5631" s="38" t="str">
        <f>VLOOKUP(B5631,CAJEROS!B:D,3,0)</f>
        <v>Dispensador</v>
      </c>
      <c r="I5631" s="34" t="s">
        <v>10</v>
      </c>
      <c r="J5631" s="38" t="str">
        <f>VLOOKUP(B5631,CAJEROS!B:E,4,0)</f>
        <v>SUC_PAMPL2</v>
      </c>
      <c r="K5631" t="s">
        <v>610</v>
      </c>
    </row>
    <row r="5632" spans="1:11">
      <c r="A5632" s="32">
        <v>32</v>
      </c>
      <c r="B5632" s="33">
        <v>5027</v>
      </c>
      <c r="C5632" s="3">
        <v>3000</v>
      </c>
      <c r="D5632" s="3"/>
      <c r="E5632" s="7">
        <f t="shared" si="108"/>
        <v>3000</v>
      </c>
      <c r="F5632" s="5">
        <v>45938</v>
      </c>
      <c r="G5632" s="4">
        <v>20251007</v>
      </c>
      <c r="H5632" s="38" t="str">
        <f>VLOOKUP(B5632,CAJEROS!B:D,3,0)</f>
        <v>Multifuncional</v>
      </c>
      <c r="I5632" s="34" t="s">
        <v>10</v>
      </c>
      <c r="J5632" s="38" t="str">
        <f>VLOOKUP(B5632,CAJEROS!B:E,4,0)</f>
        <v>MF_ANTCOUNT</v>
      </c>
      <c r="K5632" t="s">
        <v>610</v>
      </c>
    </row>
    <row r="5633" spans="1:11">
      <c r="A5633" s="32">
        <v>60</v>
      </c>
      <c r="B5633" s="33">
        <v>8721</v>
      </c>
      <c r="C5633" s="3">
        <v>200000</v>
      </c>
      <c r="D5633" s="3"/>
      <c r="E5633" s="7">
        <f t="shared" si="108"/>
        <v>200000</v>
      </c>
      <c r="F5633" s="5">
        <v>45938</v>
      </c>
      <c r="G5633" s="4">
        <v>20251007</v>
      </c>
      <c r="H5633" s="38" t="str">
        <f>VLOOKUP(B5633,CAJEROS!B:D,3,0)</f>
        <v>Dispensador</v>
      </c>
      <c r="I5633" s="34" t="s">
        <v>9</v>
      </c>
      <c r="J5633" s="38" t="str">
        <f>VLOOKUP(B5633,CAJEROS!B:E,4,0)</f>
        <v>HALLCALIPR3</v>
      </c>
      <c r="K5633" t="s">
        <v>610</v>
      </c>
    </row>
    <row r="5634" spans="1:11">
      <c r="A5634" s="32">
        <v>108</v>
      </c>
      <c r="B5634" s="33">
        <v>1740</v>
      </c>
      <c r="C5634" s="3">
        <v>200000</v>
      </c>
      <c r="D5634" s="3"/>
      <c r="E5634" s="7">
        <f t="shared" si="108"/>
        <v>200000</v>
      </c>
      <c r="F5634" s="5">
        <v>45938</v>
      </c>
      <c r="G5634" s="4">
        <v>20251007</v>
      </c>
      <c r="H5634" s="38" t="str">
        <f>VLOOKUP(B5634,CAJEROS!B:D,3,0)</f>
        <v>Dispensador</v>
      </c>
      <c r="I5634" s="34" t="s">
        <v>9</v>
      </c>
      <c r="J5634" s="38" t="str">
        <f>VLOOKUP(B5634,CAJEROS!B:E,4,0)</f>
        <v>SUCPLZAMER3</v>
      </c>
      <c r="K5634" t="s">
        <v>610</v>
      </c>
    </row>
    <row r="5635" spans="1:11">
      <c r="A5635" s="32">
        <v>264</v>
      </c>
      <c r="B5635" s="33">
        <v>9903</v>
      </c>
      <c r="C5635" s="3">
        <v>140000</v>
      </c>
      <c r="D5635" s="3"/>
      <c r="E5635" s="7">
        <f t="shared" si="108"/>
        <v>140000</v>
      </c>
      <c r="F5635" s="5">
        <v>45938</v>
      </c>
      <c r="G5635" s="4">
        <v>20251007</v>
      </c>
      <c r="H5635" s="38" t="str">
        <f>VLOOKUP(B5635,CAJEROS!B:D,3,0)</f>
        <v>Dispensador</v>
      </c>
      <c r="I5635" s="34" t="s">
        <v>9</v>
      </c>
      <c r="J5635" s="38" t="str">
        <f>VLOOKUP(B5635,CAJEROS!B:E,4,0)</f>
        <v>SUCFUSAGAS1</v>
      </c>
      <c r="K5635" t="s">
        <v>610</v>
      </c>
    </row>
    <row r="5636" spans="1:11">
      <c r="A5636" s="32">
        <v>317</v>
      </c>
      <c r="B5636" s="33">
        <v>3405</v>
      </c>
      <c r="C5636" s="3">
        <v>100000</v>
      </c>
      <c r="D5636" s="3"/>
      <c r="E5636" s="7">
        <f t="shared" si="108"/>
        <v>100000</v>
      </c>
      <c r="F5636" s="5">
        <v>45938</v>
      </c>
      <c r="G5636" s="4">
        <v>20251007</v>
      </c>
      <c r="H5636" s="38" t="str">
        <f>VLOOKUP(B5636,CAJEROS!B:D,3,0)</f>
        <v>Dispensador</v>
      </c>
      <c r="I5636" s="34" t="s">
        <v>9</v>
      </c>
      <c r="J5636" s="38" t="str">
        <f>VLOOKUP(B5636,CAJEROS!B:E,4,0)</f>
        <v>SUCARAUCA_4</v>
      </c>
      <c r="K5636" t="s">
        <v>610</v>
      </c>
    </row>
    <row r="5637" spans="1:11">
      <c r="A5637" s="32">
        <v>481</v>
      </c>
      <c r="B5637" s="33">
        <v>1008</v>
      </c>
      <c r="C5637" s="3">
        <v>800000</v>
      </c>
      <c r="D5637" s="3"/>
      <c r="E5637" s="7">
        <f t="shared" si="108"/>
        <v>800000</v>
      </c>
      <c r="F5637" s="5">
        <v>45938</v>
      </c>
      <c r="G5637" s="4">
        <v>20251007</v>
      </c>
      <c r="H5637" s="38" t="str">
        <f>VLOOKUP(B5637,CAJEROS!B:D,3,0)</f>
        <v>Dispensador</v>
      </c>
      <c r="I5637" s="34" t="s">
        <v>9</v>
      </c>
      <c r="J5637" s="38" t="str">
        <f>VLOOKUP(B5637,CAJEROS!B:E,4,0)</f>
        <v>SUC_SOLEDA4</v>
      </c>
      <c r="K5637" t="s">
        <v>610</v>
      </c>
    </row>
    <row r="5638" spans="1:11">
      <c r="A5638" s="32">
        <v>541</v>
      </c>
      <c r="B5638" s="33">
        <v>8655</v>
      </c>
      <c r="C5638" s="3">
        <v>110000</v>
      </c>
      <c r="D5638" s="3">
        <v>100000</v>
      </c>
      <c r="E5638" s="7">
        <f t="shared" si="108"/>
        <v>10000</v>
      </c>
      <c r="F5638" s="5">
        <v>45938</v>
      </c>
      <c r="G5638" s="4">
        <v>20251007</v>
      </c>
      <c r="H5638" s="38" t="str">
        <f>VLOOKUP(B5638,CAJEROS!B:D,3,0)</f>
        <v>Dispensador</v>
      </c>
      <c r="I5638" s="34" t="s">
        <v>9</v>
      </c>
      <c r="J5638" s="38" t="str">
        <f>VLOOKUP(B5638,CAJEROS!B:E,4,0)</f>
        <v>SUCCALDASP6</v>
      </c>
      <c r="K5638" t="s">
        <v>610</v>
      </c>
    </row>
    <row r="5639" spans="1:11">
      <c r="A5639" s="32">
        <v>707</v>
      </c>
      <c r="B5639" s="33">
        <v>4988</v>
      </c>
      <c r="C5639" s="3">
        <v>220000</v>
      </c>
      <c r="D5639" s="3"/>
      <c r="E5639" s="7">
        <f t="shared" si="108"/>
        <v>220000</v>
      </c>
      <c r="F5639" s="5">
        <v>45938</v>
      </c>
      <c r="G5639" s="4">
        <v>20251007</v>
      </c>
      <c r="H5639" s="38" t="str">
        <f>VLOOKUP(B5639,CAJEROS!B:D,3,0)</f>
        <v>Dispensador</v>
      </c>
      <c r="I5639" s="34" t="s">
        <v>9</v>
      </c>
      <c r="J5639" s="38" t="str">
        <f>VLOOKUP(B5639,CAJEROS!B:E,4,0)</f>
        <v>SUC_MANICA1</v>
      </c>
      <c r="K5639" t="s">
        <v>610</v>
      </c>
    </row>
    <row r="5640" spans="1:11">
      <c r="A5640" s="32">
        <v>848</v>
      </c>
      <c r="B5640" s="33">
        <v>4740</v>
      </c>
      <c r="C5640" s="3">
        <v>40000</v>
      </c>
      <c r="D5640" s="3"/>
      <c r="E5640" s="7">
        <f t="shared" si="108"/>
        <v>40000</v>
      </c>
      <c r="F5640" s="5">
        <v>45938</v>
      </c>
      <c r="G5640" s="4">
        <v>20251007</v>
      </c>
      <c r="H5640" s="38" t="str">
        <f>VLOOKUP(B5640,CAJEROS!B:D,3,0)</f>
        <v>Dispensador</v>
      </c>
      <c r="I5640" s="34" t="s">
        <v>9</v>
      </c>
      <c r="J5640" s="38" t="str">
        <f>VLOOKUP(B5640,CAJEROS!B:E,4,0)</f>
        <v>PQECABAL_3</v>
      </c>
      <c r="K5640" t="s">
        <v>610</v>
      </c>
    </row>
    <row r="5641" spans="1:11">
      <c r="A5641" s="32">
        <v>78</v>
      </c>
      <c r="B5641" s="33">
        <v>8590</v>
      </c>
      <c r="C5641" s="3">
        <v>10000</v>
      </c>
      <c r="D5641" s="3"/>
      <c r="E5641" s="7">
        <f t="shared" si="108"/>
        <v>10000</v>
      </c>
      <c r="F5641" s="5">
        <v>45938</v>
      </c>
      <c r="G5641" s="4">
        <v>20251007</v>
      </c>
      <c r="H5641" s="38" t="str">
        <f>VLOOKUP(B5641,CAJEROS!B:D,3,0)</f>
        <v>Dispensador</v>
      </c>
      <c r="I5641" s="34"/>
      <c r="J5641" s="38" t="str">
        <f>VLOOKUP(B5641,CAJEROS!B:E,4,0)</f>
        <v>HALLCACIQ1</v>
      </c>
      <c r="K5641" t="s">
        <v>610</v>
      </c>
    </row>
    <row r="5642" spans="1:11">
      <c r="A5642" s="32">
        <v>91</v>
      </c>
      <c r="B5642" s="33">
        <v>8164</v>
      </c>
      <c r="C5642" s="3">
        <v>1700000</v>
      </c>
      <c r="D5642" s="3"/>
      <c r="E5642" s="7">
        <f t="shared" si="108"/>
        <v>1700000</v>
      </c>
      <c r="F5642" s="5">
        <v>45938</v>
      </c>
      <c r="G5642" s="4">
        <v>20251007</v>
      </c>
      <c r="H5642" s="38" t="str">
        <f>VLOOKUP(B5642,CAJEROS!B:D,3,0)</f>
        <v>Dispensador</v>
      </c>
      <c r="I5642" s="34"/>
      <c r="J5642" s="38" t="str">
        <f>VLOOKUP(B5642,CAJEROS!B:E,4,0)</f>
        <v>SUC_MONTER6</v>
      </c>
      <c r="K5642" t="s">
        <v>610</v>
      </c>
    </row>
    <row r="5643" spans="1:11">
      <c r="A5643" s="32">
        <v>93</v>
      </c>
      <c r="B5643" s="33">
        <v>6055</v>
      </c>
      <c r="C5643" s="3">
        <v>180000</v>
      </c>
      <c r="D5643" s="3">
        <v>120000</v>
      </c>
      <c r="E5643" s="7">
        <f t="shared" ref="E5643:E5706" si="109">+C5643-D5643</f>
        <v>60000</v>
      </c>
      <c r="F5643" s="5">
        <v>45938</v>
      </c>
      <c r="G5643" s="4">
        <v>20251007</v>
      </c>
      <c r="H5643" s="38" t="str">
        <f>VLOOKUP(B5643,CAJEROS!B:D,3,0)</f>
        <v>Dispensador</v>
      </c>
      <c r="I5643" s="34"/>
      <c r="J5643" s="38" t="str">
        <f>VLOOKUP(B5643,CAJEROS!B:E,4,0)</f>
        <v>SAHAGUN3</v>
      </c>
      <c r="K5643" t="s">
        <v>610</v>
      </c>
    </row>
    <row r="5644" spans="1:11">
      <c r="A5644" s="32">
        <v>111</v>
      </c>
      <c r="B5644" s="33">
        <v>3654</v>
      </c>
      <c r="C5644" s="3">
        <v>2270000</v>
      </c>
      <c r="D5644" s="3"/>
      <c r="E5644" s="7">
        <f t="shared" si="109"/>
        <v>2270000</v>
      </c>
      <c r="F5644" s="5">
        <v>45938</v>
      </c>
      <c r="G5644" s="4">
        <v>20251007</v>
      </c>
      <c r="H5644" s="38" t="str">
        <f>VLOOKUP(B5644,CAJEROS!B:D,3,0)</f>
        <v>Dispensador</v>
      </c>
      <c r="I5644" s="34"/>
      <c r="J5644" s="38" t="str">
        <f>VLOOKUP(B5644,CAJEROS!B:E,4,0)</f>
        <v>SUC_COROZ2</v>
      </c>
      <c r="K5644" t="s">
        <v>610</v>
      </c>
    </row>
    <row r="5645" spans="1:11">
      <c r="A5645" s="32">
        <v>153</v>
      </c>
      <c r="B5645" s="33">
        <v>9879</v>
      </c>
      <c r="C5645" s="3">
        <v>70000</v>
      </c>
      <c r="D5645" s="3"/>
      <c r="E5645" s="7">
        <f t="shared" si="109"/>
        <v>70000</v>
      </c>
      <c r="F5645" s="5">
        <v>45938</v>
      </c>
      <c r="G5645" s="4">
        <v>20251007</v>
      </c>
      <c r="H5645" s="38" t="str">
        <f>VLOOKUP(B5645,CAJEROS!B:D,3,0)</f>
        <v>Dispensador</v>
      </c>
      <c r="I5645" s="34"/>
      <c r="J5645" s="38" t="str">
        <f>VLOOKUP(B5645,CAJEROS!B:E,4,0)</f>
        <v>EXITOIBAG_1</v>
      </c>
      <c r="K5645" t="s">
        <v>610</v>
      </c>
    </row>
    <row r="5646" spans="1:11">
      <c r="A5646" s="32">
        <v>216</v>
      </c>
      <c r="B5646" s="33">
        <v>4434</v>
      </c>
      <c r="C5646" s="3">
        <v>100000</v>
      </c>
      <c r="D5646" s="3"/>
      <c r="E5646" s="7">
        <f t="shared" si="109"/>
        <v>100000</v>
      </c>
      <c r="F5646" s="5">
        <v>45938</v>
      </c>
      <c r="G5646" s="4">
        <v>20251007</v>
      </c>
      <c r="H5646" s="38" t="str">
        <f>VLOOKUP(B5646,CAJEROS!B:D,3,0)</f>
        <v>Dispensador</v>
      </c>
      <c r="I5646" s="34"/>
      <c r="J5646" s="38" t="str">
        <f>VLOOKUP(B5646,CAJEROS!B:E,4,0)</f>
        <v>SUC_SABANA2</v>
      </c>
      <c r="K5646" t="s">
        <v>610</v>
      </c>
    </row>
    <row r="5647" spans="1:11">
      <c r="A5647" s="32">
        <v>216</v>
      </c>
      <c r="B5647" s="33">
        <v>8486</v>
      </c>
      <c r="C5647" s="3">
        <v>200000</v>
      </c>
      <c r="D5647" s="3"/>
      <c r="E5647" s="7">
        <f t="shared" si="109"/>
        <v>200000</v>
      </c>
      <c r="F5647" s="5">
        <v>45938</v>
      </c>
      <c r="G5647" s="4">
        <v>20251007</v>
      </c>
      <c r="H5647" s="38" t="str">
        <f>VLOOKUP(B5647,CAJEROS!B:D,3,0)</f>
        <v>Dispensador</v>
      </c>
      <c r="I5647" s="34"/>
      <c r="J5647" s="38" t="str">
        <f>VLOOKUP(B5647,CAJEROS!B:E,4,0)</f>
        <v>SUC_SABANA3</v>
      </c>
      <c r="K5647" t="s">
        <v>610</v>
      </c>
    </row>
    <row r="5648" spans="1:11">
      <c r="A5648" s="32">
        <v>285</v>
      </c>
      <c r="B5648" s="33">
        <v>1436</v>
      </c>
      <c r="C5648" s="3">
        <v>150000</v>
      </c>
      <c r="D5648" s="3"/>
      <c r="E5648" s="7">
        <f t="shared" si="109"/>
        <v>150000</v>
      </c>
      <c r="F5648" s="5">
        <v>45938</v>
      </c>
      <c r="G5648" s="4">
        <v>20251007</v>
      </c>
      <c r="H5648" s="38" t="str">
        <f>VLOOKUP(B5648,CAJEROS!B:D,3,0)</f>
        <v>Dispensador</v>
      </c>
      <c r="I5648" s="34"/>
      <c r="J5648" s="38" t="str">
        <f>VLOOKUP(B5648,CAJEROS!B:E,4,0)</f>
        <v>GARZON_1</v>
      </c>
      <c r="K5648" t="s">
        <v>610</v>
      </c>
    </row>
    <row r="5649" spans="1:11">
      <c r="A5649" s="32">
        <v>285</v>
      </c>
      <c r="B5649" s="33">
        <v>6053</v>
      </c>
      <c r="C5649" s="3">
        <v>1980000</v>
      </c>
      <c r="D5649" s="3"/>
      <c r="E5649" s="7">
        <f t="shared" si="109"/>
        <v>1980000</v>
      </c>
      <c r="F5649" s="5">
        <v>45938</v>
      </c>
      <c r="G5649" s="4">
        <v>20251007</v>
      </c>
      <c r="H5649" s="38" t="str">
        <f>VLOOKUP(B5649,CAJEROS!B:D,3,0)</f>
        <v>Dispensador</v>
      </c>
      <c r="I5649" s="34"/>
      <c r="J5649" s="38" t="str">
        <f>VLOOKUP(B5649,CAJEROS!B:E,4,0)</f>
        <v>GARZON3</v>
      </c>
      <c r="K5649" t="s">
        <v>610</v>
      </c>
    </row>
    <row r="5650" spans="1:11">
      <c r="A5650" s="32">
        <v>371</v>
      </c>
      <c r="B5650" s="33">
        <v>3741</v>
      </c>
      <c r="C5650" s="3">
        <v>200000</v>
      </c>
      <c r="D5650" s="3"/>
      <c r="E5650" s="7">
        <f t="shared" si="109"/>
        <v>200000</v>
      </c>
      <c r="F5650" s="5">
        <v>45938</v>
      </c>
      <c r="G5650" s="4">
        <v>20251007</v>
      </c>
      <c r="H5650" s="38" t="str">
        <f>VLOOKUP(B5650,CAJEROS!B:D,3,0)</f>
        <v>Dispensador</v>
      </c>
      <c r="I5650" s="34"/>
      <c r="J5650" s="38" t="str">
        <f>VLOOKUP(B5650,CAJEROS!B:E,4,0)</f>
        <v>SUC_CAUCAS3</v>
      </c>
      <c r="K5650" t="s">
        <v>610</v>
      </c>
    </row>
    <row r="5651" spans="1:11">
      <c r="A5651" s="32">
        <v>406</v>
      </c>
      <c r="B5651" s="33">
        <v>4578</v>
      </c>
      <c r="C5651" s="3">
        <v>2400000</v>
      </c>
      <c r="D5651" s="3"/>
      <c r="E5651" s="7">
        <f t="shared" si="109"/>
        <v>2400000</v>
      </c>
      <c r="F5651" s="5">
        <v>45938</v>
      </c>
      <c r="G5651" s="4">
        <v>20251007</v>
      </c>
      <c r="H5651" s="38" t="str">
        <f>VLOOKUP(B5651,CAJEROS!B:D,3,0)</f>
        <v>Dispensador</v>
      </c>
      <c r="I5651" s="34"/>
      <c r="J5651" s="38" t="str">
        <f>VLOOKUP(B5651,CAJEROS!B:E,4,0)</f>
        <v>SUC_EMPRES1</v>
      </c>
      <c r="K5651" t="s">
        <v>610</v>
      </c>
    </row>
    <row r="5652" spans="1:11">
      <c r="A5652" s="32">
        <v>422</v>
      </c>
      <c r="B5652" s="33">
        <v>4221</v>
      </c>
      <c r="C5652" s="3">
        <v>100000</v>
      </c>
      <c r="D5652" s="3"/>
      <c r="E5652" s="7">
        <f t="shared" si="109"/>
        <v>100000</v>
      </c>
      <c r="F5652" s="5">
        <v>45938</v>
      </c>
      <c r="G5652" s="4">
        <v>20251007</v>
      </c>
      <c r="H5652" s="38" t="str">
        <f>VLOOKUP(B5652,CAJEROS!B:D,3,0)</f>
        <v>Dispensador</v>
      </c>
      <c r="I5652" s="34"/>
      <c r="J5652" s="38" t="str">
        <f>VLOOKUP(B5652,CAJEROS!B:E,4,0)</f>
        <v>CHAPARRAL</v>
      </c>
      <c r="K5652" t="s">
        <v>610</v>
      </c>
    </row>
    <row r="5653" spans="1:11">
      <c r="A5653" s="32">
        <v>453</v>
      </c>
      <c r="B5653" s="33">
        <v>8012</v>
      </c>
      <c r="C5653" s="3">
        <v>400000</v>
      </c>
      <c r="D5653" s="3"/>
      <c r="E5653" s="7">
        <f t="shared" si="109"/>
        <v>400000</v>
      </c>
      <c r="F5653" s="5">
        <v>45938</v>
      </c>
      <c r="G5653" s="4">
        <v>20251007</v>
      </c>
      <c r="H5653" s="38" t="str">
        <f>VLOOKUP(B5653,CAJEROS!B:D,3,0)</f>
        <v>Dispensador</v>
      </c>
      <c r="I5653" s="34"/>
      <c r="J5653" s="38" t="str">
        <f>VLOOKUP(B5653,CAJEROS!B:E,4,0)</f>
        <v>SUCPITALTO1</v>
      </c>
      <c r="K5653" t="s">
        <v>610</v>
      </c>
    </row>
    <row r="5654" spans="1:11">
      <c r="A5654" s="32">
        <v>457</v>
      </c>
      <c r="B5654" s="33">
        <v>9000</v>
      </c>
      <c r="C5654" s="3">
        <v>50000</v>
      </c>
      <c r="D5654" s="3"/>
      <c r="E5654" s="7">
        <f t="shared" si="109"/>
        <v>50000</v>
      </c>
      <c r="F5654" s="5">
        <v>45938</v>
      </c>
      <c r="G5654" s="4">
        <v>20251007</v>
      </c>
      <c r="H5654" s="38" t="str">
        <f>VLOOKUP(B5654,CAJEROS!B:D,3,0)</f>
        <v>Dispensador</v>
      </c>
      <c r="I5654" s="34"/>
      <c r="J5654" s="38" t="str">
        <f>VLOOKUP(B5654,CAJEROS!B:E,4,0)</f>
        <v>SUCSANPEDR1</v>
      </c>
      <c r="K5654" t="s">
        <v>610</v>
      </c>
    </row>
    <row r="5655" spans="1:11">
      <c r="A5655" s="32">
        <v>481</v>
      </c>
      <c r="B5655" s="33">
        <v>1007</v>
      </c>
      <c r="C5655" s="3">
        <v>270000</v>
      </c>
      <c r="D5655" s="3"/>
      <c r="E5655" s="7">
        <f t="shared" si="109"/>
        <v>270000</v>
      </c>
      <c r="F5655" s="5">
        <v>45938</v>
      </c>
      <c r="G5655" s="4">
        <v>20251007</v>
      </c>
      <c r="H5655" s="38" t="str">
        <f>VLOOKUP(B5655,CAJEROS!B:D,3,0)</f>
        <v>Dispensador</v>
      </c>
      <c r="I5655" s="34"/>
      <c r="J5655" s="38" t="str">
        <f>VLOOKUP(B5655,CAJEROS!B:E,4,0)</f>
        <v>SUC_SOLEDA3</v>
      </c>
      <c r="K5655" t="s">
        <v>610</v>
      </c>
    </row>
    <row r="5656" spans="1:11">
      <c r="A5656" s="32">
        <v>482</v>
      </c>
      <c r="B5656" s="33">
        <v>8620</v>
      </c>
      <c r="C5656" s="3">
        <v>700000</v>
      </c>
      <c r="D5656" s="3"/>
      <c r="E5656" s="7">
        <f t="shared" si="109"/>
        <v>700000</v>
      </c>
      <c r="F5656" s="5">
        <v>45938</v>
      </c>
      <c r="G5656" s="4">
        <v>20251007</v>
      </c>
      <c r="H5656" s="38" t="str">
        <f>VLOOKUP(B5656,CAJEROS!B:D,3,0)</f>
        <v>Dispensador</v>
      </c>
      <c r="I5656" s="34"/>
      <c r="J5656" s="38" t="str">
        <f>VLOOKUP(B5656,CAJEROS!B:E,4,0)</f>
        <v>SUC_CIENAG1</v>
      </c>
      <c r="K5656" t="s">
        <v>610</v>
      </c>
    </row>
    <row r="5657" spans="1:11">
      <c r="A5657" s="32">
        <v>492</v>
      </c>
      <c r="B5657" s="33">
        <v>6238</v>
      </c>
      <c r="C5657" s="3">
        <v>1000000</v>
      </c>
      <c r="D5657" s="3">
        <v>100000</v>
      </c>
      <c r="E5657" s="7">
        <f t="shared" si="109"/>
        <v>900000</v>
      </c>
      <c r="F5657" s="5">
        <v>45938</v>
      </c>
      <c r="G5657" s="4">
        <v>20251007</v>
      </c>
      <c r="H5657" s="38" t="str">
        <f>VLOOKUP(B5657,CAJEROS!B:D,3,0)</f>
        <v>Dispensador</v>
      </c>
      <c r="I5657" s="34"/>
      <c r="J5657" s="38" t="str">
        <f>VLOOKUP(B5657,CAJEROS!B:E,4,0)</f>
        <v>SUCGARAGOA</v>
      </c>
      <c r="K5657" t="s">
        <v>610</v>
      </c>
    </row>
    <row r="5658" spans="1:11">
      <c r="A5658" s="32">
        <v>536</v>
      </c>
      <c r="B5658" s="33">
        <v>5362</v>
      </c>
      <c r="C5658" s="3">
        <v>290000</v>
      </c>
      <c r="D5658" s="3"/>
      <c r="E5658" s="7">
        <f t="shared" si="109"/>
        <v>290000</v>
      </c>
      <c r="F5658" s="5">
        <v>45938</v>
      </c>
      <c r="G5658" s="4">
        <v>20251007</v>
      </c>
      <c r="H5658" s="38" t="str">
        <f>VLOOKUP(B5658,CAJEROS!B:D,3,0)</f>
        <v>Dispensador</v>
      </c>
      <c r="I5658" s="34"/>
      <c r="J5658" s="38" t="str">
        <f>VLOOKUP(B5658,CAJEROS!B:E,4,0)</f>
        <v>QUIBDO_2</v>
      </c>
      <c r="K5658" t="s">
        <v>610</v>
      </c>
    </row>
    <row r="5659" spans="1:11">
      <c r="A5659" s="32">
        <v>591</v>
      </c>
      <c r="B5659" s="33">
        <v>7833</v>
      </c>
      <c r="C5659" s="3">
        <v>1000000</v>
      </c>
      <c r="D5659" s="3">
        <v>690000</v>
      </c>
      <c r="E5659" s="7">
        <f t="shared" si="109"/>
        <v>310000</v>
      </c>
      <c r="F5659" s="5">
        <v>45938</v>
      </c>
      <c r="G5659" s="4">
        <v>20251007</v>
      </c>
      <c r="H5659" s="38" t="str">
        <f>VLOOKUP(B5659,CAJEROS!B:D,3,0)</f>
        <v>Dispensador</v>
      </c>
      <c r="I5659" s="34"/>
      <c r="J5659" s="38" t="str">
        <f>VLOOKUP(B5659,CAJEROS!B:E,4,0)</f>
        <v>SAMACA_1</v>
      </c>
      <c r="K5659" t="s">
        <v>610</v>
      </c>
    </row>
    <row r="5660" spans="1:11">
      <c r="A5660" s="32">
        <v>621</v>
      </c>
      <c r="B5660" s="33">
        <v>4267</v>
      </c>
      <c r="C5660" s="3">
        <v>150000</v>
      </c>
      <c r="D5660" s="3"/>
      <c r="E5660" s="7">
        <f t="shared" si="109"/>
        <v>150000</v>
      </c>
      <c r="F5660" s="5">
        <v>45938</v>
      </c>
      <c r="G5660" s="4">
        <v>20251007</v>
      </c>
      <c r="H5660" s="38" t="str">
        <f>VLOOKUP(B5660,CAJEROS!B:D,3,0)</f>
        <v>Dispensador</v>
      </c>
      <c r="I5660" s="34"/>
      <c r="J5660" s="38" t="str">
        <f>VLOOKUP(B5660,CAJEROS!B:E,4,0)</f>
        <v>SUC_YUMBO3</v>
      </c>
      <c r="K5660" t="s">
        <v>610</v>
      </c>
    </row>
    <row r="5661" spans="1:11">
      <c r="A5661" s="32">
        <v>708</v>
      </c>
      <c r="B5661" s="33">
        <v>5752</v>
      </c>
      <c r="C5661" s="3">
        <v>690000</v>
      </c>
      <c r="D5661" s="3"/>
      <c r="E5661" s="7">
        <f t="shared" si="109"/>
        <v>690000</v>
      </c>
      <c r="F5661" s="5">
        <v>45938</v>
      </c>
      <c r="G5661" s="4">
        <v>20251007</v>
      </c>
      <c r="H5661" s="38" t="str">
        <f>VLOOKUP(B5661,CAJEROS!B:D,3,0)</f>
        <v>Dispensador</v>
      </c>
      <c r="I5661" s="34"/>
      <c r="J5661" s="38" t="str">
        <f>VLOOKUP(B5661,CAJEROS!B:E,4,0)</f>
        <v>SUC_ANSER2</v>
      </c>
      <c r="K5661" t="s">
        <v>610</v>
      </c>
    </row>
    <row r="5662" spans="1:11">
      <c r="A5662" s="32">
        <v>719</v>
      </c>
      <c r="B5662" s="33">
        <v>7190</v>
      </c>
      <c r="C5662" s="3">
        <v>250000</v>
      </c>
      <c r="D5662" s="3"/>
      <c r="E5662" s="7">
        <f t="shared" si="109"/>
        <v>250000</v>
      </c>
      <c r="F5662" s="5">
        <v>45938</v>
      </c>
      <c r="G5662" s="4">
        <v>20251007</v>
      </c>
      <c r="H5662" s="38" t="str">
        <f>VLOOKUP(B5662,CAJEROS!B:D,3,0)</f>
        <v>Dispensador</v>
      </c>
      <c r="I5662" s="34"/>
      <c r="J5662" s="38" t="str">
        <f>VLOOKUP(B5662,CAJEROS!B:E,4,0)</f>
        <v>BELENUMBRIA</v>
      </c>
      <c r="K5662" t="s">
        <v>610</v>
      </c>
    </row>
    <row r="5663" spans="1:11">
      <c r="A5663" s="32">
        <v>721</v>
      </c>
      <c r="B5663" s="33">
        <v>8894</v>
      </c>
      <c r="C5663" s="3">
        <v>400000</v>
      </c>
      <c r="D5663" s="3"/>
      <c r="E5663" s="7">
        <f t="shared" si="109"/>
        <v>400000</v>
      </c>
      <c r="F5663" s="5">
        <v>45938</v>
      </c>
      <c r="G5663" s="4">
        <v>20251007</v>
      </c>
      <c r="H5663" s="38" t="str">
        <f>VLOOKUP(B5663,CAJEROS!B:D,3,0)</f>
        <v>Dispensador</v>
      </c>
      <c r="I5663" s="34"/>
      <c r="J5663" s="38" t="str">
        <f>VLOOKUP(B5663,CAJEROS!B:E,4,0)</f>
        <v>SUCHALLAGO4</v>
      </c>
      <c r="K5663" t="s">
        <v>610</v>
      </c>
    </row>
    <row r="5664" spans="1:11">
      <c r="A5664" s="32">
        <v>724</v>
      </c>
      <c r="B5664" s="33">
        <v>4005</v>
      </c>
      <c r="C5664" s="3">
        <v>30000</v>
      </c>
      <c r="D5664" s="3"/>
      <c r="E5664" s="7">
        <f t="shared" si="109"/>
        <v>30000</v>
      </c>
      <c r="F5664" s="5">
        <v>45938</v>
      </c>
      <c r="G5664" s="4">
        <v>20251007</v>
      </c>
      <c r="H5664" s="38" t="str">
        <f>VLOOKUP(B5664,CAJEROS!B:D,3,0)</f>
        <v>Dispensador</v>
      </c>
      <c r="I5664" s="34"/>
      <c r="J5664" s="38" t="str">
        <f>VLOOKUP(B5664,CAJEROS!B:E,4,0)</f>
        <v>SUC_FONSEC2</v>
      </c>
      <c r="K5664" t="s">
        <v>610</v>
      </c>
    </row>
    <row r="5665" spans="1:11">
      <c r="A5665" s="32">
        <v>782</v>
      </c>
      <c r="B5665" s="33">
        <v>9854</v>
      </c>
      <c r="C5665" s="3">
        <v>5750000</v>
      </c>
      <c r="D5665" s="3"/>
      <c r="E5665" s="7">
        <f t="shared" si="109"/>
        <v>5750000</v>
      </c>
      <c r="F5665" s="5">
        <v>45938</v>
      </c>
      <c r="G5665" s="4">
        <v>20251007</v>
      </c>
      <c r="H5665" s="38" t="str">
        <f>VLOOKUP(B5665,CAJEROS!B:D,3,0)</f>
        <v>Dispensador</v>
      </c>
      <c r="I5665" s="34"/>
      <c r="J5665" s="38" t="str">
        <f>VLOOKUP(B5665,CAJEROS!B:E,4,0)</f>
        <v>SUCSEVILLA1</v>
      </c>
      <c r="K5665" t="s">
        <v>610</v>
      </c>
    </row>
    <row r="5666" spans="1:11">
      <c r="A5666" s="32">
        <v>782</v>
      </c>
      <c r="B5666" s="33">
        <v>9855</v>
      </c>
      <c r="C5666" s="3">
        <v>1050000</v>
      </c>
      <c r="D5666" s="3"/>
      <c r="E5666" s="7">
        <f t="shared" si="109"/>
        <v>1050000</v>
      </c>
      <c r="F5666" s="5">
        <v>45938</v>
      </c>
      <c r="G5666" s="4">
        <v>20251007</v>
      </c>
      <c r="H5666" s="38" t="str">
        <f>VLOOKUP(B5666,CAJEROS!B:D,3,0)</f>
        <v>Dispensador</v>
      </c>
      <c r="I5666" s="34"/>
      <c r="J5666" s="38" t="str">
        <f>VLOOKUP(B5666,CAJEROS!B:E,4,0)</f>
        <v>SUCSEVILLA2</v>
      </c>
      <c r="K5666" t="s">
        <v>610</v>
      </c>
    </row>
    <row r="5667" spans="1:11">
      <c r="A5667" s="32">
        <v>799</v>
      </c>
      <c r="B5667" s="33">
        <v>8187</v>
      </c>
      <c r="C5667" s="3">
        <v>30000</v>
      </c>
      <c r="D5667" s="3"/>
      <c r="E5667" s="7">
        <f t="shared" si="109"/>
        <v>30000</v>
      </c>
      <c r="F5667" s="5">
        <v>45938</v>
      </c>
      <c r="G5667" s="4">
        <v>20251007</v>
      </c>
      <c r="H5667" s="38" t="str">
        <f>VLOOKUP(B5667,CAJEROS!B:D,3,0)</f>
        <v>Dispensador</v>
      </c>
      <c r="I5667" s="34"/>
      <c r="J5667" s="38" t="str">
        <f>VLOOKUP(B5667,CAJEROS!B:E,4,0)</f>
        <v>SUC_FLORBL4</v>
      </c>
      <c r="K5667" t="s">
        <v>610</v>
      </c>
    </row>
    <row r="5668" spans="1:11">
      <c r="A5668" s="32">
        <v>858</v>
      </c>
      <c r="B5668" s="33">
        <v>2876</v>
      </c>
      <c r="C5668" s="3">
        <v>300000</v>
      </c>
      <c r="D5668" s="3"/>
      <c r="E5668" s="7">
        <f t="shared" si="109"/>
        <v>300000</v>
      </c>
      <c r="F5668" s="5">
        <v>45938</v>
      </c>
      <c r="G5668" s="4">
        <v>20251007</v>
      </c>
      <c r="H5668" s="38" t="str">
        <f>VLOOKUP(B5668,CAJEROS!B:D,3,0)</f>
        <v>Dispensador</v>
      </c>
      <c r="I5668" s="34"/>
      <c r="J5668" s="38" t="str">
        <f>VLOOKUP(B5668,CAJEROS!B:E,4,0)</f>
        <v>_CERRITO_2_</v>
      </c>
      <c r="K5668" t="s">
        <v>610</v>
      </c>
    </row>
    <row r="5669" spans="1:11">
      <c r="A5669" s="32">
        <v>885</v>
      </c>
      <c r="B5669" s="33">
        <v>8851</v>
      </c>
      <c r="C5669" s="3">
        <v>80000</v>
      </c>
      <c r="D5669" s="3"/>
      <c r="E5669" s="7">
        <f t="shared" si="109"/>
        <v>80000</v>
      </c>
      <c r="F5669" s="5">
        <v>45938</v>
      </c>
      <c r="G5669" s="4">
        <v>20251007</v>
      </c>
      <c r="H5669" s="38" t="str">
        <f>VLOOKUP(B5669,CAJEROS!B:D,3,0)</f>
        <v>Dispensador</v>
      </c>
      <c r="I5669" s="34"/>
      <c r="J5669" s="38" t="str">
        <f>VLOOKUP(B5669,CAJEROS!B:E,4,0)</f>
        <v>TUQUERRES</v>
      </c>
      <c r="K5669" t="s">
        <v>610</v>
      </c>
    </row>
    <row r="5670" spans="1:11">
      <c r="A5670" s="32">
        <v>78</v>
      </c>
      <c r="B5670" s="33">
        <v>8593</v>
      </c>
      <c r="C5670" s="3">
        <v>20000</v>
      </c>
      <c r="D5670" s="3"/>
      <c r="E5670" s="7">
        <f t="shared" si="109"/>
        <v>20000</v>
      </c>
      <c r="F5670" s="5">
        <v>45939</v>
      </c>
      <c r="G5670" s="4">
        <v>20251008</v>
      </c>
      <c r="H5670" s="38" t="str">
        <f>VLOOKUP(B5670,CAJEROS!B:D,3,0)</f>
        <v>Dispensador</v>
      </c>
      <c r="I5670" s="34"/>
      <c r="J5670" s="38" t="str">
        <f>VLOOKUP(B5670,CAJEROS!B:E,4,0)</f>
        <v>HALLCACIQ4</v>
      </c>
      <c r="K5670" t="s">
        <v>610</v>
      </c>
    </row>
    <row r="5671" spans="1:11">
      <c r="A5671" s="32">
        <v>91</v>
      </c>
      <c r="B5671" s="33">
        <v>4731</v>
      </c>
      <c r="C5671" s="3">
        <v>120000</v>
      </c>
      <c r="D5671" s="3"/>
      <c r="E5671" s="7">
        <f t="shared" si="109"/>
        <v>120000</v>
      </c>
      <c r="F5671" s="5">
        <v>45939</v>
      </c>
      <c r="G5671" s="4">
        <v>20251008</v>
      </c>
      <c r="H5671" s="38" t="str">
        <f>VLOOKUP(B5671,CAJEROS!B:D,3,0)</f>
        <v>Dispensador</v>
      </c>
      <c r="I5671" s="34"/>
      <c r="J5671" s="38" t="str">
        <f>VLOOKUP(B5671,CAJEROS!B:E,4,0)</f>
        <v>MONTERIA_2</v>
      </c>
      <c r="K5671" t="s">
        <v>610</v>
      </c>
    </row>
    <row r="5672" spans="1:11">
      <c r="A5672" s="32">
        <v>91</v>
      </c>
      <c r="B5672" s="33">
        <v>8163</v>
      </c>
      <c r="C5672" s="3">
        <v>80000</v>
      </c>
      <c r="D5672" s="3"/>
      <c r="E5672" s="7">
        <f t="shared" si="109"/>
        <v>80000</v>
      </c>
      <c r="F5672" s="5">
        <v>45939</v>
      </c>
      <c r="G5672" s="4">
        <v>20251008</v>
      </c>
      <c r="H5672" s="38" t="str">
        <f>VLOOKUP(B5672,CAJEROS!B:D,3,0)</f>
        <v>Dispensador</v>
      </c>
      <c r="I5672" s="34"/>
      <c r="J5672" s="38" t="str">
        <f>VLOOKUP(B5672,CAJEROS!B:E,4,0)</f>
        <v>SUC_MONTER5</v>
      </c>
      <c r="K5672" t="s">
        <v>610</v>
      </c>
    </row>
    <row r="5673" spans="1:11">
      <c r="A5673" s="32">
        <v>229</v>
      </c>
      <c r="B5673" s="33">
        <v>8955</v>
      </c>
      <c r="C5673" s="3">
        <v>340000</v>
      </c>
      <c r="D5673" s="3"/>
      <c r="E5673" s="7">
        <f t="shared" si="109"/>
        <v>340000</v>
      </c>
      <c r="F5673" s="5">
        <v>45939</v>
      </c>
      <c r="G5673" s="4">
        <v>20251008</v>
      </c>
      <c r="H5673" s="38" t="str">
        <f>VLOOKUP(B5673,CAJEROS!B:D,3,0)</f>
        <v>Dispensador</v>
      </c>
      <c r="I5673" s="34"/>
      <c r="J5673" s="38" t="str">
        <f>VLOOKUP(B5673,CAJEROS!B:E,4,0)</f>
        <v>SUCPASERIO1</v>
      </c>
      <c r="K5673" t="s">
        <v>610</v>
      </c>
    </row>
    <row r="5674" spans="1:11">
      <c r="A5674" s="32">
        <v>232</v>
      </c>
      <c r="B5674" s="33">
        <v>4062</v>
      </c>
      <c r="C5674" s="3">
        <v>950000</v>
      </c>
      <c r="D5674" s="3"/>
      <c r="E5674" s="7">
        <f t="shared" si="109"/>
        <v>950000</v>
      </c>
      <c r="F5674" s="5">
        <v>45939</v>
      </c>
      <c r="G5674" s="4">
        <v>20251008</v>
      </c>
      <c r="H5674" s="38" t="str">
        <f>VLOOKUP(B5674,CAJEROS!B:D,3,0)</f>
        <v>Dispensador</v>
      </c>
      <c r="I5674" s="34"/>
      <c r="J5674" s="38" t="str">
        <f>VLOOKUP(B5674,CAJEROS!B:E,4,0)</f>
        <v>SUC_GUASCA1</v>
      </c>
      <c r="K5674" t="s">
        <v>610</v>
      </c>
    </row>
    <row r="5675" spans="1:11">
      <c r="A5675" s="32">
        <v>297</v>
      </c>
      <c r="B5675" s="33">
        <v>4564</v>
      </c>
      <c r="C5675" s="3">
        <v>60000</v>
      </c>
      <c r="D5675" s="3"/>
      <c r="E5675" s="7">
        <f t="shared" si="109"/>
        <v>60000</v>
      </c>
      <c r="F5675" s="5">
        <v>45939</v>
      </c>
      <c r="G5675" s="4">
        <v>20251008</v>
      </c>
      <c r="H5675" s="38" t="str">
        <f>VLOOKUP(B5675,CAJEROS!B:D,3,0)</f>
        <v>Dispensador</v>
      </c>
      <c r="I5675" s="34"/>
      <c r="J5675" s="38" t="str">
        <f>VLOOKUP(B5675,CAJEROS!B:E,4,0)</f>
        <v>SUC_AGUAC3</v>
      </c>
      <c r="K5675" t="s">
        <v>610</v>
      </c>
    </row>
    <row r="5676" spans="1:11">
      <c r="A5676" s="32">
        <v>332</v>
      </c>
      <c r="B5676" s="33">
        <v>2553</v>
      </c>
      <c r="C5676" s="3">
        <v>550000</v>
      </c>
      <c r="D5676" s="3"/>
      <c r="E5676" s="7">
        <f t="shared" si="109"/>
        <v>550000</v>
      </c>
      <c r="F5676" s="5">
        <v>45939</v>
      </c>
      <c r="G5676" s="4">
        <v>20251008</v>
      </c>
      <c r="H5676" s="38" t="str">
        <f>VLOOKUP(B5676,CAJEROS!B:D,3,0)</f>
        <v>Dispensador</v>
      </c>
      <c r="I5676" s="34"/>
      <c r="J5676" s="38" t="str">
        <f>VLOOKUP(B5676,CAJEROS!B:E,4,0)</f>
        <v>ZIPAQUIRA_2</v>
      </c>
      <c r="K5676" t="s">
        <v>610</v>
      </c>
    </row>
    <row r="5677" spans="1:11">
      <c r="A5677" s="32">
        <v>332</v>
      </c>
      <c r="B5677" s="33">
        <v>2556</v>
      </c>
      <c r="C5677" s="3">
        <v>10000</v>
      </c>
      <c r="D5677" s="3"/>
      <c r="E5677" s="7">
        <f t="shared" si="109"/>
        <v>10000</v>
      </c>
      <c r="F5677" s="5">
        <v>45939</v>
      </c>
      <c r="G5677" s="4">
        <v>20251008</v>
      </c>
      <c r="H5677" s="38" t="str">
        <f>VLOOKUP(B5677,CAJEROS!B:D,3,0)</f>
        <v>Dispensador</v>
      </c>
      <c r="I5677" s="34"/>
      <c r="J5677" s="38" t="str">
        <f>VLOOKUP(B5677,CAJEROS!B:E,4,0)</f>
        <v>ZIPAQUIRA_3</v>
      </c>
      <c r="K5677" t="s">
        <v>610</v>
      </c>
    </row>
    <row r="5678" spans="1:11">
      <c r="A5678" s="32">
        <v>392</v>
      </c>
      <c r="B5678" s="33">
        <v>5265</v>
      </c>
      <c r="C5678" s="3">
        <v>1940000</v>
      </c>
      <c r="D5678" s="3">
        <v>240000</v>
      </c>
      <c r="E5678" s="7">
        <f t="shared" si="109"/>
        <v>1700000</v>
      </c>
      <c r="F5678" s="5">
        <v>45939</v>
      </c>
      <c r="G5678" s="4">
        <v>20251008</v>
      </c>
      <c r="H5678" s="38" t="str">
        <f>VLOOKUP(B5678,CAJEROS!B:D,3,0)</f>
        <v>Dispensador</v>
      </c>
      <c r="I5678" s="34"/>
      <c r="J5678" s="38" t="str">
        <f>VLOOKUP(B5678,CAJEROS!B:E,4,0)</f>
        <v>SUC_LADORA4</v>
      </c>
      <c r="K5678" t="s">
        <v>610</v>
      </c>
    </row>
    <row r="5679" spans="1:11">
      <c r="A5679" s="32">
        <v>395</v>
      </c>
      <c r="B5679" s="33">
        <v>1537</v>
      </c>
      <c r="C5679" s="3">
        <v>20000</v>
      </c>
      <c r="D5679" s="3"/>
      <c r="E5679" s="7">
        <f t="shared" si="109"/>
        <v>20000</v>
      </c>
      <c r="F5679" s="5">
        <v>45939</v>
      </c>
      <c r="G5679" s="4">
        <v>20251008</v>
      </c>
      <c r="H5679" s="38" t="str">
        <f>VLOOKUP(B5679,CAJEROS!B:D,3,0)</f>
        <v>Dispensador</v>
      </c>
      <c r="I5679" s="34"/>
      <c r="J5679" s="38" t="str">
        <f>VLOOKUP(B5679,CAJEROS!B:E,4,0)</f>
        <v>SUCVIVAVCI6</v>
      </c>
      <c r="K5679" t="s">
        <v>610</v>
      </c>
    </row>
    <row r="5680" spans="1:11">
      <c r="A5680" s="32">
        <v>395</v>
      </c>
      <c r="B5680" s="33">
        <v>1538</v>
      </c>
      <c r="C5680" s="3">
        <v>10000</v>
      </c>
      <c r="D5680" s="3"/>
      <c r="E5680" s="7">
        <f t="shared" si="109"/>
        <v>10000</v>
      </c>
      <c r="F5680" s="5">
        <v>45939</v>
      </c>
      <c r="G5680" s="4">
        <v>20251008</v>
      </c>
      <c r="H5680" s="38" t="str">
        <f>VLOOKUP(B5680,CAJEROS!B:D,3,0)</f>
        <v>Dispensador</v>
      </c>
      <c r="I5680" s="34"/>
      <c r="J5680" s="38" t="str">
        <f>VLOOKUP(B5680,CAJEROS!B:E,4,0)</f>
        <v>SUCVIVAVCI7</v>
      </c>
      <c r="K5680" t="s">
        <v>610</v>
      </c>
    </row>
    <row r="5681" spans="1:11">
      <c r="A5681" s="32">
        <v>451</v>
      </c>
      <c r="B5681" s="33">
        <v>4967</v>
      </c>
      <c r="C5681" s="3">
        <v>2630000</v>
      </c>
      <c r="D5681" s="3">
        <v>710000</v>
      </c>
      <c r="E5681" s="7">
        <f t="shared" si="109"/>
        <v>1920000</v>
      </c>
      <c r="F5681" s="5">
        <v>45939</v>
      </c>
      <c r="G5681" s="4">
        <v>20251008</v>
      </c>
      <c r="H5681" s="38" t="str">
        <f>VLOOKUP(B5681,CAJEROS!B:D,3,0)</f>
        <v>Dispensador</v>
      </c>
      <c r="I5681" s="34"/>
      <c r="J5681" s="38" t="str">
        <f>VLOOKUP(B5681,CAJEROS!B:E,4,0)</f>
        <v>SUCPTOASIS2</v>
      </c>
      <c r="K5681" t="s">
        <v>610</v>
      </c>
    </row>
    <row r="5682" spans="1:11">
      <c r="A5682" s="32">
        <v>455</v>
      </c>
      <c r="B5682" s="33">
        <v>5974</v>
      </c>
      <c r="C5682" s="3">
        <v>1060000</v>
      </c>
      <c r="D5682" s="3">
        <v>240000</v>
      </c>
      <c r="E5682" s="7">
        <f t="shared" si="109"/>
        <v>820000</v>
      </c>
      <c r="F5682" s="5">
        <v>45939</v>
      </c>
      <c r="G5682" s="4">
        <v>20251008</v>
      </c>
      <c r="H5682" s="38" t="str">
        <f>VLOOKUP(B5682,CAJEROS!B:D,3,0)</f>
        <v>Dispensador</v>
      </c>
      <c r="I5682" s="34"/>
      <c r="J5682" s="38" t="str">
        <f>VLOOKUP(B5682,CAJEROS!B:E,4,0)</f>
        <v>SUC_CEIBAS1</v>
      </c>
      <c r="K5682" t="s">
        <v>610</v>
      </c>
    </row>
    <row r="5683" spans="1:11">
      <c r="A5683" s="32">
        <v>569</v>
      </c>
      <c r="B5683" s="33">
        <v>4575</v>
      </c>
      <c r="C5683" s="3">
        <v>100000</v>
      </c>
      <c r="D5683" s="3"/>
      <c r="E5683" s="7">
        <f t="shared" si="109"/>
        <v>100000</v>
      </c>
      <c r="F5683" s="5">
        <v>45939</v>
      </c>
      <c r="G5683" s="4">
        <v>20251008</v>
      </c>
      <c r="H5683" s="38" t="str">
        <f>VLOOKUP(B5683,CAJEROS!B:D,3,0)</f>
        <v>Dispensador</v>
      </c>
      <c r="I5683" s="34"/>
      <c r="J5683" s="38" t="str">
        <f>VLOOKUP(B5683,CAJEROS!B:E,4,0)</f>
        <v>SUC_BUENAM1</v>
      </c>
      <c r="K5683" t="s">
        <v>610</v>
      </c>
    </row>
    <row r="5684" spans="1:11">
      <c r="A5684" s="32">
        <v>569</v>
      </c>
      <c r="B5684" s="33">
        <v>4576</v>
      </c>
      <c r="C5684" s="3">
        <v>1150000</v>
      </c>
      <c r="D5684" s="3"/>
      <c r="E5684" s="7">
        <f t="shared" si="109"/>
        <v>1150000</v>
      </c>
      <c r="F5684" s="5">
        <v>45939</v>
      </c>
      <c r="G5684" s="4">
        <v>20251008</v>
      </c>
      <c r="H5684" s="38" t="str">
        <f>VLOOKUP(B5684,CAJEROS!B:D,3,0)</f>
        <v>Dispensador</v>
      </c>
      <c r="I5684" s="34"/>
      <c r="J5684" s="38" t="str">
        <f>VLOOKUP(B5684,CAJEROS!B:E,4,0)</f>
        <v>SUC_BUENAM2</v>
      </c>
      <c r="K5684" t="s">
        <v>610</v>
      </c>
    </row>
    <row r="5685" spans="1:11">
      <c r="A5685" s="32">
        <v>631</v>
      </c>
      <c r="B5685" s="33">
        <v>2617</v>
      </c>
      <c r="C5685" s="3">
        <v>1900000</v>
      </c>
      <c r="D5685" s="3">
        <f>1840000+50000</f>
        <v>1890000</v>
      </c>
      <c r="E5685" s="7">
        <f t="shared" si="109"/>
        <v>10000</v>
      </c>
      <c r="F5685" s="5">
        <v>45939</v>
      </c>
      <c r="G5685" s="4">
        <v>20251008</v>
      </c>
      <c r="H5685" s="38" t="str">
        <f>VLOOKUP(B5685,CAJEROS!B:D,3,0)</f>
        <v>Dispensador</v>
      </c>
      <c r="I5685" s="34"/>
      <c r="J5685" s="38" t="str">
        <f>VLOOKUP(B5685,CAJEROS!B:E,4,0)</f>
        <v>SUCURIBIA_3</v>
      </c>
      <c r="K5685" t="s">
        <v>610</v>
      </c>
    </row>
    <row r="5686" spans="1:11">
      <c r="A5686" s="32">
        <v>682</v>
      </c>
      <c r="B5686" s="33">
        <v>5959</v>
      </c>
      <c r="C5686" s="3">
        <v>1950000</v>
      </c>
      <c r="D5686" s="3"/>
      <c r="E5686" s="7">
        <f t="shared" si="109"/>
        <v>1950000</v>
      </c>
      <c r="F5686" s="5">
        <v>45939</v>
      </c>
      <c r="G5686" s="4">
        <v>20251008</v>
      </c>
      <c r="H5686" s="38" t="str">
        <f>VLOOKUP(B5686,CAJEROS!B:D,3,0)</f>
        <v>Dispensador</v>
      </c>
      <c r="I5686" s="34"/>
      <c r="J5686" s="38" t="str">
        <f>VLOOKUP(B5686,CAJEROS!B:E,4,0)</f>
        <v>SUC_CCFONT1</v>
      </c>
      <c r="K5686" t="s">
        <v>610</v>
      </c>
    </row>
    <row r="5687" spans="1:11">
      <c r="A5687" s="32">
        <v>704</v>
      </c>
      <c r="B5687" s="33">
        <v>2673</v>
      </c>
      <c r="C5687" s="3">
        <v>380000</v>
      </c>
      <c r="D5687" s="3"/>
      <c r="E5687" s="7">
        <f t="shared" si="109"/>
        <v>380000</v>
      </c>
      <c r="F5687" s="5">
        <v>45939</v>
      </c>
      <c r="G5687" s="4">
        <v>20251008</v>
      </c>
      <c r="H5687" s="38" t="str">
        <f>VLOOKUP(B5687,CAJEROS!B:D,3,0)</f>
        <v>Dispensador</v>
      </c>
      <c r="I5687" s="34"/>
      <c r="J5687" s="38" t="str">
        <f>VLOOKUP(B5687,CAJEROS!B:E,4,0)</f>
        <v>LA_LOMA_CES</v>
      </c>
      <c r="K5687" t="s">
        <v>610</v>
      </c>
    </row>
    <row r="5688" spans="1:11">
      <c r="A5688" s="32">
        <v>704</v>
      </c>
      <c r="B5688" s="33">
        <v>4647</v>
      </c>
      <c r="C5688" s="3">
        <v>60000</v>
      </c>
      <c r="D5688" s="3"/>
      <c r="E5688" s="7">
        <f t="shared" si="109"/>
        <v>60000</v>
      </c>
      <c r="F5688" s="5">
        <v>45939</v>
      </c>
      <c r="G5688" s="4">
        <v>20251008</v>
      </c>
      <c r="H5688" s="38" t="str">
        <f>VLOOKUP(B5688,CAJEROS!B:D,3,0)</f>
        <v>Dispensador</v>
      </c>
      <c r="I5688" s="34"/>
      <c r="J5688" s="38" t="str">
        <f>VLOOKUP(B5688,CAJEROS!B:E,4,0)</f>
        <v>SUC_LOMCES2</v>
      </c>
      <c r="K5688" t="s">
        <v>610</v>
      </c>
    </row>
    <row r="5689" spans="1:11">
      <c r="A5689" s="32">
        <v>709</v>
      </c>
      <c r="B5689" s="33">
        <v>3426</v>
      </c>
      <c r="C5689" s="3">
        <v>1380000</v>
      </c>
      <c r="D5689" s="3"/>
      <c r="E5689" s="7">
        <f t="shared" si="109"/>
        <v>1380000</v>
      </c>
      <c r="F5689" s="5">
        <v>45939</v>
      </c>
      <c r="G5689" s="4">
        <v>20251008</v>
      </c>
      <c r="H5689" s="38" t="str">
        <f>VLOOKUP(B5689,CAJEROS!B:D,3,0)</f>
        <v>Dispensador</v>
      </c>
      <c r="I5689" s="34"/>
      <c r="J5689" s="38" t="str">
        <f>VLOOKUP(B5689,CAJEROS!B:E,4,0)</f>
        <v>ABREGO</v>
      </c>
      <c r="K5689" t="s">
        <v>610</v>
      </c>
    </row>
    <row r="5690" spans="1:11">
      <c r="A5690" s="32">
        <v>816</v>
      </c>
      <c r="B5690" s="33">
        <v>4113</v>
      </c>
      <c r="C5690" s="3">
        <v>7710000</v>
      </c>
      <c r="D5690" s="3"/>
      <c r="E5690" s="7">
        <f t="shared" si="109"/>
        <v>7710000</v>
      </c>
      <c r="F5690" s="5">
        <v>45939</v>
      </c>
      <c r="G5690" s="4">
        <v>20251008</v>
      </c>
      <c r="H5690" s="38" t="str">
        <f>VLOOKUP(B5690,CAJEROS!B:D,3,0)</f>
        <v>Dispensador</v>
      </c>
      <c r="I5690" s="34"/>
      <c r="J5690" s="38" t="str">
        <f>VLOOKUP(B5690,CAJEROS!B:E,4,0)</f>
        <v>SUC_CL10_4</v>
      </c>
      <c r="K5690" t="s">
        <v>610</v>
      </c>
    </row>
    <row r="5691" spans="1:11">
      <c r="A5691" s="32">
        <v>829</v>
      </c>
      <c r="B5691" s="33">
        <v>1157</v>
      </c>
      <c r="C5691" s="3">
        <v>1970000</v>
      </c>
      <c r="D5691" s="3"/>
      <c r="E5691" s="7">
        <f t="shared" si="109"/>
        <v>1970000</v>
      </c>
      <c r="F5691" s="5">
        <v>45939</v>
      </c>
      <c r="G5691" s="4">
        <v>20251008</v>
      </c>
      <c r="H5691" s="38" t="str">
        <f>VLOOKUP(B5691,CAJEROS!B:D,3,0)</f>
        <v>Dispensador</v>
      </c>
      <c r="I5691" s="34"/>
      <c r="J5691" s="38" t="str">
        <f>VLOOKUP(B5691,CAJEROS!B:E,4,0)</f>
        <v>SUCUNICCAL3</v>
      </c>
      <c r="K5691" t="s">
        <v>610</v>
      </c>
    </row>
    <row r="5692" spans="1:11">
      <c r="A5692" s="32">
        <v>859</v>
      </c>
      <c r="B5692" s="33">
        <v>5599</v>
      </c>
      <c r="C5692" s="3">
        <v>9600000</v>
      </c>
      <c r="D5692" s="3"/>
      <c r="E5692" s="7">
        <f t="shared" si="109"/>
        <v>9600000</v>
      </c>
      <c r="F5692" s="5">
        <v>45939</v>
      </c>
      <c r="G5692" s="4">
        <v>20251008</v>
      </c>
      <c r="H5692" s="38" t="e">
        <f>VLOOKUP(B5692,CAJEROS!B:D,3,0)</f>
        <v>#N/A</v>
      </c>
      <c r="I5692" s="34"/>
      <c r="J5692" s="38" t="e">
        <f>VLOOKUP(B5692,CAJEROS!B:E,4,0)</f>
        <v>#N/A</v>
      </c>
      <c r="K5692" t="s">
        <v>610</v>
      </c>
    </row>
    <row r="5693" spans="1:11">
      <c r="A5693" s="32">
        <v>153</v>
      </c>
      <c r="B5693" s="33">
        <v>9879</v>
      </c>
      <c r="C5693" s="3">
        <v>200000</v>
      </c>
      <c r="D5693" s="3"/>
      <c r="E5693" s="7">
        <f t="shared" si="109"/>
        <v>200000</v>
      </c>
      <c r="F5693" s="5">
        <v>45939</v>
      </c>
      <c r="G5693" s="4">
        <v>20251008</v>
      </c>
      <c r="H5693" s="38" t="str">
        <f>VLOOKUP(B5693,CAJEROS!B:D,3,0)</f>
        <v>Dispensador</v>
      </c>
      <c r="I5693" s="34" t="s">
        <v>9</v>
      </c>
      <c r="J5693" s="38" t="str">
        <f>VLOOKUP(B5693,CAJEROS!B:E,4,0)</f>
        <v>EXITOIBAG_1</v>
      </c>
      <c r="K5693" t="s">
        <v>610</v>
      </c>
    </row>
    <row r="5694" spans="1:11">
      <c r="A5694" s="32">
        <v>193</v>
      </c>
      <c r="B5694" s="33">
        <v>8532</v>
      </c>
      <c r="C5694" s="3">
        <v>1100000</v>
      </c>
      <c r="D5694" s="3"/>
      <c r="E5694" s="7">
        <f t="shared" si="109"/>
        <v>1100000</v>
      </c>
      <c r="F5694" s="5">
        <v>45939</v>
      </c>
      <c r="G5694" s="4">
        <v>20251008</v>
      </c>
      <c r="H5694" s="38" t="str">
        <f>VLOOKUP(B5694,CAJEROS!B:D,3,0)</f>
        <v>Dispensador</v>
      </c>
      <c r="I5694" s="34" t="s">
        <v>9</v>
      </c>
      <c r="J5694" s="38" t="str">
        <f>VLOOKUP(B5694,CAJEROS!B:E,4,0)</f>
        <v>HALLSUCFIC2</v>
      </c>
      <c r="K5694" t="s">
        <v>610</v>
      </c>
    </row>
    <row r="5695" spans="1:11">
      <c r="A5695" s="32">
        <v>225</v>
      </c>
      <c r="B5695" s="33">
        <v>8866</v>
      </c>
      <c r="C5695" s="3">
        <v>150000</v>
      </c>
      <c r="D5695" s="3"/>
      <c r="E5695" s="7">
        <f t="shared" si="109"/>
        <v>150000</v>
      </c>
      <c r="F5695" s="5">
        <v>45939</v>
      </c>
      <c r="G5695" s="4">
        <v>20251008</v>
      </c>
      <c r="H5695" s="38" t="str">
        <f>VLOOKUP(B5695,CAJEROS!B:D,3,0)</f>
        <v>Dispensador</v>
      </c>
      <c r="I5695" s="34" t="s">
        <v>9</v>
      </c>
      <c r="J5695" s="38" t="str">
        <f>VLOOKUP(B5695,CAJEROS!B:E,4,0)</f>
        <v>SMALPLANQS4</v>
      </c>
      <c r="K5695" t="s">
        <v>610</v>
      </c>
    </row>
    <row r="5696" spans="1:11">
      <c r="A5696" s="32">
        <v>250</v>
      </c>
      <c r="B5696" s="33">
        <v>5389</v>
      </c>
      <c r="C5696" s="3">
        <v>100000</v>
      </c>
      <c r="D5696" s="3"/>
      <c r="E5696" s="7">
        <f t="shared" si="109"/>
        <v>100000</v>
      </c>
      <c r="F5696" s="5">
        <v>45939</v>
      </c>
      <c r="G5696" s="4">
        <v>20251008</v>
      </c>
      <c r="H5696" s="38" t="str">
        <f>VLOOKUP(B5696,CAJEROS!B:D,3,0)</f>
        <v>Dispensador</v>
      </c>
      <c r="I5696" s="34" t="s">
        <v>9</v>
      </c>
      <c r="J5696" s="38" t="str">
        <f>VLOOKUP(B5696,CAJEROS!B:E,4,0)</f>
        <v>SUCMODE4</v>
      </c>
      <c r="K5696" t="s">
        <v>610</v>
      </c>
    </row>
    <row r="5697" spans="1:11">
      <c r="A5697" s="32">
        <v>453</v>
      </c>
      <c r="B5697" s="33">
        <v>8017</v>
      </c>
      <c r="C5697" s="3">
        <v>200000</v>
      </c>
      <c r="D5697" s="3"/>
      <c r="E5697" s="7">
        <f t="shared" si="109"/>
        <v>200000</v>
      </c>
      <c r="F5697" s="5">
        <v>45939</v>
      </c>
      <c r="G5697" s="4">
        <v>20251008</v>
      </c>
      <c r="H5697" s="38" t="str">
        <f>VLOOKUP(B5697,CAJEROS!B:D,3,0)</f>
        <v>Dispensador</v>
      </c>
      <c r="I5697" s="34" t="s">
        <v>9</v>
      </c>
      <c r="J5697" s="38" t="str">
        <f>VLOOKUP(B5697,CAJEROS!B:E,4,0)</f>
        <v>SUCPITALTO4</v>
      </c>
      <c r="K5697" t="s">
        <v>610</v>
      </c>
    </row>
    <row r="5698" spans="1:11">
      <c r="A5698" s="32">
        <v>688</v>
      </c>
      <c r="B5698" s="33">
        <v>4840</v>
      </c>
      <c r="C5698" s="3">
        <v>300000</v>
      </c>
      <c r="D5698" s="3"/>
      <c r="E5698" s="7">
        <f t="shared" si="109"/>
        <v>300000</v>
      </c>
      <c r="F5698" s="5">
        <v>45939</v>
      </c>
      <c r="G5698" s="4">
        <v>20251008</v>
      </c>
      <c r="H5698" s="38" t="str">
        <f>VLOOKUP(B5698,CAJEROS!B:D,3,0)</f>
        <v>Dispensador</v>
      </c>
      <c r="I5698" s="34" t="s">
        <v>9</v>
      </c>
      <c r="J5698" s="38" t="str">
        <f>VLOOKUP(B5698,CAJEROS!B:E,4,0)</f>
        <v>SUC_CONTAD1</v>
      </c>
      <c r="K5698" t="s">
        <v>610</v>
      </c>
    </row>
    <row r="5699" spans="1:11">
      <c r="A5699" s="32">
        <v>780</v>
      </c>
      <c r="B5699" s="33">
        <v>4715</v>
      </c>
      <c r="C5699" s="3">
        <v>100000</v>
      </c>
      <c r="D5699" s="3">
        <v>70000</v>
      </c>
      <c r="E5699" s="7">
        <f t="shared" si="109"/>
        <v>30000</v>
      </c>
      <c r="F5699" s="5">
        <v>45939</v>
      </c>
      <c r="G5699" s="4">
        <v>20251008</v>
      </c>
      <c r="H5699" s="38" t="str">
        <f>VLOOKUP(B5699,CAJEROS!B:D,3,0)</f>
        <v>Dispensador</v>
      </c>
      <c r="I5699" s="34" t="s">
        <v>9</v>
      </c>
      <c r="J5699" s="38" t="str">
        <f>VLOOKUP(B5699,CAJEROS!B:E,4,0)</f>
        <v>SUCREALMIN3</v>
      </c>
      <c r="K5699" t="s">
        <v>610</v>
      </c>
    </row>
    <row r="5700" spans="1:11">
      <c r="A5700" s="32">
        <v>844</v>
      </c>
      <c r="B5700" s="33">
        <v>6157</v>
      </c>
      <c r="C5700" s="3">
        <v>50000</v>
      </c>
      <c r="D5700" s="3"/>
      <c r="E5700" s="7">
        <f t="shared" si="109"/>
        <v>50000</v>
      </c>
      <c r="F5700" s="5">
        <v>45939</v>
      </c>
      <c r="G5700" s="4">
        <v>20251008</v>
      </c>
      <c r="H5700" s="38" t="str">
        <f>VLOOKUP(B5700,CAJEROS!B:D,3,0)</f>
        <v>Dispensador</v>
      </c>
      <c r="I5700" s="34" t="s">
        <v>9</v>
      </c>
      <c r="J5700" s="38" t="str">
        <f>VLOOKUP(B5700,CAJEROS!B:E,4,0)</f>
        <v>SUCCCPRIMA3</v>
      </c>
      <c r="K5700" t="s">
        <v>610</v>
      </c>
    </row>
    <row r="5701" spans="1:11">
      <c r="A5701" s="32">
        <v>33</v>
      </c>
      <c r="B5701" s="33">
        <v>8861</v>
      </c>
      <c r="C5701" s="3">
        <v>4000000</v>
      </c>
      <c r="D5701" s="3">
        <v>2764000</v>
      </c>
      <c r="E5701" s="7">
        <f t="shared" si="109"/>
        <v>1236000</v>
      </c>
      <c r="F5701" s="5">
        <v>45939</v>
      </c>
      <c r="G5701" s="4">
        <v>20251008</v>
      </c>
      <c r="H5701" s="38" t="str">
        <f>VLOOKUP(B5701,CAJEROS!B:D,3,0)</f>
        <v>Multifuncional</v>
      </c>
      <c r="I5701" s="34"/>
      <c r="J5701" s="38" t="str">
        <f>VLOOKUP(B5701,CAJEROS!B:E,4,0)</f>
        <v>MF_SPOLCLU1</v>
      </c>
      <c r="K5701" t="s">
        <v>610</v>
      </c>
    </row>
    <row r="5702" spans="1:11">
      <c r="A5702" s="32">
        <v>78</v>
      </c>
      <c r="B5702" s="33">
        <v>8594</v>
      </c>
      <c r="C5702" s="3">
        <v>5000</v>
      </c>
      <c r="D5702" s="3"/>
      <c r="E5702" s="7">
        <f t="shared" si="109"/>
        <v>5000</v>
      </c>
      <c r="F5702" s="5">
        <v>45939</v>
      </c>
      <c r="G5702" s="4">
        <v>20251008</v>
      </c>
      <c r="H5702" s="38" t="str">
        <f>VLOOKUP(B5702,CAJEROS!B:D,3,0)</f>
        <v>Multifuncional</v>
      </c>
      <c r="I5702" s="34"/>
      <c r="J5702" s="38" t="str">
        <f>VLOOKUP(B5702,CAJEROS!B:E,4,0)</f>
        <v>MF_CACIQUE2</v>
      </c>
      <c r="K5702" t="s">
        <v>610</v>
      </c>
    </row>
    <row r="5703" spans="1:11">
      <c r="A5703" s="32">
        <v>85</v>
      </c>
      <c r="B5703" s="33">
        <v>8974</v>
      </c>
      <c r="C5703" s="3">
        <v>89600</v>
      </c>
      <c r="D5703" s="3"/>
      <c r="E5703" s="7">
        <f t="shared" si="109"/>
        <v>89600</v>
      </c>
      <c r="F5703" s="5">
        <v>45939</v>
      </c>
      <c r="G5703" s="4">
        <v>20251008</v>
      </c>
      <c r="H5703" s="38" t="str">
        <f>VLOOKUP(B5703,CAJEROS!B:D,3,0)</f>
        <v>Multifuncional</v>
      </c>
      <c r="I5703" s="34"/>
      <c r="J5703" s="38" t="str">
        <f>VLOOKUP(B5703,CAJEROS!B:E,4,0)</f>
        <v>MF_SUCSERZU</v>
      </c>
      <c r="K5703" t="s">
        <v>610</v>
      </c>
    </row>
    <row r="5704" spans="1:11">
      <c r="A5704" s="32">
        <v>91</v>
      </c>
      <c r="B5704" s="33">
        <v>7943</v>
      </c>
      <c r="C5704" s="3">
        <v>9254000</v>
      </c>
      <c r="D5704" s="3"/>
      <c r="E5704" s="7">
        <f t="shared" si="109"/>
        <v>9254000</v>
      </c>
      <c r="F5704" s="5">
        <v>45939</v>
      </c>
      <c r="G5704" s="4">
        <v>20251008</v>
      </c>
      <c r="H5704" s="38" t="str">
        <f>VLOOKUP(B5704,CAJEROS!B:D,3,0)</f>
        <v>Multifuncional</v>
      </c>
      <c r="I5704" s="34"/>
      <c r="J5704" s="38" t="str">
        <f>VLOOKUP(B5704,CAJEROS!B:E,4,0)</f>
        <v>MF_MONTERI2</v>
      </c>
      <c r="K5704" t="s">
        <v>610</v>
      </c>
    </row>
    <row r="5705" spans="1:11">
      <c r="A5705" s="32">
        <v>202</v>
      </c>
      <c r="B5705" s="33">
        <v>6608</v>
      </c>
      <c r="C5705" s="3">
        <v>12542450</v>
      </c>
      <c r="D5705" s="3">
        <v>11533950</v>
      </c>
      <c r="E5705" s="7">
        <f t="shared" si="109"/>
        <v>1008500</v>
      </c>
      <c r="F5705" s="5">
        <v>45939</v>
      </c>
      <c r="G5705" s="4">
        <v>20251008</v>
      </c>
      <c r="H5705" s="38" t="str">
        <f>VLOOKUP(B5705,CAJEROS!B:D,3,0)</f>
        <v>Multifuncional</v>
      </c>
      <c r="I5705" s="34"/>
      <c r="J5705" s="38" t="str">
        <f>VLOOKUP(B5705,CAJEROS!B:E,4,0)</f>
        <v>MF_AVPEPESI</v>
      </c>
      <c r="K5705" t="s">
        <v>610</v>
      </c>
    </row>
    <row r="5706" spans="1:11">
      <c r="A5706" s="32">
        <v>217</v>
      </c>
      <c r="B5706" s="33">
        <v>5208</v>
      </c>
      <c r="C5706" s="3">
        <v>5606000</v>
      </c>
      <c r="D5706" s="3">
        <v>450000</v>
      </c>
      <c r="E5706" s="7">
        <f t="shared" si="109"/>
        <v>5156000</v>
      </c>
      <c r="F5706" s="5">
        <v>45939</v>
      </c>
      <c r="G5706" s="4">
        <v>20251008</v>
      </c>
      <c r="H5706" s="38" t="str">
        <f>VLOOKUP(B5706,CAJEROS!B:D,3,0)</f>
        <v>Multifuncional</v>
      </c>
      <c r="I5706" s="34"/>
      <c r="J5706" s="38" t="str">
        <f>VLOOKUP(B5706,CAJEROS!B:E,4,0)</f>
        <v>MF_MONTEVID</v>
      </c>
      <c r="K5706" t="s">
        <v>610</v>
      </c>
    </row>
    <row r="5707" spans="1:11">
      <c r="A5707" s="32">
        <v>225</v>
      </c>
      <c r="B5707" s="33">
        <v>8868</v>
      </c>
      <c r="C5707" s="3">
        <v>8750000</v>
      </c>
      <c r="D5707" s="3"/>
      <c r="E5707" s="7">
        <f t="shared" ref="E5707:E5770" si="110">+C5707-D5707</f>
        <v>8750000</v>
      </c>
      <c r="F5707" s="5">
        <v>45939</v>
      </c>
      <c r="G5707" s="4">
        <v>20251008</v>
      </c>
      <c r="H5707" s="38" t="str">
        <f>VLOOKUP(B5707,CAJEROS!B:D,3,0)</f>
        <v>Multifuncional</v>
      </c>
      <c r="I5707" s="34"/>
      <c r="J5707" s="38" t="str">
        <f>VLOOKUP(B5707,CAJEROS!B:E,4,0)</f>
        <v>MF_SMPLNQS1</v>
      </c>
      <c r="K5707" t="s">
        <v>610</v>
      </c>
    </row>
    <row r="5708" spans="1:11">
      <c r="A5708" s="32">
        <v>291</v>
      </c>
      <c r="B5708" s="33">
        <v>8139</v>
      </c>
      <c r="C5708" s="3">
        <v>754600</v>
      </c>
      <c r="D5708" s="3">
        <v>143100</v>
      </c>
      <c r="E5708" s="7">
        <f t="shared" si="110"/>
        <v>611500</v>
      </c>
      <c r="F5708" s="5">
        <v>45939</v>
      </c>
      <c r="G5708" s="4">
        <v>20251008</v>
      </c>
      <c r="H5708" s="38" t="str">
        <f>VLOOKUP(B5708,CAJEROS!B:D,3,0)</f>
        <v>Multifuncional</v>
      </c>
      <c r="I5708" s="34"/>
      <c r="J5708" s="38" t="str">
        <f>VLOOKUP(B5708,CAJEROS!B:E,4,0)</f>
        <v>MF_LPALMAS2</v>
      </c>
      <c r="K5708" t="s">
        <v>610</v>
      </c>
    </row>
    <row r="5709" spans="1:11">
      <c r="A5709" s="32">
        <v>318</v>
      </c>
      <c r="B5709" s="33">
        <v>5136</v>
      </c>
      <c r="C5709" s="3">
        <v>3000</v>
      </c>
      <c r="D5709" s="3"/>
      <c r="E5709" s="7">
        <f t="shared" si="110"/>
        <v>3000</v>
      </c>
      <c r="F5709" s="5">
        <v>45939</v>
      </c>
      <c r="G5709" s="4">
        <v>20251008</v>
      </c>
      <c r="H5709" s="38" t="str">
        <f>VLOOKUP(B5709,CAJEROS!B:D,3,0)</f>
        <v>Multifuncional</v>
      </c>
      <c r="I5709" s="34"/>
      <c r="J5709" s="38" t="str">
        <f>VLOOKUP(B5709,CAJEROS!B:E,4,0)</f>
        <v>MF_SUCOCANA</v>
      </c>
      <c r="K5709" t="s">
        <v>610</v>
      </c>
    </row>
    <row r="5710" spans="1:11">
      <c r="A5710" s="32">
        <v>377</v>
      </c>
      <c r="B5710" s="33">
        <v>1508</v>
      </c>
      <c r="C5710" s="3">
        <v>577000</v>
      </c>
      <c r="D5710" s="3"/>
      <c r="E5710" s="7">
        <f t="shared" si="110"/>
        <v>577000</v>
      </c>
      <c r="F5710" s="5">
        <v>45939</v>
      </c>
      <c r="G5710" s="4">
        <v>20251008</v>
      </c>
      <c r="H5710" s="38" t="str">
        <f>VLOOKUP(B5710,CAJEROS!B:D,3,0)</f>
        <v>Multifuncional</v>
      </c>
      <c r="I5710" s="34"/>
      <c r="J5710" s="38" t="str">
        <f>VLOOKUP(B5710,CAJEROS!B:E,4,0)</f>
        <v>MFSUCCIAV1</v>
      </c>
      <c r="K5710" t="s">
        <v>610</v>
      </c>
    </row>
    <row r="5711" spans="1:11">
      <c r="A5711" s="32">
        <v>523</v>
      </c>
      <c r="B5711" s="33">
        <v>5082</v>
      </c>
      <c r="C5711" s="3">
        <v>18486250</v>
      </c>
      <c r="D5711" s="3">
        <v>6000000</v>
      </c>
      <c r="E5711" s="7">
        <f t="shared" si="110"/>
        <v>12486250</v>
      </c>
      <c r="F5711" s="5">
        <v>45939</v>
      </c>
      <c r="G5711" s="4">
        <v>20251008</v>
      </c>
      <c r="H5711" s="38" t="str">
        <f>VLOOKUP(B5711,CAJEROS!B:D,3,0)</f>
        <v>Multifuncional</v>
      </c>
      <c r="I5711" s="34"/>
      <c r="J5711" s="38" t="str">
        <f>VLOOKUP(B5711,CAJEROS!B:E,4,0)</f>
        <v>MF_OVALLEDU</v>
      </c>
      <c r="K5711" t="s">
        <v>610</v>
      </c>
    </row>
    <row r="5712" spans="1:11">
      <c r="A5712" s="32">
        <v>569</v>
      </c>
      <c r="B5712" s="33">
        <v>8129</v>
      </c>
      <c r="C5712" s="3">
        <v>5122000</v>
      </c>
      <c r="D5712" s="3"/>
      <c r="E5712" s="7">
        <f t="shared" si="110"/>
        <v>5122000</v>
      </c>
      <c r="F5712" s="5">
        <v>45939</v>
      </c>
      <c r="G5712" s="4">
        <v>20251008</v>
      </c>
      <c r="H5712" s="38" t="str">
        <f>VLOOKUP(B5712,CAJEROS!B:D,3,0)</f>
        <v>Multifuncional</v>
      </c>
      <c r="I5712" s="34"/>
      <c r="J5712" s="38" t="str">
        <f>VLOOKUP(B5712,CAJEROS!B:E,4,0)</f>
        <v>MF_BUENMON2</v>
      </c>
      <c r="K5712" t="s">
        <v>610</v>
      </c>
    </row>
    <row r="5713" spans="1:11">
      <c r="A5713" s="32">
        <v>716</v>
      </c>
      <c r="B5713" s="33">
        <v>5192</v>
      </c>
      <c r="C5713" s="3">
        <v>1500000</v>
      </c>
      <c r="D5713" s="3"/>
      <c r="E5713" s="7">
        <f t="shared" si="110"/>
        <v>1500000</v>
      </c>
      <c r="F5713" s="5">
        <v>45939</v>
      </c>
      <c r="G5713" s="4">
        <v>20251008</v>
      </c>
      <c r="H5713" s="38" t="str">
        <f>VLOOKUP(B5713,CAJEROS!B:D,3,0)</f>
        <v>Multifuncional</v>
      </c>
      <c r="I5713" s="34"/>
      <c r="J5713" s="38" t="str">
        <f>VLOOKUP(B5713,CAJEROS!B:E,4,0)</f>
        <v>MF_AVCGORDS</v>
      </c>
      <c r="K5713" t="s">
        <v>610</v>
      </c>
    </row>
    <row r="5714" spans="1:11">
      <c r="A5714" s="32">
        <v>745</v>
      </c>
      <c r="B5714" s="33">
        <v>1477</v>
      </c>
      <c r="C5714" s="3">
        <v>6931000</v>
      </c>
      <c r="D5714" s="3">
        <f>2820000+1790000</f>
        <v>4610000</v>
      </c>
      <c r="E5714" s="7">
        <f t="shared" si="110"/>
        <v>2321000</v>
      </c>
      <c r="F5714" s="5">
        <v>45939</v>
      </c>
      <c r="G5714" s="4">
        <v>20251008</v>
      </c>
      <c r="H5714" s="38" t="str">
        <f>VLOOKUP(B5714,CAJEROS!B:D,3,0)</f>
        <v>Multifuncional</v>
      </c>
      <c r="I5714" s="34"/>
      <c r="J5714" s="38" t="str">
        <f>VLOOKUP(B5714,CAJEROS!B:E,4,0)</f>
        <v>MFSUCMALPZ2</v>
      </c>
      <c r="K5714" t="s">
        <v>610</v>
      </c>
    </row>
    <row r="5715" spans="1:11">
      <c r="A5715" s="32">
        <v>756</v>
      </c>
      <c r="B5715" s="33">
        <v>5183</v>
      </c>
      <c r="C5715" s="3">
        <v>713000</v>
      </c>
      <c r="D5715" s="3">
        <v>450000</v>
      </c>
      <c r="E5715" s="7">
        <f t="shared" si="110"/>
        <v>263000</v>
      </c>
      <c r="F5715" s="5">
        <v>45939</v>
      </c>
      <c r="G5715" s="4">
        <v>20251008</v>
      </c>
      <c r="H5715" s="38" t="str">
        <f>VLOOKUP(B5715,CAJEROS!B:D,3,0)</f>
        <v>Multifuncional</v>
      </c>
      <c r="I5715" s="34"/>
      <c r="J5715" s="38" t="str">
        <f>VLOOKUP(B5715,CAJEROS!B:E,4,0)</f>
        <v>MF_ARMNORTE</v>
      </c>
      <c r="K5715" t="s">
        <v>610</v>
      </c>
    </row>
    <row r="5716" spans="1:11">
      <c r="A5716" s="32">
        <v>816</v>
      </c>
      <c r="B5716" s="33">
        <v>5205</v>
      </c>
      <c r="C5716" s="3">
        <v>4015000</v>
      </c>
      <c r="D5716" s="3"/>
      <c r="E5716" s="7">
        <f t="shared" si="110"/>
        <v>4015000</v>
      </c>
      <c r="F5716" s="5">
        <v>45939</v>
      </c>
      <c r="G5716" s="4">
        <v>20251008</v>
      </c>
      <c r="H5716" s="38" t="str">
        <f>VLOOKUP(B5716,CAJEROS!B:D,3,0)</f>
        <v>Multifuncional</v>
      </c>
      <c r="I5716" s="34"/>
      <c r="J5716" s="38" t="str">
        <f>VLOOKUP(B5716,CAJEROS!B:E,4,0)</f>
        <v>MF_SUCLLE10</v>
      </c>
      <c r="K5716" t="s">
        <v>610</v>
      </c>
    </row>
    <row r="5717" spans="1:11">
      <c r="A5717" s="32">
        <v>843</v>
      </c>
      <c r="B5717" s="33">
        <v>6716</v>
      </c>
      <c r="C5717" s="3">
        <v>16900</v>
      </c>
      <c r="D5717" s="3"/>
      <c r="E5717" s="7">
        <f t="shared" si="110"/>
        <v>16900</v>
      </c>
      <c r="F5717" s="5">
        <v>45939</v>
      </c>
      <c r="G5717" s="4">
        <v>20251008</v>
      </c>
      <c r="H5717" s="38" t="str">
        <f>VLOOKUP(B5717,CAJEROS!B:D,3,0)</f>
        <v>Multifuncional</v>
      </c>
      <c r="I5717" s="34"/>
      <c r="J5717" s="38" t="str">
        <f>VLOOKUP(B5717,CAJEROS!B:E,4,0)</f>
        <v>MF_CPBUENAV</v>
      </c>
      <c r="K5717" t="s">
        <v>610</v>
      </c>
    </row>
    <row r="5718" spans="1:11">
      <c r="A5718" s="32">
        <v>859</v>
      </c>
      <c r="B5718" s="33">
        <v>5207</v>
      </c>
      <c r="C5718" s="3">
        <v>1717500</v>
      </c>
      <c r="D5718" s="3"/>
      <c r="E5718" s="7">
        <f t="shared" si="110"/>
        <v>1717500</v>
      </c>
      <c r="F5718" s="5">
        <v>45939</v>
      </c>
      <c r="G5718" s="4">
        <v>20251008</v>
      </c>
      <c r="H5718" s="38" t="e">
        <f>VLOOKUP(B5718,CAJEROS!B:D,3,0)</f>
        <v>#N/A</v>
      </c>
      <c r="I5718" s="34"/>
      <c r="J5718" s="38" t="e">
        <f>VLOOKUP(B5718,CAJEROS!B:E,4,0)</f>
        <v>#N/A</v>
      </c>
      <c r="K5718" t="s">
        <v>610</v>
      </c>
    </row>
    <row r="5719" spans="1:11">
      <c r="A5719" s="32">
        <v>941</v>
      </c>
      <c r="B5719" s="33">
        <v>5220</v>
      </c>
      <c r="C5719" s="3">
        <v>1561000</v>
      </c>
      <c r="D5719" s="3"/>
      <c r="E5719" s="7">
        <f t="shared" si="110"/>
        <v>1561000</v>
      </c>
      <c r="F5719" s="5">
        <v>45939</v>
      </c>
      <c r="G5719" s="4">
        <v>20251008</v>
      </c>
      <c r="H5719" s="38" t="str">
        <f>VLOOKUP(B5719,CAJEROS!B:D,3,0)</f>
        <v>Multifuncional</v>
      </c>
      <c r="I5719" s="34"/>
      <c r="J5719" s="38" t="str">
        <f>VLOOKUP(B5719,CAJEROS!B:E,4,0)</f>
        <v>MF_NEIVANVA</v>
      </c>
      <c r="K5719" t="s">
        <v>610</v>
      </c>
    </row>
    <row r="5720" spans="1:11">
      <c r="A5720" s="32">
        <v>764</v>
      </c>
      <c r="B5720" s="33">
        <v>6715</v>
      </c>
      <c r="C5720" s="3">
        <v>3855200</v>
      </c>
      <c r="D5720" s="3">
        <v>3850600</v>
      </c>
      <c r="E5720" s="7">
        <f t="shared" si="110"/>
        <v>4600</v>
      </c>
      <c r="F5720" s="5">
        <v>45939</v>
      </c>
      <c r="G5720" s="4">
        <v>20251008</v>
      </c>
      <c r="H5720" s="38" t="str">
        <f>VLOOKUP(B5720,CAJEROS!B:D,3,0)</f>
        <v>Multifuncional</v>
      </c>
      <c r="I5720" s="34" t="s">
        <v>9</v>
      </c>
      <c r="J5720" s="38" t="str">
        <f>VLOOKUP(B5720,CAJEROS!B:E,4,0)</f>
        <v>MF_JAMUNDI</v>
      </c>
      <c r="K5720" t="s">
        <v>610</v>
      </c>
    </row>
    <row r="5721" spans="1:11">
      <c r="A5721" s="32">
        <v>866</v>
      </c>
      <c r="B5721" s="33">
        <v>8662</v>
      </c>
      <c r="C5721" s="3">
        <v>3843000</v>
      </c>
      <c r="D5721" s="3">
        <v>3840200</v>
      </c>
      <c r="E5721" s="7">
        <f t="shared" si="110"/>
        <v>2800</v>
      </c>
      <c r="F5721" s="5">
        <v>45939</v>
      </c>
      <c r="G5721" s="4">
        <v>20251008</v>
      </c>
      <c r="H5721" s="38" t="str">
        <f>VLOOKUP(B5721,CAJEROS!B:D,3,0)</f>
        <v>Multifuncional</v>
      </c>
      <c r="I5721" s="34" t="s">
        <v>9</v>
      </c>
      <c r="J5721" s="38" t="str">
        <f>VLOOKUP(B5721,CAJEROS!B:E,4,0)</f>
        <v>MF_FLORID3</v>
      </c>
      <c r="K5721" t="s">
        <v>610</v>
      </c>
    </row>
    <row r="5722" spans="1:11">
      <c r="A5722" s="32">
        <v>79</v>
      </c>
      <c r="B5722" s="33">
        <v>6245</v>
      </c>
      <c r="C5722" s="3">
        <v>2700000</v>
      </c>
      <c r="D5722" s="3"/>
      <c r="E5722" s="7">
        <f t="shared" si="110"/>
        <v>2700000</v>
      </c>
      <c r="F5722" s="5">
        <v>45939</v>
      </c>
      <c r="G5722" s="4">
        <v>20251008</v>
      </c>
      <c r="H5722" s="38" t="str">
        <f>VLOOKUP(B5722,CAJEROS!B:D,3,0)</f>
        <v>Multifuncional</v>
      </c>
      <c r="I5722" s="34" t="s">
        <v>9</v>
      </c>
      <c r="J5722" s="38" t="str">
        <f>VLOOKUP(B5722,CAJEROS!B:E,4,0)</f>
        <v>MF_LAQUINTA</v>
      </c>
      <c r="K5722" t="s">
        <v>610</v>
      </c>
    </row>
    <row r="5723" spans="1:11">
      <c r="A5723" s="32">
        <v>70</v>
      </c>
      <c r="B5723" s="33">
        <v>5164</v>
      </c>
      <c r="C5723" s="3">
        <v>2625000</v>
      </c>
      <c r="D5723" s="3"/>
      <c r="E5723" s="7">
        <f t="shared" si="110"/>
        <v>2625000</v>
      </c>
      <c r="F5723" s="5">
        <v>45939</v>
      </c>
      <c r="G5723" s="4">
        <v>20251008</v>
      </c>
      <c r="H5723" s="38" t="str">
        <f>VLOOKUP(B5723,CAJEROS!B:D,3,0)</f>
        <v>Multifuncional</v>
      </c>
      <c r="I5723" s="34" t="s">
        <v>9</v>
      </c>
      <c r="J5723" s="38" t="str">
        <f>VLOOKUP(B5723,CAJEROS!B:E,4,0)</f>
        <v>MF_MANIZALE</v>
      </c>
      <c r="K5723" t="s">
        <v>610</v>
      </c>
    </row>
    <row r="5724" spans="1:11">
      <c r="A5724" s="32">
        <v>750</v>
      </c>
      <c r="B5724" s="33">
        <v>5157</v>
      </c>
      <c r="C5724" s="3">
        <v>2530000</v>
      </c>
      <c r="D5724" s="3"/>
      <c r="E5724" s="7">
        <f t="shared" si="110"/>
        <v>2530000</v>
      </c>
      <c r="F5724" s="5">
        <v>45939</v>
      </c>
      <c r="G5724" s="4">
        <v>20251008</v>
      </c>
      <c r="H5724" s="38" t="str">
        <f>VLOOKUP(B5724,CAJEROS!B:D,3,0)</f>
        <v>Multifuncional</v>
      </c>
      <c r="I5724" s="34" t="s">
        <v>9</v>
      </c>
      <c r="J5724" s="38" t="str">
        <f>VLOOKUP(B5724,CAJEROS!B:E,4,0)</f>
        <v>MF_AVROOSVL</v>
      </c>
      <c r="K5724" t="s">
        <v>610</v>
      </c>
    </row>
    <row r="5725" spans="1:11">
      <c r="A5725" s="32">
        <v>361</v>
      </c>
      <c r="B5725" s="33">
        <v>5005</v>
      </c>
      <c r="C5725" s="3">
        <v>2480000</v>
      </c>
      <c r="D5725" s="3">
        <v>2418000</v>
      </c>
      <c r="E5725" s="7">
        <f t="shared" si="110"/>
        <v>62000</v>
      </c>
      <c r="F5725" s="5">
        <v>45939</v>
      </c>
      <c r="G5725" s="4">
        <v>20251008</v>
      </c>
      <c r="H5725" s="38" t="str">
        <f>VLOOKUP(B5725,CAJEROS!B:D,3,0)</f>
        <v>Multifuncional</v>
      </c>
      <c r="I5725" s="34" t="s">
        <v>9</v>
      </c>
      <c r="J5725" s="38" t="str">
        <f>VLOOKUP(B5725,CAJEROS!B:E,4,0)</f>
        <v>MF_CDPFONTI</v>
      </c>
      <c r="K5725" t="s">
        <v>610</v>
      </c>
    </row>
    <row r="5726" spans="1:11">
      <c r="A5726" s="32">
        <v>516</v>
      </c>
      <c r="B5726" s="33">
        <v>9729</v>
      </c>
      <c r="C5726" s="3">
        <v>2296000</v>
      </c>
      <c r="D5726" s="3"/>
      <c r="E5726" s="7">
        <f t="shared" si="110"/>
        <v>2296000</v>
      </c>
      <c r="F5726" s="5">
        <v>45939</v>
      </c>
      <c r="G5726" s="4">
        <v>20251008</v>
      </c>
      <c r="H5726" s="38" t="str">
        <f>VLOOKUP(B5726,CAJEROS!B:D,3,0)</f>
        <v>Multifuncional</v>
      </c>
      <c r="I5726" s="34" t="s">
        <v>9</v>
      </c>
      <c r="J5726" s="38" t="str">
        <f>VLOOKUP(B5726,CAJEROS!B:E,4,0)</f>
        <v>MF_SUCSTAM1</v>
      </c>
      <c r="K5726" t="s">
        <v>610</v>
      </c>
    </row>
    <row r="5727" spans="1:11">
      <c r="A5727" s="32">
        <v>154</v>
      </c>
      <c r="B5727" s="33">
        <v>5041</v>
      </c>
      <c r="C5727" s="3">
        <v>1925000</v>
      </c>
      <c r="D5727" s="3"/>
      <c r="E5727" s="7">
        <f t="shared" si="110"/>
        <v>1925000</v>
      </c>
      <c r="F5727" s="5">
        <v>45939</v>
      </c>
      <c r="G5727" s="4">
        <v>20251008</v>
      </c>
      <c r="H5727" s="38" t="str">
        <f>VLOOKUP(B5727,CAJEROS!B:D,3,0)</f>
        <v>Multifuncional</v>
      </c>
      <c r="I5727" s="34" t="s">
        <v>9</v>
      </c>
      <c r="J5727" s="38" t="str">
        <f>VLOOKUP(B5727,CAJEROS!B:E,4,0)</f>
        <v>MF_CMAYOR</v>
      </c>
      <c r="K5727" t="s">
        <v>610</v>
      </c>
    </row>
    <row r="5728" spans="1:11">
      <c r="A5728" s="32">
        <v>285</v>
      </c>
      <c r="B5728" s="33">
        <v>5228</v>
      </c>
      <c r="C5728" s="3">
        <v>1839450</v>
      </c>
      <c r="D5728" s="3"/>
      <c r="E5728" s="7">
        <f t="shared" si="110"/>
        <v>1839450</v>
      </c>
      <c r="F5728" s="5">
        <v>45939</v>
      </c>
      <c r="G5728" s="4">
        <v>20251008</v>
      </c>
      <c r="H5728" s="38" t="str">
        <f>VLOOKUP(B5728,CAJEROS!B:D,3,0)</f>
        <v>Multifuncional</v>
      </c>
      <c r="I5728" s="34" t="s">
        <v>9</v>
      </c>
      <c r="J5728" s="38" t="str">
        <f>VLOOKUP(B5728,CAJEROS!B:E,4,0)</f>
        <v>MF_GARZON</v>
      </c>
      <c r="K5728" t="s">
        <v>610</v>
      </c>
    </row>
    <row r="5729" spans="1:11">
      <c r="A5729" s="32">
        <v>481</v>
      </c>
      <c r="B5729" s="33">
        <v>1010</v>
      </c>
      <c r="C5729" s="3">
        <v>1500000</v>
      </c>
      <c r="D5729" s="3">
        <f>310000+1000000</f>
        <v>1310000</v>
      </c>
      <c r="E5729" s="7">
        <f t="shared" si="110"/>
        <v>190000</v>
      </c>
      <c r="F5729" s="5">
        <v>45939</v>
      </c>
      <c r="G5729" s="4">
        <v>20251008</v>
      </c>
      <c r="H5729" s="38" t="str">
        <f>VLOOKUP(B5729,CAJEROS!B:D,3,0)</f>
        <v>Multifuncional</v>
      </c>
      <c r="I5729" s="34" t="s">
        <v>9</v>
      </c>
      <c r="J5729" s="38" t="str">
        <f>VLOOKUP(B5729,CAJEROS!B:E,4,0)</f>
        <v>MF_SOLEDAD1</v>
      </c>
      <c r="K5729" t="s">
        <v>610</v>
      </c>
    </row>
    <row r="5730" spans="1:11">
      <c r="A5730" s="32">
        <v>652</v>
      </c>
      <c r="B5730" s="33">
        <v>5070</v>
      </c>
      <c r="C5730" s="3">
        <v>1467550</v>
      </c>
      <c r="D5730" s="3">
        <v>988250</v>
      </c>
      <c r="E5730" s="7">
        <f t="shared" si="110"/>
        <v>479300</v>
      </c>
      <c r="F5730" s="5">
        <v>45939</v>
      </c>
      <c r="G5730" s="4">
        <v>20251008</v>
      </c>
      <c r="H5730" s="38" t="str">
        <f>VLOOKUP(B5730,CAJEROS!B:D,3,0)</f>
        <v>Multifuncional</v>
      </c>
      <c r="I5730" s="34" t="s">
        <v>9</v>
      </c>
      <c r="J5730" s="38" t="str">
        <f>VLOOKUP(B5730,CAJEROS!B:E,4,0)</f>
        <v>MF_CHICO94</v>
      </c>
      <c r="K5730" t="s">
        <v>610</v>
      </c>
    </row>
    <row r="5731" spans="1:11">
      <c r="A5731" s="32">
        <v>959</v>
      </c>
      <c r="B5731" s="33">
        <v>9265</v>
      </c>
      <c r="C5731" s="3">
        <v>1409000</v>
      </c>
      <c r="D5731" s="3">
        <v>1400000</v>
      </c>
      <c r="E5731" s="7">
        <f t="shared" si="110"/>
        <v>9000</v>
      </c>
      <c r="F5731" s="5">
        <v>45939</v>
      </c>
      <c r="G5731" s="4">
        <v>20251008</v>
      </c>
      <c r="H5731" s="38" t="str">
        <f>VLOOKUP(B5731,CAJEROS!B:D,3,0)</f>
        <v>Multifuncional</v>
      </c>
      <c r="I5731" s="34" t="s">
        <v>9</v>
      </c>
      <c r="J5731" s="38" t="str">
        <f>VLOOKUP(B5731,CAJEROS!B:E,4,0)</f>
        <v>MFSUCTURBO1</v>
      </c>
      <c r="K5731" t="s">
        <v>610</v>
      </c>
    </row>
    <row r="5732" spans="1:11">
      <c r="A5732" s="32">
        <v>795</v>
      </c>
      <c r="B5732" s="33">
        <v>1029</v>
      </c>
      <c r="C5732" s="3">
        <v>1290000</v>
      </c>
      <c r="D5732" s="3"/>
      <c r="E5732" s="7">
        <f t="shared" si="110"/>
        <v>1290000</v>
      </c>
      <c r="F5732" s="5">
        <v>45939</v>
      </c>
      <c r="G5732" s="4">
        <v>20251008</v>
      </c>
      <c r="H5732" s="38" t="str">
        <f>VLOOKUP(B5732,CAJEROS!B:D,3,0)</f>
        <v>Multifuncional</v>
      </c>
      <c r="I5732" s="34" t="s">
        <v>9</v>
      </c>
      <c r="J5732" s="38" t="str">
        <f>VLOOKUP(B5732,CAJEROS!B:E,4,0)</f>
        <v>MFSUCANVER3</v>
      </c>
      <c r="K5732" t="s">
        <v>610</v>
      </c>
    </row>
    <row r="5733" spans="1:11">
      <c r="A5733" s="32">
        <v>15</v>
      </c>
      <c r="B5733" s="33">
        <v>8576</v>
      </c>
      <c r="C5733" s="3">
        <v>1280000</v>
      </c>
      <c r="D5733" s="3"/>
      <c r="E5733" s="7">
        <f t="shared" si="110"/>
        <v>1280000</v>
      </c>
      <c r="F5733" s="5">
        <v>45939</v>
      </c>
      <c r="G5733" s="4">
        <v>20251008</v>
      </c>
      <c r="H5733" s="38" t="str">
        <f>VLOOKUP(B5733,CAJEROS!B:D,3,0)</f>
        <v>Multifuncional</v>
      </c>
      <c r="I5733" s="34" t="s">
        <v>9</v>
      </c>
      <c r="J5733" s="38" t="str">
        <f>VLOOKUP(B5733,CAJEROS!B:E,4,0)</f>
        <v>MF_HITAGUI1</v>
      </c>
      <c r="K5733" t="s">
        <v>610</v>
      </c>
    </row>
    <row r="5734" spans="1:11">
      <c r="A5734" s="32">
        <v>781</v>
      </c>
      <c r="B5734" s="33">
        <v>5057</v>
      </c>
      <c r="C5734" s="3">
        <v>1277000</v>
      </c>
      <c r="D5734" s="3"/>
      <c r="E5734" s="7">
        <f t="shared" si="110"/>
        <v>1277000</v>
      </c>
      <c r="F5734" s="5">
        <v>45939</v>
      </c>
      <c r="G5734" s="4">
        <v>20251008</v>
      </c>
      <c r="H5734" s="38" t="str">
        <f>VLOOKUP(B5734,CAJEROS!B:D,3,0)</f>
        <v>Multifuncional</v>
      </c>
      <c r="I5734" s="34" t="s">
        <v>9</v>
      </c>
      <c r="J5734" s="38" t="str">
        <f>VLOOKUP(B5734,CAJEROS!B:E,4,0)</f>
        <v>MF_PRPLAZA</v>
      </c>
      <c r="K5734" t="s">
        <v>610</v>
      </c>
    </row>
    <row r="5735" spans="1:11">
      <c r="A5735" s="32">
        <v>509</v>
      </c>
      <c r="B5735" s="33">
        <v>8835</v>
      </c>
      <c r="C5735" s="3">
        <v>1150000</v>
      </c>
      <c r="D5735" s="3"/>
      <c r="E5735" s="7">
        <f t="shared" si="110"/>
        <v>1150000</v>
      </c>
      <c r="F5735" s="5">
        <v>45939</v>
      </c>
      <c r="G5735" s="4">
        <v>20251008</v>
      </c>
      <c r="H5735" s="38" t="str">
        <f>VLOOKUP(B5735,CAJEROS!B:D,3,0)</f>
        <v>Multifuncional</v>
      </c>
      <c r="I5735" s="34" t="s">
        <v>9</v>
      </c>
      <c r="J5735" s="38" t="str">
        <f>VLOOKUP(B5735,CAJEROS!B:E,4,0)</f>
        <v>MFTSUCURB1</v>
      </c>
      <c r="K5735" t="s">
        <v>610</v>
      </c>
    </row>
    <row r="5736" spans="1:11">
      <c r="A5736" s="32">
        <v>541</v>
      </c>
      <c r="B5736" s="33">
        <v>8660</v>
      </c>
      <c r="C5736" s="3">
        <v>910000</v>
      </c>
      <c r="D5736" s="3"/>
      <c r="E5736" s="7">
        <f t="shared" si="110"/>
        <v>910000</v>
      </c>
      <c r="F5736" s="5">
        <v>45939</v>
      </c>
      <c r="G5736" s="4">
        <v>20251008</v>
      </c>
      <c r="H5736" s="38" t="str">
        <f>VLOOKUP(B5736,CAJEROS!B:D,3,0)</f>
        <v>Multifuncional</v>
      </c>
      <c r="I5736" s="34" t="s">
        <v>9</v>
      </c>
      <c r="J5736" s="38" t="str">
        <f>VLOOKUP(B5736,CAJEROS!B:E,4,0)</f>
        <v>MF_SUCCALP2</v>
      </c>
      <c r="K5736" t="s">
        <v>610</v>
      </c>
    </row>
    <row r="5737" spans="1:11">
      <c r="A5737" s="32">
        <v>383</v>
      </c>
      <c r="B5737" s="33">
        <v>5194</v>
      </c>
      <c r="C5737" s="3">
        <v>900000</v>
      </c>
      <c r="D5737" s="3"/>
      <c r="E5737" s="7">
        <f t="shared" si="110"/>
        <v>900000</v>
      </c>
      <c r="F5737" s="5">
        <v>45939</v>
      </c>
      <c r="G5737" s="4">
        <v>20251008</v>
      </c>
      <c r="H5737" s="38" t="str">
        <f>VLOOKUP(B5737,CAJEROS!B:D,3,0)</f>
        <v>Multifuncional</v>
      </c>
      <c r="I5737" s="34" t="s">
        <v>9</v>
      </c>
      <c r="J5737" s="38" t="str">
        <f>VLOOKUP(B5737,CAJEROS!B:E,4,0)</f>
        <v>MF_MADRID</v>
      </c>
      <c r="K5737" t="s">
        <v>610</v>
      </c>
    </row>
    <row r="5738" spans="1:11">
      <c r="A5738" s="32">
        <v>659</v>
      </c>
      <c r="B5738" s="33">
        <v>5102</v>
      </c>
      <c r="C5738" s="3">
        <v>900000</v>
      </c>
      <c r="D5738" s="3"/>
      <c r="E5738" s="7">
        <f t="shared" si="110"/>
        <v>900000</v>
      </c>
      <c r="F5738" s="5">
        <v>45939</v>
      </c>
      <c r="G5738" s="4">
        <v>20251008</v>
      </c>
      <c r="H5738" s="38" t="str">
        <f>VLOOKUP(B5738,CAJEROS!B:D,3,0)</f>
        <v>Multifuncional</v>
      </c>
      <c r="I5738" s="34" t="s">
        <v>9</v>
      </c>
      <c r="J5738" s="38" t="str">
        <f>VLOOKUP(B5738,CAJEROS!B:E,4,0)</f>
        <v>MF_GIRARDOT</v>
      </c>
      <c r="K5738" t="s">
        <v>610</v>
      </c>
    </row>
    <row r="5739" spans="1:11">
      <c r="A5739" s="32">
        <v>769</v>
      </c>
      <c r="B5739" s="33">
        <v>8679</v>
      </c>
      <c r="C5739" s="3">
        <v>890000</v>
      </c>
      <c r="D5739" s="3">
        <v>610000</v>
      </c>
      <c r="E5739" s="7">
        <f t="shared" si="110"/>
        <v>280000</v>
      </c>
      <c r="F5739" s="5">
        <v>45939</v>
      </c>
      <c r="G5739" s="4">
        <v>20251008</v>
      </c>
      <c r="H5739" s="38" t="str">
        <f>VLOOKUP(B5739,CAJEROS!B:D,3,0)</f>
        <v>Multifuncional</v>
      </c>
      <c r="I5739" s="34" t="s">
        <v>9</v>
      </c>
      <c r="J5739" s="38" t="str">
        <f>VLOOKUP(B5739,CAJEROS!B:E,4,0)</f>
        <v>MF_SUCPPRA1</v>
      </c>
      <c r="K5739" t="s">
        <v>610</v>
      </c>
    </row>
    <row r="5740" spans="1:11">
      <c r="A5740" s="32">
        <v>348</v>
      </c>
      <c r="B5740" s="33">
        <v>6724</v>
      </c>
      <c r="C5740" s="3">
        <v>859000</v>
      </c>
      <c r="D5740" s="3"/>
      <c r="E5740" s="7">
        <f t="shared" si="110"/>
        <v>859000</v>
      </c>
      <c r="F5740" s="5">
        <v>45939</v>
      </c>
      <c r="G5740" s="4">
        <v>20251008</v>
      </c>
      <c r="H5740" s="38" t="str">
        <f>VLOOKUP(B5740,CAJEROS!B:D,3,0)</f>
        <v>Multifuncional</v>
      </c>
      <c r="I5740" s="34" t="s">
        <v>9</v>
      </c>
      <c r="J5740" s="38" t="str">
        <f>VLOOKUP(B5740,CAJEROS!B:E,4,0)</f>
        <v>MF_SANANDRE</v>
      </c>
      <c r="K5740" t="s">
        <v>610</v>
      </c>
    </row>
    <row r="5741" spans="1:11">
      <c r="A5741" s="32">
        <v>944</v>
      </c>
      <c r="B5741" s="33">
        <v>2228</v>
      </c>
      <c r="C5741" s="3">
        <v>465000</v>
      </c>
      <c r="D5741" s="3"/>
      <c r="E5741" s="7">
        <f t="shared" si="110"/>
        <v>465000</v>
      </c>
      <c r="F5741" s="5">
        <v>45939</v>
      </c>
      <c r="G5741" s="4">
        <v>20251008</v>
      </c>
      <c r="H5741" s="38" t="str">
        <f>VLOOKUP(B5741,CAJEROS!B:D,3,0)</f>
        <v>Multifuncional</v>
      </c>
      <c r="I5741" s="34" t="s">
        <v>9</v>
      </c>
      <c r="J5741" s="38" t="str">
        <f>VLOOKUP(B5741,CAJEROS!B:E,4,0)</f>
        <v>MF_SANTABO3</v>
      </c>
      <c r="K5741" t="s">
        <v>610</v>
      </c>
    </row>
    <row r="5742" spans="1:11">
      <c r="A5742" s="32">
        <v>264</v>
      </c>
      <c r="B5742" s="33">
        <v>9906</v>
      </c>
      <c r="C5742" s="3">
        <v>370000</v>
      </c>
      <c r="D5742" s="3">
        <v>366450</v>
      </c>
      <c r="E5742" s="7">
        <f t="shared" si="110"/>
        <v>3550</v>
      </c>
      <c r="F5742" s="5">
        <v>45939</v>
      </c>
      <c r="G5742" s="4">
        <v>20251008</v>
      </c>
      <c r="H5742" s="38" t="str">
        <f>VLOOKUP(B5742,CAJEROS!B:D,3,0)</f>
        <v>Multifuncional</v>
      </c>
      <c r="I5742" s="34" t="s">
        <v>9</v>
      </c>
      <c r="J5742" s="38" t="str">
        <f>VLOOKUP(B5742,CAJEROS!B:E,4,0)</f>
        <v>MFSUCFUSAG1</v>
      </c>
      <c r="K5742" t="s">
        <v>610</v>
      </c>
    </row>
    <row r="5743" spans="1:11">
      <c r="A5743" s="32">
        <v>915</v>
      </c>
      <c r="B5743" s="33">
        <v>8314</v>
      </c>
      <c r="C5743" s="3">
        <v>301000</v>
      </c>
      <c r="D5743" s="3">
        <v>183000</v>
      </c>
      <c r="E5743" s="7">
        <f t="shared" si="110"/>
        <v>118000</v>
      </c>
      <c r="F5743" s="5">
        <v>45939</v>
      </c>
      <c r="G5743" s="4">
        <v>20251008</v>
      </c>
      <c r="H5743" s="38" t="str">
        <f>VLOOKUP(B5743,CAJEROS!B:D,3,0)</f>
        <v>Multifuncional</v>
      </c>
      <c r="I5743" s="34" t="s">
        <v>9</v>
      </c>
      <c r="J5743" s="38" t="str">
        <f>VLOOKUP(B5743,CAJEROS!B:E,4,0)</f>
        <v>MF_BANLABB2</v>
      </c>
      <c r="K5743" t="s">
        <v>610</v>
      </c>
    </row>
    <row r="5744" spans="1:11">
      <c r="A5744" s="32">
        <v>481</v>
      </c>
      <c r="B5744" s="33">
        <v>1011</v>
      </c>
      <c r="C5744" s="3">
        <v>210000</v>
      </c>
      <c r="D5744" s="3"/>
      <c r="E5744" s="7">
        <f t="shared" si="110"/>
        <v>210000</v>
      </c>
      <c r="F5744" s="5">
        <v>45939</v>
      </c>
      <c r="G5744" s="4">
        <v>20251008</v>
      </c>
      <c r="H5744" s="38" t="str">
        <f>VLOOKUP(B5744,CAJEROS!B:D,3,0)</f>
        <v>Multifuncional</v>
      </c>
      <c r="I5744" s="34" t="s">
        <v>9</v>
      </c>
      <c r="J5744" s="38" t="str">
        <f>VLOOKUP(B5744,CAJEROS!B:E,4,0)</f>
        <v>MF_SOLEDAD2</v>
      </c>
      <c r="K5744" t="s">
        <v>610</v>
      </c>
    </row>
    <row r="5745" spans="1:11">
      <c r="A5745" s="32">
        <v>601</v>
      </c>
      <c r="B5745" s="33">
        <v>6407</v>
      </c>
      <c r="C5745" s="3">
        <v>170000</v>
      </c>
      <c r="D5745" s="3"/>
      <c r="E5745" s="7">
        <f t="shared" si="110"/>
        <v>170000</v>
      </c>
      <c r="F5745" s="5">
        <v>45939</v>
      </c>
      <c r="G5745" s="4">
        <v>20251008</v>
      </c>
      <c r="H5745" s="38" t="str">
        <f>VLOOKUP(B5745,CAJEROS!B:D,3,0)</f>
        <v>Multifuncional</v>
      </c>
      <c r="I5745" s="34" t="s">
        <v>9</v>
      </c>
      <c r="J5745" s="38" t="str">
        <f>VLOOKUP(B5745,CAJEROS!B:E,4,0)</f>
        <v>MF_COLINACA</v>
      </c>
      <c r="K5745" t="s">
        <v>610</v>
      </c>
    </row>
    <row r="5746" spans="1:11">
      <c r="A5746" s="32">
        <v>253</v>
      </c>
      <c r="B5746" s="33">
        <v>5176</v>
      </c>
      <c r="C5746" s="3">
        <v>100000</v>
      </c>
      <c r="D5746" s="3"/>
      <c r="E5746" s="7">
        <f t="shared" si="110"/>
        <v>100000</v>
      </c>
      <c r="F5746" s="5">
        <v>45939</v>
      </c>
      <c r="G5746" s="4">
        <v>20251008</v>
      </c>
      <c r="H5746" s="38" t="str">
        <f>VLOOKUP(B5746,CAJEROS!B:D,3,0)</f>
        <v>Multifuncional</v>
      </c>
      <c r="I5746" s="34" t="s">
        <v>9</v>
      </c>
      <c r="J5746" s="38" t="str">
        <f>VLOOKUP(B5746,CAJEROS!B:E,4,0)</f>
        <v>MF_SPTANORT</v>
      </c>
      <c r="K5746" t="s">
        <v>610</v>
      </c>
    </row>
    <row r="5747" spans="1:11">
      <c r="A5747" s="32">
        <v>725</v>
      </c>
      <c r="B5747" s="33">
        <v>8090</v>
      </c>
      <c r="C5747" s="3">
        <v>100000</v>
      </c>
      <c r="D5747" s="3">
        <v>92000</v>
      </c>
      <c r="E5747" s="7">
        <f t="shared" si="110"/>
        <v>8000</v>
      </c>
      <c r="F5747" s="5">
        <v>45939</v>
      </c>
      <c r="G5747" s="4">
        <v>20251008</v>
      </c>
      <c r="H5747" s="38" t="str">
        <f>VLOOKUP(B5747,CAJEROS!B:D,3,0)</f>
        <v>Multifuncional</v>
      </c>
      <c r="I5747" s="34" t="s">
        <v>9</v>
      </c>
      <c r="J5747" s="38" t="str">
        <f>VLOOKUP(B5747,CAJEROS!B:E,4,0)</f>
        <v>MF_DOSQUEB2</v>
      </c>
      <c r="K5747" t="s">
        <v>610</v>
      </c>
    </row>
    <row r="5748" spans="1:11">
      <c r="A5748" s="32">
        <v>944</v>
      </c>
      <c r="B5748" s="33">
        <v>8354</v>
      </c>
      <c r="C5748" s="3">
        <v>94750</v>
      </c>
      <c r="D5748" s="3"/>
      <c r="E5748" s="7">
        <f t="shared" si="110"/>
        <v>94750</v>
      </c>
      <c r="F5748" s="5">
        <v>45939</v>
      </c>
      <c r="G5748" s="4">
        <v>20251008</v>
      </c>
      <c r="H5748" s="38" t="str">
        <f>VLOOKUP(B5748,CAJEROS!B:D,3,0)</f>
        <v>Multifuncional</v>
      </c>
      <c r="I5748" s="34" t="s">
        <v>9</v>
      </c>
      <c r="J5748" s="38" t="str">
        <f>VLOOKUP(B5748,CAJEROS!B:E,4,0)</f>
        <v>MF_SANTABO2</v>
      </c>
      <c r="K5748" t="s">
        <v>610</v>
      </c>
    </row>
    <row r="5749" spans="1:11">
      <c r="A5749" s="32">
        <v>73</v>
      </c>
      <c r="B5749" s="33">
        <v>5108</v>
      </c>
      <c r="C5749" s="3">
        <v>90000</v>
      </c>
      <c r="D5749" s="3"/>
      <c r="E5749" s="7">
        <f t="shared" si="110"/>
        <v>90000</v>
      </c>
      <c r="F5749" s="5">
        <v>45939</v>
      </c>
      <c r="G5749" s="4">
        <v>20251008</v>
      </c>
      <c r="H5749" s="38" t="str">
        <f>VLOOKUP(B5749,CAJEROS!B:D,3,0)</f>
        <v>Multifuncional</v>
      </c>
      <c r="I5749" s="34" t="s">
        <v>9</v>
      </c>
      <c r="J5749" s="38" t="str">
        <f>VLOOKUP(B5749,CAJEROS!B:E,4,0)</f>
        <v>MF_PEREIRA</v>
      </c>
      <c r="K5749" t="s">
        <v>610</v>
      </c>
    </row>
    <row r="5750" spans="1:11">
      <c r="A5750" s="32">
        <v>442</v>
      </c>
      <c r="B5750" s="33">
        <v>8887</v>
      </c>
      <c r="C5750" s="3">
        <v>80000</v>
      </c>
      <c r="D5750" s="3"/>
      <c r="E5750" s="7">
        <f t="shared" si="110"/>
        <v>80000</v>
      </c>
      <c r="F5750" s="5">
        <v>45939</v>
      </c>
      <c r="G5750" s="4">
        <v>20251008</v>
      </c>
      <c r="H5750" s="38" t="str">
        <f>VLOOKUP(B5750,CAJEROS!B:D,3,0)</f>
        <v>Multifuncional</v>
      </c>
      <c r="I5750" s="34" t="s">
        <v>9</v>
      </c>
      <c r="J5750" s="38" t="str">
        <f>VLOOKUP(B5750,CAJEROS!B:E,4,0)</f>
        <v>MFVIVABQUI1</v>
      </c>
      <c r="K5750" t="s">
        <v>610</v>
      </c>
    </row>
    <row r="5751" spans="1:11">
      <c r="A5751" s="32">
        <v>442</v>
      </c>
      <c r="B5751" s="33">
        <v>8888</v>
      </c>
      <c r="C5751" s="3">
        <v>60000</v>
      </c>
      <c r="D5751" s="3"/>
      <c r="E5751" s="7">
        <f t="shared" si="110"/>
        <v>60000</v>
      </c>
      <c r="F5751" s="5">
        <v>45939</v>
      </c>
      <c r="G5751" s="4">
        <v>20251008</v>
      </c>
      <c r="H5751" s="38" t="str">
        <f>VLOOKUP(B5751,CAJEROS!B:D,3,0)</f>
        <v>Multifuncional</v>
      </c>
      <c r="I5751" s="34" t="s">
        <v>9</v>
      </c>
      <c r="J5751" s="38" t="str">
        <f>VLOOKUP(B5751,CAJEROS!B:E,4,0)</f>
        <v>MFVIVABQUI2</v>
      </c>
      <c r="K5751" t="s">
        <v>610</v>
      </c>
    </row>
    <row r="5752" spans="1:11">
      <c r="A5752" s="32">
        <v>141</v>
      </c>
      <c r="B5752" s="33">
        <v>1541</v>
      </c>
      <c r="C5752" s="3">
        <v>30000</v>
      </c>
      <c r="D5752" s="3"/>
      <c r="E5752" s="7">
        <f t="shared" si="110"/>
        <v>30000</v>
      </c>
      <c r="F5752" s="5">
        <v>45939</v>
      </c>
      <c r="G5752" s="4">
        <v>20251008</v>
      </c>
      <c r="H5752" s="38" t="str">
        <f>VLOOKUP(B5752,CAJEROS!B:D,3,0)</f>
        <v>Multifuncional</v>
      </c>
      <c r="I5752" s="34" t="s">
        <v>9</v>
      </c>
      <c r="J5752" s="38" t="str">
        <f>VLOOKUP(B5752,CAJEROS!B:E,4,0)</f>
        <v>MFSUCMERCA1</v>
      </c>
      <c r="K5752" t="s">
        <v>610</v>
      </c>
    </row>
    <row r="5753" spans="1:11">
      <c r="A5753" s="32">
        <v>820</v>
      </c>
      <c r="B5753" s="33">
        <v>6174</v>
      </c>
      <c r="C5753" s="3">
        <v>20300</v>
      </c>
      <c r="D5753" s="3">
        <v>15000</v>
      </c>
      <c r="E5753" s="7">
        <f t="shared" si="110"/>
        <v>5300</v>
      </c>
      <c r="F5753" s="5">
        <v>45939</v>
      </c>
      <c r="G5753" s="4">
        <v>20251008</v>
      </c>
      <c r="H5753" s="38" t="str">
        <f>VLOOKUP(B5753,CAJEROS!B:D,3,0)</f>
        <v>Multifuncional</v>
      </c>
      <c r="I5753" s="34" t="s">
        <v>9</v>
      </c>
      <c r="J5753" s="38" t="str">
        <f>VLOOKUP(B5753,CAJEROS!B:E,4,0)</f>
        <v>MF_AVCERO</v>
      </c>
      <c r="K5753" t="s">
        <v>610</v>
      </c>
    </row>
    <row r="5754" spans="1:11">
      <c r="A5754" s="32">
        <v>442</v>
      </c>
      <c r="B5754" s="33">
        <v>8884</v>
      </c>
      <c r="C5754" s="3">
        <v>10000</v>
      </c>
      <c r="D5754" s="3"/>
      <c r="E5754" s="7">
        <f t="shared" si="110"/>
        <v>10000</v>
      </c>
      <c r="F5754" s="5">
        <v>45939</v>
      </c>
      <c r="G5754" s="4">
        <v>20251008</v>
      </c>
      <c r="H5754" s="38" t="str">
        <f>VLOOKUP(B5754,CAJEROS!B:D,3,0)</f>
        <v>Dispensador</v>
      </c>
      <c r="I5754" s="34" t="s">
        <v>10</v>
      </c>
      <c r="J5754" s="38" t="str">
        <f>VLOOKUP(B5754,CAJEROS!B:E,4,0)</f>
        <v>VIVABQUILA2</v>
      </c>
      <c r="K5754" t="s">
        <v>610</v>
      </c>
    </row>
    <row r="5755" spans="1:11">
      <c r="A5755" s="32">
        <v>60</v>
      </c>
      <c r="B5755" s="33">
        <v>8724</v>
      </c>
      <c r="C5755" s="3">
        <v>20000</v>
      </c>
      <c r="D5755" s="3"/>
      <c r="E5755" s="7">
        <f t="shared" si="110"/>
        <v>20000</v>
      </c>
      <c r="F5755" s="5">
        <v>45939</v>
      </c>
      <c r="G5755" s="4">
        <v>20251008</v>
      </c>
      <c r="H5755" s="38" t="str">
        <f>VLOOKUP(B5755,CAJEROS!B:D,3,0)</f>
        <v>Dispensador</v>
      </c>
      <c r="I5755" s="34" t="s">
        <v>10</v>
      </c>
      <c r="J5755" s="38" t="str">
        <f>VLOOKUP(B5755,CAJEROS!B:E,4,0)</f>
        <v>HALLCALIPR6</v>
      </c>
      <c r="K5755" t="s">
        <v>610</v>
      </c>
    </row>
    <row r="5756" spans="1:11">
      <c r="A5756" s="32">
        <v>60</v>
      </c>
      <c r="B5756" s="33">
        <v>8723</v>
      </c>
      <c r="C5756" s="3">
        <v>20000</v>
      </c>
      <c r="D5756" s="3"/>
      <c r="E5756" s="7">
        <f t="shared" si="110"/>
        <v>20000</v>
      </c>
      <c r="F5756" s="5">
        <v>45939</v>
      </c>
      <c r="G5756" s="4">
        <v>20251008</v>
      </c>
      <c r="H5756" s="38" t="str">
        <f>VLOOKUP(B5756,CAJEROS!B:D,3,0)</f>
        <v>Dispensador</v>
      </c>
      <c r="I5756" s="34" t="s">
        <v>10</v>
      </c>
      <c r="J5756" s="38" t="str">
        <f>VLOOKUP(B5756,CAJEROS!B:E,4,0)</f>
        <v>HALLCALIPR5</v>
      </c>
      <c r="K5756" t="s">
        <v>610</v>
      </c>
    </row>
    <row r="5757" spans="1:11">
      <c r="A5757" s="32">
        <v>138</v>
      </c>
      <c r="B5757" s="33">
        <v>5780</v>
      </c>
      <c r="C5757" s="3">
        <v>20000</v>
      </c>
      <c r="D5757" s="3"/>
      <c r="E5757" s="7">
        <f t="shared" si="110"/>
        <v>20000</v>
      </c>
      <c r="F5757" s="5">
        <v>45939</v>
      </c>
      <c r="G5757" s="4">
        <v>20251008</v>
      </c>
      <c r="H5757" s="38" t="str">
        <f>VLOOKUP(B5757,CAJEROS!B:D,3,0)</f>
        <v>Dispensador</v>
      </c>
      <c r="I5757" s="34" t="s">
        <v>10</v>
      </c>
      <c r="J5757" s="38" t="str">
        <f>VLOOKUP(B5757,CAJEROS!B:E,4,0)</f>
        <v>SUC_MOSQUE3</v>
      </c>
      <c r="K5757" t="s">
        <v>610</v>
      </c>
    </row>
    <row r="5758" spans="1:11">
      <c r="A5758" s="32">
        <v>927</v>
      </c>
      <c r="B5758" s="33">
        <v>5750</v>
      </c>
      <c r="C5758" s="3">
        <v>20000</v>
      </c>
      <c r="D5758" s="3"/>
      <c r="E5758" s="7">
        <f t="shared" si="110"/>
        <v>20000</v>
      </c>
      <c r="F5758" s="5">
        <v>45939</v>
      </c>
      <c r="G5758" s="4">
        <v>20251008</v>
      </c>
      <c r="H5758" s="38" t="str">
        <f>VLOOKUP(B5758,CAJEROS!B:D,3,0)</f>
        <v>Dispensador</v>
      </c>
      <c r="I5758" s="34" t="s">
        <v>10</v>
      </c>
      <c r="J5758" s="38" t="str">
        <f>VLOOKUP(B5758,CAJEROS!B:E,4,0)</f>
        <v>SUC_MOCOA2</v>
      </c>
      <c r="K5758" t="s">
        <v>610</v>
      </c>
    </row>
    <row r="5759" spans="1:11">
      <c r="A5759" s="32">
        <v>32</v>
      </c>
      <c r="B5759" s="33">
        <v>5027</v>
      </c>
      <c r="C5759" s="3">
        <v>8000</v>
      </c>
      <c r="D5759" s="3"/>
      <c r="E5759" s="7">
        <f t="shared" si="110"/>
        <v>8000</v>
      </c>
      <c r="F5759" s="5">
        <v>45939</v>
      </c>
      <c r="G5759" s="4">
        <v>20251008</v>
      </c>
      <c r="H5759" s="38" t="str">
        <f>VLOOKUP(B5759,CAJEROS!B:D,3,0)</f>
        <v>Multifuncional</v>
      </c>
      <c r="I5759" s="34" t="s">
        <v>10</v>
      </c>
      <c r="J5759" s="38" t="str">
        <f>VLOOKUP(B5759,CAJEROS!B:E,4,0)</f>
        <v>MF_ANTCOUNT</v>
      </c>
      <c r="K5759" t="s">
        <v>610</v>
      </c>
    </row>
    <row r="5760" spans="1:11">
      <c r="A5760" s="32">
        <v>115</v>
      </c>
      <c r="B5760" s="33">
        <v>4758</v>
      </c>
      <c r="C5760" s="3">
        <v>20000</v>
      </c>
      <c r="D5760" s="3"/>
      <c r="E5760" s="7">
        <f t="shared" si="110"/>
        <v>20000</v>
      </c>
      <c r="F5760" s="5">
        <v>45939</v>
      </c>
      <c r="G5760" s="4">
        <v>20251008</v>
      </c>
      <c r="H5760" s="38" t="str">
        <f>VLOOKUP(B5760,CAJEROS!B:D,3,0)</f>
        <v>Dispensador</v>
      </c>
      <c r="I5760" s="34" t="s">
        <v>10</v>
      </c>
      <c r="J5760" s="38" t="str">
        <f>VLOOKUP(B5760,CAJEROS!B:E,4,0)</f>
        <v>SUC_CIRCUN2</v>
      </c>
      <c r="K5760" t="s">
        <v>610</v>
      </c>
    </row>
    <row r="5761" spans="1:11">
      <c r="A5761" s="32">
        <v>358</v>
      </c>
      <c r="B5761" s="33">
        <v>4499</v>
      </c>
      <c r="C5761" s="3">
        <v>20000</v>
      </c>
      <c r="D5761" s="3"/>
      <c r="E5761" s="7">
        <f t="shared" si="110"/>
        <v>20000</v>
      </c>
      <c r="F5761" s="5">
        <v>45939</v>
      </c>
      <c r="G5761" s="4">
        <v>20251008</v>
      </c>
      <c r="H5761" s="38" t="str">
        <f>VLOOKUP(B5761,CAJEROS!B:D,3,0)</f>
        <v>Dispensador</v>
      </c>
      <c r="I5761" s="34" t="s">
        <v>10</v>
      </c>
      <c r="J5761" s="38" t="str">
        <f>VLOOKUP(B5761,CAJEROS!B:E,4,0)</f>
        <v>SUC_SOGAMO1</v>
      </c>
      <c r="K5761" t="s">
        <v>610</v>
      </c>
    </row>
    <row r="5762" spans="1:11">
      <c r="A5762" s="32">
        <v>332</v>
      </c>
      <c r="B5762" s="33">
        <v>2556</v>
      </c>
      <c r="C5762" s="3">
        <v>10000</v>
      </c>
      <c r="D5762" s="3"/>
      <c r="E5762" s="7">
        <f t="shared" si="110"/>
        <v>10000</v>
      </c>
      <c r="F5762" s="5">
        <v>45939</v>
      </c>
      <c r="G5762" s="4">
        <v>20251008</v>
      </c>
      <c r="H5762" s="38" t="str">
        <f>VLOOKUP(B5762,CAJEROS!B:D,3,0)</f>
        <v>Dispensador</v>
      </c>
      <c r="I5762" s="34" t="s">
        <v>10</v>
      </c>
      <c r="J5762" s="38" t="str">
        <f>VLOOKUP(B5762,CAJEROS!B:E,4,0)</f>
        <v>ZIPAQUIRA_3</v>
      </c>
      <c r="K5762" t="s">
        <v>610</v>
      </c>
    </row>
    <row r="5763" spans="1:11">
      <c r="A5763" s="32">
        <v>829</v>
      </c>
      <c r="B5763" s="33">
        <v>5762</v>
      </c>
      <c r="C5763" s="3">
        <v>20000</v>
      </c>
      <c r="D5763" s="3"/>
      <c r="E5763" s="7">
        <f t="shared" si="110"/>
        <v>20000</v>
      </c>
      <c r="F5763" s="5">
        <v>45939</v>
      </c>
      <c r="G5763" s="4">
        <v>20251008</v>
      </c>
      <c r="H5763" s="38" t="str">
        <f>VLOOKUP(B5763,CAJEROS!B:D,3,0)</f>
        <v>Dispensador</v>
      </c>
      <c r="I5763" s="34" t="s">
        <v>10</v>
      </c>
      <c r="J5763" s="38" t="str">
        <f>VLOOKUP(B5763,CAJEROS!B:E,4,0)</f>
        <v>SUCUNICCAL4</v>
      </c>
      <c r="K5763" t="s">
        <v>610</v>
      </c>
    </row>
    <row r="5764" spans="1:11">
      <c r="A5764" s="32">
        <v>115</v>
      </c>
      <c r="B5764" s="33">
        <v>5080</v>
      </c>
      <c r="C5764" s="3">
        <v>8730000</v>
      </c>
      <c r="D5764" s="3"/>
      <c r="E5764" s="7">
        <f t="shared" si="110"/>
        <v>8730000</v>
      </c>
      <c r="F5764" s="5">
        <v>45940</v>
      </c>
      <c r="G5764" s="4">
        <v>20251009</v>
      </c>
      <c r="H5764" s="38" t="str">
        <f>VLOOKUP(B5764,CAJEROS!B:D,3,0)</f>
        <v>Multifuncional</v>
      </c>
      <c r="I5764" s="34"/>
      <c r="J5764" s="38" t="str">
        <f>VLOOKUP(B5764,CAJEROS!B:E,4,0)</f>
        <v>MF_CIPEREIR</v>
      </c>
      <c r="K5764" t="s">
        <v>610</v>
      </c>
    </row>
    <row r="5765" spans="1:11">
      <c r="A5765" s="32">
        <v>123</v>
      </c>
      <c r="B5765" s="33">
        <v>7134</v>
      </c>
      <c r="C5765" s="3">
        <v>50</v>
      </c>
      <c r="D5765" s="3"/>
      <c r="E5765" s="7">
        <f t="shared" si="110"/>
        <v>50</v>
      </c>
      <c r="F5765" s="5">
        <v>45940</v>
      </c>
      <c r="G5765" s="4">
        <v>20251009</v>
      </c>
      <c r="H5765" s="38" t="str">
        <f>VLOOKUP(B5765,CAJEROS!B:D,3,0)</f>
        <v>Multifuncional</v>
      </c>
      <c r="I5765" s="34"/>
      <c r="J5765" s="38" t="str">
        <f>VLOOKUP(B5765,CAJEROS!B:E,4,0)</f>
        <v>MF_CPRIONE2</v>
      </c>
      <c r="K5765" t="s">
        <v>610</v>
      </c>
    </row>
    <row r="5766" spans="1:11">
      <c r="A5766" s="32">
        <v>253</v>
      </c>
      <c r="B5766" s="33">
        <v>5176</v>
      </c>
      <c r="C5766" s="3">
        <v>8199800</v>
      </c>
      <c r="D5766" s="3"/>
      <c r="E5766" s="7">
        <f t="shared" si="110"/>
        <v>8199800</v>
      </c>
      <c r="F5766" s="5">
        <v>45940</v>
      </c>
      <c r="G5766" s="4">
        <v>20251009</v>
      </c>
      <c r="H5766" s="38" t="str">
        <f>VLOOKUP(B5766,CAJEROS!B:D,3,0)</f>
        <v>Multifuncional</v>
      </c>
      <c r="I5766" s="34"/>
      <c r="J5766" s="38" t="str">
        <f>VLOOKUP(B5766,CAJEROS!B:E,4,0)</f>
        <v>MF_SPTANORT</v>
      </c>
      <c r="K5766" t="s">
        <v>610</v>
      </c>
    </row>
    <row r="5767" spans="1:11">
      <c r="A5767" s="32">
        <v>265</v>
      </c>
      <c r="B5767" s="33">
        <v>5083</v>
      </c>
      <c r="C5767" s="3">
        <v>109150</v>
      </c>
      <c r="D5767" s="3"/>
      <c r="E5767" s="7">
        <f t="shared" si="110"/>
        <v>109150</v>
      </c>
      <c r="F5767" s="5">
        <v>45940</v>
      </c>
      <c r="G5767" s="4">
        <v>20251009</v>
      </c>
      <c r="H5767" s="38" t="str">
        <f>VLOOKUP(B5767,CAJEROS!B:D,3,0)</f>
        <v>Multifuncional</v>
      </c>
      <c r="I5767" s="34"/>
      <c r="J5767" s="38" t="str">
        <f>VLOOKUP(B5767,CAJEROS!B:E,4,0)</f>
        <v>MF_VALLELIL</v>
      </c>
      <c r="K5767" t="s">
        <v>610</v>
      </c>
    </row>
    <row r="5768" spans="1:11">
      <c r="A5768" s="32">
        <v>385</v>
      </c>
      <c r="B5768" s="33">
        <v>7139</v>
      </c>
      <c r="C5768" s="3">
        <v>66500</v>
      </c>
      <c r="D5768" s="3"/>
      <c r="E5768" s="7">
        <f t="shared" si="110"/>
        <v>66500</v>
      </c>
      <c r="F5768" s="5">
        <v>45940</v>
      </c>
      <c r="G5768" s="4">
        <v>20251009</v>
      </c>
      <c r="H5768" s="38" t="str">
        <f>VLOOKUP(B5768,CAJEROS!B:D,3,0)</f>
        <v>Multifuncional</v>
      </c>
      <c r="I5768" s="34"/>
      <c r="J5768" s="38" t="str">
        <f>VLOOKUP(B5768,CAJEROS!B:E,4,0)</f>
        <v>MF_VILLETA</v>
      </c>
      <c r="K5768" t="s">
        <v>610</v>
      </c>
    </row>
    <row r="5769" spans="1:11">
      <c r="A5769" s="32">
        <v>438</v>
      </c>
      <c r="B5769" s="33">
        <v>1565</v>
      </c>
      <c r="C5769" s="3">
        <v>9787600</v>
      </c>
      <c r="D5769" s="3"/>
      <c r="E5769" s="7">
        <f t="shared" si="110"/>
        <v>9787600</v>
      </c>
      <c r="F5769" s="5">
        <v>45940</v>
      </c>
      <c r="G5769" s="4">
        <v>20251009</v>
      </c>
      <c r="H5769" s="38" t="str">
        <f>VLOOKUP(B5769,CAJEROS!B:D,3,0)</f>
        <v>Multifuncional</v>
      </c>
      <c r="I5769" s="34"/>
      <c r="J5769" s="38" t="str">
        <f>VLOOKUP(B5769,CAJEROS!B:E,4,0)</f>
        <v>MFSUCANDES1</v>
      </c>
      <c r="K5769" t="s">
        <v>610</v>
      </c>
    </row>
    <row r="5770" spans="1:11">
      <c r="A5770" s="32">
        <v>554</v>
      </c>
      <c r="B5770" s="33">
        <v>8294</v>
      </c>
      <c r="C5770" s="3">
        <v>5039000</v>
      </c>
      <c r="D5770" s="3"/>
      <c r="E5770" s="7">
        <f t="shared" si="110"/>
        <v>5039000</v>
      </c>
      <c r="F5770" s="5">
        <v>45940</v>
      </c>
      <c r="G5770" s="4">
        <v>20251009</v>
      </c>
      <c r="H5770" s="38" t="str">
        <f>VLOOKUP(B5770,CAJEROS!B:D,3,0)</f>
        <v>Multifuncional</v>
      </c>
      <c r="I5770" s="34"/>
      <c r="J5770" s="38" t="str">
        <f>VLOOKUP(B5770,CAJEROS!B:E,4,0)</f>
        <v>MF_SBUVIII1</v>
      </c>
      <c r="K5770" t="s">
        <v>610</v>
      </c>
    </row>
    <row r="5771" spans="1:11">
      <c r="A5771" s="32">
        <v>554</v>
      </c>
      <c r="B5771" s="33">
        <v>8295</v>
      </c>
      <c r="C5771" s="3">
        <v>2100200</v>
      </c>
      <c r="D5771" s="3"/>
      <c r="E5771" s="7">
        <f t="shared" ref="E5771:E5834" si="111">+C5771-D5771</f>
        <v>2100200</v>
      </c>
      <c r="F5771" s="5">
        <v>45940</v>
      </c>
      <c r="G5771" s="4">
        <v>20251009</v>
      </c>
      <c r="H5771" s="38" t="str">
        <f>VLOOKUP(B5771,CAJEROS!B:D,3,0)</f>
        <v>Multifuncional</v>
      </c>
      <c r="I5771" s="34"/>
      <c r="J5771" s="38" t="str">
        <f>VLOOKUP(B5771,CAJEROS!B:E,4,0)</f>
        <v>MF_SBUVIII2</v>
      </c>
      <c r="K5771" t="s">
        <v>610</v>
      </c>
    </row>
    <row r="5772" spans="1:11">
      <c r="A5772" s="32">
        <v>849</v>
      </c>
      <c r="B5772" s="33">
        <v>9724</v>
      </c>
      <c r="C5772" s="3">
        <v>12370000</v>
      </c>
      <c r="D5772" s="3"/>
      <c r="E5772" s="7">
        <f t="shared" si="111"/>
        <v>12370000</v>
      </c>
      <c r="F5772" s="5">
        <v>45940</v>
      </c>
      <c r="G5772" s="4">
        <v>20251009</v>
      </c>
      <c r="H5772" s="38" t="str">
        <f>VLOOKUP(B5772,CAJEROS!B:D,3,0)</f>
        <v>Multifuncional</v>
      </c>
      <c r="I5772" s="34"/>
      <c r="J5772" s="38" t="str">
        <f>VLOOKUP(B5772,CAJEROS!B:E,4,0)</f>
        <v>MF_SUNIVIL1</v>
      </c>
      <c r="K5772" t="s">
        <v>610</v>
      </c>
    </row>
    <row r="5773" spans="1:11">
      <c r="A5773" s="32">
        <v>916</v>
      </c>
      <c r="B5773" s="33">
        <v>5052</v>
      </c>
      <c r="C5773" s="3">
        <v>19165550</v>
      </c>
      <c r="D5773" s="3">
        <v>595050</v>
      </c>
      <c r="E5773" s="7">
        <f t="shared" si="111"/>
        <v>18570500</v>
      </c>
      <c r="F5773" s="5">
        <v>45940</v>
      </c>
      <c r="G5773" s="4">
        <v>20251009</v>
      </c>
      <c r="H5773" s="38" t="str">
        <f>VLOOKUP(B5773,CAJEROS!B:D,3,0)</f>
        <v>Multifuncional</v>
      </c>
      <c r="I5773" s="34"/>
      <c r="J5773" s="38" t="str">
        <f>VLOOKUP(B5773,CAJEROS!B:E,4,0)</f>
        <v>MF_OCEANMAL</v>
      </c>
      <c r="K5773" t="s">
        <v>610</v>
      </c>
    </row>
    <row r="5774" spans="1:11">
      <c r="A5774" s="32">
        <v>937</v>
      </c>
      <c r="B5774" s="33">
        <v>5115</v>
      </c>
      <c r="C5774" s="3">
        <v>310000</v>
      </c>
      <c r="D5774" s="3">
        <f>230000+950</f>
        <v>230950</v>
      </c>
      <c r="E5774" s="7">
        <f t="shared" si="111"/>
        <v>79050</v>
      </c>
      <c r="F5774" s="5">
        <v>45940</v>
      </c>
      <c r="G5774" s="4">
        <v>20251009</v>
      </c>
      <c r="H5774" s="38" t="str">
        <f>VLOOKUP(B5774,CAJEROS!B:D,3,0)</f>
        <v>Multifuncional</v>
      </c>
      <c r="I5774" s="34"/>
      <c r="J5774" s="38" t="str">
        <f>VLOOKUP(B5774,CAJEROS!B:E,4,0)</f>
        <v>MFSUCMODEL1</v>
      </c>
      <c r="K5774" t="s">
        <v>610</v>
      </c>
    </row>
    <row r="5775" spans="1:11">
      <c r="A5775" s="32">
        <v>221</v>
      </c>
      <c r="B5775" s="33">
        <v>5221</v>
      </c>
      <c r="C5775" s="3">
        <v>3850000</v>
      </c>
      <c r="D5775" s="3">
        <v>3836000</v>
      </c>
      <c r="E5775" s="7">
        <f t="shared" si="111"/>
        <v>14000</v>
      </c>
      <c r="F5775" s="5">
        <v>45940</v>
      </c>
      <c r="G5775" s="4">
        <v>20251009</v>
      </c>
      <c r="H5775" s="38" t="str">
        <f>VLOOKUP(B5775,CAJEROS!B:D,3,0)</f>
        <v>Multifuncional</v>
      </c>
      <c r="I5775" s="34" t="s">
        <v>9</v>
      </c>
      <c r="J5775" s="38" t="str">
        <f>VLOOKUP(B5775,CAJEROS!B:E,4,0)</f>
        <v>MF_SOACHA</v>
      </c>
      <c r="K5775" t="s">
        <v>610</v>
      </c>
    </row>
    <row r="5776" spans="1:11">
      <c r="A5776" s="32">
        <v>317</v>
      </c>
      <c r="B5776" s="33">
        <v>6613</v>
      </c>
      <c r="C5776" s="3">
        <v>3620000</v>
      </c>
      <c r="D5776" s="3"/>
      <c r="E5776" s="7">
        <f t="shared" si="111"/>
        <v>3620000</v>
      </c>
      <c r="F5776" s="5">
        <v>45940</v>
      </c>
      <c r="G5776" s="4">
        <v>20251009</v>
      </c>
      <c r="H5776" s="38" t="str">
        <f>VLOOKUP(B5776,CAJEROS!B:D,3,0)</f>
        <v>Multifuncional</v>
      </c>
      <c r="I5776" s="34" t="s">
        <v>9</v>
      </c>
      <c r="J5776" s="38" t="str">
        <f>VLOOKUP(B5776,CAJEROS!B:E,4,0)</f>
        <v>MF_ARAUCA</v>
      </c>
      <c r="K5776" t="s">
        <v>610</v>
      </c>
    </row>
    <row r="5777" spans="1:11">
      <c r="A5777" s="32">
        <v>812</v>
      </c>
      <c r="B5777" s="33">
        <v>5144</v>
      </c>
      <c r="C5777" s="3">
        <v>3475000</v>
      </c>
      <c r="D5777" s="3"/>
      <c r="E5777" s="7">
        <f t="shared" si="111"/>
        <v>3475000</v>
      </c>
      <c r="F5777" s="5">
        <v>45940</v>
      </c>
      <c r="G5777" s="4">
        <v>20251009</v>
      </c>
      <c r="H5777" s="38" t="str">
        <f>VLOOKUP(B5777,CAJEROS!B:D,3,0)</f>
        <v>Multifuncional</v>
      </c>
      <c r="I5777" s="34" t="s">
        <v>9</v>
      </c>
      <c r="J5777" s="38" t="str">
        <f>VLOOKUP(B5777,CAJEROS!B:E,4,0)</f>
        <v>MF_CHPICHPE</v>
      </c>
      <c r="K5777" t="s">
        <v>610</v>
      </c>
    </row>
    <row r="5778" spans="1:11">
      <c r="A5778" s="32">
        <v>569</v>
      </c>
      <c r="B5778" s="33">
        <v>8129</v>
      </c>
      <c r="C5778" s="3">
        <v>3038000</v>
      </c>
      <c r="D5778" s="3"/>
      <c r="E5778" s="7">
        <f t="shared" si="111"/>
        <v>3038000</v>
      </c>
      <c r="F5778" s="5">
        <v>45940</v>
      </c>
      <c r="G5778" s="4">
        <v>20251009</v>
      </c>
      <c r="H5778" s="38" t="str">
        <f>VLOOKUP(B5778,CAJEROS!B:D,3,0)</f>
        <v>Multifuncional</v>
      </c>
      <c r="I5778" s="34" t="s">
        <v>9</v>
      </c>
      <c r="J5778" s="38" t="str">
        <f>VLOOKUP(B5778,CAJEROS!B:E,4,0)</f>
        <v>MF_BUENMON2</v>
      </c>
      <c r="K5778" t="s">
        <v>610</v>
      </c>
    </row>
    <row r="5779" spans="1:11">
      <c r="A5779" s="32">
        <v>781</v>
      </c>
      <c r="B5779" s="33">
        <v>5057</v>
      </c>
      <c r="C5779" s="3">
        <v>3025000</v>
      </c>
      <c r="D5779" s="3"/>
      <c r="E5779" s="7">
        <f t="shared" si="111"/>
        <v>3025000</v>
      </c>
      <c r="F5779" s="5">
        <v>45940</v>
      </c>
      <c r="G5779" s="4">
        <v>20251009</v>
      </c>
      <c r="H5779" s="38" t="str">
        <f>VLOOKUP(B5779,CAJEROS!B:D,3,0)</f>
        <v>Multifuncional</v>
      </c>
      <c r="I5779" s="34" t="s">
        <v>9</v>
      </c>
      <c r="J5779" s="38" t="str">
        <f>VLOOKUP(B5779,CAJEROS!B:E,4,0)</f>
        <v>MF_PRPLAZA</v>
      </c>
      <c r="K5779" t="s">
        <v>610</v>
      </c>
    </row>
    <row r="5780" spans="1:11">
      <c r="A5780" s="32">
        <v>15</v>
      </c>
      <c r="B5780" s="33">
        <v>8578</v>
      </c>
      <c r="C5780" s="3">
        <v>2919400</v>
      </c>
      <c r="D5780" s="3"/>
      <c r="E5780" s="7">
        <f t="shared" si="111"/>
        <v>2919400</v>
      </c>
      <c r="F5780" s="5">
        <v>45940</v>
      </c>
      <c r="G5780" s="4">
        <v>20251009</v>
      </c>
      <c r="H5780" s="38" t="str">
        <f>VLOOKUP(B5780,CAJEROS!B:D,3,0)</f>
        <v>Multifuncional</v>
      </c>
      <c r="I5780" s="34" t="s">
        <v>9</v>
      </c>
      <c r="J5780" s="38" t="str">
        <f>VLOOKUP(B5780,CAJEROS!B:E,4,0)</f>
        <v>MF_HITAGUI3</v>
      </c>
      <c r="K5780" t="s">
        <v>610</v>
      </c>
    </row>
    <row r="5781" spans="1:11">
      <c r="A5781" s="32">
        <v>348</v>
      </c>
      <c r="B5781" s="33">
        <v>6724</v>
      </c>
      <c r="C5781" s="3">
        <v>2915000</v>
      </c>
      <c r="D5781" s="3">
        <v>2636000</v>
      </c>
      <c r="E5781" s="7">
        <f t="shared" si="111"/>
        <v>279000</v>
      </c>
      <c r="F5781" s="5">
        <v>45940</v>
      </c>
      <c r="G5781" s="4">
        <v>20251009</v>
      </c>
      <c r="H5781" s="38" t="str">
        <f>VLOOKUP(B5781,CAJEROS!B:D,3,0)</f>
        <v>Multifuncional</v>
      </c>
      <c r="I5781" s="34" t="s">
        <v>9</v>
      </c>
      <c r="J5781" s="38" t="str">
        <f>VLOOKUP(B5781,CAJEROS!B:E,4,0)</f>
        <v>MF_SANANDRE</v>
      </c>
      <c r="K5781" t="s">
        <v>610</v>
      </c>
    </row>
    <row r="5782" spans="1:11">
      <c r="A5782" s="32">
        <v>250</v>
      </c>
      <c r="B5782" s="33">
        <v>5197</v>
      </c>
      <c r="C5782" s="3">
        <v>2790500</v>
      </c>
      <c r="D5782" s="3">
        <v>2777950</v>
      </c>
      <c r="E5782" s="7">
        <f t="shared" si="111"/>
        <v>12550</v>
      </c>
      <c r="F5782" s="5">
        <v>45940</v>
      </c>
      <c r="G5782" s="4">
        <v>20251009</v>
      </c>
      <c r="H5782" s="38" t="str">
        <f>VLOOKUP(B5782,CAJEROS!B:D,3,0)</f>
        <v>Multifuncional</v>
      </c>
      <c r="I5782" s="34" t="s">
        <v>9</v>
      </c>
      <c r="J5782" s="38" t="str">
        <f>VLOOKUP(B5782,CAJEROS!B:E,4,0)</f>
        <v>MF_MODELIA</v>
      </c>
      <c r="K5782" t="s">
        <v>610</v>
      </c>
    </row>
    <row r="5783" spans="1:11">
      <c r="A5783" s="32">
        <v>166</v>
      </c>
      <c r="B5783" s="33">
        <v>7939</v>
      </c>
      <c r="C5783" s="3">
        <v>2730000</v>
      </c>
      <c r="D5783" s="3"/>
      <c r="E5783" s="7">
        <f t="shared" si="111"/>
        <v>2730000</v>
      </c>
      <c r="F5783" s="5">
        <v>45940</v>
      </c>
      <c r="G5783" s="4">
        <v>20251009</v>
      </c>
      <c r="H5783" s="38" t="str">
        <f>VLOOKUP(B5783,CAJEROS!B:D,3,0)</f>
        <v>Multifuncional</v>
      </c>
      <c r="I5783" s="34" t="s">
        <v>9</v>
      </c>
      <c r="J5783" s="38" t="str">
        <f>VLOOKUP(B5783,CAJEROS!B:E,4,0)</f>
        <v>MF_ALDELSI1</v>
      </c>
      <c r="K5783" t="s">
        <v>610</v>
      </c>
    </row>
    <row r="5784" spans="1:11">
      <c r="A5784" s="32">
        <v>168</v>
      </c>
      <c r="B5784" s="33">
        <v>5224</v>
      </c>
      <c r="C5784" s="3">
        <v>2684000</v>
      </c>
      <c r="D5784" s="3">
        <v>2348950</v>
      </c>
      <c r="E5784" s="7">
        <f t="shared" si="111"/>
        <v>335050</v>
      </c>
      <c r="F5784" s="5">
        <v>45940</v>
      </c>
      <c r="G5784" s="4">
        <v>20251009</v>
      </c>
      <c r="H5784" s="38" t="str">
        <f>VLOOKUP(B5784,CAJEROS!B:D,3,0)</f>
        <v>Multifuncional</v>
      </c>
      <c r="I5784" s="34" t="s">
        <v>9</v>
      </c>
      <c r="J5784" s="38" t="str">
        <f>VLOOKUP(B5784,CAJEROS!B:E,4,0)</f>
        <v>MF_TOBERIN</v>
      </c>
      <c r="K5784" t="s">
        <v>610</v>
      </c>
    </row>
    <row r="5785" spans="1:11">
      <c r="A5785" s="32">
        <v>277</v>
      </c>
      <c r="B5785" s="33">
        <v>5021</v>
      </c>
      <c r="C5785" s="3">
        <v>2370000</v>
      </c>
      <c r="D5785" s="3"/>
      <c r="E5785" s="7">
        <f t="shared" si="111"/>
        <v>2370000</v>
      </c>
      <c r="F5785" s="5">
        <v>45940</v>
      </c>
      <c r="G5785" s="4">
        <v>20251009</v>
      </c>
      <c r="H5785" s="38" t="str">
        <f>VLOOKUP(B5785,CAJEROS!B:D,3,0)</f>
        <v>Multifuncional</v>
      </c>
      <c r="I5785" s="34" t="s">
        <v>9</v>
      </c>
      <c r="J5785" s="38" t="str">
        <f>VLOOKUP(B5785,CAJEROS!B:E,4,0)</f>
        <v>MF_CCMAYOR1</v>
      </c>
      <c r="K5785" t="s">
        <v>610</v>
      </c>
    </row>
    <row r="5786" spans="1:11">
      <c r="A5786" s="32">
        <v>4</v>
      </c>
      <c r="B5786" s="33">
        <v>8631</v>
      </c>
      <c r="C5786" s="3">
        <v>2270000</v>
      </c>
      <c r="D5786" s="3"/>
      <c r="E5786" s="7">
        <f t="shared" si="111"/>
        <v>2270000</v>
      </c>
      <c r="F5786" s="5">
        <v>45940</v>
      </c>
      <c r="G5786" s="4">
        <v>20251009</v>
      </c>
      <c r="H5786" s="38" t="str">
        <f>VLOOKUP(B5786,CAJEROS!B:D,3,0)</f>
        <v>Multifuncional</v>
      </c>
      <c r="I5786" s="34" t="s">
        <v>9</v>
      </c>
      <c r="J5786" s="38" t="str">
        <f>VLOOKUP(B5786,CAJEROS!B:E,4,0)</f>
        <v>MF_SUCLAUR2</v>
      </c>
      <c r="K5786" t="s">
        <v>610</v>
      </c>
    </row>
    <row r="5787" spans="1:11">
      <c r="A5787" s="32">
        <v>166</v>
      </c>
      <c r="B5787" s="33">
        <v>7940</v>
      </c>
      <c r="C5787" s="3">
        <v>2270000</v>
      </c>
      <c r="D5787" s="3"/>
      <c r="E5787" s="7">
        <f t="shared" si="111"/>
        <v>2270000</v>
      </c>
      <c r="F5787" s="5">
        <v>45940</v>
      </c>
      <c r="G5787" s="4">
        <v>20251009</v>
      </c>
      <c r="H5787" s="38" t="str">
        <f>VLOOKUP(B5787,CAJEROS!B:D,3,0)</f>
        <v>Multifuncional</v>
      </c>
      <c r="I5787" s="34" t="s">
        <v>9</v>
      </c>
      <c r="J5787" s="38" t="str">
        <f>VLOOKUP(B5787,CAJEROS!B:E,4,0)</f>
        <v>MF_ALDELS22</v>
      </c>
      <c r="K5787" t="s">
        <v>610</v>
      </c>
    </row>
    <row r="5788" spans="1:11">
      <c r="A5788" s="32">
        <v>395</v>
      </c>
      <c r="B5788" s="33">
        <v>1529</v>
      </c>
      <c r="C5788" s="3">
        <v>2220000</v>
      </c>
      <c r="D5788" s="3">
        <v>1040000</v>
      </c>
      <c r="E5788" s="7">
        <f t="shared" si="111"/>
        <v>1180000</v>
      </c>
      <c r="F5788" s="5">
        <v>45940</v>
      </c>
      <c r="G5788" s="4">
        <v>20251009</v>
      </c>
      <c r="H5788" s="38" t="str">
        <f>VLOOKUP(B5788,CAJEROS!B:D,3,0)</f>
        <v>Multifuncional</v>
      </c>
      <c r="I5788" s="34" t="s">
        <v>9</v>
      </c>
      <c r="J5788" s="38" t="str">
        <f>VLOOKUP(B5788,CAJEROS!B:E,4,0)</f>
        <v>SUCMFVIVCI2</v>
      </c>
      <c r="K5788" t="s">
        <v>610</v>
      </c>
    </row>
    <row r="5789" spans="1:11">
      <c r="A5789" s="32">
        <v>70</v>
      </c>
      <c r="B5789" s="33">
        <v>5164</v>
      </c>
      <c r="C5789" s="3">
        <v>1795000</v>
      </c>
      <c r="D5789" s="3"/>
      <c r="E5789" s="7">
        <f t="shared" si="111"/>
        <v>1795000</v>
      </c>
      <c r="F5789" s="5">
        <v>45940</v>
      </c>
      <c r="G5789" s="4">
        <v>20251009</v>
      </c>
      <c r="H5789" s="38" t="str">
        <f>VLOOKUP(B5789,CAJEROS!B:D,3,0)</f>
        <v>Multifuncional</v>
      </c>
      <c r="I5789" s="34" t="s">
        <v>9</v>
      </c>
      <c r="J5789" s="38" t="str">
        <f>VLOOKUP(B5789,CAJEROS!B:E,4,0)</f>
        <v>MF_MANIZALE</v>
      </c>
      <c r="K5789" t="s">
        <v>610</v>
      </c>
    </row>
    <row r="5790" spans="1:11">
      <c r="A5790" s="32">
        <v>829</v>
      </c>
      <c r="B5790" s="33">
        <v>5137</v>
      </c>
      <c r="C5790" s="3">
        <v>1650000</v>
      </c>
      <c r="D5790" s="3">
        <v>885000</v>
      </c>
      <c r="E5790" s="7">
        <f t="shared" si="111"/>
        <v>765000</v>
      </c>
      <c r="F5790" s="5">
        <v>45940</v>
      </c>
      <c r="G5790" s="4">
        <v>20251009</v>
      </c>
      <c r="H5790" s="38" t="str">
        <f>VLOOKUP(B5790,CAJEROS!B:D,3,0)</f>
        <v>Multifuncional</v>
      </c>
      <c r="I5790" s="34" t="s">
        <v>9</v>
      </c>
      <c r="J5790" s="38" t="str">
        <f>VLOOKUP(B5790,CAJEROS!B:E,4,0)</f>
        <v>MF_UNICALI1</v>
      </c>
      <c r="K5790" t="s">
        <v>610</v>
      </c>
    </row>
    <row r="5791" spans="1:11">
      <c r="A5791" s="32">
        <v>287</v>
      </c>
      <c r="B5791" s="33">
        <v>907</v>
      </c>
      <c r="C5791" s="3">
        <v>1620000</v>
      </c>
      <c r="D5791" s="3">
        <v>744150</v>
      </c>
      <c r="E5791" s="7">
        <f t="shared" si="111"/>
        <v>875850</v>
      </c>
      <c r="F5791" s="5">
        <v>45940</v>
      </c>
      <c r="G5791" s="4">
        <v>20251009</v>
      </c>
      <c r="H5791" s="38" t="str">
        <f>VLOOKUP(B5791,CAJEROS!B:D,3,0)</f>
        <v>Multifuncional</v>
      </c>
      <c r="I5791" s="34" t="s">
        <v>9</v>
      </c>
      <c r="J5791" s="38" t="str">
        <f>VLOOKUP(B5791,CAJEROS!B:E,4,0)</f>
        <v>MFABASTOBGA</v>
      </c>
      <c r="K5791" t="s">
        <v>610</v>
      </c>
    </row>
    <row r="5792" spans="1:11">
      <c r="A5792" s="32">
        <v>789</v>
      </c>
      <c r="B5792" s="33">
        <v>5118</v>
      </c>
      <c r="C5792" s="3">
        <v>1578300</v>
      </c>
      <c r="D5792" s="3">
        <f>1385150+40000</f>
        <v>1425150</v>
      </c>
      <c r="E5792" s="7">
        <f t="shared" si="111"/>
        <v>153150</v>
      </c>
      <c r="F5792" s="5">
        <v>45940</v>
      </c>
      <c r="G5792" s="4">
        <v>20251009</v>
      </c>
      <c r="H5792" s="38" t="str">
        <f>VLOOKUP(B5792,CAJEROS!B:D,3,0)</f>
        <v>Multifuncional</v>
      </c>
      <c r="I5792" s="34" t="s">
        <v>9</v>
      </c>
      <c r="J5792" s="38" t="str">
        <f>VLOOKUP(B5792,CAJEROS!B:E,4,0)</f>
        <v>MF_MANGA</v>
      </c>
      <c r="K5792" t="s">
        <v>610</v>
      </c>
    </row>
    <row r="5793" spans="1:11">
      <c r="A5793" s="32">
        <v>442</v>
      </c>
      <c r="B5793" s="33">
        <v>8887</v>
      </c>
      <c r="C5793" s="3">
        <v>1315000</v>
      </c>
      <c r="D5793" s="3"/>
      <c r="E5793" s="7">
        <f t="shared" si="111"/>
        <v>1315000</v>
      </c>
      <c r="F5793" s="5">
        <v>45940</v>
      </c>
      <c r="G5793" s="4">
        <v>20251009</v>
      </c>
      <c r="H5793" s="38" t="str">
        <f>VLOOKUP(B5793,CAJEROS!B:D,3,0)</f>
        <v>Multifuncional</v>
      </c>
      <c r="I5793" s="34" t="s">
        <v>9</v>
      </c>
      <c r="J5793" s="38" t="str">
        <f>VLOOKUP(B5793,CAJEROS!B:E,4,0)</f>
        <v>MFVIVABQUI1</v>
      </c>
      <c r="K5793" t="s">
        <v>610</v>
      </c>
    </row>
    <row r="5794" spans="1:11">
      <c r="A5794" s="32">
        <v>692</v>
      </c>
      <c r="B5794" s="33">
        <v>1515</v>
      </c>
      <c r="C5794" s="3">
        <v>1070000</v>
      </c>
      <c r="D5794" s="3">
        <v>699950</v>
      </c>
      <c r="E5794" s="7">
        <f t="shared" si="111"/>
        <v>370050</v>
      </c>
      <c r="F5794" s="5">
        <v>45940</v>
      </c>
      <c r="G5794" s="4">
        <v>20251009</v>
      </c>
      <c r="H5794" s="38" t="str">
        <f>VLOOKUP(B5794,CAJEROS!B:D,3,0)</f>
        <v>Multifuncional</v>
      </c>
      <c r="I5794" s="34" t="s">
        <v>9</v>
      </c>
      <c r="J5794" s="38" t="str">
        <f>VLOOKUP(B5794,CAJEROS!B:E,4,0)</f>
        <v>MFSUCALTPR1</v>
      </c>
      <c r="K5794" t="s">
        <v>610</v>
      </c>
    </row>
    <row r="5795" spans="1:11">
      <c r="A5795" s="32">
        <v>383</v>
      </c>
      <c r="B5795" s="33">
        <v>5194</v>
      </c>
      <c r="C5795" s="3">
        <v>880000</v>
      </c>
      <c r="D5795" s="3"/>
      <c r="E5795" s="7">
        <f t="shared" si="111"/>
        <v>880000</v>
      </c>
      <c r="F5795" s="5">
        <v>45940</v>
      </c>
      <c r="G5795" s="4">
        <v>20251009</v>
      </c>
      <c r="H5795" s="38" t="str">
        <f>VLOOKUP(B5795,CAJEROS!B:D,3,0)</f>
        <v>Multifuncional</v>
      </c>
      <c r="I5795" s="34" t="s">
        <v>9</v>
      </c>
      <c r="J5795" s="38" t="str">
        <f>VLOOKUP(B5795,CAJEROS!B:E,4,0)</f>
        <v>MF_MADRID</v>
      </c>
      <c r="K5795" t="s">
        <v>610</v>
      </c>
    </row>
    <row r="5796" spans="1:11">
      <c r="A5796" s="32">
        <v>81</v>
      </c>
      <c r="B5796" s="33">
        <v>5036</v>
      </c>
      <c r="C5796" s="3">
        <v>850000</v>
      </c>
      <c r="D5796" s="3">
        <v>611950</v>
      </c>
      <c r="E5796" s="7">
        <f t="shared" si="111"/>
        <v>238050</v>
      </c>
      <c r="F5796" s="5">
        <v>45940</v>
      </c>
      <c r="G5796" s="4">
        <v>20251009</v>
      </c>
      <c r="H5796" s="38" t="str">
        <f>VLOOKUP(B5796,CAJEROS!B:D,3,0)</f>
        <v>Multifuncional</v>
      </c>
      <c r="I5796" s="34" t="s">
        <v>9</v>
      </c>
      <c r="J5796" s="38" t="str">
        <f>VLOOKUP(B5796,CAJEROS!B:E,4,0)</f>
        <v>MF_AVKENNE</v>
      </c>
      <c r="K5796" t="s">
        <v>610</v>
      </c>
    </row>
    <row r="5797" spans="1:11">
      <c r="A5797" s="32">
        <v>890</v>
      </c>
      <c r="B5797" s="33">
        <v>9584</v>
      </c>
      <c r="C5797" s="3">
        <v>550000</v>
      </c>
      <c r="D5797" s="3">
        <v>100000</v>
      </c>
      <c r="E5797" s="7">
        <f t="shared" si="111"/>
        <v>450000</v>
      </c>
      <c r="F5797" s="5">
        <v>45940</v>
      </c>
      <c r="G5797" s="4">
        <v>20251009</v>
      </c>
      <c r="H5797" s="38" t="str">
        <f>VLOOKUP(B5797,CAJEROS!B:D,3,0)</f>
        <v>Multifuncional</v>
      </c>
      <c r="I5797" s="34" t="s">
        <v>9</v>
      </c>
      <c r="J5797" s="38" t="str">
        <f>VLOOKUP(B5797,CAJEROS!B:E,4,0)</f>
        <v>MFSUCACACI1</v>
      </c>
      <c r="K5797" t="s">
        <v>610</v>
      </c>
    </row>
    <row r="5798" spans="1:11">
      <c r="A5798" s="32">
        <v>941</v>
      </c>
      <c r="B5798" s="33">
        <v>5220</v>
      </c>
      <c r="C5798" s="3">
        <v>414000</v>
      </c>
      <c r="D5798" s="3"/>
      <c r="E5798" s="7">
        <f t="shared" si="111"/>
        <v>414000</v>
      </c>
      <c r="F5798" s="5">
        <v>45940</v>
      </c>
      <c r="G5798" s="4">
        <v>20251009</v>
      </c>
      <c r="H5798" s="38" t="str">
        <f>VLOOKUP(B5798,CAJEROS!B:D,3,0)</f>
        <v>Multifuncional</v>
      </c>
      <c r="I5798" s="34" t="s">
        <v>9</v>
      </c>
      <c r="J5798" s="38" t="str">
        <f>VLOOKUP(B5798,CAJEROS!B:E,4,0)</f>
        <v>MF_NEIVANVA</v>
      </c>
      <c r="K5798" t="s">
        <v>610</v>
      </c>
    </row>
    <row r="5799" spans="1:11">
      <c r="A5799" s="32">
        <v>236</v>
      </c>
      <c r="B5799" s="33">
        <v>6242</v>
      </c>
      <c r="C5799" s="3">
        <v>340000</v>
      </c>
      <c r="D5799" s="3"/>
      <c r="E5799" s="7">
        <f t="shared" si="111"/>
        <v>340000</v>
      </c>
      <c r="F5799" s="5">
        <v>45940</v>
      </c>
      <c r="G5799" s="4">
        <v>20251009</v>
      </c>
      <c r="H5799" s="38" t="str">
        <f>VLOOKUP(B5799,CAJEROS!B:D,3,0)</f>
        <v>Multifuncional</v>
      </c>
      <c r="I5799" s="34" t="s">
        <v>9</v>
      </c>
      <c r="J5799" s="38" t="str">
        <f>VLOOKUP(B5799,CAJEROS!B:E,4,0)</f>
        <v>MF_EXITCOLO</v>
      </c>
      <c r="K5799" t="s">
        <v>610</v>
      </c>
    </row>
    <row r="5800" spans="1:11">
      <c r="A5800" s="32">
        <v>101</v>
      </c>
      <c r="B5800" s="33">
        <v>5128</v>
      </c>
      <c r="C5800" s="3">
        <v>107800</v>
      </c>
      <c r="D5800" s="3"/>
      <c r="E5800" s="7">
        <f t="shared" si="111"/>
        <v>107800</v>
      </c>
      <c r="F5800" s="5">
        <v>45940</v>
      </c>
      <c r="G5800" s="4">
        <v>20251009</v>
      </c>
      <c r="H5800" s="38" t="str">
        <f>VLOOKUP(B5800,CAJEROS!B:D,3,0)</f>
        <v>Multifuncional</v>
      </c>
      <c r="I5800" s="34" t="s">
        <v>9</v>
      </c>
      <c r="J5800" s="38" t="str">
        <f>VLOOKUP(B5800,CAJEROS!B:E,4,0)</f>
        <v>MF_MULTDRIV</v>
      </c>
      <c r="K5800" t="s">
        <v>610</v>
      </c>
    </row>
    <row r="5801" spans="1:11">
      <c r="A5801" s="32">
        <v>91</v>
      </c>
      <c r="B5801" s="33">
        <v>5148</v>
      </c>
      <c r="C5801" s="3">
        <v>100000</v>
      </c>
      <c r="D5801" s="3"/>
      <c r="E5801" s="7">
        <f t="shared" si="111"/>
        <v>100000</v>
      </c>
      <c r="F5801" s="5">
        <v>45940</v>
      </c>
      <c r="G5801" s="4">
        <v>20251009</v>
      </c>
      <c r="H5801" s="38" t="str">
        <f>VLOOKUP(B5801,CAJEROS!B:D,3,0)</f>
        <v>Multifuncional</v>
      </c>
      <c r="I5801" s="34" t="s">
        <v>9</v>
      </c>
      <c r="J5801" s="38" t="str">
        <f>VLOOKUP(B5801,CAJEROS!B:E,4,0)</f>
        <v>MF_MONTERIA</v>
      </c>
      <c r="K5801" t="s">
        <v>610</v>
      </c>
    </row>
    <row r="5802" spans="1:11">
      <c r="A5802" s="32">
        <v>229</v>
      </c>
      <c r="B5802" s="33">
        <v>9605</v>
      </c>
      <c r="C5802" s="3">
        <v>25000</v>
      </c>
      <c r="D5802" s="3"/>
      <c r="E5802" s="7">
        <f t="shared" si="111"/>
        <v>25000</v>
      </c>
      <c r="F5802" s="5">
        <v>45940</v>
      </c>
      <c r="G5802" s="4">
        <v>20251009</v>
      </c>
      <c r="H5802" s="38" t="str">
        <f>VLOOKUP(B5802,CAJEROS!B:D,3,0)</f>
        <v>Multifuncional</v>
      </c>
      <c r="I5802" s="34" t="s">
        <v>9</v>
      </c>
      <c r="J5802" s="38" t="str">
        <f>VLOOKUP(B5802,CAJEROS!B:E,4,0)</f>
        <v>MFSUCPASER2</v>
      </c>
      <c r="K5802" t="s">
        <v>610</v>
      </c>
    </row>
    <row r="5803" spans="1:11">
      <c r="A5803" s="32">
        <v>1</v>
      </c>
      <c r="B5803" s="33">
        <v>5000</v>
      </c>
      <c r="C5803" s="3">
        <v>5000</v>
      </c>
      <c r="D5803" s="3"/>
      <c r="E5803" s="7">
        <f t="shared" si="111"/>
        <v>5000</v>
      </c>
      <c r="F5803" s="5">
        <v>45940</v>
      </c>
      <c r="G5803" s="4">
        <v>20251009</v>
      </c>
      <c r="H5803" s="38" t="str">
        <f>VLOOKUP(B5803,CAJEROS!B:D,3,0)</f>
        <v>Multifuncional</v>
      </c>
      <c r="I5803" s="34" t="s">
        <v>10</v>
      </c>
      <c r="J5803" s="38" t="str">
        <f>VLOOKUP(B5803,CAJEROS!B:E,4,0)</f>
        <v>MF_CARABOBO</v>
      </c>
      <c r="K5803" t="s">
        <v>610</v>
      </c>
    </row>
    <row r="5804" spans="1:11">
      <c r="A5804" s="32">
        <v>745</v>
      </c>
      <c r="B5804" s="33">
        <v>1477</v>
      </c>
      <c r="C5804" s="3">
        <v>10000</v>
      </c>
      <c r="D5804" s="3"/>
      <c r="E5804" s="7">
        <f t="shared" si="111"/>
        <v>10000</v>
      </c>
      <c r="F5804" s="5">
        <v>45940</v>
      </c>
      <c r="G5804" s="4">
        <v>20251009</v>
      </c>
      <c r="H5804" s="38" t="str">
        <f>VLOOKUP(B5804,CAJEROS!B:D,3,0)</f>
        <v>Multifuncional</v>
      </c>
      <c r="I5804" s="34" t="s">
        <v>10</v>
      </c>
      <c r="J5804" s="38" t="str">
        <f>VLOOKUP(B5804,CAJEROS!B:E,4,0)</f>
        <v>MFSUCMALPZ2</v>
      </c>
      <c r="K5804" t="s">
        <v>610</v>
      </c>
    </row>
    <row r="5805" spans="1:11">
      <c r="A5805" s="32">
        <v>481</v>
      </c>
      <c r="B5805" s="33">
        <v>1011</v>
      </c>
      <c r="C5805" s="3">
        <v>20000</v>
      </c>
      <c r="D5805" s="3"/>
      <c r="E5805" s="7">
        <f t="shared" si="111"/>
        <v>20000</v>
      </c>
      <c r="F5805" s="5">
        <v>45940</v>
      </c>
      <c r="G5805" s="4">
        <v>20251009</v>
      </c>
      <c r="H5805" s="38" t="str">
        <f>VLOOKUP(B5805,CAJEROS!B:D,3,0)</f>
        <v>Multifuncional</v>
      </c>
      <c r="I5805" s="34" t="s">
        <v>10</v>
      </c>
      <c r="J5805" s="38" t="str">
        <f>VLOOKUP(B5805,CAJEROS!B:E,4,0)</f>
        <v>MF_SOLEDAD2</v>
      </c>
      <c r="K5805" t="s">
        <v>610</v>
      </c>
    </row>
    <row r="5806" spans="1:11">
      <c r="A5806" s="32">
        <v>892</v>
      </c>
      <c r="B5806" s="33">
        <v>8921</v>
      </c>
      <c r="C5806" s="3">
        <v>20000</v>
      </c>
      <c r="D5806" s="3"/>
      <c r="E5806" s="7">
        <f t="shared" si="111"/>
        <v>20000</v>
      </c>
      <c r="F5806" s="5">
        <v>45940</v>
      </c>
      <c r="G5806" s="4">
        <v>20251009</v>
      </c>
      <c r="H5806" s="38" t="str">
        <f>VLOOKUP(B5806,CAJEROS!B:D,3,0)</f>
        <v>Dispensador</v>
      </c>
      <c r="I5806" s="34" t="s">
        <v>10</v>
      </c>
      <c r="J5806" s="38" t="str">
        <f>VLOOKUP(B5806,CAJEROS!B:E,4,0)</f>
        <v>LAVEGA_2</v>
      </c>
      <c r="K5806" t="s">
        <v>610</v>
      </c>
    </row>
    <row r="5807" spans="1:11">
      <c r="A5807" s="32">
        <v>32</v>
      </c>
      <c r="B5807" s="33">
        <v>5027</v>
      </c>
      <c r="C5807" s="3">
        <v>5000</v>
      </c>
      <c r="D5807" s="3"/>
      <c r="E5807" s="7">
        <f t="shared" si="111"/>
        <v>5000</v>
      </c>
      <c r="F5807" s="5">
        <v>45940</v>
      </c>
      <c r="G5807" s="4">
        <v>20251009</v>
      </c>
      <c r="H5807" s="38" t="str">
        <f>VLOOKUP(B5807,CAJEROS!B:D,3,0)</f>
        <v>Multifuncional</v>
      </c>
      <c r="I5807" s="34" t="s">
        <v>10</v>
      </c>
      <c r="J5807" s="38" t="str">
        <f>VLOOKUP(B5807,CAJEROS!B:E,4,0)</f>
        <v>MF_ANTCOUNT</v>
      </c>
      <c r="K5807" t="s">
        <v>610</v>
      </c>
    </row>
    <row r="5808" spans="1:11">
      <c r="A5808" s="32">
        <v>64</v>
      </c>
      <c r="B5808" s="33">
        <v>6447</v>
      </c>
      <c r="C5808" s="3">
        <v>20000</v>
      </c>
      <c r="D5808" s="3"/>
      <c r="E5808" s="7">
        <f t="shared" si="111"/>
        <v>20000</v>
      </c>
      <c r="F5808" s="5">
        <v>45940</v>
      </c>
      <c r="G5808" s="4">
        <v>20251009</v>
      </c>
      <c r="H5808" s="38" t="str">
        <f>VLOOKUP(B5808,CAJEROS!B:D,3,0)</f>
        <v>Dispensador</v>
      </c>
      <c r="I5808" s="34" t="s">
        <v>10</v>
      </c>
      <c r="J5808" s="38" t="str">
        <f>VLOOKUP(B5808,CAJEROS!B:E,4,0)</f>
        <v>VIPASA_5_R</v>
      </c>
      <c r="K5808" t="s">
        <v>610</v>
      </c>
    </row>
    <row r="5809" spans="1:11">
      <c r="A5809" s="32">
        <v>190</v>
      </c>
      <c r="B5809" s="33">
        <v>5557</v>
      </c>
      <c r="C5809" s="3">
        <v>10000</v>
      </c>
      <c r="D5809" s="3"/>
      <c r="E5809" s="7">
        <f t="shared" si="111"/>
        <v>10000</v>
      </c>
      <c r="F5809" s="5">
        <v>45940</v>
      </c>
      <c r="G5809" s="4">
        <v>20251009</v>
      </c>
      <c r="H5809" s="38" t="str">
        <f>VLOOKUP(B5809,CAJEROS!B:D,3,0)</f>
        <v>Dispensador</v>
      </c>
      <c r="I5809" s="34" t="s">
        <v>10</v>
      </c>
      <c r="J5809" s="38" t="str">
        <f>VLOOKUP(B5809,CAJEROS!B:E,4,0)</f>
        <v>SANDONA1</v>
      </c>
      <c r="K5809" t="s">
        <v>610</v>
      </c>
    </row>
    <row r="5810" spans="1:11">
      <c r="A5810" s="32">
        <v>77</v>
      </c>
      <c r="B5810" s="33">
        <v>4853</v>
      </c>
      <c r="C5810" s="3">
        <v>20000</v>
      </c>
      <c r="D5810" s="3"/>
      <c r="E5810" s="7">
        <f t="shared" si="111"/>
        <v>20000</v>
      </c>
      <c r="F5810" s="5">
        <v>45940</v>
      </c>
      <c r="G5810" s="4">
        <v>20251009</v>
      </c>
      <c r="H5810" s="38" t="str">
        <f>VLOOKUP(B5810,CAJEROS!B:D,3,0)</f>
        <v>Dispensador</v>
      </c>
      <c r="I5810" s="34" t="s">
        <v>10</v>
      </c>
      <c r="J5810" s="38" t="str">
        <f>VLOOKUP(B5810,CAJEROS!B:E,4,0)</f>
        <v>SUC_TEQUEN1</v>
      </c>
      <c r="K5810" t="s">
        <v>610</v>
      </c>
    </row>
    <row r="5811" spans="1:11">
      <c r="A5811" s="32">
        <v>358</v>
      </c>
      <c r="B5811" s="33">
        <v>4499</v>
      </c>
      <c r="C5811" s="3">
        <v>10000</v>
      </c>
      <c r="D5811" s="3"/>
      <c r="E5811" s="7">
        <f t="shared" si="111"/>
        <v>10000</v>
      </c>
      <c r="F5811" s="5">
        <v>45940</v>
      </c>
      <c r="G5811" s="4">
        <v>20251009</v>
      </c>
      <c r="H5811" s="38" t="str">
        <f>VLOOKUP(B5811,CAJEROS!B:D,3,0)</f>
        <v>Dispensador</v>
      </c>
      <c r="I5811" s="34" t="s">
        <v>10</v>
      </c>
      <c r="J5811" s="38" t="str">
        <f>VLOOKUP(B5811,CAJEROS!B:E,4,0)</f>
        <v>SUC_SOGAMO1</v>
      </c>
      <c r="K5811" t="s">
        <v>610</v>
      </c>
    </row>
    <row r="5812" spans="1:11">
      <c r="A5812" s="32">
        <v>236</v>
      </c>
      <c r="B5812" s="33">
        <v>8497</v>
      </c>
      <c r="C5812" s="3">
        <v>5000</v>
      </c>
      <c r="D5812" s="3"/>
      <c r="E5812" s="7">
        <f t="shared" si="111"/>
        <v>5000</v>
      </c>
      <c r="F5812" s="5">
        <v>45940</v>
      </c>
      <c r="G5812" s="4">
        <v>20251009</v>
      </c>
      <c r="H5812" s="38" t="str">
        <f>VLOOKUP(B5812,CAJEROS!B:D,3,0)</f>
        <v>Multifuncional</v>
      </c>
      <c r="I5812" s="34" t="s">
        <v>10</v>
      </c>
      <c r="J5812" s="38" t="str">
        <f>VLOOKUP(B5812,CAJEROS!B:E,4,0)</f>
        <v>MF_EXITCOL2</v>
      </c>
      <c r="K5812" t="s">
        <v>610</v>
      </c>
    </row>
    <row r="5813" spans="1:11">
      <c r="A5813" s="32">
        <v>108</v>
      </c>
      <c r="B5813" s="33">
        <v>2042</v>
      </c>
      <c r="C5813" s="3">
        <v>500000</v>
      </c>
      <c r="D5813" s="3"/>
      <c r="E5813" s="7">
        <f t="shared" si="111"/>
        <v>500000</v>
      </c>
      <c r="F5813" s="5">
        <v>45940</v>
      </c>
      <c r="G5813" s="4">
        <v>20251009</v>
      </c>
      <c r="H5813" s="38" t="str">
        <f>VLOOKUP(B5813,CAJEROS!B:D,3,0)</f>
        <v>Dispensador</v>
      </c>
      <c r="I5813" s="34"/>
      <c r="J5813" s="38" t="str">
        <f>VLOOKUP(B5813,CAJEROS!B:E,4,0)</f>
        <v>SUCPLZAMER5</v>
      </c>
      <c r="K5813" t="s">
        <v>610</v>
      </c>
    </row>
    <row r="5814" spans="1:11">
      <c r="A5814" s="32">
        <v>111</v>
      </c>
      <c r="B5814" s="33">
        <v>3654</v>
      </c>
      <c r="C5814" s="3">
        <v>1620000</v>
      </c>
      <c r="D5814" s="3"/>
      <c r="E5814" s="7">
        <f t="shared" si="111"/>
        <v>1620000</v>
      </c>
      <c r="F5814" s="5">
        <v>45940</v>
      </c>
      <c r="G5814" s="4">
        <v>20251009</v>
      </c>
      <c r="H5814" s="38" t="str">
        <f>VLOOKUP(B5814,CAJEROS!B:D,3,0)</f>
        <v>Dispensador</v>
      </c>
      <c r="I5814" s="34"/>
      <c r="J5814" s="38" t="str">
        <f>VLOOKUP(B5814,CAJEROS!B:E,4,0)</f>
        <v>SUC_COROZ2</v>
      </c>
      <c r="K5814" t="s">
        <v>610</v>
      </c>
    </row>
    <row r="5815" spans="1:11">
      <c r="A5815" s="32">
        <v>193</v>
      </c>
      <c r="B5815" s="33">
        <v>8534</v>
      </c>
      <c r="C5815" s="3">
        <v>7840000</v>
      </c>
      <c r="D5815" s="3">
        <v>3740000</v>
      </c>
      <c r="E5815" s="7">
        <f t="shared" si="111"/>
        <v>4100000</v>
      </c>
      <c r="F5815" s="5">
        <v>45940</v>
      </c>
      <c r="G5815" s="4">
        <v>20251009</v>
      </c>
      <c r="H5815" s="38" t="str">
        <f>VLOOKUP(B5815,CAJEROS!B:D,3,0)</f>
        <v>Dispensador</v>
      </c>
      <c r="I5815" s="34"/>
      <c r="J5815" s="38" t="str">
        <f>VLOOKUP(B5815,CAJEROS!B:E,4,0)</f>
        <v>HALLSUCFIC4</v>
      </c>
      <c r="K5815" t="s">
        <v>610</v>
      </c>
    </row>
    <row r="5816" spans="1:11">
      <c r="A5816" s="32">
        <v>345</v>
      </c>
      <c r="B5816" s="33">
        <v>1962</v>
      </c>
      <c r="C5816" s="3">
        <v>430000</v>
      </c>
      <c r="D5816" s="3"/>
      <c r="E5816" s="7">
        <f t="shared" si="111"/>
        <v>430000</v>
      </c>
      <c r="F5816" s="5">
        <v>45940</v>
      </c>
      <c r="G5816" s="4">
        <v>20251009</v>
      </c>
      <c r="H5816" s="38" t="str">
        <f>VLOOKUP(B5816,CAJEROS!B:D,3,0)</f>
        <v>Dispensador</v>
      </c>
      <c r="I5816" s="34"/>
      <c r="J5816" s="38" t="str">
        <f>VLOOKUP(B5816,CAJEROS!B:E,4,0)</f>
        <v>SUCTENJO1</v>
      </c>
      <c r="K5816" t="s">
        <v>610</v>
      </c>
    </row>
    <row r="5817" spans="1:11">
      <c r="A5817" s="32">
        <v>427</v>
      </c>
      <c r="B5817" s="33">
        <v>4271</v>
      </c>
      <c r="C5817" s="3">
        <v>40000</v>
      </c>
      <c r="D5817" s="3"/>
      <c r="E5817" s="7">
        <f t="shared" si="111"/>
        <v>40000</v>
      </c>
      <c r="F5817" s="5">
        <v>45940</v>
      </c>
      <c r="G5817" s="4">
        <v>20251009</v>
      </c>
      <c r="H5817" s="38" t="str">
        <f>VLOOKUP(B5817,CAJEROS!B:D,3,0)</f>
        <v>Dispensador</v>
      </c>
      <c r="I5817" s="34"/>
      <c r="J5817" s="38" t="str">
        <f>VLOOKUP(B5817,CAJEROS!B:E,4,0)</f>
        <v>SALDANA</v>
      </c>
      <c r="K5817" t="s">
        <v>610</v>
      </c>
    </row>
    <row r="5818" spans="1:11">
      <c r="A5818" s="32">
        <v>554</v>
      </c>
      <c r="B5818" s="33">
        <v>8297</v>
      </c>
      <c r="C5818" s="3">
        <v>20000</v>
      </c>
      <c r="D5818" s="3"/>
      <c r="E5818" s="7">
        <f t="shared" si="111"/>
        <v>20000</v>
      </c>
      <c r="F5818" s="5">
        <v>45940</v>
      </c>
      <c r="G5818" s="4">
        <v>20251009</v>
      </c>
      <c r="H5818" s="38" t="str">
        <f>VLOOKUP(B5818,CAJEROS!B:D,3,0)</f>
        <v>Dispensador</v>
      </c>
      <c r="I5818" s="34"/>
      <c r="J5818" s="38" t="str">
        <f>VLOOKUP(B5818,CAJEROS!B:E,4,0)</f>
        <v>SUCBUEVIII2</v>
      </c>
      <c r="K5818" t="s">
        <v>610</v>
      </c>
    </row>
    <row r="5819" spans="1:11">
      <c r="A5819" s="32">
        <v>554</v>
      </c>
      <c r="B5819" s="33">
        <v>8298</v>
      </c>
      <c r="C5819" s="3">
        <v>1800000</v>
      </c>
      <c r="D5819" s="3"/>
      <c r="E5819" s="7">
        <f t="shared" si="111"/>
        <v>1800000</v>
      </c>
      <c r="F5819" s="5">
        <v>45940</v>
      </c>
      <c r="G5819" s="4">
        <v>20251009</v>
      </c>
      <c r="H5819" s="38" t="str">
        <f>VLOOKUP(B5819,CAJEROS!B:D,3,0)</f>
        <v>Dispensador</v>
      </c>
      <c r="I5819" s="34"/>
      <c r="J5819" s="38" t="str">
        <f>VLOOKUP(B5819,CAJEROS!B:E,4,0)</f>
        <v>SUCBUEVIII3</v>
      </c>
      <c r="K5819" t="s">
        <v>610</v>
      </c>
    </row>
    <row r="5820" spans="1:11">
      <c r="A5820" s="32">
        <v>583</v>
      </c>
      <c r="B5820" s="33">
        <v>5691</v>
      </c>
      <c r="C5820" s="3">
        <v>5050000</v>
      </c>
      <c r="D5820" s="3">
        <v>5000000</v>
      </c>
      <c r="E5820" s="7">
        <f t="shared" si="111"/>
        <v>50000</v>
      </c>
      <c r="F5820" s="5">
        <v>45940</v>
      </c>
      <c r="G5820" s="4">
        <v>20251009</v>
      </c>
      <c r="H5820" s="38" t="str">
        <f>VLOOKUP(B5820,CAJEROS!B:D,3,0)</f>
        <v>Dispensador</v>
      </c>
      <c r="I5820" s="34"/>
      <c r="J5820" s="38" t="str">
        <f>VLOOKUP(B5820,CAJEROS!B:E,4,0)</f>
        <v>SUCRIOSUCI1</v>
      </c>
      <c r="K5820" t="s">
        <v>610</v>
      </c>
    </row>
    <row r="5821" spans="1:11">
      <c r="A5821" s="32">
        <v>672</v>
      </c>
      <c r="B5821" s="33">
        <v>8374</v>
      </c>
      <c r="C5821" s="3">
        <v>2750000</v>
      </c>
      <c r="D5821" s="3"/>
      <c r="E5821" s="7">
        <f t="shared" si="111"/>
        <v>2750000</v>
      </c>
      <c r="F5821" s="5">
        <v>45940</v>
      </c>
      <c r="G5821" s="4">
        <v>20251009</v>
      </c>
      <c r="H5821" s="38" t="str">
        <f>VLOOKUP(B5821,CAJEROS!B:D,3,0)</f>
        <v>Dispensador</v>
      </c>
      <c r="I5821" s="34"/>
      <c r="J5821" s="38" t="str">
        <f>VLOOKUP(B5821,CAJEROS!B:E,4,0)</f>
        <v>SUCSONSON_1</v>
      </c>
      <c r="K5821" t="s">
        <v>610</v>
      </c>
    </row>
    <row r="5822" spans="1:11">
      <c r="A5822" s="32">
        <v>688</v>
      </c>
      <c r="B5822" s="33">
        <v>4840</v>
      </c>
      <c r="C5822" s="3">
        <v>40000</v>
      </c>
      <c r="D5822" s="3"/>
      <c r="E5822" s="7">
        <f t="shared" si="111"/>
        <v>40000</v>
      </c>
      <c r="F5822" s="5">
        <v>45940</v>
      </c>
      <c r="G5822" s="4">
        <v>20251009</v>
      </c>
      <c r="H5822" s="38" t="str">
        <f>VLOOKUP(B5822,CAJEROS!B:D,3,0)</f>
        <v>Dispensador</v>
      </c>
      <c r="I5822" s="34"/>
      <c r="J5822" s="38" t="str">
        <f>VLOOKUP(B5822,CAJEROS!B:E,4,0)</f>
        <v>SUC_CONTAD1</v>
      </c>
      <c r="K5822" t="s">
        <v>610</v>
      </c>
    </row>
    <row r="5823" spans="1:11">
      <c r="A5823" s="32">
        <v>864</v>
      </c>
      <c r="B5823" s="33">
        <v>5795</v>
      </c>
      <c r="C5823" s="3">
        <v>20000</v>
      </c>
      <c r="D5823" s="3"/>
      <c r="E5823" s="7">
        <f t="shared" si="111"/>
        <v>20000</v>
      </c>
      <c r="F5823" s="5">
        <v>45940</v>
      </c>
      <c r="G5823" s="4">
        <v>20251009</v>
      </c>
      <c r="H5823" s="38" t="str">
        <f>VLOOKUP(B5823,CAJEROS!B:D,3,0)</f>
        <v>Dispensador</v>
      </c>
      <c r="I5823" s="34"/>
      <c r="J5823" s="38" t="str">
        <f>VLOOKUP(B5823,CAJEROS!B:E,4,0)</f>
        <v>SUC_PRADER1</v>
      </c>
      <c r="K5823" t="s">
        <v>610</v>
      </c>
    </row>
    <row r="5824" spans="1:11">
      <c r="A5824" s="32">
        <v>829</v>
      </c>
      <c r="B5824" s="33">
        <v>1157</v>
      </c>
      <c r="C5824" s="3">
        <v>1200000</v>
      </c>
      <c r="D5824" s="3"/>
      <c r="E5824" s="7">
        <f t="shared" si="111"/>
        <v>1200000</v>
      </c>
      <c r="F5824" s="5">
        <v>45940</v>
      </c>
      <c r="G5824" s="4">
        <v>20251009</v>
      </c>
      <c r="H5824" s="38" t="str">
        <f>VLOOKUP(B5824,CAJEROS!B:D,3,0)</f>
        <v>Dispensador</v>
      </c>
      <c r="I5824" s="34" t="s">
        <v>9</v>
      </c>
      <c r="J5824" s="38" t="str">
        <f>VLOOKUP(B5824,CAJEROS!B:E,4,0)</f>
        <v>SUCUNICCAL3</v>
      </c>
      <c r="K5824" t="s">
        <v>610</v>
      </c>
    </row>
    <row r="5825" spans="1:11">
      <c r="A5825" s="32">
        <v>360</v>
      </c>
      <c r="B5825" s="33">
        <v>2856</v>
      </c>
      <c r="C5825" s="3">
        <v>100000</v>
      </c>
      <c r="D5825" s="3"/>
      <c r="E5825" s="7">
        <f t="shared" si="111"/>
        <v>100000</v>
      </c>
      <c r="F5825" s="5">
        <v>45940</v>
      </c>
      <c r="G5825" s="4">
        <v>20251009</v>
      </c>
      <c r="H5825" s="38" t="str">
        <f>VLOOKUP(B5825,CAJEROS!B:D,3,0)</f>
        <v>Dispensador</v>
      </c>
      <c r="I5825" s="34" t="s">
        <v>9</v>
      </c>
      <c r="J5825" s="38" t="str">
        <f>VLOOKUP(B5825,CAJEROS!B:E,4,0)</f>
        <v>_ESTADIO_2_</v>
      </c>
      <c r="K5825" t="s">
        <v>610</v>
      </c>
    </row>
    <row r="5826" spans="1:11">
      <c r="A5826" s="32">
        <v>884</v>
      </c>
      <c r="B5826" s="33">
        <v>3962</v>
      </c>
      <c r="C5826" s="3">
        <v>1000000</v>
      </c>
      <c r="D5826" s="3"/>
      <c r="E5826" s="7">
        <f t="shared" si="111"/>
        <v>1000000</v>
      </c>
      <c r="F5826" s="5">
        <v>45940</v>
      </c>
      <c r="G5826" s="4">
        <v>20251009</v>
      </c>
      <c r="H5826" s="38" t="str">
        <f>VLOOKUP(B5826,CAJEROS!B:D,3,0)</f>
        <v>Dispensador</v>
      </c>
      <c r="I5826" s="34" t="s">
        <v>9</v>
      </c>
      <c r="J5826" s="38" t="str">
        <f>VLOOKUP(B5826,CAJEROS!B:E,4,0)</f>
        <v>SUCSANMART1</v>
      </c>
      <c r="K5826" t="s">
        <v>610</v>
      </c>
    </row>
    <row r="5827" spans="1:11">
      <c r="A5827" s="32">
        <v>840</v>
      </c>
      <c r="B5827" s="33">
        <v>4248</v>
      </c>
      <c r="C5827" s="3">
        <v>600000</v>
      </c>
      <c r="D5827" s="3">
        <v>300000</v>
      </c>
      <c r="E5827" s="7">
        <f t="shared" si="111"/>
        <v>300000</v>
      </c>
      <c r="F5827" s="5">
        <v>45940</v>
      </c>
      <c r="G5827" s="4">
        <v>20251009</v>
      </c>
      <c r="H5827" s="38" t="str">
        <f>VLOOKUP(B5827,CAJEROS!B:D,3,0)</f>
        <v>Dispensador</v>
      </c>
      <c r="I5827" s="34" t="s">
        <v>9</v>
      </c>
      <c r="J5827" s="38" t="str">
        <f>VLOOKUP(B5827,CAJEROS!B:E,4,0)</f>
        <v>SUC_PAZARI1</v>
      </c>
      <c r="K5827" t="s">
        <v>610</v>
      </c>
    </row>
    <row r="5828" spans="1:11">
      <c r="A5828" s="32">
        <v>455</v>
      </c>
      <c r="B5828" s="33">
        <v>5974</v>
      </c>
      <c r="C5828" s="3">
        <v>210000</v>
      </c>
      <c r="D5828" s="3"/>
      <c r="E5828" s="7">
        <f t="shared" si="111"/>
        <v>210000</v>
      </c>
      <c r="F5828" s="5">
        <v>45940</v>
      </c>
      <c r="G5828" s="4">
        <v>20251009</v>
      </c>
      <c r="H5828" s="38" t="str">
        <f>VLOOKUP(B5828,CAJEROS!B:D,3,0)</f>
        <v>Dispensador</v>
      </c>
      <c r="I5828" s="34" t="s">
        <v>9</v>
      </c>
      <c r="J5828" s="38" t="str">
        <f>VLOOKUP(B5828,CAJEROS!B:E,4,0)</f>
        <v>SUC_CEIBAS1</v>
      </c>
      <c r="K5828" t="s">
        <v>610</v>
      </c>
    </row>
    <row r="5829" spans="1:11">
      <c r="A5829" s="32">
        <v>536</v>
      </c>
      <c r="B5829" s="33">
        <v>6914</v>
      </c>
      <c r="C5829" s="3">
        <v>200000</v>
      </c>
      <c r="D5829" s="3"/>
      <c r="E5829" s="7">
        <f t="shared" si="111"/>
        <v>200000</v>
      </c>
      <c r="F5829" s="5">
        <v>45940</v>
      </c>
      <c r="G5829" s="4">
        <v>20251009</v>
      </c>
      <c r="H5829" s="38" t="str">
        <f>VLOOKUP(B5829,CAJEROS!B:D,3,0)</f>
        <v>Dispensador</v>
      </c>
      <c r="I5829" s="34" t="s">
        <v>9</v>
      </c>
      <c r="J5829" s="38" t="str">
        <f>VLOOKUP(B5829,CAJEROS!B:E,4,0)</f>
        <v>SUC_QUIBDO6</v>
      </c>
      <c r="K5829" t="s">
        <v>610</v>
      </c>
    </row>
    <row r="5830" spans="1:11">
      <c r="A5830" s="32">
        <v>91</v>
      </c>
      <c r="B5830" s="33">
        <v>8165</v>
      </c>
      <c r="C5830" s="3">
        <v>100000</v>
      </c>
      <c r="D5830" s="3">
        <f>30000+20000</f>
        <v>50000</v>
      </c>
      <c r="E5830" s="7">
        <f t="shared" si="111"/>
        <v>50000</v>
      </c>
      <c r="F5830" s="5">
        <v>45940</v>
      </c>
      <c r="G5830" s="4">
        <v>20251009</v>
      </c>
      <c r="H5830" s="38" t="str">
        <f>VLOOKUP(B5830,CAJEROS!B:D,3,0)</f>
        <v>Dispensador</v>
      </c>
      <c r="I5830" s="34" t="s">
        <v>9</v>
      </c>
      <c r="J5830" s="38" t="str">
        <f>VLOOKUP(B5830,CAJEROS!B:E,4,0)</f>
        <v>SUC_MONTER7</v>
      </c>
      <c r="K5830" t="s">
        <v>610</v>
      </c>
    </row>
    <row r="5831" spans="1:11">
      <c r="A5831" s="32">
        <v>331</v>
      </c>
      <c r="B5831" s="33">
        <v>8343</v>
      </c>
      <c r="C5831" s="3">
        <v>300000</v>
      </c>
      <c r="D5831" s="3"/>
      <c r="E5831" s="7">
        <f t="shared" si="111"/>
        <v>300000</v>
      </c>
      <c r="F5831" s="5">
        <v>45940</v>
      </c>
      <c r="G5831" s="4">
        <v>20251009</v>
      </c>
      <c r="H5831" s="38" t="str">
        <f>VLOOKUP(B5831,CAJEROS!B:D,3,0)</f>
        <v>Dispensador</v>
      </c>
      <c r="I5831" s="34" t="s">
        <v>9</v>
      </c>
      <c r="J5831" s="38" t="str">
        <f>VLOOKUP(B5831,CAJEROS!B:E,4,0)</f>
        <v>SUCARKADIA2</v>
      </c>
      <c r="K5831" t="s">
        <v>610</v>
      </c>
    </row>
    <row r="5832" spans="1:11">
      <c r="A5832" s="32">
        <v>541</v>
      </c>
      <c r="B5832" s="33">
        <v>8659</v>
      </c>
      <c r="C5832" s="3">
        <v>200000</v>
      </c>
      <c r="D5832" s="3"/>
      <c r="E5832" s="7">
        <f t="shared" si="111"/>
        <v>200000</v>
      </c>
      <c r="F5832" s="5">
        <v>45940</v>
      </c>
      <c r="G5832" s="4">
        <v>20251009</v>
      </c>
      <c r="H5832" s="38" t="str">
        <f>VLOOKUP(B5832,CAJEROS!B:D,3,0)</f>
        <v>Dispensador</v>
      </c>
      <c r="I5832" s="34" t="s">
        <v>9</v>
      </c>
      <c r="J5832" s="38" t="str">
        <f>VLOOKUP(B5832,CAJEROS!B:E,4,0)</f>
        <v>SUCCALDAS10</v>
      </c>
      <c r="K5832" t="s">
        <v>610</v>
      </c>
    </row>
    <row r="5833" spans="1:11">
      <c r="A5833" s="32">
        <v>769</v>
      </c>
      <c r="B5833" s="33">
        <v>8675</v>
      </c>
      <c r="C5833" s="3">
        <v>150000</v>
      </c>
      <c r="D5833" s="3"/>
      <c r="E5833" s="7">
        <f t="shared" si="111"/>
        <v>150000</v>
      </c>
      <c r="F5833" s="5">
        <v>45940</v>
      </c>
      <c r="G5833" s="4">
        <v>20251009</v>
      </c>
      <c r="H5833" s="38" t="str">
        <f>VLOOKUP(B5833,CAJEROS!B:D,3,0)</f>
        <v>Dispensador</v>
      </c>
      <c r="I5833" s="34" t="s">
        <v>9</v>
      </c>
      <c r="J5833" s="38" t="str">
        <f>VLOOKUP(B5833,CAJEROS!B:E,4,0)</f>
        <v>SUCPORPRAD4</v>
      </c>
      <c r="K5833" t="s">
        <v>610</v>
      </c>
    </row>
    <row r="5834" spans="1:11">
      <c r="A5834" s="32">
        <v>966</v>
      </c>
      <c r="B5834" s="33">
        <v>9943</v>
      </c>
      <c r="C5834" s="3">
        <v>620000</v>
      </c>
      <c r="D5834" s="3"/>
      <c r="E5834" s="7">
        <f t="shared" si="111"/>
        <v>620000</v>
      </c>
      <c r="F5834" s="5">
        <v>45940</v>
      </c>
      <c r="G5834" s="4">
        <v>20251009</v>
      </c>
      <c r="H5834" s="38" t="str">
        <f>VLOOKUP(B5834,CAJEROS!B:D,3,0)</f>
        <v>Dispensador</v>
      </c>
      <c r="I5834" s="34" t="s">
        <v>9</v>
      </c>
      <c r="J5834" s="38" t="str">
        <f>VLOOKUP(B5834,CAJEROS!B:E,4,0)</f>
        <v>HALLSUCMTE3</v>
      </c>
      <c r="K5834" t="s">
        <v>610</v>
      </c>
    </row>
    <row r="5835" spans="1:11">
      <c r="A5835" s="32">
        <v>15</v>
      </c>
      <c r="B5835" s="33">
        <v>8578</v>
      </c>
      <c r="C5835" s="3">
        <v>2802400</v>
      </c>
      <c r="D5835" s="3"/>
      <c r="E5835" s="7">
        <f t="shared" ref="E5835:E5898" si="112">+C5835-D5835</f>
        <v>2802400</v>
      </c>
      <c r="F5835" s="5">
        <v>45944</v>
      </c>
      <c r="G5835" s="4">
        <v>20251009</v>
      </c>
      <c r="H5835" s="38" t="str">
        <f>VLOOKUP(B5835,CAJEROS!B:D,3,0)</f>
        <v>Multifuncional</v>
      </c>
      <c r="I5835" s="34"/>
      <c r="J5835" s="38" t="str">
        <f>VLOOKUP(B5835,CAJEROS!B:E,4,0)</f>
        <v>MF_HITAGUI3</v>
      </c>
      <c r="K5835" t="s">
        <v>610</v>
      </c>
    </row>
    <row r="5836" spans="1:11">
      <c r="A5836" s="32">
        <v>211</v>
      </c>
      <c r="B5836" s="33">
        <v>5067</v>
      </c>
      <c r="C5836" s="3">
        <v>214000</v>
      </c>
      <c r="D5836" s="3">
        <v>49950</v>
      </c>
      <c r="E5836" s="7">
        <f t="shared" si="112"/>
        <v>164050</v>
      </c>
      <c r="F5836" s="5">
        <v>45944</v>
      </c>
      <c r="G5836" s="4">
        <v>20251009</v>
      </c>
      <c r="H5836" s="38" t="str">
        <f>VLOOKUP(B5836,CAJEROS!B:D,3,0)</f>
        <v>Multifuncional</v>
      </c>
      <c r="I5836" s="34"/>
      <c r="J5836" s="38" t="str">
        <f>VLOOKUP(B5836,CAJEROS!B:E,4,0)</f>
        <v>MF_SCTROIND</v>
      </c>
      <c r="K5836" t="s">
        <v>610</v>
      </c>
    </row>
    <row r="5837" spans="1:11">
      <c r="A5837" s="32">
        <v>258</v>
      </c>
      <c r="B5837" s="33">
        <v>5155</v>
      </c>
      <c r="C5837" s="3">
        <v>3381400</v>
      </c>
      <c r="D5837" s="3"/>
      <c r="E5837" s="7">
        <f t="shared" si="112"/>
        <v>3381400</v>
      </c>
      <c r="F5837" s="5">
        <v>45944</v>
      </c>
      <c r="G5837" s="4">
        <v>20251009</v>
      </c>
      <c r="H5837" s="38" t="str">
        <f>VLOOKUP(B5837,CAJEROS!B:D,3,0)</f>
        <v>Multifuncional</v>
      </c>
      <c r="I5837" s="34"/>
      <c r="J5837" s="38" t="str">
        <f>VLOOKUP(B5837,CAJEROS!B:E,4,0)</f>
        <v>MF_TUNJA</v>
      </c>
      <c r="K5837" t="s">
        <v>610</v>
      </c>
    </row>
    <row r="5838" spans="1:11">
      <c r="A5838" s="32">
        <v>348</v>
      </c>
      <c r="B5838" s="33">
        <v>192</v>
      </c>
      <c r="C5838" s="3">
        <v>4220000</v>
      </c>
      <c r="D5838" s="3"/>
      <c r="E5838" s="7">
        <f t="shared" si="112"/>
        <v>4220000</v>
      </c>
      <c r="F5838" s="5">
        <v>45944</v>
      </c>
      <c r="G5838" s="4">
        <v>20251009</v>
      </c>
      <c r="H5838" s="38" t="str">
        <f>VLOOKUP(B5838,CAJEROS!B:D,3,0)</f>
        <v>Multifuncional</v>
      </c>
      <c r="I5838" s="34"/>
      <c r="J5838" s="38" t="str">
        <f>VLOOKUP(B5838,CAJEROS!B:E,4,0)</f>
        <v>MF_SANDRES3</v>
      </c>
      <c r="K5838" t="s">
        <v>610</v>
      </c>
    </row>
    <row r="5839" spans="1:11">
      <c r="A5839" s="32">
        <v>348</v>
      </c>
      <c r="B5839" s="33">
        <v>6724</v>
      </c>
      <c r="C5839" s="3">
        <v>1641000</v>
      </c>
      <c r="D5839" s="3">
        <v>1442000</v>
      </c>
      <c r="E5839" s="7">
        <f t="shared" si="112"/>
        <v>199000</v>
      </c>
      <c r="F5839" s="5">
        <v>45944</v>
      </c>
      <c r="G5839" s="4">
        <v>20251009</v>
      </c>
      <c r="H5839" s="38" t="str">
        <f>VLOOKUP(B5839,CAJEROS!B:D,3,0)</f>
        <v>Multifuncional</v>
      </c>
      <c r="I5839" s="34"/>
      <c r="J5839" s="38" t="str">
        <f>VLOOKUP(B5839,CAJEROS!B:E,4,0)</f>
        <v>MF_SANANDRE</v>
      </c>
      <c r="K5839" t="s">
        <v>610</v>
      </c>
    </row>
    <row r="5840" spans="1:11">
      <c r="A5840" s="32">
        <v>348</v>
      </c>
      <c r="B5840" s="33">
        <v>9009</v>
      </c>
      <c r="C5840" s="3">
        <v>753000</v>
      </c>
      <c r="D5840" s="3"/>
      <c r="E5840" s="7">
        <f t="shared" si="112"/>
        <v>753000</v>
      </c>
      <c r="F5840" s="5">
        <v>45944</v>
      </c>
      <c r="G5840" s="4">
        <v>20251009</v>
      </c>
      <c r="H5840" s="38" t="str">
        <f>VLOOKUP(B5840,CAJEROS!B:D,3,0)</f>
        <v>Multifuncional</v>
      </c>
      <c r="I5840" s="34"/>
      <c r="J5840" s="38" t="str">
        <f>VLOOKUP(B5840,CAJEROS!B:E,4,0)</f>
        <v>MF_SANDRES2</v>
      </c>
      <c r="K5840" t="s">
        <v>610</v>
      </c>
    </row>
    <row r="5841" spans="1:11">
      <c r="A5841" s="32">
        <v>506</v>
      </c>
      <c r="B5841" s="33">
        <v>7316</v>
      </c>
      <c r="C5841" s="3">
        <v>1950</v>
      </c>
      <c r="D5841" s="3"/>
      <c r="E5841" s="7">
        <f t="shared" si="112"/>
        <v>1950</v>
      </c>
      <c r="F5841" s="5">
        <v>45944</v>
      </c>
      <c r="G5841" s="4">
        <v>20251009</v>
      </c>
      <c r="H5841" s="38" t="str">
        <f>VLOOKUP(B5841,CAJEROS!B:D,3,0)</f>
        <v>Multifuncional</v>
      </c>
      <c r="I5841" s="34"/>
      <c r="J5841" s="38" t="str">
        <f>VLOOKUP(B5841,CAJEROS!B:E,4,0)</f>
        <v>MF_SINCELE2</v>
      </c>
      <c r="K5841" t="s">
        <v>610</v>
      </c>
    </row>
    <row r="5842" spans="1:11">
      <c r="A5842" s="32">
        <v>524</v>
      </c>
      <c r="B5842" s="33">
        <v>6336</v>
      </c>
      <c r="C5842" s="3">
        <v>70000</v>
      </c>
      <c r="D5842" s="3"/>
      <c r="E5842" s="7">
        <f t="shared" si="112"/>
        <v>70000</v>
      </c>
      <c r="F5842" s="5">
        <v>45944</v>
      </c>
      <c r="G5842" s="4">
        <v>20251009</v>
      </c>
      <c r="H5842" s="38" t="str">
        <f>VLOOKUP(B5842,CAJEROS!B:D,3,0)</f>
        <v>Multifuncional</v>
      </c>
      <c r="I5842" s="34"/>
      <c r="J5842" s="38" t="str">
        <f>VLOOKUP(B5842,CAJEROS!B:E,4,0)</f>
        <v>MF_VALLEDUP</v>
      </c>
      <c r="K5842" t="s">
        <v>610</v>
      </c>
    </row>
    <row r="5843" spans="1:11">
      <c r="A5843" s="32">
        <v>549</v>
      </c>
      <c r="B5843" s="33">
        <v>7123</v>
      </c>
      <c r="C5843" s="3">
        <v>470000</v>
      </c>
      <c r="D5843" s="3"/>
      <c r="E5843" s="7">
        <f t="shared" si="112"/>
        <v>470000</v>
      </c>
      <c r="F5843" s="5">
        <v>45944</v>
      </c>
      <c r="G5843" s="4">
        <v>20251009</v>
      </c>
      <c r="H5843" s="38" t="str">
        <f>VLOOKUP(B5843,CAJEROS!B:D,3,0)</f>
        <v>Multifuncional</v>
      </c>
      <c r="I5843" s="34"/>
      <c r="J5843" s="38" t="str">
        <f>VLOOKUP(B5843,CAJEROS!B:E,4,0)</f>
        <v>MF_PLARIO2</v>
      </c>
      <c r="K5843" t="s">
        <v>610</v>
      </c>
    </row>
    <row r="5844" spans="1:11">
      <c r="A5844" s="32">
        <v>777</v>
      </c>
      <c r="B5844" s="33">
        <v>5009</v>
      </c>
      <c r="C5844" s="3">
        <v>260000</v>
      </c>
      <c r="D5844" s="3"/>
      <c r="E5844" s="7">
        <f t="shared" si="112"/>
        <v>260000</v>
      </c>
      <c r="F5844" s="5">
        <v>45944</v>
      </c>
      <c r="G5844" s="4">
        <v>20251009</v>
      </c>
      <c r="H5844" s="38" t="str">
        <f>VLOOKUP(B5844,CAJEROS!B:D,3,0)</f>
        <v>Multifuncional</v>
      </c>
      <c r="I5844" s="34"/>
      <c r="J5844" s="38" t="str">
        <f>VLOOKUP(B5844,CAJEROS!B:E,4,0)</f>
        <v>MF_PWASHING</v>
      </c>
      <c r="K5844" t="s">
        <v>610</v>
      </c>
    </row>
    <row r="5845" spans="1:11">
      <c r="A5845" s="32">
        <v>430</v>
      </c>
      <c r="B5845" s="33">
        <v>5104</v>
      </c>
      <c r="C5845" s="3">
        <v>3750600</v>
      </c>
      <c r="D5845" s="3">
        <v>2138750</v>
      </c>
      <c r="E5845" s="7">
        <f t="shared" si="112"/>
        <v>1611850</v>
      </c>
      <c r="F5845" s="5">
        <v>45944</v>
      </c>
      <c r="G5845" s="4">
        <v>20251013</v>
      </c>
      <c r="H5845" s="38" t="str">
        <f>VLOOKUP(B5845,CAJEROS!B:D,3,0)</f>
        <v>Multifuncional</v>
      </c>
      <c r="I5845" s="34" t="s">
        <v>9</v>
      </c>
      <c r="J5845" s="38" t="str">
        <f>VLOOKUP(B5845,CAJEROS!B:E,4,0)</f>
        <v>MF_ZONAROSA</v>
      </c>
      <c r="K5845" t="s">
        <v>610</v>
      </c>
    </row>
    <row r="5846" spans="1:11">
      <c r="A5846" s="32">
        <v>554</v>
      </c>
      <c r="B5846" s="33">
        <v>8294</v>
      </c>
      <c r="C5846" s="3">
        <v>3250000</v>
      </c>
      <c r="D5846" s="3"/>
      <c r="E5846" s="7">
        <f t="shared" si="112"/>
        <v>3250000</v>
      </c>
      <c r="F5846" s="5">
        <v>45944</v>
      </c>
      <c r="G5846" s="4">
        <v>20251013</v>
      </c>
      <c r="H5846" s="38" t="str">
        <f>VLOOKUP(B5846,CAJEROS!B:D,3,0)</f>
        <v>Multifuncional</v>
      </c>
      <c r="I5846" s="34" t="s">
        <v>9</v>
      </c>
      <c r="J5846" s="38" t="str">
        <f>VLOOKUP(B5846,CAJEROS!B:E,4,0)</f>
        <v>MF_SBUVIII1</v>
      </c>
      <c r="K5846" t="s">
        <v>610</v>
      </c>
    </row>
    <row r="5847" spans="1:11">
      <c r="A5847" s="32">
        <v>419</v>
      </c>
      <c r="B5847" s="33">
        <v>7980</v>
      </c>
      <c r="C5847" s="3">
        <v>3026000</v>
      </c>
      <c r="D5847" s="3">
        <v>56000</v>
      </c>
      <c r="E5847" s="7">
        <f t="shared" si="112"/>
        <v>2970000</v>
      </c>
      <c r="F5847" s="5">
        <v>45944</v>
      </c>
      <c r="G5847" s="4">
        <v>20251013</v>
      </c>
      <c r="H5847" s="38" t="str">
        <f>VLOOKUP(B5847,CAJEROS!B:D,3,0)</f>
        <v>Multifuncional</v>
      </c>
      <c r="I5847" s="34" t="s">
        <v>9</v>
      </c>
      <c r="J5847" s="38" t="str">
        <f>VLOOKUP(B5847,CAJEROS!B:E,4,0)</f>
        <v>MF_CPUNBOG2</v>
      </c>
      <c r="K5847" t="s">
        <v>610</v>
      </c>
    </row>
    <row r="5848" spans="1:11">
      <c r="A5848" s="32">
        <v>718</v>
      </c>
      <c r="B5848" s="33">
        <v>6248</v>
      </c>
      <c r="C5848" s="3">
        <v>2787100</v>
      </c>
      <c r="D5848" s="3"/>
      <c r="E5848" s="7">
        <f t="shared" si="112"/>
        <v>2787100</v>
      </c>
      <c r="F5848" s="5">
        <v>45944</v>
      </c>
      <c r="G5848" s="4">
        <v>20251013</v>
      </c>
      <c r="H5848" s="38" t="str">
        <f>VLOOKUP(B5848,CAJEROS!B:D,3,0)</f>
        <v>Multifuncional</v>
      </c>
      <c r="I5848" s="34" t="s">
        <v>9</v>
      </c>
      <c r="J5848" s="38" t="str">
        <f>VLOOKUP(B5848,CAJEROS!B:E,4,0)</f>
        <v>MF_LAESTACI</v>
      </c>
      <c r="K5848" t="s">
        <v>610</v>
      </c>
    </row>
    <row r="5849" spans="1:11">
      <c r="A5849" s="32">
        <v>453</v>
      </c>
      <c r="B5849" s="33">
        <v>8018</v>
      </c>
      <c r="C5849" s="3">
        <v>2080000</v>
      </c>
      <c r="D5849" s="3"/>
      <c r="E5849" s="7">
        <f t="shared" si="112"/>
        <v>2080000</v>
      </c>
      <c r="F5849" s="5">
        <v>45944</v>
      </c>
      <c r="G5849" s="4">
        <v>20251013</v>
      </c>
      <c r="H5849" s="38" t="str">
        <f>VLOOKUP(B5849,CAJEROS!B:D,3,0)</f>
        <v>Multifuncional</v>
      </c>
      <c r="I5849" s="34" t="s">
        <v>9</v>
      </c>
      <c r="J5849" s="38" t="str">
        <f>VLOOKUP(B5849,CAJEROS!B:E,4,0)</f>
        <v>MFSUCPITAL1</v>
      </c>
      <c r="K5849" t="s">
        <v>610</v>
      </c>
    </row>
    <row r="5850" spans="1:11">
      <c r="A5850" s="32">
        <v>516</v>
      </c>
      <c r="B5850" s="33">
        <v>9729</v>
      </c>
      <c r="C5850" s="3">
        <v>1475000</v>
      </c>
      <c r="D5850" s="3">
        <v>1305000</v>
      </c>
      <c r="E5850" s="7">
        <f t="shared" si="112"/>
        <v>170000</v>
      </c>
      <c r="F5850" s="5">
        <v>45944</v>
      </c>
      <c r="G5850" s="4">
        <v>20251013</v>
      </c>
      <c r="H5850" s="38" t="str">
        <f>VLOOKUP(B5850,CAJEROS!B:D,3,0)</f>
        <v>Multifuncional</v>
      </c>
      <c r="I5850" s="34" t="s">
        <v>9</v>
      </c>
      <c r="J5850" s="38" t="str">
        <f>VLOOKUP(B5850,CAJEROS!B:E,4,0)</f>
        <v>MF_SUCSTAM1</v>
      </c>
      <c r="K5850" t="s">
        <v>610</v>
      </c>
    </row>
    <row r="5851" spans="1:11">
      <c r="A5851" s="32">
        <v>70</v>
      </c>
      <c r="B5851" s="33">
        <v>5164</v>
      </c>
      <c r="C5851" s="3">
        <v>1385000</v>
      </c>
      <c r="D5851" s="3"/>
      <c r="E5851" s="7">
        <f t="shared" si="112"/>
        <v>1385000</v>
      </c>
      <c r="F5851" s="5">
        <v>45944</v>
      </c>
      <c r="G5851" s="4">
        <v>20251013</v>
      </c>
      <c r="H5851" s="38" t="str">
        <f>VLOOKUP(B5851,CAJEROS!B:D,3,0)</f>
        <v>Multifuncional</v>
      </c>
      <c r="I5851" s="34" t="s">
        <v>9</v>
      </c>
      <c r="J5851" s="38" t="str">
        <f>VLOOKUP(B5851,CAJEROS!B:E,4,0)</f>
        <v>MF_MANIZALE</v>
      </c>
      <c r="K5851" t="s">
        <v>610</v>
      </c>
    </row>
    <row r="5852" spans="1:11">
      <c r="A5852" s="32">
        <v>745</v>
      </c>
      <c r="B5852" s="33">
        <v>1477</v>
      </c>
      <c r="C5852" s="3">
        <v>1340000</v>
      </c>
      <c r="D5852" s="3"/>
      <c r="E5852" s="7">
        <f t="shared" si="112"/>
        <v>1340000</v>
      </c>
      <c r="F5852" s="5">
        <v>45944</v>
      </c>
      <c r="G5852" s="4">
        <v>20251013</v>
      </c>
      <c r="H5852" s="38" t="str">
        <f>VLOOKUP(B5852,CAJEROS!B:D,3,0)</f>
        <v>Multifuncional</v>
      </c>
      <c r="I5852" s="34" t="s">
        <v>9</v>
      </c>
      <c r="J5852" s="38" t="str">
        <f>VLOOKUP(B5852,CAJEROS!B:E,4,0)</f>
        <v>MFSUCMALPZ2</v>
      </c>
      <c r="K5852" t="s">
        <v>610</v>
      </c>
    </row>
    <row r="5853" spans="1:11">
      <c r="A5853" s="32">
        <v>916</v>
      </c>
      <c r="B5853" s="33">
        <v>5052</v>
      </c>
      <c r="C5853" s="3">
        <v>1140000</v>
      </c>
      <c r="D5853" s="3">
        <f>610000+400000</f>
        <v>1010000</v>
      </c>
      <c r="E5853" s="7">
        <f t="shared" si="112"/>
        <v>130000</v>
      </c>
      <c r="F5853" s="5">
        <v>45944</v>
      </c>
      <c r="G5853" s="4">
        <v>20251013</v>
      </c>
      <c r="H5853" s="38" t="str">
        <f>VLOOKUP(B5853,CAJEROS!B:D,3,0)</f>
        <v>Multifuncional</v>
      </c>
      <c r="I5853" s="34" t="s">
        <v>9</v>
      </c>
      <c r="J5853" s="38" t="str">
        <f>VLOOKUP(B5853,CAJEROS!B:E,4,0)</f>
        <v>MF_OCEANMAL</v>
      </c>
      <c r="K5853" t="s">
        <v>610</v>
      </c>
    </row>
    <row r="5854" spans="1:11">
      <c r="A5854" s="32">
        <v>812</v>
      </c>
      <c r="B5854" s="33">
        <v>5144</v>
      </c>
      <c r="C5854" s="3">
        <v>1000000</v>
      </c>
      <c r="D5854" s="3">
        <f>500000+80000</f>
        <v>580000</v>
      </c>
      <c r="E5854" s="7">
        <f t="shared" si="112"/>
        <v>420000</v>
      </c>
      <c r="F5854" s="5">
        <v>45944</v>
      </c>
      <c r="G5854" s="4">
        <v>20251013</v>
      </c>
      <c r="H5854" s="38" t="str">
        <f>VLOOKUP(B5854,CAJEROS!B:D,3,0)</f>
        <v>Multifuncional</v>
      </c>
      <c r="I5854" s="34" t="s">
        <v>9</v>
      </c>
      <c r="J5854" s="38" t="str">
        <f>VLOOKUP(B5854,CAJEROS!B:E,4,0)</f>
        <v>MF_CHPICHPE</v>
      </c>
      <c r="K5854" t="s">
        <v>610</v>
      </c>
    </row>
    <row r="5855" spans="1:11">
      <c r="A5855" s="32">
        <v>678</v>
      </c>
      <c r="B5855" s="33">
        <v>5227</v>
      </c>
      <c r="C5855" s="3">
        <v>880000</v>
      </c>
      <c r="D5855" s="3"/>
      <c r="E5855" s="7">
        <f t="shared" si="112"/>
        <v>880000</v>
      </c>
      <c r="F5855" s="5">
        <v>45944</v>
      </c>
      <c r="G5855" s="4">
        <v>20251013</v>
      </c>
      <c r="H5855" s="38" t="str">
        <f>VLOOKUP(B5855,CAJEROS!B:D,3,0)</f>
        <v>Multifuncional</v>
      </c>
      <c r="I5855" s="34" t="s">
        <v>9</v>
      </c>
      <c r="J5855" s="38" t="str">
        <f>VLOOKUP(B5855,CAJEROS!B:E,4,0)</f>
        <v>MF_PASCASTE</v>
      </c>
      <c r="K5855" t="s">
        <v>610</v>
      </c>
    </row>
    <row r="5856" spans="1:11">
      <c r="A5856" s="32">
        <v>91</v>
      </c>
      <c r="B5856" s="33">
        <v>5148</v>
      </c>
      <c r="C5856" s="3">
        <v>594000</v>
      </c>
      <c r="D5856" s="3">
        <v>130000</v>
      </c>
      <c r="E5856" s="7">
        <f t="shared" si="112"/>
        <v>464000</v>
      </c>
      <c r="F5856" s="5">
        <v>45944</v>
      </c>
      <c r="G5856" s="4">
        <v>20251013</v>
      </c>
      <c r="H5856" s="38" t="str">
        <f>VLOOKUP(B5856,CAJEROS!B:D,3,0)</f>
        <v>Multifuncional</v>
      </c>
      <c r="I5856" s="34" t="s">
        <v>9</v>
      </c>
      <c r="J5856" s="38" t="str">
        <f>VLOOKUP(B5856,CAJEROS!B:E,4,0)</f>
        <v>MF_MONTERIA</v>
      </c>
      <c r="K5856" t="s">
        <v>610</v>
      </c>
    </row>
    <row r="5857" spans="1:11">
      <c r="A5857" s="32">
        <v>300</v>
      </c>
      <c r="B5857" s="33">
        <v>5139</v>
      </c>
      <c r="C5857" s="3">
        <v>430000</v>
      </c>
      <c r="D5857" s="3">
        <v>420000</v>
      </c>
      <c r="E5857" s="7">
        <f t="shared" si="112"/>
        <v>10000</v>
      </c>
      <c r="F5857" s="5">
        <v>45944</v>
      </c>
      <c r="G5857" s="4">
        <v>20251013</v>
      </c>
      <c r="H5857" s="38" t="str">
        <f>VLOOKUP(B5857,CAJEROS!B:D,3,0)</f>
        <v>Multifuncional</v>
      </c>
      <c r="I5857" s="34" t="s">
        <v>9</v>
      </c>
      <c r="J5857" s="38" t="str">
        <f>VLOOKUP(B5857,CAJEROS!B:E,4,0)</f>
        <v>MF_AUTOP98</v>
      </c>
      <c r="K5857" t="s">
        <v>610</v>
      </c>
    </row>
    <row r="5858" spans="1:11">
      <c r="A5858" s="32">
        <v>225</v>
      </c>
      <c r="B5858" s="33">
        <v>8868</v>
      </c>
      <c r="C5858" s="3">
        <v>150000</v>
      </c>
      <c r="D5858" s="3"/>
      <c r="E5858" s="7">
        <f t="shared" si="112"/>
        <v>150000</v>
      </c>
      <c r="F5858" s="5">
        <v>45944</v>
      </c>
      <c r="G5858" s="4">
        <v>20251013</v>
      </c>
      <c r="H5858" s="38" t="str">
        <f>VLOOKUP(B5858,CAJEROS!B:D,3,0)</f>
        <v>Multifuncional</v>
      </c>
      <c r="I5858" s="34" t="s">
        <v>9</v>
      </c>
      <c r="J5858" s="38" t="str">
        <f>VLOOKUP(B5858,CAJEROS!B:E,4,0)</f>
        <v>MF_SMPLNQS1</v>
      </c>
      <c r="K5858" t="s">
        <v>610</v>
      </c>
    </row>
    <row r="5859" spans="1:11">
      <c r="A5859" s="32">
        <v>741</v>
      </c>
      <c r="B5859" s="33">
        <v>6843</v>
      </c>
      <c r="C5859" s="3">
        <v>129000</v>
      </c>
      <c r="D5859" s="3"/>
      <c r="E5859" s="7">
        <f t="shared" si="112"/>
        <v>129000</v>
      </c>
      <c r="F5859" s="5">
        <v>45944</v>
      </c>
      <c r="G5859" s="4">
        <v>20251013</v>
      </c>
      <c r="H5859" s="38" t="str">
        <f>VLOOKUP(B5859,CAJEROS!B:D,3,0)</f>
        <v>Multifuncional</v>
      </c>
      <c r="I5859" s="34" t="s">
        <v>9</v>
      </c>
      <c r="J5859" s="38" t="str">
        <f>VLOOKUP(B5859,CAJEROS!B:E,4,0)</f>
        <v>MFSUC_IDEO1</v>
      </c>
      <c r="K5859" t="s">
        <v>610</v>
      </c>
    </row>
    <row r="5860" spans="1:11">
      <c r="A5860" s="32">
        <v>141</v>
      </c>
      <c r="B5860" s="33">
        <v>1541</v>
      </c>
      <c r="C5860" s="3">
        <v>102000</v>
      </c>
      <c r="D5860" s="3"/>
      <c r="E5860" s="7">
        <f t="shared" si="112"/>
        <v>102000</v>
      </c>
      <c r="F5860" s="5">
        <v>45944</v>
      </c>
      <c r="G5860" s="4">
        <v>20251013</v>
      </c>
      <c r="H5860" s="38" t="str">
        <f>VLOOKUP(B5860,CAJEROS!B:D,3,0)</f>
        <v>Multifuncional</v>
      </c>
      <c r="I5860" s="34" t="s">
        <v>9</v>
      </c>
      <c r="J5860" s="38" t="str">
        <f>VLOOKUP(B5860,CAJEROS!B:E,4,0)</f>
        <v>MFSUCMERCA1</v>
      </c>
      <c r="K5860" t="s">
        <v>610</v>
      </c>
    </row>
    <row r="5861" spans="1:11">
      <c r="A5861" s="32">
        <v>332</v>
      </c>
      <c r="B5861" s="33">
        <v>7569</v>
      </c>
      <c r="C5861" s="3">
        <v>100000</v>
      </c>
      <c r="D5861" s="3"/>
      <c r="E5861" s="7">
        <f t="shared" si="112"/>
        <v>100000</v>
      </c>
      <c r="F5861" s="5">
        <v>45944</v>
      </c>
      <c r="G5861" s="4">
        <v>20251013</v>
      </c>
      <c r="H5861" s="38" t="str">
        <f>VLOOKUP(B5861,CAJEROS!B:D,3,0)</f>
        <v>Multifuncional</v>
      </c>
      <c r="I5861" s="34" t="s">
        <v>9</v>
      </c>
      <c r="J5861" s="38" t="str">
        <f>VLOOKUP(B5861,CAJEROS!B:E,4,0)</f>
        <v>MF_ZIPAQUI2</v>
      </c>
      <c r="K5861" t="s">
        <v>610</v>
      </c>
    </row>
    <row r="5862" spans="1:11">
      <c r="A5862" s="32">
        <v>291</v>
      </c>
      <c r="B5862" s="33">
        <v>5114</v>
      </c>
      <c r="C5862" s="3">
        <v>80000</v>
      </c>
      <c r="D5862" s="3"/>
      <c r="E5862" s="7">
        <f t="shared" si="112"/>
        <v>80000</v>
      </c>
      <c r="F5862" s="5">
        <v>45944</v>
      </c>
      <c r="G5862" s="4">
        <v>20251013</v>
      </c>
      <c r="H5862" s="38" t="str">
        <f>VLOOKUP(B5862,CAJEROS!B:D,3,0)</f>
        <v>Multifuncional</v>
      </c>
      <c r="I5862" s="34" t="s">
        <v>9</v>
      </c>
      <c r="J5862" s="38" t="str">
        <f>VLOOKUP(B5862,CAJEROS!B:E,4,0)</f>
        <v>MF_LPALMAS</v>
      </c>
      <c r="K5862" t="s">
        <v>610</v>
      </c>
    </row>
    <row r="5863" spans="1:11">
      <c r="A5863" s="32">
        <v>890</v>
      </c>
      <c r="B5863" s="33">
        <v>9584</v>
      </c>
      <c r="C5863" s="3">
        <v>51100</v>
      </c>
      <c r="D5863" s="3"/>
      <c r="E5863" s="7">
        <f t="shared" si="112"/>
        <v>51100</v>
      </c>
      <c r="F5863" s="5">
        <v>45944</v>
      </c>
      <c r="G5863" s="4">
        <v>20251013</v>
      </c>
      <c r="H5863" s="38" t="str">
        <f>VLOOKUP(B5863,CAJEROS!B:D,3,0)</f>
        <v>Multifuncional</v>
      </c>
      <c r="I5863" s="34" t="s">
        <v>9</v>
      </c>
      <c r="J5863" s="38" t="str">
        <f>VLOOKUP(B5863,CAJEROS!B:E,4,0)</f>
        <v>MFSUCACACI1</v>
      </c>
      <c r="K5863" t="s">
        <v>610</v>
      </c>
    </row>
    <row r="5864" spans="1:11">
      <c r="A5864" s="32">
        <v>289</v>
      </c>
      <c r="B5864" s="33">
        <v>3176</v>
      </c>
      <c r="C5864" s="3">
        <v>230000</v>
      </c>
      <c r="D5864" s="3"/>
      <c r="E5864" s="7">
        <f t="shared" si="112"/>
        <v>230000</v>
      </c>
      <c r="F5864" s="5">
        <v>45944</v>
      </c>
      <c r="G5864" s="4">
        <v>20251009</v>
      </c>
      <c r="H5864" s="38" t="str">
        <f>VLOOKUP(B5864,CAJEROS!B:D,3,0)</f>
        <v>Dispensador</v>
      </c>
      <c r="I5864" s="34"/>
      <c r="J5864" s="38" t="str">
        <f>VLOOKUP(B5864,CAJEROS!B:E,4,0)</f>
        <v>PUERTO_GAI1</v>
      </c>
      <c r="K5864" t="s">
        <v>610</v>
      </c>
    </row>
    <row r="5865" spans="1:11">
      <c r="A5865" s="32">
        <v>289</v>
      </c>
      <c r="B5865" s="33">
        <v>3177</v>
      </c>
      <c r="C5865" s="3">
        <v>550000</v>
      </c>
      <c r="D5865" s="3"/>
      <c r="E5865" s="7">
        <f t="shared" si="112"/>
        <v>550000</v>
      </c>
      <c r="F5865" s="5">
        <v>45944</v>
      </c>
      <c r="G5865" s="4">
        <v>20251009</v>
      </c>
      <c r="H5865" s="38" t="str">
        <f>VLOOKUP(B5865,CAJEROS!B:D,3,0)</f>
        <v>Dispensador</v>
      </c>
      <c r="I5865" s="34"/>
      <c r="J5865" s="38" t="str">
        <f>VLOOKUP(B5865,CAJEROS!B:E,4,0)</f>
        <v>PUERTO_GAI2</v>
      </c>
      <c r="K5865" t="s">
        <v>610</v>
      </c>
    </row>
    <row r="5866" spans="1:11">
      <c r="A5866" s="32">
        <v>289</v>
      </c>
      <c r="B5866" s="33">
        <v>4593</v>
      </c>
      <c r="C5866" s="3">
        <v>1020000</v>
      </c>
      <c r="D5866" s="3"/>
      <c r="E5866" s="7">
        <f t="shared" si="112"/>
        <v>1020000</v>
      </c>
      <c r="F5866" s="5">
        <v>45944</v>
      </c>
      <c r="G5866" s="4">
        <v>20251009</v>
      </c>
      <c r="H5866" s="38" t="str">
        <f>VLOOKUP(B5866,CAJEROS!B:D,3,0)</f>
        <v>Dispensador</v>
      </c>
      <c r="I5866" s="34"/>
      <c r="J5866" s="38" t="str">
        <f>VLOOKUP(B5866,CAJEROS!B:E,4,0)</f>
        <v>SUC_PGAIT3</v>
      </c>
      <c r="K5866" t="s">
        <v>610</v>
      </c>
    </row>
    <row r="5867" spans="1:11">
      <c r="A5867" s="32">
        <v>360</v>
      </c>
      <c r="B5867" s="33">
        <v>2856</v>
      </c>
      <c r="C5867" s="3">
        <v>100000</v>
      </c>
      <c r="D5867" s="3"/>
      <c r="E5867" s="7">
        <f t="shared" si="112"/>
        <v>100000</v>
      </c>
      <c r="F5867" s="5">
        <v>45944</v>
      </c>
      <c r="G5867" s="4">
        <v>20251009</v>
      </c>
      <c r="H5867" s="38" t="str">
        <f>VLOOKUP(B5867,CAJEROS!B:D,3,0)</f>
        <v>Dispensador</v>
      </c>
      <c r="I5867" s="34"/>
      <c r="J5867" s="38" t="str">
        <f>VLOOKUP(B5867,CAJEROS!B:E,4,0)</f>
        <v>_ESTADIO_2_</v>
      </c>
      <c r="K5867" t="s">
        <v>610</v>
      </c>
    </row>
    <row r="5868" spans="1:11">
      <c r="A5868" s="32">
        <v>541</v>
      </c>
      <c r="B5868" s="33">
        <v>8650</v>
      </c>
      <c r="C5868" s="3">
        <v>800000</v>
      </c>
      <c r="D5868" s="3"/>
      <c r="E5868" s="7">
        <f t="shared" si="112"/>
        <v>800000</v>
      </c>
      <c r="F5868" s="5">
        <v>45944</v>
      </c>
      <c r="G5868" s="4">
        <v>20251009</v>
      </c>
      <c r="H5868" s="38" t="str">
        <f>VLOOKUP(B5868,CAJEROS!B:D,3,0)</f>
        <v>Dispensador</v>
      </c>
      <c r="I5868" s="34"/>
      <c r="J5868" s="38" t="str">
        <f>VLOOKUP(B5868,CAJEROS!B:E,4,0)</f>
        <v>SUCCALDASP1</v>
      </c>
      <c r="K5868" t="s">
        <v>610</v>
      </c>
    </row>
    <row r="5869" spans="1:11">
      <c r="A5869" s="32">
        <v>541</v>
      </c>
      <c r="B5869" s="33">
        <v>8652</v>
      </c>
      <c r="C5869" s="3">
        <v>180000</v>
      </c>
      <c r="D5869" s="3"/>
      <c r="E5869" s="7">
        <f t="shared" si="112"/>
        <v>180000</v>
      </c>
      <c r="F5869" s="5">
        <v>45944</v>
      </c>
      <c r="G5869" s="4">
        <v>20251009</v>
      </c>
      <c r="H5869" s="38" t="str">
        <f>VLOOKUP(B5869,CAJEROS!B:D,3,0)</f>
        <v>Dispensador</v>
      </c>
      <c r="I5869" s="34"/>
      <c r="J5869" s="38" t="str">
        <f>VLOOKUP(B5869,CAJEROS!B:E,4,0)</f>
        <v>SUCCALDASP3</v>
      </c>
      <c r="K5869" t="s">
        <v>610</v>
      </c>
    </row>
    <row r="5870" spans="1:11">
      <c r="A5870" s="32">
        <v>629</v>
      </c>
      <c r="B5870" s="33">
        <v>4571</v>
      </c>
      <c r="C5870" s="3">
        <v>40000</v>
      </c>
      <c r="D5870" s="3"/>
      <c r="E5870" s="7">
        <f t="shared" si="112"/>
        <v>40000</v>
      </c>
      <c r="F5870" s="5">
        <v>45944</v>
      </c>
      <c r="G5870" s="4">
        <v>20251009</v>
      </c>
      <c r="H5870" s="38" t="str">
        <f>VLOOKUP(B5870,CAJEROS!B:D,3,0)</f>
        <v>Dispensador</v>
      </c>
      <c r="I5870" s="34"/>
      <c r="J5870" s="38" t="str">
        <f>VLOOKUP(B5870,CAJEROS!B:E,4,0)</f>
        <v>SUC_YOPAL2</v>
      </c>
      <c r="K5870" t="s">
        <v>610</v>
      </c>
    </row>
    <row r="5871" spans="1:11">
      <c r="A5871" s="32">
        <v>631</v>
      </c>
      <c r="B5871" s="33">
        <v>2617</v>
      </c>
      <c r="C5871" s="3">
        <v>1800000</v>
      </c>
      <c r="D5871" s="3"/>
      <c r="E5871" s="7">
        <f t="shared" si="112"/>
        <v>1800000</v>
      </c>
      <c r="F5871" s="5">
        <v>45944</v>
      </c>
      <c r="G5871" s="4">
        <v>20251009</v>
      </c>
      <c r="H5871" s="38" t="str">
        <f>VLOOKUP(B5871,CAJEROS!B:D,3,0)</f>
        <v>Dispensador</v>
      </c>
      <c r="I5871" s="34"/>
      <c r="J5871" s="38" t="str">
        <f>VLOOKUP(B5871,CAJEROS!B:E,4,0)</f>
        <v>SUCURIBIA_3</v>
      </c>
      <c r="K5871" t="s">
        <v>610</v>
      </c>
    </row>
    <row r="5872" spans="1:11">
      <c r="A5872" s="32">
        <v>728</v>
      </c>
      <c r="B5872" s="33">
        <v>8585</v>
      </c>
      <c r="C5872" s="3">
        <v>800000</v>
      </c>
      <c r="D5872" s="3"/>
      <c r="E5872" s="7">
        <f t="shared" si="112"/>
        <v>800000</v>
      </c>
      <c r="F5872" s="5">
        <v>45944</v>
      </c>
      <c r="G5872" s="4">
        <v>20251009</v>
      </c>
      <c r="H5872" s="38" t="str">
        <f>VLOOKUP(B5872,CAJEROS!B:D,3,0)</f>
        <v>Dispensador</v>
      </c>
      <c r="I5872" s="34"/>
      <c r="J5872" s="38" t="str">
        <f>VLOOKUP(B5872,CAJEROS!B:E,4,0)</f>
        <v>SUCCARTAGO4</v>
      </c>
      <c r="K5872" t="s">
        <v>610</v>
      </c>
    </row>
    <row r="5873" spans="1:11">
      <c r="A5873" s="32">
        <v>68</v>
      </c>
      <c r="B5873" s="33">
        <v>4979</v>
      </c>
      <c r="C5873" s="3">
        <v>300000</v>
      </c>
      <c r="D5873" s="3"/>
      <c r="E5873" s="7">
        <f t="shared" si="112"/>
        <v>300000</v>
      </c>
      <c r="F5873" s="5">
        <v>45944</v>
      </c>
      <c r="G5873" s="4">
        <v>20251013</v>
      </c>
      <c r="H5873" s="38" t="str">
        <f>VLOOKUP(B5873,CAJEROS!B:D,3,0)</f>
        <v>Dispensador</v>
      </c>
      <c r="I5873" s="34" t="s">
        <v>9</v>
      </c>
      <c r="J5873" s="38" t="str">
        <f>VLOOKUP(B5873,CAJEROS!B:E,4,0)</f>
        <v>AUTO_IBAGU1</v>
      </c>
      <c r="K5873" t="s">
        <v>610</v>
      </c>
    </row>
    <row r="5874" spans="1:11">
      <c r="A5874" s="32">
        <v>70</v>
      </c>
      <c r="B5874" s="33">
        <v>4729</v>
      </c>
      <c r="C5874" s="3">
        <v>50000</v>
      </c>
      <c r="D5874" s="3"/>
      <c r="E5874" s="7">
        <f t="shared" si="112"/>
        <v>50000</v>
      </c>
      <c r="F5874" s="5">
        <v>45944</v>
      </c>
      <c r="G5874" s="4">
        <v>20251013</v>
      </c>
      <c r="H5874" s="38" t="str">
        <f>VLOOKUP(B5874,CAJEROS!B:D,3,0)</f>
        <v>Dispensador</v>
      </c>
      <c r="I5874" s="34" t="s">
        <v>9</v>
      </c>
      <c r="J5874" s="38" t="str">
        <f>VLOOKUP(B5874,CAJEROS!B:E,4,0)</f>
        <v>PPMANIZLES4</v>
      </c>
      <c r="K5874" t="s">
        <v>610</v>
      </c>
    </row>
    <row r="5875" spans="1:11">
      <c r="A5875" s="32">
        <v>91</v>
      </c>
      <c r="B5875" s="33">
        <v>5803</v>
      </c>
      <c r="C5875" s="3">
        <v>2000000</v>
      </c>
      <c r="D5875" s="3"/>
      <c r="E5875" s="7">
        <f t="shared" si="112"/>
        <v>2000000</v>
      </c>
      <c r="F5875" s="5">
        <v>45944</v>
      </c>
      <c r="G5875" s="4">
        <v>20251013</v>
      </c>
      <c r="H5875" s="38" t="str">
        <f>VLOOKUP(B5875,CAJEROS!B:D,3,0)</f>
        <v>Dispensador</v>
      </c>
      <c r="I5875" s="34" t="s">
        <v>9</v>
      </c>
      <c r="J5875" s="38" t="str">
        <f>VLOOKUP(B5875,CAJEROS!B:E,4,0)</f>
        <v>SUC_MONTE4</v>
      </c>
      <c r="K5875" t="s">
        <v>610</v>
      </c>
    </row>
    <row r="5876" spans="1:11">
      <c r="A5876" s="32">
        <v>153</v>
      </c>
      <c r="B5876" s="33">
        <v>9879</v>
      </c>
      <c r="C5876" s="3">
        <v>880000</v>
      </c>
      <c r="D5876" s="3">
        <v>570000</v>
      </c>
      <c r="E5876" s="7">
        <f t="shared" si="112"/>
        <v>310000</v>
      </c>
      <c r="F5876" s="5">
        <v>45944</v>
      </c>
      <c r="G5876" s="4">
        <v>20251013</v>
      </c>
      <c r="H5876" s="38" t="str">
        <f>VLOOKUP(B5876,CAJEROS!B:D,3,0)</f>
        <v>Dispensador</v>
      </c>
      <c r="I5876" s="34" t="s">
        <v>9</v>
      </c>
      <c r="J5876" s="38" t="str">
        <f>VLOOKUP(B5876,CAJEROS!B:E,4,0)</f>
        <v>EXITOIBAG_1</v>
      </c>
      <c r="K5876" t="s">
        <v>610</v>
      </c>
    </row>
    <row r="5877" spans="1:11">
      <c r="A5877" s="32">
        <v>264</v>
      </c>
      <c r="B5877" s="33">
        <v>9903</v>
      </c>
      <c r="C5877" s="3">
        <v>140000</v>
      </c>
      <c r="D5877" s="3"/>
      <c r="E5877" s="7">
        <f t="shared" si="112"/>
        <v>140000</v>
      </c>
      <c r="F5877" s="5">
        <v>45944</v>
      </c>
      <c r="G5877" s="4">
        <v>20251013</v>
      </c>
      <c r="H5877" s="38" t="str">
        <f>VLOOKUP(B5877,CAJEROS!B:D,3,0)</f>
        <v>Dispensador</v>
      </c>
      <c r="I5877" s="34" t="s">
        <v>9</v>
      </c>
      <c r="J5877" s="38" t="str">
        <f>VLOOKUP(B5877,CAJEROS!B:E,4,0)</f>
        <v>SUCFUSAGAS1</v>
      </c>
      <c r="K5877" t="s">
        <v>610</v>
      </c>
    </row>
    <row r="5878" spans="1:11">
      <c r="A5878" s="32">
        <v>287</v>
      </c>
      <c r="B5878" s="33">
        <v>906</v>
      </c>
      <c r="C5878" s="3">
        <v>1000000</v>
      </c>
      <c r="D5878" s="3"/>
      <c r="E5878" s="7">
        <f t="shared" si="112"/>
        <v>1000000</v>
      </c>
      <c r="F5878" s="5">
        <v>45944</v>
      </c>
      <c r="G5878" s="4">
        <v>20251013</v>
      </c>
      <c r="H5878" s="38" t="str">
        <f>VLOOKUP(B5878,CAJEROS!B:D,3,0)</f>
        <v>Dispensador</v>
      </c>
      <c r="I5878" s="34" t="s">
        <v>9</v>
      </c>
      <c r="J5878" s="38" t="str">
        <f>VLOOKUP(B5878,CAJEROS!B:E,4,0)</f>
        <v>ABASTOBGA_2</v>
      </c>
      <c r="K5878" t="s">
        <v>610</v>
      </c>
    </row>
    <row r="5879" spans="1:11">
      <c r="A5879" s="32">
        <v>392</v>
      </c>
      <c r="B5879" s="33">
        <v>4890</v>
      </c>
      <c r="C5879" s="3">
        <v>560000</v>
      </c>
      <c r="D5879" s="3">
        <f>410000+130000</f>
        <v>540000</v>
      </c>
      <c r="E5879" s="7">
        <f t="shared" si="112"/>
        <v>20000</v>
      </c>
      <c r="F5879" s="5">
        <v>45944</v>
      </c>
      <c r="G5879" s="4">
        <v>20251013</v>
      </c>
      <c r="H5879" s="38" t="str">
        <f>VLOOKUP(B5879,CAJEROS!B:D,3,0)</f>
        <v>Dispensador</v>
      </c>
      <c r="I5879" s="34" t="s">
        <v>9</v>
      </c>
      <c r="J5879" s="38" t="str">
        <f>VLOOKUP(B5879,CAJEROS!B:E,4,0)</f>
        <v>LADORADA3</v>
      </c>
      <c r="K5879" t="s">
        <v>610</v>
      </c>
    </row>
    <row r="5880" spans="1:11">
      <c r="A5880" s="32">
        <v>536</v>
      </c>
      <c r="B5880" s="33">
        <v>8993</v>
      </c>
      <c r="C5880" s="3">
        <v>940000</v>
      </c>
      <c r="D5880" s="3">
        <f>440000+100000</f>
        <v>540000</v>
      </c>
      <c r="E5880" s="7">
        <f t="shared" si="112"/>
        <v>400000</v>
      </c>
      <c r="F5880" s="5">
        <v>45944</v>
      </c>
      <c r="G5880" s="4">
        <v>20251013</v>
      </c>
      <c r="H5880" s="38" t="str">
        <f>VLOOKUP(B5880,CAJEROS!B:D,3,0)</f>
        <v>Dispensador</v>
      </c>
      <c r="I5880" s="34" t="s">
        <v>9</v>
      </c>
      <c r="J5880" s="38" t="str">
        <f>VLOOKUP(B5880,CAJEROS!B:E,4,0)</f>
        <v>SUC_QUIBDO8</v>
      </c>
      <c r="K5880" t="s">
        <v>610</v>
      </c>
    </row>
    <row r="5881" spans="1:11">
      <c r="A5881" s="32">
        <v>541</v>
      </c>
      <c r="B5881" s="33">
        <v>8651</v>
      </c>
      <c r="C5881" s="3">
        <v>200000</v>
      </c>
      <c r="D5881" s="3"/>
      <c r="E5881" s="7">
        <f t="shared" si="112"/>
        <v>200000</v>
      </c>
      <c r="F5881" s="5">
        <v>45944</v>
      </c>
      <c r="G5881" s="4">
        <v>20251013</v>
      </c>
      <c r="H5881" s="38" t="str">
        <f>VLOOKUP(B5881,CAJEROS!B:D,3,0)</f>
        <v>Dispensador</v>
      </c>
      <c r="I5881" s="34" t="s">
        <v>9</v>
      </c>
      <c r="J5881" s="38" t="str">
        <f>VLOOKUP(B5881,CAJEROS!B:E,4,0)</f>
        <v>SUCCALDASP2</v>
      </c>
      <c r="K5881" t="s">
        <v>610</v>
      </c>
    </row>
    <row r="5882" spans="1:11">
      <c r="A5882" s="32">
        <v>584</v>
      </c>
      <c r="B5882" s="33">
        <v>6874</v>
      </c>
      <c r="C5882" s="3">
        <v>270000</v>
      </c>
      <c r="D5882" s="3"/>
      <c r="E5882" s="7">
        <f t="shared" si="112"/>
        <v>270000</v>
      </c>
      <c r="F5882" s="5">
        <v>45944</v>
      </c>
      <c r="G5882" s="4">
        <v>20251013</v>
      </c>
      <c r="H5882" s="38" t="str">
        <f>VLOOKUP(B5882,CAJEROS!B:D,3,0)</f>
        <v>Dispensador</v>
      </c>
      <c r="I5882" s="34" t="s">
        <v>9</v>
      </c>
      <c r="J5882" s="38" t="str">
        <f>VLOOKUP(B5882,CAJEROS!B:E,4,0)</f>
        <v>HALLCHIGOR2</v>
      </c>
      <c r="K5882" t="s">
        <v>610</v>
      </c>
    </row>
    <row r="5883" spans="1:11">
      <c r="A5883" s="32">
        <v>621</v>
      </c>
      <c r="B5883" s="33">
        <v>4267</v>
      </c>
      <c r="C5883" s="3">
        <v>50000</v>
      </c>
      <c r="D5883" s="3"/>
      <c r="E5883" s="7">
        <f t="shared" si="112"/>
        <v>50000</v>
      </c>
      <c r="F5883" s="5">
        <v>45944</v>
      </c>
      <c r="G5883" s="4">
        <v>20251013</v>
      </c>
      <c r="H5883" s="38" t="str">
        <f>VLOOKUP(B5883,CAJEROS!B:D,3,0)</f>
        <v>Dispensador</v>
      </c>
      <c r="I5883" s="34" t="s">
        <v>9</v>
      </c>
      <c r="J5883" s="38" t="str">
        <f>VLOOKUP(B5883,CAJEROS!B:E,4,0)</f>
        <v>SUC_YUMBO3</v>
      </c>
      <c r="K5883" t="s">
        <v>610</v>
      </c>
    </row>
    <row r="5884" spans="1:11">
      <c r="A5884" s="32">
        <v>638</v>
      </c>
      <c r="B5884" s="33">
        <v>4486</v>
      </c>
      <c r="C5884" s="3">
        <v>1000000</v>
      </c>
      <c r="D5884" s="3"/>
      <c r="E5884" s="7">
        <f t="shared" si="112"/>
        <v>1000000</v>
      </c>
      <c r="F5884" s="5">
        <v>45944</v>
      </c>
      <c r="G5884" s="4">
        <v>20251013</v>
      </c>
      <c r="H5884" s="38" t="str">
        <f>VLOOKUP(B5884,CAJEROS!B:D,3,0)</f>
        <v>Dispensador</v>
      </c>
      <c r="I5884" s="34" t="s">
        <v>9</v>
      </c>
      <c r="J5884" s="38" t="str">
        <f>VLOOKUP(B5884,CAJEROS!B:E,4,0)</f>
        <v>CRPM_OCCI1</v>
      </c>
      <c r="K5884" t="s">
        <v>610</v>
      </c>
    </row>
    <row r="5885" spans="1:11">
      <c r="A5885" s="32">
        <v>681</v>
      </c>
      <c r="B5885" s="33">
        <v>8494</v>
      </c>
      <c r="C5885" s="3">
        <v>120000</v>
      </c>
      <c r="D5885" s="3"/>
      <c r="E5885" s="7">
        <f t="shared" si="112"/>
        <v>120000</v>
      </c>
      <c r="F5885" s="5">
        <v>45944</v>
      </c>
      <c r="G5885" s="4">
        <v>20251012</v>
      </c>
      <c r="H5885" s="38" t="str">
        <f>VLOOKUP(B5885,CAJEROS!B:D,3,0)</f>
        <v>Dispensador</v>
      </c>
      <c r="I5885" s="34" t="s">
        <v>9</v>
      </c>
      <c r="J5885" s="38" t="str">
        <f>VLOOKUP(B5885,CAJEROS!B:E,4,0)</f>
        <v>SUC_CERETE2</v>
      </c>
      <c r="K5885" t="s">
        <v>610</v>
      </c>
    </row>
    <row r="5886" spans="1:11">
      <c r="A5886" s="32">
        <v>681</v>
      </c>
      <c r="B5886" s="33">
        <v>8495</v>
      </c>
      <c r="C5886" s="3">
        <v>100000</v>
      </c>
      <c r="D5886" s="3"/>
      <c r="E5886" s="7">
        <f t="shared" si="112"/>
        <v>100000</v>
      </c>
      <c r="F5886" s="5">
        <v>45944</v>
      </c>
      <c r="G5886" s="4">
        <v>20251013</v>
      </c>
      <c r="H5886" s="38" t="str">
        <f>VLOOKUP(B5886,CAJEROS!B:D,3,0)</f>
        <v>Dispensador</v>
      </c>
      <c r="I5886" s="34" t="s">
        <v>9</v>
      </c>
      <c r="J5886" s="38" t="str">
        <f>VLOOKUP(B5886,CAJEROS!B:E,4,0)</f>
        <v>SUC_CERET4</v>
      </c>
      <c r="K5886" t="s">
        <v>610</v>
      </c>
    </row>
    <row r="5887" spans="1:11">
      <c r="A5887" s="32">
        <v>724</v>
      </c>
      <c r="B5887" s="33">
        <v>4004</v>
      </c>
      <c r="C5887" s="3">
        <v>300000</v>
      </c>
      <c r="D5887" s="3"/>
      <c r="E5887" s="7">
        <f t="shared" si="112"/>
        <v>300000</v>
      </c>
      <c r="F5887" s="5">
        <v>45944</v>
      </c>
      <c r="G5887" s="4">
        <v>20251013</v>
      </c>
      <c r="H5887" s="38" t="str">
        <f>VLOOKUP(B5887,CAJEROS!B:D,3,0)</f>
        <v>Dispensador</v>
      </c>
      <c r="I5887" s="34" t="s">
        <v>9</v>
      </c>
      <c r="J5887" s="38" t="str">
        <f>VLOOKUP(B5887,CAJEROS!B:E,4,0)</f>
        <v>SUC_FONSEC1</v>
      </c>
      <c r="K5887" t="s">
        <v>610</v>
      </c>
    </row>
    <row r="5888" spans="1:11">
      <c r="A5888" s="32">
        <v>730</v>
      </c>
      <c r="B5888" s="33">
        <v>7262</v>
      </c>
      <c r="C5888" s="3">
        <v>1000000</v>
      </c>
      <c r="D5888" s="3"/>
      <c r="E5888" s="7">
        <f t="shared" si="112"/>
        <v>1000000</v>
      </c>
      <c r="F5888" s="5">
        <v>45944</v>
      </c>
      <c r="G5888" s="4">
        <v>20251013</v>
      </c>
      <c r="H5888" s="38" t="str">
        <f>VLOOKUP(B5888,CAJEROS!B:D,3,0)</f>
        <v>Dispensador</v>
      </c>
      <c r="I5888" s="34" t="s">
        <v>9</v>
      </c>
      <c r="J5888" s="38" t="str">
        <f>VLOOKUP(B5888,CAJEROS!B:E,4,0)</f>
        <v>SUC_LAMES1</v>
      </c>
      <c r="K5888" t="s">
        <v>610</v>
      </c>
    </row>
    <row r="5889" spans="1:11">
      <c r="A5889" s="32">
        <v>732</v>
      </c>
      <c r="B5889" s="33">
        <v>6966</v>
      </c>
      <c r="C5889" s="3">
        <v>300000</v>
      </c>
      <c r="D5889" s="3"/>
      <c r="E5889" s="7">
        <f t="shared" si="112"/>
        <v>300000</v>
      </c>
      <c r="F5889" s="5">
        <v>45944</v>
      </c>
      <c r="G5889" s="4">
        <v>20251013</v>
      </c>
      <c r="H5889" s="38" t="str">
        <f>VLOOKUP(B5889,CAJEROS!B:D,3,0)</f>
        <v>Dispensador</v>
      </c>
      <c r="I5889" s="34" t="s">
        <v>9</v>
      </c>
      <c r="J5889" s="38" t="str">
        <f>VLOOKUP(B5889,CAJEROS!B:E,4,0)</f>
        <v>ROLDANIL_2</v>
      </c>
      <c r="K5889" t="s">
        <v>610</v>
      </c>
    </row>
    <row r="5890" spans="1:11">
      <c r="A5890" s="32">
        <v>832</v>
      </c>
      <c r="B5890" s="33">
        <v>4767</v>
      </c>
      <c r="C5890" s="3">
        <v>660000</v>
      </c>
      <c r="D5890" s="3"/>
      <c r="E5890" s="7">
        <f t="shared" si="112"/>
        <v>660000</v>
      </c>
      <c r="F5890" s="5">
        <v>45944</v>
      </c>
      <c r="G5890" s="4">
        <v>20251013</v>
      </c>
      <c r="H5890" s="38" t="str">
        <f>VLOOKUP(B5890,CAJEROS!B:D,3,0)</f>
        <v>Dispensador</v>
      </c>
      <c r="I5890" s="34" t="s">
        <v>9</v>
      </c>
      <c r="J5890" s="38" t="str">
        <f>VLOOKUP(B5890,CAJEROS!B:E,4,0)</f>
        <v>SUC_SANTAN1</v>
      </c>
      <c r="K5890" t="s">
        <v>610</v>
      </c>
    </row>
    <row r="5891" spans="1:11">
      <c r="A5891" s="32">
        <v>832</v>
      </c>
      <c r="B5891" s="33">
        <v>4768</v>
      </c>
      <c r="C5891" s="3">
        <v>100000</v>
      </c>
      <c r="D5891" s="3"/>
      <c r="E5891" s="7">
        <f t="shared" si="112"/>
        <v>100000</v>
      </c>
      <c r="F5891" s="5">
        <v>45944</v>
      </c>
      <c r="G5891" s="4">
        <v>20251013</v>
      </c>
      <c r="H5891" s="38" t="str">
        <f>VLOOKUP(B5891,CAJEROS!B:D,3,0)</f>
        <v>Dispensador</v>
      </c>
      <c r="I5891" s="34" t="s">
        <v>9</v>
      </c>
      <c r="J5891" s="38" t="str">
        <f>VLOOKUP(B5891,CAJEROS!B:E,4,0)</f>
        <v>SUC_SANTAN2</v>
      </c>
      <c r="K5891" t="s">
        <v>610</v>
      </c>
    </row>
    <row r="5892" spans="1:11">
      <c r="A5892" s="32">
        <v>848</v>
      </c>
      <c r="B5892" s="33">
        <v>4740</v>
      </c>
      <c r="C5892" s="3">
        <v>1500000</v>
      </c>
      <c r="D5892" s="3"/>
      <c r="E5892" s="7">
        <f t="shared" si="112"/>
        <v>1500000</v>
      </c>
      <c r="F5892" s="5">
        <v>45944</v>
      </c>
      <c r="G5892" s="4">
        <v>20251013</v>
      </c>
      <c r="H5892" s="38" t="str">
        <f>VLOOKUP(B5892,CAJEROS!B:D,3,0)</f>
        <v>Dispensador</v>
      </c>
      <c r="I5892" s="34" t="s">
        <v>9</v>
      </c>
      <c r="J5892" s="38" t="str">
        <f>VLOOKUP(B5892,CAJEROS!B:E,4,0)</f>
        <v>PQECABAL_3</v>
      </c>
      <c r="K5892" t="s">
        <v>610</v>
      </c>
    </row>
    <row r="5893" spans="1:11">
      <c r="A5893" s="32">
        <v>864</v>
      </c>
      <c r="B5893" s="33">
        <v>5377</v>
      </c>
      <c r="C5893" s="3">
        <v>100000</v>
      </c>
      <c r="D5893" s="3"/>
      <c r="E5893" s="7">
        <f t="shared" si="112"/>
        <v>100000</v>
      </c>
      <c r="F5893" s="5">
        <v>45944</v>
      </c>
      <c r="G5893" s="4">
        <v>20251013</v>
      </c>
      <c r="H5893" s="38" t="str">
        <f>VLOOKUP(B5893,CAJEROS!B:D,3,0)</f>
        <v>Dispensador</v>
      </c>
      <c r="I5893" s="34" t="s">
        <v>9</v>
      </c>
      <c r="J5893" s="38" t="str">
        <f>VLOOKUP(B5893,CAJEROS!B:E,4,0)</f>
        <v>SUC_PRADER3</v>
      </c>
      <c r="K5893" t="s">
        <v>610</v>
      </c>
    </row>
    <row r="5894" spans="1:11">
      <c r="A5894" s="32">
        <v>916</v>
      </c>
      <c r="B5894" s="33">
        <v>5743</v>
      </c>
      <c r="C5894" s="3">
        <v>660000</v>
      </c>
      <c r="D5894" s="3">
        <v>440000</v>
      </c>
      <c r="E5894" s="7">
        <f t="shared" si="112"/>
        <v>220000</v>
      </c>
      <c r="F5894" s="5">
        <v>45944</v>
      </c>
      <c r="G5894" s="4">
        <v>20251013</v>
      </c>
      <c r="H5894" s="38" t="str">
        <f>VLOOKUP(B5894,CAJEROS!B:D,3,0)</f>
        <v>Dispensador</v>
      </c>
      <c r="I5894" s="34" t="s">
        <v>9</v>
      </c>
      <c r="J5894" s="38" t="str">
        <f>VLOOKUP(B5894,CAJEROS!B:E,4,0)</f>
        <v>SUC_OCEANM3</v>
      </c>
      <c r="K5894" t="s">
        <v>610</v>
      </c>
    </row>
    <row r="5895" spans="1:11">
      <c r="A5895" s="32">
        <v>944</v>
      </c>
      <c r="B5895" s="33">
        <v>8356</v>
      </c>
      <c r="C5895" s="3">
        <v>60000</v>
      </c>
      <c r="D5895" s="3"/>
      <c r="E5895" s="7">
        <f t="shared" si="112"/>
        <v>60000</v>
      </c>
      <c r="F5895" s="5">
        <v>45944</v>
      </c>
      <c r="G5895" s="4">
        <v>20251013</v>
      </c>
      <c r="H5895" s="38" t="str">
        <f>VLOOKUP(B5895,CAJEROS!B:D,3,0)</f>
        <v>Dispensador</v>
      </c>
      <c r="I5895" s="34" t="s">
        <v>9</v>
      </c>
      <c r="J5895" s="38" t="str">
        <f>VLOOKUP(B5895,CAJEROS!B:E,4,0)</f>
        <v>SUCSANTABO2</v>
      </c>
      <c r="K5895" t="s">
        <v>610</v>
      </c>
    </row>
    <row r="5896" spans="1:11">
      <c r="A5896" s="32">
        <v>292</v>
      </c>
      <c r="B5896" s="33">
        <v>5116</v>
      </c>
      <c r="C5896" s="3">
        <v>3950000</v>
      </c>
      <c r="D5896" s="3">
        <v>1365500</v>
      </c>
      <c r="E5896" s="7">
        <f t="shared" si="112"/>
        <v>2584500</v>
      </c>
      <c r="F5896" s="5">
        <v>45945</v>
      </c>
      <c r="G5896" s="4">
        <v>20251014</v>
      </c>
      <c r="H5896" s="38" t="str">
        <f>VLOOKUP(B5896,CAJEROS!B:D,3,0)</f>
        <v>Multifuncional</v>
      </c>
      <c r="I5896" s="34" t="s">
        <v>9</v>
      </c>
      <c r="J5896" s="38" t="str">
        <f>VLOOKUP(B5896,CAJEROS!B:E,4,0)</f>
        <v>MF_CONFECCI</v>
      </c>
      <c r="K5896" t="s">
        <v>610</v>
      </c>
    </row>
    <row r="5897" spans="1:11">
      <c r="A5897" s="32">
        <v>264</v>
      </c>
      <c r="B5897" s="33">
        <v>9906</v>
      </c>
      <c r="C5897" s="3">
        <v>3890000</v>
      </c>
      <c r="D5897" s="3">
        <f>1000000+1670000</f>
        <v>2670000</v>
      </c>
      <c r="E5897" s="7">
        <f t="shared" si="112"/>
        <v>1220000</v>
      </c>
      <c r="F5897" s="5">
        <v>45945</v>
      </c>
      <c r="G5897" s="4">
        <v>20251014</v>
      </c>
      <c r="H5897" s="38" t="str">
        <f>VLOOKUP(B5897,CAJEROS!B:D,3,0)</f>
        <v>Multifuncional</v>
      </c>
      <c r="I5897" s="34" t="s">
        <v>9</v>
      </c>
      <c r="J5897" s="38" t="str">
        <f>VLOOKUP(B5897,CAJEROS!B:E,4,0)</f>
        <v>MFSUCFUSAG1</v>
      </c>
      <c r="K5897" t="s">
        <v>610</v>
      </c>
    </row>
    <row r="5898" spans="1:11">
      <c r="A5898" s="32">
        <v>606</v>
      </c>
      <c r="B5898" s="33">
        <v>5201</v>
      </c>
      <c r="C5898" s="3">
        <v>3480000</v>
      </c>
      <c r="D5898" s="3"/>
      <c r="E5898" s="7">
        <f t="shared" si="112"/>
        <v>3480000</v>
      </c>
      <c r="F5898" s="5">
        <v>45945</v>
      </c>
      <c r="G5898" s="4">
        <v>20251014</v>
      </c>
      <c r="H5898" s="38" t="str">
        <f>VLOOKUP(B5898,CAJEROS!B:D,3,0)</f>
        <v>Multifuncional</v>
      </c>
      <c r="I5898" s="34" t="s">
        <v>9</v>
      </c>
      <c r="J5898" s="38" t="str">
        <f>VLOOKUP(B5898,CAJEROS!B:E,4,0)</f>
        <v>MF_UNITUNJA</v>
      </c>
      <c r="K5898" t="s">
        <v>610</v>
      </c>
    </row>
    <row r="5899" spans="1:11">
      <c r="A5899" s="32">
        <v>225</v>
      </c>
      <c r="B5899" s="33">
        <v>8868</v>
      </c>
      <c r="C5899" s="3">
        <v>3280000</v>
      </c>
      <c r="D5899" s="3"/>
      <c r="E5899" s="7">
        <f t="shared" ref="E5899:E5962" si="113">+C5899-D5899</f>
        <v>3280000</v>
      </c>
      <c r="F5899" s="5">
        <v>45945</v>
      </c>
      <c r="G5899" s="4">
        <v>20251014</v>
      </c>
      <c r="H5899" s="38" t="str">
        <f>VLOOKUP(B5899,CAJEROS!B:D,3,0)</f>
        <v>Multifuncional</v>
      </c>
      <c r="I5899" s="34" t="s">
        <v>9</v>
      </c>
      <c r="J5899" s="38" t="str">
        <f>VLOOKUP(B5899,CAJEROS!B:E,4,0)</f>
        <v>MF_SMPLNQS1</v>
      </c>
      <c r="K5899" t="s">
        <v>610</v>
      </c>
    </row>
    <row r="5900" spans="1:11">
      <c r="A5900" s="32">
        <v>499</v>
      </c>
      <c r="B5900" s="33">
        <v>9811</v>
      </c>
      <c r="C5900" s="3">
        <v>3190000</v>
      </c>
      <c r="D5900" s="3">
        <v>3148000</v>
      </c>
      <c r="E5900" s="7">
        <f t="shared" si="113"/>
        <v>42000</v>
      </c>
      <c r="F5900" s="5">
        <v>45945</v>
      </c>
      <c r="G5900" s="4">
        <v>20251014</v>
      </c>
      <c r="H5900" s="38" t="str">
        <f>VLOOKUP(B5900,CAJEROS!B:D,3,0)</f>
        <v>Multifuncional</v>
      </c>
      <c r="I5900" s="34" t="s">
        <v>9</v>
      </c>
      <c r="J5900" s="38" t="str">
        <f>VLOOKUP(B5900,CAJEROS!B:E,4,0)</f>
        <v>MF_SUCPLZF2</v>
      </c>
      <c r="K5900" t="s">
        <v>610</v>
      </c>
    </row>
    <row r="5901" spans="1:11">
      <c r="A5901" s="32">
        <v>115</v>
      </c>
      <c r="B5901" s="33">
        <v>5080</v>
      </c>
      <c r="C5901" s="3">
        <v>2965000</v>
      </c>
      <c r="D5901" s="3">
        <v>2635000</v>
      </c>
      <c r="E5901" s="7">
        <f t="shared" si="113"/>
        <v>330000</v>
      </c>
      <c r="F5901" s="5">
        <v>45945</v>
      </c>
      <c r="G5901" s="4">
        <v>20251014</v>
      </c>
      <c r="H5901" s="38" t="str">
        <f>VLOOKUP(B5901,CAJEROS!B:D,3,0)</f>
        <v>Multifuncional</v>
      </c>
      <c r="I5901" s="34" t="s">
        <v>9</v>
      </c>
      <c r="J5901" s="38" t="str">
        <f>VLOOKUP(B5901,CAJEROS!B:E,4,0)</f>
        <v>MF_CIPEREIR</v>
      </c>
      <c r="K5901" t="s">
        <v>610</v>
      </c>
    </row>
    <row r="5902" spans="1:11">
      <c r="A5902" s="32">
        <v>337</v>
      </c>
      <c r="B5902" s="33">
        <v>6253</v>
      </c>
      <c r="C5902" s="3">
        <v>2440800</v>
      </c>
      <c r="D5902" s="3">
        <v>2414200</v>
      </c>
      <c r="E5902" s="7">
        <f t="shared" si="113"/>
        <v>26600</v>
      </c>
      <c r="F5902" s="5">
        <v>45945</v>
      </c>
      <c r="G5902" s="4">
        <v>20251014</v>
      </c>
      <c r="H5902" s="38" t="str">
        <f>VLOOKUP(B5902,CAJEROS!B:D,3,0)</f>
        <v>Multifuncional</v>
      </c>
      <c r="I5902" s="34" t="s">
        <v>9</v>
      </c>
      <c r="J5902" s="38" t="str">
        <f>VLOOKUP(B5902,CAJEROS!B:E,4,0)</f>
        <v>MF_CHIA</v>
      </c>
      <c r="K5902" t="s">
        <v>610</v>
      </c>
    </row>
    <row r="5903" spans="1:11">
      <c r="A5903" s="32">
        <v>601</v>
      </c>
      <c r="B5903" s="33">
        <v>6407</v>
      </c>
      <c r="C5903" s="3">
        <v>2360000</v>
      </c>
      <c r="D5903" s="3">
        <v>2150000</v>
      </c>
      <c r="E5903" s="7">
        <f t="shared" si="113"/>
        <v>210000</v>
      </c>
      <c r="F5903" s="5">
        <v>45945</v>
      </c>
      <c r="G5903" s="4">
        <v>20251014</v>
      </c>
      <c r="H5903" s="38" t="str">
        <f>VLOOKUP(B5903,CAJEROS!B:D,3,0)</f>
        <v>Multifuncional</v>
      </c>
      <c r="I5903" s="34" t="s">
        <v>9</v>
      </c>
      <c r="J5903" s="38" t="str">
        <f>VLOOKUP(B5903,CAJEROS!B:E,4,0)</f>
        <v>MF_COLINACA</v>
      </c>
      <c r="K5903" t="s">
        <v>610</v>
      </c>
    </row>
    <row r="5904" spans="1:11">
      <c r="A5904" s="32">
        <v>358</v>
      </c>
      <c r="B5904" s="33">
        <v>5149</v>
      </c>
      <c r="C5904" s="3">
        <v>2145000</v>
      </c>
      <c r="D5904" s="3"/>
      <c r="E5904" s="7">
        <f t="shared" si="113"/>
        <v>2145000</v>
      </c>
      <c r="F5904" s="5">
        <v>45945</v>
      </c>
      <c r="G5904" s="4">
        <v>20251014</v>
      </c>
      <c r="H5904" s="38" t="str">
        <f>VLOOKUP(B5904,CAJEROS!B:D,3,0)</f>
        <v>Multifuncional</v>
      </c>
      <c r="I5904" s="34" t="s">
        <v>9</v>
      </c>
      <c r="J5904" s="38" t="str">
        <f>VLOOKUP(B5904,CAJEROS!B:E,4,0)</f>
        <v>MF_SOGAMOSO</v>
      </c>
      <c r="K5904" t="s">
        <v>610</v>
      </c>
    </row>
    <row r="5905" spans="1:11">
      <c r="A5905" s="32">
        <v>166</v>
      </c>
      <c r="B5905" s="33">
        <v>7939</v>
      </c>
      <c r="C5905" s="3">
        <v>2010000</v>
      </c>
      <c r="D5905" s="3"/>
      <c r="E5905" s="7">
        <f t="shared" si="113"/>
        <v>2010000</v>
      </c>
      <c r="F5905" s="5">
        <v>45945</v>
      </c>
      <c r="G5905" s="4">
        <v>20251014</v>
      </c>
      <c r="H5905" s="38" t="str">
        <f>VLOOKUP(B5905,CAJEROS!B:D,3,0)</f>
        <v>Multifuncional</v>
      </c>
      <c r="I5905" s="34" t="s">
        <v>9</v>
      </c>
      <c r="J5905" s="38" t="str">
        <f>VLOOKUP(B5905,CAJEROS!B:E,4,0)</f>
        <v>MF_ALDELSI1</v>
      </c>
      <c r="K5905" t="s">
        <v>610</v>
      </c>
    </row>
    <row r="5906" spans="1:11">
      <c r="A5906" s="32">
        <v>725</v>
      </c>
      <c r="B5906" s="33">
        <v>5166</v>
      </c>
      <c r="C5906" s="3">
        <v>1982000</v>
      </c>
      <c r="D5906" s="3">
        <f>1880000</f>
        <v>1880000</v>
      </c>
      <c r="E5906" s="7">
        <f t="shared" si="113"/>
        <v>102000</v>
      </c>
      <c r="F5906" s="5">
        <v>45945</v>
      </c>
      <c r="G5906" s="4">
        <v>20251014</v>
      </c>
      <c r="H5906" s="38" t="str">
        <f>VLOOKUP(B5906,CAJEROS!B:D,3,0)</f>
        <v>Multifuncional</v>
      </c>
      <c r="I5906" s="34" t="s">
        <v>9</v>
      </c>
      <c r="J5906" s="38" t="str">
        <f>VLOOKUP(B5906,CAJEROS!B:E,4,0)</f>
        <v>MF_DOSQUEBR</v>
      </c>
      <c r="K5906" t="s">
        <v>610</v>
      </c>
    </row>
    <row r="5907" spans="1:11">
      <c r="A5907" s="32">
        <v>419</v>
      </c>
      <c r="B5907" s="33">
        <v>7980</v>
      </c>
      <c r="C5907" s="3">
        <v>1970000</v>
      </c>
      <c r="D5907" s="3"/>
      <c r="E5907" s="7">
        <f t="shared" si="113"/>
        <v>1970000</v>
      </c>
      <c r="F5907" s="5">
        <v>45945</v>
      </c>
      <c r="G5907" s="4">
        <v>20251014</v>
      </c>
      <c r="H5907" s="38" t="str">
        <f>VLOOKUP(B5907,CAJEROS!B:D,3,0)</f>
        <v>Multifuncional</v>
      </c>
      <c r="I5907" s="34" t="s">
        <v>9</v>
      </c>
      <c r="J5907" s="38" t="str">
        <f>VLOOKUP(B5907,CAJEROS!B:E,4,0)</f>
        <v>MF_CPUNBOG2</v>
      </c>
      <c r="K5907" t="s">
        <v>610</v>
      </c>
    </row>
    <row r="5908" spans="1:11">
      <c r="A5908" s="32">
        <v>849</v>
      </c>
      <c r="B5908" s="33">
        <v>9724</v>
      </c>
      <c r="C5908" s="3">
        <v>1621700</v>
      </c>
      <c r="D5908" s="3"/>
      <c r="E5908" s="7">
        <f t="shared" si="113"/>
        <v>1621700</v>
      </c>
      <c r="F5908" s="5">
        <v>45945</v>
      </c>
      <c r="G5908" s="4">
        <v>20251014</v>
      </c>
      <c r="H5908" s="38" t="str">
        <f>VLOOKUP(B5908,CAJEROS!B:D,3,0)</f>
        <v>Multifuncional</v>
      </c>
      <c r="I5908" s="34" t="s">
        <v>9</v>
      </c>
      <c r="J5908" s="38" t="str">
        <f>VLOOKUP(B5908,CAJEROS!B:E,4,0)</f>
        <v>MF_SUNIVIL1</v>
      </c>
      <c r="K5908" t="s">
        <v>610</v>
      </c>
    </row>
    <row r="5909" spans="1:11">
      <c r="A5909" s="32">
        <v>8</v>
      </c>
      <c r="B5909" s="33">
        <v>7272</v>
      </c>
      <c r="C5909" s="3">
        <v>1413400</v>
      </c>
      <c r="D5909" s="3">
        <v>357600</v>
      </c>
      <c r="E5909" s="7">
        <f t="shared" si="113"/>
        <v>1055800</v>
      </c>
      <c r="F5909" s="5">
        <v>45945</v>
      </c>
      <c r="G5909" s="4">
        <v>20251014</v>
      </c>
      <c r="H5909" s="38" t="str">
        <f>VLOOKUP(B5909,CAJEROS!B:D,3,0)</f>
        <v>Multifuncional</v>
      </c>
      <c r="I5909" s="34" t="s">
        <v>9</v>
      </c>
      <c r="J5909" s="38" t="str">
        <f>VLOOKUP(B5909,CAJEROS!B:E,4,0)</f>
        <v>MF_LAPLAYA2</v>
      </c>
      <c r="K5909" t="s">
        <v>610</v>
      </c>
    </row>
    <row r="5910" spans="1:11">
      <c r="A5910" s="32">
        <v>168</v>
      </c>
      <c r="B5910" s="33">
        <v>5224</v>
      </c>
      <c r="C5910" s="3">
        <v>1244600</v>
      </c>
      <c r="D5910" s="3">
        <v>1240250</v>
      </c>
      <c r="E5910" s="7">
        <f t="shared" si="113"/>
        <v>4350</v>
      </c>
      <c r="F5910" s="5">
        <v>45945</v>
      </c>
      <c r="G5910" s="4">
        <v>20251014</v>
      </c>
      <c r="H5910" s="38" t="str">
        <f>VLOOKUP(B5910,CAJEROS!B:D,3,0)</f>
        <v>Multifuncional</v>
      </c>
      <c r="I5910" s="34" t="s">
        <v>9</v>
      </c>
      <c r="J5910" s="38" t="str">
        <f>VLOOKUP(B5910,CAJEROS!B:E,4,0)</f>
        <v>MF_TOBERIN</v>
      </c>
      <c r="K5910" t="s">
        <v>610</v>
      </c>
    </row>
    <row r="5911" spans="1:11">
      <c r="A5911" s="32">
        <v>682</v>
      </c>
      <c r="B5911" s="33">
        <v>5049</v>
      </c>
      <c r="C5911" s="3">
        <v>1220000</v>
      </c>
      <c r="D5911" s="3"/>
      <c r="E5911" s="7">
        <f t="shared" si="113"/>
        <v>1220000</v>
      </c>
      <c r="F5911" s="5">
        <v>45945</v>
      </c>
      <c r="G5911" s="4">
        <v>20251014</v>
      </c>
      <c r="H5911" s="38" t="str">
        <f>VLOOKUP(B5911,CAJEROS!B:D,3,0)</f>
        <v>Multifuncional</v>
      </c>
      <c r="I5911" s="34" t="s">
        <v>9</v>
      </c>
      <c r="J5911" s="38" t="str">
        <f>VLOOKUP(B5911,CAJEROS!B:E,4,0)</f>
        <v>MF_CCFONTA1</v>
      </c>
      <c r="K5911" t="s">
        <v>610</v>
      </c>
    </row>
    <row r="5912" spans="1:11">
      <c r="A5912" s="32">
        <v>664</v>
      </c>
      <c r="B5912" s="33">
        <v>5191</v>
      </c>
      <c r="C5912" s="3">
        <v>912000</v>
      </c>
      <c r="D5912" s="3"/>
      <c r="E5912" s="7">
        <f t="shared" si="113"/>
        <v>912000</v>
      </c>
      <c r="F5912" s="5">
        <v>45945</v>
      </c>
      <c r="G5912" s="4">
        <v>20251014</v>
      </c>
      <c r="H5912" s="38" t="str">
        <f>VLOOKUP(B5912,CAJEROS!B:D,3,0)</f>
        <v>Multifuncional</v>
      </c>
      <c r="I5912" s="34" t="s">
        <v>9</v>
      </c>
      <c r="J5912" s="38" t="str">
        <f>VLOOKUP(B5912,CAJEROS!B:E,4,0)</f>
        <v>MF_CORABAST</v>
      </c>
      <c r="K5912" t="s">
        <v>610</v>
      </c>
    </row>
    <row r="5913" spans="1:11">
      <c r="A5913" s="32">
        <v>789</v>
      </c>
      <c r="B5913" s="33">
        <v>5118</v>
      </c>
      <c r="C5913" s="3">
        <v>885750</v>
      </c>
      <c r="D5913" s="3"/>
      <c r="E5913" s="7">
        <f t="shared" si="113"/>
        <v>885750</v>
      </c>
      <c r="F5913" s="5">
        <v>45945</v>
      </c>
      <c r="G5913" s="4">
        <v>20251014</v>
      </c>
      <c r="H5913" s="38" t="str">
        <f>VLOOKUP(B5913,CAJEROS!B:D,3,0)</f>
        <v>Multifuncional</v>
      </c>
      <c r="I5913" s="34" t="s">
        <v>9</v>
      </c>
      <c r="J5913" s="38" t="str">
        <f>VLOOKUP(B5913,CAJEROS!B:E,4,0)</f>
        <v>MF_MANGA</v>
      </c>
      <c r="K5913" t="s">
        <v>610</v>
      </c>
    </row>
    <row r="5914" spans="1:11">
      <c r="A5914" s="32">
        <v>554</v>
      </c>
      <c r="B5914" s="33">
        <v>8295</v>
      </c>
      <c r="C5914" s="3">
        <v>860000</v>
      </c>
      <c r="D5914" s="3"/>
      <c r="E5914" s="7">
        <f t="shared" si="113"/>
        <v>860000</v>
      </c>
      <c r="F5914" s="5">
        <v>45945</v>
      </c>
      <c r="G5914" s="4">
        <v>20251014</v>
      </c>
      <c r="H5914" s="38" t="str">
        <f>VLOOKUP(B5914,CAJEROS!B:D,3,0)</f>
        <v>Multifuncional</v>
      </c>
      <c r="I5914" s="34" t="s">
        <v>9</v>
      </c>
      <c r="J5914" s="38" t="str">
        <f>VLOOKUP(B5914,CAJEROS!B:E,4,0)</f>
        <v>MF_SBUVIII2</v>
      </c>
      <c r="K5914" t="s">
        <v>610</v>
      </c>
    </row>
    <row r="5915" spans="1:11">
      <c r="A5915" s="32">
        <v>377</v>
      </c>
      <c r="B5915" s="33">
        <v>1508</v>
      </c>
      <c r="C5915" s="3">
        <v>780000</v>
      </c>
      <c r="D5915" s="3">
        <v>692000</v>
      </c>
      <c r="E5915" s="7">
        <f t="shared" si="113"/>
        <v>88000</v>
      </c>
      <c r="F5915" s="5">
        <v>45945</v>
      </c>
      <c r="G5915" s="4">
        <v>20251014</v>
      </c>
      <c r="H5915" s="38" t="str">
        <f>VLOOKUP(B5915,CAJEROS!B:D,3,0)</f>
        <v>Multifuncional</v>
      </c>
      <c r="I5915" s="34" t="s">
        <v>9</v>
      </c>
      <c r="J5915" s="38" t="str">
        <f>VLOOKUP(B5915,CAJEROS!B:E,4,0)</f>
        <v>MFSUCCIAV1</v>
      </c>
      <c r="K5915" t="s">
        <v>610</v>
      </c>
    </row>
    <row r="5916" spans="1:11">
      <c r="A5916" s="32">
        <v>876</v>
      </c>
      <c r="B5916" s="33">
        <v>9682</v>
      </c>
      <c r="C5916" s="3">
        <v>780000</v>
      </c>
      <c r="D5916" s="3"/>
      <c r="E5916" s="7">
        <f t="shared" si="113"/>
        <v>780000</v>
      </c>
      <c r="F5916" s="5">
        <v>45945</v>
      </c>
      <c r="G5916" s="4">
        <v>20251014</v>
      </c>
      <c r="H5916" s="38" t="str">
        <f>VLOOKUP(B5916,CAJEROS!B:D,3,0)</f>
        <v>Multifuncional</v>
      </c>
      <c r="I5916" s="34" t="s">
        <v>9</v>
      </c>
      <c r="J5916" s="38" t="str">
        <f>VLOOKUP(B5916,CAJEROS!B:E,4,0)</f>
        <v>MF_VILCAM1</v>
      </c>
      <c r="K5916" t="s">
        <v>610</v>
      </c>
    </row>
    <row r="5917" spans="1:11">
      <c r="A5917" s="32">
        <v>678</v>
      </c>
      <c r="B5917" s="33">
        <v>5227</v>
      </c>
      <c r="C5917" s="3">
        <v>770000</v>
      </c>
      <c r="D5917" s="3"/>
      <c r="E5917" s="7">
        <f t="shared" si="113"/>
        <v>770000</v>
      </c>
      <c r="F5917" s="5">
        <v>45945</v>
      </c>
      <c r="G5917" s="4">
        <v>20251014</v>
      </c>
      <c r="H5917" s="38" t="str">
        <f>VLOOKUP(B5917,CAJEROS!B:D,3,0)</f>
        <v>Multifuncional</v>
      </c>
      <c r="I5917" s="34" t="s">
        <v>9</v>
      </c>
      <c r="J5917" s="38" t="str">
        <f>VLOOKUP(B5917,CAJEROS!B:E,4,0)</f>
        <v>MF_PASCASTE</v>
      </c>
      <c r="K5917" t="s">
        <v>610</v>
      </c>
    </row>
    <row r="5918" spans="1:11">
      <c r="A5918" s="32">
        <v>395</v>
      </c>
      <c r="B5918" s="33">
        <v>1529</v>
      </c>
      <c r="C5918" s="3">
        <v>750000</v>
      </c>
      <c r="D5918" s="3"/>
      <c r="E5918" s="7">
        <f t="shared" si="113"/>
        <v>750000</v>
      </c>
      <c r="F5918" s="5">
        <v>45945</v>
      </c>
      <c r="G5918" s="4">
        <v>20251014</v>
      </c>
      <c r="H5918" s="38" t="str">
        <f>VLOOKUP(B5918,CAJEROS!B:D,3,0)</f>
        <v>Multifuncional</v>
      </c>
      <c r="I5918" s="34" t="s">
        <v>9</v>
      </c>
      <c r="J5918" s="38" t="str">
        <f>VLOOKUP(B5918,CAJEROS!B:E,4,0)</f>
        <v>SUCMFVIVCI2</v>
      </c>
      <c r="K5918" t="s">
        <v>610</v>
      </c>
    </row>
    <row r="5919" spans="1:11">
      <c r="A5919" s="32">
        <v>287</v>
      </c>
      <c r="B5919" s="33">
        <v>907</v>
      </c>
      <c r="C5919" s="3">
        <v>681000</v>
      </c>
      <c r="D5919" s="3"/>
      <c r="E5919" s="7">
        <f t="shared" si="113"/>
        <v>681000</v>
      </c>
      <c r="F5919" s="5">
        <v>45945</v>
      </c>
      <c r="G5919" s="4">
        <v>20251014</v>
      </c>
      <c r="H5919" s="38" t="str">
        <f>VLOOKUP(B5919,CAJEROS!B:D,3,0)</f>
        <v>Multifuncional</v>
      </c>
      <c r="I5919" s="34" t="s">
        <v>9</v>
      </c>
      <c r="J5919" s="38" t="str">
        <f>VLOOKUP(B5919,CAJEROS!B:E,4,0)</f>
        <v>MFABASTOBGA</v>
      </c>
      <c r="K5919" t="s">
        <v>610</v>
      </c>
    </row>
    <row r="5920" spans="1:11">
      <c r="A5920" s="32">
        <v>453</v>
      </c>
      <c r="B5920" s="33">
        <v>8018</v>
      </c>
      <c r="C5920" s="3">
        <v>680000</v>
      </c>
      <c r="D5920" s="3"/>
      <c r="E5920" s="7">
        <f t="shared" si="113"/>
        <v>680000</v>
      </c>
      <c r="F5920" s="5">
        <v>45945</v>
      </c>
      <c r="G5920" s="4">
        <v>20251014</v>
      </c>
      <c r="H5920" s="38" t="str">
        <f>VLOOKUP(B5920,CAJEROS!B:D,3,0)</f>
        <v>Multifuncional</v>
      </c>
      <c r="I5920" s="34" t="s">
        <v>9</v>
      </c>
      <c r="J5920" s="38" t="str">
        <f>VLOOKUP(B5920,CAJEROS!B:E,4,0)</f>
        <v>MFSUCPITAL1</v>
      </c>
      <c r="K5920" t="s">
        <v>610</v>
      </c>
    </row>
    <row r="5921" spans="1:11">
      <c r="A5921" s="32">
        <v>318</v>
      </c>
      <c r="B5921" s="33">
        <v>5136</v>
      </c>
      <c r="C5921" s="3">
        <v>672750</v>
      </c>
      <c r="D5921" s="3"/>
      <c r="E5921" s="7">
        <f t="shared" si="113"/>
        <v>672750</v>
      </c>
      <c r="F5921" s="5">
        <v>45945</v>
      </c>
      <c r="G5921" s="4">
        <v>20251014</v>
      </c>
      <c r="H5921" s="38" t="str">
        <f>VLOOKUP(B5921,CAJEROS!B:D,3,0)</f>
        <v>Multifuncional</v>
      </c>
      <c r="I5921" s="34" t="s">
        <v>9</v>
      </c>
      <c r="J5921" s="38" t="str">
        <f>VLOOKUP(B5921,CAJEROS!B:E,4,0)</f>
        <v>MF_SUCOCANA</v>
      </c>
      <c r="K5921" t="s">
        <v>610</v>
      </c>
    </row>
    <row r="5922" spans="1:11">
      <c r="A5922" s="32">
        <v>178</v>
      </c>
      <c r="B5922" s="33">
        <v>6218</v>
      </c>
      <c r="C5922" s="3">
        <v>631050</v>
      </c>
      <c r="D5922" s="3"/>
      <c r="E5922" s="7">
        <f t="shared" si="113"/>
        <v>631050</v>
      </c>
      <c r="F5922" s="5">
        <v>45945</v>
      </c>
      <c r="G5922" s="4">
        <v>20251014</v>
      </c>
      <c r="H5922" s="38" t="str">
        <f>VLOOKUP(B5922,CAJEROS!B:D,3,0)</f>
        <v>Multifuncional</v>
      </c>
      <c r="I5922" s="34" t="s">
        <v>9</v>
      </c>
      <c r="J5922" s="38" t="str">
        <f>VLOOKUP(B5922,CAJEROS!B:E,4,0)</f>
        <v>MF_CFINANCI</v>
      </c>
      <c r="K5922" t="s">
        <v>610</v>
      </c>
    </row>
    <row r="5923" spans="1:11">
      <c r="A5923" s="32">
        <v>467</v>
      </c>
      <c r="B5923" s="33">
        <v>9052</v>
      </c>
      <c r="C5923" s="3">
        <v>523200</v>
      </c>
      <c r="D5923" s="3"/>
      <c r="E5923" s="7">
        <f t="shared" si="113"/>
        <v>523200</v>
      </c>
      <c r="F5923" s="5">
        <v>45945</v>
      </c>
      <c r="G5923" s="4">
        <v>20251014</v>
      </c>
      <c r="H5923" s="38" t="str">
        <f>VLOOKUP(B5923,CAJEROS!B:D,3,0)</f>
        <v>Multifuncional</v>
      </c>
      <c r="I5923" s="34" t="s">
        <v>9</v>
      </c>
      <c r="J5923" s="38" t="str">
        <f>VLOOKUP(B5923,CAJEROS!B:E,4,0)</f>
        <v>MFHDVERPLZ2</v>
      </c>
      <c r="K5923" t="s">
        <v>610</v>
      </c>
    </row>
    <row r="5924" spans="1:11">
      <c r="A5924" s="32">
        <v>262</v>
      </c>
      <c r="B5924" s="33">
        <v>5153</v>
      </c>
      <c r="C5924" s="3">
        <v>507000</v>
      </c>
      <c r="D5924" s="3"/>
      <c r="E5924" s="7">
        <f t="shared" si="113"/>
        <v>507000</v>
      </c>
      <c r="F5924" s="5">
        <v>45945</v>
      </c>
      <c r="G5924" s="4">
        <v>20251014</v>
      </c>
      <c r="H5924" s="38" t="str">
        <f>VLOOKUP(B5924,CAJEROS!B:D,3,0)</f>
        <v>Multifuncional</v>
      </c>
      <c r="I5924" s="34" t="s">
        <v>9</v>
      </c>
      <c r="J5924" s="38" t="str">
        <f>VLOOKUP(B5924,CAJEROS!B:E,4,0)</f>
        <v>MF_DUITAMA</v>
      </c>
      <c r="K5924" t="s">
        <v>610</v>
      </c>
    </row>
    <row r="5925" spans="1:11">
      <c r="A5925" s="32">
        <v>7</v>
      </c>
      <c r="B5925" s="33">
        <v>7812</v>
      </c>
      <c r="C5925" s="3">
        <v>434000</v>
      </c>
      <c r="D5925" s="3">
        <v>391050</v>
      </c>
      <c r="E5925" s="7">
        <f t="shared" si="113"/>
        <v>42950</v>
      </c>
      <c r="F5925" s="5">
        <v>45945</v>
      </c>
      <c r="G5925" s="4">
        <v>20251014</v>
      </c>
      <c r="H5925" s="38" t="str">
        <f>VLOOKUP(B5925,CAJEROS!B:D,3,0)</f>
        <v>Multifuncional</v>
      </c>
      <c r="I5925" s="34" t="s">
        <v>9</v>
      </c>
      <c r="J5925" s="38" t="str">
        <f>VLOOKUP(B5925,CAJEROS!B:E,4,0)</f>
        <v>MF_LOSMOLI3</v>
      </c>
      <c r="K5925" t="s">
        <v>610</v>
      </c>
    </row>
    <row r="5926" spans="1:11">
      <c r="A5926" s="32">
        <v>652</v>
      </c>
      <c r="B5926" s="33">
        <v>5070</v>
      </c>
      <c r="C5926" s="3">
        <v>387000</v>
      </c>
      <c r="D5926" s="3"/>
      <c r="E5926" s="7">
        <f t="shared" si="113"/>
        <v>387000</v>
      </c>
      <c r="F5926" s="5">
        <v>45945</v>
      </c>
      <c r="G5926" s="4">
        <v>20251014</v>
      </c>
      <c r="H5926" s="38" t="str">
        <f>VLOOKUP(B5926,CAJEROS!B:D,3,0)</f>
        <v>Multifuncional</v>
      </c>
      <c r="I5926" s="34" t="s">
        <v>9</v>
      </c>
      <c r="J5926" s="38" t="str">
        <f>VLOOKUP(B5926,CAJEROS!B:E,4,0)</f>
        <v>MF_CHICO94</v>
      </c>
      <c r="K5926" t="s">
        <v>610</v>
      </c>
    </row>
    <row r="5927" spans="1:11">
      <c r="A5927" s="32">
        <v>442</v>
      </c>
      <c r="B5927" s="33">
        <v>8888</v>
      </c>
      <c r="C5927" s="3">
        <v>330900</v>
      </c>
      <c r="D5927" s="3"/>
      <c r="E5927" s="7">
        <f t="shared" si="113"/>
        <v>330900</v>
      </c>
      <c r="F5927" s="5">
        <v>45945</v>
      </c>
      <c r="G5927" s="4">
        <v>20251014</v>
      </c>
      <c r="H5927" s="38" t="str">
        <f>VLOOKUP(B5927,CAJEROS!B:D,3,0)</f>
        <v>Multifuncional</v>
      </c>
      <c r="I5927" s="34" t="s">
        <v>9</v>
      </c>
      <c r="J5927" s="38" t="str">
        <f>VLOOKUP(B5927,CAJEROS!B:E,4,0)</f>
        <v>MFVIVABQUI2</v>
      </c>
      <c r="K5927" t="s">
        <v>610</v>
      </c>
    </row>
    <row r="5928" spans="1:11">
      <c r="A5928" s="32">
        <v>944</v>
      </c>
      <c r="B5928" s="33">
        <v>8353</v>
      </c>
      <c r="C5928" s="3">
        <v>315000</v>
      </c>
      <c r="D5928" s="3"/>
      <c r="E5928" s="7">
        <f t="shared" si="113"/>
        <v>315000</v>
      </c>
      <c r="F5928" s="5">
        <v>45945</v>
      </c>
      <c r="G5928" s="4">
        <v>20251014</v>
      </c>
      <c r="H5928" s="38" t="str">
        <f>VLOOKUP(B5928,CAJEROS!B:D,3,0)</f>
        <v>Multifuncional</v>
      </c>
      <c r="I5928" s="34" t="s">
        <v>9</v>
      </c>
      <c r="J5928" s="38" t="str">
        <f>VLOOKUP(B5928,CAJEROS!B:E,4,0)</f>
        <v>MF_SANTABO1</v>
      </c>
      <c r="K5928" t="s">
        <v>610</v>
      </c>
    </row>
    <row r="5929" spans="1:11">
      <c r="A5929" s="32">
        <v>454</v>
      </c>
      <c r="B5929" s="33">
        <v>5231</v>
      </c>
      <c r="C5929" s="3">
        <v>280000</v>
      </c>
      <c r="D5929" s="3"/>
      <c r="E5929" s="7">
        <f t="shared" si="113"/>
        <v>280000</v>
      </c>
      <c r="F5929" s="5">
        <v>45945</v>
      </c>
      <c r="G5929" s="4">
        <v>20251014</v>
      </c>
      <c r="H5929" s="38" t="str">
        <f>VLOOKUP(B5929,CAJEROS!B:D,3,0)</f>
        <v>Multifuncional</v>
      </c>
      <c r="I5929" s="34" t="s">
        <v>9</v>
      </c>
      <c r="J5929" s="38" t="str">
        <f>VLOOKUP(B5929,CAJEROS!B:E,4,0)</f>
        <v>MF_5TAVENID</v>
      </c>
      <c r="K5929" t="s">
        <v>610</v>
      </c>
    </row>
    <row r="5930" spans="1:11">
      <c r="A5930" s="32">
        <v>15</v>
      </c>
      <c r="B5930" s="33">
        <v>8576</v>
      </c>
      <c r="C5930" s="3">
        <v>241300</v>
      </c>
      <c r="D5930" s="3"/>
      <c r="E5930" s="7">
        <f t="shared" si="113"/>
        <v>241300</v>
      </c>
      <c r="F5930" s="5">
        <v>45945</v>
      </c>
      <c r="G5930" s="4">
        <v>20251014</v>
      </c>
      <c r="H5930" s="38" t="str">
        <f>VLOOKUP(B5930,CAJEROS!B:D,3,0)</f>
        <v>Multifuncional</v>
      </c>
      <c r="I5930" s="34" t="s">
        <v>9</v>
      </c>
      <c r="J5930" s="38" t="str">
        <f>VLOOKUP(B5930,CAJEROS!B:E,4,0)</f>
        <v>MF_HITAGUI1</v>
      </c>
      <c r="K5930" t="s">
        <v>610</v>
      </c>
    </row>
    <row r="5931" spans="1:11">
      <c r="A5931" s="32">
        <v>517</v>
      </c>
      <c r="B5931" s="33">
        <v>5053</v>
      </c>
      <c r="C5931" s="3">
        <v>230000</v>
      </c>
      <c r="D5931" s="3"/>
      <c r="E5931" s="7">
        <f t="shared" si="113"/>
        <v>230000</v>
      </c>
      <c r="F5931" s="5">
        <v>45945</v>
      </c>
      <c r="G5931" s="4">
        <v>20251014</v>
      </c>
      <c r="H5931" s="38" t="str">
        <f>VLOOKUP(B5931,CAJEROS!B:D,3,0)</f>
        <v>Multifuncional</v>
      </c>
      <c r="I5931" s="34" t="s">
        <v>9</v>
      </c>
      <c r="J5931" s="38" t="str">
        <f>VLOOKUP(B5931,CAJEROS!B:E,4,0)</f>
        <v>MF_RODADERO</v>
      </c>
      <c r="K5931" t="s">
        <v>610</v>
      </c>
    </row>
    <row r="5932" spans="1:11">
      <c r="A5932" s="32">
        <v>60</v>
      </c>
      <c r="B5932" s="33">
        <v>8728</v>
      </c>
      <c r="C5932" s="3">
        <v>209900</v>
      </c>
      <c r="D5932" s="3"/>
      <c r="E5932" s="7">
        <f t="shared" si="113"/>
        <v>209900</v>
      </c>
      <c r="F5932" s="5">
        <v>45945</v>
      </c>
      <c r="G5932" s="4">
        <v>20251014</v>
      </c>
      <c r="H5932" s="38" t="str">
        <f>VLOOKUP(B5932,CAJEROS!B:D,3,0)</f>
        <v>Multifuncional</v>
      </c>
      <c r="I5932" s="34" t="s">
        <v>9</v>
      </c>
      <c r="J5932" s="38" t="str">
        <f>VLOOKUP(B5932,CAJEROS!B:E,4,0)</f>
        <v>MF_HCALIPR2</v>
      </c>
      <c r="K5932" t="s">
        <v>610</v>
      </c>
    </row>
    <row r="5933" spans="1:11">
      <c r="A5933" s="32">
        <v>849</v>
      </c>
      <c r="B5933" s="33">
        <v>9725</v>
      </c>
      <c r="C5933" s="3">
        <v>190000</v>
      </c>
      <c r="D5933" s="3"/>
      <c r="E5933" s="7">
        <f t="shared" si="113"/>
        <v>190000</v>
      </c>
      <c r="F5933" s="5">
        <v>45945</v>
      </c>
      <c r="G5933" s="4">
        <v>20251014</v>
      </c>
      <c r="H5933" s="38" t="str">
        <f>VLOOKUP(B5933,CAJEROS!B:D,3,0)</f>
        <v>Multifuncional</v>
      </c>
      <c r="I5933" s="34" t="s">
        <v>9</v>
      </c>
      <c r="J5933" s="38" t="str">
        <f>VLOOKUP(B5933,CAJEROS!B:E,4,0)</f>
        <v>MF_SUNIVIL2</v>
      </c>
      <c r="K5933" t="s">
        <v>610</v>
      </c>
    </row>
    <row r="5934" spans="1:11">
      <c r="A5934" s="32">
        <v>432</v>
      </c>
      <c r="B5934" s="33">
        <v>5195</v>
      </c>
      <c r="C5934" s="3">
        <v>140000</v>
      </c>
      <c r="D5934" s="3"/>
      <c r="E5934" s="7">
        <f t="shared" si="113"/>
        <v>140000</v>
      </c>
      <c r="F5934" s="5">
        <v>45945</v>
      </c>
      <c r="G5934" s="4">
        <v>20251014</v>
      </c>
      <c r="H5934" s="38" t="str">
        <f>VLOOKUP(B5934,CAJEROS!B:D,3,0)</f>
        <v>Multifuncional</v>
      </c>
      <c r="I5934" s="34" t="s">
        <v>9</v>
      </c>
      <c r="J5934" s="38" t="str">
        <f>VLOOKUP(B5934,CAJEROS!B:E,4,0)</f>
        <v>MF_TTEDLSU1</v>
      </c>
      <c r="K5934" t="s">
        <v>610</v>
      </c>
    </row>
    <row r="5935" spans="1:11">
      <c r="A5935" s="32">
        <v>915</v>
      </c>
      <c r="B5935" s="33">
        <v>8314</v>
      </c>
      <c r="C5935" s="3">
        <v>123900</v>
      </c>
      <c r="D5935" s="3"/>
      <c r="E5935" s="7">
        <f t="shared" si="113"/>
        <v>123900</v>
      </c>
      <c r="F5935" s="5">
        <v>45945</v>
      </c>
      <c r="G5935" s="4">
        <v>20251014</v>
      </c>
      <c r="H5935" s="38" t="str">
        <f>VLOOKUP(B5935,CAJEROS!B:D,3,0)</f>
        <v>Multifuncional</v>
      </c>
      <c r="I5935" s="34" t="s">
        <v>9</v>
      </c>
      <c r="J5935" s="38" t="str">
        <f>VLOOKUP(B5935,CAJEROS!B:E,4,0)</f>
        <v>MF_BANLABB2</v>
      </c>
      <c r="K5935" t="s">
        <v>610</v>
      </c>
    </row>
    <row r="5936" spans="1:11">
      <c r="A5936" s="32">
        <v>91</v>
      </c>
      <c r="B5936" s="33">
        <v>5148</v>
      </c>
      <c r="C5936" s="3">
        <v>100000</v>
      </c>
      <c r="D5936" s="3"/>
      <c r="E5936" s="7">
        <f t="shared" si="113"/>
        <v>100000</v>
      </c>
      <c r="F5936" s="5">
        <v>45945</v>
      </c>
      <c r="G5936" s="4">
        <v>20251014</v>
      </c>
      <c r="H5936" s="38" t="str">
        <f>VLOOKUP(B5936,CAJEROS!B:D,3,0)</f>
        <v>Multifuncional</v>
      </c>
      <c r="I5936" s="34" t="s">
        <v>9</v>
      </c>
      <c r="J5936" s="38" t="str">
        <f>VLOOKUP(B5936,CAJEROS!B:E,4,0)</f>
        <v>MF_MONTERIA</v>
      </c>
      <c r="K5936" t="s">
        <v>610</v>
      </c>
    </row>
    <row r="5937" spans="1:11">
      <c r="A5937" s="32">
        <v>351</v>
      </c>
      <c r="B5937" s="33">
        <v>6182</v>
      </c>
      <c r="C5937" s="3">
        <v>100000</v>
      </c>
      <c r="D5937" s="3"/>
      <c r="E5937" s="7">
        <f t="shared" si="113"/>
        <v>100000</v>
      </c>
      <c r="F5937" s="5">
        <v>45945</v>
      </c>
      <c r="G5937" s="4">
        <v>20251014</v>
      </c>
      <c r="H5937" s="38" t="str">
        <f>VLOOKUP(B5937,CAJEROS!B:D,3,0)</f>
        <v>Multifuncional</v>
      </c>
      <c r="I5937" s="34" t="s">
        <v>9</v>
      </c>
      <c r="J5937" s="38" t="str">
        <f>VLOOKUP(B5937,CAJEROS!B:E,4,0)</f>
        <v>MF_PUNTORIE</v>
      </c>
      <c r="K5937" t="s">
        <v>610</v>
      </c>
    </row>
    <row r="5938" spans="1:11">
      <c r="A5938" s="32">
        <v>693</v>
      </c>
      <c r="B5938" s="33">
        <v>7979</v>
      </c>
      <c r="C5938" s="3">
        <v>49950</v>
      </c>
      <c r="D5938" s="3"/>
      <c r="E5938" s="7">
        <f t="shared" si="113"/>
        <v>49950</v>
      </c>
      <c r="F5938" s="5">
        <v>45945</v>
      </c>
      <c r="G5938" s="4">
        <v>20251014</v>
      </c>
      <c r="H5938" s="38" t="str">
        <f>VLOOKUP(B5938,CAJEROS!B:D,3,0)</f>
        <v>Multifuncional</v>
      </c>
      <c r="I5938" s="34" t="s">
        <v>9</v>
      </c>
      <c r="J5938" s="38" t="str">
        <f>VLOOKUP(B5938,CAJEROS!B:E,4,0)</f>
        <v>MF_CCSNTAF3</v>
      </c>
      <c r="K5938" t="s">
        <v>610</v>
      </c>
    </row>
    <row r="5939" spans="1:11">
      <c r="A5939" s="32">
        <v>162</v>
      </c>
      <c r="B5939" s="33">
        <v>1620</v>
      </c>
      <c r="C5939" s="3">
        <v>30000</v>
      </c>
      <c r="D5939" s="3">
        <v>20000</v>
      </c>
      <c r="E5939" s="7">
        <f t="shared" si="113"/>
        <v>10000</v>
      </c>
      <c r="F5939" s="5">
        <v>45945</v>
      </c>
      <c r="G5939" s="4">
        <v>20251014</v>
      </c>
      <c r="H5939" s="38" t="str">
        <f>VLOOKUP(B5939,CAJEROS!B:D,3,0)</f>
        <v>Dispensador</v>
      </c>
      <c r="I5939" s="34"/>
      <c r="J5939" s="38" t="str">
        <f>VLOOKUP(B5939,CAJEROS!B:E,4,0)</f>
        <v>SAN_PEDRO</v>
      </c>
      <c r="K5939" t="s">
        <v>610</v>
      </c>
    </row>
    <row r="5940" spans="1:11">
      <c r="A5940" s="32">
        <v>162</v>
      </c>
      <c r="B5940" s="33">
        <v>5384</v>
      </c>
      <c r="C5940" s="3">
        <v>80000</v>
      </c>
      <c r="D5940" s="3"/>
      <c r="E5940" s="7">
        <f t="shared" si="113"/>
        <v>80000</v>
      </c>
      <c r="F5940" s="5">
        <v>45945</v>
      </c>
      <c r="G5940" s="4">
        <v>20251014</v>
      </c>
      <c r="H5940" s="38" t="str">
        <f>VLOOKUP(B5940,CAJEROS!B:D,3,0)</f>
        <v>Dispensador</v>
      </c>
      <c r="I5940" s="34"/>
      <c r="J5940" s="38" t="str">
        <f>VLOOKUP(B5940,CAJEROS!B:E,4,0)</f>
        <v>SAN_PEDRO2</v>
      </c>
      <c r="K5940" t="s">
        <v>610</v>
      </c>
    </row>
    <row r="5941" spans="1:11">
      <c r="A5941" s="32">
        <v>185</v>
      </c>
      <c r="B5941" s="33">
        <v>405</v>
      </c>
      <c r="C5941" s="3">
        <v>50000</v>
      </c>
      <c r="D5941" s="3"/>
      <c r="E5941" s="7">
        <f t="shared" si="113"/>
        <v>50000</v>
      </c>
      <c r="F5941" s="5">
        <v>45945</v>
      </c>
      <c r="G5941" s="4">
        <v>20251014</v>
      </c>
      <c r="H5941" s="38" t="str">
        <f>VLOOKUP(B5941,CAJEROS!B:D,3,0)</f>
        <v>Dispensador</v>
      </c>
      <c r="I5941" s="34"/>
      <c r="J5941" s="38" t="str">
        <f>VLOOKUP(B5941,CAJEROS!B:E,4,0)</f>
        <v>SUCLLAGRPA1</v>
      </c>
      <c r="K5941" t="s">
        <v>610</v>
      </c>
    </row>
    <row r="5942" spans="1:11">
      <c r="A5942" s="32">
        <v>185</v>
      </c>
      <c r="B5942" s="33">
        <v>3253</v>
      </c>
      <c r="C5942" s="3">
        <v>20000</v>
      </c>
      <c r="D5942" s="3"/>
      <c r="E5942" s="7">
        <f t="shared" si="113"/>
        <v>20000</v>
      </c>
      <c r="F5942" s="5">
        <v>45945</v>
      </c>
      <c r="G5942" s="4">
        <v>20251014</v>
      </c>
      <c r="H5942" s="38" t="str">
        <f>VLOOKUP(B5942,CAJEROS!B:D,3,0)</f>
        <v>Dispensador</v>
      </c>
      <c r="I5942" s="34"/>
      <c r="J5942" s="38" t="str">
        <f>VLOOKUP(B5942,CAJEROS!B:E,4,0)</f>
        <v>SUCLLAGRPA2</v>
      </c>
      <c r="K5942" t="s">
        <v>610</v>
      </c>
    </row>
    <row r="5943" spans="1:11">
      <c r="A5943" s="32">
        <v>195</v>
      </c>
      <c r="B5943" s="33">
        <v>1950</v>
      </c>
      <c r="C5943" s="3">
        <v>300000</v>
      </c>
      <c r="D5943" s="3"/>
      <c r="E5943" s="7">
        <f t="shared" si="113"/>
        <v>300000</v>
      </c>
      <c r="F5943" s="5">
        <v>45945</v>
      </c>
      <c r="G5943" s="4">
        <v>20251014</v>
      </c>
      <c r="H5943" s="38" t="str">
        <f>VLOOKUP(B5943,CAJEROS!B:D,3,0)</f>
        <v>Dispensador</v>
      </c>
      <c r="I5943" s="34"/>
      <c r="J5943" s="38" t="str">
        <f>VLOOKUP(B5943,CAJEROS!B:E,4,0)</f>
        <v>LAUNIONNARI</v>
      </c>
      <c r="K5943" t="s">
        <v>610</v>
      </c>
    </row>
    <row r="5944" spans="1:11">
      <c r="A5944" s="32">
        <v>254</v>
      </c>
      <c r="B5944" s="33">
        <v>9212</v>
      </c>
      <c r="C5944" s="3">
        <v>5800000</v>
      </c>
      <c r="D5944" s="3"/>
      <c r="E5944" s="7">
        <f t="shared" si="113"/>
        <v>5800000</v>
      </c>
      <c r="F5944" s="5">
        <v>45945</v>
      </c>
      <c r="G5944" s="4">
        <v>20251014</v>
      </c>
      <c r="H5944" s="38" t="str">
        <f>VLOOKUP(B5944,CAJEROS!B:D,3,0)</f>
        <v>Dispensador</v>
      </c>
      <c r="I5944" s="34"/>
      <c r="J5944" s="38" t="str">
        <f>VLOOKUP(B5944,CAJEROS!B:E,4,0)</f>
        <v>PTOBOYACA2</v>
      </c>
      <c r="K5944" t="s">
        <v>610</v>
      </c>
    </row>
    <row r="5945" spans="1:11">
      <c r="A5945" s="32">
        <v>367</v>
      </c>
      <c r="B5945" s="33">
        <v>2223</v>
      </c>
      <c r="C5945" s="3">
        <v>80000</v>
      </c>
      <c r="D5945" s="3"/>
      <c r="E5945" s="7">
        <f t="shared" si="113"/>
        <v>80000</v>
      </c>
      <c r="F5945" s="5">
        <v>45945</v>
      </c>
      <c r="G5945" s="4">
        <v>20251014</v>
      </c>
      <c r="H5945" s="38" t="str">
        <f>VLOOKUP(B5945,CAJEROS!B:D,3,0)</f>
        <v>Dispensador</v>
      </c>
      <c r="I5945" s="34"/>
      <c r="J5945" s="38" t="str">
        <f>VLOOKUP(B5945,CAJEROS!B:E,4,0)</f>
        <v>OFGRANAME_2</v>
      </c>
      <c r="K5945" t="s">
        <v>610</v>
      </c>
    </row>
    <row r="5946" spans="1:11">
      <c r="A5946" s="32">
        <v>367</v>
      </c>
      <c r="B5946" s="33">
        <v>6261</v>
      </c>
      <c r="C5946" s="3">
        <v>2070000</v>
      </c>
      <c r="D5946" s="3"/>
      <c r="E5946" s="7">
        <f t="shared" si="113"/>
        <v>2070000</v>
      </c>
      <c r="F5946" s="5">
        <v>45945</v>
      </c>
      <c r="G5946" s="4">
        <v>20251014</v>
      </c>
      <c r="H5946" s="38" t="str">
        <f>VLOOKUP(B5946,CAJEROS!B:D,3,0)</f>
        <v>Dispensador</v>
      </c>
      <c r="I5946" s="34"/>
      <c r="J5946" s="38" t="str">
        <f>VLOOKUP(B5946,CAJEROS!B:E,4,0)</f>
        <v>SUC_GRANAD3</v>
      </c>
      <c r="K5946" t="s">
        <v>610</v>
      </c>
    </row>
    <row r="5947" spans="1:11">
      <c r="A5947" s="32">
        <v>426</v>
      </c>
      <c r="B5947" s="33">
        <v>7819</v>
      </c>
      <c r="C5947" s="3">
        <v>620000</v>
      </c>
      <c r="D5947" s="3"/>
      <c r="E5947" s="7">
        <f t="shared" si="113"/>
        <v>620000</v>
      </c>
      <c r="F5947" s="5">
        <v>45945</v>
      </c>
      <c r="G5947" s="4">
        <v>20251014</v>
      </c>
      <c r="H5947" s="38" t="str">
        <f>VLOOKUP(B5947,CAJEROS!B:D,3,0)</f>
        <v>Dispensador</v>
      </c>
      <c r="I5947" s="34"/>
      <c r="J5947" s="38" t="str">
        <f>VLOOKUP(B5947,CAJEROS!B:E,4,0)</f>
        <v>PURIFICACI2</v>
      </c>
      <c r="K5947" t="s">
        <v>610</v>
      </c>
    </row>
    <row r="5948" spans="1:11">
      <c r="A5948" s="32">
        <v>481</v>
      </c>
      <c r="B5948" s="33">
        <v>1007</v>
      </c>
      <c r="C5948" s="3">
        <v>700000</v>
      </c>
      <c r="D5948" s="3"/>
      <c r="E5948" s="7">
        <f t="shared" si="113"/>
        <v>700000</v>
      </c>
      <c r="F5948" s="5">
        <v>45945</v>
      </c>
      <c r="G5948" s="4">
        <v>20251010</v>
      </c>
      <c r="H5948" s="38" t="str">
        <f>VLOOKUP(B5948,CAJEROS!B:D,3,0)</f>
        <v>Dispensador</v>
      </c>
      <c r="I5948" s="34"/>
      <c r="J5948" s="38" t="str">
        <f>VLOOKUP(B5948,CAJEROS!B:E,4,0)</f>
        <v>SUC_SOLEDA3</v>
      </c>
      <c r="K5948" t="s">
        <v>610</v>
      </c>
    </row>
    <row r="5949" spans="1:11">
      <c r="A5949" s="32">
        <v>732</v>
      </c>
      <c r="B5949" s="33">
        <v>6966</v>
      </c>
      <c r="C5949" s="3">
        <v>270000</v>
      </c>
      <c r="D5949" s="3"/>
      <c r="E5949" s="7">
        <f t="shared" si="113"/>
        <v>270000</v>
      </c>
      <c r="F5949" s="5">
        <v>45945</v>
      </c>
      <c r="G5949" s="4">
        <v>20251014</v>
      </c>
      <c r="H5949" s="38" t="str">
        <f>VLOOKUP(B5949,CAJEROS!B:D,3,0)</f>
        <v>Dispensador</v>
      </c>
      <c r="I5949" s="34"/>
      <c r="J5949" s="38" t="str">
        <f>VLOOKUP(B5949,CAJEROS!B:E,4,0)</f>
        <v>ROLDANIL_2</v>
      </c>
      <c r="K5949" t="s">
        <v>610</v>
      </c>
    </row>
    <row r="5950" spans="1:11">
      <c r="A5950" s="32">
        <v>733</v>
      </c>
      <c r="B5950" s="33">
        <v>5337</v>
      </c>
      <c r="C5950" s="3">
        <v>13750000</v>
      </c>
      <c r="D5950" s="3"/>
      <c r="E5950" s="7">
        <f t="shared" si="113"/>
        <v>13750000</v>
      </c>
      <c r="F5950" s="5">
        <v>45945</v>
      </c>
      <c r="G5950" s="4">
        <v>20251010</v>
      </c>
      <c r="H5950" s="38" t="str">
        <f>VLOOKUP(B5950,CAJEROS!B:D,3,0)</f>
        <v>Dispensador</v>
      </c>
      <c r="I5950" s="34"/>
      <c r="J5950" s="38" t="str">
        <f>VLOOKUP(B5950,CAJEROS!B:E,4,0)</f>
        <v>LAUNIONVAL1</v>
      </c>
      <c r="K5950" t="s">
        <v>610</v>
      </c>
    </row>
    <row r="5951" spans="1:11">
      <c r="A5951" s="32">
        <v>764</v>
      </c>
      <c r="B5951" s="33">
        <v>4312</v>
      </c>
      <c r="C5951" s="3">
        <v>230000</v>
      </c>
      <c r="D5951" s="3"/>
      <c r="E5951" s="7">
        <f t="shared" si="113"/>
        <v>230000</v>
      </c>
      <c r="F5951" s="5">
        <v>45945</v>
      </c>
      <c r="G5951" s="4">
        <v>20251014</v>
      </c>
      <c r="H5951" s="38" t="str">
        <f>VLOOKUP(B5951,CAJEROS!B:D,3,0)</f>
        <v>Dispensador</v>
      </c>
      <c r="I5951" s="34"/>
      <c r="J5951" s="38" t="str">
        <f>VLOOKUP(B5951,CAJEROS!B:E,4,0)</f>
        <v>SUC_JAMUN2</v>
      </c>
      <c r="K5951" t="s">
        <v>610</v>
      </c>
    </row>
    <row r="5952" spans="1:11">
      <c r="A5952" s="32">
        <v>764</v>
      </c>
      <c r="B5952" s="33">
        <v>6052</v>
      </c>
      <c r="C5952" s="3">
        <v>520000</v>
      </c>
      <c r="D5952" s="3"/>
      <c r="E5952" s="7">
        <f t="shared" si="113"/>
        <v>520000</v>
      </c>
      <c r="F5952" s="5">
        <v>45945</v>
      </c>
      <c r="G5952" s="4">
        <v>20251014</v>
      </c>
      <c r="H5952" s="38" t="str">
        <f>VLOOKUP(B5952,CAJEROS!B:D,3,0)</f>
        <v>Dispensador</v>
      </c>
      <c r="I5952" s="34"/>
      <c r="J5952" s="38" t="str">
        <f>VLOOKUP(B5952,CAJEROS!B:E,4,0)</f>
        <v>SUC_JAMUND4</v>
      </c>
      <c r="K5952" t="s">
        <v>610</v>
      </c>
    </row>
    <row r="5953" spans="1:11">
      <c r="A5953" s="32">
        <v>4</v>
      </c>
      <c r="B5953" s="33">
        <v>8626</v>
      </c>
      <c r="C5953" s="3">
        <v>70000</v>
      </c>
      <c r="D5953" s="3"/>
      <c r="E5953" s="7">
        <f t="shared" si="113"/>
        <v>70000</v>
      </c>
      <c r="F5953" s="5">
        <v>45945</v>
      </c>
      <c r="G5953" s="4">
        <v>20251014</v>
      </c>
      <c r="H5953" s="38" t="str">
        <f>VLOOKUP(B5953,CAJEROS!B:D,3,0)</f>
        <v>Dispensador</v>
      </c>
      <c r="I5953" s="34" t="s">
        <v>9</v>
      </c>
      <c r="J5953" s="38" t="str">
        <f>VLOOKUP(B5953,CAJEROS!B:E,4,0)</f>
        <v>SUCLAURELE1</v>
      </c>
      <c r="K5953" t="s">
        <v>610</v>
      </c>
    </row>
    <row r="5954" spans="1:11">
      <c r="A5954" s="32">
        <v>4</v>
      </c>
      <c r="B5954" s="33">
        <v>8629</v>
      </c>
      <c r="C5954" s="3">
        <v>40000</v>
      </c>
      <c r="D5954" s="3"/>
      <c r="E5954" s="7">
        <f t="shared" si="113"/>
        <v>40000</v>
      </c>
      <c r="F5954" s="5">
        <v>45945</v>
      </c>
      <c r="G5954" s="4">
        <v>20251014</v>
      </c>
      <c r="H5954" s="38" t="str">
        <f>VLOOKUP(B5954,CAJEROS!B:D,3,0)</f>
        <v>Dispensador</v>
      </c>
      <c r="I5954" s="34" t="s">
        <v>9</v>
      </c>
      <c r="J5954" s="38" t="str">
        <f>VLOOKUP(B5954,CAJEROS!B:E,4,0)</f>
        <v>SUCLAURELE4</v>
      </c>
      <c r="K5954" t="s">
        <v>610</v>
      </c>
    </row>
    <row r="5955" spans="1:11">
      <c r="A5955" s="32">
        <v>57</v>
      </c>
      <c r="B5955" s="33">
        <v>9929</v>
      </c>
      <c r="C5955" s="3">
        <v>70000</v>
      </c>
      <c r="D5955" s="3"/>
      <c r="E5955" s="7">
        <f t="shared" si="113"/>
        <v>70000</v>
      </c>
      <c r="F5955" s="5">
        <v>45945</v>
      </c>
      <c r="G5955" s="4">
        <v>20251014</v>
      </c>
      <c r="H5955" s="38" t="str">
        <f>VLOOKUP(B5955,CAJEROS!B:D,3,0)</f>
        <v>Dispensador</v>
      </c>
      <c r="I5955" s="34" t="s">
        <v>9</v>
      </c>
      <c r="J5955" s="38" t="str">
        <f>VLOOKUP(B5955,CAJEROS!B:E,4,0)</f>
        <v>SUC_VILLAO1</v>
      </c>
      <c r="K5955" t="s">
        <v>610</v>
      </c>
    </row>
    <row r="5956" spans="1:11">
      <c r="A5956" s="32">
        <v>57</v>
      </c>
      <c r="B5956" s="33">
        <v>9949</v>
      </c>
      <c r="C5956" s="3">
        <v>60000</v>
      </c>
      <c r="D5956" s="3"/>
      <c r="E5956" s="7">
        <f t="shared" si="113"/>
        <v>60000</v>
      </c>
      <c r="F5956" s="5">
        <v>45945</v>
      </c>
      <c r="G5956" s="4">
        <v>20251014</v>
      </c>
      <c r="H5956" s="38" t="str">
        <f>VLOOKUP(B5956,CAJEROS!B:D,3,0)</f>
        <v>Dispensador</v>
      </c>
      <c r="I5956" s="34" t="s">
        <v>9</v>
      </c>
      <c r="J5956" s="38" t="str">
        <f>VLOOKUP(B5956,CAJEROS!B:E,4,0)</f>
        <v>SUC_VILLAO4</v>
      </c>
      <c r="K5956" t="s">
        <v>610</v>
      </c>
    </row>
    <row r="5957" spans="1:11">
      <c r="A5957" s="32">
        <v>57</v>
      </c>
      <c r="B5957" s="33">
        <v>9950</v>
      </c>
      <c r="C5957" s="3">
        <v>270000</v>
      </c>
      <c r="D5957" s="3"/>
      <c r="E5957" s="7">
        <f t="shared" si="113"/>
        <v>270000</v>
      </c>
      <c r="F5957" s="5">
        <v>45945</v>
      </c>
      <c r="G5957" s="4">
        <v>20251014</v>
      </c>
      <c r="H5957" s="38" t="str">
        <f>VLOOKUP(B5957,CAJEROS!B:D,3,0)</f>
        <v>Dispensador</v>
      </c>
      <c r="I5957" s="34" t="s">
        <v>9</v>
      </c>
      <c r="J5957" s="38" t="str">
        <f>VLOOKUP(B5957,CAJEROS!B:E,4,0)</f>
        <v>SUC_VILLAO5</v>
      </c>
      <c r="K5957" t="s">
        <v>610</v>
      </c>
    </row>
    <row r="5958" spans="1:11">
      <c r="A5958" s="32">
        <v>57</v>
      </c>
      <c r="B5958" s="33">
        <v>9951</v>
      </c>
      <c r="C5958" s="3">
        <v>100000</v>
      </c>
      <c r="D5958" s="3"/>
      <c r="E5958" s="7">
        <f t="shared" si="113"/>
        <v>100000</v>
      </c>
      <c r="F5958" s="5">
        <v>45945</v>
      </c>
      <c r="G5958" s="4">
        <v>20251014</v>
      </c>
      <c r="H5958" s="38" t="str">
        <f>VLOOKUP(B5958,CAJEROS!B:D,3,0)</f>
        <v>Dispensador</v>
      </c>
      <c r="I5958" s="34" t="s">
        <v>9</v>
      </c>
      <c r="J5958" s="38" t="str">
        <f>VLOOKUP(B5958,CAJEROS!B:E,4,0)</f>
        <v>SUC_VILLAO6</v>
      </c>
      <c r="K5958" t="s">
        <v>610</v>
      </c>
    </row>
    <row r="5959" spans="1:11">
      <c r="A5959" s="32">
        <v>59</v>
      </c>
      <c r="B5959" s="33">
        <v>3667</v>
      </c>
      <c r="C5959" s="3">
        <v>50000</v>
      </c>
      <c r="D5959" s="3"/>
      <c r="E5959" s="7">
        <f t="shared" si="113"/>
        <v>50000</v>
      </c>
      <c r="F5959" s="5">
        <v>45945</v>
      </c>
      <c r="G5959" s="4">
        <v>20251014</v>
      </c>
      <c r="H5959" s="38" t="str">
        <f>VLOOKUP(B5959,CAJEROS!B:D,3,0)</f>
        <v>Dispensador</v>
      </c>
      <c r="I5959" s="34" t="s">
        <v>9</v>
      </c>
      <c r="J5959" s="38" t="str">
        <f>VLOOKUP(B5959,CAJEROS!B:E,4,0)</f>
        <v>AVSANTAN_1</v>
      </c>
      <c r="K5959" t="s">
        <v>610</v>
      </c>
    </row>
    <row r="5960" spans="1:11">
      <c r="A5960" s="32">
        <v>93</v>
      </c>
      <c r="B5960" s="33">
        <v>931</v>
      </c>
      <c r="C5960" s="3">
        <v>150000</v>
      </c>
      <c r="D5960" s="3"/>
      <c r="E5960" s="7">
        <f t="shared" si="113"/>
        <v>150000</v>
      </c>
      <c r="F5960" s="5">
        <v>45945</v>
      </c>
      <c r="G5960" s="4">
        <v>20251014</v>
      </c>
      <c r="H5960" s="38" t="str">
        <f>VLOOKUP(B5960,CAJEROS!B:D,3,0)</f>
        <v>Dispensador</v>
      </c>
      <c r="I5960" s="34" t="s">
        <v>9</v>
      </c>
      <c r="J5960" s="38" t="str">
        <f>VLOOKUP(B5960,CAJEROS!B:E,4,0)</f>
        <v>SAHAGUN2</v>
      </c>
      <c r="K5960" t="s">
        <v>610</v>
      </c>
    </row>
    <row r="5961" spans="1:11">
      <c r="A5961" s="32">
        <v>93</v>
      </c>
      <c r="B5961" s="33">
        <v>6055</v>
      </c>
      <c r="C5961" s="3">
        <v>120000</v>
      </c>
      <c r="D5961" s="3">
        <v>100000</v>
      </c>
      <c r="E5961" s="7">
        <f t="shared" si="113"/>
        <v>20000</v>
      </c>
      <c r="F5961" s="5">
        <v>45945</v>
      </c>
      <c r="G5961" s="4">
        <v>20251014</v>
      </c>
      <c r="H5961" s="38" t="str">
        <f>VLOOKUP(B5961,CAJEROS!B:D,3,0)</f>
        <v>Dispensador</v>
      </c>
      <c r="I5961" s="34" t="s">
        <v>9</v>
      </c>
      <c r="J5961" s="38" t="str">
        <f>VLOOKUP(B5961,CAJEROS!B:E,4,0)</f>
        <v>SAHAGUN3</v>
      </c>
      <c r="K5961" t="s">
        <v>610</v>
      </c>
    </row>
    <row r="5962" spans="1:11">
      <c r="A5962" s="32">
        <v>123</v>
      </c>
      <c r="B5962" s="33">
        <v>4462</v>
      </c>
      <c r="C5962" s="3">
        <v>50000</v>
      </c>
      <c r="D5962" s="3">
        <v>40000</v>
      </c>
      <c r="E5962" s="7">
        <f t="shared" si="113"/>
        <v>10000</v>
      </c>
      <c r="F5962" s="5">
        <v>45945</v>
      </c>
      <c r="G5962" s="4">
        <v>20251014</v>
      </c>
      <c r="H5962" s="38" t="str">
        <f>VLOOKUP(B5962,CAJEROS!B:D,3,0)</f>
        <v>Dispensador</v>
      </c>
      <c r="I5962" s="34" t="s">
        <v>9</v>
      </c>
      <c r="J5962" s="38" t="str">
        <f>VLOOKUP(B5962,CAJEROS!B:E,4,0)</f>
        <v>CP_RIONEG1</v>
      </c>
      <c r="K5962" t="s">
        <v>610</v>
      </c>
    </row>
    <row r="5963" spans="1:11">
      <c r="A5963" s="32">
        <v>186</v>
      </c>
      <c r="B5963" s="33">
        <v>6509</v>
      </c>
      <c r="C5963" s="3">
        <v>60000</v>
      </c>
      <c r="D5963" s="3"/>
      <c r="E5963" s="7">
        <f t="shared" ref="E5963:E6026" si="114">+C5963-D5963</f>
        <v>60000</v>
      </c>
      <c r="F5963" s="5">
        <v>45945</v>
      </c>
      <c r="G5963" s="4">
        <v>20251014</v>
      </c>
      <c r="H5963" s="38" t="str">
        <f>VLOOKUP(B5963,CAJEROS!B:D,3,0)</f>
        <v>Dispensador</v>
      </c>
      <c r="I5963" s="34" t="s">
        <v>9</v>
      </c>
      <c r="J5963" s="38" t="str">
        <f>VLOOKUP(B5963,CAJEROS!B:E,4,0)</f>
        <v>SUC_GALERI2</v>
      </c>
      <c r="K5963" t="s">
        <v>610</v>
      </c>
    </row>
    <row r="5964" spans="1:11">
      <c r="A5964" s="32">
        <v>232</v>
      </c>
      <c r="B5964" s="33">
        <v>4062</v>
      </c>
      <c r="C5964" s="3">
        <v>350000</v>
      </c>
      <c r="D5964" s="3"/>
      <c r="E5964" s="7">
        <f t="shared" si="114"/>
        <v>350000</v>
      </c>
      <c r="F5964" s="5">
        <v>45945</v>
      </c>
      <c r="G5964" s="4">
        <v>20251014</v>
      </c>
      <c r="H5964" s="38" t="str">
        <f>VLOOKUP(B5964,CAJEROS!B:D,3,0)</f>
        <v>Dispensador</v>
      </c>
      <c r="I5964" s="34" t="s">
        <v>9</v>
      </c>
      <c r="J5964" s="38" t="str">
        <f>VLOOKUP(B5964,CAJEROS!B:E,4,0)</f>
        <v>SUC_GUASCA1</v>
      </c>
      <c r="K5964" t="s">
        <v>610</v>
      </c>
    </row>
    <row r="5965" spans="1:11">
      <c r="A5965" s="32">
        <v>287</v>
      </c>
      <c r="B5965" s="33">
        <v>906</v>
      </c>
      <c r="C5965" s="3">
        <v>1700000</v>
      </c>
      <c r="D5965" s="3">
        <v>200000</v>
      </c>
      <c r="E5965" s="7">
        <f t="shared" si="114"/>
        <v>1500000</v>
      </c>
      <c r="F5965" s="5">
        <v>45945</v>
      </c>
      <c r="G5965" s="4">
        <v>20251014</v>
      </c>
      <c r="H5965" s="38" t="str">
        <f>VLOOKUP(B5965,CAJEROS!B:D,3,0)</f>
        <v>Dispensador</v>
      </c>
      <c r="I5965" s="34" t="s">
        <v>9</v>
      </c>
      <c r="J5965" s="38" t="str">
        <f>VLOOKUP(B5965,CAJEROS!B:E,4,0)</f>
        <v>ABASTOBGA_2</v>
      </c>
      <c r="K5965" t="s">
        <v>610</v>
      </c>
    </row>
    <row r="5966" spans="1:11">
      <c r="A5966" s="32">
        <v>305</v>
      </c>
      <c r="B5966" s="33">
        <v>4897</v>
      </c>
      <c r="C5966" s="3">
        <v>100000</v>
      </c>
      <c r="D5966" s="3"/>
      <c r="E5966" s="7">
        <f t="shared" si="114"/>
        <v>100000</v>
      </c>
      <c r="F5966" s="5">
        <v>45945</v>
      </c>
      <c r="G5966" s="4">
        <v>20251014</v>
      </c>
      <c r="H5966" s="38" t="str">
        <f>VLOOKUP(B5966,CAJEROS!B:D,3,0)</f>
        <v>Dispensador</v>
      </c>
      <c r="I5966" s="34" t="s">
        <v>9</v>
      </c>
      <c r="J5966" s="38" t="str">
        <f>VLOOKUP(B5966,CAJEROS!B:E,4,0)</f>
        <v>SUC_VILLAN3</v>
      </c>
      <c r="K5966" t="s">
        <v>610</v>
      </c>
    </row>
    <row r="5967" spans="1:11">
      <c r="A5967" s="32">
        <v>325</v>
      </c>
      <c r="B5967" s="33">
        <v>5575</v>
      </c>
      <c r="C5967" s="3">
        <v>40000</v>
      </c>
      <c r="D5967" s="3"/>
      <c r="E5967" s="7">
        <f t="shared" si="114"/>
        <v>40000</v>
      </c>
      <c r="F5967" s="5">
        <v>45945</v>
      </c>
      <c r="G5967" s="4">
        <v>20251014</v>
      </c>
      <c r="H5967" s="38" t="str">
        <f>VLOOKUP(B5967,CAJEROS!B:D,3,0)</f>
        <v>Dispensador</v>
      </c>
      <c r="I5967" s="34" t="s">
        <v>9</v>
      </c>
      <c r="J5967" s="38" t="str">
        <f>VLOOKUP(B5967,CAJEROS!B:E,4,0)</f>
        <v>SANTUARI2</v>
      </c>
      <c r="K5967" t="s">
        <v>610</v>
      </c>
    </row>
    <row r="5968" spans="1:11">
      <c r="A5968" s="32">
        <v>341</v>
      </c>
      <c r="B5968" s="33">
        <v>3412</v>
      </c>
      <c r="C5968" s="3">
        <v>280000</v>
      </c>
      <c r="D5968" s="3"/>
      <c r="E5968" s="7">
        <f t="shared" si="114"/>
        <v>280000</v>
      </c>
      <c r="F5968" s="5">
        <v>45945</v>
      </c>
      <c r="G5968" s="4">
        <v>20251014</v>
      </c>
      <c r="H5968" s="38" t="str">
        <f>VLOOKUP(B5968,CAJEROS!B:D,3,0)</f>
        <v>Dispensador</v>
      </c>
      <c r="I5968" s="34" t="s">
        <v>9</v>
      </c>
      <c r="J5968" s="38" t="str">
        <f>VLOOKUP(B5968,CAJEROS!B:E,4,0)</f>
        <v>PACHO2</v>
      </c>
      <c r="K5968" t="s">
        <v>610</v>
      </c>
    </row>
    <row r="5969" spans="1:11">
      <c r="A5969" s="32">
        <v>348</v>
      </c>
      <c r="B5969" s="33">
        <v>3481</v>
      </c>
      <c r="C5969" s="3">
        <v>100000</v>
      </c>
      <c r="D5969" s="3"/>
      <c r="E5969" s="7">
        <f t="shared" si="114"/>
        <v>100000</v>
      </c>
      <c r="F5969" s="5">
        <v>45945</v>
      </c>
      <c r="G5969" s="4">
        <v>20251014</v>
      </c>
      <c r="H5969" s="38" t="str">
        <f>VLOOKUP(B5969,CAJEROS!B:D,3,0)</f>
        <v>Dispensador</v>
      </c>
      <c r="I5969" s="34" t="s">
        <v>9</v>
      </c>
      <c r="J5969" s="38" t="str">
        <f>VLOOKUP(B5969,CAJEROS!B:E,4,0)</f>
        <v>SUCSANDRES2</v>
      </c>
      <c r="K5969" t="s">
        <v>610</v>
      </c>
    </row>
    <row r="5970" spans="1:11">
      <c r="A5970" s="32">
        <v>348</v>
      </c>
      <c r="B5970" s="33">
        <v>5649</v>
      </c>
      <c r="C5970" s="3">
        <v>150000</v>
      </c>
      <c r="D5970" s="3">
        <v>100000</v>
      </c>
      <c r="E5970" s="7">
        <f t="shared" si="114"/>
        <v>50000</v>
      </c>
      <c r="F5970" s="5">
        <v>45945</v>
      </c>
      <c r="G5970" s="4">
        <v>20251014</v>
      </c>
      <c r="H5970" s="38" t="str">
        <f>VLOOKUP(B5970,CAJEROS!B:D,3,0)</f>
        <v>Dispensador</v>
      </c>
      <c r="I5970" s="34" t="s">
        <v>9</v>
      </c>
      <c r="J5970" s="38" t="str">
        <f>VLOOKUP(B5970,CAJEROS!B:E,4,0)</f>
        <v>SUCSANDRES5</v>
      </c>
      <c r="K5970" t="s">
        <v>610</v>
      </c>
    </row>
    <row r="5971" spans="1:11">
      <c r="A5971" s="32">
        <v>359</v>
      </c>
      <c r="B5971" s="33">
        <v>4650</v>
      </c>
      <c r="C5971" s="3">
        <v>90000</v>
      </c>
      <c r="D5971" s="3"/>
      <c r="E5971" s="7">
        <f t="shared" si="114"/>
        <v>90000</v>
      </c>
      <c r="F5971" s="5">
        <v>45945</v>
      </c>
      <c r="G5971" s="4">
        <v>20251014</v>
      </c>
      <c r="H5971" s="38" t="str">
        <f>VLOOKUP(B5971,CAJEROS!B:D,3,0)</f>
        <v>Dispensador</v>
      </c>
      <c r="I5971" s="34" t="s">
        <v>9</v>
      </c>
      <c r="J5971" s="38" t="str">
        <f>VLOOKUP(B5971,CAJEROS!B:E,4,0)</f>
        <v>SUC_COVEN1</v>
      </c>
      <c r="K5971" t="s">
        <v>610</v>
      </c>
    </row>
    <row r="5972" spans="1:11">
      <c r="A5972" s="32">
        <v>371</v>
      </c>
      <c r="B5972" s="33">
        <v>4279</v>
      </c>
      <c r="C5972" s="3">
        <v>40000</v>
      </c>
      <c r="D5972" s="3"/>
      <c r="E5972" s="7">
        <f t="shared" si="114"/>
        <v>40000</v>
      </c>
      <c r="F5972" s="5">
        <v>45945</v>
      </c>
      <c r="G5972" s="4">
        <v>20251014</v>
      </c>
      <c r="H5972" s="38" t="str">
        <f>VLOOKUP(B5972,CAJEROS!B:D,3,0)</f>
        <v>Dispensador</v>
      </c>
      <c r="I5972" s="34" t="s">
        <v>9</v>
      </c>
      <c r="J5972" s="38" t="str">
        <f>VLOOKUP(B5972,CAJEROS!B:E,4,0)</f>
        <v>CAUCASIA_2</v>
      </c>
      <c r="K5972" t="s">
        <v>610</v>
      </c>
    </row>
    <row r="5973" spans="1:11">
      <c r="A5973" s="32">
        <v>376</v>
      </c>
      <c r="B5973" s="33">
        <v>8568</v>
      </c>
      <c r="C5973" s="3">
        <v>30000</v>
      </c>
      <c r="D5973" s="3"/>
      <c r="E5973" s="7">
        <f t="shared" si="114"/>
        <v>30000</v>
      </c>
      <c r="F5973" s="5">
        <v>45945</v>
      </c>
      <c r="G5973" s="4">
        <v>20251014</v>
      </c>
      <c r="H5973" s="38" t="str">
        <f>VLOOKUP(B5973,CAJEROS!B:D,3,0)</f>
        <v>Dispensador</v>
      </c>
      <c r="I5973" s="34" t="s">
        <v>9</v>
      </c>
      <c r="J5973" s="38" t="str">
        <f>VLOOKUP(B5973,CAJEROS!B:E,4,0)</f>
        <v>FREDONIA_2</v>
      </c>
      <c r="K5973" t="s">
        <v>610</v>
      </c>
    </row>
    <row r="5974" spans="1:11">
      <c r="A5974" s="32">
        <v>384</v>
      </c>
      <c r="B5974" s="33">
        <v>3842</v>
      </c>
      <c r="C5974" s="3">
        <v>80000</v>
      </c>
      <c r="D5974" s="3"/>
      <c r="E5974" s="7">
        <f t="shared" si="114"/>
        <v>80000</v>
      </c>
      <c r="F5974" s="5">
        <v>45945</v>
      </c>
      <c r="G5974" s="4">
        <v>20251014</v>
      </c>
      <c r="H5974" s="38" t="str">
        <f>VLOOKUP(B5974,CAJEROS!B:D,3,0)</f>
        <v>Dispensador</v>
      </c>
      <c r="I5974" s="34" t="s">
        <v>9</v>
      </c>
      <c r="J5974" s="38" t="str">
        <f>VLOOKUP(B5974,CAJEROS!B:E,4,0)</f>
        <v>ANAPOIMA_2</v>
      </c>
      <c r="K5974" t="s">
        <v>610</v>
      </c>
    </row>
    <row r="5975" spans="1:11">
      <c r="A5975" s="32">
        <v>422</v>
      </c>
      <c r="B5975" s="33">
        <v>4221</v>
      </c>
      <c r="C5975" s="3">
        <v>50000</v>
      </c>
      <c r="D5975" s="3"/>
      <c r="E5975" s="7">
        <f t="shared" si="114"/>
        <v>50000</v>
      </c>
      <c r="F5975" s="5">
        <v>45945</v>
      </c>
      <c r="G5975" s="4">
        <v>20251014</v>
      </c>
      <c r="H5975" s="38" t="str">
        <f>VLOOKUP(B5975,CAJEROS!B:D,3,0)</f>
        <v>Dispensador</v>
      </c>
      <c r="I5975" s="34" t="s">
        <v>9</v>
      </c>
      <c r="J5975" s="38" t="str">
        <f>VLOOKUP(B5975,CAJEROS!B:E,4,0)</f>
        <v>CHAPARRAL</v>
      </c>
      <c r="K5975" t="s">
        <v>610</v>
      </c>
    </row>
    <row r="5976" spans="1:11">
      <c r="A5976" s="32">
        <v>439</v>
      </c>
      <c r="B5976" s="33">
        <v>6309</v>
      </c>
      <c r="C5976" s="3">
        <v>200000</v>
      </c>
      <c r="D5976" s="3"/>
      <c r="E5976" s="7">
        <f t="shared" si="114"/>
        <v>200000</v>
      </c>
      <c r="F5976" s="5">
        <v>45945</v>
      </c>
      <c r="G5976" s="4">
        <v>20251014</v>
      </c>
      <c r="H5976" s="38" t="str">
        <f>VLOOKUP(B5976,CAJEROS!B:D,3,0)</f>
        <v>Dispensador</v>
      </c>
      <c r="I5976" s="34" t="s">
        <v>9</v>
      </c>
      <c r="J5976" s="38" t="str">
        <f>VLOOKUP(B5976,CAJEROS!B:E,4,0)</f>
        <v>SUC_CAJAMA2</v>
      </c>
      <c r="K5976" t="s">
        <v>610</v>
      </c>
    </row>
    <row r="5977" spans="1:11">
      <c r="A5977" s="32">
        <v>455</v>
      </c>
      <c r="B5977" s="33">
        <v>5974</v>
      </c>
      <c r="C5977" s="3">
        <v>240000</v>
      </c>
      <c r="D5977" s="3"/>
      <c r="E5977" s="7">
        <f t="shared" si="114"/>
        <v>240000</v>
      </c>
      <c r="F5977" s="5">
        <v>45945</v>
      </c>
      <c r="G5977" s="4">
        <v>20251014</v>
      </c>
      <c r="H5977" s="38" t="str">
        <f>VLOOKUP(B5977,CAJEROS!B:D,3,0)</f>
        <v>Dispensador</v>
      </c>
      <c r="I5977" s="34" t="s">
        <v>9</v>
      </c>
      <c r="J5977" s="38" t="str">
        <f>VLOOKUP(B5977,CAJEROS!B:E,4,0)</f>
        <v>SUC_CEIBAS1</v>
      </c>
      <c r="K5977" t="s">
        <v>610</v>
      </c>
    </row>
    <row r="5978" spans="1:11">
      <c r="A5978" s="32">
        <v>503</v>
      </c>
      <c r="B5978" s="33">
        <v>5031</v>
      </c>
      <c r="C5978" s="3">
        <v>300000</v>
      </c>
      <c r="D5978" s="3"/>
      <c r="E5978" s="7">
        <f t="shared" si="114"/>
        <v>300000</v>
      </c>
      <c r="F5978" s="5">
        <v>45945</v>
      </c>
      <c r="G5978" s="4">
        <v>20251014</v>
      </c>
      <c r="H5978" s="38" t="str">
        <f>VLOOKUP(B5978,CAJEROS!B:D,3,0)</f>
        <v>Dispensador</v>
      </c>
      <c r="I5978" s="34" t="s">
        <v>9</v>
      </c>
      <c r="J5978" s="38" t="str">
        <f>VLOOKUP(B5978,CAJEROS!B:E,4,0)</f>
        <v>YARUMAL1</v>
      </c>
      <c r="K5978" t="s">
        <v>610</v>
      </c>
    </row>
    <row r="5979" spans="1:11">
      <c r="A5979" s="32">
        <v>503</v>
      </c>
      <c r="B5979" s="33">
        <v>5032</v>
      </c>
      <c r="C5979" s="3">
        <v>100000</v>
      </c>
      <c r="D5979" s="3"/>
      <c r="E5979" s="7">
        <f t="shared" si="114"/>
        <v>100000</v>
      </c>
      <c r="F5979" s="5">
        <v>45945</v>
      </c>
      <c r="G5979" s="4">
        <v>20251014</v>
      </c>
      <c r="H5979" s="38" t="str">
        <f>VLOOKUP(B5979,CAJEROS!B:D,3,0)</f>
        <v>Dispensador</v>
      </c>
      <c r="I5979" s="34" t="s">
        <v>9</v>
      </c>
      <c r="J5979" s="38" t="str">
        <f>VLOOKUP(B5979,CAJEROS!B:E,4,0)</f>
        <v>YARUMAL2</v>
      </c>
      <c r="K5979" t="s">
        <v>610</v>
      </c>
    </row>
    <row r="5980" spans="1:11">
      <c r="A5980" s="32">
        <v>541</v>
      </c>
      <c r="B5980" s="33">
        <v>8655</v>
      </c>
      <c r="C5980" s="3">
        <v>100000</v>
      </c>
      <c r="D5980" s="3"/>
      <c r="E5980" s="7">
        <f t="shared" si="114"/>
        <v>100000</v>
      </c>
      <c r="F5980" s="5">
        <v>45945</v>
      </c>
      <c r="G5980" s="4">
        <v>20251014</v>
      </c>
      <c r="H5980" s="38" t="str">
        <f>VLOOKUP(B5980,CAJEROS!B:D,3,0)</f>
        <v>Dispensador</v>
      </c>
      <c r="I5980" s="34" t="s">
        <v>9</v>
      </c>
      <c r="J5980" s="38" t="str">
        <f>VLOOKUP(B5980,CAJEROS!B:E,4,0)</f>
        <v>SUCCALDASP6</v>
      </c>
      <c r="K5980" t="s">
        <v>610</v>
      </c>
    </row>
    <row r="5981" spans="1:11">
      <c r="A5981" s="32">
        <v>541</v>
      </c>
      <c r="B5981" s="33">
        <v>8659</v>
      </c>
      <c r="C5981" s="3">
        <v>50000</v>
      </c>
      <c r="D5981" s="3"/>
      <c r="E5981" s="7">
        <f t="shared" si="114"/>
        <v>50000</v>
      </c>
      <c r="F5981" s="5">
        <v>45945</v>
      </c>
      <c r="G5981" s="4">
        <v>20251014</v>
      </c>
      <c r="H5981" s="38" t="str">
        <f>VLOOKUP(B5981,CAJEROS!B:D,3,0)</f>
        <v>Dispensador</v>
      </c>
      <c r="I5981" s="34" t="s">
        <v>9</v>
      </c>
      <c r="J5981" s="38" t="str">
        <f>VLOOKUP(B5981,CAJEROS!B:E,4,0)</f>
        <v>SUCCALDAS10</v>
      </c>
      <c r="K5981" t="s">
        <v>610</v>
      </c>
    </row>
    <row r="5982" spans="1:11">
      <c r="A5982" s="32">
        <v>567</v>
      </c>
      <c r="B5982" s="33">
        <v>4521</v>
      </c>
      <c r="C5982" s="3">
        <v>5920000</v>
      </c>
      <c r="D5982" s="3">
        <v>5410000</v>
      </c>
      <c r="E5982" s="7">
        <f t="shared" si="114"/>
        <v>510000</v>
      </c>
      <c r="F5982" s="5">
        <v>45945</v>
      </c>
      <c r="G5982" s="4">
        <v>20251014</v>
      </c>
      <c r="H5982" s="38" t="str">
        <f>VLOOKUP(B5982,CAJEROS!B:D,3,0)</f>
        <v>Dispensador</v>
      </c>
      <c r="I5982" s="34" t="s">
        <v>9</v>
      </c>
      <c r="J5982" s="38" t="str">
        <f>VLOOKUP(B5982,CAJEROS!B:E,4,0)</f>
        <v>VENECIA2</v>
      </c>
      <c r="K5982" t="s">
        <v>610</v>
      </c>
    </row>
    <row r="5983" spans="1:11">
      <c r="A5983" s="32">
        <v>601</v>
      </c>
      <c r="B5983" s="33">
        <v>6424</v>
      </c>
      <c r="C5983" s="3">
        <v>30000</v>
      </c>
      <c r="D5983" s="3"/>
      <c r="E5983" s="7">
        <f t="shared" si="114"/>
        <v>30000</v>
      </c>
      <c r="F5983" s="5">
        <v>45945</v>
      </c>
      <c r="G5983" s="4">
        <v>20251014</v>
      </c>
      <c r="H5983" s="38" t="str">
        <f>VLOOKUP(B5983,CAJEROS!B:D,3,0)</f>
        <v>Dispensador</v>
      </c>
      <c r="I5983" s="34" t="s">
        <v>9</v>
      </c>
      <c r="J5983" s="38" t="str">
        <f>VLOOKUP(B5983,CAJEROS!B:E,4,0)</f>
        <v>SUC_PQCOL4</v>
      </c>
      <c r="K5983" t="s">
        <v>610</v>
      </c>
    </row>
    <row r="5984" spans="1:11">
      <c r="A5984" s="32">
        <v>642</v>
      </c>
      <c r="B5984" s="33">
        <v>1949</v>
      </c>
      <c r="C5984" s="3">
        <v>500000</v>
      </c>
      <c r="D5984" s="3"/>
      <c r="E5984" s="7">
        <f t="shared" si="114"/>
        <v>500000</v>
      </c>
      <c r="F5984" s="5">
        <v>45945</v>
      </c>
      <c r="G5984" s="4">
        <v>20251014</v>
      </c>
      <c r="H5984" s="38" t="str">
        <f>VLOOKUP(B5984,CAJEROS!B:D,3,0)</f>
        <v>Dispensador</v>
      </c>
      <c r="I5984" s="34" t="s">
        <v>9</v>
      </c>
      <c r="J5984" s="38" t="str">
        <f>VLOOKUP(B5984,CAJEROS!B:E,4,0)</f>
        <v>SANTAROSOS1</v>
      </c>
      <c r="K5984" t="s">
        <v>610</v>
      </c>
    </row>
    <row r="5985" spans="1:11">
      <c r="A5985" s="32">
        <v>651</v>
      </c>
      <c r="B5985" s="33">
        <v>6511</v>
      </c>
      <c r="C5985" s="3">
        <v>100000</v>
      </c>
      <c r="D5985" s="3"/>
      <c r="E5985" s="7">
        <f t="shared" si="114"/>
        <v>100000</v>
      </c>
      <c r="F5985" s="5">
        <v>45945</v>
      </c>
      <c r="G5985" s="4">
        <v>20251014</v>
      </c>
      <c r="H5985" s="38" t="str">
        <f>VLOOKUP(B5985,CAJEROS!B:D,3,0)</f>
        <v>Dispensador</v>
      </c>
      <c r="I5985" s="34" t="s">
        <v>9</v>
      </c>
      <c r="J5985" s="38" t="str">
        <f>VLOOKUP(B5985,CAJEROS!B:E,4,0)</f>
        <v>BARBOSA</v>
      </c>
      <c r="K5985" t="s">
        <v>610</v>
      </c>
    </row>
    <row r="5986" spans="1:11">
      <c r="A5986" s="32">
        <v>678</v>
      </c>
      <c r="B5986" s="33">
        <v>6016</v>
      </c>
      <c r="C5986" s="3">
        <v>100000</v>
      </c>
      <c r="D5986" s="3"/>
      <c r="E5986" s="7">
        <f t="shared" si="114"/>
        <v>100000</v>
      </c>
      <c r="F5986" s="5">
        <v>45945</v>
      </c>
      <c r="G5986" s="4">
        <v>20251014</v>
      </c>
      <c r="H5986" s="38" t="str">
        <f>VLOOKUP(B5986,CAJEROS!B:D,3,0)</f>
        <v>Dispensador</v>
      </c>
      <c r="I5986" s="34" t="s">
        <v>9</v>
      </c>
      <c r="J5986" s="38" t="str">
        <f>VLOOKUP(B5986,CAJEROS!B:E,4,0)</f>
        <v>PASEOCAST_7</v>
      </c>
      <c r="K5986" t="s">
        <v>610</v>
      </c>
    </row>
    <row r="5987" spans="1:11">
      <c r="A5987" s="32">
        <v>705</v>
      </c>
      <c r="B5987" s="33">
        <v>2792</v>
      </c>
      <c r="C5987" s="3">
        <v>100000</v>
      </c>
      <c r="D5987" s="3"/>
      <c r="E5987" s="7">
        <f t="shared" si="114"/>
        <v>100000</v>
      </c>
      <c r="F5987" s="5">
        <v>45945</v>
      </c>
      <c r="G5987" s="4">
        <v>20251014</v>
      </c>
      <c r="H5987" s="38" t="str">
        <f>VLOOKUP(B5987,CAJEROS!B:D,3,0)</f>
        <v>Dispensador</v>
      </c>
      <c r="I5987" s="34" t="s">
        <v>9</v>
      </c>
      <c r="J5987" s="38" t="str">
        <f>VLOOKUP(B5987,CAJEROS!B:E,4,0)</f>
        <v>_EL_BAGRE_</v>
      </c>
      <c r="K5987" t="s">
        <v>610</v>
      </c>
    </row>
    <row r="5988" spans="1:11">
      <c r="A5988" s="32">
        <v>739</v>
      </c>
      <c r="B5988" s="33">
        <v>3664</v>
      </c>
      <c r="C5988" s="3">
        <v>120000</v>
      </c>
      <c r="D5988" s="3"/>
      <c r="E5988" s="7">
        <f t="shared" si="114"/>
        <v>120000</v>
      </c>
      <c r="F5988" s="5">
        <v>45945</v>
      </c>
      <c r="G5988" s="4">
        <v>20251014</v>
      </c>
      <c r="H5988" s="38" t="str">
        <f>VLOOKUP(B5988,CAJEROS!B:D,3,0)</f>
        <v>Dispensador</v>
      </c>
      <c r="I5988" s="34" t="s">
        <v>9</v>
      </c>
      <c r="J5988" s="38" t="str">
        <f>VLOOKUP(B5988,CAJEROS!B:E,4,0)</f>
        <v>SUC_NECO1</v>
      </c>
      <c r="K5988" t="s">
        <v>610</v>
      </c>
    </row>
    <row r="5989" spans="1:11">
      <c r="A5989" s="32">
        <v>750</v>
      </c>
      <c r="B5989" s="33">
        <v>5538</v>
      </c>
      <c r="C5989" s="3">
        <v>130000</v>
      </c>
      <c r="D5989" s="3">
        <v>100000</v>
      </c>
      <c r="E5989" s="7">
        <f t="shared" si="114"/>
        <v>30000</v>
      </c>
      <c r="F5989" s="5">
        <v>45945</v>
      </c>
      <c r="G5989" s="4">
        <v>20251014</v>
      </c>
      <c r="H5989" s="38" t="str">
        <f>VLOOKUP(B5989,CAJEROS!B:D,3,0)</f>
        <v>Dispensador</v>
      </c>
      <c r="I5989" s="34" t="s">
        <v>9</v>
      </c>
      <c r="J5989" s="38" t="str">
        <f>VLOOKUP(B5989,CAJEROS!B:E,4,0)</f>
        <v>AV_ROOSVEL2</v>
      </c>
      <c r="K5989" t="s">
        <v>610</v>
      </c>
    </row>
    <row r="5990" spans="1:11">
      <c r="A5990" s="32">
        <v>765</v>
      </c>
      <c r="B5990" s="33">
        <v>4998</v>
      </c>
      <c r="C5990" s="3">
        <v>670000</v>
      </c>
      <c r="D5990" s="3"/>
      <c r="E5990" s="7">
        <f t="shared" si="114"/>
        <v>670000</v>
      </c>
      <c r="F5990" s="5">
        <v>45945</v>
      </c>
      <c r="G5990" s="4">
        <v>20251014</v>
      </c>
      <c r="H5990" s="38" t="str">
        <f>VLOOKUP(B5990,CAJEROS!B:D,3,0)</f>
        <v>Dispensador</v>
      </c>
      <c r="I5990" s="34" t="s">
        <v>9</v>
      </c>
      <c r="J5990" s="38" t="str">
        <f>VLOOKUP(B5990,CAJEROS!B:E,4,0)</f>
        <v>SUC_BECERR1</v>
      </c>
      <c r="K5990" t="s">
        <v>610</v>
      </c>
    </row>
    <row r="5991" spans="1:11">
      <c r="A5991" s="32">
        <v>914</v>
      </c>
      <c r="B5991" s="33">
        <v>9140</v>
      </c>
      <c r="C5991" s="3">
        <v>50000</v>
      </c>
      <c r="D5991" s="3"/>
      <c r="E5991" s="7">
        <f t="shared" si="114"/>
        <v>50000</v>
      </c>
      <c r="F5991" s="5">
        <v>45945</v>
      </c>
      <c r="G5991" s="4">
        <v>20251014</v>
      </c>
      <c r="H5991" s="38" t="str">
        <f>VLOOKUP(B5991,CAJEROS!B:D,3,0)</f>
        <v>Dispensador</v>
      </c>
      <c r="I5991" s="34" t="s">
        <v>9</v>
      </c>
      <c r="J5991" s="38" t="str">
        <f>VLOOKUP(B5991,CAJEROS!B:E,4,0)</f>
        <v>DON_MATIAS</v>
      </c>
      <c r="K5991" t="s">
        <v>610</v>
      </c>
    </row>
    <row r="5992" spans="1:11">
      <c r="A5992" s="32">
        <v>916</v>
      </c>
      <c r="B5992" s="33">
        <v>5743</v>
      </c>
      <c r="C5992" s="3">
        <v>340000</v>
      </c>
      <c r="D5992" s="3"/>
      <c r="E5992" s="7">
        <f t="shared" si="114"/>
        <v>340000</v>
      </c>
      <c r="F5992" s="5">
        <v>45945</v>
      </c>
      <c r="G5992" s="4">
        <v>20251014</v>
      </c>
      <c r="H5992" s="38" t="str">
        <f>VLOOKUP(B5992,CAJEROS!B:D,3,0)</f>
        <v>Dispensador</v>
      </c>
      <c r="I5992" s="34" t="s">
        <v>9</v>
      </c>
      <c r="J5992" s="38" t="str">
        <f>VLOOKUP(B5992,CAJEROS!B:E,4,0)</f>
        <v>SUC_OCEANM3</v>
      </c>
      <c r="K5992" t="s">
        <v>610</v>
      </c>
    </row>
    <row r="5993" spans="1:11">
      <c r="A5993" s="32">
        <v>60</v>
      </c>
      <c r="B5993" s="33">
        <v>8721</v>
      </c>
      <c r="C5993" s="3">
        <v>2500000</v>
      </c>
      <c r="D5993" s="3"/>
      <c r="E5993" s="7">
        <f t="shared" si="114"/>
        <v>2500000</v>
      </c>
      <c r="F5993" s="5">
        <v>45946</v>
      </c>
      <c r="G5993" s="4">
        <v>20251015</v>
      </c>
      <c r="H5993" s="38" t="str">
        <f>VLOOKUP(B5993,CAJEROS!B:D,3,0)</f>
        <v>Dispensador</v>
      </c>
      <c r="I5993" s="34"/>
      <c r="J5993" s="38" t="str">
        <f>VLOOKUP(B5993,CAJEROS!B:E,4,0)</f>
        <v>HALLCALIPR3</v>
      </c>
      <c r="K5993" t="s">
        <v>610</v>
      </c>
    </row>
    <row r="5994" spans="1:11">
      <c r="A5994" s="32">
        <v>60</v>
      </c>
      <c r="B5994" s="33">
        <v>8724</v>
      </c>
      <c r="C5994" s="3">
        <v>50000</v>
      </c>
      <c r="D5994" s="3"/>
      <c r="E5994" s="7">
        <f t="shared" si="114"/>
        <v>50000</v>
      </c>
      <c r="F5994" s="5">
        <v>45946</v>
      </c>
      <c r="G5994" s="4">
        <v>20251015</v>
      </c>
      <c r="H5994" s="38" t="str">
        <f>VLOOKUP(B5994,CAJEROS!B:D,3,0)</f>
        <v>Dispensador</v>
      </c>
      <c r="I5994" s="34"/>
      <c r="J5994" s="38" t="str">
        <f>VLOOKUP(B5994,CAJEROS!B:E,4,0)</f>
        <v>HALLCALIPR6</v>
      </c>
      <c r="K5994" t="s">
        <v>610</v>
      </c>
    </row>
    <row r="5995" spans="1:11">
      <c r="A5995" s="32">
        <v>70</v>
      </c>
      <c r="B5995" s="33">
        <v>4729</v>
      </c>
      <c r="C5995" s="3">
        <v>950000</v>
      </c>
      <c r="D5995" s="3">
        <v>200000</v>
      </c>
      <c r="E5995" s="7">
        <f t="shared" si="114"/>
        <v>750000</v>
      </c>
      <c r="F5995" s="5">
        <v>45946</v>
      </c>
      <c r="G5995" s="4">
        <v>20251015</v>
      </c>
      <c r="H5995" s="38" t="str">
        <f>VLOOKUP(B5995,CAJEROS!B:D,3,0)</f>
        <v>Dispensador</v>
      </c>
      <c r="I5995" s="34"/>
      <c r="J5995" s="38" t="str">
        <f>VLOOKUP(B5995,CAJEROS!B:E,4,0)</f>
        <v>PPMANIZLES4</v>
      </c>
      <c r="K5995" t="s">
        <v>610</v>
      </c>
    </row>
    <row r="5996" spans="1:11">
      <c r="A5996" s="32">
        <v>225</v>
      </c>
      <c r="B5996" s="33">
        <v>8864</v>
      </c>
      <c r="C5996" s="3">
        <v>20000</v>
      </c>
      <c r="D5996" s="3"/>
      <c r="E5996" s="7">
        <f t="shared" si="114"/>
        <v>20000</v>
      </c>
      <c r="F5996" s="5">
        <v>45946</v>
      </c>
      <c r="G5996" s="4">
        <v>20251015</v>
      </c>
      <c r="H5996" s="38" t="str">
        <f>VLOOKUP(B5996,CAJEROS!B:D,3,0)</f>
        <v>Dispensador</v>
      </c>
      <c r="I5996" s="34"/>
      <c r="J5996" s="38" t="str">
        <f>VLOOKUP(B5996,CAJEROS!B:E,4,0)</f>
        <v>SMALPLANQS2</v>
      </c>
      <c r="K5996" t="s">
        <v>610</v>
      </c>
    </row>
    <row r="5997" spans="1:11">
      <c r="A5997" s="32">
        <v>225</v>
      </c>
      <c r="B5997" s="33">
        <v>8866</v>
      </c>
      <c r="C5997" s="3">
        <v>250000</v>
      </c>
      <c r="D5997" s="3"/>
      <c r="E5997" s="7">
        <f t="shared" si="114"/>
        <v>250000</v>
      </c>
      <c r="F5997" s="5">
        <v>45946</v>
      </c>
      <c r="G5997" s="4">
        <v>20251015</v>
      </c>
      <c r="H5997" s="38" t="str">
        <f>VLOOKUP(B5997,CAJEROS!B:D,3,0)</f>
        <v>Dispensador</v>
      </c>
      <c r="I5997" s="34"/>
      <c r="J5997" s="38" t="str">
        <f>VLOOKUP(B5997,CAJEROS!B:E,4,0)</f>
        <v>SMALPLANQS4</v>
      </c>
      <c r="K5997" t="s">
        <v>610</v>
      </c>
    </row>
    <row r="5998" spans="1:11">
      <c r="A5998" s="32">
        <v>317</v>
      </c>
      <c r="B5998" s="33">
        <v>3403</v>
      </c>
      <c r="C5998" s="3">
        <v>30000</v>
      </c>
      <c r="D5998" s="3"/>
      <c r="E5998" s="7">
        <f t="shared" si="114"/>
        <v>30000</v>
      </c>
      <c r="F5998" s="5">
        <v>45946</v>
      </c>
      <c r="G5998" s="4">
        <v>20251015</v>
      </c>
      <c r="H5998" s="38" t="str">
        <f>VLOOKUP(B5998,CAJEROS!B:D,3,0)</f>
        <v>Dispensador</v>
      </c>
      <c r="I5998" s="34"/>
      <c r="J5998" s="38" t="str">
        <f>VLOOKUP(B5998,CAJEROS!B:E,4,0)</f>
        <v>SUCARAUCA_2</v>
      </c>
      <c r="K5998" t="s">
        <v>610</v>
      </c>
    </row>
    <row r="5999" spans="1:11">
      <c r="A5999" s="32">
        <v>334</v>
      </c>
      <c r="B5999" s="33">
        <v>8802</v>
      </c>
      <c r="C5999" s="3">
        <v>550000</v>
      </c>
      <c r="D5999" s="3"/>
      <c r="E5999" s="7">
        <f t="shared" si="114"/>
        <v>550000</v>
      </c>
      <c r="F5999" s="5">
        <v>45946</v>
      </c>
      <c r="G5999" s="4">
        <v>20251015</v>
      </c>
      <c r="H5999" s="38" t="str">
        <f>VLOOKUP(B5999,CAJEROS!B:D,3,0)</f>
        <v>Dispensador</v>
      </c>
      <c r="I5999" s="34"/>
      <c r="J5999" s="38" t="str">
        <f>VLOOKUP(B5999,CAJEROS!B:E,4,0)</f>
        <v>SUCPENOL_2</v>
      </c>
      <c r="K5999" t="s">
        <v>610</v>
      </c>
    </row>
    <row r="6000" spans="1:11">
      <c r="A6000" s="32">
        <v>451</v>
      </c>
      <c r="B6000" s="33">
        <v>3799</v>
      </c>
      <c r="C6000" s="3">
        <v>700000</v>
      </c>
      <c r="D6000" s="3"/>
      <c r="E6000" s="7">
        <f t="shared" si="114"/>
        <v>700000</v>
      </c>
      <c r="F6000" s="5">
        <v>45946</v>
      </c>
      <c r="G6000" s="4">
        <v>20251015</v>
      </c>
      <c r="H6000" s="38" t="str">
        <f>VLOOKUP(B6000,CAJEROS!B:D,3,0)</f>
        <v>Dispensador</v>
      </c>
      <c r="I6000" s="34"/>
      <c r="J6000" s="38" t="str">
        <f>VLOOKUP(B6000,CAJEROS!B:E,4,0)</f>
        <v>SUC_PASIS1</v>
      </c>
      <c r="K6000" t="s">
        <v>610</v>
      </c>
    </row>
    <row r="6001" spans="1:11">
      <c r="A6001" s="32">
        <v>451</v>
      </c>
      <c r="B6001" s="33">
        <v>4967</v>
      </c>
      <c r="C6001" s="3">
        <v>100000</v>
      </c>
      <c r="D6001" s="3"/>
      <c r="E6001" s="7">
        <f t="shared" si="114"/>
        <v>100000</v>
      </c>
      <c r="F6001" s="5">
        <v>45946</v>
      </c>
      <c r="G6001" s="4">
        <v>20251015</v>
      </c>
      <c r="H6001" s="38" t="str">
        <f>VLOOKUP(B6001,CAJEROS!B:D,3,0)</f>
        <v>Dispensador</v>
      </c>
      <c r="I6001" s="34"/>
      <c r="J6001" s="38" t="str">
        <f>VLOOKUP(B6001,CAJEROS!B:E,4,0)</f>
        <v>SUCPTOASIS2</v>
      </c>
      <c r="K6001" t="s">
        <v>610</v>
      </c>
    </row>
    <row r="6002" spans="1:11">
      <c r="A6002" s="32">
        <v>467</v>
      </c>
      <c r="B6002" s="33">
        <v>8916</v>
      </c>
      <c r="C6002" s="3">
        <v>2610000</v>
      </c>
      <c r="D6002" s="3"/>
      <c r="E6002" s="7">
        <f t="shared" si="114"/>
        <v>2610000</v>
      </c>
      <c r="F6002" s="5">
        <v>45946</v>
      </c>
      <c r="G6002" s="4">
        <v>20251015</v>
      </c>
      <c r="H6002" s="38" t="str">
        <f>VLOOKUP(B6002,CAJEROS!B:D,3,0)</f>
        <v>Dispensador</v>
      </c>
      <c r="I6002" s="34"/>
      <c r="J6002" s="38" t="str">
        <f>VLOOKUP(B6002,CAJEROS!B:E,4,0)</f>
        <v>HDIVERPLZ_6</v>
      </c>
      <c r="K6002" t="s">
        <v>610</v>
      </c>
    </row>
    <row r="6003" spans="1:11">
      <c r="A6003" s="32">
        <v>481</v>
      </c>
      <c r="B6003" s="33">
        <v>1007</v>
      </c>
      <c r="C6003" s="3">
        <v>800000</v>
      </c>
      <c r="D6003" s="3"/>
      <c r="E6003" s="7">
        <f t="shared" si="114"/>
        <v>800000</v>
      </c>
      <c r="F6003" s="5">
        <v>45946</v>
      </c>
      <c r="G6003" s="4">
        <v>20251015</v>
      </c>
      <c r="H6003" s="38" t="str">
        <f>VLOOKUP(B6003,CAJEROS!B:D,3,0)</f>
        <v>Dispensador</v>
      </c>
      <c r="I6003" s="34"/>
      <c r="J6003" s="38" t="str">
        <f>VLOOKUP(B6003,CAJEROS!B:E,4,0)</f>
        <v>SUC_SOLEDA3</v>
      </c>
      <c r="K6003" t="s">
        <v>610</v>
      </c>
    </row>
    <row r="6004" spans="1:11">
      <c r="A6004" s="32">
        <v>536</v>
      </c>
      <c r="B6004" s="33">
        <v>4796</v>
      </c>
      <c r="C6004" s="3">
        <v>1100000</v>
      </c>
      <c r="D6004" s="3"/>
      <c r="E6004" s="7">
        <f t="shared" si="114"/>
        <v>1100000</v>
      </c>
      <c r="F6004" s="5">
        <v>45946</v>
      </c>
      <c r="G6004" s="4">
        <v>20251015</v>
      </c>
      <c r="H6004" s="38" t="str">
        <f>VLOOKUP(B6004,CAJEROS!B:D,3,0)</f>
        <v>Dispensador</v>
      </c>
      <c r="I6004" s="34"/>
      <c r="J6004" s="38" t="str">
        <f>VLOOKUP(B6004,CAJEROS!B:E,4,0)</f>
        <v>SUC_QUIBDO3</v>
      </c>
      <c r="K6004" t="s">
        <v>610</v>
      </c>
    </row>
    <row r="6005" spans="1:11">
      <c r="A6005" s="32">
        <v>536</v>
      </c>
      <c r="B6005" s="33">
        <v>6914</v>
      </c>
      <c r="C6005" s="3">
        <v>100000</v>
      </c>
      <c r="D6005" s="3"/>
      <c r="E6005" s="7">
        <f t="shared" si="114"/>
        <v>100000</v>
      </c>
      <c r="F6005" s="5">
        <v>45946</v>
      </c>
      <c r="G6005" s="4">
        <v>20251015</v>
      </c>
      <c r="H6005" s="38" t="str">
        <f>VLOOKUP(B6005,CAJEROS!B:D,3,0)</f>
        <v>Dispensador</v>
      </c>
      <c r="I6005" s="34"/>
      <c r="J6005" s="38" t="str">
        <f>VLOOKUP(B6005,CAJEROS!B:E,4,0)</f>
        <v>SUC_QUIBDO6</v>
      </c>
      <c r="K6005" t="s">
        <v>610</v>
      </c>
    </row>
    <row r="6006" spans="1:11">
      <c r="A6006" s="32">
        <v>743</v>
      </c>
      <c r="B6006" s="33">
        <v>5695</v>
      </c>
      <c r="C6006" s="3">
        <v>1350000</v>
      </c>
      <c r="D6006" s="3">
        <v>50000</v>
      </c>
      <c r="E6006" s="7">
        <f t="shared" si="114"/>
        <v>1300000</v>
      </c>
      <c r="F6006" s="5">
        <v>45946</v>
      </c>
      <c r="G6006" s="4">
        <v>20251015</v>
      </c>
      <c r="H6006" s="38" t="str">
        <f>VLOOKUP(B6006,CAJEROS!B:D,3,0)</f>
        <v>Dispensador</v>
      </c>
      <c r="I6006" s="34"/>
      <c r="J6006" s="38" t="str">
        <f>VLOOKUP(B6006,CAJEROS!B:E,4,0)</f>
        <v>SUC_NORTHP1</v>
      </c>
      <c r="K6006" t="s">
        <v>610</v>
      </c>
    </row>
    <row r="6007" spans="1:11">
      <c r="A6007" s="32">
        <v>795</v>
      </c>
      <c r="B6007" s="33">
        <v>1023</v>
      </c>
      <c r="C6007" s="3">
        <v>1000000</v>
      </c>
      <c r="D6007" s="3"/>
      <c r="E6007" s="7">
        <f t="shared" si="114"/>
        <v>1000000</v>
      </c>
      <c r="F6007" s="5">
        <v>45946</v>
      </c>
      <c r="G6007" s="4">
        <v>20251015</v>
      </c>
      <c r="H6007" s="38" t="str">
        <f>VLOOKUP(B6007,CAJEROS!B:D,3,0)</f>
        <v>Dispensador</v>
      </c>
      <c r="I6007" s="34"/>
      <c r="J6007" s="38" t="str">
        <f>VLOOKUP(B6007,CAJEROS!B:E,4,0)</f>
        <v>SUCANAVERA3</v>
      </c>
      <c r="K6007" t="s">
        <v>610</v>
      </c>
    </row>
    <row r="6008" spans="1:11">
      <c r="A6008" s="32">
        <v>866</v>
      </c>
      <c r="B6008" s="33">
        <v>6260</v>
      </c>
      <c r="C6008" s="3">
        <v>710000</v>
      </c>
      <c r="D6008" s="3"/>
      <c r="E6008" s="7">
        <f t="shared" si="114"/>
        <v>710000</v>
      </c>
      <c r="F6008" s="5">
        <v>45946</v>
      </c>
      <c r="G6008" s="4">
        <v>20251015</v>
      </c>
      <c r="H6008" s="38" t="str">
        <f>VLOOKUP(B6008,CAJEROS!B:D,3,0)</f>
        <v>Dispensador</v>
      </c>
      <c r="I6008" s="34"/>
      <c r="J6008" s="38" t="str">
        <f>VLOOKUP(B6008,CAJEROS!B:E,4,0)</f>
        <v>SUC_FLORID4</v>
      </c>
      <c r="K6008" t="s">
        <v>610</v>
      </c>
    </row>
    <row r="6009" spans="1:11">
      <c r="A6009" s="32">
        <v>890</v>
      </c>
      <c r="B6009" s="33">
        <v>3897</v>
      </c>
      <c r="C6009" s="3">
        <v>6610000</v>
      </c>
      <c r="D6009" s="3">
        <v>4710000</v>
      </c>
      <c r="E6009" s="7">
        <f t="shared" si="114"/>
        <v>1900000</v>
      </c>
      <c r="F6009" s="5">
        <v>45946</v>
      </c>
      <c r="G6009" s="4">
        <v>20251015</v>
      </c>
      <c r="H6009" s="38" t="str">
        <f>VLOOKUP(B6009,CAJEROS!B:D,3,0)</f>
        <v>Dispensador</v>
      </c>
      <c r="I6009" s="34"/>
      <c r="J6009" s="38" t="str">
        <f>VLOOKUP(B6009,CAJEROS!B:E,4,0)</f>
        <v>SUC_ACACI2</v>
      </c>
      <c r="K6009" t="s">
        <v>610</v>
      </c>
    </row>
    <row r="6010" spans="1:11">
      <c r="A6010" s="32">
        <v>993</v>
      </c>
      <c r="B6010" s="33">
        <v>3469</v>
      </c>
      <c r="C6010" s="3">
        <v>280000</v>
      </c>
      <c r="D6010" s="3">
        <v>80000</v>
      </c>
      <c r="E6010" s="7">
        <f t="shared" si="114"/>
        <v>200000</v>
      </c>
      <c r="F6010" s="5">
        <v>45946</v>
      </c>
      <c r="G6010" s="4">
        <v>20251014</v>
      </c>
      <c r="H6010" s="38" t="str">
        <f>VLOOKUP(B6010,CAJEROS!B:D,3,0)</f>
        <v>Dispensador</v>
      </c>
      <c r="I6010" s="34"/>
      <c r="J6010" s="38" t="str">
        <f>VLOOKUP(B6010,CAJEROS!B:E,4,0)</f>
        <v>URRAO_1</v>
      </c>
      <c r="K6010" t="s">
        <v>610</v>
      </c>
    </row>
    <row r="6011" spans="1:11">
      <c r="A6011" s="32">
        <v>289</v>
      </c>
      <c r="B6011" s="33">
        <v>4593</v>
      </c>
      <c r="C6011" s="3">
        <v>2750000</v>
      </c>
      <c r="D6011" s="3">
        <v>2710000</v>
      </c>
      <c r="E6011" s="7">
        <f t="shared" si="114"/>
        <v>40000</v>
      </c>
      <c r="F6011" s="5">
        <v>45946</v>
      </c>
      <c r="G6011" s="4">
        <v>20251015</v>
      </c>
      <c r="H6011" s="38" t="str">
        <f>VLOOKUP(B6011,CAJEROS!B:D,3,0)</f>
        <v>Dispensador</v>
      </c>
      <c r="I6011" s="34" t="s">
        <v>9</v>
      </c>
      <c r="J6011" s="38" t="str">
        <f>VLOOKUP(B6011,CAJEROS!B:E,4,0)</f>
        <v>SUC_PGAIT3</v>
      </c>
      <c r="K6011" t="s">
        <v>610</v>
      </c>
    </row>
    <row r="6012" spans="1:11">
      <c r="A6012" s="32">
        <v>317</v>
      </c>
      <c r="B6012" s="33">
        <v>3402</v>
      </c>
      <c r="C6012" s="3">
        <v>70000</v>
      </c>
      <c r="D6012" s="3"/>
      <c r="E6012" s="7">
        <f t="shared" si="114"/>
        <v>70000</v>
      </c>
      <c r="F6012" s="5">
        <v>45946</v>
      </c>
      <c r="G6012" s="4">
        <v>20251015</v>
      </c>
      <c r="H6012" s="38" t="str">
        <f>VLOOKUP(B6012,CAJEROS!B:D,3,0)</f>
        <v>Dispensador</v>
      </c>
      <c r="I6012" s="34" t="s">
        <v>9</v>
      </c>
      <c r="J6012" s="38" t="str">
        <f>VLOOKUP(B6012,CAJEROS!B:E,4,0)</f>
        <v>SUCARAUCA_1</v>
      </c>
      <c r="K6012" t="s">
        <v>610</v>
      </c>
    </row>
    <row r="6013" spans="1:11">
      <c r="A6013" s="32">
        <v>335</v>
      </c>
      <c r="B6013" s="33">
        <v>5741</v>
      </c>
      <c r="C6013" s="3">
        <v>220000</v>
      </c>
      <c r="D6013" s="3">
        <v>200000</v>
      </c>
      <c r="E6013" s="7">
        <f t="shared" si="114"/>
        <v>20000</v>
      </c>
      <c r="F6013" s="5">
        <v>45946</v>
      </c>
      <c r="G6013" s="4">
        <v>20251015</v>
      </c>
      <c r="H6013" s="38" t="str">
        <f>VLOOKUP(B6013,CAJEROS!B:D,3,0)</f>
        <v>Dispensador</v>
      </c>
      <c r="I6013" s="34" t="s">
        <v>9</v>
      </c>
      <c r="J6013" s="38" t="str">
        <f>VLOOKUP(B6013,CAJEROS!B:E,4,0)</f>
        <v>SUC_CAJICA5</v>
      </c>
      <c r="K6013" t="s">
        <v>610</v>
      </c>
    </row>
    <row r="6014" spans="1:11">
      <c r="A6014" s="32">
        <v>348</v>
      </c>
      <c r="B6014" s="33">
        <v>9007</v>
      </c>
      <c r="C6014" s="3">
        <v>100000</v>
      </c>
      <c r="D6014" s="3"/>
      <c r="E6014" s="7">
        <f t="shared" si="114"/>
        <v>100000</v>
      </c>
      <c r="F6014" s="5">
        <v>45946</v>
      </c>
      <c r="G6014" s="4">
        <v>20251015</v>
      </c>
      <c r="H6014" s="38" t="str">
        <f>VLOOKUP(B6014,CAJEROS!B:D,3,0)</f>
        <v>Dispensador</v>
      </c>
      <c r="I6014" s="34" t="s">
        <v>9</v>
      </c>
      <c r="J6014" s="38" t="str">
        <f>VLOOKUP(B6014,CAJEROS!B:E,4,0)</f>
        <v>SUCSANDRES7</v>
      </c>
      <c r="K6014" t="s">
        <v>610</v>
      </c>
    </row>
    <row r="6015" spans="1:11">
      <c r="A6015" s="32">
        <v>360</v>
      </c>
      <c r="B6015" s="33">
        <v>2855</v>
      </c>
      <c r="C6015" s="3">
        <v>200000</v>
      </c>
      <c r="D6015" s="3"/>
      <c r="E6015" s="7">
        <f t="shared" si="114"/>
        <v>200000</v>
      </c>
      <c r="F6015" s="5">
        <v>45946</v>
      </c>
      <c r="G6015" s="4">
        <v>20251015</v>
      </c>
      <c r="H6015" s="38" t="str">
        <f>VLOOKUP(B6015,CAJEROS!B:D,3,0)</f>
        <v>Dispensador</v>
      </c>
      <c r="I6015" s="34" t="s">
        <v>9</v>
      </c>
      <c r="J6015" s="38" t="str">
        <f>VLOOKUP(B6015,CAJEROS!B:E,4,0)</f>
        <v>_ESTADIO_1_</v>
      </c>
      <c r="K6015" t="s">
        <v>610</v>
      </c>
    </row>
    <row r="6016" spans="1:11">
      <c r="A6016" s="32">
        <v>426</v>
      </c>
      <c r="B6016" s="33">
        <v>7819</v>
      </c>
      <c r="C6016" s="3">
        <v>100000</v>
      </c>
      <c r="D6016" s="3"/>
      <c r="E6016" s="7">
        <f t="shared" si="114"/>
        <v>100000</v>
      </c>
      <c r="F6016" s="5">
        <v>45946</v>
      </c>
      <c r="G6016" s="4">
        <v>20251015</v>
      </c>
      <c r="H6016" s="38" t="str">
        <f>VLOOKUP(B6016,CAJEROS!B:D,3,0)</f>
        <v>Dispensador</v>
      </c>
      <c r="I6016" s="34" t="s">
        <v>9</v>
      </c>
      <c r="J6016" s="38" t="str">
        <f>VLOOKUP(B6016,CAJEROS!B:E,4,0)</f>
        <v>PURIFICACI2</v>
      </c>
      <c r="K6016" t="s">
        <v>610</v>
      </c>
    </row>
    <row r="6017" spans="1:11">
      <c r="A6017" s="32">
        <v>476</v>
      </c>
      <c r="B6017" s="33">
        <v>9844</v>
      </c>
      <c r="C6017" s="3">
        <v>300000</v>
      </c>
      <c r="D6017" s="3"/>
      <c r="E6017" s="7">
        <f t="shared" si="114"/>
        <v>300000</v>
      </c>
      <c r="F6017" s="5">
        <v>45946</v>
      </c>
      <c r="G6017" s="4">
        <v>20251015</v>
      </c>
      <c r="H6017" s="38" t="str">
        <f>VLOOKUP(B6017,CAJEROS!B:D,3,0)</f>
        <v>Dispensador</v>
      </c>
      <c r="I6017" s="34" t="s">
        <v>9</v>
      </c>
      <c r="J6017" s="38" t="str">
        <f>VLOOKUP(B6017,CAJEROS!B:E,4,0)</f>
        <v>SUC_PAMPL3</v>
      </c>
      <c r="K6017" t="s">
        <v>610</v>
      </c>
    </row>
    <row r="6018" spans="1:11">
      <c r="A6018" s="32">
        <v>482</v>
      </c>
      <c r="B6018" s="33">
        <v>8620</v>
      </c>
      <c r="C6018" s="3">
        <v>100000</v>
      </c>
      <c r="D6018" s="3"/>
      <c r="E6018" s="7">
        <f t="shared" si="114"/>
        <v>100000</v>
      </c>
      <c r="F6018" s="5">
        <v>45946</v>
      </c>
      <c r="G6018" s="4">
        <v>20251015</v>
      </c>
      <c r="H6018" s="38" t="str">
        <f>VLOOKUP(B6018,CAJEROS!B:D,3,0)</f>
        <v>Dispensador</v>
      </c>
      <c r="I6018" s="34" t="s">
        <v>9</v>
      </c>
      <c r="J6018" s="38" t="str">
        <f>VLOOKUP(B6018,CAJEROS!B:E,4,0)</f>
        <v>SUC_CIENAG1</v>
      </c>
      <c r="K6018" t="s">
        <v>610</v>
      </c>
    </row>
    <row r="6019" spans="1:11">
      <c r="A6019" s="32">
        <v>584</v>
      </c>
      <c r="B6019" s="33">
        <v>6874</v>
      </c>
      <c r="C6019" s="3">
        <v>110000</v>
      </c>
      <c r="D6019" s="3"/>
      <c r="E6019" s="7">
        <f t="shared" si="114"/>
        <v>110000</v>
      </c>
      <c r="F6019" s="5">
        <v>45946</v>
      </c>
      <c r="G6019" s="4">
        <v>20251015</v>
      </c>
      <c r="H6019" s="38" t="str">
        <f>VLOOKUP(B6019,CAJEROS!B:D,3,0)</f>
        <v>Dispensador</v>
      </c>
      <c r="I6019" s="34" t="s">
        <v>9</v>
      </c>
      <c r="J6019" s="38" t="str">
        <f>VLOOKUP(B6019,CAJEROS!B:E,4,0)</f>
        <v>HALLCHIGOR2</v>
      </c>
      <c r="K6019" t="s">
        <v>610</v>
      </c>
    </row>
    <row r="6020" spans="1:11">
      <c r="A6020" s="32">
        <v>647</v>
      </c>
      <c r="B6020" s="33">
        <v>3862</v>
      </c>
      <c r="C6020" s="3">
        <v>410000</v>
      </c>
      <c r="D6020" s="3"/>
      <c r="E6020" s="7">
        <f t="shared" si="114"/>
        <v>410000</v>
      </c>
      <c r="F6020" s="5">
        <v>45946</v>
      </c>
      <c r="G6020" s="4">
        <v>20251015</v>
      </c>
      <c r="H6020" s="38" t="str">
        <f>VLOOKUP(B6020,CAJEROS!B:D,3,0)</f>
        <v>Dispensador</v>
      </c>
      <c r="I6020" s="34" t="s">
        <v>9</v>
      </c>
      <c r="J6020" s="38" t="str">
        <f>VLOOKUP(B6020,CAJEROS!B:E,4,0)</f>
        <v>SUC_MARINI1</v>
      </c>
      <c r="K6020" t="s">
        <v>610</v>
      </c>
    </row>
    <row r="6021" spans="1:11">
      <c r="A6021" s="32">
        <v>793</v>
      </c>
      <c r="B6021" s="33">
        <v>8469</v>
      </c>
      <c r="C6021" s="3">
        <v>7750000</v>
      </c>
      <c r="D6021" s="3"/>
      <c r="E6021" s="7">
        <f t="shared" si="114"/>
        <v>7750000</v>
      </c>
      <c r="F6021" s="5">
        <v>45946</v>
      </c>
      <c r="G6021" s="4">
        <v>20251015</v>
      </c>
      <c r="H6021" s="38" t="str">
        <f>VLOOKUP(B6021,CAJEROS!B:D,3,0)</f>
        <v>Dispensador</v>
      </c>
      <c r="I6021" s="34" t="s">
        <v>9</v>
      </c>
      <c r="J6021" s="38" t="str">
        <f>VLOOKUP(B6021,CAJEROS!B:E,4,0)</f>
        <v>OFPROFESI_1</v>
      </c>
      <c r="K6021" t="s">
        <v>610</v>
      </c>
    </row>
    <row r="6022" spans="1:11">
      <c r="A6022" s="32">
        <v>824</v>
      </c>
      <c r="B6022" s="33">
        <v>223</v>
      </c>
      <c r="C6022" s="3">
        <v>200000</v>
      </c>
      <c r="D6022" s="3">
        <v>190000</v>
      </c>
      <c r="E6022" s="7">
        <f t="shared" si="114"/>
        <v>10000</v>
      </c>
      <c r="F6022" s="5">
        <v>45946</v>
      </c>
      <c r="G6022" s="4">
        <v>20251015</v>
      </c>
      <c r="H6022" s="38" t="str">
        <f>VLOOKUP(B6022,CAJEROS!B:D,3,0)</f>
        <v>Dispensador</v>
      </c>
      <c r="I6022" s="34" t="s">
        <v>9</v>
      </c>
      <c r="J6022" s="38" t="str">
        <f>VLOOKUP(B6022,CAJEROS!B:E,4,0)</f>
        <v>SUCVENTPLZ5</v>
      </c>
      <c r="K6022" t="s">
        <v>610</v>
      </c>
    </row>
    <row r="6023" spans="1:11">
      <c r="A6023" s="32">
        <v>832</v>
      </c>
      <c r="B6023" s="33">
        <v>4767</v>
      </c>
      <c r="C6023" s="3">
        <v>200000</v>
      </c>
      <c r="D6023" s="3"/>
      <c r="E6023" s="7">
        <f t="shared" si="114"/>
        <v>200000</v>
      </c>
      <c r="F6023" s="5">
        <v>45946</v>
      </c>
      <c r="G6023" s="4">
        <v>20251015</v>
      </c>
      <c r="H6023" s="38" t="str">
        <f>VLOOKUP(B6023,CAJEROS!B:D,3,0)</f>
        <v>Dispensador</v>
      </c>
      <c r="I6023" s="34" t="s">
        <v>9</v>
      </c>
      <c r="J6023" s="38" t="str">
        <f>VLOOKUP(B6023,CAJEROS!B:E,4,0)</f>
        <v>SUC_SANTAN1</v>
      </c>
      <c r="K6023" t="s">
        <v>610</v>
      </c>
    </row>
    <row r="6024" spans="1:11">
      <c r="A6024" s="32">
        <v>848</v>
      </c>
      <c r="B6024" s="33">
        <v>4740</v>
      </c>
      <c r="C6024" s="3">
        <v>1500000</v>
      </c>
      <c r="D6024" s="3"/>
      <c r="E6024" s="7">
        <f t="shared" si="114"/>
        <v>1500000</v>
      </c>
      <c r="F6024" s="5">
        <v>45946</v>
      </c>
      <c r="G6024" s="4">
        <v>20251015</v>
      </c>
      <c r="H6024" s="38" t="str">
        <f>VLOOKUP(B6024,CAJEROS!B:D,3,0)</f>
        <v>Dispensador</v>
      </c>
      <c r="I6024" s="34" t="s">
        <v>9</v>
      </c>
      <c r="J6024" s="38" t="str">
        <f>VLOOKUP(B6024,CAJEROS!B:E,4,0)</f>
        <v>PQECABAL_3</v>
      </c>
      <c r="K6024" t="s">
        <v>610</v>
      </c>
    </row>
    <row r="6025" spans="1:11">
      <c r="A6025" s="32">
        <v>229</v>
      </c>
      <c r="B6025" s="33">
        <v>9605</v>
      </c>
      <c r="C6025" s="3">
        <v>115000</v>
      </c>
      <c r="D6025" s="3"/>
      <c r="E6025" s="7">
        <f t="shared" si="114"/>
        <v>115000</v>
      </c>
      <c r="F6025" s="5">
        <v>45946</v>
      </c>
      <c r="G6025" s="4">
        <v>20251010</v>
      </c>
      <c r="H6025" s="38" t="str">
        <f>VLOOKUP(B6025,CAJEROS!B:D,3,0)</f>
        <v>Multifuncional</v>
      </c>
      <c r="I6025" s="34"/>
      <c r="J6025" s="38" t="str">
        <f>VLOOKUP(B6025,CAJEROS!B:E,4,0)</f>
        <v>MFSUCPASER2</v>
      </c>
      <c r="K6025" t="s">
        <v>610</v>
      </c>
    </row>
    <row r="6026" spans="1:11">
      <c r="A6026" s="32">
        <v>481</v>
      </c>
      <c r="B6026" s="33">
        <v>1010</v>
      </c>
      <c r="C6026" s="3">
        <v>4696000</v>
      </c>
      <c r="D6026" s="3">
        <v>3970000</v>
      </c>
      <c r="E6026" s="7">
        <f t="shared" si="114"/>
        <v>726000</v>
      </c>
      <c r="F6026" s="5">
        <v>45946</v>
      </c>
      <c r="G6026" s="4">
        <v>20251010</v>
      </c>
      <c r="H6026" s="38" t="str">
        <f>VLOOKUP(B6026,CAJEROS!B:D,3,0)</f>
        <v>Multifuncional</v>
      </c>
      <c r="I6026" s="34"/>
      <c r="J6026" s="38" t="str">
        <f>VLOOKUP(B6026,CAJEROS!B:E,4,0)</f>
        <v>MF_SOLEDAD1</v>
      </c>
      <c r="K6026" t="s">
        <v>610</v>
      </c>
    </row>
    <row r="6027" spans="1:11">
      <c r="A6027" s="32">
        <v>481</v>
      </c>
      <c r="B6027" s="33">
        <v>1011</v>
      </c>
      <c r="C6027" s="3">
        <v>300000</v>
      </c>
      <c r="D6027" s="3"/>
      <c r="E6027" s="7">
        <f t="shared" ref="E6027:E6090" si="115">+C6027-D6027</f>
        <v>300000</v>
      </c>
      <c r="F6027" s="5">
        <v>45946</v>
      </c>
      <c r="G6027" s="4">
        <v>20251010</v>
      </c>
      <c r="H6027" s="38" t="str">
        <f>VLOOKUP(B6027,CAJEROS!B:D,3,0)</f>
        <v>Multifuncional</v>
      </c>
      <c r="I6027" s="34"/>
      <c r="J6027" s="38" t="str">
        <f>VLOOKUP(B6027,CAJEROS!B:E,4,0)</f>
        <v>MF_SOLEDAD2</v>
      </c>
      <c r="K6027" t="s">
        <v>610</v>
      </c>
    </row>
    <row r="6028" spans="1:11">
      <c r="A6028" s="32">
        <v>692</v>
      </c>
      <c r="B6028" s="33">
        <v>1516</v>
      </c>
      <c r="C6028" s="3">
        <v>17117800</v>
      </c>
      <c r="D6028" s="3"/>
      <c r="E6028" s="7">
        <f t="shared" si="115"/>
        <v>17117800</v>
      </c>
      <c r="F6028" s="5">
        <v>45946</v>
      </c>
      <c r="G6028" s="4">
        <v>20251010</v>
      </c>
      <c r="H6028" s="38" t="str">
        <f>VLOOKUP(B6028,CAJEROS!B:D,3,0)</f>
        <v>Multifuncional</v>
      </c>
      <c r="I6028" s="34"/>
      <c r="J6028" s="38" t="str">
        <f>VLOOKUP(B6028,CAJEROS!B:E,4,0)</f>
        <v>MFSUCALTPR2</v>
      </c>
      <c r="K6028" t="s">
        <v>610</v>
      </c>
    </row>
    <row r="6029" spans="1:11">
      <c r="A6029" s="32">
        <v>723</v>
      </c>
      <c r="B6029" s="33">
        <v>5046</v>
      </c>
      <c r="C6029" s="3">
        <v>65000</v>
      </c>
      <c r="D6029" s="3"/>
      <c r="E6029" s="7">
        <f t="shared" si="115"/>
        <v>65000</v>
      </c>
      <c r="F6029" s="5">
        <v>45946</v>
      </c>
      <c r="G6029" s="4">
        <v>20251010</v>
      </c>
      <c r="H6029" s="38" t="str">
        <f>VLOOKUP(B6029,CAJEROS!B:D,3,0)</f>
        <v>Multifuncional</v>
      </c>
      <c r="I6029" s="34"/>
      <c r="J6029" s="38" t="str">
        <f>VLOOKUP(B6029,CAJEROS!B:E,4,0)</f>
        <v>MF_PARBOLED</v>
      </c>
      <c r="K6029" t="s">
        <v>610</v>
      </c>
    </row>
    <row r="6030" spans="1:11">
      <c r="A6030" s="32">
        <v>894</v>
      </c>
      <c r="B6030" s="33">
        <v>6466</v>
      </c>
      <c r="C6030" s="3">
        <v>13640000</v>
      </c>
      <c r="D6030" s="3"/>
      <c r="E6030" s="7">
        <f t="shared" si="115"/>
        <v>13640000</v>
      </c>
      <c r="F6030" s="5">
        <v>45946</v>
      </c>
      <c r="G6030" s="4">
        <v>20251010</v>
      </c>
      <c r="H6030" s="38" t="str">
        <f>VLOOKUP(B6030,CAJEROS!B:D,3,0)</f>
        <v>Multifuncional</v>
      </c>
      <c r="I6030" s="34"/>
      <c r="J6030" s="38" t="str">
        <f>VLOOKUP(B6030,CAJEROS!B:E,4,0)</f>
        <v>MF_TUMACO</v>
      </c>
      <c r="K6030" t="s">
        <v>610</v>
      </c>
    </row>
    <row r="6031" spans="1:11">
      <c r="A6031" s="32">
        <v>32</v>
      </c>
      <c r="B6031" s="33">
        <v>5027</v>
      </c>
      <c r="C6031" s="3">
        <v>25000</v>
      </c>
      <c r="D6031" s="3"/>
      <c r="E6031" s="7">
        <f t="shared" si="115"/>
        <v>25000</v>
      </c>
      <c r="F6031" s="5">
        <v>45946</v>
      </c>
      <c r="G6031" s="4">
        <v>20251014</v>
      </c>
      <c r="H6031" s="38" t="str">
        <f>VLOOKUP(B6031,CAJEROS!B:D,3,0)</f>
        <v>Multifuncional</v>
      </c>
      <c r="I6031" s="34"/>
      <c r="J6031" s="38" t="str">
        <f>VLOOKUP(B6031,CAJEROS!B:E,4,0)</f>
        <v>MF_ANTCOUNT</v>
      </c>
      <c r="K6031" t="s">
        <v>610</v>
      </c>
    </row>
    <row r="6032" spans="1:11">
      <c r="A6032" s="32">
        <v>33</v>
      </c>
      <c r="B6032" s="33">
        <v>8861</v>
      </c>
      <c r="C6032" s="3">
        <v>3573000</v>
      </c>
      <c r="D6032" s="3">
        <f>2893000+657000</f>
        <v>3550000</v>
      </c>
      <c r="E6032" s="7">
        <f t="shared" si="115"/>
        <v>23000</v>
      </c>
      <c r="F6032" s="5">
        <v>45946</v>
      </c>
      <c r="G6032" s="4">
        <v>20251014</v>
      </c>
      <c r="H6032" s="38" t="str">
        <f>VLOOKUP(B6032,CAJEROS!B:D,3,0)</f>
        <v>Multifuncional</v>
      </c>
      <c r="I6032" s="34"/>
      <c r="J6032" s="38" t="str">
        <f>VLOOKUP(B6032,CAJEROS!B:E,4,0)</f>
        <v>MF_SPOLCLU1</v>
      </c>
      <c r="K6032" t="s">
        <v>610</v>
      </c>
    </row>
    <row r="6033" spans="1:11">
      <c r="A6033" s="32">
        <v>78</v>
      </c>
      <c r="B6033" s="33">
        <v>6246</v>
      </c>
      <c r="C6033" s="3">
        <v>1000000</v>
      </c>
      <c r="D6033" s="3"/>
      <c r="E6033" s="7">
        <f t="shared" si="115"/>
        <v>1000000</v>
      </c>
      <c r="F6033" s="5">
        <v>45946</v>
      </c>
      <c r="G6033" s="4">
        <v>20251014</v>
      </c>
      <c r="H6033" s="38" t="str">
        <f>VLOOKUP(B6033,CAJEROS!B:D,3,0)</f>
        <v>Multifuncional</v>
      </c>
      <c r="I6033" s="34"/>
      <c r="J6033" s="38" t="str">
        <f>VLOOKUP(B6033,CAJEROS!B:E,4,0)</f>
        <v>MF_CACIQUE</v>
      </c>
      <c r="K6033" t="s">
        <v>610</v>
      </c>
    </row>
    <row r="6034" spans="1:11">
      <c r="A6034" s="32">
        <v>236</v>
      </c>
      <c r="B6034" s="33">
        <v>6242</v>
      </c>
      <c r="C6034" s="3">
        <v>295300</v>
      </c>
      <c r="D6034" s="3"/>
      <c r="E6034" s="7">
        <f t="shared" si="115"/>
        <v>295300</v>
      </c>
      <c r="F6034" s="5">
        <v>45946</v>
      </c>
      <c r="G6034" s="4">
        <v>20251014</v>
      </c>
      <c r="H6034" s="38" t="str">
        <f>VLOOKUP(B6034,CAJEROS!B:D,3,0)</f>
        <v>Multifuncional</v>
      </c>
      <c r="I6034" s="34"/>
      <c r="J6034" s="38" t="str">
        <f>VLOOKUP(B6034,CAJEROS!B:E,4,0)</f>
        <v>MF_EXITCOLO</v>
      </c>
      <c r="K6034" t="s">
        <v>610</v>
      </c>
    </row>
    <row r="6035" spans="1:11">
      <c r="A6035" s="32">
        <v>236</v>
      </c>
      <c r="B6035" s="33">
        <v>8497</v>
      </c>
      <c r="C6035" s="3">
        <v>295150</v>
      </c>
      <c r="D6035" s="3"/>
      <c r="E6035" s="7">
        <f t="shared" si="115"/>
        <v>295150</v>
      </c>
      <c r="F6035" s="5">
        <v>45946</v>
      </c>
      <c r="G6035" s="4">
        <v>20251014</v>
      </c>
      <c r="H6035" s="38" t="str">
        <f>VLOOKUP(B6035,CAJEROS!B:D,3,0)</f>
        <v>Multifuncional</v>
      </c>
      <c r="I6035" s="34"/>
      <c r="J6035" s="38" t="str">
        <f>VLOOKUP(B6035,CAJEROS!B:E,4,0)</f>
        <v>MF_EXITCOL2</v>
      </c>
      <c r="K6035" t="s">
        <v>610</v>
      </c>
    </row>
    <row r="6036" spans="1:11">
      <c r="A6036" s="32">
        <v>279</v>
      </c>
      <c r="B6036" s="33">
        <v>5147</v>
      </c>
      <c r="C6036" s="3">
        <v>1000</v>
      </c>
      <c r="D6036" s="3"/>
      <c r="E6036" s="7">
        <f t="shared" si="115"/>
        <v>1000</v>
      </c>
      <c r="F6036" s="5">
        <v>45946</v>
      </c>
      <c r="G6036" s="4">
        <v>20251014</v>
      </c>
      <c r="H6036" s="38" t="str">
        <f>VLOOKUP(B6036,CAJEROS!B:D,3,0)</f>
        <v>Multifuncional</v>
      </c>
      <c r="I6036" s="34"/>
      <c r="J6036" s="38" t="str">
        <f>VLOOKUP(B6036,CAJEROS!B:E,4,0)</f>
        <v>MF_ITAGPARQ</v>
      </c>
      <c r="K6036" t="s">
        <v>610</v>
      </c>
    </row>
    <row r="6037" spans="1:11">
      <c r="A6037" s="32">
        <v>367</v>
      </c>
      <c r="B6037" s="33">
        <v>9580</v>
      </c>
      <c r="C6037" s="3">
        <v>315000</v>
      </c>
      <c r="D6037" s="3"/>
      <c r="E6037" s="7">
        <f t="shared" si="115"/>
        <v>315000</v>
      </c>
      <c r="F6037" s="5">
        <v>45946</v>
      </c>
      <c r="G6037" s="4">
        <v>20251014</v>
      </c>
      <c r="H6037" s="38" t="str">
        <f>VLOOKUP(B6037,CAJEROS!B:D,3,0)</f>
        <v>Multifuncional</v>
      </c>
      <c r="I6037" s="34"/>
      <c r="J6037" s="38" t="str">
        <f>VLOOKUP(B6037,CAJEROS!B:E,4,0)</f>
        <v>MF_SUCGRAN1</v>
      </c>
      <c r="K6037" t="s">
        <v>610</v>
      </c>
    </row>
    <row r="6038" spans="1:11">
      <c r="A6038" s="32">
        <v>495</v>
      </c>
      <c r="B6038" s="33">
        <v>8482</v>
      </c>
      <c r="C6038" s="3">
        <v>8600000</v>
      </c>
      <c r="D6038" s="3"/>
      <c r="E6038" s="7">
        <f t="shared" si="115"/>
        <v>8600000</v>
      </c>
      <c r="F6038" s="5">
        <v>45946</v>
      </c>
      <c r="G6038" s="4">
        <v>20251014</v>
      </c>
      <c r="H6038" s="38" t="str">
        <f>VLOOKUP(B6038,CAJEROS!B:D,3,0)</f>
        <v>Multifuncional</v>
      </c>
      <c r="I6038" s="34"/>
      <c r="J6038" s="38" t="str">
        <f>VLOOKUP(B6038,CAJEROS!B:E,4,0)</f>
        <v>MF_SUCBOSQ1</v>
      </c>
      <c r="K6038" t="s">
        <v>610</v>
      </c>
    </row>
    <row r="6039" spans="1:11">
      <c r="A6039" s="32">
        <v>556</v>
      </c>
      <c r="B6039" s="33">
        <v>8333</v>
      </c>
      <c r="C6039" s="3">
        <v>1165000</v>
      </c>
      <c r="D6039" s="3"/>
      <c r="E6039" s="7">
        <f t="shared" si="115"/>
        <v>1165000</v>
      </c>
      <c r="F6039" s="5">
        <v>45946</v>
      </c>
      <c r="G6039" s="4">
        <v>20251014</v>
      </c>
      <c r="H6039" s="38" t="str">
        <f>VLOOKUP(B6039,CAJEROS!B:D,3,0)</f>
        <v>Multifuncional</v>
      </c>
      <c r="I6039" s="34"/>
      <c r="J6039" s="38" t="str">
        <f>VLOOKUP(B6039,CAJEROS!B:E,4,0)</f>
        <v>MF_SCARVIB1</v>
      </c>
      <c r="K6039" t="s">
        <v>610</v>
      </c>
    </row>
    <row r="6040" spans="1:11">
      <c r="A6040" s="32">
        <v>664</v>
      </c>
      <c r="B6040" s="33">
        <v>5191</v>
      </c>
      <c r="C6040" s="3">
        <v>962000</v>
      </c>
      <c r="D6040" s="3"/>
      <c r="E6040" s="7">
        <f t="shared" si="115"/>
        <v>962000</v>
      </c>
      <c r="F6040" s="5">
        <v>45946</v>
      </c>
      <c r="G6040" s="4">
        <v>20251014</v>
      </c>
      <c r="H6040" s="38" t="str">
        <f>VLOOKUP(B6040,CAJEROS!B:D,3,0)</f>
        <v>Multifuncional</v>
      </c>
      <c r="I6040" s="34"/>
      <c r="J6040" s="38" t="str">
        <f>VLOOKUP(B6040,CAJEROS!B:E,4,0)</f>
        <v>MF_CORABAST</v>
      </c>
      <c r="K6040" t="s">
        <v>610</v>
      </c>
    </row>
    <row r="6041" spans="1:11">
      <c r="A6041" s="32">
        <v>667</v>
      </c>
      <c r="B6041" s="33">
        <v>5167</v>
      </c>
      <c r="C6041" s="3">
        <v>1000</v>
      </c>
      <c r="D6041" s="3"/>
      <c r="E6041" s="7">
        <f t="shared" si="115"/>
        <v>1000</v>
      </c>
      <c r="F6041" s="5">
        <v>45946</v>
      </c>
      <c r="G6041" s="4">
        <v>20251014</v>
      </c>
      <c r="H6041" s="38" t="str">
        <f>VLOOKUP(B6041,CAJEROS!B:D,3,0)</f>
        <v>Multifuncional</v>
      </c>
      <c r="I6041" s="34"/>
      <c r="J6041" s="38" t="str">
        <f>VLOOKUP(B6041,CAJEROS!B:E,4,0)</f>
        <v>MF_VALVANE1</v>
      </c>
      <c r="K6041" t="s">
        <v>610</v>
      </c>
    </row>
    <row r="6042" spans="1:11">
      <c r="A6042" s="32">
        <v>845</v>
      </c>
      <c r="B6042" s="33">
        <v>9232</v>
      </c>
      <c r="C6042" s="3">
        <v>9276000</v>
      </c>
      <c r="D6042" s="3"/>
      <c r="E6042" s="7">
        <f t="shared" si="115"/>
        <v>9276000</v>
      </c>
      <c r="F6042" s="5">
        <v>45946</v>
      </c>
      <c r="G6042" s="4">
        <v>20251014</v>
      </c>
      <c r="H6042" s="38" t="str">
        <f>VLOOKUP(B6042,CAJEROS!B:D,3,0)</f>
        <v>Multifuncional</v>
      </c>
      <c r="I6042" s="34"/>
      <c r="J6042" s="38" t="str">
        <f>VLOOKUP(B6042,CAJEROS!B:E,4,0)</f>
        <v>MFSUCLAPLT1</v>
      </c>
      <c r="K6042" t="s">
        <v>610</v>
      </c>
    </row>
    <row r="6043" spans="1:11">
      <c r="A6043" s="32">
        <v>879</v>
      </c>
      <c r="B6043" s="33">
        <v>5045</v>
      </c>
      <c r="C6043" s="3">
        <v>6679500</v>
      </c>
      <c r="D6043" s="3"/>
      <c r="E6043" s="7">
        <f t="shared" si="115"/>
        <v>6679500</v>
      </c>
      <c r="F6043" s="5">
        <v>45946</v>
      </c>
      <c r="G6043" s="4">
        <v>20251014</v>
      </c>
      <c r="H6043" s="38" t="str">
        <f>VLOOKUP(B6043,CAJEROS!B:D,3,0)</f>
        <v>Multifuncional</v>
      </c>
      <c r="I6043" s="34"/>
      <c r="J6043" s="38" t="str">
        <f>VLOOKUP(B6043,CAJEROS!B:E,4,0)</f>
        <v>MF_UNPASTO</v>
      </c>
      <c r="K6043" t="s">
        <v>610</v>
      </c>
    </row>
    <row r="6044" spans="1:11">
      <c r="A6044" s="32">
        <v>927</v>
      </c>
      <c r="B6044" s="33">
        <v>5143</v>
      </c>
      <c r="C6044" s="3">
        <v>3330000</v>
      </c>
      <c r="D6044" s="3"/>
      <c r="E6044" s="7">
        <f t="shared" si="115"/>
        <v>3330000</v>
      </c>
      <c r="F6044" s="5">
        <v>45946</v>
      </c>
      <c r="G6044" s="4">
        <v>20251014</v>
      </c>
      <c r="H6044" s="38" t="str">
        <f>VLOOKUP(B6044,CAJEROS!B:D,3,0)</f>
        <v>Multifuncional</v>
      </c>
      <c r="I6044" s="34"/>
      <c r="J6044" s="38" t="str">
        <f>VLOOKUP(B6044,CAJEROS!B:E,4,0)</f>
        <v>MF_SUCMOCOA</v>
      </c>
      <c r="K6044" t="s">
        <v>610</v>
      </c>
    </row>
    <row r="6045" spans="1:11">
      <c r="A6045" s="32">
        <v>40</v>
      </c>
      <c r="B6045" s="33">
        <v>5142</v>
      </c>
      <c r="C6045" s="3">
        <v>20000</v>
      </c>
      <c r="D6045" s="3"/>
      <c r="E6045" s="7">
        <f t="shared" si="115"/>
        <v>20000</v>
      </c>
      <c r="F6045" s="5">
        <v>45946</v>
      </c>
      <c r="G6045" s="4">
        <v>20251015</v>
      </c>
      <c r="H6045" s="38" t="str">
        <f>VLOOKUP(B6045,CAJEROS!B:D,3,0)</f>
        <v>Multifuncional</v>
      </c>
      <c r="I6045" s="34"/>
      <c r="J6045" s="38" t="str">
        <f>VLOOKUP(B6045,CAJEROS!B:E,4,0)</f>
        <v>MF_CENTRO93</v>
      </c>
      <c r="K6045" t="s">
        <v>610</v>
      </c>
    </row>
    <row r="6046" spans="1:11">
      <c r="A6046" s="32">
        <v>60</v>
      </c>
      <c r="B6046" s="33">
        <v>8728</v>
      </c>
      <c r="C6046" s="3">
        <v>104400</v>
      </c>
      <c r="D6046" s="3"/>
      <c r="E6046" s="7">
        <f t="shared" si="115"/>
        <v>104400</v>
      </c>
      <c r="F6046" s="5">
        <v>45946</v>
      </c>
      <c r="G6046" s="4">
        <v>20251015</v>
      </c>
      <c r="H6046" s="38" t="str">
        <f>VLOOKUP(B6046,CAJEROS!B:D,3,0)</f>
        <v>Multifuncional</v>
      </c>
      <c r="I6046" s="34"/>
      <c r="J6046" s="38" t="str">
        <f>VLOOKUP(B6046,CAJEROS!B:E,4,0)</f>
        <v>MF_HCALIPR2</v>
      </c>
      <c r="K6046" t="s">
        <v>610</v>
      </c>
    </row>
    <row r="6047" spans="1:11">
      <c r="A6047" s="32">
        <v>60</v>
      </c>
      <c r="B6047" s="33">
        <v>8729</v>
      </c>
      <c r="C6047" s="3">
        <v>6300</v>
      </c>
      <c r="D6047" s="3"/>
      <c r="E6047" s="7">
        <f t="shared" si="115"/>
        <v>6300</v>
      </c>
      <c r="F6047" s="5">
        <v>45946</v>
      </c>
      <c r="G6047" s="4">
        <v>20251015</v>
      </c>
      <c r="H6047" s="38" t="str">
        <f>VLOOKUP(B6047,CAJEROS!B:D,3,0)</f>
        <v>Multifuncional</v>
      </c>
      <c r="I6047" s="34"/>
      <c r="J6047" s="38" t="str">
        <f>VLOOKUP(B6047,CAJEROS!B:E,4,0)</f>
        <v>MF_HCALIPR3</v>
      </c>
      <c r="K6047" t="s">
        <v>610</v>
      </c>
    </row>
    <row r="6048" spans="1:11">
      <c r="A6048" s="32">
        <v>70</v>
      </c>
      <c r="B6048" s="33">
        <v>5164</v>
      </c>
      <c r="C6048" s="3">
        <v>195000</v>
      </c>
      <c r="D6048" s="3"/>
      <c r="E6048" s="7">
        <f t="shared" si="115"/>
        <v>195000</v>
      </c>
      <c r="F6048" s="5">
        <v>45946</v>
      </c>
      <c r="G6048" s="4">
        <v>20251015</v>
      </c>
      <c r="H6048" s="38" t="str">
        <f>VLOOKUP(B6048,CAJEROS!B:D,3,0)</f>
        <v>Multifuncional</v>
      </c>
      <c r="I6048" s="34"/>
      <c r="J6048" s="38" t="str">
        <f>VLOOKUP(B6048,CAJEROS!B:E,4,0)</f>
        <v>MF_MANIZALE</v>
      </c>
      <c r="K6048" t="s">
        <v>610</v>
      </c>
    </row>
    <row r="6049" spans="1:11">
      <c r="A6049" s="32">
        <v>138</v>
      </c>
      <c r="B6049" s="33">
        <v>6628</v>
      </c>
      <c r="C6049" s="3">
        <v>114000</v>
      </c>
      <c r="D6049" s="3"/>
      <c r="E6049" s="7">
        <f t="shared" si="115"/>
        <v>114000</v>
      </c>
      <c r="F6049" s="5">
        <v>45946</v>
      </c>
      <c r="G6049" s="4">
        <v>20251015</v>
      </c>
      <c r="H6049" s="38" t="str">
        <f>VLOOKUP(B6049,CAJEROS!B:D,3,0)</f>
        <v>Multifuncional</v>
      </c>
      <c r="I6049" s="34"/>
      <c r="J6049" s="38" t="str">
        <f>VLOOKUP(B6049,CAJEROS!B:E,4,0)</f>
        <v>MF_MOSQUERA</v>
      </c>
      <c r="K6049" t="s">
        <v>610</v>
      </c>
    </row>
    <row r="6050" spans="1:11">
      <c r="A6050" s="32">
        <v>197</v>
      </c>
      <c r="B6050" s="33">
        <v>5084</v>
      </c>
      <c r="C6050" s="3">
        <v>56000</v>
      </c>
      <c r="D6050" s="3"/>
      <c r="E6050" s="7">
        <f t="shared" si="115"/>
        <v>56000</v>
      </c>
      <c r="F6050" s="5">
        <v>45946</v>
      </c>
      <c r="G6050" s="4">
        <v>20251015</v>
      </c>
      <c r="H6050" s="38" t="str">
        <f>VLOOKUP(B6050,CAJEROS!B:D,3,0)</f>
        <v>Multifuncional</v>
      </c>
      <c r="I6050" s="34"/>
      <c r="J6050" s="38" t="str">
        <f>VLOOKUP(B6050,CAJEROS!B:E,4,0)</f>
        <v>MF_GUATAPUR</v>
      </c>
      <c r="K6050" t="s">
        <v>610</v>
      </c>
    </row>
    <row r="6051" spans="1:11">
      <c r="A6051" s="32">
        <v>250</v>
      </c>
      <c r="B6051" s="33">
        <v>5197</v>
      </c>
      <c r="C6051" s="3">
        <v>3450</v>
      </c>
      <c r="D6051" s="3"/>
      <c r="E6051" s="7">
        <f t="shared" si="115"/>
        <v>3450</v>
      </c>
      <c r="F6051" s="5">
        <v>45946</v>
      </c>
      <c r="G6051" s="4">
        <v>20251015</v>
      </c>
      <c r="H6051" s="38" t="str">
        <f>VLOOKUP(B6051,CAJEROS!B:D,3,0)</f>
        <v>Multifuncional</v>
      </c>
      <c r="I6051" s="34"/>
      <c r="J6051" s="38" t="str">
        <f>VLOOKUP(B6051,CAJEROS!B:E,4,0)</f>
        <v>MF_MODELIA</v>
      </c>
      <c r="K6051" t="s">
        <v>610</v>
      </c>
    </row>
    <row r="6052" spans="1:11">
      <c r="A6052" s="32">
        <v>467</v>
      </c>
      <c r="B6052" s="33">
        <v>9051</v>
      </c>
      <c r="C6052" s="3">
        <v>223750</v>
      </c>
      <c r="D6052" s="3"/>
      <c r="E6052" s="7">
        <f t="shared" si="115"/>
        <v>223750</v>
      </c>
      <c r="F6052" s="5">
        <v>45946</v>
      </c>
      <c r="G6052" s="4">
        <v>20251015</v>
      </c>
      <c r="H6052" s="38" t="str">
        <f>VLOOKUP(B6052,CAJEROS!B:D,3,0)</f>
        <v>Multifuncional</v>
      </c>
      <c r="I6052" s="34"/>
      <c r="J6052" s="38" t="str">
        <f>VLOOKUP(B6052,CAJEROS!B:E,4,0)</f>
        <v>MFHDVERPLZ1</v>
      </c>
      <c r="K6052" t="s">
        <v>610</v>
      </c>
    </row>
    <row r="6053" spans="1:11">
      <c r="A6053" s="32">
        <v>467</v>
      </c>
      <c r="B6053" s="33">
        <v>9052</v>
      </c>
      <c r="C6053" s="3">
        <v>1940800</v>
      </c>
      <c r="D6053" s="3"/>
      <c r="E6053" s="7">
        <f t="shared" si="115"/>
        <v>1940800</v>
      </c>
      <c r="F6053" s="5">
        <v>45946</v>
      </c>
      <c r="G6053" s="4">
        <v>20251015</v>
      </c>
      <c r="H6053" s="38" t="str">
        <f>VLOOKUP(B6053,CAJEROS!B:D,3,0)</f>
        <v>Multifuncional</v>
      </c>
      <c r="I6053" s="34"/>
      <c r="J6053" s="38" t="str">
        <f>VLOOKUP(B6053,CAJEROS!B:E,4,0)</f>
        <v>MFHDVERPLZ2</v>
      </c>
      <c r="K6053" t="s">
        <v>610</v>
      </c>
    </row>
    <row r="6054" spans="1:11">
      <c r="A6054" s="32">
        <v>499</v>
      </c>
      <c r="B6054" s="33">
        <v>9810</v>
      </c>
      <c r="C6054" s="3">
        <v>12041750</v>
      </c>
      <c r="D6054" s="3"/>
      <c r="E6054" s="7">
        <f t="shared" si="115"/>
        <v>12041750</v>
      </c>
      <c r="F6054" s="5">
        <v>45946</v>
      </c>
      <c r="G6054" s="4">
        <v>20251015</v>
      </c>
      <c r="H6054" s="38" t="str">
        <f>VLOOKUP(B6054,CAJEROS!B:D,3,0)</f>
        <v>Multifuncional</v>
      </c>
      <c r="I6054" s="34"/>
      <c r="J6054" s="38" t="str">
        <f>VLOOKUP(B6054,CAJEROS!B:E,4,0)</f>
        <v>MF_SUCPARF1</v>
      </c>
      <c r="K6054" t="s">
        <v>610</v>
      </c>
    </row>
    <row r="6055" spans="1:11">
      <c r="A6055" s="32">
        <v>541</v>
      </c>
      <c r="B6055" s="33">
        <v>8660</v>
      </c>
      <c r="C6055" s="3">
        <v>4410000</v>
      </c>
      <c r="D6055" s="3"/>
      <c r="E6055" s="7">
        <f t="shared" si="115"/>
        <v>4410000</v>
      </c>
      <c r="F6055" s="5">
        <v>45946</v>
      </c>
      <c r="G6055" s="4">
        <v>20251015</v>
      </c>
      <c r="H6055" s="38" t="str">
        <f>VLOOKUP(B6055,CAJEROS!B:D,3,0)</f>
        <v>Multifuncional</v>
      </c>
      <c r="I6055" s="34"/>
      <c r="J6055" s="38" t="str">
        <f>VLOOKUP(B6055,CAJEROS!B:E,4,0)</f>
        <v>MF_SUCCALP2</v>
      </c>
      <c r="K6055" t="s">
        <v>610</v>
      </c>
    </row>
    <row r="6056" spans="1:11">
      <c r="A6056" s="32">
        <v>609</v>
      </c>
      <c r="B6056" s="33">
        <v>7888</v>
      </c>
      <c r="C6056" s="3">
        <v>6870000</v>
      </c>
      <c r="D6056" s="3"/>
      <c r="E6056" s="7">
        <f t="shared" si="115"/>
        <v>6870000</v>
      </c>
      <c r="F6056" s="5">
        <v>45946</v>
      </c>
      <c r="G6056" s="4">
        <v>20251015</v>
      </c>
      <c r="H6056" s="38" t="str">
        <f>VLOOKUP(B6056,CAJEROS!B:D,3,0)</f>
        <v>Multifuncional</v>
      </c>
      <c r="I6056" s="34"/>
      <c r="J6056" s="38" t="str">
        <f>VLOOKUP(B6056,CAJEROS!B:E,4,0)</f>
        <v>MFSUCABAST2</v>
      </c>
      <c r="K6056" t="s">
        <v>610</v>
      </c>
    </row>
    <row r="6057" spans="1:11">
      <c r="A6057" s="32">
        <v>656</v>
      </c>
      <c r="B6057" s="33">
        <v>5103</v>
      </c>
      <c r="C6057" s="3">
        <v>5960000</v>
      </c>
      <c r="D6057" s="3"/>
      <c r="E6057" s="7">
        <f t="shared" si="115"/>
        <v>5960000</v>
      </c>
      <c r="F6057" s="5">
        <v>45946</v>
      </c>
      <c r="G6057" s="4">
        <v>20251015</v>
      </c>
      <c r="H6057" s="38" t="str">
        <f>VLOOKUP(B6057,CAJEROS!B:D,3,0)</f>
        <v>Multifuncional</v>
      </c>
      <c r="I6057" s="34"/>
      <c r="J6057" s="38" t="str">
        <f>VLOOKUP(B6057,CAJEROS!B:E,4,0)</f>
        <v>MF_MAYPLAZA</v>
      </c>
      <c r="K6057" t="s">
        <v>610</v>
      </c>
    </row>
    <row r="6058" spans="1:11">
      <c r="A6058" s="32">
        <v>718</v>
      </c>
      <c r="B6058" s="33">
        <v>6248</v>
      </c>
      <c r="C6058" s="3">
        <v>101503900</v>
      </c>
      <c r="D6058" s="3"/>
      <c r="E6058" s="7">
        <f t="shared" si="115"/>
        <v>101503900</v>
      </c>
      <c r="F6058" s="5">
        <v>45946</v>
      </c>
      <c r="G6058" s="4">
        <v>20251015</v>
      </c>
      <c r="H6058" s="38" t="str">
        <f>VLOOKUP(B6058,CAJEROS!B:D,3,0)</f>
        <v>Multifuncional</v>
      </c>
      <c r="I6058" s="34"/>
      <c r="J6058" s="38" t="str">
        <f>VLOOKUP(B6058,CAJEROS!B:E,4,0)</f>
        <v>MF_LAESTACI</v>
      </c>
      <c r="K6058" t="s">
        <v>610</v>
      </c>
    </row>
    <row r="6059" spans="1:11">
      <c r="A6059" s="32">
        <v>779</v>
      </c>
      <c r="B6059" s="33">
        <v>5013</v>
      </c>
      <c r="C6059" s="3">
        <v>1360000</v>
      </c>
      <c r="D6059" s="3"/>
      <c r="E6059" s="7">
        <f t="shared" si="115"/>
        <v>1360000</v>
      </c>
      <c r="F6059" s="5">
        <v>45946</v>
      </c>
      <c r="G6059" s="4">
        <v>20251015</v>
      </c>
      <c r="H6059" s="38" t="str">
        <f>VLOOKUP(B6059,CAJEROS!B:D,3,0)</f>
        <v>Multifuncional</v>
      </c>
      <c r="I6059" s="34"/>
      <c r="J6059" s="38" t="str">
        <f>VLOOKUP(B6059,CAJEROS!B:E,4,0)</f>
        <v>MF_BUENASM1</v>
      </c>
      <c r="K6059" t="s">
        <v>610</v>
      </c>
    </row>
    <row r="6060" spans="1:11">
      <c r="A6060" s="32">
        <v>779</v>
      </c>
      <c r="B6060" s="33">
        <v>8684</v>
      </c>
      <c r="C6060" s="3">
        <v>15509550</v>
      </c>
      <c r="D6060" s="3"/>
      <c r="E6060" s="7">
        <f t="shared" si="115"/>
        <v>15509550</v>
      </c>
      <c r="F6060" s="5">
        <v>45946</v>
      </c>
      <c r="G6060" s="4">
        <v>20251015</v>
      </c>
      <c r="H6060" s="38" t="str">
        <f>VLOOKUP(B6060,CAJEROS!B:D,3,0)</f>
        <v>Multifuncional</v>
      </c>
      <c r="I6060" s="34"/>
      <c r="J6060" s="38" t="str">
        <f>VLOOKUP(B6060,CAJEROS!B:E,4,0)</f>
        <v>MF_BUENVSM2</v>
      </c>
      <c r="K6060" t="s">
        <v>610</v>
      </c>
    </row>
    <row r="6061" spans="1:11">
      <c r="A6061" s="32">
        <v>19</v>
      </c>
      <c r="B6061" s="33">
        <v>1449</v>
      </c>
      <c r="C6061" s="3">
        <v>3640000</v>
      </c>
      <c r="D6061" s="3"/>
      <c r="E6061" s="7">
        <f t="shared" si="115"/>
        <v>3640000</v>
      </c>
      <c r="F6061" s="5">
        <v>45947</v>
      </c>
      <c r="G6061" s="4">
        <v>20251016</v>
      </c>
      <c r="H6061" s="38" t="str">
        <f>VLOOKUP(B6061,CAJEROS!B:D,3,0)</f>
        <v>Dispensador</v>
      </c>
      <c r="I6061" s="34"/>
      <c r="J6061" s="38" t="str">
        <f>VLOOKUP(B6061,CAJEROS!B:E,4,0)</f>
        <v>ENVIGADO_2</v>
      </c>
      <c r="K6061" t="s">
        <v>610</v>
      </c>
    </row>
    <row r="6062" spans="1:11">
      <c r="A6062" s="32">
        <v>153</v>
      </c>
      <c r="B6062" s="33">
        <v>9879</v>
      </c>
      <c r="C6062" s="3">
        <v>50000</v>
      </c>
      <c r="D6062" s="3"/>
      <c r="E6062" s="7">
        <f t="shared" si="115"/>
        <v>50000</v>
      </c>
      <c r="F6062" s="5">
        <v>45947</v>
      </c>
      <c r="G6062" s="4">
        <v>20251016</v>
      </c>
      <c r="H6062" s="38" t="str">
        <f>VLOOKUP(B6062,CAJEROS!B:D,3,0)</f>
        <v>Dispensador</v>
      </c>
      <c r="I6062" s="34"/>
      <c r="J6062" s="38" t="str">
        <f>VLOOKUP(B6062,CAJEROS!B:E,4,0)</f>
        <v>EXITOIBAG_1</v>
      </c>
      <c r="K6062" t="s">
        <v>610</v>
      </c>
    </row>
    <row r="6063" spans="1:11">
      <c r="A6063" s="32">
        <v>240</v>
      </c>
      <c r="B6063" s="33">
        <v>4510</v>
      </c>
      <c r="C6063" s="3">
        <v>850000</v>
      </c>
      <c r="D6063" s="3"/>
      <c r="E6063" s="7">
        <f t="shared" si="115"/>
        <v>850000</v>
      </c>
      <c r="F6063" s="5">
        <v>45947</v>
      </c>
      <c r="G6063" s="4">
        <v>20251016</v>
      </c>
      <c r="H6063" s="38" t="str">
        <f>VLOOKUP(B6063,CAJEROS!B:D,3,0)</f>
        <v>Dispensador</v>
      </c>
      <c r="I6063" s="34"/>
      <c r="J6063" s="38" t="str">
        <f>VLOOKUP(B6063,CAJEROS!B:E,4,0)</f>
        <v>SUC_SANTFE1</v>
      </c>
      <c r="K6063" t="s">
        <v>610</v>
      </c>
    </row>
    <row r="6064" spans="1:11">
      <c r="A6064" s="32">
        <v>305</v>
      </c>
      <c r="B6064" s="33">
        <v>4897</v>
      </c>
      <c r="C6064" s="3">
        <v>750000</v>
      </c>
      <c r="D6064" s="3"/>
      <c r="E6064" s="7">
        <f t="shared" si="115"/>
        <v>750000</v>
      </c>
      <c r="F6064" s="5">
        <v>45947</v>
      </c>
      <c r="G6064" s="4">
        <v>20251016</v>
      </c>
      <c r="H6064" s="38" t="str">
        <f>VLOOKUP(B6064,CAJEROS!B:D,3,0)</f>
        <v>Dispensador</v>
      </c>
      <c r="I6064" s="34"/>
      <c r="J6064" s="38" t="str">
        <f>VLOOKUP(B6064,CAJEROS!B:E,4,0)</f>
        <v>SUC_VILLAN3</v>
      </c>
      <c r="K6064" t="s">
        <v>610</v>
      </c>
    </row>
    <row r="6065" spans="1:11">
      <c r="A6065" s="32">
        <v>305</v>
      </c>
      <c r="B6065" s="33">
        <v>7722</v>
      </c>
      <c r="C6065" s="3">
        <v>500000</v>
      </c>
      <c r="D6065" s="3"/>
      <c r="E6065" s="7">
        <f t="shared" si="115"/>
        <v>500000</v>
      </c>
      <c r="F6065" s="5">
        <v>45947</v>
      </c>
      <c r="G6065" s="4">
        <v>20251016</v>
      </c>
      <c r="H6065" s="38" t="str">
        <f>VLOOKUP(B6065,CAJEROS!B:D,3,0)</f>
        <v>Dispensador</v>
      </c>
      <c r="I6065" s="34"/>
      <c r="J6065" s="38" t="str">
        <f>VLOOKUP(B6065,CAJEROS!B:E,4,0)</f>
        <v>VILLACASAN4</v>
      </c>
      <c r="K6065" t="s">
        <v>610</v>
      </c>
    </row>
    <row r="6066" spans="1:11">
      <c r="A6066" s="32">
        <v>317</v>
      </c>
      <c r="B6066" s="33">
        <v>3402</v>
      </c>
      <c r="C6066" s="3">
        <v>240000</v>
      </c>
      <c r="D6066" s="3"/>
      <c r="E6066" s="7">
        <f t="shared" si="115"/>
        <v>240000</v>
      </c>
      <c r="F6066" s="5">
        <v>45947</v>
      </c>
      <c r="G6066" s="4">
        <v>20251016</v>
      </c>
      <c r="H6066" s="38" t="str">
        <f>VLOOKUP(B6066,CAJEROS!B:D,3,0)</f>
        <v>Dispensador</v>
      </c>
      <c r="I6066" s="34"/>
      <c r="J6066" s="38" t="str">
        <f>VLOOKUP(B6066,CAJEROS!B:E,4,0)</f>
        <v>SUCARAUCA_1</v>
      </c>
      <c r="K6066" t="s">
        <v>610</v>
      </c>
    </row>
    <row r="6067" spans="1:11">
      <c r="A6067" s="32">
        <v>317</v>
      </c>
      <c r="B6067" s="33">
        <v>3404</v>
      </c>
      <c r="C6067" s="3">
        <v>20000</v>
      </c>
      <c r="D6067" s="3"/>
      <c r="E6067" s="7">
        <f t="shared" si="115"/>
        <v>20000</v>
      </c>
      <c r="F6067" s="5">
        <v>45947</v>
      </c>
      <c r="G6067" s="4">
        <v>20251016</v>
      </c>
      <c r="H6067" s="38" t="str">
        <f>VLOOKUP(B6067,CAJEROS!B:D,3,0)</f>
        <v>Dispensador</v>
      </c>
      <c r="I6067" s="34"/>
      <c r="J6067" s="38" t="str">
        <f>VLOOKUP(B6067,CAJEROS!B:E,4,0)</f>
        <v>SUCARAUCA_3</v>
      </c>
      <c r="K6067" t="s">
        <v>610</v>
      </c>
    </row>
    <row r="6068" spans="1:11">
      <c r="A6068" s="32">
        <v>317</v>
      </c>
      <c r="B6068" s="33">
        <v>9730</v>
      </c>
      <c r="C6068" s="3">
        <v>500000</v>
      </c>
      <c r="D6068" s="3"/>
      <c r="E6068" s="7">
        <f t="shared" si="115"/>
        <v>500000</v>
      </c>
      <c r="F6068" s="5">
        <v>45947</v>
      </c>
      <c r="G6068" s="4">
        <v>20251016</v>
      </c>
      <c r="H6068" s="38" t="str">
        <f>VLOOKUP(B6068,CAJEROS!B:D,3,0)</f>
        <v>Dispensador</v>
      </c>
      <c r="I6068" s="34"/>
      <c r="J6068" s="38" t="str">
        <f>VLOOKUP(B6068,CAJEROS!B:E,4,0)</f>
        <v>SUCARAUCA_5</v>
      </c>
      <c r="K6068" t="s">
        <v>610</v>
      </c>
    </row>
    <row r="6069" spans="1:11">
      <c r="A6069" s="32">
        <v>325</v>
      </c>
      <c r="B6069" s="33">
        <v>5574</v>
      </c>
      <c r="C6069" s="3">
        <v>1360000</v>
      </c>
      <c r="D6069" s="3"/>
      <c r="E6069" s="7">
        <f t="shared" si="115"/>
        <v>1360000</v>
      </c>
      <c r="F6069" s="5">
        <v>45947</v>
      </c>
      <c r="G6069" s="4">
        <v>20251016</v>
      </c>
      <c r="H6069" s="38" t="str">
        <f>VLOOKUP(B6069,CAJEROS!B:D,3,0)</f>
        <v>Dispensador</v>
      </c>
      <c r="I6069" s="34"/>
      <c r="J6069" s="38" t="str">
        <f>VLOOKUP(B6069,CAJEROS!B:E,4,0)</f>
        <v>SANTUARI1</v>
      </c>
      <c r="K6069" t="s">
        <v>610</v>
      </c>
    </row>
    <row r="6070" spans="1:11">
      <c r="A6070" s="32">
        <v>325</v>
      </c>
      <c r="B6070" s="33">
        <v>5575</v>
      </c>
      <c r="C6070" s="3">
        <v>1700000</v>
      </c>
      <c r="D6070" s="3"/>
      <c r="E6070" s="7">
        <f t="shared" si="115"/>
        <v>1700000</v>
      </c>
      <c r="F6070" s="5">
        <v>45947</v>
      </c>
      <c r="G6070" s="4">
        <v>20251016</v>
      </c>
      <c r="H6070" s="38" t="str">
        <f>VLOOKUP(B6070,CAJEROS!B:D,3,0)</f>
        <v>Dispensador</v>
      </c>
      <c r="I6070" s="34"/>
      <c r="J6070" s="38" t="str">
        <f>VLOOKUP(B6070,CAJEROS!B:E,4,0)</f>
        <v>SANTUARI2</v>
      </c>
      <c r="K6070" t="s">
        <v>610</v>
      </c>
    </row>
    <row r="6071" spans="1:11">
      <c r="A6071" s="32">
        <v>331</v>
      </c>
      <c r="B6071" s="33">
        <v>8343</v>
      </c>
      <c r="C6071" s="3">
        <v>20000</v>
      </c>
      <c r="D6071" s="3"/>
      <c r="E6071" s="7">
        <f t="shared" si="115"/>
        <v>20000</v>
      </c>
      <c r="F6071" s="5">
        <v>45947</v>
      </c>
      <c r="G6071" s="4">
        <v>20251016</v>
      </c>
      <c r="H6071" s="38" t="str">
        <f>VLOOKUP(B6071,CAJEROS!B:D,3,0)</f>
        <v>Dispensador</v>
      </c>
      <c r="I6071" s="34"/>
      <c r="J6071" s="38" t="str">
        <f>VLOOKUP(B6071,CAJEROS!B:E,4,0)</f>
        <v>SUCARKADIA2</v>
      </c>
      <c r="K6071" t="s">
        <v>610</v>
      </c>
    </row>
    <row r="6072" spans="1:11">
      <c r="A6072" s="32">
        <v>392</v>
      </c>
      <c r="B6072" s="33">
        <v>4890</v>
      </c>
      <c r="C6072" s="3">
        <v>50000</v>
      </c>
      <c r="D6072" s="3"/>
      <c r="E6072" s="7">
        <f t="shared" si="115"/>
        <v>50000</v>
      </c>
      <c r="F6072" s="5">
        <v>45947</v>
      </c>
      <c r="G6072" s="4">
        <v>20251016</v>
      </c>
      <c r="H6072" s="38" t="str">
        <f>VLOOKUP(B6072,CAJEROS!B:D,3,0)</f>
        <v>Dispensador</v>
      </c>
      <c r="I6072" s="34"/>
      <c r="J6072" s="38" t="str">
        <f>VLOOKUP(B6072,CAJEROS!B:E,4,0)</f>
        <v>LADORADA3</v>
      </c>
      <c r="K6072" t="s">
        <v>610</v>
      </c>
    </row>
    <row r="6073" spans="1:11">
      <c r="A6073" s="32">
        <v>439</v>
      </c>
      <c r="B6073" s="33">
        <v>6309</v>
      </c>
      <c r="C6073" s="3">
        <v>1200000</v>
      </c>
      <c r="D6073" s="3"/>
      <c r="E6073" s="7">
        <f t="shared" si="115"/>
        <v>1200000</v>
      </c>
      <c r="F6073" s="5">
        <v>45947</v>
      </c>
      <c r="G6073" s="4">
        <v>20251016</v>
      </c>
      <c r="H6073" s="38" t="str">
        <f>VLOOKUP(B6073,CAJEROS!B:D,3,0)</f>
        <v>Dispensador</v>
      </c>
      <c r="I6073" s="34"/>
      <c r="J6073" s="38" t="str">
        <f>VLOOKUP(B6073,CAJEROS!B:E,4,0)</f>
        <v>SUC_CAJAMA2</v>
      </c>
      <c r="K6073" t="s">
        <v>610</v>
      </c>
    </row>
    <row r="6074" spans="1:11">
      <c r="A6074" s="32">
        <v>556</v>
      </c>
      <c r="B6074" s="33">
        <v>8335</v>
      </c>
      <c r="C6074" s="3">
        <v>200000</v>
      </c>
      <c r="D6074" s="3"/>
      <c r="E6074" s="7">
        <f t="shared" si="115"/>
        <v>200000</v>
      </c>
      <c r="F6074" s="5">
        <v>45947</v>
      </c>
      <c r="G6074" s="4">
        <v>20251016</v>
      </c>
      <c r="H6074" s="38" t="str">
        <f>VLOOKUP(B6074,CAJEROS!B:D,3,0)</f>
        <v>Dispensador</v>
      </c>
      <c r="I6074" s="34"/>
      <c r="J6074" s="38" t="str">
        <f>VLOOKUP(B6074,CAJEROS!B:E,4,0)</f>
        <v>SUCCARVIBO2</v>
      </c>
      <c r="K6074" t="s">
        <v>610</v>
      </c>
    </row>
    <row r="6075" spans="1:11">
      <c r="A6075" s="32">
        <v>743</v>
      </c>
      <c r="B6075" s="33">
        <v>5696</v>
      </c>
      <c r="C6075" s="3">
        <v>50000</v>
      </c>
      <c r="D6075" s="3"/>
      <c r="E6075" s="7">
        <f t="shared" si="115"/>
        <v>50000</v>
      </c>
      <c r="F6075" s="5">
        <v>45947</v>
      </c>
      <c r="G6075" s="4">
        <v>20251016</v>
      </c>
      <c r="H6075" s="38" t="str">
        <f>VLOOKUP(B6075,CAJEROS!B:D,3,0)</f>
        <v>Dispensador</v>
      </c>
      <c r="I6075" s="34"/>
      <c r="J6075" s="38" t="str">
        <f>VLOOKUP(B6075,CAJEROS!B:E,4,0)</f>
        <v>SUC_NORTHP2</v>
      </c>
      <c r="K6075" t="s">
        <v>610</v>
      </c>
    </row>
    <row r="6076" spans="1:11">
      <c r="A6076" s="32">
        <v>743</v>
      </c>
      <c r="B6076" s="33">
        <v>5697</v>
      </c>
      <c r="C6076" s="3">
        <v>3350000</v>
      </c>
      <c r="D6076" s="3">
        <v>20000</v>
      </c>
      <c r="E6076" s="7">
        <f t="shared" si="115"/>
        <v>3330000</v>
      </c>
      <c r="F6076" s="5">
        <v>45947</v>
      </c>
      <c r="G6076" s="4">
        <v>20251016</v>
      </c>
      <c r="H6076" s="38" t="str">
        <f>VLOOKUP(B6076,CAJEROS!B:D,3,0)</f>
        <v>Dispensador</v>
      </c>
      <c r="I6076" s="34"/>
      <c r="J6076" s="38" t="str">
        <f>VLOOKUP(B6076,CAJEROS!B:E,4,0)</f>
        <v>SUC_NORTHP3</v>
      </c>
      <c r="K6076" t="s">
        <v>610</v>
      </c>
    </row>
    <row r="6077" spans="1:11">
      <c r="A6077" s="32">
        <v>863</v>
      </c>
      <c r="B6077" s="33">
        <v>3488</v>
      </c>
      <c r="C6077" s="3">
        <v>200000</v>
      </c>
      <c r="D6077" s="3"/>
      <c r="E6077" s="7">
        <f t="shared" si="115"/>
        <v>200000</v>
      </c>
      <c r="F6077" s="5">
        <v>45947</v>
      </c>
      <c r="G6077" s="4">
        <v>20251016</v>
      </c>
      <c r="H6077" s="38" t="str">
        <f>VLOOKUP(B6077,CAJEROS!B:D,3,0)</f>
        <v>Dispensador</v>
      </c>
      <c r="I6077" s="34"/>
      <c r="J6077" s="38" t="str">
        <f>VLOOKUP(B6077,CAJEROS!B:E,4,0)</f>
        <v>LOSPATIOS</v>
      </c>
      <c r="K6077" t="s">
        <v>610</v>
      </c>
    </row>
    <row r="6078" spans="1:11">
      <c r="A6078" s="32">
        <v>907</v>
      </c>
      <c r="B6078" s="33">
        <v>5547</v>
      </c>
      <c r="C6078" s="3">
        <v>20000</v>
      </c>
      <c r="D6078" s="3"/>
      <c r="E6078" s="7">
        <f t="shared" si="115"/>
        <v>20000</v>
      </c>
      <c r="F6078" s="5">
        <v>45947</v>
      </c>
      <c r="G6078" s="4">
        <v>20251016</v>
      </c>
      <c r="H6078" s="38" t="str">
        <f>VLOOKUP(B6078,CAJEROS!B:D,3,0)</f>
        <v>Dispensador</v>
      </c>
      <c r="I6078" s="34"/>
      <c r="J6078" s="38" t="str">
        <f>VLOOKUP(B6078,CAJEROS!B:E,4,0)</f>
        <v>LAFRONTER1</v>
      </c>
      <c r="K6078" t="s">
        <v>610</v>
      </c>
    </row>
    <row r="6079" spans="1:11">
      <c r="A6079" s="32">
        <v>966</v>
      </c>
      <c r="B6079" s="33">
        <v>9942</v>
      </c>
      <c r="C6079" s="3">
        <v>10000</v>
      </c>
      <c r="D6079" s="3"/>
      <c r="E6079" s="7">
        <f t="shared" si="115"/>
        <v>10000</v>
      </c>
      <c r="F6079" s="5">
        <v>45947</v>
      </c>
      <c r="G6079" s="4">
        <v>20251016</v>
      </c>
      <c r="H6079" s="38" t="str">
        <f>VLOOKUP(B6079,CAJEROS!B:D,3,0)</f>
        <v>Dispensador</v>
      </c>
      <c r="I6079" s="34"/>
      <c r="J6079" s="38" t="str">
        <f>VLOOKUP(B6079,CAJEROS!B:E,4,0)</f>
        <v>HALLSUCMTE2</v>
      </c>
      <c r="K6079" t="s">
        <v>610</v>
      </c>
    </row>
    <row r="6080" spans="1:11">
      <c r="A6080" s="32">
        <v>153</v>
      </c>
      <c r="B6080" s="33">
        <v>9881</v>
      </c>
      <c r="C6080" s="3">
        <v>140000</v>
      </c>
      <c r="D6080" s="3">
        <v>120000</v>
      </c>
      <c r="E6080" s="7">
        <f t="shared" si="115"/>
        <v>20000</v>
      </c>
      <c r="F6080" s="5">
        <v>45947</v>
      </c>
      <c r="G6080" s="4">
        <v>20251016</v>
      </c>
      <c r="H6080" s="38" t="str">
        <f>VLOOKUP(B6080,CAJEROS!B:D,3,0)</f>
        <v>Dispensador</v>
      </c>
      <c r="I6080" s="34" t="s">
        <v>9</v>
      </c>
      <c r="J6080" s="38" t="str">
        <f>VLOOKUP(B6080,CAJEROS!B:E,4,0)</f>
        <v>EXITOIBAG_3</v>
      </c>
      <c r="K6080" t="s">
        <v>610</v>
      </c>
    </row>
    <row r="6081" spans="1:11">
      <c r="A6081" s="32">
        <v>153</v>
      </c>
      <c r="B6081" s="33">
        <v>9882</v>
      </c>
      <c r="C6081" s="3">
        <v>550000</v>
      </c>
      <c r="D6081" s="3"/>
      <c r="E6081" s="7">
        <f t="shared" si="115"/>
        <v>550000</v>
      </c>
      <c r="F6081" s="5">
        <v>45947</v>
      </c>
      <c r="G6081" s="4">
        <v>20251016</v>
      </c>
      <c r="H6081" s="38" t="str">
        <f>VLOOKUP(B6081,CAJEROS!B:D,3,0)</f>
        <v>Dispensador</v>
      </c>
      <c r="I6081" s="34" t="s">
        <v>9</v>
      </c>
      <c r="J6081" s="38" t="str">
        <f>VLOOKUP(B6081,CAJEROS!B:E,4,0)</f>
        <v>EXITOIBAG_4</v>
      </c>
      <c r="K6081" t="s">
        <v>610</v>
      </c>
    </row>
    <row r="6082" spans="1:11">
      <c r="A6082" s="32">
        <v>216</v>
      </c>
      <c r="B6082" s="33">
        <v>4434</v>
      </c>
      <c r="C6082" s="3">
        <v>150000</v>
      </c>
      <c r="D6082" s="3"/>
      <c r="E6082" s="7">
        <f t="shared" si="115"/>
        <v>150000</v>
      </c>
      <c r="F6082" s="5">
        <v>45947</v>
      </c>
      <c r="G6082" s="4">
        <v>20251016</v>
      </c>
      <c r="H6082" s="38" t="str">
        <f>VLOOKUP(B6082,CAJEROS!B:D,3,0)</f>
        <v>Dispensador</v>
      </c>
      <c r="I6082" s="34" t="s">
        <v>9</v>
      </c>
      <c r="J6082" s="38" t="str">
        <f>VLOOKUP(B6082,CAJEROS!B:E,4,0)</f>
        <v>SUC_SABANA2</v>
      </c>
      <c r="K6082" t="s">
        <v>610</v>
      </c>
    </row>
    <row r="6083" spans="1:11">
      <c r="A6083" s="32">
        <v>232</v>
      </c>
      <c r="B6083" s="33">
        <v>4062</v>
      </c>
      <c r="C6083" s="3">
        <v>800000</v>
      </c>
      <c r="D6083" s="3"/>
      <c r="E6083" s="7">
        <f t="shared" si="115"/>
        <v>800000</v>
      </c>
      <c r="F6083" s="5">
        <v>45947</v>
      </c>
      <c r="G6083" s="4">
        <v>20251016</v>
      </c>
      <c r="H6083" s="38" t="str">
        <f>VLOOKUP(B6083,CAJEROS!B:D,3,0)</f>
        <v>Dispensador</v>
      </c>
      <c r="I6083" s="34" t="s">
        <v>9</v>
      </c>
      <c r="J6083" s="38" t="str">
        <f>VLOOKUP(B6083,CAJEROS!B:E,4,0)</f>
        <v>SUC_GUASCA1</v>
      </c>
      <c r="K6083" t="s">
        <v>610</v>
      </c>
    </row>
    <row r="6084" spans="1:11">
      <c r="A6084" s="32">
        <v>289</v>
      </c>
      <c r="B6084" s="33">
        <v>8225</v>
      </c>
      <c r="C6084" s="3">
        <v>440000</v>
      </c>
      <c r="D6084" s="3"/>
      <c r="E6084" s="7">
        <f t="shared" si="115"/>
        <v>440000</v>
      </c>
      <c r="F6084" s="5">
        <v>45947</v>
      </c>
      <c r="G6084" s="4">
        <v>20251016</v>
      </c>
      <c r="H6084" s="38" t="str">
        <f>VLOOKUP(B6084,CAJEROS!B:D,3,0)</f>
        <v>Dispensador</v>
      </c>
      <c r="I6084" s="34" t="s">
        <v>9</v>
      </c>
      <c r="J6084" s="38" t="str">
        <f>VLOOKUP(B6084,CAJEROS!B:E,4,0)</f>
        <v>PUERTO_GAI4</v>
      </c>
      <c r="K6084" t="s">
        <v>610</v>
      </c>
    </row>
    <row r="6085" spans="1:11">
      <c r="A6085" s="32">
        <v>348</v>
      </c>
      <c r="B6085" s="33">
        <v>9006</v>
      </c>
      <c r="C6085" s="3">
        <v>100000</v>
      </c>
      <c r="D6085" s="3"/>
      <c r="E6085" s="7">
        <f t="shared" si="115"/>
        <v>100000</v>
      </c>
      <c r="F6085" s="5">
        <v>45947</v>
      </c>
      <c r="G6085" s="4">
        <v>20251016</v>
      </c>
      <c r="H6085" s="38" t="str">
        <f>VLOOKUP(B6085,CAJEROS!B:D,3,0)</f>
        <v>Dispensador</v>
      </c>
      <c r="I6085" s="34" t="s">
        <v>9</v>
      </c>
      <c r="J6085" s="38" t="str">
        <f>VLOOKUP(B6085,CAJEROS!B:E,4,0)</f>
        <v>SUCSANDRES6</v>
      </c>
      <c r="K6085" t="s">
        <v>610</v>
      </c>
    </row>
    <row r="6086" spans="1:11">
      <c r="A6086" s="32">
        <v>392</v>
      </c>
      <c r="B6086" s="33">
        <v>5265</v>
      </c>
      <c r="C6086" s="3">
        <v>800000</v>
      </c>
      <c r="D6086" s="3">
        <v>430000</v>
      </c>
      <c r="E6086" s="7">
        <f t="shared" si="115"/>
        <v>370000</v>
      </c>
      <c r="F6086" s="5">
        <v>45947</v>
      </c>
      <c r="G6086" s="4">
        <v>20251016</v>
      </c>
      <c r="H6086" s="38" t="str">
        <f>VLOOKUP(B6086,CAJEROS!B:D,3,0)</f>
        <v>Dispensador</v>
      </c>
      <c r="I6086" s="34" t="s">
        <v>9</v>
      </c>
      <c r="J6086" s="38" t="str">
        <f>VLOOKUP(B6086,CAJEROS!B:E,4,0)</f>
        <v>SUC_LADORA4</v>
      </c>
      <c r="K6086" t="s">
        <v>610</v>
      </c>
    </row>
    <row r="6087" spans="1:11">
      <c r="A6087" s="32">
        <v>503</v>
      </c>
      <c r="B6087" s="33">
        <v>5032</v>
      </c>
      <c r="C6087" s="3">
        <v>760000</v>
      </c>
      <c r="D6087" s="3"/>
      <c r="E6087" s="7">
        <f t="shared" si="115"/>
        <v>760000</v>
      </c>
      <c r="F6087" s="5">
        <v>45947</v>
      </c>
      <c r="G6087" s="4">
        <v>20251016</v>
      </c>
      <c r="H6087" s="38" t="str">
        <f>VLOOKUP(B6087,CAJEROS!B:D,3,0)</f>
        <v>Dispensador</v>
      </c>
      <c r="I6087" s="34" t="s">
        <v>9</v>
      </c>
      <c r="J6087" s="38" t="str">
        <f>VLOOKUP(B6087,CAJEROS!B:E,4,0)</f>
        <v>YARUMAL2</v>
      </c>
      <c r="K6087" t="s">
        <v>610</v>
      </c>
    </row>
    <row r="6088" spans="1:11">
      <c r="A6088" s="32">
        <v>536</v>
      </c>
      <c r="B6088" s="33">
        <v>6915</v>
      </c>
      <c r="C6088" s="3">
        <v>100000</v>
      </c>
      <c r="D6088" s="3"/>
      <c r="E6088" s="7">
        <f t="shared" si="115"/>
        <v>100000</v>
      </c>
      <c r="F6088" s="5">
        <v>45947</v>
      </c>
      <c r="G6088" s="4">
        <v>20251016</v>
      </c>
      <c r="H6088" s="38" t="str">
        <f>VLOOKUP(B6088,CAJEROS!B:D,3,0)</f>
        <v>Dispensador</v>
      </c>
      <c r="I6088" s="34" t="s">
        <v>9</v>
      </c>
      <c r="J6088" s="38" t="str">
        <f>VLOOKUP(B6088,CAJEROS!B:E,4,0)</f>
        <v>SUC_QUIBDO7</v>
      </c>
      <c r="K6088" t="s">
        <v>610</v>
      </c>
    </row>
    <row r="6089" spans="1:11">
      <c r="A6089" s="32">
        <v>584</v>
      </c>
      <c r="B6089" s="33">
        <v>6874</v>
      </c>
      <c r="C6089" s="3">
        <v>500000</v>
      </c>
      <c r="D6089" s="3"/>
      <c r="E6089" s="7">
        <f t="shared" si="115"/>
        <v>500000</v>
      </c>
      <c r="F6089" s="5">
        <v>45947</v>
      </c>
      <c r="G6089" s="4">
        <v>20251016</v>
      </c>
      <c r="H6089" s="38" t="str">
        <f>VLOOKUP(B6089,CAJEROS!B:D,3,0)</f>
        <v>Dispensador</v>
      </c>
      <c r="I6089" s="34" t="s">
        <v>9</v>
      </c>
      <c r="J6089" s="38" t="str">
        <f>VLOOKUP(B6089,CAJEROS!B:E,4,0)</f>
        <v>HALLCHIGOR2</v>
      </c>
      <c r="K6089" t="s">
        <v>610</v>
      </c>
    </row>
    <row r="6090" spans="1:11">
      <c r="A6090" s="32">
        <v>765</v>
      </c>
      <c r="B6090" s="33">
        <v>4998</v>
      </c>
      <c r="C6090" s="3">
        <v>200000</v>
      </c>
      <c r="D6090" s="3"/>
      <c r="E6090" s="7">
        <f t="shared" si="115"/>
        <v>200000</v>
      </c>
      <c r="F6090" s="5">
        <v>45947</v>
      </c>
      <c r="G6090" s="4">
        <v>20251016</v>
      </c>
      <c r="H6090" s="38" t="str">
        <f>VLOOKUP(B6090,CAJEROS!B:D,3,0)</f>
        <v>Dispensador</v>
      </c>
      <c r="I6090" s="34" t="s">
        <v>9</v>
      </c>
      <c r="J6090" s="38" t="str">
        <f>VLOOKUP(B6090,CAJEROS!B:E,4,0)</f>
        <v>SUC_BECERR1</v>
      </c>
      <c r="K6090" t="s">
        <v>610</v>
      </c>
    </row>
    <row r="6091" spans="1:11">
      <c r="A6091" s="32">
        <v>832</v>
      </c>
      <c r="B6091" s="33">
        <v>4767</v>
      </c>
      <c r="C6091" s="3">
        <v>1170000</v>
      </c>
      <c r="D6091" s="3"/>
      <c r="E6091" s="7">
        <f t="shared" ref="E6091:E6154" si="116">+C6091-D6091</f>
        <v>1170000</v>
      </c>
      <c r="F6091" s="5">
        <v>45947</v>
      </c>
      <c r="G6091" s="4">
        <v>20251016</v>
      </c>
      <c r="H6091" s="38" t="str">
        <f>VLOOKUP(B6091,CAJEROS!B:D,3,0)</f>
        <v>Dispensador</v>
      </c>
      <c r="I6091" s="34" t="s">
        <v>9</v>
      </c>
      <c r="J6091" s="38" t="str">
        <f>VLOOKUP(B6091,CAJEROS!B:E,4,0)</f>
        <v>SUC_SANTAN1</v>
      </c>
      <c r="K6091" t="s">
        <v>610</v>
      </c>
    </row>
    <row r="6092" spans="1:11">
      <c r="A6092" s="32">
        <v>861</v>
      </c>
      <c r="B6092" s="33">
        <v>5958</v>
      </c>
      <c r="C6092" s="3">
        <v>120000</v>
      </c>
      <c r="D6092" s="3">
        <v>70000</v>
      </c>
      <c r="E6092" s="7">
        <f t="shared" si="116"/>
        <v>50000</v>
      </c>
      <c r="F6092" s="5">
        <v>45947</v>
      </c>
      <c r="G6092" s="4">
        <v>20251016</v>
      </c>
      <c r="H6092" s="38" t="str">
        <f>VLOOKUP(B6092,CAJEROS!B:D,3,0)</f>
        <v>Dispensador</v>
      </c>
      <c r="I6092" s="34" t="s">
        <v>9</v>
      </c>
      <c r="J6092" s="38" t="str">
        <f>VLOOKUP(B6092,CAJEROS!B:E,4,0)</f>
        <v>SUC_ALBANI2</v>
      </c>
      <c r="K6092" t="s">
        <v>610</v>
      </c>
    </row>
    <row r="6093" spans="1:11">
      <c r="A6093" s="32">
        <v>864</v>
      </c>
      <c r="B6093" s="33">
        <v>5377</v>
      </c>
      <c r="C6093" s="3">
        <v>110000</v>
      </c>
      <c r="D6093" s="3"/>
      <c r="E6093" s="7">
        <f t="shared" si="116"/>
        <v>110000</v>
      </c>
      <c r="F6093" s="5">
        <v>45947</v>
      </c>
      <c r="G6093" s="4">
        <v>20251016</v>
      </c>
      <c r="H6093" s="38" t="str">
        <f>VLOOKUP(B6093,CAJEROS!B:D,3,0)</f>
        <v>Dispensador</v>
      </c>
      <c r="I6093" s="34" t="s">
        <v>9</v>
      </c>
      <c r="J6093" s="38" t="str">
        <f>VLOOKUP(B6093,CAJEROS!B:E,4,0)</f>
        <v>SUC_PRADER3</v>
      </c>
      <c r="K6093" t="s">
        <v>610</v>
      </c>
    </row>
    <row r="6094" spans="1:11">
      <c r="A6094" s="32">
        <v>909</v>
      </c>
      <c r="B6094" s="33">
        <v>6641</v>
      </c>
      <c r="C6094" s="3">
        <v>80000</v>
      </c>
      <c r="D6094" s="3">
        <v>70000</v>
      </c>
      <c r="E6094" s="7">
        <f t="shared" si="116"/>
        <v>10000</v>
      </c>
      <c r="F6094" s="5">
        <v>45947</v>
      </c>
      <c r="G6094" s="4">
        <v>20251016</v>
      </c>
      <c r="H6094" s="38" t="str">
        <f>VLOOKUP(B6094,CAJEROS!B:D,3,0)</f>
        <v>Dispensador</v>
      </c>
      <c r="I6094" s="34" t="s">
        <v>9</v>
      </c>
      <c r="J6094" s="38" t="str">
        <f>VLOOKUP(B6094,CAJEROS!B:E,4,0)</f>
        <v>SUC_ROSAL2</v>
      </c>
      <c r="K6094" t="s">
        <v>610</v>
      </c>
    </row>
    <row r="6095" spans="1:11">
      <c r="A6095" s="32">
        <v>5</v>
      </c>
      <c r="B6095" s="33">
        <v>4866</v>
      </c>
      <c r="C6095" s="3">
        <v>760950</v>
      </c>
      <c r="D6095" s="3"/>
      <c r="E6095" s="7">
        <f t="shared" si="116"/>
        <v>760950</v>
      </c>
      <c r="F6095" s="5">
        <v>45947</v>
      </c>
      <c r="G6095" s="4">
        <v>20251016</v>
      </c>
      <c r="H6095" s="38" t="str">
        <f>VLOOKUP(B6095,CAJEROS!B:D,3,0)</f>
        <v>Multifuncional</v>
      </c>
      <c r="I6095" s="34"/>
      <c r="J6095" s="38" t="str">
        <f>VLOOKUP(B6095,CAJEROS!B:E,4,0)</f>
        <v>MFSUCAVPBL1</v>
      </c>
      <c r="K6095" t="s">
        <v>610</v>
      </c>
    </row>
    <row r="6096" spans="1:11">
      <c r="A6096" s="32">
        <v>7</v>
      </c>
      <c r="B6096" s="33">
        <v>5059</v>
      </c>
      <c r="C6096" s="3">
        <v>1614000</v>
      </c>
      <c r="D6096" s="3">
        <v>345950</v>
      </c>
      <c r="E6096" s="7">
        <f t="shared" si="116"/>
        <v>1268050</v>
      </c>
      <c r="F6096" s="5">
        <v>45947</v>
      </c>
      <c r="G6096" s="4">
        <v>20251016</v>
      </c>
      <c r="H6096" s="38" t="str">
        <f>VLOOKUP(B6096,CAJEROS!B:D,3,0)</f>
        <v>Multifuncional</v>
      </c>
      <c r="I6096" s="34"/>
      <c r="J6096" s="38" t="str">
        <f>VLOOKUP(B6096,CAJEROS!B:E,4,0)</f>
        <v>MF_LOSMOLI1</v>
      </c>
      <c r="K6096" t="s">
        <v>610</v>
      </c>
    </row>
    <row r="6097" spans="1:11">
      <c r="A6097" s="32">
        <v>77</v>
      </c>
      <c r="B6097" s="33">
        <v>5204</v>
      </c>
      <c r="C6097" s="3">
        <v>2009550</v>
      </c>
      <c r="D6097" s="3"/>
      <c r="E6097" s="7">
        <f t="shared" si="116"/>
        <v>2009550</v>
      </c>
      <c r="F6097" s="5">
        <v>45947</v>
      </c>
      <c r="G6097" s="4">
        <v>20251016</v>
      </c>
      <c r="H6097" s="38" t="str">
        <f>VLOOKUP(B6097,CAJEROS!B:D,3,0)</f>
        <v>Multifuncional</v>
      </c>
      <c r="I6097" s="34"/>
      <c r="J6097" s="38" t="str">
        <f>VLOOKUP(B6097,CAJEROS!B:E,4,0)</f>
        <v>MF_TEQENDMA</v>
      </c>
      <c r="K6097" t="s">
        <v>610</v>
      </c>
    </row>
    <row r="6098" spans="1:11">
      <c r="A6098" s="32">
        <v>317</v>
      </c>
      <c r="B6098" s="33">
        <v>6613</v>
      </c>
      <c r="C6098" s="3">
        <v>9957000</v>
      </c>
      <c r="D6098" s="3"/>
      <c r="E6098" s="7">
        <f t="shared" si="116"/>
        <v>9957000</v>
      </c>
      <c r="F6098" s="5">
        <v>45947</v>
      </c>
      <c r="G6098" s="4">
        <v>20251016</v>
      </c>
      <c r="H6098" s="38" t="str">
        <f>VLOOKUP(B6098,CAJEROS!B:D,3,0)</f>
        <v>Multifuncional</v>
      </c>
      <c r="I6098" s="34"/>
      <c r="J6098" s="38" t="str">
        <f>VLOOKUP(B6098,CAJEROS!B:E,4,0)</f>
        <v>MF_ARAUCA</v>
      </c>
      <c r="K6098" t="s">
        <v>610</v>
      </c>
    </row>
    <row r="6099" spans="1:11">
      <c r="A6099" s="32">
        <v>331</v>
      </c>
      <c r="B6099" s="33">
        <v>575</v>
      </c>
      <c r="C6099" s="3">
        <v>1050</v>
      </c>
      <c r="D6099" s="3"/>
      <c r="E6099" s="7">
        <f t="shared" si="116"/>
        <v>1050</v>
      </c>
      <c r="F6099" s="5">
        <v>45947</v>
      </c>
      <c r="G6099" s="4">
        <v>20251016</v>
      </c>
      <c r="H6099" s="38" t="str">
        <f>VLOOKUP(B6099,CAJEROS!B:D,3,0)</f>
        <v>Multifuncional</v>
      </c>
      <c r="I6099" s="34"/>
      <c r="J6099" s="38" t="str">
        <f>VLOOKUP(B6099,CAJEROS!B:E,4,0)</f>
        <v>MF_SUCARKA2</v>
      </c>
      <c r="K6099" t="s">
        <v>610</v>
      </c>
    </row>
    <row r="6100" spans="1:11">
      <c r="A6100" s="32">
        <v>333</v>
      </c>
      <c r="B6100" s="33">
        <v>5076</v>
      </c>
      <c r="C6100" s="3">
        <v>2758000</v>
      </c>
      <c r="D6100" s="3">
        <v>128400</v>
      </c>
      <c r="E6100" s="7">
        <f t="shared" si="116"/>
        <v>2629600</v>
      </c>
      <c r="F6100" s="5">
        <v>45947</v>
      </c>
      <c r="G6100" s="4">
        <v>20251016</v>
      </c>
      <c r="H6100" s="38" t="str">
        <f>VLOOKUP(B6100,CAJEROS!B:D,3,0)</f>
        <v>Multifuncional</v>
      </c>
      <c r="I6100" s="34"/>
      <c r="J6100" s="38" t="str">
        <f>VLOOKUP(B6100,CAJEROS!B:E,4,0)</f>
        <v>MF_AVESMARI</v>
      </c>
      <c r="K6100" t="s">
        <v>610</v>
      </c>
    </row>
    <row r="6101" spans="1:11">
      <c r="A6101" s="32">
        <v>524</v>
      </c>
      <c r="B6101" s="33">
        <v>6336</v>
      </c>
      <c r="C6101" s="3">
        <v>9000</v>
      </c>
      <c r="D6101" s="3"/>
      <c r="E6101" s="7">
        <f t="shared" si="116"/>
        <v>9000</v>
      </c>
      <c r="F6101" s="5">
        <v>45947</v>
      </c>
      <c r="G6101" s="4">
        <v>20251016</v>
      </c>
      <c r="H6101" s="38" t="str">
        <f>VLOOKUP(B6101,CAJEROS!B:D,3,0)</f>
        <v>Multifuncional</v>
      </c>
      <c r="I6101" s="34"/>
      <c r="J6101" s="38" t="str">
        <f>VLOOKUP(B6101,CAJEROS!B:E,4,0)</f>
        <v>MF_VALLEDUP</v>
      </c>
      <c r="K6101" t="s">
        <v>610</v>
      </c>
    </row>
    <row r="6102" spans="1:11">
      <c r="A6102" s="32">
        <v>556</v>
      </c>
      <c r="B6102" s="33">
        <v>8333</v>
      </c>
      <c r="C6102" s="3">
        <v>2000</v>
      </c>
      <c r="D6102" s="3"/>
      <c r="E6102" s="7">
        <f t="shared" si="116"/>
        <v>2000</v>
      </c>
      <c r="F6102" s="5">
        <v>45947</v>
      </c>
      <c r="G6102" s="4">
        <v>20251016</v>
      </c>
      <c r="H6102" s="38" t="str">
        <f>VLOOKUP(B6102,CAJEROS!B:D,3,0)</f>
        <v>Multifuncional</v>
      </c>
      <c r="I6102" s="34"/>
      <c r="J6102" s="38" t="str">
        <f>VLOOKUP(B6102,CAJEROS!B:E,4,0)</f>
        <v>MF_SCARVIB1</v>
      </c>
      <c r="K6102" t="s">
        <v>610</v>
      </c>
    </row>
    <row r="6103" spans="1:11">
      <c r="A6103" s="32">
        <v>613</v>
      </c>
      <c r="B6103" s="33">
        <v>6713</v>
      </c>
      <c r="C6103" s="3">
        <v>4999900</v>
      </c>
      <c r="D6103" s="3"/>
      <c r="E6103" s="7">
        <f t="shared" si="116"/>
        <v>4999900</v>
      </c>
      <c r="F6103" s="5">
        <v>45947</v>
      </c>
      <c r="G6103" s="4">
        <v>20251016</v>
      </c>
      <c r="H6103" s="38" t="str">
        <f>VLOOKUP(B6103,CAJEROS!B:D,3,0)</f>
        <v>Multifuncional</v>
      </c>
      <c r="I6103" s="34"/>
      <c r="J6103" s="38" t="str">
        <f>VLOOKUP(B6103,CAJEROS!B:E,4,0)</f>
        <v>MF_LAMERICA</v>
      </c>
      <c r="K6103" t="s">
        <v>610</v>
      </c>
    </row>
    <row r="6104" spans="1:11">
      <c r="A6104" s="32">
        <v>659</v>
      </c>
      <c r="B6104" s="33">
        <v>5102</v>
      </c>
      <c r="C6104" s="3">
        <v>9500500</v>
      </c>
      <c r="D6104" s="3"/>
      <c r="E6104" s="7">
        <f t="shared" si="116"/>
        <v>9500500</v>
      </c>
      <c r="F6104" s="5">
        <v>45947</v>
      </c>
      <c r="G6104" s="4">
        <v>20251016</v>
      </c>
      <c r="H6104" s="38" t="str">
        <f>VLOOKUP(B6104,CAJEROS!B:D,3,0)</f>
        <v>Multifuncional</v>
      </c>
      <c r="I6104" s="34"/>
      <c r="J6104" s="38" t="str">
        <f>VLOOKUP(B6104,CAJEROS!B:E,4,0)</f>
        <v>MF_GIRARDOT</v>
      </c>
      <c r="K6104" t="s">
        <v>610</v>
      </c>
    </row>
    <row r="6105" spans="1:11">
      <c r="A6105" s="32">
        <v>743</v>
      </c>
      <c r="B6105" s="33">
        <v>5106</v>
      </c>
      <c r="C6105" s="3">
        <v>6281000</v>
      </c>
      <c r="D6105" s="3">
        <f>1000000+3716200</f>
        <v>4716200</v>
      </c>
      <c r="E6105" s="7">
        <f t="shared" si="116"/>
        <v>1564800</v>
      </c>
      <c r="F6105" s="5">
        <v>45947</v>
      </c>
      <c r="G6105" s="4">
        <v>20251016</v>
      </c>
      <c r="H6105" s="38" t="str">
        <f>VLOOKUP(B6105,CAJEROS!B:D,3,0)</f>
        <v>Multifuncional</v>
      </c>
      <c r="I6105" s="34"/>
      <c r="J6105" s="38" t="str">
        <f>VLOOKUP(B6105,CAJEROS!B:E,4,0)</f>
        <v>MF_NORTHPOI</v>
      </c>
      <c r="K6105" t="s">
        <v>610</v>
      </c>
    </row>
    <row r="6106" spans="1:11">
      <c r="A6106" s="32">
        <v>907</v>
      </c>
      <c r="B6106" s="33">
        <v>4830</v>
      </c>
      <c r="C6106" s="3">
        <v>210350</v>
      </c>
      <c r="D6106" s="3"/>
      <c r="E6106" s="7">
        <f t="shared" si="116"/>
        <v>210350</v>
      </c>
      <c r="F6106" s="5">
        <v>45947</v>
      </c>
      <c r="G6106" s="4">
        <v>20251016</v>
      </c>
      <c r="H6106" s="38" t="str">
        <f>VLOOKUP(B6106,CAJEROS!B:D,3,0)</f>
        <v>Multifuncional</v>
      </c>
      <c r="I6106" s="34"/>
      <c r="J6106" s="38" t="str">
        <f>VLOOKUP(B6106,CAJEROS!B:E,4,0)</f>
        <v>MF_FRONTER2</v>
      </c>
      <c r="K6106" t="s">
        <v>610</v>
      </c>
    </row>
    <row r="6107" spans="1:11">
      <c r="A6107" s="32">
        <v>907</v>
      </c>
      <c r="B6107" s="33">
        <v>5019</v>
      </c>
      <c r="C6107" s="3">
        <v>5692300</v>
      </c>
      <c r="D6107" s="3"/>
      <c r="E6107" s="7">
        <f t="shared" si="116"/>
        <v>5692300</v>
      </c>
      <c r="F6107" s="5">
        <v>45947</v>
      </c>
      <c r="G6107" s="4">
        <v>20251016</v>
      </c>
      <c r="H6107" s="38" t="str">
        <f>VLOOKUP(B6107,CAJEROS!B:D,3,0)</f>
        <v>Multifuncional</v>
      </c>
      <c r="I6107" s="34"/>
      <c r="J6107" s="38" t="str">
        <f>VLOOKUP(B6107,CAJEROS!B:E,4,0)</f>
        <v>MF_FRONTERA</v>
      </c>
      <c r="K6107" t="s">
        <v>610</v>
      </c>
    </row>
    <row r="6108" spans="1:11">
      <c r="A6108" s="32">
        <v>941</v>
      </c>
      <c r="B6108" s="33">
        <v>5220</v>
      </c>
      <c r="C6108" s="3">
        <v>4890000</v>
      </c>
      <c r="D6108" s="3"/>
      <c r="E6108" s="7">
        <f t="shared" si="116"/>
        <v>4890000</v>
      </c>
      <c r="F6108" s="5">
        <v>45947</v>
      </c>
      <c r="G6108" s="4">
        <v>20251016</v>
      </c>
      <c r="H6108" s="38" t="str">
        <f>VLOOKUP(B6108,CAJEROS!B:D,3,0)</f>
        <v>Multifuncional</v>
      </c>
      <c r="I6108" s="34"/>
      <c r="J6108" s="38" t="str">
        <f>VLOOKUP(B6108,CAJEROS!B:E,4,0)</f>
        <v>MF_NEIVANVA</v>
      </c>
      <c r="K6108" t="s">
        <v>610</v>
      </c>
    </row>
    <row r="6109" spans="1:11">
      <c r="A6109" s="32">
        <v>442</v>
      </c>
      <c r="B6109" s="33">
        <v>8887</v>
      </c>
      <c r="C6109" s="3">
        <v>3922000</v>
      </c>
      <c r="D6109" s="3"/>
      <c r="E6109" s="7">
        <f t="shared" si="116"/>
        <v>3922000</v>
      </c>
      <c r="F6109" s="5">
        <v>45947</v>
      </c>
      <c r="G6109" s="4">
        <v>20251016</v>
      </c>
      <c r="H6109" s="38" t="str">
        <f>VLOOKUP(B6109,CAJEROS!B:D,3,0)</f>
        <v>Multifuncional</v>
      </c>
      <c r="I6109" s="34" t="s">
        <v>9</v>
      </c>
      <c r="J6109" s="38" t="str">
        <f>VLOOKUP(B6109,CAJEROS!B:E,4,0)</f>
        <v>MFVIVABQUI1</v>
      </c>
      <c r="K6109" t="s">
        <v>610</v>
      </c>
    </row>
    <row r="6110" spans="1:11">
      <c r="A6110" s="32">
        <v>15</v>
      </c>
      <c r="B6110" s="33">
        <v>8576</v>
      </c>
      <c r="C6110" s="3">
        <v>3850000</v>
      </c>
      <c r="D6110" s="3"/>
      <c r="E6110" s="7">
        <f t="shared" si="116"/>
        <v>3850000</v>
      </c>
      <c r="F6110" s="5">
        <v>45947</v>
      </c>
      <c r="G6110" s="4">
        <v>20251016</v>
      </c>
      <c r="H6110" s="38" t="str">
        <f>VLOOKUP(B6110,CAJEROS!B:D,3,0)</f>
        <v>Multifuncional</v>
      </c>
      <c r="I6110" s="34" t="s">
        <v>9</v>
      </c>
      <c r="J6110" s="38" t="str">
        <f>VLOOKUP(B6110,CAJEROS!B:E,4,0)</f>
        <v>MF_HITAGUI1</v>
      </c>
      <c r="K6110" t="s">
        <v>610</v>
      </c>
    </row>
    <row r="6111" spans="1:11">
      <c r="A6111" s="32">
        <v>432</v>
      </c>
      <c r="B6111" s="33">
        <v>5195</v>
      </c>
      <c r="C6111" s="3">
        <v>3691300</v>
      </c>
      <c r="D6111" s="3"/>
      <c r="E6111" s="7">
        <f t="shared" si="116"/>
        <v>3691300</v>
      </c>
      <c r="F6111" s="5">
        <v>45947</v>
      </c>
      <c r="G6111" s="4">
        <v>20251016</v>
      </c>
      <c r="H6111" s="38" t="str">
        <f>VLOOKUP(B6111,CAJEROS!B:D,3,0)</f>
        <v>Multifuncional</v>
      </c>
      <c r="I6111" s="34" t="s">
        <v>9</v>
      </c>
      <c r="J6111" s="38" t="str">
        <f>VLOOKUP(B6111,CAJEROS!B:E,4,0)</f>
        <v>MF_TTEDLSU1</v>
      </c>
      <c r="K6111" t="s">
        <v>610</v>
      </c>
    </row>
    <row r="6112" spans="1:11">
      <c r="A6112" s="32">
        <v>789</v>
      </c>
      <c r="B6112" s="33">
        <v>5118</v>
      </c>
      <c r="C6112" s="3">
        <v>3680000</v>
      </c>
      <c r="D6112" s="3"/>
      <c r="E6112" s="7">
        <f t="shared" si="116"/>
        <v>3680000</v>
      </c>
      <c r="F6112" s="5">
        <v>45947</v>
      </c>
      <c r="G6112" s="4">
        <v>20251016</v>
      </c>
      <c r="H6112" s="38" t="str">
        <f>VLOOKUP(B6112,CAJEROS!B:D,3,0)</f>
        <v>Multifuncional</v>
      </c>
      <c r="I6112" s="34" t="s">
        <v>9</v>
      </c>
      <c r="J6112" s="38" t="str">
        <f>VLOOKUP(B6112,CAJEROS!B:E,4,0)</f>
        <v>MF_MANGA</v>
      </c>
      <c r="K6112" t="s">
        <v>610</v>
      </c>
    </row>
    <row r="6113" spans="1:11">
      <c r="A6113" s="32">
        <v>517</v>
      </c>
      <c r="B6113" s="33">
        <v>5053</v>
      </c>
      <c r="C6113" s="3">
        <v>3320000</v>
      </c>
      <c r="D6113" s="3"/>
      <c r="E6113" s="7">
        <f t="shared" si="116"/>
        <v>3320000</v>
      </c>
      <c r="F6113" s="5">
        <v>45947</v>
      </c>
      <c r="G6113" s="4">
        <v>20251016</v>
      </c>
      <c r="H6113" s="38" t="str">
        <f>VLOOKUP(B6113,CAJEROS!B:D,3,0)</f>
        <v>Multifuncional</v>
      </c>
      <c r="I6113" s="34" t="s">
        <v>9</v>
      </c>
      <c r="J6113" s="38" t="str">
        <f>VLOOKUP(B6113,CAJEROS!B:E,4,0)</f>
        <v>MF_RODADERO</v>
      </c>
      <c r="K6113" t="s">
        <v>610</v>
      </c>
    </row>
    <row r="6114" spans="1:11">
      <c r="A6114" s="32">
        <v>20</v>
      </c>
      <c r="B6114" s="33">
        <v>6839</v>
      </c>
      <c r="C6114" s="3">
        <v>3310000</v>
      </c>
      <c r="D6114" s="3"/>
      <c r="E6114" s="7">
        <f t="shared" si="116"/>
        <v>3310000</v>
      </c>
      <c r="F6114" s="5">
        <v>45947</v>
      </c>
      <c r="G6114" s="4">
        <v>20251016</v>
      </c>
      <c r="H6114" s="38" t="str">
        <f>VLOOKUP(B6114,CAJEROS!B:D,3,0)</f>
        <v>Multifuncional</v>
      </c>
      <c r="I6114" s="34" t="s">
        <v>9</v>
      </c>
      <c r="J6114" s="38" t="str">
        <f>VLOOKUP(B6114,CAJEROS!B:E,4,0)</f>
        <v>MF_BUCMANG3</v>
      </c>
      <c r="K6114" t="s">
        <v>610</v>
      </c>
    </row>
    <row r="6115" spans="1:11">
      <c r="A6115" s="32">
        <v>54</v>
      </c>
      <c r="B6115" s="33">
        <v>6204</v>
      </c>
      <c r="C6115" s="3">
        <v>3260000</v>
      </c>
      <c r="D6115" s="3">
        <v>100000</v>
      </c>
      <c r="E6115" s="7">
        <f t="shared" si="116"/>
        <v>3160000</v>
      </c>
      <c r="F6115" s="5">
        <v>45947</v>
      </c>
      <c r="G6115" s="4">
        <v>20251016</v>
      </c>
      <c r="H6115" s="38" t="str">
        <f>VLOOKUP(B6115,CAJEROS!B:D,3,0)</f>
        <v>Multifuncional</v>
      </c>
      <c r="I6115" s="34" t="s">
        <v>9</v>
      </c>
      <c r="J6115" s="38" t="str">
        <f>VLOOKUP(B6115,CAJEROS!B:E,4,0)</f>
        <v>MF_CALLE122</v>
      </c>
      <c r="K6115" t="s">
        <v>610</v>
      </c>
    </row>
    <row r="6116" spans="1:11">
      <c r="A6116" s="32">
        <v>820</v>
      </c>
      <c r="B6116" s="33">
        <v>6174</v>
      </c>
      <c r="C6116" s="3">
        <v>3161050</v>
      </c>
      <c r="D6116" s="3">
        <v>3159500</v>
      </c>
      <c r="E6116" s="7">
        <f t="shared" si="116"/>
        <v>1550</v>
      </c>
      <c r="F6116" s="5">
        <v>45947</v>
      </c>
      <c r="G6116" s="4">
        <v>20251016</v>
      </c>
      <c r="H6116" s="38" t="str">
        <f>VLOOKUP(B6116,CAJEROS!B:D,3,0)</f>
        <v>Multifuncional</v>
      </c>
      <c r="I6116" s="34" t="s">
        <v>9</v>
      </c>
      <c r="J6116" s="38" t="str">
        <f>VLOOKUP(B6116,CAJEROS!B:E,4,0)</f>
        <v>MF_AVCERO</v>
      </c>
      <c r="K6116" t="s">
        <v>610</v>
      </c>
    </row>
    <row r="6117" spans="1:11">
      <c r="A6117" s="32">
        <v>166</v>
      </c>
      <c r="B6117" s="33">
        <v>7939</v>
      </c>
      <c r="C6117" s="3">
        <v>3030000</v>
      </c>
      <c r="D6117" s="3"/>
      <c r="E6117" s="7">
        <f t="shared" si="116"/>
        <v>3030000</v>
      </c>
      <c r="F6117" s="5">
        <v>45947</v>
      </c>
      <c r="G6117" s="4">
        <v>20251016</v>
      </c>
      <c r="H6117" s="38" t="str">
        <f>VLOOKUP(B6117,CAJEROS!B:D,3,0)</f>
        <v>Multifuncional</v>
      </c>
      <c r="I6117" s="34" t="s">
        <v>9</v>
      </c>
      <c r="J6117" s="38" t="str">
        <f>VLOOKUP(B6117,CAJEROS!B:E,4,0)</f>
        <v>MF_ALDELSI1</v>
      </c>
      <c r="K6117" t="s">
        <v>610</v>
      </c>
    </row>
    <row r="6118" spans="1:11">
      <c r="A6118" s="32">
        <v>419</v>
      </c>
      <c r="B6118" s="33">
        <v>5077</v>
      </c>
      <c r="C6118" s="3">
        <v>2850000</v>
      </c>
      <c r="D6118" s="3">
        <v>773900</v>
      </c>
      <c r="E6118" s="7">
        <f t="shared" si="116"/>
        <v>2076100</v>
      </c>
      <c r="F6118" s="5">
        <v>45947</v>
      </c>
      <c r="G6118" s="4">
        <v>20251016</v>
      </c>
      <c r="H6118" s="38" t="str">
        <f>VLOOKUP(B6118,CAJEROS!B:D,3,0)</f>
        <v>Multifuncional</v>
      </c>
      <c r="I6118" s="34" t="s">
        <v>9</v>
      </c>
      <c r="J6118" s="38" t="str">
        <f>VLOOKUP(B6118,CAJEROS!B:E,4,0)</f>
        <v>MF_CPUNIBOG</v>
      </c>
      <c r="K6118" t="s">
        <v>610</v>
      </c>
    </row>
    <row r="6119" spans="1:11">
      <c r="A6119" s="32">
        <v>806</v>
      </c>
      <c r="B6119" s="33">
        <v>5156</v>
      </c>
      <c r="C6119" s="3">
        <v>2800800</v>
      </c>
      <c r="D6119" s="3">
        <v>2777700</v>
      </c>
      <c r="E6119" s="7">
        <f t="shared" si="116"/>
        <v>23100</v>
      </c>
      <c r="F6119" s="5">
        <v>45947</v>
      </c>
      <c r="G6119" s="4">
        <v>20251016</v>
      </c>
      <c r="H6119" s="38" t="str">
        <f>VLOOKUP(B6119,CAJEROS!B:D,3,0)</f>
        <v>Multifuncional</v>
      </c>
      <c r="I6119" s="34" t="s">
        <v>9</v>
      </c>
      <c r="J6119" s="38" t="str">
        <f>VLOOKUP(B6119,CAJEROS!B:E,4,0)</f>
        <v>MF_ALZACIA</v>
      </c>
      <c r="K6119" t="s">
        <v>610</v>
      </c>
    </row>
    <row r="6120" spans="1:11">
      <c r="A6120" s="32">
        <v>454</v>
      </c>
      <c r="B6120" s="33">
        <v>5231</v>
      </c>
      <c r="C6120" s="3">
        <v>2730000</v>
      </c>
      <c r="D6120" s="3">
        <f>1110000+1200000+330000</f>
        <v>2640000</v>
      </c>
      <c r="E6120" s="7">
        <f t="shared" si="116"/>
        <v>90000</v>
      </c>
      <c r="F6120" s="5">
        <v>45947</v>
      </c>
      <c r="G6120" s="4">
        <v>20251016</v>
      </c>
      <c r="H6120" s="38" t="str">
        <f>VLOOKUP(B6120,CAJEROS!B:D,3,0)</f>
        <v>Multifuncional</v>
      </c>
      <c r="I6120" s="34" t="s">
        <v>9</v>
      </c>
      <c r="J6120" s="38" t="str">
        <f>VLOOKUP(B6120,CAJEROS!B:E,4,0)</f>
        <v>MF_5TAVENID</v>
      </c>
      <c r="K6120" t="s">
        <v>610</v>
      </c>
    </row>
    <row r="6121" spans="1:11">
      <c r="A6121" s="32">
        <v>516</v>
      </c>
      <c r="B6121" s="33">
        <v>9729</v>
      </c>
      <c r="C6121" s="3">
        <v>2566000</v>
      </c>
      <c r="D6121" s="3">
        <f>711700+50850+1568850</f>
        <v>2331400</v>
      </c>
      <c r="E6121" s="7">
        <f t="shared" si="116"/>
        <v>234600</v>
      </c>
      <c r="F6121" s="5">
        <v>45947</v>
      </c>
      <c r="G6121" s="4">
        <v>20251016</v>
      </c>
      <c r="H6121" s="38" t="str">
        <f>VLOOKUP(B6121,CAJEROS!B:D,3,0)</f>
        <v>Multifuncional</v>
      </c>
      <c r="I6121" s="34" t="s">
        <v>9</v>
      </c>
      <c r="J6121" s="38" t="str">
        <f>VLOOKUP(B6121,CAJEROS!B:E,4,0)</f>
        <v>MF_SUCSTAM1</v>
      </c>
      <c r="K6121" t="s">
        <v>610</v>
      </c>
    </row>
    <row r="6122" spans="1:11">
      <c r="A6122" s="32">
        <v>866</v>
      </c>
      <c r="B6122" s="33">
        <v>8662</v>
      </c>
      <c r="C6122" s="3">
        <v>2191000</v>
      </c>
      <c r="D6122" s="3">
        <v>2189600</v>
      </c>
      <c r="E6122" s="7">
        <f t="shared" si="116"/>
        <v>1400</v>
      </c>
      <c r="F6122" s="5">
        <v>45947</v>
      </c>
      <c r="G6122" s="4">
        <v>20251016</v>
      </c>
      <c r="H6122" s="38" t="str">
        <f>VLOOKUP(B6122,CAJEROS!B:D,3,0)</f>
        <v>Multifuncional</v>
      </c>
      <c r="I6122" s="34" t="s">
        <v>9</v>
      </c>
      <c r="J6122" s="38" t="str">
        <f>VLOOKUP(B6122,CAJEROS!B:E,4,0)</f>
        <v>MF_FLORID3</v>
      </c>
      <c r="K6122" t="s">
        <v>610</v>
      </c>
    </row>
    <row r="6123" spans="1:11">
      <c r="A6123" s="32">
        <v>634</v>
      </c>
      <c r="B6123" s="33">
        <v>5087</v>
      </c>
      <c r="C6123" s="3">
        <v>1940000</v>
      </c>
      <c r="D6123" s="3">
        <v>1900000</v>
      </c>
      <c r="E6123" s="7">
        <f t="shared" si="116"/>
        <v>40000</v>
      </c>
      <c r="F6123" s="5">
        <v>45947</v>
      </c>
      <c r="G6123" s="4">
        <v>20251016</v>
      </c>
      <c r="H6123" s="38" t="str">
        <f>VLOOKUP(B6123,CAJEROS!B:D,3,0)</f>
        <v>Multifuncional</v>
      </c>
      <c r="I6123" s="34" t="s">
        <v>9</v>
      </c>
      <c r="J6123" s="38" t="str">
        <f>VLOOKUP(B6123,CAJEROS!B:E,4,0)</f>
        <v>MF_AVENI127</v>
      </c>
      <c r="K6123" t="s">
        <v>610</v>
      </c>
    </row>
    <row r="6124" spans="1:11">
      <c r="A6124" s="32">
        <v>366</v>
      </c>
      <c r="B6124" s="33">
        <v>5132</v>
      </c>
      <c r="C6124" s="3">
        <v>1930000</v>
      </c>
      <c r="D6124" s="3"/>
      <c r="E6124" s="7">
        <f t="shared" si="116"/>
        <v>1930000</v>
      </c>
      <c r="F6124" s="5">
        <v>45947</v>
      </c>
      <c r="G6124" s="4">
        <v>20251016</v>
      </c>
      <c r="H6124" s="38" t="str">
        <f>VLOOKUP(B6124,CAJEROS!B:D,3,0)</f>
        <v>Multifuncional</v>
      </c>
      <c r="I6124" s="34" t="s">
        <v>9</v>
      </c>
      <c r="J6124" s="38" t="str">
        <f>VLOOKUP(B6124,CAJEROS!B:E,4,0)</f>
        <v>MF_TERMTPTE</v>
      </c>
      <c r="K6124" t="s">
        <v>610</v>
      </c>
    </row>
    <row r="6125" spans="1:11">
      <c r="A6125" s="32">
        <v>442</v>
      </c>
      <c r="B6125" s="33">
        <v>8888</v>
      </c>
      <c r="C6125" s="3">
        <v>1892000</v>
      </c>
      <c r="D6125" s="3"/>
      <c r="E6125" s="7">
        <f t="shared" si="116"/>
        <v>1892000</v>
      </c>
      <c r="F6125" s="5">
        <v>45947</v>
      </c>
      <c r="G6125" s="4">
        <v>20251016</v>
      </c>
      <c r="H6125" s="38" t="str">
        <f>VLOOKUP(B6125,CAJEROS!B:D,3,0)</f>
        <v>Multifuncional</v>
      </c>
      <c r="I6125" s="34" t="s">
        <v>9</v>
      </c>
      <c r="J6125" s="38" t="str">
        <f>VLOOKUP(B6125,CAJEROS!B:E,4,0)</f>
        <v>MFVIVABQUI2</v>
      </c>
      <c r="K6125" t="s">
        <v>610</v>
      </c>
    </row>
    <row r="6126" spans="1:11">
      <c r="A6126" s="32">
        <v>957</v>
      </c>
      <c r="B6126" s="33">
        <v>9513</v>
      </c>
      <c r="C6126" s="3">
        <v>1710000</v>
      </c>
      <c r="D6126" s="3"/>
      <c r="E6126" s="7">
        <f t="shared" si="116"/>
        <v>1710000</v>
      </c>
      <c r="F6126" s="5">
        <v>45947</v>
      </c>
      <c r="G6126" s="4">
        <v>20251016</v>
      </c>
      <c r="H6126" s="38" t="str">
        <f>VLOOKUP(B6126,CAJEROS!B:D,3,0)</f>
        <v>Multifuncional</v>
      </c>
      <c r="I6126" s="34" t="s">
        <v>9</v>
      </c>
      <c r="J6126" s="38" t="str">
        <f>VLOOKUP(B6126,CAJEROS!B:E,4,0)</f>
        <v>MFSUCPARAL2</v>
      </c>
      <c r="K6126" t="s">
        <v>610</v>
      </c>
    </row>
    <row r="6127" spans="1:11">
      <c r="A6127" s="32">
        <v>395</v>
      </c>
      <c r="B6127" s="33">
        <v>1529</v>
      </c>
      <c r="C6127" s="3">
        <v>1635000</v>
      </c>
      <c r="D6127" s="3"/>
      <c r="E6127" s="7">
        <f t="shared" si="116"/>
        <v>1635000</v>
      </c>
      <c r="F6127" s="5">
        <v>45947</v>
      </c>
      <c r="G6127" s="4">
        <v>20251016</v>
      </c>
      <c r="H6127" s="38" t="str">
        <f>VLOOKUP(B6127,CAJEROS!B:D,3,0)</f>
        <v>Multifuncional</v>
      </c>
      <c r="I6127" s="34" t="s">
        <v>9</v>
      </c>
      <c r="J6127" s="38" t="str">
        <f>VLOOKUP(B6127,CAJEROS!B:E,4,0)</f>
        <v>SUCMFVIVCI2</v>
      </c>
      <c r="K6127" t="s">
        <v>610</v>
      </c>
    </row>
    <row r="6128" spans="1:11">
      <c r="A6128" s="32">
        <v>287</v>
      </c>
      <c r="B6128" s="33">
        <v>907</v>
      </c>
      <c r="C6128" s="3">
        <v>1604000</v>
      </c>
      <c r="D6128" s="3"/>
      <c r="E6128" s="7">
        <f t="shared" si="116"/>
        <v>1604000</v>
      </c>
      <c r="F6128" s="5">
        <v>45947</v>
      </c>
      <c r="G6128" s="4">
        <v>20251016</v>
      </c>
      <c r="H6128" s="38" t="str">
        <f>VLOOKUP(B6128,CAJEROS!B:D,3,0)</f>
        <v>Multifuncional</v>
      </c>
      <c r="I6128" s="34" t="s">
        <v>9</v>
      </c>
      <c r="J6128" s="38" t="str">
        <f>VLOOKUP(B6128,CAJEROS!B:E,4,0)</f>
        <v>MFABASTOBGA</v>
      </c>
      <c r="K6128" t="s">
        <v>610</v>
      </c>
    </row>
    <row r="6129" spans="1:11">
      <c r="A6129" s="32">
        <v>250</v>
      </c>
      <c r="B6129" s="33">
        <v>5197</v>
      </c>
      <c r="C6129" s="3">
        <v>1500000</v>
      </c>
      <c r="D6129" s="3"/>
      <c r="E6129" s="7">
        <f t="shared" si="116"/>
        <v>1500000</v>
      </c>
      <c r="F6129" s="5">
        <v>45947</v>
      </c>
      <c r="G6129" s="4">
        <v>20251016</v>
      </c>
      <c r="H6129" s="38" t="str">
        <f>VLOOKUP(B6129,CAJEROS!B:D,3,0)</f>
        <v>Multifuncional</v>
      </c>
      <c r="I6129" s="34" t="s">
        <v>9</v>
      </c>
      <c r="J6129" s="38" t="str">
        <f>VLOOKUP(B6129,CAJEROS!B:E,4,0)</f>
        <v>MF_MODELIA</v>
      </c>
      <c r="K6129" t="s">
        <v>610</v>
      </c>
    </row>
    <row r="6130" spans="1:11">
      <c r="A6130" s="32">
        <v>419</v>
      </c>
      <c r="B6130" s="33">
        <v>7980</v>
      </c>
      <c r="C6130" s="3">
        <v>1480000</v>
      </c>
      <c r="D6130" s="3"/>
      <c r="E6130" s="7">
        <f t="shared" si="116"/>
        <v>1480000</v>
      </c>
      <c r="F6130" s="5">
        <v>45947</v>
      </c>
      <c r="G6130" s="4">
        <v>20251016</v>
      </c>
      <c r="H6130" s="38" t="str">
        <f>VLOOKUP(B6130,CAJEROS!B:D,3,0)</f>
        <v>Multifuncional</v>
      </c>
      <c r="I6130" s="34" t="s">
        <v>9</v>
      </c>
      <c r="J6130" s="38" t="str">
        <f>VLOOKUP(B6130,CAJEROS!B:E,4,0)</f>
        <v>MF_CPUNBOG2</v>
      </c>
      <c r="K6130" t="s">
        <v>610</v>
      </c>
    </row>
    <row r="6131" spans="1:11">
      <c r="A6131" s="32">
        <v>609</v>
      </c>
      <c r="B6131" s="33">
        <v>7875</v>
      </c>
      <c r="C6131" s="3">
        <v>1480000</v>
      </c>
      <c r="D6131" s="3">
        <v>1114000</v>
      </c>
      <c r="E6131" s="7">
        <f t="shared" si="116"/>
        <v>366000</v>
      </c>
      <c r="F6131" s="5">
        <v>45947</v>
      </c>
      <c r="G6131" s="4">
        <v>20251016</v>
      </c>
      <c r="H6131" s="38" t="str">
        <f>VLOOKUP(B6131,CAJEROS!B:D,3,0)</f>
        <v>Multifuncional</v>
      </c>
      <c r="I6131" s="34" t="s">
        <v>9</v>
      </c>
      <c r="J6131" s="38" t="str">
        <f>VLOOKUP(B6131,CAJEROS!B:E,4,0)</f>
        <v>MFSUCABAST1</v>
      </c>
      <c r="K6131" t="s">
        <v>610</v>
      </c>
    </row>
    <row r="6132" spans="1:11">
      <c r="A6132" s="32">
        <v>244</v>
      </c>
      <c r="B6132" s="33">
        <v>5129</v>
      </c>
      <c r="C6132" s="3">
        <v>1452000</v>
      </c>
      <c r="D6132" s="3"/>
      <c r="E6132" s="7">
        <f t="shared" si="116"/>
        <v>1452000</v>
      </c>
      <c r="F6132" s="5">
        <v>45947</v>
      </c>
      <c r="G6132" s="4">
        <v>20251016</v>
      </c>
      <c r="H6132" s="38" t="str">
        <f>VLOOKUP(B6132,CAJEROS!B:D,3,0)</f>
        <v>Multifuncional</v>
      </c>
      <c r="I6132" s="34" t="s">
        <v>9</v>
      </c>
      <c r="J6132" s="38" t="str">
        <f>VLOOKUP(B6132,CAJEROS!B:E,4,0)</f>
        <v>MF_TRIGALAN</v>
      </c>
      <c r="K6132" t="s">
        <v>610</v>
      </c>
    </row>
    <row r="6133" spans="1:11">
      <c r="A6133" s="32">
        <v>15</v>
      </c>
      <c r="B6133" s="33">
        <v>8578</v>
      </c>
      <c r="C6133" s="3">
        <v>1440600</v>
      </c>
      <c r="D6133" s="3"/>
      <c r="E6133" s="7">
        <f t="shared" si="116"/>
        <v>1440600</v>
      </c>
      <c r="F6133" s="5">
        <v>45947</v>
      </c>
      <c r="G6133" s="4">
        <v>20251016</v>
      </c>
      <c r="H6133" s="38" t="str">
        <f>VLOOKUP(B6133,CAJEROS!B:D,3,0)</f>
        <v>Multifuncional</v>
      </c>
      <c r="I6133" s="34" t="s">
        <v>9</v>
      </c>
      <c r="J6133" s="38" t="str">
        <f>VLOOKUP(B6133,CAJEROS!B:E,4,0)</f>
        <v>MF_HITAGUI3</v>
      </c>
      <c r="K6133" t="s">
        <v>610</v>
      </c>
    </row>
    <row r="6134" spans="1:11">
      <c r="A6134" s="32">
        <v>541</v>
      </c>
      <c r="B6134" s="33">
        <v>5185</v>
      </c>
      <c r="C6134" s="3">
        <v>1440000</v>
      </c>
      <c r="D6134" s="3"/>
      <c r="E6134" s="7">
        <f t="shared" si="116"/>
        <v>1440000</v>
      </c>
      <c r="F6134" s="5">
        <v>45947</v>
      </c>
      <c r="G6134" s="4">
        <v>20251016</v>
      </c>
      <c r="H6134" s="38" t="str">
        <f>VLOOKUP(B6134,CAJEROS!B:D,3,0)</f>
        <v>Multifuncional</v>
      </c>
      <c r="I6134" s="34" t="s">
        <v>9</v>
      </c>
      <c r="J6134" s="38" t="str">
        <f>VLOOKUP(B6134,CAJEROS!B:E,4,0)</f>
        <v>MF_PARQCALD</v>
      </c>
      <c r="K6134" t="s">
        <v>610</v>
      </c>
    </row>
    <row r="6135" spans="1:11">
      <c r="A6135" s="32">
        <v>79</v>
      </c>
      <c r="B6135" s="33">
        <v>6245</v>
      </c>
      <c r="C6135" s="3">
        <v>1360000</v>
      </c>
      <c r="D6135" s="3"/>
      <c r="E6135" s="7">
        <f t="shared" si="116"/>
        <v>1360000</v>
      </c>
      <c r="F6135" s="5">
        <v>45947</v>
      </c>
      <c r="G6135" s="4">
        <v>20251016</v>
      </c>
      <c r="H6135" s="38" t="str">
        <f>VLOOKUP(B6135,CAJEROS!B:D,3,0)</f>
        <v>Multifuncional</v>
      </c>
      <c r="I6135" s="34" t="s">
        <v>9</v>
      </c>
      <c r="J6135" s="38" t="str">
        <f>VLOOKUP(B6135,CAJEROS!B:E,4,0)</f>
        <v>MF_LAQUINTA</v>
      </c>
      <c r="K6135" t="s">
        <v>610</v>
      </c>
    </row>
    <row r="6136" spans="1:11">
      <c r="A6136" s="32">
        <v>795</v>
      </c>
      <c r="B6136" s="33">
        <v>1028</v>
      </c>
      <c r="C6136" s="3">
        <v>1350000</v>
      </c>
      <c r="D6136" s="3"/>
      <c r="E6136" s="7">
        <f t="shared" si="116"/>
        <v>1350000</v>
      </c>
      <c r="F6136" s="5">
        <v>45947</v>
      </c>
      <c r="G6136" s="4">
        <v>20251016</v>
      </c>
      <c r="H6136" s="38" t="str">
        <f>VLOOKUP(B6136,CAJEROS!B:D,3,0)</f>
        <v>Multifuncional</v>
      </c>
      <c r="I6136" s="34" t="s">
        <v>9</v>
      </c>
      <c r="J6136" s="38" t="str">
        <f>VLOOKUP(B6136,CAJEROS!B:E,4,0)</f>
        <v>MFSUCANVER2</v>
      </c>
      <c r="K6136" t="s">
        <v>610</v>
      </c>
    </row>
    <row r="6137" spans="1:11">
      <c r="A6137" s="32">
        <v>915</v>
      </c>
      <c r="B6137" s="33">
        <v>8314</v>
      </c>
      <c r="C6137" s="3">
        <v>1245000</v>
      </c>
      <c r="D6137" s="3">
        <v>280050</v>
      </c>
      <c r="E6137" s="7">
        <f t="shared" si="116"/>
        <v>964950</v>
      </c>
      <c r="F6137" s="5">
        <v>45947</v>
      </c>
      <c r="G6137" s="4">
        <v>20251016</v>
      </c>
      <c r="H6137" s="38" t="str">
        <f>VLOOKUP(B6137,CAJEROS!B:D,3,0)</f>
        <v>Multifuncional</v>
      </c>
      <c r="I6137" s="34" t="s">
        <v>9</v>
      </c>
      <c r="J6137" s="38" t="str">
        <f>VLOOKUP(B6137,CAJEROS!B:E,4,0)</f>
        <v>MF_BANLABB2</v>
      </c>
      <c r="K6137" t="s">
        <v>610</v>
      </c>
    </row>
    <row r="6138" spans="1:11">
      <c r="A6138" s="32">
        <v>509</v>
      </c>
      <c r="B6138" s="33">
        <v>8835</v>
      </c>
      <c r="C6138" s="3">
        <v>1020000</v>
      </c>
      <c r="D6138" s="3"/>
      <c r="E6138" s="7">
        <f t="shared" si="116"/>
        <v>1020000</v>
      </c>
      <c r="F6138" s="5">
        <v>45947</v>
      </c>
      <c r="G6138" s="4">
        <v>20251016</v>
      </c>
      <c r="H6138" s="38" t="str">
        <f>VLOOKUP(B6138,CAJEROS!B:D,3,0)</f>
        <v>Multifuncional</v>
      </c>
      <c r="I6138" s="34" t="s">
        <v>9</v>
      </c>
      <c r="J6138" s="38" t="str">
        <f>VLOOKUP(B6138,CAJEROS!B:E,4,0)</f>
        <v>MFTSUCURB1</v>
      </c>
      <c r="K6138" t="s">
        <v>610</v>
      </c>
    </row>
    <row r="6139" spans="1:11">
      <c r="A6139" s="32">
        <v>609</v>
      </c>
      <c r="B6139" s="33">
        <v>7888</v>
      </c>
      <c r="C6139" s="3">
        <v>980000</v>
      </c>
      <c r="D6139" s="3">
        <v>960000</v>
      </c>
      <c r="E6139" s="7">
        <f t="shared" si="116"/>
        <v>20000</v>
      </c>
      <c r="F6139" s="5">
        <v>45947</v>
      </c>
      <c r="G6139" s="4">
        <v>20251016</v>
      </c>
      <c r="H6139" s="38" t="str">
        <f>VLOOKUP(B6139,CAJEROS!B:D,3,0)</f>
        <v>Multifuncional</v>
      </c>
      <c r="I6139" s="34" t="s">
        <v>9</v>
      </c>
      <c r="J6139" s="38" t="str">
        <f>VLOOKUP(B6139,CAJEROS!B:E,4,0)</f>
        <v>MFSUCABAST2</v>
      </c>
      <c r="K6139" t="s">
        <v>610</v>
      </c>
    </row>
    <row r="6140" spans="1:11">
      <c r="A6140" s="32">
        <v>554</v>
      </c>
      <c r="B6140" s="33">
        <v>8295</v>
      </c>
      <c r="C6140" s="3">
        <v>945000</v>
      </c>
      <c r="D6140" s="3"/>
      <c r="E6140" s="7">
        <f t="shared" si="116"/>
        <v>945000</v>
      </c>
      <c r="F6140" s="5">
        <v>45947</v>
      </c>
      <c r="G6140" s="4">
        <v>20251016</v>
      </c>
      <c r="H6140" s="38" t="str">
        <f>VLOOKUP(B6140,CAJEROS!B:D,3,0)</f>
        <v>Multifuncional</v>
      </c>
      <c r="I6140" s="34" t="s">
        <v>9</v>
      </c>
      <c r="J6140" s="38" t="str">
        <f>VLOOKUP(B6140,CAJEROS!B:E,4,0)</f>
        <v>MF_SBUVIII2</v>
      </c>
      <c r="K6140" t="s">
        <v>610</v>
      </c>
    </row>
    <row r="6141" spans="1:11">
      <c r="A6141" s="32">
        <v>541</v>
      </c>
      <c r="B6141" s="33">
        <v>8660</v>
      </c>
      <c r="C6141" s="3">
        <v>900000</v>
      </c>
      <c r="D6141" s="3"/>
      <c r="E6141" s="7">
        <f t="shared" si="116"/>
        <v>900000</v>
      </c>
      <c r="F6141" s="5">
        <v>45947</v>
      </c>
      <c r="G6141" s="4">
        <v>20251016</v>
      </c>
      <c r="H6141" s="38" t="str">
        <f>VLOOKUP(B6141,CAJEROS!B:D,3,0)</f>
        <v>Multifuncional</v>
      </c>
      <c r="I6141" s="34" t="s">
        <v>9</v>
      </c>
      <c r="J6141" s="38" t="str">
        <f>VLOOKUP(B6141,CAJEROS!B:E,4,0)</f>
        <v>MF_SUCCALP2</v>
      </c>
      <c r="K6141" t="s">
        <v>610</v>
      </c>
    </row>
    <row r="6142" spans="1:11">
      <c r="A6142" s="32">
        <v>467</v>
      </c>
      <c r="B6142" s="33">
        <v>9052</v>
      </c>
      <c r="C6142" s="3">
        <v>870000</v>
      </c>
      <c r="D6142" s="3"/>
      <c r="E6142" s="7">
        <f t="shared" si="116"/>
        <v>870000</v>
      </c>
      <c r="F6142" s="5">
        <v>45947</v>
      </c>
      <c r="G6142" s="4">
        <v>20251016</v>
      </c>
      <c r="H6142" s="38" t="str">
        <f>VLOOKUP(B6142,CAJEROS!B:D,3,0)</f>
        <v>Multifuncional</v>
      </c>
      <c r="I6142" s="34" t="s">
        <v>9</v>
      </c>
      <c r="J6142" s="38" t="str">
        <f>VLOOKUP(B6142,CAJEROS!B:E,4,0)</f>
        <v>MFHDVERPLZ2</v>
      </c>
      <c r="K6142" t="s">
        <v>610</v>
      </c>
    </row>
    <row r="6143" spans="1:11">
      <c r="A6143" s="32">
        <v>849</v>
      </c>
      <c r="B6143" s="33">
        <v>9724</v>
      </c>
      <c r="C6143" s="3">
        <v>862500</v>
      </c>
      <c r="D6143" s="3"/>
      <c r="E6143" s="7">
        <f t="shared" si="116"/>
        <v>862500</v>
      </c>
      <c r="F6143" s="5">
        <v>45947</v>
      </c>
      <c r="G6143" s="4">
        <v>20251016</v>
      </c>
      <c r="H6143" s="38" t="str">
        <f>VLOOKUP(B6143,CAJEROS!B:D,3,0)</f>
        <v>Multifuncional</v>
      </c>
      <c r="I6143" s="34" t="s">
        <v>9</v>
      </c>
      <c r="J6143" s="38" t="str">
        <f>VLOOKUP(B6143,CAJEROS!B:E,4,0)</f>
        <v>MF_SUNIVIL1</v>
      </c>
      <c r="K6143" t="s">
        <v>610</v>
      </c>
    </row>
    <row r="6144" spans="1:11">
      <c r="A6144" s="32">
        <v>656</v>
      </c>
      <c r="B6144" s="33">
        <v>5103</v>
      </c>
      <c r="C6144" s="3">
        <v>815000</v>
      </c>
      <c r="D6144" s="3"/>
      <c r="E6144" s="7">
        <f t="shared" si="116"/>
        <v>815000</v>
      </c>
      <c r="F6144" s="5">
        <v>45947</v>
      </c>
      <c r="G6144" s="4">
        <v>20251016</v>
      </c>
      <c r="H6144" s="38" t="str">
        <f>VLOOKUP(B6144,CAJEROS!B:D,3,0)</f>
        <v>Multifuncional</v>
      </c>
      <c r="I6144" s="34" t="s">
        <v>9</v>
      </c>
      <c r="J6144" s="38" t="str">
        <f>VLOOKUP(B6144,CAJEROS!B:E,4,0)</f>
        <v>MF_MAYPLAZA</v>
      </c>
      <c r="K6144" t="s">
        <v>610</v>
      </c>
    </row>
    <row r="6145" spans="1:11">
      <c r="A6145" s="32">
        <v>123</v>
      </c>
      <c r="B6145" s="33">
        <v>7134</v>
      </c>
      <c r="C6145" s="3">
        <v>679350</v>
      </c>
      <c r="D6145" s="3">
        <f>205000+466000</f>
        <v>671000</v>
      </c>
      <c r="E6145" s="7">
        <f t="shared" si="116"/>
        <v>8350</v>
      </c>
      <c r="F6145" s="5">
        <v>45947</v>
      </c>
      <c r="G6145" s="4">
        <v>20251016</v>
      </c>
      <c r="H6145" s="38" t="str">
        <f>VLOOKUP(B6145,CAJEROS!B:D,3,0)</f>
        <v>Multifuncional</v>
      </c>
      <c r="I6145" s="34" t="s">
        <v>9</v>
      </c>
      <c r="J6145" s="38" t="str">
        <f>VLOOKUP(B6145,CAJEROS!B:E,4,0)</f>
        <v>MF_CPRIONE2</v>
      </c>
      <c r="K6145" t="s">
        <v>610</v>
      </c>
    </row>
    <row r="6146" spans="1:11">
      <c r="A6146" s="32">
        <v>115</v>
      </c>
      <c r="B6146" s="33">
        <v>5080</v>
      </c>
      <c r="C6146" s="3">
        <v>630000</v>
      </c>
      <c r="D6146" s="3"/>
      <c r="E6146" s="7">
        <f t="shared" si="116"/>
        <v>630000</v>
      </c>
      <c r="F6146" s="5">
        <v>45947</v>
      </c>
      <c r="G6146" s="4">
        <v>20251016</v>
      </c>
      <c r="H6146" s="38" t="str">
        <f>VLOOKUP(B6146,CAJEROS!B:D,3,0)</f>
        <v>Multifuncional</v>
      </c>
      <c r="I6146" s="34" t="s">
        <v>9</v>
      </c>
      <c r="J6146" s="38" t="str">
        <f>VLOOKUP(B6146,CAJEROS!B:E,4,0)</f>
        <v>MF_CIPEREIR</v>
      </c>
      <c r="K6146" t="s">
        <v>610</v>
      </c>
    </row>
    <row r="6147" spans="1:11">
      <c r="A6147" s="32">
        <v>551</v>
      </c>
      <c r="B6147" s="33">
        <v>9644</v>
      </c>
      <c r="C6147" s="3">
        <v>590000</v>
      </c>
      <c r="D6147" s="3">
        <v>50000</v>
      </c>
      <c r="E6147" s="7">
        <f t="shared" si="116"/>
        <v>540000</v>
      </c>
      <c r="F6147" s="5">
        <v>45947</v>
      </c>
      <c r="G6147" s="4">
        <v>20251016</v>
      </c>
      <c r="H6147" s="38" t="str">
        <f>VLOOKUP(B6147,CAJEROS!B:D,3,0)</f>
        <v>Multifuncional</v>
      </c>
      <c r="I6147" s="34" t="s">
        <v>9</v>
      </c>
      <c r="J6147" s="38" t="str">
        <f>VLOOKUP(B6147,CAJEROS!B:E,4,0)</f>
        <v>MFSUCUNIME2</v>
      </c>
      <c r="K6147" t="s">
        <v>610</v>
      </c>
    </row>
    <row r="6148" spans="1:11">
      <c r="A6148" s="32">
        <v>24</v>
      </c>
      <c r="B6148" s="33">
        <v>5066</v>
      </c>
      <c r="C6148" s="3">
        <v>537650</v>
      </c>
      <c r="D6148" s="3"/>
      <c r="E6148" s="7">
        <f t="shared" si="116"/>
        <v>537650</v>
      </c>
      <c r="F6148" s="5">
        <v>45947</v>
      </c>
      <c r="G6148" s="4">
        <v>20251016</v>
      </c>
      <c r="H6148" s="38" t="str">
        <f>VLOOKUP(B6148,CAJEROS!B:D,3,0)</f>
        <v>Multifuncional</v>
      </c>
      <c r="I6148" s="34" t="s">
        <v>9</v>
      </c>
      <c r="J6148" s="38" t="str">
        <f>VLOOKUP(B6148,CAJEROS!B:E,4,0)</f>
        <v>MF_RIONEGPA</v>
      </c>
      <c r="K6148" t="s">
        <v>610</v>
      </c>
    </row>
    <row r="6149" spans="1:11">
      <c r="A6149" s="32">
        <v>379</v>
      </c>
      <c r="B6149" s="33">
        <v>6465</v>
      </c>
      <c r="C6149" s="3">
        <v>364200</v>
      </c>
      <c r="D6149" s="3">
        <v>360000</v>
      </c>
      <c r="E6149" s="7">
        <f t="shared" si="116"/>
        <v>4200</v>
      </c>
      <c r="F6149" s="5">
        <v>45947</v>
      </c>
      <c r="G6149" s="4">
        <v>20251016</v>
      </c>
      <c r="H6149" s="38" t="str">
        <f>VLOOKUP(B6149,CAJEROS!B:D,3,0)</f>
        <v>Multifuncional</v>
      </c>
      <c r="I6149" s="34" t="s">
        <v>9</v>
      </c>
      <c r="J6149" s="38" t="str">
        <f>VLOOKUP(B6149,CAJEROS!B:E,4,0)</f>
        <v>MF_SUCTESO1</v>
      </c>
      <c r="K6149" t="s">
        <v>610</v>
      </c>
    </row>
    <row r="6150" spans="1:11">
      <c r="A6150" s="32">
        <v>93</v>
      </c>
      <c r="B6150" s="33">
        <v>7126</v>
      </c>
      <c r="C6150" s="3">
        <v>262000</v>
      </c>
      <c r="D6150" s="3">
        <v>257000</v>
      </c>
      <c r="E6150" s="7">
        <f t="shared" si="116"/>
        <v>5000</v>
      </c>
      <c r="F6150" s="5">
        <v>45947</v>
      </c>
      <c r="G6150" s="4">
        <v>20251016</v>
      </c>
      <c r="H6150" s="38" t="str">
        <f>VLOOKUP(B6150,CAJEROS!B:D,3,0)</f>
        <v>Multifuncional</v>
      </c>
      <c r="I6150" s="34" t="s">
        <v>9</v>
      </c>
      <c r="J6150" s="38" t="str">
        <f>VLOOKUP(B6150,CAJEROS!B:E,4,0)</f>
        <v>MF_SAHAGUN</v>
      </c>
      <c r="K6150" t="s">
        <v>610</v>
      </c>
    </row>
    <row r="6151" spans="1:11">
      <c r="A6151" s="32">
        <v>829</v>
      </c>
      <c r="B6151" s="33">
        <v>5137</v>
      </c>
      <c r="C6151" s="3">
        <v>212500</v>
      </c>
      <c r="D6151" s="3"/>
      <c r="E6151" s="7">
        <f t="shared" si="116"/>
        <v>212500</v>
      </c>
      <c r="F6151" s="5">
        <v>45947</v>
      </c>
      <c r="G6151" s="4">
        <v>20251016</v>
      </c>
      <c r="H6151" s="38" t="str">
        <f>VLOOKUP(B6151,CAJEROS!B:D,3,0)</f>
        <v>Multifuncional</v>
      </c>
      <c r="I6151" s="34" t="s">
        <v>9</v>
      </c>
      <c r="J6151" s="38" t="str">
        <f>VLOOKUP(B6151,CAJEROS!B:E,4,0)</f>
        <v>MF_UNICALI1</v>
      </c>
      <c r="K6151" t="s">
        <v>610</v>
      </c>
    </row>
    <row r="6152" spans="1:11">
      <c r="A6152" s="32">
        <v>793</v>
      </c>
      <c r="B6152" s="33">
        <v>5216</v>
      </c>
      <c r="C6152" s="3">
        <v>140000</v>
      </c>
      <c r="D6152" s="3"/>
      <c r="E6152" s="7">
        <f t="shared" si="116"/>
        <v>140000</v>
      </c>
      <c r="F6152" s="5">
        <v>45947</v>
      </c>
      <c r="G6152" s="4">
        <v>20251016</v>
      </c>
      <c r="H6152" s="38" t="str">
        <f>VLOOKUP(B6152,CAJEROS!B:D,3,0)</f>
        <v>Multifuncional</v>
      </c>
      <c r="I6152" s="34" t="s">
        <v>9</v>
      </c>
      <c r="J6152" s="38" t="str">
        <f>VLOOKUP(B6152,CAJEROS!B:E,4,0)</f>
        <v>MF_PROFENAL</v>
      </c>
      <c r="K6152" t="s">
        <v>610</v>
      </c>
    </row>
    <row r="6153" spans="1:11">
      <c r="A6153" s="32">
        <v>377</v>
      </c>
      <c r="B6153" s="33">
        <v>1508</v>
      </c>
      <c r="C6153" s="3">
        <v>108000</v>
      </c>
      <c r="D6153" s="3"/>
      <c r="E6153" s="7">
        <f t="shared" si="116"/>
        <v>108000</v>
      </c>
      <c r="F6153" s="5">
        <v>45947</v>
      </c>
      <c r="G6153" s="4">
        <v>20251016</v>
      </c>
      <c r="H6153" s="38" t="str">
        <f>VLOOKUP(B6153,CAJEROS!B:D,3,0)</f>
        <v>Multifuncional</v>
      </c>
      <c r="I6153" s="34" t="s">
        <v>9</v>
      </c>
      <c r="J6153" s="38" t="str">
        <f>VLOOKUP(B6153,CAJEROS!B:E,4,0)</f>
        <v>MFSUCCIAV1</v>
      </c>
      <c r="K6153" t="s">
        <v>610</v>
      </c>
    </row>
    <row r="6154" spans="1:11">
      <c r="A6154" s="32">
        <v>849</v>
      </c>
      <c r="B6154" s="33">
        <v>9725</v>
      </c>
      <c r="C6154" s="3">
        <v>90000</v>
      </c>
      <c r="D6154" s="3"/>
      <c r="E6154" s="7">
        <f t="shared" si="116"/>
        <v>90000</v>
      </c>
      <c r="F6154" s="5">
        <v>45947</v>
      </c>
      <c r="G6154" s="4">
        <v>20251016</v>
      </c>
      <c r="H6154" s="38" t="str">
        <f>VLOOKUP(B6154,CAJEROS!B:D,3,0)</f>
        <v>Multifuncional</v>
      </c>
      <c r="I6154" s="34" t="s">
        <v>9</v>
      </c>
      <c r="J6154" s="38" t="str">
        <f>VLOOKUP(B6154,CAJEROS!B:E,4,0)</f>
        <v>MF_SUNIVIL2</v>
      </c>
      <c r="K6154" t="s">
        <v>610</v>
      </c>
    </row>
    <row r="6155" spans="1:11">
      <c r="A6155" s="32">
        <v>467</v>
      </c>
      <c r="B6155" s="33">
        <v>9051</v>
      </c>
      <c r="C6155" s="3">
        <v>79900</v>
      </c>
      <c r="D6155" s="3"/>
      <c r="E6155" s="7">
        <f t="shared" ref="E6155:E6218" si="117">+C6155-D6155</f>
        <v>79900</v>
      </c>
      <c r="F6155" s="5">
        <v>45947</v>
      </c>
      <c r="G6155" s="4">
        <v>20251016</v>
      </c>
      <c r="H6155" s="38" t="str">
        <f>VLOOKUP(B6155,CAJEROS!B:D,3,0)</f>
        <v>Multifuncional</v>
      </c>
      <c r="I6155" s="34" t="s">
        <v>9</v>
      </c>
      <c r="J6155" s="38" t="str">
        <f>VLOOKUP(B6155,CAJEROS!B:E,4,0)</f>
        <v>MFHDVERPLZ1</v>
      </c>
      <c r="K6155" t="s">
        <v>610</v>
      </c>
    </row>
    <row r="6156" spans="1:11">
      <c r="A6156" s="32">
        <v>236</v>
      </c>
      <c r="B6156" s="33">
        <v>8497</v>
      </c>
      <c r="C6156" s="3">
        <v>50000</v>
      </c>
      <c r="D6156" s="3"/>
      <c r="E6156" s="7">
        <f t="shared" si="117"/>
        <v>50000</v>
      </c>
      <c r="F6156" s="5">
        <v>45947</v>
      </c>
      <c r="G6156" s="4">
        <v>20251016</v>
      </c>
      <c r="H6156" s="38" t="str">
        <f>VLOOKUP(B6156,CAJEROS!B:D,3,0)</f>
        <v>Multifuncional</v>
      </c>
      <c r="I6156" s="34" t="s">
        <v>9</v>
      </c>
      <c r="J6156" s="38" t="str">
        <f>VLOOKUP(B6156,CAJEROS!B:E,4,0)</f>
        <v>MF_EXITCOL2</v>
      </c>
      <c r="K6156" t="s">
        <v>610</v>
      </c>
    </row>
    <row r="6157" spans="1:11">
      <c r="A6157" s="32">
        <v>499</v>
      </c>
      <c r="B6157" s="33">
        <v>9810</v>
      </c>
      <c r="C6157" s="3">
        <v>49950</v>
      </c>
      <c r="D6157" s="3"/>
      <c r="E6157" s="7">
        <f t="shared" si="117"/>
        <v>49950</v>
      </c>
      <c r="F6157" s="5">
        <v>45947</v>
      </c>
      <c r="G6157" s="4">
        <v>20251016</v>
      </c>
      <c r="H6157" s="38" t="str">
        <f>VLOOKUP(B6157,CAJEROS!B:D,3,0)</f>
        <v>Multifuncional</v>
      </c>
      <c r="I6157" s="34" t="s">
        <v>9</v>
      </c>
      <c r="J6157" s="38" t="str">
        <f>VLOOKUP(B6157,CAJEROS!B:E,4,0)</f>
        <v>MF_SUCPARF1</v>
      </c>
      <c r="K6157" t="s">
        <v>610</v>
      </c>
    </row>
    <row r="6158" spans="1:11">
      <c r="A6158" s="32">
        <v>217</v>
      </c>
      <c r="B6158" s="33">
        <v>5208</v>
      </c>
      <c r="C6158" s="3">
        <v>30000</v>
      </c>
      <c r="D6158" s="3"/>
      <c r="E6158" s="7">
        <f t="shared" si="117"/>
        <v>30000</v>
      </c>
      <c r="F6158" s="5">
        <v>45947</v>
      </c>
      <c r="G6158" s="4">
        <v>20251016</v>
      </c>
      <c r="H6158" s="38" t="str">
        <f>VLOOKUP(B6158,CAJEROS!B:D,3,0)</f>
        <v>Multifuncional</v>
      </c>
      <c r="I6158" s="34" t="s">
        <v>9</v>
      </c>
      <c r="J6158" s="38" t="str">
        <f>VLOOKUP(B6158,CAJEROS!B:E,4,0)</f>
        <v>MF_MONTEVID</v>
      </c>
      <c r="K6158" t="s">
        <v>610</v>
      </c>
    </row>
    <row r="6159" spans="1:11">
      <c r="A6159" s="32">
        <v>388</v>
      </c>
      <c r="B6159" s="33">
        <v>5169</v>
      </c>
      <c r="C6159" s="3">
        <v>27000</v>
      </c>
      <c r="D6159" s="3">
        <v>5000</v>
      </c>
      <c r="E6159" s="7">
        <f t="shared" si="117"/>
        <v>22000</v>
      </c>
      <c r="F6159" s="5">
        <v>45947</v>
      </c>
      <c r="G6159" s="4">
        <v>20251016</v>
      </c>
      <c r="H6159" s="38" t="str">
        <f>VLOOKUP(B6159,CAJEROS!B:D,3,0)</f>
        <v>Multifuncional</v>
      </c>
      <c r="I6159" s="34" t="s">
        <v>9</v>
      </c>
      <c r="J6159" s="38" t="str">
        <f>VLOOKUP(B6159,CAJEROS!B:E,4,0)</f>
        <v>MF_SUCHAYU1</v>
      </c>
      <c r="K6159" t="s">
        <v>610</v>
      </c>
    </row>
    <row r="6160" spans="1:11">
      <c r="A6160" s="32">
        <v>1</v>
      </c>
      <c r="B6160" s="33">
        <v>5000</v>
      </c>
      <c r="C6160" s="3">
        <v>4700</v>
      </c>
      <c r="D6160" s="3"/>
      <c r="E6160" s="7">
        <f t="shared" si="117"/>
        <v>4700</v>
      </c>
      <c r="F6160" s="5">
        <v>45950</v>
      </c>
      <c r="G6160" s="4">
        <v>20251017</v>
      </c>
      <c r="H6160" s="38" t="str">
        <f>VLOOKUP(B6160,CAJEROS!B:D,3,0)</f>
        <v>Multifuncional</v>
      </c>
      <c r="I6160" s="34"/>
      <c r="J6160" s="38" t="str">
        <f>VLOOKUP(B6160,CAJEROS!B:E,4,0)</f>
        <v>MF_CARABOBO</v>
      </c>
      <c r="K6160" t="s">
        <v>610</v>
      </c>
    </row>
    <row r="6161" spans="1:11">
      <c r="A6161" s="32">
        <v>33</v>
      </c>
      <c r="B6161" s="33">
        <v>8861</v>
      </c>
      <c r="C6161" s="3">
        <v>2277000</v>
      </c>
      <c r="D6161" s="3"/>
      <c r="E6161" s="7">
        <f t="shared" si="117"/>
        <v>2277000</v>
      </c>
      <c r="F6161" s="5">
        <v>45950</v>
      </c>
      <c r="G6161" s="4">
        <v>20251017</v>
      </c>
      <c r="H6161" s="38" t="str">
        <f>VLOOKUP(B6161,CAJEROS!B:D,3,0)</f>
        <v>Multifuncional</v>
      </c>
      <c r="I6161" s="34"/>
      <c r="J6161" s="38" t="str">
        <f>VLOOKUP(B6161,CAJEROS!B:E,4,0)</f>
        <v>MF_SPOLCLU1</v>
      </c>
      <c r="K6161" t="s">
        <v>610</v>
      </c>
    </row>
    <row r="6162" spans="1:11">
      <c r="A6162" s="32">
        <v>78</v>
      </c>
      <c r="B6162" s="33">
        <v>6246</v>
      </c>
      <c r="C6162" s="3">
        <v>4900000</v>
      </c>
      <c r="D6162" s="3"/>
      <c r="E6162" s="7">
        <f t="shared" si="117"/>
        <v>4900000</v>
      </c>
      <c r="F6162" s="5">
        <v>45950</v>
      </c>
      <c r="G6162" s="4">
        <v>20251017</v>
      </c>
      <c r="H6162" s="38" t="str">
        <f>VLOOKUP(B6162,CAJEROS!B:D,3,0)</f>
        <v>Multifuncional</v>
      </c>
      <c r="I6162" s="34"/>
      <c r="J6162" s="38" t="str">
        <f>VLOOKUP(B6162,CAJEROS!B:E,4,0)</f>
        <v>MF_CACIQUE</v>
      </c>
      <c r="K6162" t="s">
        <v>610</v>
      </c>
    </row>
    <row r="6163" spans="1:11">
      <c r="A6163" s="32">
        <v>154</v>
      </c>
      <c r="B6163" s="33">
        <v>5041</v>
      </c>
      <c r="C6163" s="3">
        <v>2400000</v>
      </c>
      <c r="D6163" s="3"/>
      <c r="E6163" s="7">
        <f t="shared" si="117"/>
        <v>2400000</v>
      </c>
      <c r="F6163" s="5">
        <v>45950</v>
      </c>
      <c r="G6163" s="4">
        <v>20251017</v>
      </c>
      <c r="H6163" s="38" t="str">
        <f>VLOOKUP(B6163,CAJEROS!B:D,3,0)</f>
        <v>Multifuncional</v>
      </c>
      <c r="I6163" s="34"/>
      <c r="J6163" s="38" t="str">
        <f>VLOOKUP(B6163,CAJEROS!B:E,4,0)</f>
        <v>MF_CMAYOR</v>
      </c>
      <c r="K6163" t="s">
        <v>610</v>
      </c>
    </row>
    <row r="6164" spans="1:11">
      <c r="A6164" s="32">
        <v>229</v>
      </c>
      <c r="B6164" s="33">
        <v>9604</v>
      </c>
      <c r="C6164" s="3">
        <v>2240000</v>
      </c>
      <c r="D6164" s="3"/>
      <c r="E6164" s="7">
        <f t="shared" si="117"/>
        <v>2240000</v>
      </c>
      <c r="F6164" s="5">
        <v>45950</v>
      </c>
      <c r="G6164" s="4">
        <v>20251017</v>
      </c>
      <c r="H6164" s="38" t="str">
        <f>VLOOKUP(B6164,CAJEROS!B:D,3,0)</f>
        <v>Multifuncional</v>
      </c>
      <c r="I6164" s="34"/>
      <c r="J6164" s="38" t="str">
        <f>VLOOKUP(B6164,CAJEROS!B:E,4,0)</f>
        <v>MFSUCPASER1</v>
      </c>
      <c r="K6164" t="s">
        <v>610</v>
      </c>
    </row>
    <row r="6165" spans="1:11">
      <c r="A6165" s="32">
        <v>285</v>
      </c>
      <c r="B6165" s="33">
        <v>5228</v>
      </c>
      <c r="C6165" s="3">
        <v>19691200</v>
      </c>
      <c r="D6165" s="3"/>
      <c r="E6165" s="7">
        <f t="shared" si="117"/>
        <v>19691200</v>
      </c>
      <c r="F6165" s="5">
        <v>45950</v>
      </c>
      <c r="G6165" s="4">
        <v>20251017</v>
      </c>
      <c r="H6165" s="38" t="str">
        <f>VLOOKUP(B6165,CAJEROS!B:D,3,0)</f>
        <v>Multifuncional</v>
      </c>
      <c r="I6165" s="34"/>
      <c r="J6165" s="38" t="str">
        <f>VLOOKUP(B6165,CAJEROS!B:E,4,0)</f>
        <v>MF_GARZON</v>
      </c>
      <c r="K6165" t="s">
        <v>610</v>
      </c>
    </row>
    <row r="6166" spans="1:11">
      <c r="A6166" s="32">
        <v>453</v>
      </c>
      <c r="B6166" s="33">
        <v>8018</v>
      </c>
      <c r="C6166" s="3">
        <v>3609600</v>
      </c>
      <c r="D6166" s="3"/>
      <c r="E6166" s="7">
        <f t="shared" si="117"/>
        <v>3609600</v>
      </c>
      <c r="F6166" s="5">
        <v>45950</v>
      </c>
      <c r="G6166" s="4">
        <v>20251017</v>
      </c>
      <c r="H6166" s="38" t="str">
        <f>VLOOKUP(B6166,CAJEROS!B:D,3,0)</f>
        <v>Multifuncional</v>
      </c>
      <c r="I6166" s="34"/>
      <c r="J6166" s="38" t="str">
        <f>VLOOKUP(B6166,CAJEROS!B:E,4,0)</f>
        <v>MFSUCPITAL1</v>
      </c>
      <c r="K6166" t="s">
        <v>610</v>
      </c>
    </row>
    <row r="6167" spans="1:11">
      <c r="A6167" s="32">
        <v>454</v>
      </c>
      <c r="B6167" s="33">
        <v>5231</v>
      </c>
      <c r="C6167" s="3">
        <v>6490000</v>
      </c>
      <c r="D6167" s="3"/>
      <c r="E6167" s="7">
        <f t="shared" si="117"/>
        <v>6490000</v>
      </c>
      <c r="F6167" s="5">
        <v>45950</v>
      </c>
      <c r="G6167" s="4">
        <v>20251017</v>
      </c>
      <c r="H6167" s="38" t="str">
        <f>VLOOKUP(B6167,CAJEROS!B:D,3,0)</f>
        <v>Multifuncional</v>
      </c>
      <c r="I6167" s="34"/>
      <c r="J6167" s="38" t="str">
        <f>VLOOKUP(B6167,CAJEROS!B:E,4,0)</f>
        <v>MF_5TAVENID</v>
      </c>
      <c r="K6167" t="s">
        <v>610</v>
      </c>
    </row>
    <row r="6168" spans="1:11">
      <c r="A6168" s="32">
        <v>509</v>
      </c>
      <c r="B6168" s="33">
        <v>8835</v>
      </c>
      <c r="C6168" s="3">
        <v>596000</v>
      </c>
      <c r="D6168" s="3"/>
      <c r="E6168" s="7">
        <f t="shared" si="117"/>
        <v>596000</v>
      </c>
      <c r="F6168" s="5">
        <v>45950</v>
      </c>
      <c r="G6168" s="4">
        <v>20251017</v>
      </c>
      <c r="H6168" s="38" t="str">
        <f>VLOOKUP(B6168,CAJEROS!B:D,3,0)</f>
        <v>Multifuncional</v>
      </c>
      <c r="I6168" s="34"/>
      <c r="J6168" s="38" t="str">
        <f>VLOOKUP(B6168,CAJEROS!B:E,4,0)</f>
        <v>MFTSUCURB1</v>
      </c>
      <c r="K6168" t="s">
        <v>610</v>
      </c>
    </row>
    <row r="6169" spans="1:11">
      <c r="A6169" s="32">
        <v>523</v>
      </c>
      <c r="B6169" s="33">
        <v>5082</v>
      </c>
      <c r="C6169" s="3">
        <v>2925850</v>
      </c>
      <c r="D6169" s="3"/>
      <c r="E6169" s="7">
        <f t="shared" si="117"/>
        <v>2925850</v>
      </c>
      <c r="F6169" s="5">
        <v>45950</v>
      </c>
      <c r="G6169" s="4">
        <v>20251017</v>
      </c>
      <c r="H6169" s="38" t="str">
        <f>VLOOKUP(B6169,CAJEROS!B:D,3,0)</f>
        <v>Multifuncional</v>
      </c>
      <c r="I6169" s="34"/>
      <c r="J6169" s="38" t="str">
        <f>VLOOKUP(B6169,CAJEROS!B:E,4,0)</f>
        <v>MF_OVALLEDU</v>
      </c>
      <c r="K6169" t="s">
        <v>610</v>
      </c>
    </row>
    <row r="6170" spans="1:11">
      <c r="A6170" s="32">
        <v>623</v>
      </c>
      <c r="B6170" s="33">
        <v>7375</v>
      </c>
      <c r="C6170" s="3">
        <v>7840000</v>
      </c>
      <c r="D6170" s="3">
        <v>3080000</v>
      </c>
      <c r="E6170" s="7">
        <f t="shared" si="117"/>
        <v>4760000</v>
      </c>
      <c r="F6170" s="5">
        <v>45950</v>
      </c>
      <c r="G6170" s="4">
        <v>20251017</v>
      </c>
      <c r="H6170" s="38" t="str">
        <f>VLOOKUP(B6170,CAJEROS!B:D,3,0)</f>
        <v>Multifuncional</v>
      </c>
      <c r="I6170" s="34"/>
      <c r="J6170" s="38" t="str">
        <f>VLOOKUP(B6170,CAJEROS!B:E,4,0)</f>
        <v>MF_FUNDMAN2</v>
      </c>
      <c r="K6170" t="s">
        <v>610</v>
      </c>
    </row>
    <row r="6171" spans="1:11">
      <c r="A6171" s="32">
        <v>517</v>
      </c>
      <c r="B6171" s="33">
        <v>5053</v>
      </c>
      <c r="C6171" s="3">
        <v>3955000</v>
      </c>
      <c r="D6171" s="3">
        <v>565000</v>
      </c>
      <c r="E6171" s="7">
        <f t="shared" si="117"/>
        <v>3390000</v>
      </c>
      <c r="F6171" s="5">
        <v>45950</v>
      </c>
      <c r="G6171" s="4">
        <v>20251019</v>
      </c>
      <c r="H6171" s="38" t="str">
        <f>VLOOKUP(B6171,CAJEROS!B:D,3,0)</f>
        <v>Multifuncional</v>
      </c>
      <c r="I6171" s="34" t="s">
        <v>9</v>
      </c>
      <c r="J6171" s="38" t="str">
        <f>VLOOKUP(B6171,CAJEROS!B:E,4,0)</f>
        <v>MF_RODADERO</v>
      </c>
      <c r="K6171" t="s">
        <v>610</v>
      </c>
    </row>
    <row r="6172" spans="1:11">
      <c r="A6172" s="32">
        <v>61</v>
      </c>
      <c r="B6172" s="33">
        <v>788</v>
      </c>
      <c r="C6172" s="3">
        <v>3270000</v>
      </c>
      <c r="D6172" s="3">
        <v>3189950</v>
      </c>
      <c r="E6172" s="7">
        <f t="shared" si="117"/>
        <v>80050</v>
      </c>
      <c r="F6172" s="5">
        <v>45950</v>
      </c>
      <c r="G6172" s="4">
        <v>20251019</v>
      </c>
      <c r="H6172" s="38" t="str">
        <f>VLOOKUP(B6172,CAJEROS!B:D,3,0)</f>
        <v>Multifuncional</v>
      </c>
      <c r="I6172" s="34" t="s">
        <v>9</v>
      </c>
      <c r="J6172" s="38" t="str">
        <f>VLOOKUP(B6172,CAJEROS!B:E,4,0)</f>
        <v>MFSUCLAEST1</v>
      </c>
      <c r="K6172" t="s">
        <v>610</v>
      </c>
    </row>
    <row r="6173" spans="1:11">
      <c r="A6173" s="32">
        <v>795</v>
      </c>
      <c r="B6173" s="33">
        <v>1029</v>
      </c>
      <c r="C6173" s="3">
        <v>2840000</v>
      </c>
      <c r="D6173" s="3"/>
      <c r="E6173" s="7">
        <f t="shared" si="117"/>
        <v>2840000</v>
      </c>
      <c r="F6173" s="5">
        <v>45950</v>
      </c>
      <c r="G6173" s="4">
        <v>20251019</v>
      </c>
      <c r="H6173" s="38" t="str">
        <f>VLOOKUP(B6173,CAJEROS!B:D,3,0)</f>
        <v>Multifuncional</v>
      </c>
      <c r="I6173" s="34" t="s">
        <v>9</v>
      </c>
      <c r="J6173" s="38" t="str">
        <f>VLOOKUP(B6173,CAJEROS!B:E,4,0)</f>
        <v>MFSUCANVER3</v>
      </c>
      <c r="K6173" t="s">
        <v>610</v>
      </c>
    </row>
    <row r="6174" spans="1:11">
      <c r="A6174" s="32">
        <v>261</v>
      </c>
      <c r="B6174" s="33">
        <v>5048</v>
      </c>
      <c r="C6174" s="3">
        <v>2748500</v>
      </c>
      <c r="D6174" s="3">
        <v>1030000</v>
      </c>
      <c r="E6174" s="7">
        <f t="shared" si="117"/>
        <v>1718500</v>
      </c>
      <c r="F6174" s="5">
        <v>45950</v>
      </c>
      <c r="G6174" s="4">
        <v>20251019</v>
      </c>
      <c r="H6174" s="38" t="str">
        <f>VLOOKUP(B6174,CAJEROS!B:D,3,0)</f>
        <v>Multifuncional</v>
      </c>
      <c r="I6174" s="34" t="s">
        <v>9</v>
      </c>
      <c r="J6174" s="38" t="str">
        <f>VLOOKUP(B6174,CAJEROS!B:E,4,0)</f>
        <v>MF_CAMPANA</v>
      </c>
      <c r="K6174" t="s">
        <v>610</v>
      </c>
    </row>
    <row r="6175" spans="1:11">
      <c r="A6175" s="32">
        <v>481</v>
      </c>
      <c r="B6175" s="33">
        <v>1010</v>
      </c>
      <c r="C6175" s="3">
        <v>2724000</v>
      </c>
      <c r="D6175" s="3"/>
      <c r="E6175" s="7">
        <f t="shared" si="117"/>
        <v>2724000</v>
      </c>
      <c r="F6175" s="5">
        <v>45950</v>
      </c>
      <c r="G6175" s="4">
        <v>20251019</v>
      </c>
      <c r="H6175" s="38" t="str">
        <f>VLOOKUP(B6175,CAJEROS!B:D,3,0)</f>
        <v>Multifuncional</v>
      </c>
      <c r="I6175" s="34" t="s">
        <v>9</v>
      </c>
      <c r="J6175" s="38" t="str">
        <f>VLOOKUP(B6175,CAJEROS!B:E,4,0)</f>
        <v>MF_SOLEDAD1</v>
      </c>
      <c r="K6175" t="s">
        <v>610</v>
      </c>
    </row>
    <row r="6176" spans="1:11">
      <c r="A6176" s="32">
        <v>779</v>
      </c>
      <c r="B6176" s="33">
        <v>5013</v>
      </c>
      <c r="C6176" s="3">
        <v>2656100</v>
      </c>
      <c r="D6176" s="3"/>
      <c r="E6176" s="7">
        <f t="shared" si="117"/>
        <v>2656100</v>
      </c>
      <c r="F6176" s="5">
        <v>45950</v>
      </c>
      <c r="G6176" s="4">
        <v>20251019</v>
      </c>
      <c r="H6176" s="38" t="str">
        <f>VLOOKUP(B6176,CAJEROS!B:D,3,0)</f>
        <v>Multifuncional</v>
      </c>
      <c r="I6176" s="34" t="s">
        <v>9</v>
      </c>
      <c r="J6176" s="38" t="str">
        <f>VLOOKUP(B6176,CAJEROS!B:E,4,0)</f>
        <v>MF_BUENASM1</v>
      </c>
      <c r="K6176" t="s">
        <v>610</v>
      </c>
    </row>
    <row r="6177" spans="1:11">
      <c r="A6177" s="32">
        <v>367</v>
      </c>
      <c r="B6177" s="33">
        <v>9580</v>
      </c>
      <c r="C6177" s="3">
        <v>2650000</v>
      </c>
      <c r="D6177" s="3"/>
      <c r="E6177" s="7">
        <f t="shared" si="117"/>
        <v>2650000</v>
      </c>
      <c r="F6177" s="5">
        <v>45950</v>
      </c>
      <c r="G6177" s="4">
        <v>20251019</v>
      </c>
      <c r="H6177" s="38" t="str">
        <f>VLOOKUP(B6177,CAJEROS!B:D,3,0)</f>
        <v>Multifuncional</v>
      </c>
      <c r="I6177" s="34" t="s">
        <v>9</v>
      </c>
      <c r="J6177" s="38" t="str">
        <f>VLOOKUP(B6177,CAJEROS!B:E,4,0)</f>
        <v>MF_SUCGRAN1</v>
      </c>
      <c r="K6177" t="s">
        <v>610</v>
      </c>
    </row>
    <row r="6178" spans="1:11">
      <c r="A6178" s="32">
        <v>825</v>
      </c>
      <c r="B6178" s="33">
        <v>5023</v>
      </c>
      <c r="C6178" s="3">
        <v>2440000</v>
      </c>
      <c r="D6178" s="3">
        <f>150000+140000</f>
        <v>290000</v>
      </c>
      <c r="E6178" s="7">
        <f t="shared" si="117"/>
        <v>2150000</v>
      </c>
      <c r="F6178" s="5">
        <v>45950</v>
      </c>
      <c r="G6178" s="4">
        <v>20251019</v>
      </c>
      <c r="H6178" s="38" t="str">
        <f>VLOOKUP(B6178,CAJEROS!B:D,3,0)</f>
        <v>Multifuncional</v>
      </c>
      <c r="I6178" s="34" t="s">
        <v>9</v>
      </c>
      <c r="J6178" s="38" t="str">
        <f>VLOOKUP(B6178,CAJEROS!B:E,4,0)</f>
        <v>MF_ASTROCEN</v>
      </c>
      <c r="K6178" t="s">
        <v>610</v>
      </c>
    </row>
    <row r="6179" spans="1:11">
      <c r="A6179" s="32">
        <v>24</v>
      </c>
      <c r="B6179" s="33">
        <v>5066</v>
      </c>
      <c r="C6179" s="3">
        <v>2040050</v>
      </c>
      <c r="D6179" s="3"/>
      <c r="E6179" s="7">
        <f t="shared" si="117"/>
        <v>2040050</v>
      </c>
      <c r="F6179" s="5">
        <v>45950</v>
      </c>
      <c r="G6179" s="4">
        <v>20251019</v>
      </c>
      <c r="H6179" s="38" t="str">
        <f>VLOOKUP(B6179,CAJEROS!B:D,3,0)</f>
        <v>Multifuncional</v>
      </c>
      <c r="I6179" s="34" t="s">
        <v>9</v>
      </c>
      <c r="J6179" s="38" t="str">
        <f>VLOOKUP(B6179,CAJEROS!B:E,4,0)</f>
        <v>MF_RIONEGPA</v>
      </c>
      <c r="K6179" t="s">
        <v>610</v>
      </c>
    </row>
    <row r="6180" spans="1:11">
      <c r="A6180" s="32">
        <v>812</v>
      </c>
      <c r="B6180" s="33">
        <v>5144</v>
      </c>
      <c r="C6180" s="3">
        <v>2003500</v>
      </c>
      <c r="D6180" s="3"/>
      <c r="E6180" s="7">
        <f t="shared" si="117"/>
        <v>2003500</v>
      </c>
      <c r="F6180" s="5">
        <v>45950</v>
      </c>
      <c r="G6180" s="4">
        <v>20251019</v>
      </c>
      <c r="H6180" s="38" t="str">
        <f>VLOOKUP(B6180,CAJEROS!B:D,3,0)</f>
        <v>Multifuncional</v>
      </c>
      <c r="I6180" s="34" t="s">
        <v>9</v>
      </c>
      <c r="J6180" s="38" t="str">
        <f>VLOOKUP(B6180,CAJEROS!B:E,4,0)</f>
        <v>MF_CHPICHPE</v>
      </c>
      <c r="K6180" t="s">
        <v>610</v>
      </c>
    </row>
    <row r="6181" spans="1:11">
      <c r="A6181" s="32">
        <v>848</v>
      </c>
      <c r="B6181" s="33">
        <v>7374</v>
      </c>
      <c r="C6181" s="3">
        <v>2000000</v>
      </c>
      <c r="D6181" s="3">
        <v>200000</v>
      </c>
      <c r="E6181" s="7">
        <f t="shared" si="117"/>
        <v>1800000</v>
      </c>
      <c r="F6181" s="5">
        <v>45950</v>
      </c>
      <c r="G6181" s="4">
        <v>20251019</v>
      </c>
      <c r="H6181" s="38" t="str">
        <f>VLOOKUP(B6181,CAJEROS!B:D,3,0)</f>
        <v>Multifuncional</v>
      </c>
      <c r="I6181" s="34" t="s">
        <v>9</v>
      </c>
      <c r="J6181" s="38" t="str">
        <f>VLOOKUP(B6181,CAJEROS!B:E,4,0)</f>
        <v>MF_BUGA</v>
      </c>
      <c r="K6181" t="s">
        <v>610</v>
      </c>
    </row>
    <row r="6182" spans="1:11">
      <c r="A6182" s="32">
        <v>743</v>
      </c>
      <c r="B6182" s="33">
        <v>5106</v>
      </c>
      <c r="C6182" s="3">
        <v>1510000</v>
      </c>
      <c r="D6182" s="3"/>
      <c r="E6182" s="7">
        <f t="shared" si="117"/>
        <v>1510000</v>
      </c>
      <c r="F6182" s="5">
        <v>45950</v>
      </c>
      <c r="G6182" s="4">
        <v>20251019</v>
      </c>
      <c r="H6182" s="38" t="str">
        <f>VLOOKUP(B6182,CAJEROS!B:D,3,0)</f>
        <v>Multifuncional</v>
      </c>
      <c r="I6182" s="34" t="s">
        <v>9</v>
      </c>
      <c r="J6182" s="38" t="str">
        <f>VLOOKUP(B6182,CAJEROS!B:E,4,0)</f>
        <v>MF_NORTHPOI</v>
      </c>
      <c r="K6182" t="s">
        <v>610</v>
      </c>
    </row>
    <row r="6183" spans="1:11">
      <c r="A6183" s="32">
        <v>728</v>
      </c>
      <c r="B6183" s="33">
        <v>8586</v>
      </c>
      <c r="C6183" s="3">
        <v>1470000</v>
      </c>
      <c r="D6183" s="3">
        <f>1155100+300000</f>
        <v>1455100</v>
      </c>
      <c r="E6183" s="7">
        <f t="shared" si="117"/>
        <v>14900</v>
      </c>
      <c r="F6183" s="5">
        <v>45950</v>
      </c>
      <c r="G6183" s="4">
        <v>20251019</v>
      </c>
      <c r="H6183" s="38" t="str">
        <f>VLOOKUP(B6183,CAJEROS!B:D,3,0)</f>
        <v>Multifuncional</v>
      </c>
      <c r="I6183" s="34" t="s">
        <v>9</v>
      </c>
      <c r="J6183" s="38" t="str">
        <f>VLOOKUP(B6183,CAJEROS!B:E,4,0)</f>
        <v>MF_SUCCART1</v>
      </c>
      <c r="K6183" t="s">
        <v>610</v>
      </c>
    </row>
    <row r="6184" spans="1:11">
      <c r="A6184" s="32">
        <v>15</v>
      </c>
      <c r="B6184" s="33">
        <v>8576</v>
      </c>
      <c r="C6184" s="3">
        <v>1110000</v>
      </c>
      <c r="D6184" s="3"/>
      <c r="E6184" s="7">
        <f t="shared" si="117"/>
        <v>1110000</v>
      </c>
      <c r="F6184" s="5">
        <v>45950</v>
      </c>
      <c r="G6184" s="4">
        <v>20251019</v>
      </c>
      <c r="H6184" s="38" t="str">
        <f>VLOOKUP(B6184,CAJEROS!B:D,3,0)</f>
        <v>Multifuncional</v>
      </c>
      <c r="I6184" s="34" t="s">
        <v>9</v>
      </c>
      <c r="J6184" s="38" t="str">
        <f>VLOOKUP(B6184,CAJEROS!B:E,4,0)</f>
        <v>MF_HITAGUI1</v>
      </c>
      <c r="K6184" t="s">
        <v>610</v>
      </c>
    </row>
    <row r="6185" spans="1:11">
      <c r="A6185" s="32">
        <v>467</v>
      </c>
      <c r="B6185" s="33">
        <v>9051</v>
      </c>
      <c r="C6185" s="3">
        <v>1080000</v>
      </c>
      <c r="D6185" s="3"/>
      <c r="E6185" s="7">
        <f t="shared" si="117"/>
        <v>1080000</v>
      </c>
      <c r="F6185" s="5">
        <v>45950</v>
      </c>
      <c r="G6185" s="4">
        <v>20251019</v>
      </c>
      <c r="H6185" s="38" t="str">
        <f>VLOOKUP(B6185,CAJEROS!B:D,3,0)</f>
        <v>Multifuncional</v>
      </c>
      <c r="I6185" s="34" t="s">
        <v>9</v>
      </c>
      <c r="J6185" s="38" t="str">
        <f>VLOOKUP(B6185,CAJEROS!B:E,4,0)</f>
        <v>MFHDVERPLZ1</v>
      </c>
      <c r="K6185" t="s">
        <v>610</v>
      </c>
    </row>
    <row r="6186" spans="1:11">
      <c r="A6186" s="32">
        <v>907</v>
      </c>
      <c r="B6186" s="33">
        <v>5019</v>
      </c>
      <c r="C6186" s="3">
        <v>955000</v>
      </c>
      <c r="D6186" s="3"/>
      <c r="E6186" s="7">
        <f t="shared" si="117"/>
        <v>955000</v>
      </c>
      <c r="F6186" s="5">
        <v>45950</v>
      </c>
      <c r="G6186" s="4">
        <v>20251019</v>
      </c>
      <c r="H6186" s="38" t="str">
        <f>VLOOKUP(B6186,CAJEROS!B:D,3,0)</f>
        <v>Multifuncional</v>
      </c>
      <c r="I6186" s="34" t="s">
        <v>9</v>
      </c>
      <c r="J6186" s="38" t="str">
        <f>VLOOKUP(B6186,CAJEROS!B:E,4,0)</f>
        <v>MF_FRONTERA</v>
      </c>
      <c r="K6186" t="s">
        <v>610</v>
      </c>
    </row>
    <row r="6187" spans="1:11">
      <c r="A6187" s="32">
        <v>442</v>
      </c>
      <c r="B6187" s="33">
        <v>8887</v>
      </c>
      <c r="C6187" s="3">
        <v>952000</v>
      </c>
      <c r="D6187" s="3"/>
      <c r="E6187" s="7">
        <f t="shared" si="117"/>
        <v>952000</v>
      </c>
      <c r="F6187" s="5">
        <v>45950</v>
      </c>
      <c r="G6187" s="4">
        <v>20251019</v>
      </c>
      <c r="H6187" s="38" t="str">
        <f>VLOOKUP(B6187,CAJEROS!B:D,3,0)</f>
        <v>Multifuncional</v>
      </c>
      <c r="I6187" s="34" t="s">
        <v>9</v>
      </c>
      <c r="J6187" s="38" t="str">
        <f>VLOOKUP(B6187,CAJEROS!B:E,4,0)</f>
        <v>MFVIVABQUI1</v>
      </c>
      <c r="K6187" t="s">
        <v>610</v>
      </c>
    </row>
    <row r="6188" spans="1:11">
      <c r="A6188" s="32">
        <v>167</v>
      </c>
      <c r="B6188" s="33">
        <v>5030</v>
      </c>
      <c r="C6188" s="3">
        <v>800050</v>
      </c>
      <c r="D6188" s="3">
        <f>797400+1200</f>
        <v>798600</v>
      </c>
      <c r="E6188" s="7">
        <f t="shared" si="117"/>
        <v>1450</v>
      </c>
      <c r="F6188" s="5">
        <v>45950</v>
      </c>
      <c r="G6188" s="4">
        <v>20251019</v>
      </c>
      <c r="H6188" s="38" t="str">
        <f>VLOOKUP(B6188,CAJEROS!B:D,3,0)</f>
        <v>Multifuncional</v>
      </c>
      <c r="I6188" s="34" t="s">
        <v>9</v>
      </c>
      <c r="J6188" s="38" t="str">
        <f>VLOOKUP(B6188,CAJEROS!B:E,4,0)</f>
        <v>MF_AVENID82</v>
      </c>
      <c r="K6188" t="s">
        <v>610</v>
      </c>
    </row>
    <row r="6189" spans="1:11">
      <c r="A6189" s="32">
        <v>6</v>
      </c>
      <c r="B6189" s="33">
        <v>5001</v>
      </c>
      <c r="C6189" s="3">
        <v>570000</v>
      </c>
      <c r="D6189" s="3">
        <v>70000</v>
      </c>
      <c r="E6189" s="7">
        <f t="shared" si="117"/>
        <v>500000</v>
      </c>
      <c r="F6189" s="5">
        <v>45950</v>
      </c>
      <c r="G6189" s="4">
        <v>20251019</v>
      </c>
      <c r="H6189" s="38" t="str">
        <f>VLOOKUP(B6189,CAJEROS!B:D,3,0)</f>
        <v>Multifuncional</v>
      </c>
      <c r="I6189" s="34" t="s">
        <v>9</v>
      </c>
      <c r="J6189" s="38" t="str">
        <f>VLOOKUP(B6189,CAJEROS!B:E,4,0)</f>
        <v>MF_AVJUNIN</v>
      </c>
      <c r="K6189" t="s">
        <v>610</v>
      </c>
    </row>
    <row r="6190" spans="1:11">
      <c r="A6190" s="32">
        <v>337</v>
      </c>
      <c r="B6190" s="33">
        <v>6253</v>
      </c>
      <c r="C6190" s="3">
        <v>444200</v>
      </c>
      <c r="D6190" s="3"/>
      <c r="E6190" s="7">
        <f t="shared" si="117"/>
        <v>444200</v>
      </c>
      <c r="F6190" s="5">
        <v>45950</v>
      </c>
      <c r="G6190" s="4">
        <v>20251019</v>
      </c>
      <c r="H6190" s="38" t="str">
        <f>VLOOKUP(B6190,CAJEROS!B:D,3,0)</f>
        <v>Multifuncional</v>
      </c>
      <c r="I6190" s="34" t="s">
        <v>9</v>
      </c>
      <c r="J6190" s="38" t="str">
        <f>VLOOKUP(B6190,CAJEROS!B:E,4,0)</f>
        <v>MF_CHIA</v>
      </c>
      <c r="K6190" t="s">
        <v>610</v>
      </c>
    </row>
    <row r="6191" spans="1:11">
      <c r="A6191" s="32">
        <v>890</v>
      </c>
      <c r="B6191" s="33">
        <v>9584</v>
      </c>
      <c r="C6191" s="3">
        <v>340000</v>
      </c>
      <c r="D6191" s="3">
        <v>140000</v>
      </c>
      <c r="E6191" s="7">
        <f t="shared" si="117"/>
        <v>200000</v>
      </c>
      <c r="F6191" s="5">
        <v>45950</v>
      </c>
      <c r="G6191" s="4">
        <v>20251019</v>
      </c>
      <c r="H6191" s="38" t="str">
        <f>VLOOKUP(B6191,CAJEROS!B:D,3,0)</f>
        <v>Multifuncional</v>
      </c>
      <c r="I6191" s="34" t="s">
        <v>9</v>
      </c>
      <c r="J6191" s="38" t="str">
        <f>VLOOKUP(B6191,CAJEROS!B:E,4,0)</f>
        <v>MFSUCACACI1</v>
      </c>
      <c r="K6191" t="s">
        <v>610</v>
      </c>
    </row>
    <row r="6192" spans="1:11">
      <c r="A6192" s="32">
        <v>267</v>
      </c>
      <c r="B6192" s="33">
        <v>6186</v>
      </c>
      <c r="C6192" s="3">
        <v>325000</v>
      </c>
      <c r="D6192" s="3"/>
      <c r="E6192" s="7">
        <f t="shared" si="117"/>
        <v>325000</v>
      </c>
      <c r="F6192" s="5">
        <v>45950</v>
      </c>
      <c r="G6192" s="4">
        <v>20251019</v>
      </c>
      <c r="H6192" s="38" t="str">
        <f>VLOOKUP(B6192,CAJEROS!B:D,3,0)</f>
        <v>Multifuncional</v>
      </c>
      <c r="I6192" s="34" t="s">
        <v>9</v>
      </c>
      <c r="J6192" s="38" t="str">
        <f>VLOOKUP(B6192,CAJEROS!B:E,4,0)</f>
        <v>MF_VISITACI</v>
      </c>
      <c r="K6192" t="s">
        <v>610</v>
      </c>
    </row>
    <row r="6193" spans="1:11">
      <c r="A6193" s="32">
        <v>60</v>
      </c>
      <c r="B6193" s="33">
        <v>8727</v>
      </c>
      <c r="C6193" s="3">
        <v>308900</v>
      </c>
      <c r="D6193" s="3"/>
      <c r="E6193" s="7">
        <f t="shared" si="117"/>
        <v>308900</v>
      </c>
      <c r="F6193" s="5">
        <v>45950</v>
      </c>
      <c r="G6193" s="4">
        <v>20251019</v>
      </c>
      <c r="H6193" s="38" t="str">
        <f>VLOOKUP(B6193,CAJEROS!B:D,3,0)</f>
        <v>Multifuncional</v>
      </c>
      <c r="I6193" s="34" t="s">
        <v>9</v>
      </c>
      <c r="J6193" s="38" t="str">
        <f>VLOOKUP(B6193,CAJEROS!B:E,4,0)</f>
        <v>MF_HCALIPR1</v>
      </c>
      <c r="K6193" t="s">
        <v>610</v>
      </c>
    </row>
    <row r="6194" spans="1:11">
      <c r="A6194" s="32">
        <v>541</v>
      </c>
      <c r="B6194" s="33">
        <v>8660</v>
      </c>
      <c r="C6194" s="3">
        <v>290000</v>
      </c>
      <c r="D6194" s="3"/>
      <c r="E6194" s="7">
        <f t="shared" si="117"/>
        <v>290000</v>
      </c>
      <c r="F6194" s="5">
        <v>45950</v>
      </c>
      <c r="G6194" s="4">
        <v>20251019</v>
      </c>
      <c r="H6194" s="38" t="str">
        <f>VLOOKUP(B6194,CAJEROS!B:D,3,0)</f>
        <v>Multifuncional</v>
      </c>
      <c r="I6194" s="34" t="s">
        <v>9</v>
      </c>
      <c r="J6194" s="38" t="str">
        <f>VLOOKUP(B6194,CAJEROS!B:E,4,0)</f>
        <v>MF_SUCCALP2</v>
      </c>
      <c r="K6194" t="s">
        <v>610</v>
      </c>
    </row>
    <row r="6195" spans="1:11">
      <c r="A6195" s="32">
        <v>601</v>
      </c>
      <c r="B6195" s="33">
        <v>6407</v>
      </c>
      <c r="C6195" s="3">
        <v>130000</v>
      </c>
      <c r="D6195" s="3"/>
      <c r="E6195" s="7">
        <f t="shared" si="117"/>
        <v>130000</v>
      </c>
      <c r="F6195" s="5">
        <v>45950</v>
      </c>
      <c r="G6195" s="4">
        <v>20251019</v>
      </c>
      <c r="H6195" s="38" t="str">
        <f>VLOOKUP(B6195,CAJEROS!B:D,3,0)</f>
        <v>Multifuncional</v>
      </c>
      <c r="I6195" s="34" t="s">
        <v>9</v>
      </c>
      <c r="J6195" s="38" t="str">
        <f>VLOOKUP(B6195,CAJEROS!B:E,4,0)</f>
        <v>MF_COLINACA</v>
      </c>
      <c r="K6195" t="s">
        <v>610</v>
      </c>
    </row>
    <row r="6196" spans="1:11">
      <c r="A6196" s="32">
        <v>331</v>
      </c>
      <c r="B6196" s="33">
        <v>575</v>
      </c>
      <c r="C6196" s="3">
        <v>117850</v>
      </c>
      <c r="D6196" s="3"/>
      <c r="E6196" s="7">
        <f t="shared" si="117"/>
        <v>117850</v>
      </c>
      <c r="F6196" s="5">
        <v>45950</v>
      </c>
      <c r="G6196" s="4">
        <v>20251019</v>
      </c>
      <c r="H6196" s="38" t="str">
        <f>VLOOKUP(B6196,CAJEROS!B:D,3,0)</f>
        <v>Multifuncional</v>
      </c>
      <c r="I6196" s="34" t="s">
        <v>9</v>
      </c>
      <c r="J6196" s="38" t="str">
        <f>VLOOKUP(B6196,CAJEROS!B:E,4,0)</f>
        <v>MF_SUCARKA2</v>
      </c>
      <c r="K6196" t="s">
        <v>610</v>
      </c>
    </row>
    <row r="6197" spans="1:11">
      <c r="A6197" s="32">
        <v>253</v>
      </c>
      <c r="B6197" s="33">
        <v>5176</v>
      </c>
      <c r="C6197" s="3">
        <v>99700</v>
      </c>
      <c r="D6197" s="3"/>
      <c r="E6197" s="7">
        <f t="shared" si="117"/>
        <v>99700</v>
      </c>
      <c r="F6197" s="5">
        <v>45950</v>
      </c>
      <c r="G6197" s="4">
        <v>20251019</v>
      </c>
      <c r="H6197" s="38" t="str">
        <f>VLOOKUP(B6197,CAJEROS!B:D,3,0)</f>
        <v>Multifuncional</v>
      </c>
      <c r="I6197" s="34" t="s">
        <v>9</v>
      </c>
      <c r="J6197" s="38" t="str">
        <f>VLOOKUP(B6197,CAJEROS!B:E,4,0)</f>
        <v>MF_SPTANORT</v>
      </c>
      <c r="K6197" t="s">
        <v>610</v>
      </c>
    </row>
    <row r="6198" spans="1:11">
      <c r="A6198" s="32">
        <v>457</v>
      </c>
      <c r="B6198" s="33">
        <v>9004</v>
      </c>
      <c r="C6198" s="3">
        <v>90000</v>
      </c>
      <c r="D6198" s="3"/>
      <c r="E6198" s="7">
        <f t="shared" si="117"/>
        <v>90000</v>
      </c>
      <c r="F6198" s="5">
        <v>45950</v>
      </c>
      <c r="G6198" s="4">
        <v>20251019</v>
      </c>
      <c r="H6198" s="38" t="str">
        <f>VLOOKUP(B6198,CAJEROS!B:D,3,0)</f>
        <v>Multifuncional</v>
      </c>
      <c r="I6198" s="34" t="s">
        <v>9</v>
      </c>
      <c r="J6198" s="38" t="str">
        <f>VLOOKUP(B6198,CAJEROS!B:E,4,0)</f>
        <v>MF_SSANPED1</v>
      </c>
      <c r="K6198" t="s">
        <v>610</v>
      </c>
    </row>
    <row r="6199" spans="1:11">
      <c r="A6199" s="32">
        <v>193</v>
      </c>
      <c r="B6199" s="33">
        <v>8537</v>
      </c>
      <c r="C6199" s="3">
        <v>75000</v>
      </c>
      <c r="D6199" s="3">
        <v>50000</v>
      </c>
      <c r="E6199" s="7">
        <f t="shared" si="117"/>
        <v>25000</v>
      </c>
      <c r="F6199" s="5">
        <v>45950</v>
      </c>
      <c r="G6199" s="4">
        <v>20251019</v>
      </c>
      <c r="H6199" s="38" t="str">
        <f>VLOOKUP(B6199,CAJEROS!B:D,3,0)</f>
        <v>Multifuncional</v>
      </c>
      <c r="I6199" s="34" t="s">
        <v>9</v>
      </c>
      <c r="J6199" s="38" t="str">
        <f>VLOOKUP(B6199,CAJEROS!B:E,4,0)</f>
        <v>MF_HSUCFIC1</v>
      </c>
      <c r="K6199" t="s">
        <v>610</v>
      </c>
    </row>
    <row r="6200" spans="1:11">
      <c r="A6200" s="32">
        <v>40</v>
      </c>
      <c r="B6200" s="33">
        <v>5142</v>
      </c>
      <c r="C6200" s="3">
        <v>40000</v>
      </c>
      <c r="D6200" s="3"/>
      <c r="E6200" s="7">
        <f t="shared" si="117"/>
        <v>40000</v>
      </c>
      <c r="F6200" s="5">
        <v>45950</v>
      </c>
      <c r="G6200" s="4">
        <v>20251019</v>
      </c>
      <c r="H6200" s="38" t="str">
        <f>VLOOKUP(B6200,CAJEROS!B:D,3,0)</f>
        <v>Multifuncional</v>
      </c>
      <c r="I6200" s="34" t="s">
        <v>9</v>
      </c>
      <c r="J6200" s="38" t="str">
        <f>VLOOKUP(B6200,CAJEROS!B:E,4,0)</f>
        <v>MF_CENTRO93</v>
      </c>
      <c r="K6200" t="s">
        <v>610</v>
      </c>
    </row>
    <row r="6201" spans="1:11">
      <c r="A6201" s="32">
        <v>115</v>
      </c>
      <c r="B6201" s="33">
        <v>5080</v>
      </c>
      <c r="C6201" s="3">
        <v>4840000</v>
      </c>
      <c r="D6201" s="3"/>
      <c r="E6201" s="7">
        <f t="shared" si="117"/>
        <v>4840000</v>
      </c>
      <c r="F6201" s="5">
        <v>45951</v>
      </c>
      <c r="G6201" s="4">
        <v>20251020</v>
      </c>
      <c r="H6201" s="38" t="str">
        <f>VLOOKUP(B6201,CAJEROS!B:D,3,0)</f>
        <v>Multifuncional</v>
      </c>
      <c r="I6201" s="34"/>
      <c r="J6201" s="38" t="str">
        <f>VLOOKUP(B6201,CAJEROS!B:E,4,0)</f>
        <v>MF_CIPEREIR</v>
      </c>
      <c r="K6201" t="s">
        <v>610</v>
      </c>
    </row>
    <row r="6202" spans="1:11">
      <c r="A6202" s="32">
        <v>198</v>
      </c>
      <c r="B6202" s="33">
        <v>5179</v>
      </c>
      <c r="C6202" s="3">
        <v>5902000</v>
      </c>
      <c r="D6202" s="3">
        <v>2423000</v>
      </c>
      <c r="E6202" s="7">
        <f t="shared" si="117"/>
        <v>3479000</v>
      </c>
      <c r="F6202" s="5">
        <v>45951</v>
      </c>
      <c r="G6202" s="4">
        <v>20251020</v>
      </c>
      <c r="H6202" s="38" t="str">
        <f>VLOOKUP(B6202,CAJEROS!B:D,3,0)</f>
        <v>Multifuncional</v>
      </c>
      <c r="I6202" s="34"/>
      <c r="J6202" s="38" t="str">
        <f>VLOOKUP(B6202,CAJEROS!B:E,4,0)</f>
        <v>MF_CENTSUBA</v>
      </c>
      <c r="K6202" t="s">
        <v>610</v>
      </c>
    </row>
    <row r="6203" spans="1:11">
      <c r="A6203" s="32">
        <v>211</v>
      </c>
      <c r="B6203" s="33">
        <v>5067</v>
      </c>
      <c r="C6203" s="3">
        <v>110000</v>
      </c>
      <c r="D6203" s="3"/>
      <c r="E6203" s="7">
        <f t="shared" si="117"/>
        <v>110000</v>
      </c>
      <c r="F6203" s="5">
        <v>45951</v>
      </c>
      <c r="G6203" s="4">
        <v>20251020</v>
      </c>
      <c r="H6203" s="38" t="str">
        <f>VLOOKUP(B6203,CAJEROS!B:D,3,0)</f>
        <v>Multifuncional</v>
      </c>
      <c r="I6203" s="34"/>
      <c r="J6203" s="38" t="str">
        <f>VLOOKUP(B6203,CAJEROS!B:E,4,0)</f>
        <v>MF_SCTROIND</v>
      </c>
      <c r="K6203" t="s">
        <v>610</v>
      </c>
    </row>
    <row r="6204" spans="1:11">
      <c r="A6204" s="32">
        <v>229</v>
      </c>
      <c r="B6204" s="33">
        <v>9604</v>
      </c>
      <c r="C6204" s="3">
        <v>2001500</v>
      </c>
      <c r="D6204" s="3"/>
      <c r="E6204" s="7">
        <f t="shared" si="117"/>
        <v>2001500</v>
      </c>
      <c r="F6204" s="5">
        <v>45951</v>
      </c>
      <c r="G6204" s="4">
        <v>20251020</v>
      </c>
      <c r="H6204" s="38" t="str">
        <f>VLOOKUP(B6204,CAJEROS!B:D,3,0)</f>
        <v>Multifuncional</v>
      </c>
      <c r="I6204" s="34"/>
      <c r="J6204" s="38" t="str">
        <f>VLOOKUP(B6204,CAJEROS!B:E,4,0)</f>
        <v>MFSUCPASER1</v>
      </c>
      <c r="K6204" t="s">
        <v>610</v>
      </c>
    </row>
    <row r="6205" spans="1:11">
      <c r="A6205" s="32">
        <v>383</v>
      </c>
      <c r="B6205" s="33">
        <v>5194</v>
      </c>
      <c r="C6205" s="3">
        <v>630000</v>
      </c>
      <c r="D6205" s="3"/>
      <c r="E6205" s="7">
        <f t="shared" si="117"/>
        <v>630000</v>
      </c>
      <c r="F6205" s="5">
        <v>45951</v>
      </c>
      <c r="G6205" s="4">
        <v>20251020</v>
      </c>
      <c r="H6205" s="38" t="str">
        <f>VLOOKUP(B6205,CAJEROS!B:D,3,0)</f>
        <v>Multifuncional</v>
      </c>
      <c r="I6205" s="34"/>
      <c r="J6205" s="38" t="str">
        <f>VLOOKUP(B6205,CAJEROS!B:E,4,0)</f>
        <v>MF_MADRID</v>
      </c>
      <c r="K6205" t="s">
        <v>610</v>
      </c>
    </row>
    <row r="6206" spans="1:11">
      <c r="A6206" s="32">
        <v>556</v>
      </c>
      <c r="B6206" s="33">
        <v>8333</v>
      </c>
      <c r="C6206" s="3">
        <v>564000</v>
      </c>
      <c r="D6206" s="3"/>
      <c r="E6206" s="7">
        <f t="shared" si="117"/>
        <v>564000</v>
      </c>
      <c r="F6206" s="5">
        <v>45951</v>
      </c>
      <c r="G6206" s="4">
        <v>20251020</v>
      </c>
      <c r="H6206" s="38" t="str">
        <f>VLOOKUP(B6206,CAJEROS!B:D,3,0)</f>
        <v>Multifuncional</v>
      </c>
      <c r="I6206" s="34"/>
      <c r="J6206" s="38" t="str">
        <f>VLOOKUP(B6206,CAJEROS!B:E,4,0)</f>
        <v>MF_SCARVIB1</v>
      </c>
      <c r="K6206" t="s">
        <v>610</v>
      </c>
    </row>
    <row r="6207" spans="1:11">
      <c r="A6207" s="32">
        <v>844</v>
      </c>
      <c r="B6207" s="33">
        <v>6169</v>
      </c>
      <c r="C6207" s="3">
        <v>3900000</v>
      </c>
      <c r="D6207" s="3">
        <v>1510000</v>
      </c>
      <c r="E6207" s="7">
        <f t="shared" si="117"/>
        <v>2390000</v>
      </c>
      <c r="F6207" s="5">
        <v>45951</v>
      </c>
      <c r="G6207" s="4">
        <v>20251020</v>
      </c>
      <c r="H6207" s="38" t="str">
        <f>VLOOKUP(B6207,CAJEROS!B:D,3,0)</f>
        <v>Multifuncional</v>
      </c>
      <c r="I6207" s="34" t="s">
        <v>9</v>
      </c>
      <c r="J6207" s="38" t="str">
        <f>VLOOKUP(B6207,CAJEROS!B:E,4,0)</f>
        <v>MF_PRIMAVRA</v>
      </c>
      <c r="K6207" t="s">
        <v>610</v>
      </c>
    </row>
    <row r="6208" spans="1:11">
      <c r="A6208" s="32">
        <v>395</v>
      </c>
      <c r="B6208" s="33">
        <v>1528</v>
      </c>
      <c r="C6208" s="3">
        <v>3847300</v>
      </c>
      <c r="D6208" s="3">
        <v>2340000</v>
      </c>
      <c r="E6208" s="7">
        <f t="shared" si="117"/>
        <v>1507300</v>
      </c>
      <c r="F6208" s="5">
        <v>45951</v>
      </c>
      <c r="G6208" s="4">
        <v>20251020</v>
      </c>
      <c r="H6208" s="38" t="str">
        <f>VLOOKUP(B6208,CAJEROS!B:D,3,0)</f>
        <v>Multifuncional</v>
      </c>
      <c r="I6208" s="34" t="s">
        <v>9</v>
      </c>
      <c r="J6208" s="38" t="str">
        <f>VLOOKUP(B6208,CAJEROS!B:E,4,0)</f>
        <v>SUCMFVIVCI1</v>
      </c>
      <c r="K6208" t="s">
        <v>610</v>
      </c>
    </row>
    <row r="6209" spans="1:11">
      <c r="A6209" s="32">
        <v>432</v>
      </c>
      <c r="B6209" s="33">
        <v>5195</v>
      </c>
      <c r="C6209" s="3">
        <v>3833700</v>
      </c>
      <c r="D6209" s="3"/>
      <c r="E6209" s="7">
        <f t="shared" si="117"/>
        <v>3833700</v>
      </c>
      <c r="F6209" s="5">
        <v>45951</v>
      </c>
      <c r="G6209" s="4">
        <v>20251020</v>
      </c>
      <c r="H6209" s="38" t="str">
        <f>VLOOKUP(B6209,CAJEROS!B:D,3,0)</f>
        <v>Multifuncional</v>
      </c>
      <c r="I6209" s="34" t="s">
        <v>9</v>
      </c>
      <c r="J6209" s="38" t="str">
        <f>VLOOKUP(B6209,CAJEROS!B:E,4,0)</f>
        <v>MF_TTEDLSU1</v>
      </c>
      <c r="K6209" t="s">
        <v>610</v>
      </c>
    </row>
    <row r="6210" spans="1:11">
      <c r="A6210" s="32">
        <v>509</v>
      </c>
      <c r="B6210" s="33">
        <v>8835</v>
      </c>
      <c r="C6210" s="3">
        <v>3720000</v>
      </c>
      <c r="D6210" s="3"/>
      <c r="E6210" s="7">
        <f t="shared" si="117"/>
        <v>3720000</v>
      </c>
      <c r="F6210" s="5">
        <v>45951</v>
      </c>
      <c r="G6210" s="4">
        <v>20251020</v>
      </c>
      <c r="H6210" s="38" t="str">
        <f>VLOOKUP(B6210,CAJEROS!B:D,3,0)</f>
        <v>Multifuncional</v>
      </c>
      <c r="I6210" s="34" t="s">
        <v>9</v>
      </c>
      <c r="J6210" s="38" t="str">
        <f>VLOOKUP(B6210,CAJEROS!B:E,4,0)</f>
        <v>MFTSUCURB1</v>
      </c>
      <c r="K6210" t="s">
        <v>610</v>
      </c>
    </row>
    <row r="6211" spans="1:11">
      <c r="A6211" s="32">
        <v>253</v>
      </c>
      <c r="B6211" s="33">
        <v>5176</v>
      </c>
      <c r="C6211" s="3">
        <v>3300000</v>
      </c>
      <c r="D6211" s="3">
        <f>1181300+1680000</f>
        <v>2861300</v>
      </c>
      <c r="E6211" s="7">
        <f t="shared" si="117"/>
        <v>438700</v>
      </c>
      <c r="F6211" s="5">
        <v>45951</v>
      </c>
      <c r="G6211" s="4">
        <v>20251020</v>
      </c>
      <c r="H6211" s="38" t="str">
        <f>VLOOKUP(B6211,CAJEROS!B:D,3,0)</f>
        <v>Multifuncional</v>
      </c>
      <c r="I6211" s="34" t="s">
        <v>9</v>
      </c>
      <c r="J6211" s="38" t="str">
        <f>VLOOKUP(B6211,CAJEROS!B:E,4,0)</f>
        <v>MF_SPTANORT</v>
      </c>
      <c r="K6211" t="s">
        <v>610</v>
      </c>
    </row>
    <row r="6212" spans="1:11">
      <c r="A6212" s="32">
        <v>392</v>
      </c>
      <c r="B6212" s="33">
        <v>5064</v>
      </c>
      <c r="C6212" s="3">
        <v>3120000</v>
      </c>
      <c r="D6212" s="3"/>
      <c r="E6212" s="7">
        <f t="shared" si="117"/>
        <v>3120000</v>
      </c>
      <c r="F6212" s="5">
        <v>45951</v>
      </c>
      <c r="G6212" s="4">
        <v>20251020</v>
      </c>
      <c r="H6212" s="38" t="str">
        <f>VLOOKUP(B6212,CAJEROS!B:D,3,0)</f>
        <v>Multifuncional</v>
      </c>
      <c r="I6212" s="34" t="s">
        <v>9</v>
      </c>
      <c r="J6212" s="38" t="str">
        <f>VLOOKUP(B6212,CAJEROS!B:E,4,0)</f>
        <v>MF_LADORADA</v>
      </c>
      <c r="K6212" t="s">
        <v>610</v>
      </c>
    </row>
    <row r="6213" spans="1:11">
      <c r="A6213" s="32">
        <v>879</v>
      </c>
      <c r="B6213" s="33">
        <v>5045</v>
      </c>
      <c r="C6213" s="3">
        <v>2600050</v>
      </c>
      <c r="D6213" s="3"/>
      <c r="E6213" s="7">
        <f t="shared" si="117"/>
        <v>2600050</v>
      </c>
      <c r="F6213" s="5">
        <v>45951</v>
      </c>
      <c r="G6213" s="4">
        <v>20251020</v>
      </c>
      <c r="H6213" s="38" t="str">
        <f>VLOOKUP(B6213,CAJEROS!B:D,3,0)</f>
        <v>Multifuncional</v>
      </c>
      <c r="I6213" s="34" t="s">
        <v>9</v>
      </c>
      <c r="J6213" s="38" t="str">
        <f>VLOOKUP(B6213,CAJEROS!B:E,4,0)</f>
        <v>MF_UNPASTO</v>
      </c>
      <c r="K6213" t="s">
        <v>610</v>
      </c>
    </row>
    <row r="6214" spans="1:11">
      <c r="A6214" s="32">
        <v>795</v>
      </c>
      <c r="B6214" s="33">
        <v>1028</v>
      </c>
      <c r="C6214" s="3">
        <v>2540000</v>
      </c>
      <c r="D6214" s="3">
        <v>90000</v>
      </c>
      <c r="E6214" s="7">
        <f t="shared" si="117"/>
        <v>2450000</v>
      </c>
      <c r="F6214" s="5">
        <v>45951</v>
      </c>
      <c r="G6214" s="4">
        <v>20251020</v>
      </c>
      <c r="H6214" s="38" t="str">
        <f>VLOOKUP(B6214,CAJEROS!B:D,3,0)</f>
        <v>Multifuncional</v>
      </c>
      <c r="I6214" s="34" t="s">
        <v>9</v>
      </c>
      <c r="J6214" s="38" t="str">
        <f>VLOOKUP(B6214,CAJEROS!B:E,4,0)</f>
        <v>MFSUCANVER2</v>
      </c>
      <c r="K6214" t="s">
        <v>610</v>
      </c>
    </row>
    <row r="6215" spans="1:11">
      <c r="A6215" s="32">
        <v>957</v>
      </c>
      <c r="B6215" s="33">
        <v>9512</v>
      </c>
      <c r="C6215" s="3">
        <v>2495000</v>
      </c>
      <c r="D6215" s="3">
        <v>2390000</v>
      </c>
      <c r="E6215" s="7">
        <f t="shared" si="117"/>
        <v>105000</v>
      </c>
      <c r="F6215" s="5">
        <v>45951</v>
      </c>
      <c r="G6215" s="4">
        <v>20251020</v>
      </c>
      <c r="H6215" s="38" t="str">
        <f>VLOOKUP(B6215,CAJEROS!B:D,3,0)</f>
        <v>Multifuncional</v>
      </c>
      <c r="I6215" s="34" t="s">
        <v>9</v>
      </c>
      <c r="J6215" s="38" t="str">
        <f>VLOOKUP(B6215,CAJEROS!B:E,4,0)</f>
        <v>MFSUCPARAL1</v>
      </c>
      <c r="K6215" t="s">
        <v>610</v>
      </c>
    </row>
    <row r="6216" spans="1:11">
      <c r="A6216" s="32">
        <v>244</v>
      </c>
      <c r="B6216" s="33">
        <v>5129</v>
      </c>
      <c r="C6216" s="3">
        <v>2435000</v>
      </c>
      <c r="D6216" s="3"/>
      <c r="E6216" s="7">
        <f t="shared" si="117"/>
        <v>2435000</v>
      </c>
      <c r="F6216" s="5">
        <v>45951</v>
      </c>
      <c r="G6216" s="4">
        <v>20251020</v>
      </c>
      <c r="H6216" s="38" t="str">
        <f>VLOOKUP(B6216,CAJEROS!B:D,3,0)</f>
        <v>Multifuncional</v>
      </c>
      <c r="I6216" s="34" t="s">
        <v>9</v>
      </c>
      <c r="J6216" s="38" t="str">
        <f>VLOOKUP(B6216,CAJEROS!B:E,4,0)</f>
        <v>MF_TRIGALAN</v>
      </c>
      <c r="K6216" t="s">
        <v>610</v>
      </c>
    </row>
    <row r="6217" spans="1:11">
      <c r="A6217" s="32">
        <v>331</v>
      </c>
      <c r="B6217" s="33">
        <v>574</v>
      </c>
      <c r="C6217" s="3">
        <v>2430000</v>
      </c>
      <c r="D6217" s="3">
        <v>830000</v>
      </c>
      <c r="E6217" s="7">
        <f t="shared" si="117"/>
        <v>1600000</v>
      </c>
      <c r="F6217" s="5">
        <v>45951</v>
      </c>
      <c r="G6217" s="4">
        <v>20251020</v>
      </c>
      <c r="H6217" s="38" t="str">
        <f>VLOOKUP(B6217,CAJEROS!B:D,3,0)</f>
        <v>Multifuncional</v>
      </c>
      <c r="I6217" s="34" t="s">
        <v>9</v>
      </c>
      <c r="J6217" s="38" t="str">
        <f>VLOOKUP(B6217,CAJEROS!B:E,4,0)</f>
        <v>MF_SUCARKA1</v>
      </c>
      <c r="K6217" t="s">
        <v>610</v>
      </c>
    </row>
    <row r="6218" spans="1:11">
      <c r="A6218" s="32">
        <v>795</v>
      </c>
      <c r="B6218" s="33">
        <v>1027</v>
      </c>
      <c r="C6218" s="3">
        <v>2335000</v>
      </c>
      <c r="D6218" s="3">
        <v>1575000</v>
      </c>
      <c r="E6218" s="7">
        <f t="shared" si="117"/>
        <v>760000</v>
      </c>
      <c r="F6218" s="5">
        <v>45951</v>
      </c>
      <c r="G6218" s="4">
        <v>20251020</v>
      </c>
      <c r="H6218" s="38" t="str">
        <f>VLOOKUP(B6218,CAJEROS!B:D,3,0)</f>
        <v>Multifuncional</v>
      </c>
      <c r="I6218" s="34" t="s">
        <v>9</v>
      </c>
      <c r="J6218" s="38" t="str">
        <f>VLOOKUP(B6218,CAJEROS!B:E,4,0)</f>
        <v>MFSUCANVER1</v>
      </c>
      <c r="K6218" t="s">
        <v>610</v>
      </c>
    </row>
    <row r="6219" spans="1:11">
      <c r="A6219" s="32">
        <v>907</v>
      </c>
      <c r="B6219" s="33">
        <v>5019</v>
      </c>
      <c r="C6219" s="3">
        <v>2170000</v>
      </c>
      <c r="D6219" s="3"/>
      <c r="E6219" s="7">
        <f t="shared" ref="E6219:E6282" si="118">+C6219-D6219</f>
        <v>2170000</v>
      </c>
      <c r="F6219" s="5">
        <v>45951</v>
      </c>
      <c r="G6219" s="4">
        <v>20251020</v>
      </c>
      <c r="H6219" s="38" t="str">
        <f>VLOOKUP(B6219,CAJEROS!B:D,3,0)</f>
        <v>Multifuncional</v>
      </c>
      <c r="I6219" s="34" t="s">
        <v>9</v>
      </c>
      <c r="J6219" s="38" t="str">
        <f>VLOOKUP(B6219,CAJEROS!B:E,4,0)</f>
        <v>MF_FRONTERA</v>
      </c>
      <c r="K6219" t="s">
        <v>610</v>
      </c>
    </row>
    <row r="6220" spans="1:11">
      <c r="A6220" s="32">
        <v>723</v>
      </c>
      <c r="B6220" s="33">
        <v>5046</v>
      </c>
      <c r="C6220" s="3">
        <v>2145000</v>
      </c>
      <c r="D6220" s="3">
        <v>895000</v>
      </c>
      <c r="E6220" s="7">
        <f t="shared" si="118"/>
        <v>1250000</v>
      </c>
      <c r="F6220" s="5">
        <v>45951</v>
      </c>
      <c r="G6220" s="4">
        <v>20251020</v>
      </c>
      <c r="H6220" s="38" t="str">
        <f>VLOOKUP(B6220,CAJEROS!B:D,3,0)</f>
        <v>Multifuncional</v>
      </c>
      <c r="I6220" s="34" t="s">
        <v>9</v>
      </c>
      <c r="J6220" s="38" t="str">
        <f>VLOOKUP(B6220,CAJEROS!B:E,4,0)</f>
        <v>MF_PARBOLED</v>
      </c>
      <c r="K6220" t="s">
        <v>610</v>
      </c>
    </row>
    <row r="6221" spans="1:11">
      <c r="A6221" s="32">
        <v>363</v>
      </c>
      <c r="B6221" s="33">
        <v>5168</v>
      </c>
      <c r="C6221" s="3">
        <v>1771000</v>
      </c>
      <c r="D6221" s="3">
        <v>707500</v>
      </c>
      <c r="E6221" s="7">
        <f t="shared" si="118"/>
        <v>1063500</v>
      </c>
      <c r="F6221" s="5">
        <v>45951</v>
      </c>
      <c r="G6221" s="4">
        <v>20251020</v>
      </c>
      <c r="H6221" s="38" t="str">
        <f>VLOOKUP(B6221,CAJEROS!B:D,3,0)</f>
        <v>Multifuncional</v>
      </c>
      <c r="I6221" s="34" t="s">
        <v>9</v>
      </c>
      <c r="J6221" s="38" t="str">
        <f>VLOOKUP(B6221,CAJEROS!B:E,4,0)</f>
        <v>MF_YOPAL</v>
      </c>
      <c r="K6221" t="s">
        <v>610</v>
      </c>
    </row>
    <row r="6222" spans="1:11">
      <c r="A6222" s="32">
        <v>367</v>
      </c>
      <c r="B6222" s="33">
        <v>9580</v>
      </c>
      <c r="C6222" s="3">
        <v>1490000</v>
      </c>
      <c r="D6222" s="3"/>
      <c r="E6222" s="7">
        <f t="shared" si="118"/>
        <v>1490000</v>
      </c>
      <c r="F6222" s="5">
        <v>45951</v>
      </c>
      <c r="G6222" s="4">
        <v>20251020</v>
      </c>
      <c r="H6222" s="38" t="str">
        <f>VLOOKUP(B6222,CAJEROS!B:D,3,0)</f>
        <v>Multifuncional</v>
      </c>
      <c r="I6222" s="34" t="s">
        <v>9</v>
      </c>
      <c r="J6222" s="38" t="str">
        <f>VLOOKUP(B6222,CAJEROS!B:E,4,0)</f>
        <v>MF_SUCGRAN1</v>
      </c>
      <c r="K6222" t="s">
        <v>610</v>
      </c>
    </row>
    <row r="6223" spans="1:11">
      <c r="A6223" s="32">
        <v>523</v>
      </c>
      <c r="B6223" s="33">
        <v>5082</v>
      </c>
      <c r="C6223" s="3">
        <v>1247000</v>
      </c>
      <c r="D6223" s="3"/>
      <c r="E6223" s="7">
        <f t="shared" si="118"/>
        <v>1247000</v>
      </c>
      <c r="F6223" s="5">
        <v>45951</v>
      </c>
      <c r="G6223" s="4">
        <v>20251020</v>
      </c>
      <c r="H6223" s="38" t="str">
        <f>VLOOKUP(B6223,CAJEROS!B:D,3,0)</f>
        <v>Multifuncional</v>
      </c>
      <c r="I6223" s="34" t="s">
        <v>9</v>
      </c>
      <c r="J6223" s="38" t="str">
        <f>VLOOKUP(B6223,CAJEROS!B:E,4,0)</f>
        <v>MF_OVALLEDU</v>
      </c>
      <c r="K6223" t="s">
        <v>610</v>
      </c>
    </row>
    <row r="6224" spans="1:11">
      <c r="A6224" s="32">
        <v>318</v>
      </c>
      <c r="B6224" s="33">
        <v>5136</v>
      </c>
      <c r="C6224" s="3">
        <v>1069600</v>
      </c>
      <c r="D6224" s="3"/>
      <c r="E6224" s="7">
        <f t="shared" si="118"/>
        <v>1069600</v>
      </c>
      <c r="F6224" s="5">
        <v>45951</v>
      </c>
      <c r="G6224" s="4">
        <v>20251020</v>
      </c>
      <c r="H6224" s="38" t="str">
        <f>VLOOKUP(B6224,CAJEROS!B:D,3,0)</f>
        <v>Multifuncional</v>
      </c>
      <c r="I6224" s="34" t="s">
        <v>9</v>
      </c>
      <c r="J6224" s="38" t="str">
        <f>VLOOKUP(B6224,CAJEROS!B:E,4,0)</f>
        <v>MF_SUCOCANA</v>
      </c>
      <c r="K6224" t="s">
        <v>610</v>
      </c>
    </row>
    <row r="6225" spans="1:11">
      <c r="A6225" s="32">
        <v>4</v>
      </c>
      <c r="B6225" s="33">
        <v>8630</v>
      </c>
      <c r="C6225" s="3">
        <v>1050000</v>
      </c>
      <c r="D6225" s="3">
        <v>1044950</v>
      </c>
      <c r="E6225" s="7">
        <f t="shared" si="118"/>
        <v>5050</v>
      </c>
      <c r="F6225" s="5">
        <v>45951</v>
      </c>
      <c r="G6225" s="4">
        <v>20251020</v>
      </c>
      <c r="H6225" s="38" t="str">
        <f>VLOOKUP(B6225,CAJEROS!B:D,3,0)</f>
        <v>Multifuncional</v>
      </c>
      <c r="I6225" s="34" t="s">
        <v>9</v>
      </c>
      <c r="J6225" s="38" t="str">
        <f>VLOOKUP(B6225,CAJEROS!B:E,4,0)</f>
        <v>MF_SUCLAUR1</v>
      </c>
      <c r="K6225" t="s">
        <v>610</v>
      </c>
    </row>
    <row r="6226" spans="1:11">
      <c r="A6226" s="32">
        <v>481</v>
      </c>
      <c r="B6226" s="33">
        <v>1010</v>
      </c>
      <c r="C6226" s="3">
        <v>745000</v>
      </c>
      <c r="D6226" s="3"/>
      <c r="E6226" s="7">
        <f t="shared" si="118"/>
        <v>745000</v>
      </c>
      <c r="F6226" s="5">
        <v>45951</v>
      </c>
      <c r="G6226" s="4">
        <v>20251020</v>
      </c>
      <c r="H6226" s="38" t="str">
        <f>VLOOKUP(B6226,CAJEROS!B:D,3,0)</f>
        <v>Multifuncional</v>
      </c>
      <c r="I6226" s="34" t="s">
        <v>9</v>
      </c>
      <c r="J6226" s="38" t="str">
        <f>VLOOKUP(B6226,CAJEROS!B:E,4,0)</f>
        <v>MF_SOLEDAD1</v>
      </c>
      <c r="K6226" t="s">
        <v>610</v>
      </c>
    </row>
    <row r="6227" spans="1:11">
      <c r="A6227" s="32">
        <v>623</v>
      </c>
      <c r="B6227" s="33">
        <v>7375</v>
      </c>
      <c r="C6227" s="3">
        <v>735000</v>
      </c>
      <c r="D6227" s="3"/>
      <c r="E6227" s="7">
        <f t="shared" si="118"/>
        <v>735000</v>
      </c>
      <c r="F6227" s="5">
        <v>45951</v>
      </c>
      <c r="G6227" s="4">
        <v>20251020</v>
      </c>
      <c r="H6227" s="38" t="str">
        <f>VLOOKUP(B6227,CAJEROS!B:D,3,0)</f>
        <v>Multifuncional</v>
      </c>
      <c r="I6227" s="34" t="s">
        <v>9</v>
      </c>
      <c r="J6227" s="38" t="str">
        <f>VLOOKUP(B6227,CAJEROS!B:E,4,0)</f>
        <v>MF_FUNDMAN2</v>
      </c>
      <c r="K6227" t="s">
        <v>610</v>
      </c>
    </row>
    <row r="6228" spans="1:11">
      <c r="A6228" s="32">
        <v>70</v>
      </c>
      <c r="B6228" s="33">
        <v>5164</v>
      </c>
      <c r="C6228" s="3">
        <v>710000</v>
      </c>
      <c r="D6228" s="3"/>
      <c r="E6228" s="7">
        <f t="shared" si="118"/>
        <v>710000</v>
      </c>
      <c r="F6228" s="5">
        <v>45951</v>
      </c>
      <c r="G6228" s="4">
        <v>20251020</v>
      </c>
      <c r="H6228" s="38" t="str">
        <f>VLOOKUP(B6228,CAJEROS!B:D,3,0)</f>
        <v>Multifuncional</v>
      </c>
      <c r="I6228" s="34" t="s">
        <v>9</v>
      </c>
      <c r="J6228" s="38" t="str">
        <f>VLOOKUP(B6228,CAJEROS!B:E,4,0)</f>
        <v>MF_MANIZALE</v>
      </c>
      <c r="K6228" t="s">
        <v>610</v>
      </c>
    </row>
    <row r="6229" spans="1:11">
      <c r="A6229" s="32">
        <v>609</v>
      </c>
      <c r="B6229" s="33">
        <v>7875</v>
      </c>
      <c r="C6229" s="3">
        <v>690000</v>
      </c>
      <c r="D6229" s="3"/>
      <c r="E6229" s="7">
        <f t="shared" si="118"/>
        <v>690000</v>
      </c>
      <c r="F6229" s="5">
        <v>45951</v>
      </c>
      <c r="G6229" s="4">
        <v>20251020</v>
      </c>
      <c r="H6229" s="38" t="str">
        <f>VLOOKUP(B6229,CAJEROS!B:D,3,0)</f>
        <v>Multifuncional</v>
      </c>
      <c r="I6229" s="34" t="s">
        <v>9</v>
      </c>
      <c r="J6229" s="38" t="str">
        <f>VLOOKUP(B6229,CAJEROS!B:E,4,0)</f>
        <v>MFSUCABAST1</v>
      </c>
      <c r="K6229" t="s">
        <v>610</v>
      </c>
    </row>
    <row r="6230" spans="1:11">
      <c r="A6230" s="32">
        <v>454</v>
      </c>
      <c r="B6230" s="33">
        <v>5231</v>
      </c>
      <c r="C6230" s="3">
        <v>660000</v>
      </c>
      <c r="D6230" s="3"/>
      <c r="E6230" s="7">
        <f t="shared" si="118"/>
        <v>660000</v>
      </c>
      <c r="F6230" s="5">
        <v>45951</v>
      </c>
      <c r="G6230" s="4">
        <v>20251020</v>
      </c>
      <c r="H6230" s="38" t="str">
        <f>VLOOKUP(B6230,CAJEROS!B:D,3,0)</f>
        <v>Multifuncional</v>
      </c>
      <c r="I6230" s="34" t="s">
        <v>9</v>
      </c>
      <c r="J6230" s="38" t="str">
        <f>VLOOKUP(B6230,CAJEROS!B:E,4,0)</f>
        <v>MF_5TAVENID</v>
      </c>
      <c r="K6230" t="s">
        <v>610</v>
      </c>
    </row>
    <row r="6231" spans="1:11">
      <c r="A6231" s="32">
        <v>849</v>
      </c>
      <c r="B6231" s="33">
        <v>9725</v>
      </c>
      <c r="C6231" s="3">
        <v>580000</v>
      </c>
      <c r="D6231" s="3"/>
      <c r="E6231" s="7">
        <f t="shared" si="118"/>
        <v>580000</v>
      </c>
      <c r="F6231" s="5">
        <v>45951</v>
      </c>
      <c r="G6231" s="4">
        <v>20251020</v>
      </c>
      <c r="H6231" s="38" t="str">
        <f>VLOOKUP(B6231,CAJEROS!B:D,3,0)</f>
        <v>Multifuncional</v>
      </c>
      <c r="I6231" s="34" t="s">
        <v>9</v>
      </c>
      <c r="J6231" s="38" t="str">
        <f>VLOOKUP(B6231,CAJEROS!B:E,4,0)</f>
        <v>MF_SUNIVIL2</v>
      </c>
      <c r="K6231" t="s">
        <v>610</v>
      </c>
    </row>
    <row r="6232" spans="1:11">
      <c r="A6232" s="32">
        <v>337</v>
      </c>
      <c r="B6232" s="33">
        <v>6253</v>
      </c>
      <c r="C6232" s="3">
        <v>555000</v>
      </c>
      <c r="D6232" s="3">
        <v>490000</v>
      </c>
      <c r="E6232" s="7">
        <f t="shared" si="118"/>
        <v>65000</v>
      </c>
      <c r="F6232" s="5">
        <v>45951</v>
      </c>
      <c r="G6232" s="4">
        <v>20251020</v>
      </c>
      <c r="H6232" s="38" t="str">
        <f>VLOOKUP(B6232,CAJEROS!B:D,3,0)</f>
        <v>Multifuncional</v>
      </c>
      <c r="I6232" s="34" t="s">
        <v>9</v>
      </c>
      <c r="J6232" s="38" t="str">
        <f>VLOOKUP(B6232,CAJEROS!B:E,4,0)</f>
        <v>MF_CHIA</v>
      </c>
      <c r="K6232" t="s">
        <v>610</v>
      </c>
    </row>
    <row r="6233" spans="1:11">
      <c r="A6233" s="32">
        <v>941</v>
      </c>
      <c r="B6233" s="33">
        <v>5220</v>
      </c>
      <c r="C6233" s="3">
        <v>550000</v>
      </c>
      <c r="D6233" s="3"/>
      <c r="E6233" s="7">
        <f t="shared" si="118"/>
        <v>550000</v>
      </c>
      <c r="F6233" s="5">
        <v>45951</v>
      </c>
      <c r="G6233" s="4">
        <v>20251020</v>
      </c>
      <c r="H6233" s="38" t="str">
        <f>VLOOKUP(B6233,CAJEROS!B:D,3,0)</f>
        <v>Multifuncional</v>
      </c>
      <c r="I6233" s="34" t="s">
        <v>9</v>
      </c>
      <c r="J6233" s="38" t="str">
        <f>VLOOKUP(B6233,CAJEROS!B:E,4,0)</f>
        <v>MF_NEIVANVA</v>
      </c>
      <c r="K6233" t="s">
        <v>610</v>
      </c>
    </row>
    <row r="6234" spans="1:11">
      <c r="A6234" s="32">
        <v>551</v>
      </c>
      <c r="B6234" s="33">
        <v>9644</v>
      </c>
      <c r="C6234" s="3">
        <v>520000</v>
      </c>
      <c r="D6234" s="3"/>
      <c r="E6234" s="7">
        <f t="shared" si="118"/>
        <v>520000</v>
      </c>
      <c r="F6234" s="5">
        <v>45951</v>
      </c>
      <c r="G6234" s="4">
        <v>20251020</v>
      </c>
      <c r="H6234" s="38" t="str">
        <f>VLOOKUP(B6234,CAJEROS!B:D,3,0)</f>
        <v>Multifuncional</v>
      </c>
      <c r="I6234" s="34" t="s">
        <v>9</v>
      </c>
      <c r="J6234" s="38" t="str">
        <f>VLOOKUP(B6234,CAJEROS!B:E,4,0)</f>
        <v>MFSUCUNIME2</v>
      </c>
      <c r="K6234" t="s">
        <v>610</v>
      </c>
    </row>
    <row r="6235" spans="1:11">
      <c r="A6235" s="32">
        <v>261</v>
      </c>
      <c r="B6235" s="33">
        <v>5048</v>
      </c>
      <c r="C6235" s="3">
        <v>480000</v>
      </c>
      <c r="D6235" s="3"/>
      <c r="E6235" s="7">
        <f t="shared" si="118"/>
        <v>480000</v>
      </c>
      <c r="F6235" s="5">
        <v>45951</v>
      </c>
      <c r="G6235" s="4">
        <v>20251020</v>
      </c>
      <c r="H6235" s="38" t="str">
        <f>VLOOKUP(B6235,CAJEROS!B:D,3,0)</f>
        <v>Multifuncional</v>
      </c>
      <c r="I6235" s="34" t="s">
        <v>9</v>
      </c>
      <c r="J6235" s="38" t="str">
        <f>VLOOKUP(B6235,CAJEROS!B:E,4,0)</f>
        <v>MF_CAMPANA</v>
      </c>
      <c r="K6235" t="s">
        <v>610</v>
      </c>
    </row>
    <row r="6236" spans="1:11">
      <c r="A6236" s="32">
        <v>517</v>
      </c>
      <c r="B6236" s="33">
        <v>5053</v>
      </c>
      <c r="C6236" s="3">
        <v>430000</v>
      </c>
      <c r="D6236" s="3"/>
      <c r="E6236" s="7">
        <f t="shared" si="118"/>
        <v>430000</v>
      </c>
      <c r="F6236" s="5">
        <v>45951</v>
      </c>
      <c r="G6236" s="4">
        <v>20251020</v>
      </c>
      <c r="H6236" s="38" t="str">
        <f>VLOOKUP(B6236,CAJEROS!B:D,3,0)</f>
        <v>Multifuncional</v>
      </c>
      <c r="I6236" s="34" t="s">
        <v>9</v>
      </c>
      <c r="J6236" s="38" t="str">
        <f>VLOOKUP(B6236,CAJEROS!B:E,4,0)</f>
        <v>MF_RODADERO</v>
      </c>
      <c r="K6236" t="s">
        <v>610</v>
      </c>
    </row>
    <row r="6237" spans="1:11">
      <c r="A6237" s="32">
        <v>656</v>
      </c>
      <c r="B6237" s="33">
        <v>5103</v>
      </c>
      <c r="C6237" s="3">
        <v>396600</v>
      </c>
      <c r="D6237" s="3"/>
      <c r="E6237" s="7">
        <f t="shared" si="118"/>
        <v>396600</v>
      </c>
      <c r="F6237" s="5">
        <v>45951</v>
      </c>
      <c r="G6237" s="4">
        <v>20251020</v>
      </c>
      <c r="H6237" s="38" t="str">
        <f>VLOOKUP(B6237,CAJEROS!B:D,3,0)</f>
        <v>Multifuncional</v>
      </c>
      <c r="I6237" s="34" t="s">
        <v>9</v>
      </c>
      <c r="J6237" s="38" t="str">
        <f>VLOOKUP(B6237,CAJEROS!B:E,4,0)</f>
        <v>MF_MAYPLAZA</v>
      </c>
      <c r="K6237" t="s">
        <v>610</v>
      </c>
    </row>
    <row r="6238" spans="1:11">
      <c r="A6238" s="32">
        <v>829</v>
      </c>
      <c r="B6238" s="33">
        <v>5137</v>
      </c>
      <c r="C6238" s="3">
        <v>380000</v>
      </c>
      <c r="D6238" s="3"/>
      <c r="E6238" s="7">
        <f t="shared" si="118"/>
        <v>380000</v>
      </c>
      <c r="F6238" s="5">
        <v>45951</v>
      </c>
      <c r="G6238" s="4">
        <v>20251020</v>
      </c>
      <c r="H6238" s="38" t="str">
        <f>VLOOKUP(B6238,CAJEROS!B:D,3,0)</f>
        <v>Multifuncional</v>
      </c>
      <c r="I6238" s="34" t="s">
        <v>9</v>
      </c>
      <c r="J6238" s="38" t="str">
        <f>VLOOKUP(B6238,CAJEROS!B:E,4,0)</f>
        <v>MF_UNICALI1</v>
      </c>
      <c r="K6238" t="s">
        <v>610</v>
      </c>
    </row>
    <row r="6239" spans="1:11">
      <c r="A6239" s="32">
        <v>166</v>
      </c>
      <c r="B6239" s="33">
        <v>7939</v>
      </c>
      <c r="C6239" s="3">
        <v>370000</v>
      </c>
      <c r="D6239" s="3"/>
      <c r="E6239" s="7">
        <f t="shared" si="118"/>
        <v>370000</v>
      </c>
      <c r="F6239" s="5">
        <v>45951</v>
      </c>
      <c r="G6239" s="4">
        <v>20251020</v>
      </c>
      <c r="H6239" s="38" t="str">
        <f>VLOOKUP(B6239,CAJEROS!B:D,3,0)</f>
        <v>Multifuncional</v>
      </c>
      <c r="I6239" s="34" t="s">
        <v>9</v>
      </c>
      <c r="J6239" s="38" t="str">
        <f>VLOOKUP(B6239,CAJEROS!B:E,4,0)</f>
        <v>MF_ALDELSI1</v>
      </c>
      <c r="K6239" t="s">
        <v>610</v>
      </c>
    </row>
    <row r="6240" spans="1:11">
      <c r="A6240" s="32">
        <v>725</v>
      </c>
      <c r="B6240" s="33">
        <v>8090</v>
      </c>
      <c r="C6240" s="3">
        <v>160000</v>
      </c>
      <c r="D6240" s="3">
        <v>155000</v>
      </c>
      <c r="E6240" s="7">
        <f t="shared" si="118"/>
        <v>5000</v>
      </c>
      <c r="F6240" s="5">
        <v>45951</v>
      </c>
      <c r="G6240" s="4">
        <v>20251020</v>
      </c>
      <c r="H6240" s="38" t="str">
        <f>VLOOKUP(B6240,CAJEROS!B:D,3,0)</f>
        <v>Multifuncional</v>
      </c>
      <c r="I6240" s="34" t="s">
        <v>9</v>
      </c>
      <c r="J6240" s="38" t="str">
        <f>VLOOKUP(B6240,CAJEROS!B:E,4,0)</f>
        <v>MF_DOSQUEB2</v>
      </c>
      <c r="K6240" t="s">
        <v>610</v>
      </c>
    </row>
    <row r="6241" spans="1:11">
      <c r="A6241" s="32">
        <v>73</v>
      </c>
      <c r="B6241" s="33">
        <v>5108</v>
      </c>
      <c r="C6241" s="3">
        <v>100000</v>
      </c>
      <c r="D6241" s="3"/>
      <c r="E6241" s="7">
        <f t="shared" si="118"/>
        <v>100000</v>
      </c>
      <c r="F6241" s="5">
        <v>45951</v>
      </c>
      <c r="G6241" s="4">
        <v>20251020</v>
      </c>
      <c r="H6241" s="38" t="str">
        <f>VLOOKUP(B6241,CAJEROS!B:D,3,0)</f>
        <v>Multifuncional</v>
      </c>
      <c r="I6241" s="34" t="s">
        <v>9</v>
      </c>
      <c r="J6241" s="38" t="str">
        <f>VLOOKUP(B6241,CAJEROS!B:E,4,0)</f>
        <v>MF_PEREIRA</v>
      </c>
      <c r="K6241" t="s">
        <v>610</v>
      </c>
    </row>
    <row r="6242" spans="1:11">
      <c r="A6242" s="32">
        <v>541</v>
      </c>
      <c r="B6242" s="33">
        <v>8660</v>
      </c>
      <c r="C6242" s="3">
        <v>100000</v>
      </c>
      <c r="D6242" s="3"/>
      <c r="E6242" s="7">
        <f t="shared" si="118"/>
        <v>100000</v>
      </c>
      <c r="F6242" s="5">
        <v>45951</v>
      </c>
      <c r="G6242" s="4">
        <v>20251020</v>
      </c>
      <c r="H6242" s="38" t="str">
        <f>VLOOKUP(B6242,CAJEROS!B:D,3,0)</f>
        <v>Multifuncional</v>
      </c>
      <c r="I6242" s="34" t="s">
        <v>9</v>
      </c>
      <c r="J6242" s="38" t="str">
        <f>VLOOKUP(B6242,CAJEROS!B:E,4,0)</f>
        <v>MF_SUCCALP2</v>
      </c>
      <c r="K6242" t="s">
        <v>610</v>
      </c>
    </row>
    <row r="6243" spans="1:11">
      <c r="A6243" s="32">
        <v>141</v>
      </c>
      <c r="B6243" s="33">
        <v>1541</v>
      </c>
      <c r="C6243" s="3">
        <v>65000</v>
      </c>
      <c r="D6243" s="3"/>
      <c r="E6243" s="7">
        <f t="shared" si="118"/>
        <v>65000</v>
      </c>
      <c r="F6243" s="5">
        <v>45951</v>
      </c>
      <c r="G6243" s="4">
        <v>20251020</v>
      </c>
      <c r="H6243" s="38" t="str">
        <f>VLOOKUP(B6243,CAJEROS!B:D,3,0)</f>
        <v>Multifuncional</v>
      </c>
      <c r="I6243" s="34" t="s">
        <v>9</v>
      </c>
      <c r="J6243" s="38" t="str">
        <f>VLOOKUP(B6243,CAJEROS!B:E,4,0)</f>
        <v>MFSUCMERCA1</v>
      </c>
      <c r="K6243" t="s">
        <v>610</v>
      </c>
    </row>
    <row r="6244" spans="1:11">
      <c r="A6244" s="32">
        <v>793</v>
      </c>
      <c r="B6244" s="33">
        <v>5216</v>
      </c>
      <c r="C6244" s="3">
        <v>60000</v>
      </c>
      <c r="D6244" s="3"/>
      <c r="E6244" s="7">
        <f t="shared" si="118"/>
        <v>60000</v>
      </c>
      <c r="F6244" s="5">
        <v>45951</v>
      </c>
      <c r="G6244" s="4">
        <v>20251020</v>
      </c>
      <c r="H6244" s="38" t="str">
        <f>VLOOKUP(B6244,CAJEROS!B:D,3,0)</f>
        <v>Multifuncional</v>
      </c>
      <c r="I6244" s="34" t="s">
        <v>9</v>
      </c>
      <c r="J6244" s="38" t="str">
        <f>VLOOKUP(B6244,CAJEROS!B:E,4,0)</f>
        <v>MF_PROFENAL</v>
      </c>
      <c r="K6244" t="s">
        <v>610</v>
      </c>
    </row>
    <row r="6245" spans="1:11">
      <c r="A6245" s="32">
        <v>764</v>
      </c>
      <c r="B6245" s="33">
        <v>6715</v>
      </c>
      <c r="C6245" s="3">
        <v>3850600</v>
      </c>
      <c r="D6245" s="3">
        <f>3350600+36100</f>
        <v>3386700</v>
      </c>
      <c r="E6245" s="7">
        <f t="shared" si="118"/>
        <v>463900</v>
      </c>
      <c r="F6245" s="5">
        <v>45951</v>
      </c>
      <c r="G6245" s="4">
        <v>20251020</v>
      </c>
      <c r="H6245" s="38" t="str">
        <f>VLOOKUP(B6245,CAJEROS!B:D,3,0)</f>
        <v>Multifuncional</v>
      </c>
      <c r="I6245" s="34" t="s">
        <v>611</v>
      </c>
      <c r="J6245" s="38" t="str">
        <f>VLOOKUP(B6245,CAJEROS!B:E,4,0)</f>
        <v>MF_JAMUNDI</v>
      </c>
      <c r="K6245" t="s">
        <v>610</v>
      </c>
    </row>
    <row r="6246" spans="1:11">
      <c r="A6246" s="32">
        <v>162</v>
      </c>
      <c r="B6246" s="33">
        <v>1620</v>
      </c>
      <c r="C6246" s="3">
        <v>150000</v>
      </c>
      <c r="D6246" s="3"/>
      <c r="E6246" s="7">
        <f t="shared" si="118"/>
        <v>150000</v>
      </c>
      <c r="F6246" s="5">
        <v>45947</v>
      </c>
      <c r="G6246" s="4">
        <v>20251016</v>
      </c>
      <c r="H6246" s="38" t="str">
        <f>VLOOKUP(B6246,CAJEROS!B:D,3,0)</f>
        <v>Dispensador</v>
      </c>
      <c r="I6246" s="34" t="s">
        <v>612</v>
      </c>
      <c r="J6246" s="38" t="str">
        <f>VLOOKUP(B6246,CAJEROS!B:E,4,0)</f>
        <v>SAN_PEDRO</v>
      </c>
      <c r="K6246" t="s">
        <v>610</v>
      </c>
    </row>
    <row r="6247" spans="1:11">
      <c r="A6247" s="32">
        <v>229</v>
      </c>
      <c r="B6247" s="33">
        <v>8956</v>
      </c>
      <c r="C6247" s="3">
        <v>50000</v>
      </c>
      <c r="D6247" s="3"/>
      <c r="E6247" s="7">
        <f t="shared" si="118"/>
        <v>50000</v>
      </c>
      <c r="F6247" s="5">
        <v>45951</v>
      </c>
      <c r="G6247" s="4">
        <v>20251020</v>
      </c>
      <c r="H6247" s="38" t="str">
        <f>VLOOKUP(B6247,CAJEROS!B:D,3,0)</f>
        <v>Dispensador</v>
      </c>
      <c r="I6247" s="34"/>
      <c r="J6247" s="38" t="str">
        <f>VLOOKUP(B6247,CAJEROS!B:E,4,0)</f>
        <v>SUCPASERIO2</v>
      </c>
      <c r="K6247" t="s">
        <v>610</v>
      </c>
    </row>
    <row r="6248" spans="1:11">
      <c r="A6248" s="32">
        <v>289</v>
      </c>
      <c r="B6248" s="33">
        <v>8225</v>
      </c>
      <c r="C6248" s="3">
        <v>650000</v>
      </c>
      <c r="D6248" s="3"/>
      <c r="E6248" s="7">
        <f t="shared" si="118"/>
        <v>650000</v>
      </c>
      <c r="F6248" s="5">
        <v>45951</v>
      </c>
      <c r="G6248" s="4">
        <v>20251020</v>
      </c>
      <c r="H6248" s="38" t="str">
        <f>VLOOKUP(B6248,CAJEROS!B:D,3,0)</f>
        <v>Dispensador</v>
      </c>
      <c r="I6248" s="34"/>
      <c r="J6248" s="38" t="str">
        <f>VLOOKUP(B6248,CAJEROS!B:E,4,0)</f>
        <v>PUERTO_GAI4</v>
      </c>
      <c r="K6248" t="s">
        <v>610</v>
      </c>
    </row>
    <row r="6249" spans="1:11">
      <c r="A6249" s="32">
        <v>291</v>
      </c>
      <c r="B6249" s="33">
        <v>2911</v>
      </c>
      <c r="C6249" s="3">
        <v>4740000</v>
      </c>
      <c r="D6249" s="3">
        <v>300000</v>
      </c>
      <c r="E6249" s="7">
        <f t="shared" si="118"/>
        <v>4440000</v>
      </c>
      <c r="F6249" s="5">
        <v>45951</v>
      </c>
      <c r="G6249" s="4">
        <v>20251020</v>
      </c>
      <c r="H6249" s="38" t="str">
        <f>VLOOKUP(B6249,CAJEROS!B:D,3,0)</f>
        <v>Dispensador</v>
      </c>
      <c r="I6249" s="34"/>
      <c r="J6249" s="38" t="str">
        <f>VLOOKUP(B6249,CAJEROS!B:E,4,0)</f>
        <v>BGA_CAB_2</v>
      </c>
      <c r="K6249" t="s">
        <v>610</v>
      </c>
    </row>
    <row r="6250" spans="1:11">
      <c r="A6250" s="32">
        <v>348</v>
      </c>
      <c r="B6250" s="33">
        <v>9007</v>
      </c>
      <c r="C6250" s="3">
        <v>100000</v>
      </c>
      <c r="D6250" s="3"/>
      <c r="E6250" s="7">
        <f t="shared" si="118"/>
        <v>100000</v>
      </c>
      <c r="F6250" s="5">
        <v>45951</v>
      </c>
      <c r="G6250" s="4">
        <v>20251020</v>
      </c>
      <c r="H6250" s="38" t="str">
        <f>VLOOKUP(B6250,CAJEROS!B:D,3,0)</f>
        <v>Dispensador</v>
      </c>
      <c r="I6250" s="34"/>
      <c r="J6250" s="38" t="str">
        <f>VLOOKUP(B6250,CAJEROS!B:E,4,0)</f>
        <v>SUCSANDRES7</v>
      </c>
      <c r="K6250" t="s">
        <v>610</v>
      </c>
    </row>
    <row r="6251" spans="1:11">
      <c r="A6251" s="32">
        <v>407</v>
      </c>
      <c r="B6251" s="33">
        <v>4070</v>
      </c>
      <c r="C6251" s="3">
        <v>80000</v>
      </c>
      <c r="D6251" s="3"/>
      <c r="E6251" s="7">
        <f t="shared" si="118"/>
        <v>80000</v>
      </c>
      <c r="F6251" s="5">
        <v>45951</v>
      </c>
      <c r="G6251" s="4">
        <v>20251020</v>
      </c>
      <c r="H6251" s="38" t="str">
        <f>VLOOKUP(B6251,CAJEROS!B:D,3,0)</f>
        <v>Dispensador</v>
      </c>
      <c r="I6251" s="34"/>
      <c r="J6251" s="38" t="str">
        <f>VLOOKUP(B6251,CAJEROS!B:E,4,0)</f>
        <v>ELGUAMO1</v>
      </c>
      <c r="K6251" t="s">
        <v>610</v>
      </c>
    </row>
    <row r="6252" spans="1:11">
      <c r="A6252" s="32">
        <v>499</v>
      </c>
      <c r="B6252" s="33">
        <v>9802</v>
      </c>
      <c r="C6252" s="3">
        <v>200000</v>
      </c>
      <c r="D6252" s="3"/>
      <c r="E6252" s="7">
        <f t="shared" si="118"/>
        <v>200000</v>
      </c>
      <c r="F6252" s="5">
        <v>45951</v>
      </c>
      <c r="G6252" s="4">
        <v>20251020</v>
      </c>
      <c r="H6252" s="38" t="str">
        <f>VLOOKUP(B6252,CAJEROS!B:D,3,0)</f>
        <v>Dispensador</v>
      </c>
      <c r="I6252" s="34"/>
      <c r="J6252" s="38" t="str">
        <f>VLOOKUP(B6252,CAJEROS!B:E,4,0)</f>
        <v>SUCPLZFABR4</v>
      </c>
      <c r="K6252" t="s">
        <v>610</v>
      </c>
    </row>
    <row r="6253" spans="1:11">
      <c r="A6253" s="32">
        <v>499</v>
      </c>
      <c r="B6253" s="33">
        <v>9804</v>
      </c>
      <c r="C6253" s="3">
        <v>2770000</v>
      </c>
      <c r="D6253" s="3"/>
      <c r="E6253" s="7">
        <f t="shared" si="118"/>
        <v>2770000</v>
      </c>
      <c r="F6253" s="5">
        <v>45951</v>
      </c>
      <c r="G6253" s="4">
        <v>20251020</v>
      </c>
      <c r="H6253" s="38" t="str">
        <f>VLOOKUP(B6253,CAJEROS!B:D,3,0)</f>
        <v>Dispensador</v>
      </c>
      <c r="I6253" s="34"/>
      <c r="J6253" s="38" t="str">
        <f>VLOOKUP(B6253,CAJEROS!B:E,4,0)</f>
        <v>SUCPLZFABR6</v>
      </c>
      <c r="K6253" t="s">
        <v>610</v>
      </c>
    </row>
    <row r="6254" spans="1:11">
      <c r="A6254" s="32">
        <v>499</v>
      </c>
      <c r="B6254" s="33">
        <v>9805</v>
      </c>
      <c r="C6254" s="3">
        <v>5220000</v>
      </c>
      <c r="D6254" s="3"/>
      <c r="E6254" s="7">
        <f t="shared" si="118"/>
        <v>5220000</v>
      </c>
      <c r="F6254" s="5">
        <v>45951</v>
      </c>
      <c r="G6254" s="4">
        <v>20251020</v>
      </c>
      <c r="H6254" s="38" t="str">
        <f>VLOOKUP(B6254,CAJEROS!B:D,3,0)</f>
        <v>Dispensador</v>
      </c>
      <c r="I6254" s="34"/>
      <c r="J6254" s="38" t="str">
        <f>VLOOKUP(B6254,CAJEROS!B:E,4,0)</f>
        <v>SUCPLZFABR7</v>
      </c>
      <c r="K6254" t="s">
        <v>610</v>
      </c>
    </row>
    <row r="6255" spans="1:11">
      <c r="A6255" s="32">
        <v>537</v>
      </c>
      <c r="B6255" s="33">
        <v>5370</v>
      </c>
      <c r="C6255" s="3">
        <v>1460000</v>
      </c>
      <c r="D6255" s="3"/>
      <c r="E6255" s="7">
        <f t="shared" si="118"/>
        <v>1460000</v>
      </c>
      <c r="F6255" s="5">
        <v>45951</v>
      </c>
      <c r="G6255" s="4">
        <v>20251020</v>
      </c>
      <c r="H6255" s="38" t="str">
        <f>VLOOKUP(B6255,CAJEROS!B:D,3,0)</f>
        <v>Dispensador</v>
      </c>
      <c r="I6255" s="34"/>
      <c r="J6255" s="38" t="str">
        <f>VLOOKUP(B6255,CAJEROS!B:E,4,0)</f>
        <v>ENTRERRIOS</v>
      </c>
      <c r="K6255" t="s">
        <v>610</v>
      </c>
    </row>
    <row r="6256" spans="1:11">
      <c r="A6256" s="32">
        <v>678</v>
      </c>
      <c r="B6256" s="33">
        <v>6014</v>
      </c>
      <c r="C6256" s="3">
        <v>21150000</v>
      </c>
      <c r="D6256" s="3"/>
      <c r="E6256" s="7">
        <f t="shared" si="118"/>
        <v>21150000</v>
      </c>
      <c r="F6256" s="5">
        <v>45951</v>
      </c>
      <c r="G6256" s="4">
        <v>20251020</v>
      </c>
      <c r="H6256" s="38" t="str">
        <f>VLOOKUP(B6256,CAJEROS!B:D,3,0)</f>
        <v>Dispensador</v>
      </c>
      <c r="I6256" s="34"/>
      <c r="J6256" s="38" t="str">
        <f>VLOOKUP(B6256,CAJEROS!B:E,4,0)</f>
        <v>PASEOCAST_5</v>
      </c>
      <c r="K6256" t="s">
        <v>610</v>
      </c>
    </row>
    <row r="6257" spans="1:11">
      <c r="A6257" s="32">
        <v>799</v>
      </c>
      <c r="B6257" s="33">
        <v>8186</v>
      </c>
      <c r="C6257" s="3">
        <v>20000</v>
      </c>
      <c r="D6257" s="3"/>
      <c r="E6257" s="7">
        <f t="shared" si="118"/>
        <v>20000</v>
      </c>
      <c r="F6257" s="5">
        <v>45951</v>
      </c>
      <c r="G6257" s="4">
        <v>20251020</v>
      </c>
      <c r="H6257" s="38" t="str">
        <f>VLOOKUP(B6257,CAJEROS!B:D,3,0)</f>
        <v>Dispensador</v>
      </c>
      <c r="I6257" s="34"/>
      <c r="J6257" s="38" t="str">
        <f>VLOOKUP(B6257,CAJEROS!B:E,4,0)</f>
        <v>SUC_FLORBL3</v>
      </c>
      <c r="K6257" t="s">
        <v>610</v>
      </c>
    </row>
    <row r="6258" spans="1:11">
      <c r="A6258" s="32">
        <v>481</v>
      </c>
      <c r="B6258" s="33">
        <v>1009</v>
      </c>
      <c r="C6258" s="3">
        <v>20000</v>
      </c>
      <c r="D6258" s="3"/>
      <c r="E6258" s="7">
        <f t="shared" si="118"/>
        <v>20000</v>
      </c>
      <c r="F6258" s="5">
        <v>45951</v>
      </c>
      <c r="G6258" s="4">
        <v>20251020</v>
      </c>
      <c r="H6258" s="38" t="str">
        <f>VLOOKUP(B6258,CAJEROS!B:D,3,0)</f>
        <v>Dispensador</v>
      </c>
      <c r="I6258" s="34" t="s">
        <v>10</v>
      </c>
      <c r="J6258" s="38" t="str">
        <f>VLOOKUP(B6258,CAJEROS!B:E,4,0)</f>
        <v>SUC_SOLEDA5</v>
      </c>
      <c r="K6258" t="s">
        <v>610</v>
      </c>
    </row>
    <row r="6259" spans="1:11">
      <c r="A6259" s="32">
        <v>360</v>
      </c>
      <c r="B6259" s="33">
        <v>2856</v>
      </c>
      <c r="C6259" s="3">
        <v>10000</v>
      </c>
      <c r="D6259" s="3"/>
      <c r="E6259" s="7">
        <f t="shared" si="118"/>
        <v>10000</v>
      </c>
      <c r="F6259" s="5">
        <v>45951</v>
      </c>
      <c r="G6259" s="4">
        <v>20251020</v>
      </c>
      <c r="H6259" s="38" t="str">
        <f>VLOOKUP(B6259,CAJEROS!B:D,3,0)</f>
        <v>Dispensador</v>
      </c>
      <c r="I6259" s="34" t="s">
        <v>10</v>
      </c>
      <c r="J6259" s="38" t="str">
        <f>VLOOKUP(B6259,CAJEROS!B:E,4,0)</f>
        <v>_ESTADIO_2_</v>
      </c>
      <c r="K6259" t="s">
        <v>610</v>
      </c>
    </row>
    <row r="6260" spans="1:11">
      <c r="A6260" s="32">
        <v>828</v>
      </c>
      <c r="B6260" s="33">
        <v>3103</v>
      </c>
      <c r="C6260" s="3">
        <v>20000</v>
      </c>
      <c r="D6260" s="3"/>
      <c r="E6260" s="7">
        <f t="shared" si="118"/>
        <v>20000</v>
      </c>
      <c r="F6260" s="5">
        <v>45951</v>
      </c>
      <c r="G6260" s="4">
        <v>20251020</v>
      </c>
      <c r="H6260" s="38" t="str">
        <f>VLOOKUP(B6260,CAJEROS!B:D,3,0)</f>
        <v>Dispensador</v>
      </c>
      <c r="I6260" s="34" t="s">
        <v>10</v>
      </c>
      <c r="J6260" s="38" t="str">
        <f>VLOOKUP(B6260,CAJEROS!B:E,4,0)</f>
        <v>SUC_SANJOS2</v>
      </c>
      <c r="K6260" t="s">
        <v>610</v>
      </c>
    </row>
    <row r="6261" spans="1:11">
      <c r="A6261" s="32">
        <v>359</v>
      </c>
      <c r="B6261" s="33">
        <v>4650</v>
      </c>
      <c r="C6261" s="3">
        <v>20000</v>
      </c>
      <c r="D6261" s="3"/>
      <c r="E6261" s="7">
        <f t="shared" si="118"/>
        <v>20000</v>
      </c>
      <c r="F6261" s="5">
        <v>45951</v>
      </c>
      <c r="G6261" s="4">
        <v>20251020</v>
      </c>
      <c r="H6261" s="38" t="str">
        <f>VLOOKUP(B6261,CAJEROS!B:D,3,0)</f>
        <v>Dispensador</v>
      </c>
      <c r="I6261" s="34" t="s">
        <v>10</v>
      </c>
      <c r="J6261" s="38" t="str">
        <f>VLOOKUP(B6261,CAJEROS!B:E,4,0)</f>
        <v>SUC_COVEN1</v>
      </c>
      <c r="K6261" t="s">
        <v>610</v>
      </c>
    </row>
    <row r="6262" spans="1:11">
      <c r="A6262" s="32">
        <v>848</v>
      </c>
      <c r="B6262" s="33">
        <v>4739</v>
      </c>
      <c r="C6262" s="3">
        <v>10000</v>
      </c>
      <c r="D6262" s="3"/>
      <c r="E6262" s="7">
        <f t="shared" si="118"/>
        <v>10000</v>
      </c>
      <c r="F6262" s="5">
        <v>45951</v>
      </c>
      <c r="G6262" s="4">
        <v>20251020</v>
      </c>
      <c r="H6262" s="38" t="str">
        <f>VLOOKUP(B6262,CAJEROS!B:D,3,0)</f>
        <v>Dispensador</v>
      </c>
      <c r="I6262" s="34" t="s">
        <v>10</v>
      </c>
      <c r="J6262" s="38" t="str">
        <f>VLOOKUP(B6262,CAJEROS!B:E,4,0)</f>
        <v>PQECABAL_2</v>
      </c>
      <c r="K6262" t="s">
        <v>610</v>
      </c>
    </row>
    <row r="6263" spans="1:11">
      <c r="A6263" s="32">
        <v>318</v>
      </c>
      <c r="B6263" s="33">
        <v>5348</v>
      </c>
      <c r="C6263" s="3">
        <v>10000</v>
      </c>
      <c r="D6263" s="3"/>
      <c r="E6263" s="7">
        <f t="shared" si="118"/>
        <v>10000</v>
      </c>
      <c r="F6263" s="5">
        <v>45951</v>
      </c>
      <c r="G6263" s="4">
        <v>20251020</v>
      </c>
      <c r="H6263" s="38" t="str">
        <f>VLOOKUP(B6263,CAJEROS!B:D,3,0)</f>
        <v>Dispensador</v>
      </c>
      <c r="I6263" s="34" t="s">
        <v>10</v>
      </c>
      <c r="J6263" s="38" t="str">
        <f>VLOOKUP(B6263,CAJEROS!B:E,4,0)</f>
        <v>SUC_OCANA1</v>
      </c>
      <c r="K6263" t="s">
        <v>610</v>
      </c>
    </row>
    <row r="6264" spans="1:11">
      <c r="A6264" s="32">
        <v>844</v>
      </c>
      <c r="B6264" s="33">
        <v>6157</v>
      </c>
      <c r="C6264" s="3">
        <v>20000</v>
      </c>
      <c r="D6264" s="3"/>
      <c r="E6264" s="7">
        <f t="shared" si="118"/>
        <v>20000</v>
      </c>
      <c r="F6264" s="5">
        <v>45951</v>
      </c>
      <c r="G6264" s="4">
        <v>20251020</v>
      </c>
      <c r="H6264" s="38" t="str">
        <f>VLOOKUP(B6264,CAJEROS!B:D,3,0)</f>
        <v>Dispensador</v>
      </c>
      <c r="I6264" s="34" t="s">
        <v>10</v>
      </c>
      <c r="J6264" s="38" t="str">
        <f>VLOOKUP(B6264,CAJEROS!B:E,4,0)</f>
        <v>SUCCCPRIMA3</v>
      </c>
      <c r="K6264" t="s">
        <v>610</v>
      </c>
    </row>
    <row r="6265" spans="1:11">
      <c r="A6265" s="32">
        <v>730</v>
      </c>
      <c r="B6265" s="33">
        <v>7263</v>
      </c>
      <c r="C6265" s="3">
        <v>20000</v>
      </c>
      <c r="D6265" s="3"/>
      <c r="E6265" s="7">
        <f t="shared" si="118"/>
        <v>20000</v>
      </c>
      <c r="F6265" s="5">
        <v>45951</v>
      </c>
      <c r="G6265" s="4">
        <v>20251020</v>
      </c>
      <c r="H6265" s="38" t="str">
        <f>VLOOKUP(B6265,CAJEROS!B:D,3,0)</f>
        <v>Dispensador</v>
      </c>
      <c r="I6265" s="34" t="s">
        <v>10</v>
      </c>
      <c r="J6265" s="38" t="str">
        <f>VLOOKUP(B6265,CAJEROS!B:E,4,0)</f>
        <v>SUC_LAMES2</v>
      </c>
      <c r="K6265" t="s">
        <v>610</v>
      </c>
    </row>
    <row r="6266" spans="1:11">
      <c r="A6266" s="32">
        <v>772</v>
      </c>
      <c r="B6266" s="33">
        <v>7721</v>
      </c>
      <c r="C6266" s="3">
        <v>10000</v>
      </c>
      <c r="D6266" s="3"/>
      <c r="E6266" s="7">
        <f t="shared" si="118"/>
        <v>10000</v>
      </c>
      <c r="F6266" s="5">
        <v>45951</v>
      </c>
      <c r="G6266" s="4">
        <v>20251020</v>
      </c>
      <c r="H6266" s="38" t="str">
        <f>VLOOKUP(B6266,CAJEROS!B:D,3,0)</f>
        <v>Dispensador</v>
      </c>
      <c r="I6266" s="34" t="s">
        <v>10</v>
      </c>
      <c r="J6266" s="38" t="str">
        <f>VLOOKUP(B6266,CAJEROS!B:E,4,0)</f>
        <v>CAICEDONIA</v>
      </c>
      <c r="K6266" t="s">
        <v>610</v>
      </c>
    </row>
    <row r="6267" spans="1:11">
      <c r="A6267" s="32">
        <v>944</v>
      </c>
      <c r="B6267" s="33">
        <v>8358</v>
      </c>
      <c r="C6267" s="3">
        <v>10000</v>
      </c>
      <c r="D6267" s="3"/>
      <c r="E6267" s="7">
        <f t="shared" si="118"/>
        <v>10000</v>
      </c>
      <c r="F6267" s="5">
        <v>45951</v>
      </c>
      <c r="G6267" s="4">
        <v>20251020</v>
      </c>
      <c r="H6267" s="38" t="str">
        <f>VLOOKUP(B6267,CAJEROS!B:D,3,0)</f>
        <v>Dispensador</v>
      </c>
      <c r="I6267" s="34" t="s">
        <v>10</v>
      </c>
      <c r="J6267" s="38" t="str">
        <f>VLOOKUP(B6267,CAJEROS!B:E,4,0)</f>
        <v>SUCSANTABO4</v>
      </c>
      <c r="K6267" t="s">
        <v>610</v>
      </c>
    </row>
    <row r="6268" spans="1:11">
      <c r="A6268" s="32">
        <v>4</v>
      </c>
      <c r="B6268" s="33">
        <v>8628</v>
      </c>
      <c r="C6268" s="3">
        <v>10000</v>
      </c>
      <c r="D6268" s="3"/>
      <c r="E6268" s="7">
        <f t="shared" si="118"/>
        <v>10000</v>
      </c>
      <c r="F6268" s="5">
        <v>45951</v>
      </c>
      <c r="G6268" s="4">
        <v>20251020</v>
      </c>
      <c r="H6268" s="38" t="str">
        <f>VLOOKUP(B6268,CAJEROS!B:D,3,0)</f>
        <v>Dispensador</v>
      </c>
      <c r="I6268" s="34" t="s">
        <v>10</v>
      </c>
      <c r="J6268" s="38" t="str">
        <f>VLOOKUP(B6268,CAJEROS!B:E,4,0)</f>
        <v>SUCLAURELE3</v>
      </c>
      <c r="K6268" t="s">
        <v>610</v>
      </c>
    </row>
    <row r="6269" spans="1:11">
      <c r="A6269" s="32">
        <v>516</v>
      </c>
      <c r="B6269" s="33">
        <v>9728</v>
      </c>
      <c r="C6269" s="3">
        <v>20000</v>
      </c>
      <c r="D6269" s="3"/>
      <c r="E6269" s="7">
        <f t="shared" si="118"/>
        <v>20000</v>
      </c>
      <c r="F6269" s="5">
        <v>45951</v>
      </c>
      <c r="G6269" s="4">
        <v>20251020</v>
      </c>
      <c r="H6269" s="38" t="str">
        <f>VLOOKUP(B6269,CAJEROS!B:D,3,0)</f>
        <v>Dispensador</v>
      </c>
      <c r="I6269" s="34" t="s">
        <v>10</v>
      </c>
      <c r="J6269" s="38" t="str">
        <f>VLOOKUP(B6269,CAJEROS!B:E,4,0)</f>
        <v>SUCSTAMART3</v>
      </c>
      <c r="K6269" t="s">
        <v>610</v>
      </c>
    </row>
    <row r="6270" spans="1:11">
      <c r="A6270" s="32">
        <v>420</v>
      </c>
      <c r="B6270" s="33">
        <v>5173</v>
      </c>
      <c r="C6270" s="3">
        <v>7000</v>
      </c>
      <c r="D6270" s="3"/>
      <c r="E6270" s="7">
        <f t="shared" si="118"/>
        <v>7000</v>
      </c>
      <c r="F6270" s="5">
        <v>45951</v>
      </c>
      <c r="G6270" s="4">
        <v>20251020</v>
      </c>
      <c r="H6270" s="38" t="str">
        <f>VLOOKUP(B6270,CAJEROS!B:D,3,0)</f>
        <v>Multifuncional</v>
      </c>
      <c r="I6270" s="34" t="s">
        <v>10</v>
      </c>
      <c r="J6270" s="38" t="str">
        <f>VLOOKUP(B6270,CAJEROS!B:E,4,0)</f>
        <v>MF_TEATAVEN</v>
      </c>
      <c r="K6270" t="s">
        <v>610</v>
      </c>
    </row>
    <row r="6271" spans="1:11">
      <c r="A6271" s="32">
        <v>524</v>
      </c>
      <c r="B6271" s="33">
        <v>6336</v>
      </c>
      <c r="C6271" s="3">
        <v>7000</v>
      </c>
      <c r="D6271" s="3"/>
      <c r="E6271" s="7">
        <f t="shared" si="118"/>
        <v>7000</v>
      </c>
      <c r="F6271" s="5">
        <v>45951</v>
      </c>
      <c r="G6271" s="4">
        <v>20251020</v>
      </c>
      <c r="H6271" s="38" t="str">
        <f>VLOOKUP(B6271,CAJEROS!B:D,3,0)</f>
        <v>Multifuncional</v>
      </c>
      <c r="I6271" s="34" t="s">
        <v>10</v>
      </c>
      <c r="J6271" s="38" t="str">
        <f>VLOOKUP(B6271,CAJEROS!B:E,4,0)</f>
        <v>MF_VALLEDUP</v>
      </c>
      <c r="K6271" t="s">
        <v>610</v>
      </c>
    </row>
    <row r="6272" spans="1:11">
      <c r="A6272" s="32">
        <v>60</v>
      </c>
      <c r="B6272" s="33">
        <v>8729</v>
      </c>
      <c r="C6272" s="3">
        <v>14000</v>
      </c>
      <c r="D6272" s="3"/>
      <c r="E6272" s="7">
        <f t="shared" si="118"/>
        <v>14000</v>
      </c>
      <c r="F6272" s="5">
        <v>45951</v>
      </c>
      <c r="G6272" s="4">
        <v>20251020</v>
      </c>
      <c r="H6272" s="38" t="str">
        <f>VLOOKUP(B6272,CAJEROS!B:D,3,0)</f>
        <v>Multifuncional</v>
      </c>
      <c r="I6272" s="34" t="s">
        <v>10</v>
      </c>
      <c r="J6272" s="38" t="str">
        <f>VLOOKUP(B6272,CAJEROS!B:E,4,0)</f>
        <v>MF_HCALIPR3</v>
      </c>
      <c r="K6272" t="s">
        <v>610</v>
      </c>
    </row>
    <row r="6273" spans="1:11">
      <c r="A6273" s="32">
        <v>216</v>
      </c>
      <c r="B6273" s="33">
        <v>4434</v>
      </c>
      <c r="C6273" s="3">
        <v>200000</v>
      </c>
      <c r="D6273" s="3"/>
      <c r="E6273" s="7">
        <f t="shared" si="118"/>
        <v>200000</v>
      </c>
      <c r="F6273" s="5">
        <v>45952</v>
      </c>
      <c r="G6273" s="4">
        <v>20251021</v>
      </c>
      <c r="H6273" s="38" t="str">
        <f>VLOOKUP(B6273,CAJEROS!B:D,3,0)</f>
        <v>Dispensador</v>
      </c>
      <c r="I6273" s="34"/>
      <c r="J6273" s="38" t="str">
        <f>VLOOKUP(B6273,CAJEROS!B:E,4,0)</f>
        <v>SUC_SABANA2</v>
      </c>
      <c r="K6273" t="s">
        <v>610</v>
      </c>
    </row>
    <row r="6274" spans="1:11">
      <c r="A6274" s="32">
        <v>336</v>
      </c>
      <c r="B6274" s="33">
        <v>4148</v>
      </c>
      <c r="C6274" s="3">
        <v>100000</v>
      </c>
      <c r="D6274" s="3"/>
      <c r="E6274" s="7">
        <f t="shared" si="118"/>
        <v>100000</v>
      </c>
      <c r="F6274" s="5">
        <v>45952</v>
      </c>
      <c r="G6274" s="4">
        <v>20251021</v>
      </c>
      <c r="H6274" s="38" t="str">
        <f>VLOOKUP(B6274,CAJEROS!B:D,3,0)</f>
        <v>Dispensador</v>
      </c>
      <c r="I6274" s="34"/>
      <c r="J6274" s="38" t="str">
        <f>VLOOKUP(B6274,CAJEROS!B:E,4,0)</f>
        <v>SUC_SESQUI1</v>
      </c>
      <c r="K6274" t="s">
        <v>610</v>
      </c>
    </row>
    <row r="6275" spans="1:11">
      <c r="A6275" s="32">
        <v>359</v>
      </c>
      <c r="B6275" s="33">
        <v>4650</v>
      </c>
      <c r="C6275" s="3">
        <v>390000</v>
      </c>
      <c r="D6275" s="3"/>
      <c r="E6275" s="7">
        <f t="shared" si="118"/>
        <v>390000</v>
      </c>
      <c r="F6275" s="5">
        <v>45952</v>
      </c>
      <c r="G6275" s="4">
        <v>20251021</v>
      </c>
      <c r="H6275" s="38" t="str">
        <f>VLOOKUP(B6275,CAJEROS!B:D,3,0)</f>
        <v>Dispensador</v>
      </c>
      <c r="I6275" s="34"/>
      <c r="J6275" s="38" t="str">
        <f>VLOOKUP(B6275,CAJEROS!B:E,4,0)</f>
        <v>SUC_COVEN1</v>
      </c>
      <c r="K6275" t="s">
        <v>610</v>
      </c>
    </row>
    <row r="6276" spans="1:11">
      <c r="A6276" s="32">
        <v>406</v>
      </c>
      <c r="B6276" s="33">
        <v>4578</v>
      </c>
      <c r="C6276" s="3">
        <v>1520000</v>
      </c>
      <c r="D6276" s="3">
        <f>1000000+400000</f>
        <v>1400000</v>
      </c>
      <c r="E6276" s="7">
        <f t="shared" si="118"/>
        <v>120000</v>
      </c>
      <c r="F6276" s="5">
        <v>45952</v>
      </c>
      <c r="G6276" s="4">
        <v>20251021</v>
      </c>
      <c r="H6276" s="38" t="str">
        <f>VLOOKUP(B6276,CAJEROS!B:D,3,0)</f>
        <v>Dispensador</v>
      </c>
      <c r="I6276" s="34"/>
      <c r="J6276" s="38" t="str">
        <f>VLOOKUP(B6276,CAJEROS!B:E,4,0)</f>
        <v>SUC_EMPRES1</v>
      </c>
      <c r="K6276" t="s">
        <v>610</v>
      </c>
    </row>
    <row r="6277" spans="1:11">
      <c r="A6277" s="32">
        <v>466</v>
      </c>
      <c r="B6277" s="33">
        <v>6777</v>
      </c>
      <c r="C6277" s="3">
        <v>100000</v>
      </c>
      <c r="D6277" s="3"/>
      <c r="E6277" s="7">
        <f t="shared" si="118"/>
        <v>100000</v>
      </c>
      <c r="F6277" s="5">
        <v>45952</v>
      </c>
      <c r="G6277" s="4">
        <v>20251021</v>
      </c>
      <c r="H6277" s="38" t="str">
        <f>VLOOKUP(B6277,CAJEROS!B:D,3,0)</f>
        <v>Dispensador</v>
      </c>
      <c r="I6277" s="34"/>
      <c r="J6277" s="38" t="str">
        <f>VLOOKUP(B6277,CAJEROS!B:E,4,0)</f>
        <v>SUCFLOREN_2</v>
      </c>
      <c r="K6277" t="s">
        <v>610</v>
      </c>
    </row>
    <row r="6278" spans="1:11">
      <c r="A6278" s="32">
        <v>486</v>
      </c>
      <c r="B6278" s="33">
        <v>5748</v>
      </c>
      <c r="C6278" s="3">
        <v>100000</v>
      </c>
      <c r="D6278" s="3"/>
      <c r="E6278" s="7">
        <f t="shared" si="118"/>
        <v>100000</v>
      </c>
      <c r="F6278" s="5">
        <v>45952</v>
      </c>
      <c r="G6278" s="4">
        <v>20251021</v>
      </c>
      <c r="H6278" s="38" t="str">
        <f>VLOOKUP(B6278,CAJEROS!B:D,3,0)</f>
        <v>Dispensador</v>
      </c>
      <c r="I6278" s="34"/>
      <c r="J6278" s="38" t="str">
        <f>VLOOKUP(B6278,CAJEROS!B:E,4,0)</f>
        <v>SUC_SNICOL3</v>
      </c>
      <c r="K6278" t="s">
        <v>610</v>
      </c>
    </row>
    <row r="6279" spans="1:11">
      <c r="A6279" s="32">
        <v>503</v>
      </c>
      <c r="B6279" s="33">
        <v>5031</v>
      </c>
      <c r="C6279" s="3">
        <v>100000</v>
      </c>
      <c r="D6279" s="3"/>
      <c r="E6279" s="7">
        <f t="shared" si="118"/>
        <v>100000</v>
      </c>
      <c r="F6279" s="5">
        <v>45952</v>
      </c>
      <c r="G6279" s="4">
        <v>20251021</v>
      </c>
      <c r="H6279" s="38" t="str">
        <f>VLOOKUP(B6279,CAJEROS!B:D,3,0)</f>
        <v>Dispensador</v>
      </c>
      <c r="I6279" s="34"/>
      <c r="J6279" s="38" t="str">
        <f>VLOOKUP(B6279,CAJEROS!B:E,4,0)</f>
        <v>YARUMAL1</v>
      </c>
      <c r="K6279" t="s">
        <v>610</v>
      </c>
    </row>
    <row r="6280" spans="1:11">
      <c r="A6280" s="32">
        <v>503</v>
      </c>
      <c r="B6280" s="33">
        <v>5032</v>
      </c>
      <c r="C6280" s="3">
        <v>180000</v>
      </c>
      <c r="D6280" s="3"/>
      <c r="E6280" s="7">
        <f t="shared" si="118"/>
        <v>180000</v>
      </c>
      <c r="F6280" s="5">
        <v>45952</v>
      </c>
      <c r="G6280" s="4">
        <v>20251021</v>
      </c>
      <c r="H6280" s="38" t="str">
        <f>VLOOKUP(B6280,CAJEROS!B:D,3,0)</f>
        <v>Dispensador</v>
      </c>
      <c r="I6280" s="34"/>
      <c r="J6280" s="38" t="str">
        <f>VLOOKUP(B6280,CAJEROS!B:E,4,0)</f>
        <v>YARUMAL2</v>
      </c>
      <c r="K6280" t="s">
        <v>610</v>
      </c>
    </row>
    <row r="6281" spans="1:11">
      <c r="A6281" s="32">
        <v>641</v>
      </c>
      <c r="B6281" s="33">
        <v>6410</v>
      </c>
      <c r="C6281" s="3">
        <v>250000</v>
      </c>
      <c r="D6281" s="3"/>
      <c r="E6281" s="7">
        <f t="shared" si="118"/>
        <v>250000</v>
      </c>
      <c r="F6281" s="5">
        <v>45952</v>
      </c>
      <c r="G6281" s="4">
        <v>20251021</v>
      </c>
      <c r="H6281" s="38" t="str">
        <f>VLOOKUP(B6281,CAJEROS!B:D,3,0)</f>
        <v>Dispensador</v>
      </c>
      <c r="I6281" s="34"/>
      <c r="J6281" s="38" t="str">
        <f>VLOOKUP(B6281,CAJEROS!B:E,4,0)</f>
        <v>CIUDABOLIVA</v>
      </c>
      <c r="K6281" t="s">
        <v>610</v>
      </c>
    </row>
    <row r="6282" spans="1:11">
      <c r="A6282" s="32">
        <v>642</v>
      </c>
      <c r="B6282" s="33">
        <v>1952</v>
      </c>
      <c r="C6282" s="3">
        <v>100000</v>
      </c>
      <c r="D6282" s="3">
        <v>20000</v>
      </c>
      <c r="E6282" s="7">
        <f t="shared" si="118"/>
        <v>80000</v>
      </c>
      <c r="F6282" s="5">
        <v>45952</v>
      </c>
      <c r="G6282" s="4">
        <v>20251021</v>
      </c>
      <c r="H6282" s="38" t="str">
        <f>VLOOKUP(B6282,CAJEROS!B:D,3,0)</f>
        <v>Dispensador</v>
      </c>
      <c r="I6282" s="34"/>
      <c r="J6282" s="38" t="str">
        <f>VLOOKUP(B6282,CAJEROS!B:E,4,0)</f>
        <v>SATAROSOS3</v>
      </c>
      <c r="K6282" t="s">
        <v>610</v>
      </c>
    </row>
    <row r="6283" spans="1:11">
      <c r="A6283" s="32">
        <v>677</v>
      </c>
      <c r="B6283" s="33">
        <v>5835</v>
      </c>
      <c r="C6283" s="3">
        <v>500000</v>
      </c>
      <c r="D6283" s="3"/>
      <c r="E6283" s="7">
        <f t="shared" ref="E6283:E6346" si="119">+C6283-D6283</f>
        <v>500000</v>
      </c>
      <c r="F6283" s="5">
        <v>45952</v>
      </c>
      <c r="G6283" s="4">
        <v>20251021</v>
      </c>
      <c r="H6283" s="38" t="str">
        <f>VLOOKUP(B6283,CAJEROS!B:D,3,0)</f>
        <v>Dispensador</v>
      </c>
      <c r="I6283" s="34"/>
      <c r="J6283" s="38" t="str">
        <f>VLOOKUP(B6283,CAJEROS!B:E,4,0)</f>
        <v>SUCPLZMERCA</v>
      </c>
      <c r="K6283" t="s">
        <v>610</v>
      </c>
    </row>
    <row r="6284" spans="1:11">
      <c r="A6284" s="32">
        <v>677</v>
      </c>
      <c r="B6284" s="33">
        <v>6896</v>
      </c>
      <c r="C6284" s="3">
        <v>100000</v>
      </c>
      <c r="D6284" s="3"/>
      <c r="E6284" s="7">
        <f t="shared" si="119"/>
        <v>100000</v>
      </c>
      <c r="F6284" s="5">
        <v>45952</v>
      </c>
      <c r="G6284" s="4">
        <v>20251021</v>
      </c>
      <c r="H6284" s="38" t="str">
        <f>VLOOKUP(B6284,CAJEROS!B:D,3,0)</f>
        <v>Dispensador</v>
      </c>
      <c r="I6284" s="34"/>
      <c r="J6284" s="38" t="str">
        <f>VLOOKUP(B6284,CAJEROS!B:E,4,0)</f>
        <v>SUCPLZMERC2</v>
      </c>
      <c r="K6284" t="s">
        <v>610</v>
      </c>
    </row>
    <row r="6285" spans="1:11">
      <c r="A6285" s="32">
        <v>678</v>
      </c>
      <c r="B6285" s="33">
        <v>6016</v>
      </c>
      <c r="C6285" s="3">
        <v>200000</v>
      </c>
      <c r="D6285" s="3"/>
      <c r="E6285" s="7">
        <f t="shared" si="119"/>
        <v>200000</v>
      </c>
      <c r="F6285" s="5">
        <v>45952</v>
      </c>
      <c r="G6285" s="4">
        <v>20251021</v>
      </c>
      <c r="H6285" s="38" t="str">
        <f>VLOOKUP(B6285,CAJEROS!B:D,3,0)</f>
        <v>Dispensador</v>
      </c>
      <c r="I6285" s="34"/>
      <c r="J6285" s="38" t="str">
        <f>VLOOKUP(B6285,CAJEROS!B:E,4,0)</f>
        <v>PASEOCAST_7</v>
      </c>
      <c r="K6285" t="s">
        <v>610</v>
      </c>
    </row>
    <row r="6286" spans="1:11">
      <c r="A6286" s="32">
        <v>846</v>
      </c>
      <c r="B6286" s="33">
        <v>4377</v>
      </c>
      <c r="C6286" s="3">
        <v>940000</v>
      </c>
      <c r="D6286" s="3">
        <v>300000</v>
      </c>
      <c r="E6286" s="7">
        <f t="shared" si="119"/>
        <v>640000</v>
      </c>
      <c r="F6286" s="5">
        <v>45952</v>
      </c>
      <c r="G6286" s="4">
        <v>20251021</v>
      </c>
      <c r="H6286" s="38" t="str">
        <f>VLOOKUP(B6286,CAJEROS!B:D,3,0)</f>
        <v>Dispensador</v>
      </c>
      <c r="I6286" s="34"/>
      <c r="J6286" s="38" t="str">
        <f>VLOOKUP(B6286,CAJEROS!B:E,4,0)</f>
        <v>SUC_CUMAR2</v>
      </c>
      <c r="K6286" t="s">
        <v>610</v>
      </c>
    </row>
    <row r="6287" spans="1:11">
      <c r="A6287" s="32">
        <v>866</v>
      </c>
      <c r="B6287" s="33">
        <v>467</v>
      </c>
      <c r="C6287" s="3">
        <v>50000</v>
      </c>
      <c r="D6287" s="3"/>
      <c r="E6287" s="7">
        <f t="shared" si="119"/>
        <v>50000</v>
      </c>
      <c r="F6287" s="5">
        <v>45952</v>
      </c>
      <c r="G6287" s="4">
        <v>20251021</v>
      </c>
      <c r="H6287" s="38" t="str">
        <f>VLOOKUP(B6287,CAJEROS!B:D,3,0)</f>
        <v>Dispensador</v>
      </c>
      <c r="I6287" s="34"/>
      <c r="J6287" s="38" t="str">
        <f>VLOOKUP(B6287,CAJEROS!B:E,4,0)</f>
        <v>OFCFLORIDA2</v>
      </c>
      <c r="K6287" t="s">
        <v>610</v>
      </c>
    </row>
    <row r="6288" spans="1:11">
      <c r="A6288" s="32">
        <v>951</v>
      </c>
      <c r="B6288" s="33">
        <v>7810</v>
      </c>
      <c r="C6288" s="3">
        <v>100000</v>
      </c>
      <c r="D6288" s="3"/>
      <c r="E6288" s="7">
        <f t="shared" si="119"/>
        <v>100000</v>
      </c>
      <c r="F6288" s="5">
        <v>45952</v>
      </c>
      <c r="G6288" s="4">
        <v>20251021</v>
      </c>
      <c r="H6288" s="38" t="str">
        <f>VLOOKUP(B6288,CAJEROS!B:D,3,0)</f>
        <v>Dispensador</v>
      </c>
      <c r="I6288" s="34"/>
      <c r="J6288" s="38" t="str">
        <f>VLOOKUP(B6288,CAJEROS!B:E,4,0)</f>
        <v>AUTOBOSC_3</v>
      </c>
      <c r="K6288" t="s">
        <v>610</v>
      </c>
    </row>
    <row r="6289" spans="1:11">
      <c r="A6289" s="32">
        <v>30</v>
      </c>
      <c r="B6289" s="33">
        <v>4958</v>
      </c>
      <c r="C6289" s="3">
        <v>7600000</v>
      </c>
      <c r="D6289" s="3">
        <v>6360000</v>
      </c>
      <c r="E6289" s="7">
        <f t="shared" si="119"/>
        <v>1240000</v>
      </c>
      <c r="F6289" s="5">
        <v>45952</v>
      </c>
      <c r="G6289" s="4">
        <v>20251021</v>
      </c>
      <c r="H6289" s="38" t="str">
        <f>VLOOKUP(B6289,CAJEROS!B:D,3,0)</f>
        <v>Dispensador</v>
      </c>
      <c r="I6289" s="34" t="s">
        <v>9</v>
      </c>
      <c r="J6289" s="38" t="str">
        <f>VLOOKUP(B6289,CAJEROS!B:E,4,0)</f>
        <v>SUC_CRAOCT2</v>
      </c>
      <c r="K6289" t="s">
        <v>610</v>
      </c>
    </row>
    <row r="6290" spans="1:11">
      <c r="A6290" s="32">
        <v>68</v>
      </c>
      <c r="B6290" s="33">
        <v>4981</v>
      </c>
      <c r="C6290" s="3">
        <v>11890000</v>
      </c>
      <c r="D6290" s="3"/>
      <c r="E6290" s="7">
        <f t="shared" si="119"/>
        <v>11890000</v>
      </c>
      <c r="F6290" s="5">
        <v>45952</v>
      </c>
      <c r="G6290" s="4">
        <v>20251021</v>
      </c>
      <c r="H6290" s="38" t="str">
        <f>VLOOKUP(B6290,CAJEROS!B:D,3,0)</f>
        <v>Dispensador</v>
      </c>
      <c r="I6290" s="34" t="s">
        <v>9</v>
      </c>
      <c r="J6290" s="38" t="str">
        <f>VLOOKUP(B6290,CAJEROS!B:E,4,0)</f>
        <v>AUTO_IBAGU3</v>
      </c>
      <c r="K6290" t="s">
        <v>610</v>
      </c>
    </row>
    <row r="6291" spans="1:11">
      <c r="A6291" s="32">
        <v>73</v>
      </c>
      <c r="B6291" s="33">
        <v>6483</v>
      </c>
      <c r="C6291" s="3">
        <v>50000</v>
      </c>
      <c r="D6291" s="3"/>
      <c r="E6291" s="7">
        <f t="shared" si="119"/>
        <v>50000</v>
      </c>
      <c r="F6291" s="5">
        <v>45952</v>
      </c>
      <c r="G6291" s="4">
        <v>20251021</v>
      </c>
      <c r="H6291" s="38" t="str">
        <f>VLOOKUP(B6291,CAJEROS!B:D,3,0)</f>
        <v>Dispensador</v>
      </c>
      <c r="I6291" s="34" t="s">
        <v>9</v>
      </c>
      <c r="J6291" s="38" t="str">
        <f>VLOOKUP(B6291,CAJEROS!B:E,4,0)</f>
        <v>OFPEREIRA5</v>
      </c>
      <c r="K6291" t="s">
        <v>610</v>
      </c>
    </row>
    <row r="6292" spans="1:11">
      <c r="A6292" s="32">
        <v>91</v>
      </c>
      <c r="B6292" s="33">
        <v>4730</v>
      </c>
      <c r="C6292" s="3">
        <v>40000</v>
      </c>
      <c r="D6292" s="3"/>
      <c r="E6292" s="7">
        <f t="shared" si="119"/>
        <v>40000</v>
      </c>
      <c r="F6292" s="5">
        <v>45952</v>
      </c>
      <c r="G6292" s="4">
        <v>20251021</v>
      </c>
      <c r="H6292" s="38" t="str">
        <f>VLOOKUP(B6292,CAJEROS!B:D,3,0)</f>
        <v>Dispensador</v>
      </c>
      <c r="I6292" s="34" t="s">
        <v>9</v>
      </c>
      <c r="J6292" s="38" t="str">
        <f>VLOOKUP(B6292,CAJEROS!B:E,4,0)</f>
        <v>MONTERIA_1</v>
      </c>
      <c r="K6292" t="s">
        <v>610</v>
      </c>
    </row>
    <row r="6293" spans="1:11">
      <c r="A6293" s="32">
        <v>93</v>
      </c>
      <c r="B6293" s="33">
        <v>931</v>
      </c>
      <c r="C6293" s="3">
        <v>100000</v>
      </c>
      <c r="D6293" s="3"/>
      <c r="E6293" s="7">
        <f t="shared" si="119"/>
        <v>100000</v>
      </c>
      <c r="F6293" s="5">
        <v>45952</v>
      </c>
      <c r="G6293" s="4">
        <v>20251021</v>
      </c>
      <c r="H6293" s="38" t="str">
        <f>VLOOKUP(B6293,CAJEROS!B:D,3,0)</f>
        <v>Dispensador</v>
      </c>
      <c r="I6293" s="34" t="s">
        <v>9</v>
      </c>
      <c r="J6293" s="38" t="str">
        <f>VLOOKUP(B6293,CAJEROS!B:E,4,0)</f>
        <v>SAHAGUN2</v>
      </c>
      <c r="K6293" t="s">
        <v>610</v>
      </c>
    </row>
    <row r="6294" spans="1:11">
      <c r="A6294" s="32">
        <v>159</v>
      </c>
      <c r="B6294" s="33">
        <v>4775</v>
      </c>
      <c r="C6294" s="3">
        <v>50000</v>
      </c>
      <c r="D6294" s="3"/>
      <c r="E6294" s="7">
        <f t="shared" si="119"/>
        <v>50000</v>
      </c>
      <c r="F6294" s="5">
        <v>45952</v>
      </c>
      <c r="G6294" s="4">
        <v>20251021</v>
      </c>
      <c r="H6294" s="38" t="str">
        <f>VLOOKUP(B6294,CAJEROS!B:D,3,0)</f>
        <v>Dispensador</v>
      </c>
      <c r="I6294" s="34" t="s">
        <v>9</v>
      </c>
      <c r="J6294" s="38" t="str">
        <f>VLOOKUP(B6294,CAJEROS!B:E,4,0)</f>
        <v>FUNZA_1</v>
      </c>
      <c r="K6294" t="s">
        <v>610</v>
      </c>
    </row>
    <row r="6295" spans="1:11">
      <c r="A6295" s="32">
        <v>171</v>
      </c>
      <c r="B6295" s="33">
        <v>4164</v>
      </c>
      <c r="C6295" s="3">
        <v>40000</v>
      </c>
      <c r="D6295" s="3"/>
      <c r="E6295" s="7">
        <f t="shared" si="119"/>
        <v>40000</v>
      </c>
      <c r="F6295" s="5">
        <v>45952</v>
      </c>
      <c r="G6295" s="4">
        <v>20251021</v>
      </c>
      <c r="H6295" s="38" t="str">
        <f>VLOOKUP(B6295,CAJEROS!B:D,3,0)</f>
        <v>Dispensador</v>
      </c>
      <c r="I6295" s="34" t="s">
        <v>9</v>
      </c>
      <c r="J6295" s="38" t="str">
        <f>VLOOKUP(B6295,CAJEROS!B:E,4,0)</f>
        <v>SUC_CIUSAL1</v>
      </c>
      <c r="K6295" t="s">
        <v>610</v>
      </c>
    </row>
    <row r="6296" spans="1:11">
      <c r="A6296" s="32">
        <v>211</v>
      </c>
      <c r="B6296" s="33">
        <v>5308</v>
      </c>
      <c r="C6296" s="3">
        <v>60000</v>
      </c>
      <c r="D6296" s="3"/>
      <c r="E6296" s="7">
        <f t="shared" si="119"/>
        <v>60000</v>
      </c>
      <c r="F6296" s="5">
        <v>45952</v>
      </c>
      <c r="G6296" s="4">
        <v>20251021</v>
      </c>
      <c r="H6296" s="38" t="str">
        <f>VLOOKUP(B6296,CAJEROS!B:D,3,0)</f>
        <v>Dispensador</v>
      </c>
      <c r="I6296" s="34" t="s">
        <v>9</v>
      </c>
      <c r="J6296" s="38" t="str">
        <f>VLOOKUP(B6296,CAJEROS!B:E,4,0)</f>
        <v>SUC_INDUST1</v>
      </c>
      <c r="K6296" t="s">
        <v>610</v>
      </c>
    </row>
    <row r="6297" spans="1:11">
      <c r="A6297" s="32">
        <v>232</v>
      </c>
      <c r="B6297" s="33">
        <v>4062</v>
      </c>
      <c r="C6297" s="3">
        <v>1150000</v>
      </c>
      <c r="D6297" s="3"/>
      <c r="E6297" s="7">
        <f t="shared" si="119"/>
        <v>1150000</v>
      </c>
      <c r="F6297" s="5">
        <v>45952</v>
      </c>
      <c r="G6297" s="4">
        <v>20251021</v>
      </c>
      <c r="H6297" s="38" t="str">
        <f>VLOOKUP(B6297,CAJEROS!B:D,3,0)</f>
        <v>Dispensador</v>
      </c>
      <c r="I6297" s="34" t="s">
        <v>9</v>
      </c>
      <c r="J6297" s="38" t="str">
        <f>VLOOKUP(B6297,CAJEROS!B:E,4,0)</f>
        <v>SUC_GUASCA1</v>
      </c>
      <c r="K6297" t="s">
        <v>610</v>
      </c>
    </row>
    <row r="6298" spans="1:11">
      <c r="A6298" s="32">
        <v>240</v>
      </c>
      <c r="B6298" s="33">
        <v>6372</v>
      </c>
      <c r="C6298" s="3">
        <v>200000</v>
      </c>
      <c r="D6298" s="3"/>
      <c r="E6298" s="7">
        <f t="shared" si="119"/>
        <v>200000</v>
      </c>
      <c r="F6298" s="5">
        <v>45952</v>
      </c>
      <c r="G6298" s="4">
        <v>20251021</v>
      </c>
      <c r="H6298" s="38" t="str">
        <f>VLOOKUP(B6298,CAJEROS!B:D,3,0)</f>
        <v>Dispensador</v>
      </c>
      <c r="I6298" s="34" t="s">
        <v>9</v>
      </c>
      <c r="J6298" s="38" t="str">
        <f>VLOOKUP(B6298,CAJEROS!B:E,4,0)</f>
        <v>STAFEANTI_2</v>
      </c>
      <c r="K6298" t="s">
        <v>610</v>
      </c>
    </row>
    <row r="6299" spans="1:11">
      <c r="A6299" s="32">
        <v>264</v>
      </c>
      <c r="B6299" s="33">
        <v>9905</v>
      </c>
      <c r="C6299" s="3">
        <v>140000</v>
      </c>
      <c r="D6299" s="3"/>
      <c r="E6299" s="7">
        <f t="shared" si="119"/>
        <v>140000</v>
      </c>
      <c r="F6299" s="5">
        <v>45952</v>
      </c>
      <c r="G6299" s="4">
        <v>20251021</v>
      </c>
      <c r="H6299" s="38" t="str">
        <f>VLOOKUP(B6299,CAJEROS!B:D,3,0)</f>
        <v>Dispensador</v>
      </c>
      <c r="I6299" s="34" t="s">
        <v>9</v>
      </c>
      <c r="J6299" s="38" t="str">
        <f>VLOOKUP(B6299,CAJEROS!B:E,4,0)</f>
        <v>SUCFUSAGAS3</v>
      </c>
      <c r="K6299" t="s">
        <v>610</v>
      </c>
    </row>
    <row r="6300" spans="1:11">
      <c r="A6300" s="32">
        <v>332</v>
      </c>
      <c r="B6300" s="33">
        <v>2559</v>
      </c>
      <c r="C6300" s="3">
        <v>300000</v>
      </c>
      <c r="D6300" s="3"/>
      <c r="E6300" s="7">
        <f t="shared" si="119"/>
        <v>300000</v>
      </c>
      <c r="F6300" s="5">
        <v>45952</v>
      </c>
      <c r="G6300" s="4">
        <v>20251021</v>
      </c>
      <c r="H6300" s="38" t="str">
        <f>VLOOKUP(B6300,CAJEROS!B:D,3,0)</f>
        <v>Dispensador</v>
      </c>
      <c r="I6300" s="34" t="s">
        <v>9</v>
      </c>
      <c r="J6300" s="38" t="str">
        <f>VLOOKUP(B6300,CAJEROS!B:E,4,0)</f>
        <v>ZIPAQUIRA_4</v>
      </c>
      <c r="K6300" t="s">
        <v>610</v>
      </c>
    </row>
    <row r="6301" spans="1:11">
      <c r="A6301" s="32">
        <v>347</v>
      </c>
      <c r="B6301" s="33">
        <v>4782</v>
      </c>
      <c r="C6301" s="3">
        <v>350000</v>
      </c>
      <c r="D6301" s="3">
        <v>20000</v>
      </c>
      <c r="E6301" s="7">
        <f t="shared" si="119"/>
        <v>330000</v>
      </c>
      <c r="F6301" s="5">
        <v>45952</v>
      </c>
      <c r="G6301" s="4">
        <v>20251021</v>
      </c>
      <c r="H6301" s="38" t="str">
        <f>VLOOKUP(B6301,CAJEROS!B:D,3,0)</f>
        <v>Dispensador</v>
      </c>
      <c r="I6301" s="34" t="s">
        <v>9</v>
      </c>
      <c r="J6301" s="38" t="str">
        <f>VLOOKUP(B6301,CAJEROS!B:E,4,0)</f>
        <v>SUC_MANRIQ1</v>
      </c>
      <c r="K6301" t="s">
        <v>610</v>
      </c>
    </row>
    <row r="6302" spans="1:11">
      <c r="A6302" s="32">
        <v>348</v>
      </c>
      <c r="B6302" s="33">
        <v>5649</v>
      </c>
      <c r="C6302" s="3">
        <v>350000</v>
      </c>
      <c r="D6302" s="3"/>
      <c r="E6302" s="7">
        <f t="shared" si="119"/>
        <v>350000</v>
      </c>
      <c r="F6302" s="5">
        <v>45952</v>
      </c>
      <c r="G6302" s="4">
        <v>20251021</v>
      </c>
      <c r="H6302" s="38" t="str">
        <f>VLOOKUP(B6302,CAJEROS!B:D,3,0)</f>
        <v>Dispensador</v>
      </c>
      <c r="I6302" s="34" t="s">
        <v>9</v>
      </c>
      <c r="J6302" s="38" t="str">
        <f>VLOOKUP(B6302,CAJEROS!B:E,4,0)</f>
        <v>SUCSANDRES5</v>
      </c>
      <c r="K6302" t="s">
        <v>610</v>
      </c>
    </row>
    <row r="6303" spans="1:11">
      <c r="A6303" s="32">
        <v>371</v>
      </c>
      <c r="B6303" s="33">
        <v>4279</v>
      </c>
      <c r="C6303" s="3">
        <v>810000</v>
      </c>
      <c r="D6303" s="3">
        <v>150000</v>
      </c>
      <c r="E6303" s="7">
        <f t="shared" si="119"/>
        <v>660000</v>
      </c>
      <c r="F6303" s="5">
        <v>45952</v>
      </c>
      <c r="G6303" s="4">
        <v>20251021</v>
      </c>
      <c r="H6303" s="38" t="str">
        <f>VLOOKUP(B6303,CAJEROS!B:D,3,0)</f>
        <v>Dispensador</v>
      </c>
      <c r="I6303" s="34" t="s">
        <v>9</v>
      </c>
      <c r="J6303" s="38" t="str">
        <f>VLOOKUP(B6303,CAJEROS!B:E,4,0)</f>
        <v>CAUCASIA_2</v>
      </c>
      <c r="K6303" t="s">
        <v>610</v>
      </c>
    </row>
    <row r="6304" spans="1:11">
      <c r="A6304" s="32">
        <v>372</v>
      </c>
      <c r="B6304" s="33">
        <v>7917</v>
      </c>
      <c r="C6304" s="3">
        <v>620000</v>
      </c>
      <c r="D6304" s="3"/>
      <c r="E6304" s="7">
        <f t="shared" si="119"/>
        <v>620000</v>
      </c>
      <c r="F6304" s="5">
        <v>45952</v>
      </c>
      <c r="G6304" s="4">
        <v>20251021</v>
      </c>
      <c r="H6304" s="38" t="str">
        <f>VLOOKUP(B6304,CAJEROS!B:D,3,0)</f>
        <v>Dispensador</v>
      </c>
      <c r="I6304" s="34" t="s">
        <v>9</v>
      </c>
      <c r="J6304" s="38" t="str">
        <f>VLOOKUP(B6304,CAJEROS!B:E,4,0)</f>
        <v>SUCFACATA_3</v>
      </c>
      <c r="K6304" t="s">
        <v>610</v>
      </c>
    </row>
    <row r="6305" spans="1:11">
      <c r="A6305" s="32">
        <v>377</v>
      </c>
      <c r="B6305" s="33">
        <v>1504</v>
      </c>
      <c r="C6305" s="3">
        <v>700000</v>
      </c>
      <c r="D6305" s="3">
        <v>200000</v>
      </c>
      <c r="E6305" s="7">
        <f t="shared" si="119"/>
        <v>500000</v>
      </c>
      <c r="F6305" s="5">
        <v>45952</v>
      </c>
      <c r="G6305" s="4">
        <v>20251021</v>
      </c>
      <c r="H6305" s="38" t="str">
        <f>VLOOKUP(B6305,CAJEROS!B:D,3,0)</f>
        <v>Dispensador</v>
      </c>
      <c r="I6305" s="34" t="s">
        <v>9</v>
      </c>
      <c r="J6305" s="38" t="str">
        <f>VLOOKUP(B6305,CAJEROS!B:E,4,0)</f>
        <v>SUCCIALAVE1</v>
      </c>
      <c r="K6305" t="s">
        <v>610</v>
      </c>
    </row>
    <row r="6306" spans="1:11">
      <c r="A6306" s="32">
        <v>389</v>
      </c>
      <c r="B6306" s="33">
        <v>4690</v>
      </c>
      <c r="C6306" s="3">
        <v>200000</v>
      </c>
      <c r="D6306" s="3"/>
      <c r="E6306" s="7">
        <f t="shared" si="119"/>
        <v>200000</v>
      </c>
      <c r="F6306" s="5">
        <v>45952</v>
      </c>
      <c r="G6306" s="4">
        <v>20251021</v>
      </c>
      <c r="H6306" s="38" t="str">
        <f>VLOOKUP(B6306,CAJEROS!B:D,3,0)</f>
        <v>Dispensador</v>
      </c>
      <c r="I6306" s="34" t="s">
        <v>9</v>
      </c>
      <c r="J6306" s="38" t="str">
        <f>VLOOKUP(B6306,CAJEROS!B:E,4,0)</f>
        <v>SUC_MARIQ4</v>
      </c>
      <c r="K6306" t="s">
        <v>610</v>
      </c>
    </row>
    <row r="6307" spans="1:11">
      <c r="A6307" s="32">
        <v>422</v>
      </c>
      <c r="B6307" s="33">
        <v>4221</v>
      </c>
      <c r="C6307" s="3">
        <v>300000</v>
      </c>
      <c r="D6307" s="3"/>
      <c r="E6307" s="7">
        <f t="shared" si="119"/>
        <v>300000</v>
      </c>
      <c r="F6307" s="5">
        <v>45952</v>
      </c>
      <c r="G6307" s="4">
        <v>20251021</v>
      </c>
      <c r="H6307" s="38" t="str">
        <f>VLOOKUP(B6307,CAJEROS!B:D,3,0)</f>
        <v>Dispensador</v>
      </c>
      <c r="I6307" s="34" t="s">
        <v>9</v>
      </c>
      <c r="J6307" s="38" t="str">
        <f>VLOOKUP(B6307,CAJEROS!B:E,4,0)</f>
        <v>CHAPARRAL</v>
      </c>
      <c r="K6307" t="s">
        <v>610</v>
      </c>
    </row>
    <row r="6308" spans="1:11">
      <c r="A6308" s="32">
        <v>426</v>
      </c>
      <c r="B6308" s="33">
        <v>7819</v>
      </c>
      <c r="C6308" s="3">
        <v>1240000</v>
      </c>
      <c r="D6308" s="3"/>
      <c r="E6308" s="7">
        <f t="shared" si="119"/>
        <v>1240000</v>
      </c>
      <c r="F6308" s="5">
        <v>45952</v>
      </c>
      <c r="G6308" s="4">
        <v>20251021</v>
      </c>
      <c r="H6308" s="38" t="str">
        <f>VLOOKUP(B6308,CAJEROS!B:D,3,0)</f>
        <v>Dispensador</v>
      </c>
      <c r="I6308" s="34" t="s">
        <v>9</v>
      </c>
      <c r="J6308" s="38" t="str">
        <f>VLOOKUP(B6308,CAJEROS!B:E,4,0)</f>
        <v>PURIFICACI2</v>
      </c>
      <c r="K6308" t="s">
        <v>610</v>
      </c>
    </row>
    <row r="6309" spans="1:11">
      <c r="A6309" s="32">
        <v>451</v>
      </c>
      <c r="B6309" s="33">
        <v>3799</v>
      </c>
      <c r="C6309" s="3">
        <v>600000</v>
      </c>
      <c r="D6309" s="3"/>
      <c r="E6309" s="7">
        <f t="shared" si="119"/>
        <v>600000</v>
      </c>
      <c r="F6309" s="5">
        <v>45952</v>
      </c>
      <c r="G6309" s="4">
        <v>20251021</v>
      </c>
      <c r="H6309" s="38" t="str">
        <f>VLOOKUP(B6309,CAJEROS!B:D,3,0)</f>
        <v>Dispensador</v>
      </c>
      <c r="I6309" s="34" t="s">
        <v>9</v>
      </c>
      <c r="J6309" s="38" t="str">
        <f>VLOOKUP(B6309,CAJEROS!B:E,4,0)</f>
        <v>SUC_PASIS1</v>
      </c>
      <c r="K6309" t="s">
        <v>610</v>
      </c>
    </row>
    <row r="6310" spans="1:11">
      <c r="A6310" s="32">
        <v>499</v>
      </c>
      <c r="B6310" s="33">
        <v>9802</v>
      </c>
      <c r="C6310" s="3">
        <v>550000</v>
      </c>
      <c r="D6310" s="3">
        <v>520000</v>
      </c>
      <c r="E6310" s="7">
        <f t="shared" si="119"/>
        <v>30000</v>
      </c>
      <c r="F6310" s="5">
        <v>45952</v>
      </c>
      <c r="G6310" s="4">
        <v>20251021</v>
      </c>
      <c r="H6310" s="38" t="str">
        <f>VLOOKUP(B6310,CAJEROS!B:D,3,0)</f>
        <v>Dispensador</v>
      </c>
      <c r="I6310" s="34" t="s">
        <v>9</v>
      </c>
      <c r="J6310" s="38" t="str">
        <f>VLOOKUP(B6310,CAJEROS!B:E,4,0)</f>
        <v>SUCPLZFABR4</v>
      </c>
      <c r="K6310" t="s">
        <v>610</v>
      </c>
    </row>
    <row r="6311" spans="1:11">
      <c r="A6311" s="32">
        <v>499</v>
      </c>
      <c r="B6311" s="33">
        <v>9805</v>
      </c>
      <c r="C6311" s="3">
        <v>220000</v>
      </c>
      <c r="D6311" s="3"/>
      <c r="E6311" s="7">
        <f t="shared" si="119"/>
        <v>220000</v>
      </c>
      <c r="F6311" s="5">
        <v>45952</v>
      </c>
      <c r="G6311" s="4">
        <v>20251021</v>
      </c>
      <c r="H6311" s="38" t="str">
        <f>VLOOKUP(B6311,CAJEROS!B:D,3,0)</f>
        <v>Dispensador</v>
      </c>
      <c r="I6311" s="34" t="s">
        <v>9</v>
      </c>
      <c r="J6311" s="38" t="str">
        <f>VLOOKUP(B6311,CAJEROS!B:E,4,0)</f>
        <v>SUCPLZFABR7</v>
      </c>
      <c r="K6311" t="s">
        <v>610</v>
      </c>
    </row>
    <row r="6312" spans="1:11">
      <c r="A6312" s="32">
        <v>520</v>
      </c>
      <c r="B6312" s="33">
        <v>4471</v>
      </c>
      <c r="C6312" s="3">
        <v>200000</v>
      </c>
      <c r="D6312" s="3"/>
      <c r="E6312" s="7">
        <f t="shared" si="119"/>
        <v>200000</v>
      </c>
      <c r="F6312" s="5">
        <v>45952</v>
      </c>
      <c r="G6312" s="4">
        <v>20251021</v>
      </c>
      <c r="H6312" s="38" t="str">
        <f>VLOOKUP(B6312,CAJEROS!B:D,3,0)</f>
        <v>Dispensador</v>
      </c>
      <c r="I6312" s="34" t="s">
        <v>9</v>
      </c>
      <c r="J6312" s="38" t="str">
        <f>VLOOKUP(B6312,CAJEROS!B:E,4,0)</f>
        <v>SUC_AMAGA2</v>
      </c>
      <c r="K6312" t="s">
        <v>610</v>
      </c>
    </row>
    <row r="6313" spans="1:11">
      <c r="A6313" s="32">
        <v>523</v>
      </c>
      <c r="B6313" s="33">
        <v>3997</v>
      </c>
      <c r="C6313" s="3">
        <v>710000</v>
      </c>
      <c r="D6313" s="3">
        <f>150000+40000</f>
        <v>190000</v>
      </c>
      <c r="E6313" s="7">
        <f t="shared" si="119"/>
        <v>520000</v>
      </c>
      <c r="F6313" s="5">
        <v>45952</v>
      </c>
      <c r="G6313" s="4">
        <v>20251021</v>
      </c>
      <c r="H6313" s="38" t="str">
        <f>VLOOKUP(B6313,CAJEROS!B:D,3,0)</f>
        <v>Dispensador</v>
      </c>
      <c r="I6313" s="34" t="s">
        <v>9</v>
      </c>
      <c r="J6313" s="38" t="str">
        <f>VLOOKUP(B6313,CAJEROS!B:E,4,0)</f>
        <v>SUC_OVALLE3</v>
      </c>
      <c r="K6313" t="s">
        <v>610</v>
      </c>
    </row>
    <row r="6314" spans="1:11">
      <c r="A6314" s="32">
        <v>536</v>
      </c>
      <c r="B6314" s="33">
        <v>4795</v>
      </c>
      <c r="C6314" s="3">
        <v>1320000</v>
      </c>
      <c r="D6314" s="3">
        <v>1270000</v>
      </c>
      <c r="E6314" s="7">
        <f t="shared" si="119"/>
        <v>50000</v>
      </c>
      <c r="F6314" s="5">
        <v>45952</v>
      </c>
      <c r="G6314" s="4">
        <v>20251021</v>
      </c>
      <c r="H6314" s="38" t="str">
        <f>VLOOKUP(B6314,CAJEROS!B:D,3,0)</f>
        <v>Dispensador</v>
      </c>
      <c r="I6314" s="34" t="s">
        <v>9</v>
      </c>
      <c r="J6314" s="38" t="str">
        <f>VLOOKUP(B6314,CAJEROS!B:E,4,0)</f>
        <v>SUC_QUIBDO1</v>
      </c>
      <c r="K6314" t="s">
        <v>610</v>
      </c>
    </row>
    <row r="6315" spans="1:11">
      <c r="A6315" s="32">
        <v>536</v>
      </c>
      <c r="B6315" s="33">
        <v>6914</v>
      </c>
      <c r="C6315" s="3">
        <v>300000</v>
      </c>
      <c r="D6315" s="3"/>
      <c r="E6315" s="7">
        <f t="shared" si="119"/>
        <v>300000</v>
      </c>
      <c r="F6315" s="5">
        <v>45952</v>
      </c>
      <c r="G6315" s="4">
        <v>20251021</v>
      </c>
      <c r="H6315" s="38" t="str">
        <f>VLOOKUP(B6315,CAJEROS!B:D,3,0)</f>
        <v>Dispensador</v>
      </c>
      <c r="I6315" s="34" t="s">
        <v>9</v>
      </c>
      <c r="J6315" s="38" t="str">
        <f>VLOOKUP(B6315,CAJEROS!B:E,4,0)</f>
        <v>SUC_QUIBDO6</v>
      </c>
      <c r="K6315" t="s">
        <v>610</v>
      </c>
    </row>
    <row r="6316" spans="1:11">
      <c r="A6316" s="32">
        <v>556</v>
      </c>
      <c r="B6316" s="33">
        <v>8335</v>
      </c>
      <c r="C6316" s="3">
        <v>110000</v>
      </c>
      <c r="D6316" s="3"/>
      <c r="E6316" s="7">
        <f t="shared" si="119"/>
        <v>110000</v>
      </c>
      <c r="F6316" s="5">
        <v>45952</v>
      </c>
      <c r="G6316" s="4">
        <v>20251021</v>
      </c>
      <c r="H6316" s="38" t="str">
        <f>VLOOKUP(B6316,CAJEROS!B:D,3,0)</f>
        <v>Dispensador</v>
      </c>
      <c r="I6316" s="34" t="s">
        <v>9</v>
      </c>
      <c r="J6316" s="38" t="str">
        <f>VLOOKUP(B6316,CAJEROS!B:E,4,0)</f>
        <v>SUCCARVIBO2</v>
      </c>
      <c r="K6316" t="s">
        <v>610</v>
      </c>
    </row>
    <row r="6317" spans="1:11">
      <c r="A6317" s="32">
        <v>556</v>
      </c>
      <c r="B6317" s="33">
        <v>8336</v>
      </c>
      <c r="C6317" s="3">
        <v>50000</v>
      </c>
      <c r="D6317" s="3"/>
      <c r="E6317" s="7">
        <f t="shared" si="119"/>
        <v>50000</v>
      </c>
      <c r="F6317" s="5">
        <v>45952</v>
      </c>
      <c r="G6317" s="4">
        <v>20251021</v>
      </c>
      <c r="H6317" s="38" t="str">
        <f>VLOOKUP(B6317,CAJEROS!B:D,3,0)</f>
        <v>Dispensador</v>
      </c>
      <c r="I6317" s="34" t="s">
        <v>9</v>
      </c>
      <c r="J6317" s="38" t="str">
        <f>VLOOKUP(B6317,CAJEROS!B:E,4,0)</f>
        <v>SUCCARVIBO3</v>
      </c>
      <c r="K6317" t="s">
        <v>610</v>
      </c>
    </row>
    <row r="6318" spans="1:11">
      <c r="A6318" s="32">
        <v>591</v>
      </c>
      <c r="B6318" s="33">
        <v>7833</v>
      </c>
      <c r="C6318" s="3">
        <v>120000</v>
      </c>
      <c r="D6318" s="3"/>
      <c r="E6318" s="7">
        <f t="shared" si="119"/>
        <v>120000</v>
      </c>
      <c r="F6318" s="5">
        <v>45952</v>
      </c>
      <c r="G6318" s="4">
        <v>20251021</v>
      </c>
      <c r="H6318" s="38" t="str">
        <f>VLOOKUP(B6318,CAJEROS!B:D,3,0)</f>
        <v>Dispensador</v>
      </c>
      <c r="I6318" s="34" t="s">
        <v>9</v>
      </c>
      <c r="J6318" s="38" t="str">
        <f>VLOOKUP(B6318,CAJEROS!B:E,4,0)</f>
        <v>SAMACA_1</v>
      </c>
      <c r="K6318" t="s">
        <v>610</v>
      </c>
    </row>
    <row r="6319" spans="1:11">
      <c r="A6319" s="32">
        <v>601</v>
      </c>
      <c r="B6319" s="33">
        <v>6425</v>
      </c>
      <c r="C6319" s="3">
        <v>1200000</v>
      </c>
      <c r="D6319" s="3"/>
      <c r="E6319" s="7">
        <f t="shared" si="119"/>
        <v>1200000</v>
      </c>
      <c r="F6319" s="5">
        <v>45952</v>
      </c>
      <c r="G6319" s="4">
        <v>20251021</v>
      </c>
      <c r="H6319" s="38" t="str">
        <f>VLOOKUP(B6319,CAJEROS!B:D,3,0)</f>
        <v>Dispensador</v>
      </c>
      <c r="I6319" s="34" t="s">
        <v>9</v>
      </c>
      <c r="J6319" s="38" t="str">
        <f>VLOOKUP(B6319,CAJEROS!B:E,4,0)</f>
        <v>SUC_PQCOL5</v>
      </c>
      <c r="K6319" t="s">
        <v>610</v>
      </c>
    </row>
    <row r="6320" spans="1:11">
      <c r="A6320" s="32">
        <v>642</v>
      </c>
      <c r="B6320" s="33">
        <v>1951</v>
      </c>
      <c r="C6320" s="3">
        <v>50000</v>
      </c>
      <c r="D6320" s="3"/>
      <c r="E6320" s="7">
        <f t="shared" si="119"/>
        <v>50000</v>
      </c>
      <c r="F6320" s="5">
        <v>45952</v>
      </c>
      <c r="G6320" s="4">
        <v>20251021</v>
      </c>
      <c r="H6320" s="38" t="str">
        <f>VLOOKUP(B6320,CAJEROS!B:D,3,0)</f>
        <v>Dispensador</v>
      </c>
      <c r="I6320" s="34" t="s">
        <v>9</v>
      </c>
      <c r="J6320" s="38" t="str">
        <f>VLOOKUP(B6320,CAJEROS!B:E,4,0)</f>
        <v>SANTAROSOS2</v>
      </c>
      <c r="K6320" t="s">
        <v>610</v>
      </c>
    </row>
    <row r="6321" spans="1:11">
      <c r="A6321" s="32">
        <v>681</v>
      </c>
      <c r="B6321" s="33">
        <v>3640</v>
      </c>
      <c r="C6321" s="3">
        <v>400000</v>
      </c>
      <c r="D6321" s="3"/>
      <c r="E6321" s="7">
        <f t="shared" si="119"/>
        <v>400000</v>
      </c>
      <c r="F6321" s="5">
        <v>45952</v>
      </c>
      <c r="G6321" s="4">
        <v>20251021</v>
      </c>
      <c r="H6321" s="38" t="str">
        <f>VLOOKUP(B6321,CAJEROS!B:D,3,0)</f>
        <v>Dispensador</v>
      </c>
      <c r="I6321" s="34" t="s">
        <v>9</v>
      </c>
      <c r="J6321" s="38" t="str">
        <f>VLOOKUP(B6321,CAJEROS!B:E,4,0)</f>
        <v>CERETE_3</v>
      </c>
      <c r="K6321" t="s">
        <v>610</v>
      </c>
    </row>
    <row r="6322" spans="1:11">
      <c r="A6322" s="32">
        <v>681</v>
      </c>
      <c r="B6322" s="33">
        <v>8494</v>
      </c>
      <c r="C6322" s="3">
        <v>220000</v>
      </c>
      <c r="D6322" s="3"/>
      <c r="E6322" s="7">
        <f t="shared" si="119"/>
        <v>220000</v>
      </c>
      <c r="F6322" s="5">
        <v>45952</v>
      </c>
      <c r="G6322" s="4">
        <v>20251021</v>
      </c>
      <c r="H6322" s="38" t="str">
        <f>VLOOKUP(B6322,CAJEROS!B:D,3,0)</f>
        <v>Dispensador</v>
      </c>
      <c r="I6322" s="34" t="s">
        <v>9</v>
      </c>
      <c r="J6322" s="38" t="str">
        <f>VLOOKUP(B6322,CAJEROS!B:E,4,0)</f>
        <v>SUC_CERETE2</v>
      </c>
      <c r="K6322" t="s">
        <v>610</v>
      </c>
    </row>
    <row r="6323" spans="1:11">
      <c r="A6323" s="32">
        <v>682</v>
      </c>
      <c r="B6323" s="33">
        <v>5959</v>
      </c>
      <c r="C6323" s="3">
        <v>250000</v>
      </c>
      <c r="D6323" s="3"/>
      <c r="E6323" s="7">
        <f t="shared" si="119"/>
        <v>250000</v>
      </c>
      <c r="F6323" s="5">
        <v>45952</v>
      </c>
      <c r="G6323" s="4">
        <v>20251021</v>
      </c>
      <c r="H6323" s="38" t="str">
        <f>VLOOKUP(B6323,CAJEROS!B:D,3,0)</f>
        <v>Dispensador</v>
      </c>
      <c r="I6323" s="34" t="s">
        <v>9</v>
      </c>
      <c r="J6323" s="38" t="str">
        <f>VLOOKUP(B6323,CAJEROS!B:E,4,0)</f>
        <v>SUC_CCFONT1</v>
      </c>
      <c r="K6323" t="s">
        <v>610</v>
      </c>
    </row>
    <row r="6324" spans="1:11">
      <c r="A6324" s="32">
        <v>688</v>
      </c>
      <c r="B6324" s="33">
        <v>4840</v>
      </c>
      <c r="C6324" s="3">
        <v>1440000</v>
      </c>
      <c r="D6324" s="3"/>
      <c r="E6324" s="7">
        <f t="shared" si="119"/>
        <v>1440000</v>
      </c>
      <c r="F6324" s="5">
        <v>45952</v>
      </c>
      <c r="G6324" s="4">
        <v>20251021</v>
      </c>
      <c r="H6324" s="38" t="str">
        <f>VLOOKUP(B6324,CAJEROS!B:D,3,0)</f>
        <v>Dispensador</v>
      </c>
      <c r="I6324" s="34" t="s">
        <v>9</v>
      </c>
      <c r="J6324" s="38" t="str">
        <f>VLOOKUP(B6324,CAJEROS!B:E,4,0)</f>
        <v>SUC_CONTAD1</v>
      </c>
      <c r="K6324" t="s">
        <v>610</v>
      </c>
    </row>
    <row r="6325" spans="1:11">
      <c r="A6325" s="32">
        <v>704</v>
      </c>
      <c r="B6325" s="33">
        <v>2673</v>
      </c>
      <c r="C6325" s="3">
        <v>70000</v>
      </c>
      <c r="D6325" s="3"/>
      <c r="E6325" s="7">
        <f t="shared" si="119"/>
        <v>70000</v>
      </c>
      <c r="F6325" s="5">
        <v>45952</v>
      </c>
      <c r="G6325" s="4">
        <v>20251021</v>
      </c>
      <c r="H6325" s="38" t="str">
        <f>VLOOKUP(B6325,CAJEROS!B:D,3,0)</f>
        <v>Dispensador</v>
      </c>
      <c r="I6325" s="34" t="s">
        <v>9</v>
      </c>
      <c r="J6325" s="38" t="str">
        <f>VLOOKUP(B6325,CAJEROS!B:E,4,0)</f>
        <v>LA_LOMA_CES</v>
      </c>
      <c r="K6325" t="s">
        <v>610</v>
      </c>
    </row>
    <row r="6326" spans="1:11">
      <c r="A6326" s="32">
        <v>721</v>
      </c>
      <c r="B6326" s="33">
        <v>8892</v>
      </c>
      <c r="C6326" s="3">
        <v>50000</v>
      </c>
      <c r="D6326" s="3"/>
      <c r="E6326" s="7">
        <f t="shared" si="119"/>
        <v>50000</v>
      </c>
      <c r="F6326" s="5">
        <v>45952</v>
      </c>
      <c r="G6326" s="4">
        <v>20251021</v>
      </c>
      <c r="H6326" s="38" t="str">
        <f>VLOOKUP(B6326,CAJEROS!B:D,3,0)</f>
        <v>Dispensador</v>
      </c>
      <c r="I6326" s="34" t="s">
        <v>9</v>
      </c>
      <c r="J6326" s="38" t="str">
        <f>VLOOKUP(B6326,CAJEROS!B:E,4,0)</f>
        <v>SUCHALLAGO2</v>
      </c>
      <c r="K6326" t="s">
        <v>610</v>
      </c>
    </row>
    <row r="6327" spans="1:11">
      <c r="A6327" s="32">
        <v>724</v>
      </c>
      <c r="B6327" s="33">
        <v>6894</v>
      </c>
      <c r="C6327" s="3">
        <v>1130000</v>
      </c>
      <c r="D6327" s="3">
        <v>890000</v>
      </c>
      <c r="E6327" s="7">
        <f t="shared" si="119"/>
        <v>240000</v>
      </c>
      <c r="F6327" s="5">
        <v>45952</v>
      </c>
      <c r="G6327" s="4">
        <v>20251021</v>
      </c>
      <c r="H6327" s="38" t="str">
        <f>VLOOKUP(B6327,CAJEROS!B:D,3,0)</f>
        <v>Dispensador</v>
      </c>
      <c r="I6327" s="34" t="s">
        <v>9</v>
      </c>
      <c r="J6327" s="38" t="str">
        <f>VLOOKUP(B6327,CAJEROS!B:E,4,0)</f>
        <v>SUC_FONSEC3</v>
      </c>
      <c r="K6327" t="s">
        <v>610</v>
      </c>
    </row>
    <row r="6328" spans="1:11">
      <c r="A6328" s="32">
        <v>832</v>
      </c>
      <c r="B6328" s="33">
        <v>4767</v>
      </c>
      <c r="C6328" s="3">
        <v>1100000</v>
      </c>
      <c r="D6328" s="3">
        <v>430000</v>
      </c>
      <c r="E6328" s="7">
        <f t="shared" si="119"/>
        <v>670000</v>
      </c>
      <c r="F6328" s="5">
        <v>45952</v>
      </c>
      <c r="G6328" s="4">
        <v>20251021</v>
      </c>
      <c r="H6328" s="38" t="str">
        <f>VLOOKUP(B6328,CAJEROS!B:D,3,0)</f>
        <v>Dispensador</v>
      </c>
      <c r="I6328" s="34" t="s">
        <v>9</v>
      </c>
      <c r="J6328" s="38" t="str">
        <f>VLOOKUP(B6328,CAJEROS!B:E,4,0)</f>
        <v>SUC_SANTAN1</v>
      </c>
      <c r="K6328" t="s">
        <v>610</v>
      </c>
    </row>
    <row r="6329" spans="1:11">
      <c r="A6329" s="32">
        <v>849</v>
      </c>
      <c r="B6329" s="33">
        <v>9723</v>
      </c>
      <c r="C6329" s="3">
        <v>350000</v>
      </c>
      <c r="D6329" s="3"/>
      <c r="E6329" s="7">
        <f t="shared" si="119"/>
        <v>350000</v>
      </c>
      <c r="F6329" s="5">
        <v>45952</v>
      </c>
      <c r="G6329" s="4">
        <v>20251021</v>
      </c>
      <c r="H6329" s="38" t="str">
        <f>VLOOKUP(B6329,CAJEROS!B:D,3,0)</f>
        <v>Dispensador</v>
      </c>
      <c r="I6329" s="34" t="s">
        <v>9</v>
      </c>
      <c r="J6329" s="38" t="str">
        <f>VLOOKUP(B6329,CAJEROS!B:E,4,0)</f>
        <v>SUCUNIVILL4</v>
      </c>
      <c r="K6329" t="s">
        <v>610</v>
      </c>
    </row>
    <row r="6330" spans="1:11">
      <c r="A6330" s="32">
        <v>864</v>
      </c>
      <c r="B6330" s="33">
        <v>5377</v>
      </c>
      <c r="C6330" s="3">
        <v>100000</v>
      </c>
      <c r="D6330" s="3"/>
      <c r="E6330" s="7">
        <f t="shared" si="119"/>
        <v>100000</v>
      </c>
      <c r="F6330" s="5">
        <v>45952</v>
      </c>
      <c r="G6330" s="4">
        <v>20251021</v>
      </c>
      <c r="H6330" s="38" t="str">
        <f>VLOOKUP(B6330,CAJEROS!B:D,3,0)</f>
        <v>Dispensador</v>
      </c>
      <c r="I6330" s="34" t="s">
        <v>9</v>
      </c>
      <c r="J6330" s="38" t="str">
        <f>VLOOKUP(B6330,CAJEROS!B:E,4,0)</f>
        <v>SUC_PRADER3</v>
      </c>
      <c r="K6330" t="s">
        <v>610</v>
      </c>
    </row>
    <row r="6331" spans="1:11">
      <c r="A6331" s="32">
        <v>882</v>
      </c>
      <c r="B6331" s="33">
        <v>3510</v>
      </c>
      <c r="C6331" s="3">
        <v>810000</v>
      </c>
      <c r="D6331" s="3">
        <v>303600</v>
      </c>
      <c r="E6331" s="7">
        <f t="shared" si="119"/>
        <v>506400</v>
      </c>
      <c r="F6331" s="5">
        <v>45952</v>
      </c>
      <c r="G6331" s="4">
        <v>20251021</v>
      </c>
      <c r="H6331" s="38" t="str">
        <f>VLOOKUP(B6331,CAJEROS!B:D,3,0)</f>
        <v>Dispensador</v>
      </c>
      <c r="I6331" s="34" t="s">
        <v>9</v>
      </c>
      <c r="J6331" s="38" t="str">
        <f>VLOOKUP(B6331,CAJEROS!B:E,4,0)</f>
        <v>LIBERTADOR1</v>
      </c>
      <c r="K6331" t="s">
        <v>610</v>
      </c>
    </row>
    <row r="6332" spans="1:11">
      <c r="A6332" s="32">
        <v>6</v>
      </c>
      <c r="B6332" s="33">
        <v>5001</v>
      </c>
      <c r="C6332" s="3">
        <v>1000000</v>
      </c>
      <c r="D6332" s="3"/>
      <c r="E6332" s="7">
        <f t="shared" si="119"/>
        <v>1000000</v>
      </c>
      <c r="F6332" s="5">
        <v>45952</v>
      </c>
      <c r="G6332" s="4">
        <v>20251021</v>
      </c>
      <c r="H6332" s="38" t="str">
        <f>VLOOKUP(B6332,CAJEROS!B:D,3,0)</f>
        <v>Multifuncional</v>
      </c>
      <c r="I6332" s="34"/>
      <c r="J6332" s="38" t="str">
        <f>VLOOKUP(B6332,CAJEROS!B:E,4,0)</f>
        <v>MF_AVJUNIN</v>
      </c>
      <c r="K6332" t="s">
        <v>610</v>
      </c>
    </row>
    <row r="6333" spans="1:11">
      <c r="A6333" s="32">
        <v>41</v>
      </c>
      <c r="B6333" s="33">
        <v>7341</v>
      </c>
      <c r="C6333" s="3">
        <v>15000</v>
      </c>
      <c r="D6333" s="3"/>
      <c r="E6333" s="7">
        <f t="shared" si="119"/>
        <v>15000</v>
      </c>
      <c r="F6333" s="5">
        <v>45952</v>
      </c>
      <c r="G6333" s="4">
        <v>20251021</v>
      </c>
      <c r="H6333" s="38" t="str">
        <f>VLOOKUP(B6333,CAJEROS!B:D,3,0)</f>
        <v>Multifuncional</v>
      </c>
      <c r="I6333" s="34"/>
      <c r="J6333" s="38" t="str">
        <f>VLOOKUP(B6333,CAJEROS!B:E,4,0)</f>
        <v>MF_PLZESPAN</v>
      </c>
      <c r="K6333" t="s">
        <v>610</v>
      </c>
    </row>
    <row r="6334" spans="1:11">
      <c r="A6334" s="32">
        <v>81</v>
      </c>
      <c r="B6334" s="33">
        <v>5036</v>
      </c>
      <c r="C6334" s="3">
        <v>1302250</v>
      </c>
      <c r="D6334" s="3"/>
      <c r="E6334" s="7">
        <f t="shared" si="119"/>
        <v>1302250</v>
      </c>
      <c r="F6334" s="5">
        <v>45952</v>
      </c>
      <c r="G6334" s="4">
        <v>20251021</v>
      </c>
      <c r="H6334" s="38" t="str">
        <f>VLOOKUP(B6334,CAJEROS!B:D,3,0)</f>
        <v>Multifuncional</v>
      </c>
      <c r="I6334" s="34"/>
      <c r="J6334" s="38" t="str">
        <f>VLOOKUP(B6334,CAJEROS!B:E,4,0)</f>
        <v>MF_AVKENNE</v>
      </c>
      <c r="K6334" t="s">
        <v>610</v>
      </c>
    </row>
    <row r="6335" spans="1:11">
      <c r="A6335" s="32">
        <v>88</v>
      </c>
      <c r="B6335" s="33">
        <v>5111</v>
      </c>
      <c r="C6335" s="3">
        <v>50</v>
      </c>
      <c r="D6335" s="3"/>
      <c r="E6335" s="7">
        <f t="shared" si="119"/>
        <v>50</v>
      </c>
      <c r="F6335" s="5">
        <v>45952</v>
      </c>
      <c r="G6335" s="4">
        <v>20251021</v>
      </c>
      <c r="H6335" s="38" t="str">
        <f>VLOOKUP(B6335,CAJEROS!B:D,3,0)</f>
        <v>Multifuncional</v>
      </c>
      <c r="I6335" s="34"/>
      <c r="J6335" s="38" t="str">
        <f>VLOOKUP(B6335,CAJEROS!B:E,4,0)</f>
        <v>MF_CUCUTPAL</v>
      </c>
      <c r="K6335" t="s">
        <v>610</v>
      </c>
    </row>
    <row r="6336" spans="1:11">
      <c r="A6336" s="32">
        <v>115</v>
      </c>
      <c r="B6336" s="33">
        <v>5080</v>
      </c>
      <c r="C6336" s="3">
        <v>2754000</v>
      </c>
      <c r="D6336" s="3"/>
      <c r="E6336" s="7">
        <f t="shared" si="119"/>
        <v>2754000</v>
      </c>
      <c r="F6336" s="5">
        <v>45952</v>
      </c>
      <c r="G6336" s="4">
        <v>20251021</v>
      </c>
      <c r="H6336" s="38" t="str">
        <f>VLOOKUP(B6336,CAJEROS!B:D,3,0)</f>
        <v>Multifuncional</v>
      </c>
      <c r="I6336" s="34"/>
      <c r="J6336" s="38" t="str">
        <f>VLOOKUP(B6336,CAJEROS!B:E,4,0)</f>
        <v>MF_CIPEREIR</v>
      </c>
      <c r="K6336" t="s">
        <v>610</v>
      </c>
    </row>
    <row r="6337" spans="1:11">
      <c r="A6337" s="32">
        <v>237</v>
      </c>
      <c r="B6337" s="33">
        <v>6467</v>
      </c>
      <c r="C6337" s="3">
        <v>9880600</v>
      </c>
      <c r="D6337" s="3"/>
      <c r="E6337" s="7">
        <f t="shared" si="119"/>
        <v>9880600</v>
      </c>
      <c r="F6337" s="5">
        <v>45952</v>
      </c>
      <c r="G6337" s="4">
        <v>20251021</v>
      </c>
      <c r="H6337" s="38" t="str">
        <f>VLOOKUP(B6337,CAJEROS!B:D,3,0)</f>
        <v>Multifuncional</v>
      </c>
      <c r="I6337" s="34"/>
      <c r="J6337" s="38" t="str">
        <f>VLOOKUP(B6337,CAJEROS!B:E,4,0)</f>
        <v>MF_DORADOPL</v>
      </c>
      <c r="K6337" t="s">
        <v>610</v>
      </c>
    </row>
    <row r="6338" spans="1:11">
      <c r="A6338" s="32">
        <v>265</v>
      </c>
      <c r="B6338" s="33">
        <v>5083</v>
      </c>
      <c r="C6338" s="3">
        <v>9600</v>
      </c>
      <c r="D6338" s="3"/>
      <c r="E6338" s="7">
        <f t="shared" si="119"/>
        <v>9600</v>
      </c>
      <c r="F6338" s="5">
        <v>45952</v>
      </c>
      <c r="G6338" s="4">
        <v>20251021</v>
      </c>
      <c r="H6338" s="38" t="str">
        <f>VLOOKUP(B6338,CAJEROS!B:D,3,0)</f>
        <v>Multifuncional</v>
      </c>
      <c r="I6338" s="34"/>
      <c r="J6338" s="38" t="str">
        <f>VLOOKUP(B6338,CAJEROS!B:E,4,0)</f>
        <v>MF_VALLELIL</v>
      </c>
      <c r="K6338" t="s">
        <v>610</v>
      </c>
    </row>
    <row r="6339" spans="1:11">
      <c r="A6339" s="32">
        <v>371</v>
      </c>
      <c r="B6339" s="33">
        <v>6718</v>
      </c>
      <c r="C6339" s="3">
        <v>25405000</v>
      </c>
      <c r="D6339" s="3"/>
      <c r="E6339" s="7">
        <f t="shared" si="119"/>
        <v>25405000</v>
      </c>
      <c r="F6339" s="5">
        <v>45952</v>
      </c>
      <c r="G6339" s="4">
        <v>20251021</v>
      </c>
      <c r="H6339" s="38" t="str">
        <f>VLOOKUP(B6339,CAJEROS!B:D,3,0)</f>
        <v>Multifuncional</v>
      </c>
      <c r="I6339" s="34"/>
      <c r="J6339" s="38" t="str">
        <f>VLOOKUP(B6339,CAJEROS!B:E,4,0)</f>
        <v>MF_CAUCASIA</v>
      </c>
      <c r="K6339" t="s">
        <v>610</v>
      </c>
    </row>
    <row r="6340" spans="1:11">
      <c r="A6340" s="32">
        <v>486</v>
      </c>
      <c r="B6340" s="33">
        <v>5081</v>
      </c>
      <c r="C6340" s="3">
        <v>22175950</v>
      </c>
      <c r="D6340" s="3"/>
      <c r="E6340" s="7">
        <f t="shared" si="119"/>
        <v>22175950</v>
      </c>
      <c r="F6340" s="5">
        <v>45952</v>
      </c>
      <c r="G6340" s="4">
        <v>20251021</v>
      </c>
      <c r="H6340" s="38" t="str">
        <f>VLOOKUP(B6340,CAJEROS!B:D,3,0)</f>
        <v>Multifuncional</v>
      </c>
      <c r="I6340" s="34"/>
      <c r="J6340" s="38" t="str">
        <f>VLOOKUP(B6340,CAJEROS!B:E,4,0)</f>
        <v>MF_SANNIBA1</v>
      </c>
      <c r="K6340" t="s">
        <v>610</v>
      </c>
    </row>
    <row r="6341" spans="1:11">
      <c r="A6341" s="32">
        <v>509</v>
      </c>
      <c r="B6341" s="33">
        <v>8835</v>
      </c>
      <c r="C6341" s="3">
        <v>1699000</v>
      </c>
      <c r="D6341" s="3"/>
      <c r="E6341" s="7">
        <f t="shared" si="119"/>
        <v>1699000</v>
      </c>
      <c r="F6341" s="5">
        <v>45952</v>
      </c>
      <c r="G6341" s="4">
        <v>20251021</v>
      </c>
      <c r="H6341" s="38" t="str">
        <f>VLOOKUP(B6341,CAJEROS!B:D,3,0)</f>
        <v>Multifuncional</v>
      </c>
      <c r="I6341" s="34"/>
      <c r="J6341" s="38" t="str">
        <f>VLOOKUP(B6341,CAJEROS!B:E,4,0)</f>
        <v>MFTSUCURB1</v>
      </c>
      <c r="K6341" t="s">
        <v>610</v>
      </c>
    </row>
    <row r="6342" spans="1:11">
      <c r="A6342" s="32">
        <v>523</v>
      </c>
      <c r="B6342" s="33">
        <v>5082</v>
      </c>
      <c r="C6342" s="3">
        <v>7000</v>
      </c>
      <c r="D6342" s="3"/>
      <c r="E6342" s="7">
        <f t="shared" si="119"/>
        <v>7000</v>
      </c>
      <c r="F6342" s="5">
        <v>45952</v>
      </c>
      <c r="G6342" s="4">
        <v>20251021</v>
      </c>
      <c r="H6342" s="38" t="str">
        <f>VLOOKUP(B6342,CAJEROS!B:D,3,0)</f>
        <v>Multifuncional</v>
      </c>
      <c r="I6342" s="34"/>
      <c r="J6342" s="38" t="str">
        <f>VLOOKUP(B6342,CAJEROS!B:E,4,0)</f>
        <v>MF_OVALLEDU</v>
      </c>
      <c r="K6342" t="s">
        <v>610</v>
      </c>
    </row>
    <row r="6343" spans="1:11">
      <c r="A6343" s="32">
        <v>554</v>
      </c>
      <c r="B6343" s="33">
        <v>8294</v>
      </c>
      <c r="C6343" s="3">
        <v>12125800</v>
      </c>
      <c r="D6343" s="3"/>
      <c r="E6343" s="7">
        <f t="shared" si="119"/>
        <v>12125800</v>
      </c>
      <c r="F6343" s="5">
        <v>45952</v>
      </c>
      <c r="G6343" s="4">
        <v>20251021</v>
      </c>
      <c r="H6343" s="38" t="str">
        <f>VLOOKUP(B6343,CAJEROS!B:D,3,0)</f>
        <v>Multifuncional</v>
      </c>
      <c r="I6343" s="34"/>
      <c r="J6343" s="38" t="str">
        <f>VLOOKUP(B6343,CAJEROS!B:E,4,0)</f>
        <v>MF_SBUVIII1</v>
      </c>
      <c r="K6343" t="s">
        <v>610</v>
      </c>
    </row>
    <row r="6344" spans="1:11">
      <c r="A6344" s="32">
        <v>651</v>
      </c>
      <c r="B6344" s="33">
        <v>7318</v>
      </c>
      <c r="C6344" s="3">
        <v>202250</v>
      </c>
      <c r="D6344" s="3"/>
      <c r="E6344" s="7">
        <f t="shared" si="119"/>
        <v>202250</v>
      </c>
      <c r="F6344" s="5">
        <v>45952</v>
      </c>
      <c r="G6344" s="4">
        <v>20251021</v>
      </c>
      <c r="H6344" s="38" t="str">
        <f>VLOOKUP(B6344,CAJEROS!B:D,3,0)</f>
        <v>Multifuncional</v>
      </c>
      <c r="I6344" s="34"/>
      <c r="J6344" s="38" t="str">
        <f>VLOOKUP(B6344,CAJEROS!B:E,4,0)</f>
        <v>MF_BARBOSA2</v>
      </c>
      <c r="K6344" t="s">
        <v>610</v>
      </c>
    </row>
    <row r="6345" spans="1:11">
      <c r="A6345" s="32">
        <v>659</v>
      </c>
      <c r="B6345" s="33">
        <v>5102</v>
      </c>
      <c r="C6345" s="3">
        <v>700000</v>
      </c>
      <c r="D6345" s="3"/>
      <c r="E6345" s="7">
        <f t="shared" si="119"/>
        <v>700000</v>
      </c>
      <c r="F6345" s="5">
        <v>45952</v>
      </c>
      <c r="G6345" s="4">
        <v>20251021</v>
      </c>
      <c r="H6345" s="38" t="str">
        <f>VLOOKUP(B6345,CAJEROS!B:D,3,0)</f>
        <v>Multifuncional</v>
      </c>
      <c r="I6345" s="34"/>
      <c r="J6345" s="38" t="str">
        <f>VLOOKUP(B6345,CAJEROS!B:E,4,0)</f>
        <v>MF_GIRARDOT</v>
      </c>
      <c r="K6345" t="s">
        <v>610</v>
      </c>
    </row>
    <row r="6346" spans="1:11">
      <c r="A6346" s="32">
        <v>677</v>
      </c>
      <c r="B6346" s="33">
        <v>7124</v>
      </c>
      <c r="C6346" s="3">
        <v>5000</v>
      </c>
      <c r="D6346" s="3"/>
      <c r="E6346" s="7">
        <f t="shared" si="119"/>
        <v>5000</v>
      </c>
      <c r="F6346" s="5">
        <v>45952</v>
      </c>
      <c r="G6346" s="4">
        <v>20251021</v>
      </c>
      <c r="H6346" s="38" t="str">
        <f>VLOOKUP(B6346,CAJEROS!B:D,3,0)</f>
        <v>Multifuncional</v>
      </c>
      <c r="I6346" s="34"/>
      <c r="J6346" s="38" t="str">
        <f>VLOOKUP(B6346,CAJEROS!B:E,4,0)</f>
        <v>MF_PLMERMON</v>
      </c>
      <c r="K6346" t="s">
        <v>610</v>
      </c>
    </row>
    <row r="6347" spans="1:11">
      <c r="A6347" s="32">
        <v>678</v>
      </c>
      <c r="B6347" s="33">
        <v>5227</v>
      </c>
      <c r="C6347" s="3">
        <v>1086000</v>
      </c>
      <c r="D6347" s="3"/>
      <c r="E6347" s="7">
        <f t="shared" ref="E6347:E6410" si="120">+C6347-D6347</f>
        <v>1086000</v>
      </c>
      <c r="F6347" s="5">
        <v>45952</v>
      </c>
      <c r="G6347" s="4">
        <v>20251021</v>
      </c>
      <c r="H6347" s="38" t="str">
        <f>VLOOKUP(B6347,CAJEROS!B:D,3,0)</f>
        <v>Multifuncional</v>
      </c>
      <c r="I6347" s="34"/>
      <c r="J6347" s="38" t="str">
        <f>VLOOKUP(B6347,CAJEROS!B:E,4,0)</f>
        <v>MF_PASCASTE</v>
      </c>
      <c r="K6347" t="s">
        <v>610</v>
      </c>
    </row>
    <row r="6348" spans="1:11">
      <c r="A6348" s="32">
        <v>721</v>
      </c>
      <c r="B6348" s="33">
        <v>8896</v>
      </c>
      <c r="C6348" s="3">
        <v>17590750</v>
      </c>
      <c r="D6348" s="3"/>
      <c r="E6348" s="7">
        <f t="shared" si="120"/>
        <v>17590750</v>
      </c>
      <c r="F6348" s="5">
        <v>45952</v>
      </c>
      <c r="G6348" s="4">
        <v>20251021</v>
      </c>
      <c r="H6348" s="38" t="str">
        <f>VLOOKUP(B6348,CAJEROS!B:D,3,0)</f>
        <v>Multifuncional</v>
      </c>
      <c r="I6348" s="34"/>
      <c r="J6348" s="38" t="str">
        <f>VLOOKUP(B6348,CAJEROS!B:E,4,0)</f>
        <v>MFSUCLAGO1</v>
      </c>
      <c r="K6348" t="s">
        <v>610</v>
      </c>
    </row>
    <row r="6349" spans="1:11">
      <c r="A6349" s="32">
        <v>745</v>
      </c>
      <c r="B6349" s="33">
        <v>1477</v>
      </c>
      <c r="C6349" s="3">
        <v>4605000</v>
      </c>
      <c r="D6349" s="3"/>
      <c r="E6349" s="7">
        <f t="shared" si="120"/>
        <v>4605000</v>
      </c>
      <c r="F6349" s="5">
        <v>45952</v>
      </c>
      <c r="G6349" s="4">
        <v>20251021</v>
      </c>
      <c r="H6349" s="38" t="str">
        <f>VLOOKUP(B6349,CAJEROS!B:D,3,0)</f>
        <v>Multifuncional</v>
      </c>
      <c r="I6349" s="34"/>
      <c r="J6349" s="38" t="str">
        <f>VLOOKUP(B6349,CAJEROS!B:E,4,0)</f>
        <v>MFSUCMALPZ2</v>
      </c>
      <c r="K6349" t="s">
        <v>610</v>
      </c>
    </row>
    <row r="6350" spans="1:11">
      <c r="A6350" s="32">
        <v>750</v>
      </c>
      <c r="B6350" s="33">
        <v>5157</v>
      </c>
      <c r="C6350" s="3">
        <v>3959000</v>
      </c>
      <c r="D6350" s="3"/>
      <c r="E6350" s="7">
        <f t="shared" si="120"/>
        <v>3959000</v>
      </c>
      <c r="F6350" s="5">
        <v>45952</v>
      </c>
      <c r="G6350" s="4">
        <v>20251021</v>
      </c>
      <c r="H6350" s="38" t="str">
        <f>VLOOKUP(B6350,CAJEROS!B:D,3,0)</f>
        <v>Multifuncional</v>
      </c>
      <c r="I6350" s="34"/>
      <c r="J6350" s="38" t="str">
        <f>VLOOKUP(B6350,CAJEROS!B:E,4,0)</f>
        <v>MF_AVROOSVL</v>
      </c>
      <c r="K6350" t="s">
        <v>610</v>
      </c>
    </row>
    <row r="6351" spans="1:11">
      <c r="A6351" s="32">
        <v>796</v>
      </c>
      <c r="B6351" s="33">
        <v>6911</v>
      </c>
      <c r="C6351" s="3">
        <v>6550</v>
      </c>
      <c r="D6351" s="3"/>
      <c r="E6351" s="7">
        <f t="shared" si="120"/>
        <v>6550</v>
      </c>
      <c r="F6351" s="5">
        <v>45952</v>
      </c>
      <c r="G6351" s="4">
        <v>20251021</v>
      </c>
      <c r="H6351" s="38" t="str">
        <f>VLOOKUP(B6351,CAJEROS!B:D,3,0)</f>
        <v>Multifuncional</v>
      </c>
      <c r="I6351" s="34"/>
      <c r="J6351" s="38" t="str">
        <f>VLOOKUP(B6351,CAJEROS!B:E,4,0)</f>
        <v>MF_GIRON</v>
      </c>
      <c r="K6351" t="s">
        <v>610</v>
      </c>
    </row>
    <row r="6352" spans="1:11">
      <c r="A6352" s="32">
        <v>810</v>
      </c>
      <c r="B6352" s="33">
        <v>8204</v>
      </c>
      <c r="C6352" s="3">
        <v>8805000</v>
      </c>
      <c r="D6352" s="3">
        <v>100000</v>
      </c>
      <c r="E6352" s="7">
        <f t="shared" si="120"/>
        <v>8705000</v>
      </c>
      <c r="F6352" s="5">
        <v>45952</v>
      </c>
      <c r="G6352" s="4">
        <v>20251021</v>
      </c>
      <c r="H6352" s="38" t="str">
        <f>VLOOKUP(B6352,CAJEROS!B:D,3,0)</f>
        <v>Multifuncional</v>
      </c>
      <c r="I6352" s="34"/>
      <c r="J6352" s="38" t="str">
        <f>VLOOKUP(B6352,CAJEROS!B:E,4,0)</f>
        <v>MF_OESTE</v>
      </c>
      <c r="K6352" t="s">
        <v>610</v>
      </c>
    </row>
    <row r="6353" spans="1:11">
      <c r="A6353" s="32">
        <v>868</v>
      </c>
      <c r="B6353" s="33">
        <v>6149</v>
      </c>
      <c r="C6353" s="3">
        <v>24000</v>
      </c>
      <c r="D6353" s="3"/>
      <c r="E6353" s="7">
        <f t="shared" si="120"/>
        <v>24000</v>
      </c>
      <c r="F6353" s="5">
        <v>45952</v>
      </c>
      <c r="G6353" s="4">
        <v>20251021</v>
      </c>
      <c r="H6353" s="38" t="str">
        <f>VLOOKUP(B6353,CAJEROS!B:D,3,0)</f>
        <v>Multifuncional</v>
      </c>
      <c r="I6353" s="34"/>
      <c r="J6353" s="38" t="str">
        <f>VLOOKUP(B6353,CAJEROS!B:E,4,0)</f>
        <v>MF_POPAYAN1</v>
      </c>
      <c r="K6353" t="s">
        <v>610</v>
      </c>
    </row>
    <row r="6354" spans="1:11">
      <c r="A6354" s="32">
        <v>894</v>
      </c>
      <c r="B6354" s="33">
        <v>6466</v>
      </c>
      <c r="C6354" s="3">
        <v>12410000</v>
      </c>
      <c r="D6354" s="3"/>
      <c r="E6354" s="7">
        <f t="shared" si="120"/>
        <v>12410000</v>
      </c>
      <c r="F6354" s="5">
        <v>45952</v>
      </c>
      <c r="G6354" s="4">
        <v>20251021</v>
      </c>
      <c r="H6354" s="38" t="str">
        <f>VLOOKUP(B6354,CAJEROS!B:D,3,0)</f>
        <v>Multifuncional</v>
      </c>
      <c r="I6354" s="34"/>
      <c r="J6354" s="38" t="str">
        <f>VLOOKUP(B6354,CAJEROS!B:E,4,0)</f>
        <v>MF_TUMACO</v>
      </c>
      <c r="K6354" t="s">
        <v>610</v>
      </c>
    </row>
    <row r="6355" spans="1:11">
      <c r="A6355" s="32">
        <v>915</v>
      </c>
      <c r="B6355" s="33">
        <v>8313</v>
      </c>
      <c r="C6355" s="3">
        <v>6000000</v>
      </c>
      <c r="D6355" s="3"/>
      <c r="E6355" s="7">
        <f t="shared" si="120"/>
        <v>6000000</v>
      </c>
      <c r="F6355" s="5">
        <v>45952</v>
      </c>
      <c r="G6355" s="4">
        <v>20251021</v>
      </c>
      <c r="H6355" s="38" t="str">
        <f>VLOOKUP(B6355,CAJEROS!B:D,3,0)</f>
        <v>Multifuncional</v>
      </c>
      <c r="I6355" s="34"/>
      <c r="J6355" s="38" t="str">
        <f>VLOOKUP(B6355,CAJEROS!B:E,4,0)</f>
        <v>MF_BANLABB1</v>
      </c>
      <c r="K6355" t="s">
        <v>610</v>
      </c>
    </row>
    <row r="6356" spans="1:11">
      <c r="A6356" s="32">
        <v>941</v>
      </c>
      <c r="B6356" s="33">
        <v>5220</v>
      </c>
      <c r="C6356" s="3">
        <v>2095950</v>
      </c>
      <c r="D6356" s="3"/>
      <c r="E6356" s="7">
        <f t="shared" si="120"/>
        <v>2095950</v>
      </c>
      <c r="F6356" s="5">
        <v>45952</v>
      </c>
      <c r="G6356" s="4">
        <v>20251021</v>
      </c>
      <c r="H6356" s="38" t="str">
        <f>VLOOKUP(B6356,CAJEROS!B:D,3,0)</f>
        <v>Multifuncional</v>
      </c>
      <c r="I6356" s="34"/>
      <c r="J6356" s="38" t="str">
        <f>VLOOKUP(B6356,CAJEROS!B:E,4,0)</f>
        <v>MF_NEIVANVA</v>
      </c>
      <c r="K6356" t="s">
        <v>610</v>
      </c>
    </row>
    <row r="6357" spans="1:11">
      <c r="A6357" s="32">
        <v>317</v>
      </c>
      <c r="B6357" s="33">
        <v>6613</v>
      </c>
      <c r="C6357" s="3">
        <v>3588000</v>
      </c>
      <c r="D6357" s="3"/>
      <c r="E6357" s="7">
        <f t="shared" si="120"/>
        <v>3588000</v>
      </c>
      <c r="F6357" s="5">
        <v>45952</v>
      </c>
      <c r="G6357" s="4">
        <v>20251021</v>
      </c>
      <c r="H6357" s="38" t="str">
        <f>VLOOKUP(B6357,CAJEROS!B:D,3,0)</f>
        <v>Multifuncional</v>
      </c>
      <c r="I6357" s="34" t="s">
        <v>9</v>
      </c>
      <c r="J6357" s="38" t="str">
        <f>VLOOKUP(B6357,CAJEROS!B:E,4,0)</f>
        <v>MF_ARAUCA</v>
      </c>
      <c r="K6357" t="s">
        <v>610</v>
      </c>
    </row>
    <row r="6358" spans="1:11">
      <c r="A6358" s="32">
        <v>322</v>
      </c>
      <c r="B6358" s="33">
        <v>2444</v>
      </c>
      <c r="C6358" s="3">
        <v>3250000</v>
      </c>
      <c r="D6358" s="3"/>
      <c r="E6358" s="7">
        <f t="shared" si="120"/>
        <v>3250000</v>
      </c>
      <c r="F6358" s="5">
        <v>45952</v>
      </c>
      <c r="G6358" s="4">
        <v>20251021</v>
      </c>
      <c r="H6358" s="38" t="str">
        <f>VLOOKUP(B6358,CAJEROS!B:D,3,0)</f>
        <v>Multifuncional</v>
      </c>
      <c r="I6358" s="34" t="s">
        <v>9</v>
      </c>
      <c r="J6358" s="38" t="str">
        <f>VLOOKUP(B6358,CAJEROS!B:E,4,0)</f>
        <v>MFSUCSNGIL1</v>
      </c>
      <c r="K6358" t="s">
        <v>610</v>
      </c>
    </row>
    <row r="6359" spans="1:11">
      <c r="A6359" s="32">
        <v>467</v>
      </c>
      <c r="B6359" s="33">
        <v>9051</v>
      </c>
      <c r="C6359" s="3">
        <v>3240200</v>
      </c>
      <c r="D6359" s="3"/>
      <c r="E6359" s="7">
        <f t="shared" si="120"/>
        <v>3240200</v>
      </c>
      <c r="F6359" s="5">
        <v>45952</v>
      </c>
      <c r="G6359" s="4">
        <v>20251021</v>
      </c>
      <c r="H6359" s="38" t="str">
        <f>VLOOKUP(B6359,CAJEROS!B:D,3,0)</f>
        <v>Multifuncional</v>
      </c>
      <c r="I6359" s="34" t="s">
        <v>9</v>
      </c>
      <c r="J6359" s="38" t="str">
        <f>VLOOKUP(B6359,CAJEROS!B:E,4,0)</f>
        <v>MFHDVERPLZ1</v>
      </c>
      <c r="K6359" t="s">
        <v>610</v>
      </c>
    </row>
    <row r="6360" spans="1:11">
      <c r="A6360" s="32">
        <v>812</v>
      </c>
      <c r="B6360" s="33">
        <v>5144</v>
      </c>
      <c r="C6360" s="3">
        <v>3010000</v>
      </c>
      <c r="D6360" s="3"/>
      <c r="E6360" s="7">
        <f t="shared" si="120"/>
        <v>3010000</v>
      </c>
      <c r="F6360" s="5">
        <v>45952</v>
      </c>
      <c r="G6360" s="4">
        <v>20251021</v>
      </c>
      <c r="H6360" s="38" t="str">
        <f>VLOOKUP(B6360,CAJEROS!B:D,3,0)</f>
        <v>Multifuncional</v>
      </c>
      <c r="I6360" s="34" t="s">
        <v>9</v>
      </c>
      <c r="J6360" s="38" t="str">
        <f>VLOOKUP(B6360,CAJEROS!B:E,4,0)</f>
        <v>MF_CHPICHPE</v>
      </c>
      <c r="K6360" t="s">
        <v>610</v>
      </c>
    </row>
    <row r="6361" spans="1:11">
      <c r="A6361" s="32">
        <v>123</v>
      </c>
      <c r="B6361" s="33">
        <v>7134</v>
      </c>
      <c r="C6361" s="3">
        <v>3008500</v>
      </c>
      <c r="D6361" s="3"/>
      <c r="E6361" s="7">
        <f t="shared" si="120"/>
        <v>3008500</v>
      </c>
      <c r="F6361" s="5">
        <v>45952</v>
      </c>
      <c r="G6361" s="4">
        <v>20251021</v>
      </c>
      <c r="H6361" s="38" t="str">
        <f>VLOOKUP(B6361,CAJEROS!B:D,3,0)</f>
        <v>Multifuncional</v>
      </c>
      <c r="I6361" s="34" t="s">
        <v>9</v>
      </c>
      <c r="J6361" s="38" t="str">
        <f>VLOOKUP(B6361,CAJEROS!B:E,4,0)</f>
        <v>MF_CPRIONE2</v>
      </c>
      <c r="K6361" t="s">
        <v>610</v>
      </c>
    </row>
    <row r="6362" spans="1:11">
      <c r="A6362" s="32">
        <v>453</v>
      </c>
      <c r="B6362" s="33">
        <v>8018</v>
      </c>
      <c r="C6362" s="3">
        <v>2960000</v>
      </c>
      <c r="D6362" s="3"/>
      <c r="E6362" s="7">
        <f t="shared" si="120"/>
        <v>2960000</v>
      </c>
      <c r="F6362" s="5">
        <v>45952</v>
      </c>
      <c r="G6362" s="4">
        <v>20251021</v>
      </c>
      <c r="H6362" s="38" t="str">
        <f>VLOOKUP(B6362,CAJEROS!B:D,3,0)</f>
        <v>Multifuncional</v>
      </c>
      <c r="I6362" s="34" t="s">
        <v>9</v>
      </c>
      <c r="J6362" s="38" t="str">
        <f>VLOOKUP(B6362,CAJEROS!B:E,4,0)</f>
        <v>MFSUCPITAL1</v>
      </c>
      <c r="K6362" t="s">
        <v>610</v>
      </c>
    </row>
    <row r="6363" spans="1:11">
      <c r="A6363" s="32">
        <v>337</v>
      </c>
      <c r="B6363" s="33">
        <v>6253</v>
      </c>
      <c r="C6363" s="3">
        <v>2217000</v>
      </c>
      <c r="D6363" s="3"/>
      <c r="E6363" s="7">
        <f t="shared" si="120"/>
        <v>2217000</v>
      </c>
      <c r="F6363" s="5">
        <v>45952</v>
      </c>
      <c r="G6363" s="4">
        <v>20251021</v>
      </c>
      <c r="H6363" s="38" t="str">
        <f>VLOOKUP(B6363,CAJEROS!B:D,3,0)</f>
        <v>Multifuncional</v>
      </c>
      <c r="I6363" s="34" t="s">
        <v>9</v>
      </c>
      <c r="J6363" s="38" t="str">
        <f>VLOOKUP(B6363,CAJEROS!B:E,4,0)</f>
        <v>MF_CHIA</v>
      </c>
      <c r="K6363" t="s">
        <v>610</v>
      </c>
    </row>
    <row r="6364" spans="1:11">
      <c r="A6364" s="32">
        <v>795</v>
      </c>
      <c r="B6364" s="33">
        <v>1027</v>
      </c>
      <c r="C6364" s="3">
        <v>2095000</v>
      </c>
      <c r="D6364" s="3"/>
      <c r="E6364" s="7">
        <f t="shared" si="120"/>
        <v>2095000</v>
      </c>
      <c r="F6364" s="5">
        <v>45952</v>
      </c>
      <c r="G6364" s="4">
        <v>20251021</v>
      </c>
      <c r="H6364" s="38" t="str">
        <f>VLOOKUP(B6364,CAJEROS!B:D,3,0)</f>
        <v>Multifuncional</v>
      </c>
      <c r="I6364" s="34" t="s">
        <v>9</v>
      </c>
      <c r="J6364" s="38" t="str">
        <f>VLOOKUP(B6364,CAJEROS!B:E,4,0)</f>
        <v>MFSUCANVER1</v>
      </c>
      <c r="K6364" t="s">
        <v>610</v>
      </c>
    </row>
    <row r="6365" spans="1:11">
      <c r="A6365" s="32">
        <v>907</v>
      </c>
      <c r="B6365" s="33">
        <v>5019</v>
      </c>
      <c r="C6365" s="3">
        <v>2095000</v>
      </c>
      <c r="D6365" s="3"/>
      <c r="E6365" s="7">
        <f t="shared" si="120"/>
        <v>2095000</v>
      </c>
      <c r="F6365" s="5">
        <v>45952</v>
      </c>
      <c r="G6365" s="4">
        <v>20251021</v>
      </c>
      <c r="H6365" s="38" t="str">
        <f>VLOOKUP(B6365,CAJEROS!B:D,3,0)</f>
        <v>Multifuncional</v>
      </c>
      <c r="I6365" s="34" t="s">
        <v>9</v>
      </c>
      <c r="J6365" s="38" t="str">
        <f>VLOOKUP(B6365,CAJEROS!B:E,4,0)</f>
        <v>MF_FRONTERA</v>
      </c>
      <c r="K6365" t="s">
        <v>610</v>
      </c>
    </row>
    <row r="6366" spans="1:11">
      <c r="A6366" s="32">
        <v>331</v>
      </c>
      <c r="B6366" s="33">
        <v>574</v>
      </c>
      <c r="C6366" s="3">
        <v>2020000</v>
      </c>
      <c r="D6366" s="3"/>
      <c r="E6366" s="7">
        <f t="shared" si="120"/>
        <v>2020000</v>
      </c>
      <c r="F6366" s="5">
        <v>45952</v>
      </c>
      <c r="G6366" s="4">
        <v>20251021</v>
      </c>
      <c r="H6366" s="38" t="str">
        <f>VLOOKUP(B6366,CAJEROS!B:D,3,0)</f>
        <v>Multifuncional</v>
      </c>
      <c r="I6366" s="34" t="s">
        <v>9</v>
      </c>
      <c r="J6366" s="38" t="str">
        <f>VLOOKUP(B6366,CAJEROS!B:E,4,0)</f>
        <v>MF_SUCARKA1</v>
      </c>
      <c r="K6366" t="s">
        <v>610</v>
      </c>
    </row>
    <row r="6367" spans="1:11">
      <c r="A6367" s="32">
        <v>849</v>
      </c>
      <c r="B6367" s="33">
        <v>9724</v>
      </c>
      <c r="C6367" s="3">
        <v>1994000</v>
      </c>
      <c r="D6367" s="3"/>
      <c r="E6367" s="7">
        <f t="shared" si="120"/>
        <v>1994000</v>
      </c>
      <c r="F6367" s="5">
        <v>45952</v>
      </c>
      <c r="G6367" s="4">
        <v>20251021</v>
      </c>
      <c r="H6367" s="38" t="str">
        <f>VLOOKUP(B6367,CAJEROS!B:D,3,0)</f>
        <v>Multifuncional</v>
      </c>
      <c r="I6367" s="34" t="s">
        <v>9</v>
      </c>
      <c r="J6367" s="38" t="str">
        <f>VLOOKUP(B6367,CAJEROS!B:E,4,0)</f>
        <v>MF_SUNIVIL1</v>
      </c>
      <c r="K6367" t="s">
        <v>610</v>
      </c>
    </row>
    <row r="6368" spans="1:11">
      <c r="A6368" s="32">
        <v>946</v>
      </c>
      <c r="B6368" s="33">
        <v>5225</v>
      </c>
      <c r="C6368" s="3">
        <v>1970000</v>
      </c>
      <c r="D6368" s="3">
        <v>1870000</v>
      </c>
      <c r="E6368" s="7">
        <f t="shared" si="120"/>
        <v>100000</v>
      </c>
      <c r="F6368" s="5">
        <v>45952</v>
      </c>
      <c r="G6368" s="4">
        <v>20251021</v>
      </c>
      <c r="H6368" s="38" t="str">
        <f>VLOOKUP(B6368,CAJEROS!B:D,3,0)</f>
        <v>Multifuncional</v>
      </c>
      <c r="I6368" s="34" t="s">
        <v>9</v>
      </c>
      <c r="J6368" s="38" t="str">
        <f>VLOOKUP(B6368,CAJEROS!B:E,4,0)</f>
        <v>MF_SABANACH</v>
      </c>
      <c r="K6368" t="s">
        <v>610</v>
      </c>
    </row>
    <row r="6369" spans="1:11">
      <c r="A6369" s="32">
        <v>944</v>
      </c>
      <c r="B6369" s="33">
        <v>8353</v>
      </c>
      <c r="C6369" s="3">
        <v>1570000</v>
      </c>
      <c r="D6369" s="3">
        <v>444000</v>
      </c>
      <c r="E6369" s="7">
        <f t="shared" si="120"/>
        <v>1126000</v>
      </c>
      <c r="F6369" s="5">
        <v>45952</v>
      </c>
      <c r="G6369" s="4">
        <v>20251021</v>
      </c>
      <c r="H6369" s="38" t="str">
        <f>VLOOKUP(B6369,CAJEROS!B:D,3,0)</f>
        <v>Multifuncional</v>
      </c>
      <c r="I6369" s="34" t="s">
        <v>9</v>
      </c>
      <c r="J6369" s="38" t="str">
        <f>VLOOKUP(B6369,CAJEROS!B:E,4,0)</f>
        <v>MF_SANTABO1</v>
      </c>
      <c r="K6369" t="s">
        <v>610</v>
      </c>
    </row>
    <row r="6370" spans="1:11">
      <c r="A6370" s="32">
        <v>793</v>
      </c>
      <c r="B6370" s="33">
        <v>5216</v>
      </c>
      <c r="C6370" s="3">
        <v>1405000</v>
      </c>
      <c r="D6370" s="3"/>
      <c r="E6370" s="7">
        <f t="shared" si="120"/>
        <v>1405000</v>
      </c>
      <c r="F6370" s="5">
        <v>45952</v>
      </c>
      <c r="G6370" s="4">
        <v>20251021</v>
      </c>
      <c r="H6370" s="38" t="str">
        <f>VLOOKUP(B6370,CAJEROS!B:D,3,0)</f>
        <v>Multifuncional</v>
      </c>
      <c r="I6370" s="34" t="s">
        <v>9</v>
      </c>
      <c r="J6370" s="38" t="str">
        <f>VLOOKUP(B6370,CAJEROS!B:E,4,0)</f>
        <v>MF_PROFENAL</v>
      </c>
      <c r="K6370" t="s">
        <v>610</v>
      </c>
    </row>
    <row r="6371" spans="1:11">
      <c r="A6371" s="32">
        <v>267</v>
      </c>
      <c r="B6371" s="33">
        <v>6186</v>
      </c>
      <c r="C6371" s="3">
        <v>1260000</v>
      </c>
      <c r="D6371" s="3"/>
      <c r="E6371" s="7">
        <f t="shared" si="120"/>
        <v>1260000</v>
      </c>
      <c r="F6371" s="5">
        <v>45952</v>
      </c>
      <c r="G6371" s="4">
        <v>20251021</v>
      </c>
      <c r="H6371" s="38" t="str">
        <f>VLOOKUP(B6371,CAJEROS!B:D,3,0)</f>
        <v>Multifuncional</v>
      </c>
      <c r="I6371" s="34" t="s">
        <v>9</v>
      </c>
      <c r="J6371" s="38" t="str">
        <f>VLOOKUP(B6371,CAJEROS!B:E,4,0)</f>
        <v>MF_VISITACI</v>
      </c>
      <c r="K6371" t="s">
        <v>610</v>
      </c>
    </row>
    <row r="6372" spans="1:11">
      <c r="A6372" s="32">
        <v>277</v>
      </c>
      <c r="B6372" s="33">
        <v>5021</v>
      </c>
      <c r="C6372" s="3">
        <v>1255000</v>
      </c>
      <c r="D6372" s="3"/>
      <c r="E6372" s="7">
        <f t="shared" si="120"/>
        <v>1255000</v>
      </c>
      <c r="F6372" s="5">
        <v>45952</v>
      </c>
      <c r="G6372" s="4">
        <v>20251021</v>
      </c>
      <c r="H6372" s="38" t="str">
        <f>VLOOKUP(B6372,CAJEROS!B:D,3,0)</f>
        <v>Multifuncional</v>
      </c>
      <c r="I6372" s="34" t="s">
        <v>9</v>
      </c>
      <c r="J6372" s="38" t="str">
        <f>VLOOKUP(B6372,CAJEROS!B:E,4,0)</f>
        <v>MF_CCMAYOR1</v>
      </c>
      <c r="K6372" t="s">
        <v>610</v>
      </c>
    </row>
    <row r="6373" spans="1:11">
      <c r="A6373" s="32">
        <v>363</v>
      </c>
      <c r="B6373" s="33">
        <v>5168</v>
      </c>
      <c r="C6373" s="3">
        <v>1205000</v>
      </c>
      <c r="D6373" s="3"/>
      <c r="E6373" s="7">
        <f t="shared" si="120"/>
        <v>1205000</v>
      </c>
      <c r="F6373" s="5">
        <v>45952</v>
      </c>
      <c r="G6373" s="4">
        <v>20251021</v>
      </c>
      <c r="H6373" s="38" t="str">
        <f>VLOOKUP(B6373,CAJEROS!B:D,3,0)</f>
        <v>Multifuncional</v>
      </c>
      <c r="I6373" s="34" t="s">
        <v>9</v>
      </c>
      <c r="J6373" s="38" t="str">
        <f>VLOOKUP(B6373,CAJEROS!B:E,4,0)</f>
        <v>MF_YOPAL</v>
      </c>
      <c r="K6373" t="s">
        <v>610</v>
      </c>
    </row>
    <row r="6374" spans="1:11">
      <c r="A6374" s="32">
        <v>229</v>
      </c>
      <c r="B6374" s="33">
        <v>9604</v>
      </c>
      <c r="C6374" s="3">
        <v>1099950</v>
      </c>
      <c r="D6374" s="3">
        <v>510250</v>
      </c>
      <c r="E6374" s="7">
        <f t="shared" si="120"/>
        <v>589700</v>
      </c>
      <c r="F6374" s="5">
        <v>45952</v>
      </c>
      <c r="G6374" s="4">
        <v>20251021</v>
      </c>
      <c r="H6374" s="38" t="str">
        <f>VLOOKUP(B6374,CAJEROS!B:D,3,0)</f>
        <v>Multifuncional</v>
      </c>
      <c r="I6374" s="34" t="s">
        <v>9</v>
      </c>
      <c r="J6374" s="38" t="str">
        <f>VLOOKUP(B6374,CAJEROS!B:E,4,0)</f>
        <v>MFSUCPASER1</v>
      </c>
      <c r="K6374" t="s">
        <v>610</v>
      </c>
    </row>
    <row r="6375" spans="1:11">
      <c r="A6375" s="32">
        <v>432</v>
      </c>
      <c r="B6375" s="33">
        <v>5195</v>
      </c>
      <c r="C6375" s="3">
        <v>1095000</v>
      </c>
      <c r="D6375" s="3"/>
      <c r="E6375" s="7">
        <f t="shared" si="120"/>
        <v>1095000</v>
      </c>
      <c r="F6375" s="5">
        <v>45952</v>
      </c>
      <c r="G6375" s="4">
        <v>20251021</v>
      </c>
      <c r="H6375" s="38" t="str">
        <f>VLOOKUP(B6375,CAJEROS!B:D,3,0)</f>
        <v>Multifuncional</v>
      </c>
      <c r="I6375" s="34" t="s">
        <v>9</v>
      </c>
      <c r="J6375" s="38" t="str">
        <f>VLOOKUP(B6375,CAJEROS!B:E,4,0)</f>
        <v>MF_TTEDLSU1</v>
      </c>
      <c r="K6375" t="s">
        <v>610</v>
      </c>
    </row>
    <row r="6376" spans="1:11">
      <c r="A6376" s="32">
        <v>361</v>
      </c>
      <c r="B6376" s="33">
        <v>5005</v>
      </c>
      <c r="C6376" s="3">
        <v>980000</v>
      </c>
      <c r="D6376" s="3"/>
      <c r="E6376" s="7">
        <f t="shared" si="120"/>
        <v>980000</v>
      </c>
      <c r="F6376" s="5">
        <v>45952</v>
      </c>
      <c r="G6376" s="4">
        <v>20251021</v>
      </c>
      <c r="H6376" s="38" t="str">
        <f>VLOOKUP(B6376,CAJEROS!B:D,3,0)</f>
        <v>Multifuncional</v>
      </c>
      <c r="I6376" s="34" t="s">
        <v>9</v>
      </c>
      <c r="J6376" s="38" t="str">
        <f>VLOOKUP(B6376,CAJEROS!B:E,4,0)</f>
        <v>MF_CDPFONTI</v>
      </c>
      <c r="K6376" t="s">
        <v>610</v>
      </c>
    </row>
    <row r="6377" spans="1:11">
      <c r="A6377" s="32">
        <v>258</v>
      </c>
      <c r="B6377" s="33">
        <v>5155</v>
      </c>
      <c r="C6377" s="3">
        <v>920000</v>
      </c>
      <c r="D6377" s="3">
        <v>660000</v>
      </c>
      <c r="E6377" s="7">
        <f t="shared" si="120"/>
        <v>260000</v>
      </c>
      <c r="F6377" s="5">
        <v>45952</v>
      </c>
      <c r="G6377" s="4">
        <v>20251021</v>
      </c>
      <c r="H6377" s="38" t="str">
        <f>VLOOKUP(B6377,CAJEROS!B:D,3,0)</f>
        <v>Multifuncional</v>
      </c>
      <c r="I6377" s="34" t="s">
        <v>9</v>
      </c>
      <c r="J6377" s="38" t="str">
        <f>VLOOKUP(B6377,CAJEROS!B:E,4,0)</f>
        <v>MF_TUNJA</v>
      </c>
      <c r="K6377" t="s">
        <v>610</v>
      </c>
    </row>
    <row r="6378" spans="1:11">
      <c r="A6378" s="32">
        <v>454</v>
      </c>
      <c r="B6378" s="33">
        <v>5231</v>
      </c>
      <c r="C6378" s="3">
        <v>860000</v>
      </c>
      <c r="D6378" s="3"/>
      <c r="E6378" s="7">
        <f t="shared" si="120"/>
        <v>860000</v>
      </c>
      <c r="F6378" s="5">
        <v>45952</v>
      </c>
      <c r="G6378" s="4">
        <v>20251021</v>
      </c>
      <c r="H6378" s="38" t="str">
        <f>VLOOKUP(B6378,CAJEROS!B:D,3,0)</f>
        <v>Multifuncional</v>
      </c>
      <c r="I6378" s="34" t="s">
        <v>9</v>
      </c>
      <c r="J6378" s="38" t="str">
        <f>VLOOKUP(B6378,CAJEROS!B:E,4,0)</f>
        <v>MF_5TAVENID</v>
      </c>
      <c r="K6378" t="s">
        <v>610</v>
      </c>
    </row>
    <row r="6379" spans="1:11">
      <c r="A6379" s="32">
        <v>68</v>
      </c>
      <c r="B6379" s="33">
        <v>5135</v>
      </c>
      <c r="C6379" s="3">
        <v>783000</v>
      </c>
      <c r="D6379" s="3">
        <v>100000</v>
      </c>
      <c r="E6379" s="7">
        <f t="shared" si="120"/>
        <v>683000</v>
      </c>
      <c r="F6379" s="5">
        <v>45952</v>
      </c>
      <c r="G6379" s="4">
        <v>20251021</v>
      </c>
      <c r="H6379" s="38" t="str">
        <f>VLOOKUP(B6379,CAJEROS!B:D,3,0)</f>
        <v>Multifuncional</v>
      </c>
      <c r="I6379" s="34" t="s">
        <v>9</v>
      </c>
      <c r="J6379" s="38" t="str">
        <f>VLOOKUP(B6379,CAJEROS!B:E,4,0)</f>
        <v>MF_IBAGUE</v>
      </c>
      <c r="K6379" t="s">
        <v>610</v>
      </c>
    </row>
    <row r="6380" spans="1:11">
      <c r="A6380" s="32">
        <v>551</v>
      </c>
      <c r="B6380" s="33">
        <v>9643</v>
      </c>
      <c r="C6380" s="3">
        <v>720000</v>
      </c>
      <c r="D6380" s="3">
        <v>430000</v>
      </c>
      <c r="E6380" s="7">
        <f t="shared" si="120"/>
        <v>290000</v>
      </c>
      <c r="F6380" s="5">
        <v>45952</v>
      </c>
      <c r="G6380" s="4">
        <v>20251021</v>
      </c>
      <c r="H6380" s="38" t="str">
        <f>VLOOKUP(B6380,CAJEROS!B:D,3,0)</f>
        <v>Multifuncional</v>
      </c>
      <c r="I6380" s="34" t="s">
        <v>9</v>
      </c>
      <c r="J6380" s="38" t="str">
        <f>VLOOKUP(B6380,CAJEROS!B:E,4,0)</f>
        <v>MFSUCUNIME1</v>
      </c>
      <c r="K6380" t="s">
        <v>610</v>
      </c>
    </row>
    <row r="6381" spans="1:11">
      <c r="A6381" s="32">
        <v>442</v>
      </c>
      <c r="B6381" s="33">
        <v>8887</v>
      </c>
      <c r="C6381" s="3">
        <v>700000</v>
      </c>
      <c r="D6381" s="3"/>
      <c r="E6381" s="7">
        <f t="shared" si="120"/>
        <v>700000</v>
      </c>
      <c r="F6381" s="5">
        <v>45952</v>
      </c>
      <c r="G6381" s="4">
        <v>20251021</v>
      </c>
      <c r="H6381" s="38" t="str">
        <f>VLOOKUP(B6381,CAJEROS!B:D,3,0)</f>
        <v>Multifuncional</v>
      </c>
      <c r="I6381" s="34" t="s">
        <v>9</v>
      </c>
      <c r="J6381" s="38" t="str">
        <f>VLOOKUP(B6381,CAJEROS!B:E,4,0)</f>
        <v>MFVIVABQUI1</v>
      </c>
      <c r="K6381" t="s">
        <v>610</v>
      </c>
    </row>
    <row r="6382" spans="1:11">
      <c r="A6382" s="32">
        <v>517</v>
      </c>
      <c r="B6382" s="33">
        <v>5053</v>
      </c>
      <c r="C6382" s="3">
        <v>620000</v>
      </c>
      <c r="D6382" s="3"/>
      <c r="E6382" s="7">
        <f t="shared" si="120"/>
        <v>620000</v>
      </c>
      <c r="F6382" s="5">
        <v>45952</v>
      </c>
      <c r="G6382" s="4">
        <v>20251021</v>
      </c>
      <c r="H6382" s="38" t="str">
        <f>VLOOKUP(B6382,CAJEROS!B:D,3,0)</f>
        <v>Multifuncional</v>
      </c>
      <c r="I6382" s="34" t="s">
        <v>9</v>
      </c>
      <c r="J6382" s="38" t="str">
        <f>VLOOKUP(B6382,CAJEROS!B:E,4,0)</f>
        <v>MF_RODADERO</v>
      </c>
      <c r="K6382" t="s">
        <v>610</v>
      </c>
    </row>
    <row r="6383" spans="1:11">
      <c r="A6383" s="32">
        <v>623</v>
      </c>
      <c r="B6383" s="33">
        <v>7375</v>
      </c>
      <c r="C6383" s="3">
        <v>590000</v>
      </c>
      <c r="D6383" s="3"/>
      <c r="E6383" s="7">
        <f t="shared" si="120"/>
        <v>590000</v>
      </c>
      <c r="F6383" s="5">
        <v>45952</v>
      </c>
      <c r="G6383" s="4">
        <v>20251021</v>
      </c>
      <c r="H6383" s="38" t="str">
        <f>VLOOKUP(B6383,CAJEROS!B:D,3,0)</f>
        <v>Multifuncional</v>
      </c>
      <c r="I6383" s="34" t="s">
        <v>9</v>
      </c>
      <c r="J6383" s="38" t="str">
        <f>VLOOKUP(B6383,CAJEROS!B:E,4,0)</f>
        <v>MF_FUNDMAN2</v>
      </c>
      <c r="K6383" t="s">
        <v>610</v>
      </c>
    </row>
    <row r="6384" spans="1:11">
      <c r="A6384" s="32">
        <v>656</v>
      </c>
      <c r="B6384" s="33">
        <v>5103</v>
      </c>
      <c r="C6384" s="3">
        <v>314000</v>
      </c>
      <c r="D6384" s="3"/>
      <c r="E6384" s="7">
        <f t="shared" si="120"/>
        <v>314000</v>
      </c>
      <c r="F6384" s="5">
        <v>45952</v>
      </c>
      <c r="G6384" s="4">
        <v>20251021</v>
      </c>
      <c r="H6384" s="38" t="str">
        <f>VLOOKUP(B6384,CAJEROS!B:D,3,0)</f>
        <v>Multifuncional</v>
      </c>
      <c r="I6384" s="34" t="s">
        <v>9</v>
      </c>
      <c r="J6384" s="38" t="str">
        <f>VLOOKUP(B6384,CAJEROS!B:E,4,0)</f>
        <v>MF_MAYPLAZA</v>
      </c>
      <c r="K6384" t="s">
        <v>610</v>
      </c>
    </row>
    <row r="6385" spans="1:11">
      <c r="A6385" s="32">
        <v>40</v>
      </c>
      <c r="B6385" s="33">
        <v>5142</v>
      </c>
      <c r="C6385" s="3">
        <v>210000</v>
      </c>
      <c r="D6385" s="3"/>
      <c r="E6385" s="7">
        <f t="shared" si="120"/>
        <v>210000</v>
      </c>
      <c r="F6385" s="5">
        <v>45952</v>
      </c>
      <c r="G6385" s="4">
        <v>20251021</v>
      </c>
      <c r="H6385" s="38" t="str">
        <f>VLOOKUP(B6385,CAJEROS!B:D,3,0)</f>
        <v>Multifuncional</v>
      </c>
      <c r="I6385" s="34" t="s">
        <v>9</v>
      </c>
      <c r="J6385" s="38" t="str">
        <f>VLOOKUP(B6385,CAJEROS!B:E,4,0)</f>
        <v>MF_CENTRO93</v>
      </c>
      <c r="K6385" t="s">
        <v>610</v>
      </c>
    </row>
    <row r="6386" spans="1:11">
      <c r="A6386" s="32">
        <v>915</v>
      </c>
      <c r="B6386" s="33">
        <v>8314</v>
      </c>
      <c r="C6386" s="3">
        <v>205000</v>
      </c>
      <c r="D6386" s="3"/>
      <c r="E6386" s="7">
        <f t="shared" si="120"/>
        <v>205000</v>
      </c>
      <c r="F6386" s="5">
        <v>45952</v>
      </c>
      <c r="G6386" s="4">
        <v>20251021</v>
      </c>
      <c r="H6386" s="38" t="str">
        <f>VLOOKUP(B6386,CAJEROS!B:D,3,0)</f>
        <v>Multifuncional</v>
      </c>
      <c r="I6386" s="34" t="s">
        <v>9</v>
      </c>
      <c r="J6386" s="38" t="str">
        <f>VLOOKUP(B6386,CAJEROS!B:E,4,0)</f>
        <v>MF_BANLABB2</v>
      </c>
      <c r="K6386" t="s">
        <v>610</v>
      </c>
    </row>
    <row r="6387" spans="1:11">
      <c r="A6387" s="32">
        <v>499</v>
      </c>
      <c r="B6387" s="33">
        <v>9810</v>
      </c>
      <c r="C6387" s="3">
        <v>101000</v>
      </c>
      <c r="D6387" s="3">
        <v>99000</v>
      </c>
      <c r="E6387" s="7">
        <f t="shared" si="120"/>
        <v>2000</v>
      </c>
      <c r="F6387" s="5">
        <v>45952</v>
      </c>
      <c r="G6387" s="4">
        <v>20251021</v>
      </c>
      <c r="H6387" s="38" t="str">
        <f>VLOOKUP(B6387,CAJEROS!B:D,3,0)</f>
        <v>Multifuncional</v>
      </c>
      <c r="I6387" s="34" t="s">
        <v>9</v>
      </c>
      <c r="J6387" s="38" t="str">
        <f>VLOOKUP(B6387,CAJEROS!B:E,4,0)</f>
        <v>MF_SUCPARF1</v>
      </c>
      <c r="K6387" t="s">
        <v>610</v>
      </c>
    </row>
    <row r="6388" spans="1:11">
      <c r="A6388" s="32">
        <v>849</v>
      </c>
      <c r="B6388" s="33">
        <v>9725</v>
      </c>
      <c r="C6388" s="3">
        <v>52100</v>
      </c>
      <c r="D6388" s="3"/>
      <c r="E6388" s="7">
        <f t="shared" si="120"/>
        <v>52100</v>
      </c>
      <c r="F6388" s="5">
        <v>45952</v>
      </c>
      <c r="G6388" s="4">
        <v>20251021</v>
      </c>
      <c r="H6388" s="38" t="str">
        <f>VLOOKUP(B6388,CAJEROS!B:D,3,0)</f>
        <v>Multifuncional</v>
      </c>
      <c r="I6388" s="34" t="s">
        <v>9</v>
      </c>
      <c r="J6388" s="38" t="str">
        <f>VLOOKUP(B6388,CAJEROS!B:E,4,0)</f>
        <v>MF_SUNIVIL2</v>
      </c>
      <c r="K6388" t="s">
        <v>610</v>
      </c>
    </row>
    <row r="6389" spans="1:11">
      <c r="A6389" s="32">
        <v>495</v>
      </c>
      <c r="B6389" s="33">
        <v>8482</v>
      </c>
      <c r="C6389" s="3">
        <v>500000</v>
      </c>
      <c r="D6389" s="3"/>
      <c r="E6389" s="7">
        <f t="shared" si="120"/>
        <v>500000</v>
      </c>
      <c r="F6389" s="5">
        <v>45952</v>
      </c>
      <c r="G6389" s="4">
        <v>20251021</v>
      </c>
      <c r="H6389" s="38" t="str">
        <f>VLOOKUP(B6389,CAJEROS!B:D,3,0)</f>
        <v>Multifuncional</v>
      </c>
      <c r="I6389" s="34" t="s">
        <v>9</v>
      </c>
      <c r="J6389" s="38" t="str">
        <f>VLOOKUP(B6389,CAJEROS!B:E,4,0)</f>
        <v>MF_SUCBOSQ1</v>
      </c>
      <c r="K6389" t="s">
        <v>610</v>
      </c>
    </row>
    <row r="6390" spans="1:11">
      <c r="A6390" s="32">
        <v>849</v>
      </c>
      <c r="B6390" s="33">
        <v>9720</v>
      </c>
      <c r="C6390" s="3">
        <v>20000</v>
      </c>
      <c r="D6390" s="3"/>
      <c r="E6390" s="7">
        <f t="shared" si="120"/>
        <v>20000</v>
      </c>
      <c r="F6390" s="5">
        <v>45952</v>
      </c>
      <c r="G6390" s="4">
        <v>20251021</v>
      </c>
      <c r="H6390" s="38" t="str">
        <f>VLOOKUP(B6390,CAJEROS!B:D,3,0)</f>
        <v>Dispensador</v>
      </c>
      <c r="I6390" s="34" t="s">
        <v>10</v>
      </c>
      <c r="J6390" s="38" t="str">
        <f>VLOOKUP(B6390,CAJEROS!B:E,4,0)</f>
        <v>SUCUNIVILL1</v>
      </c>
      <c r="K6390" t="s">
        <v>610</v>
      </c>
    </row>
    <row r="6391" spans="1:11">
      <c r="A6391" s="32">
        <v>64</v>
      </c>
      <c r="B6391" s="33">
        <v>6605</v>
      </c>
      <c r="C6391" s="3">
        <v>10000</v>
      </c>
      <c r="D6391" s="3"/>
      <c r="E6391" s="7">
        <f t="shared" si="120"/>
        <v>10000</v>
      </c>
      <c r="F6391" s="5">
        <v>45952</v>
      </c>
      <c r="G6391" s="4">
        <v>20251021</v>
      </c>
      <c r="H6391" s="38" t="str">
        <f>VLOOKUP(B6391,CAJEROS!B:D,3,0)</f>
        <v>Dispensador</v>
      </c>
      <c r="I6391" s="34" t="s">
        <v>10</v>
      </c>
      <c r="J6391" s="38" t="str">
        <f>VLOOKUP(B6391,CAJEROS!B:E,4,0)</f>
        <v>VIPASA_6_R</v>
      </c>
      <c r="K6391" t="s">
        <v>610</v>
      </c>
    </row>
    <row r="6392" spans="1:11">
      <c r="A6392" s="32">
        <v>864</v>
      </c>
      <c r="B6392" s="33">
        <v>5795</v>
      </c>
      <c r="C6392" s="3">
        <v>20000</v>
      </c>
      <c r="D6392" s="3"/>
      <c r="E6392" s="7">
        <f t="shared" si="120"/>
        <v>20000</v>
      </c>
      <c r="F6392" s="5">
        <v>45952</v>
      </c>
      <c r="G6392" s="4">
        <v>20251021</v>
      </c>
      <c r="H6392" s="38" t="str">
        <f>VLOOKUP(B6392,CAJEROS!B:D,3,0)</f>
        <v>Dispensador</v>
      </c>
      <c r="I6392" s="34" t="s">
        <v>10</v>
      </c>
      <c r="J6392" s="38" t="str">
        <f>VLOOKUP(B6392,CAJEROS!B:E,4,0)</f>
        <v>SUC_PRADER1</v>
      </c>
      <c r="K6392" t="s">
        <v>610</v>
      </c>
    </row>
    <row r="6393" spans="1:11">
      <c r="A6393" s="32">
        <v>789</v>
      </c>
      <c r="B6393" s="33">
        <v>5661</v>
      </c>
      <c r="C6393" s="3">
        <v>10000</v>
      </c>
      <c r="D6393" s="3"/>
      <c r="E6393" s="7">
        <f t="shared" si="120"/>
        <v>10000</v>
      </c>
      <c r="F6393" s="5">
        <v>45952</v>
      </c>
      <c r="G6393" s="4">
        <v>20251021</v>
      </c>
      <c r="H6393" s="38" t="str">
        <f>VLOOKUP(B6393,CAJEROS!B:D,3,0)</f>
        <v>Dispensador</v>
      </c>
      <c r="I6393" s="34" t="s">
        <v>10</v>
      </c>
      <c r="J6393" s="38" t="str">
        <f>VLOOKUP(B6393,CAJEROS!B:E,4,0)</f>
        <v>MANGA3</v>
      </c>
      <c r="K6393" t="s">
        <v>610</v>
      </c>
    </row>
    <row r="6394" spans="1:11">
      <c r="A6394" s="32">
        <v>739</v>
      </c>
      <c r="B6394" s="33">
        <v>3803</v>
      </c>
      <c r="C6394" s="3">
        <v>20000</v>
      </c>
      <c r="D6394" s="3"/>
      <c r="E6394" s="7">
        <f t="shared" si="120"/>
        <v>20000</v>
      </c>
      <c r="F6394" s="5">
        <v>45952</v>
      </c>
      <c r="G6394" s="4">
        <v>20251021</v>
      </c>
      <c r="H6394" s="38" t="str">
        <f>VLOOKUP(B6394,CAJEROS!B:D,3,0)</f>
        <v>Dispensador</v>
      </c>
      <c r="I6394" s="34" t="s">
        <v>10</v>
      </c>
      <c r="J6394" s="38" t="str">
        <f>VLOOKUP(B6394,CAJEROS!B:E,4,0)</f>
        <v>SUC_NECO2</v>
      </c>
      <c r="K6394" t="s">
        <v>610</v>
      </c>
    </row>
    <row r="6395" spans="1:11">
      <c r="A6395" s="32">
        <v>739</v>
      </c>
      <c r="B6395" s="33">
        <v>3664</v>
      </c>
      <c r="C6395" s="3">
        <v>10000</v>
      </c>
      <c r="D6395" s="3"/>
      <c r="E6395" s="7">
        <f t="shared" si="120"/>
        <v>10000</v>
      </c>
      <c r="F6395" s="5">
        <v>45952</v>
      </c>
      <c r="G6395" s="4">
        <v>20251021</v>
      </c>
      <c r="H6395" s="38" t="str">
        <f>VLOOKUP(B6395,CAJEROS!B:D,3,0)</f>
        <v>Dispensador</v>
      </c>
      <c r="I6395" s="34" t="s">
        <v>10</v>
      </c>
      <c r="J6395" s="38" t="str">
        <f>VLOOKUP(B6395,CAJEROS!B:E,4,0)</f>
        <v>SUC_NECO1</v>
      </c>
      <c r="K6395" t="s">
        <v>610</v>
      </c>
    </row>
    <row r="6396" spans="1:11">
      <c r="A6396" s="32">
        <v>369</v>
      </c>
      <c r="B6396" s="33">
        <v>2735</v>
      </c>
      <c r="C6396" s="3">
        <v>20000</v>
      </c>
      <c r="D6396" s="3"/>
      <c r="E6396" s="7">
        <f t="shared" si="120"/>
        <v>20000</v>
      </c>
      <c r="F6396" s="5">
        <v>45952</v>
      </c>
      <c r="G6396" s="4">
        <v>20251021</v>
      </c>
      <c r="H6396" s="38" t="str">
        <f>VLOOKUP(B6396,CAJEROS!B:D,3,0)</f>
        <v>Dispensador</v>
      </c>
      <c r="I6396" s="34" t="s">
        <v>10</v>
      </c>
      <c r="J6396" s="38" t="str">
        <f>VLOOKUP(B6396,CAJEROS!B:E,4,0)</f>
        <v>SUC_TAURAME</v>
      </c>
      <c r="K6396" t="s">
        <v>610</v>
      </c>
    </row>
    <row r="6397" spans="1:11">
      <c r="A6397" s="32">
        <v>64</v>
      </c>
      <c r="B6397" s="33">
        <v>9306</v>
      </c>
      <c r="C6397" s="3">
        <v>20000</v>
      </c>
      <c r="D6397" s="3"/>
      <c r="E6397" s="7">
        <f t="shared" si="120"/>
        <v>20000</v>
      </c>
      <c r="F6397" s="5">
        <v>45952</v>
      </c>
      <c r="G6397" s="4">
        <v>20251021</v>
      </c>
      <c r="H6397" s="38" t="str">
        <f>VLOOKUP(B6397,CAJEROS!B:D,3,0)</f>
        <v>Multifuncional</v>
      </c>
      <c r="I6397" s="34" t="s">
        <v>10</v>
      </c>
      <c r="J6397" s="38" t="str">
        <f>VLOOKUP(B6397,CAJEROS!B:E,4,0)</f>
        <v>MFSUCVIPA1</v>
      </c>
      <c r="K6397" t="s">
        <v>610</v>
      </c>
    </row>
    <row r="6398" spans="1:11">
      <c r="A6398" s="32">
        <v>96</v>
      </c>
      <c r="B6398" s="33">
        <v>1035</v>
      </c>
      <c r="C6398" s="3">
        <v>1000000</v>
      </c>
      <c r="D6398" s="3"/>
      <c r="E6398" s="7">
        <f t="shared" si="120"/>
        <v>1000000</v>
      </c>
      <c r="F6398" s="5">
        <v>45952</v>
      </c>
      <c r="G6398" s="4">
        <v>20251017</v>
      </c>
      <c r="H6398" s="38" t="str">
        <f>VLOOKUP(B6398,CAJEROS!B:D,3,0)</f>
        <v>Dispensador</v>
      </c>
      <c r="I6398" s="34" t="s">
        <v>12</v>
      </c>
      <c r="J6398" s="38" t="str">
        <f>VLOOKUP(B6398,CAJEROS!B:E,4,0)</f>
        <v>SUC_MAICAO1</v>
      </c>
      <c r="K6398" t="s">
        <v>610</v>
      </c>
    </row>
    <row r="6399" spans="1:11">
      <c r="A6399" s="32">
        <v>352</v>
      </c>
      <c r="B6399" s="33">
        <v>869</v>
      </c>
      <c r="C6399" s="3">
        <v>300000</v>
      </c>
      <c r="D6399" s="3"/>
      <c r="E6399" s="7">
        <f t="shared" si="120"/>
        <v>300000</v>
      </c>
      <c r="F6399" s="5">
        <v>45953</v>
      </c>
      <c r="G6399" s="4">
        <v>20251023</v>
      </c>
      <c r="H6399" s="38" t="str">
        <f>VLOOKUP(B6399,CAJEROS!B:D,3,0)</f>
        <v>Dispensador</v>
      </c>
      <c r="I6399" s="34"/>
      <c r="J6399" s="38" t="str">
        <f>VLOOKUP(B6399,CAJEROS!B:E,4,0)</f>
        <v>CQUINQUIRA2</v>
      </c>
      <c r="K6399" t="s">
        <v>610</v>
      </c>
    </row>
    <row r="6400" spans="1:11">
      <c r="A6400" s="32">
        <v>764</v>
      </c>
      <c r="B6400" s="33">
        <v>4307</v>
      </c>
      <c r="C6400" s="3">
        <v>10000</v>
      </c>
      <c r="D6400" s="3"/>
      <c r="E6400" s="7">
        <f t="shared" si="120"/>
        <v>10000</v>
      </c>
      <c r="F6400" s="5">
        <v>45953</v>
      </c>
      <c r="G6400" s="4">
        <v>20251023</v>
      </c>
      <c r="H6400" s="38" t="str">
        <f>VLOOKUP(B6400,CAJEROS!B:D,3,0)</f>
        <v>Dispensador</v>
      </c>
      <c r="I6400" s="34"/>
      <c r="J6400" s="38" t="str">
        <f>VLOOKUP(B6400,CAJEROS!B:E,4,0)</f>
        <v>SUC_JAMUN1</v>
      </c>
      <c r="K6400" t="s">
        <v>610</v>
      </c>
    </row>
    <row r="6401" spans="1:11">
      <c r="A6401" s="32">
        <v>4</v>
      </c>
      <c r="B6401" s="33">
        <v>8627</v>
      </c>
      <c r="C6401" s="3">
        <v>600000</v>
      </c>
      <c r="D6401" s="3"/>
      <c r="E6401" s="7">
        <f t="shared" si="120"/>
        <v>600000</v>
      </c>
      <c r="F6401" s="5">
        <v>45954</v>
      </c>
      <c r="G6401" s="4">
        <v>20251022</v>
      </c>
      <c r="H6401" s="38" t="str">
        <f>VLOOKUP(B6401,CAJEROS!B:D,3,0)</f>
        <v>Dispensador</v>
      </c>
      <c r="I6401" s="34"/>
      <c r="J6401" s="38" t="str">
        <f>VLOOKUP(B6401,CAJEROS!B:E,4,0)</f>
        <v>SUCLAURELE2</v>
      </c>
      <c r="K6401" t="s">
        <v>610</v>
      </c>
    </row>
    <row r="6402" spans="1:11">
      <c r="A6402" s="32">
        <v>4</v>
      </c>
      <c r="B6402" s="33">
        <v>8629</v>
      </c>
      <c r="C6402" s="3">
        <v>14490000</v>
      </c>
      <c r="D6402" s="3"/>
      <c r="E6402" s="7">
        <f t="shared" si="120"/>
        <v>14490000</v>
      </c>
      <c r="F6402" s="5">
        <v>45954</v>
      </c>
      <c r="G6402" s="4">
        <v>20251022</v>
      </c>
      <c r="H6402" s="38" t="str">
        <f>VLOOKUP(B6402,CAJEROS!B:D,3,0)</f>
        <v>Dispensador</v>
      </c>
      <c r="I6402" s="34"/>
      <c r="J6402" s="38" t="str">
        <f>VLOOKUP(B6402,CAJEROS!B:E,4,0)</f>
        <v>SUCLAURELE4</v>
      </c>
      <c r="K6402" t="s">
        <v>610</v>
      </c>
    </row>
    <row r="6403" spans="1:11">
      <c r="A6403" s="32">
        <v>24</v>
      </c>
      <c r="B6403" s="33">
        <v>5293</v>
      </c>
      <c r="C6403" s="3">
        <v>680000</v>
      </c>
      <c r="D6403" s="3"/>
      <c r="E6403" s="7">
        <f t="shared" si="120"/>
        <v>680000</v>
      </c>
      <c r="F6403" s="5">
        <v>45954</v>
      </c>
      <c r="G6403" s="4">
        <v>20251022</v>
      </c>
      <c r="H6403" s="38" t="str">
        <f>VLOOKUP(B6403,CAJEROS!B:D,3,0)</f>
        <v>Dispensador</v>
      </c>
      <c r="I6403" s="34"/>
      <c r="J6403" s="38" t="str">
        <f>VLOOKUP(B6403,CAJEROS!B:E,4,0)</f>
        <v>SUC_RIONEG5</v>
      </c>
      <c r="K6403" t="s">
        <v>610</v>
      </c>
    </row>
    <row r="6404" spans="1:11">
      <c r="A6404" s="32">
        <v>24</v>
      </c>
      <c r="B6404" s="33">
        <v>5294</v>
      </c>
      <c r="C6404" s="3">
        <v>20000</v>
      </c>
      <c r="D6404" s="3"/>
      <c r="E6404" s="7">
        <f t="shared" si="120"/>
        <v>20000</v>
      </c>
      <c r="F6404" s="5">
        <v>45954</v>
      </c>
      <c r="G6404" s="4">
        <v>20251022</v>
      </c>
      <c r="H6404" s="38" t="str">
        <f>VLOOKUP(B6404,CAJEROS!B:D,3,0)</f>
        <v>Dispensador</v>
      </c>
      <c r="I6404" s="34"/>
      <c r="J6404" s="38" t="str">
        <f>VLOOKUP(B6404,CAJEROS!B:E,4,0)</f>
        <v>SUC_RIONEG6</v>
      </c>
      <c r="K6404" t="s">
        <v>610</v>
      </c>
    </row>
    <row r="6405" spans="1:11">
      <c r="A6405" s="32">
        <v>101</v>
      </c>
      <c r="B6405" s="33">
        <v>4867</v>
      </c>
      <c r="C6405" s="3">
        <v>50000</v>
      </c>
      <c r="D6405" s="3"/>
      <c r="E6405" s="7">
        <f t="shared" si="120"/>
        <v>50000</v>
      </c>
      <c r="F6405" s="5">
        <v>45954</v>
      </c>
      <c r="G6405" s="4">
        <v>20251022</v>
      </c>
      <c r="H6405" s="38" t="str">
        <f>VLOOKUP(B6405,CAJEROS!B:D,3,0)</f>
        <v>Dispensador</v>
      </c>
      <c r="I6405" s="34"/>
      <c r="J6405" s="38" t="str">
        <f>VLOOKUP(B6405,CAJEROS!B:E,4,0)</f>
        <v>SUC_MDRIVE3</v>
      </c>
      <c r="K6405" t="s">
        <v>610</v>
      </c>
    </row>
    <row r="6406" spans="1:11">
      <c r="A6406" s="32">
        <v>108</v>
      </c>
      <c r="B6406" s="33">
        <v>2041</v>
      </c>
      <c r="C6406" s="3">
        <v>2700000</v>
      </c>
      <c r="D6406" s="3"/>
      <c r="E6406" s="7">
        <f t="shared" si="120"/>
        <v>2700000</v>
      </c>
      <c r="F6406" s="5">
        <v>45954</v>
      </c>
      <c r="G6406" s="4">
        <v>20251022</v>
      </c>
      <c r="H6406" s="38" t="str">
        <f>VLOOKUP(B6406,CAJEROS!B:D,3,0)</f>
        <v>Dispensador</v>
      </c>
      <c r="I6406" s="34"/>
      <c r="J6406" s="38" t="str">
        <f>VLOOKUP(B6406,CAJEROS!B:E,4,0)</f>
        <v>SUCPLZAMER4</v>
      </c>
      <c r="K6406" t="s">
        <v>610</v>
      </c>
    </row>
    <row r="6407" spans="1:11">
      <c r="A6407" s="32">
        <v>185</v>
      </c>
      <c r="B6407" s="33">
        <v>405</v>
      </c>
      <c r="C6407" s="3">
        <v>50000</v>
      </c>
      <c r="D6407" s="3"/>
      <c r="E6407" s="7">
        <f t="shared" si="120"/>
        <v>50000</v>
      </c>
      <c r="F6407" s="5">
        <v>45954</v>
      </c>
      <c r="G6407" s="4">
        <v>20251022</v>
      </c>
      <c r="H6407" s="38" t="str">
        <f>VLOOKUP(B6407,CAJEROS!B:D,3,0)</f>
        <v>Dispensador</v>
      </c>
      <c r="I6407" s="34"/>
      <c r="J6407" s="38" t="str">
        <f>VLOOKUP(B6407,CAJEROS!B:E,4,0)</f>
        <v>SUCLLAGRPA1</v>
      </c>
      <c r="K6407" t="s">
        <v>610</v>
      </c>
    </row>
    <row r="6408" spans="1:11">
      <c r="A6408" s="32">
        <v>261</v>
      </c>
      <c r="B6408" s="33">
        <v>8478</v>
      </c>
      <c r="C6408" s="3">
        <v>50000</v>
      </c>
      <c r="D6408" s="3"/>
      <c r="E6408" s="7">
        <f t="shared" si="120"/>
        <v>50000</v>
      </c>
      <c r="F6408" s="5">
        <v>45954</v>
      </c>
      <c r="G6408" s="4">
        <v>20251022</v>
      </c>
      <c r="H6408" s="38" t="str">
        <f>VLOOKUP(B6408,CAJEROS!B:D,3,0)</f>
        <v>Dispensador</v>
      </c>
      <c r="I6408" s="34"/>
      <c r="J6408" s="38" t="str">
        <f>VLOOKUP(B6408,CAJEROS!B:E,4,0)</f>
        <v>SUCAMPA4</v>
      </c>
      <c r="K6408" t="s">
        <v>610</v>
      </c>
    </row>
    <row r="6409" spans="1:11">
      <c r="A6409" s="32">
        <v>285</v>
      </c>
      <c r="B6409" s="33">
        <v>1436</v>
      </c>
      <c r="C6409" s="3">
        <v>500000</v>
      </c>
      <c r="D6409" s="3"/>
      <c r="E6409" s="7">
        <f t="shared" si="120"/>
        <v>500000</v>
      </c>
      <c r="F6409" s="5">
        <v>45954</v>
      </c>
      <c r="G6409" s="4">
        <v>20251022</v>
      </c>
      <c r="H6409" s="38" t="str">
        <f>VLOOKUP(B6409,CAJEROS!B:D,3,0)</f>
        <v>Dispensador</v>
      </c>
      <c r="I6409" s="34"/>
      <c r="J6409" s="38" t="str">
        <f>VLOOKUP(B6409,CAJEROS!B:E,4,0)</f>
        <v>GARZON_1</v>
      </c>
      <c r="K6409" t="s">
        <v>610</v>
      </c>
    </row>
    <row r="6410" spans="1:11">
      <c r="A6410" s="32">
        <v>285</v>
      </c>
      <c r="B6410" s="33">
        <v>6053</v>
      </c>
      <c r="C6410" s="3">
        <v>1000000</v>
      </c>
      <c r="D6410" s="3"/>
      <c r="E6410" s="7">
        <f t="shared" si="120"/>
        <v>1000000</v>
      </c>
      <c r="F6410" s="5">
        <v>45954</v>
      </c>
      <c r="G6410" s="4">
        <v>20251022</v>
      </c>
      <c r="H6410" s="38" t="str">
        <f>VLOOKUP(B6410,CAJEROS!B:D,3,0)</f>
        <v>Dispensador</v>
      </c>
      <c r="I6410" s="34"/>
      <c r="J6410" s="38" t="str">
        <f>VLOOKUP(B6410,CAJEROS!B:E,4,0)</f>
        <v>GARZON3</v>
      </c>
      <c r="K6410" t="s">
        <v>610</v>
      </c>
    </row>
    <row r="6411" spans="1:11">
      <c r="A6411" s="32">
        <v>285</v>
      </c>
      <c r="B6411" s="33">
        <v>6054</v>
      </c>
      <c r="C6411" s="3">
        <v>2000000</v>
      </c>
      <c r="D6411" s="3">
        <v>170000</v>
      </c>
      <c r="E6411" s="7">
        <f t="shared" ref="E6411:E6474" si="121">+C6411-D6411</f>
        <v>1830000</v>
      </c>
      <c r="F6411" s="5">
        <v>45954</v>
      </c>
      <c r="G6411" s="4">
        <v>20251022</v>
      </c>
      <c r="H6411" s="38" t="str">
        <f>VLOOKUP(B6411,CAJEROS!B:D,3,0)</f>
        <v>Dispensador</v>
      </c>
      <c r="I6411" s="34"/>
      <c r="J6411" s="38" t="str">
        <f>VLOOKUP(B6411,CAJEROS!B:E,4,0)</f>
        <v>GARZON4</v>
      </c>
      <c r="K6411" t="s">
        <v>610</v>
      </c>
    </row>
    <row r="6412" spans="1:11">
      <c r="A6412" s="32">
        <v>317</v>
      </c>
      <c r="B6412" s="33">
        <v>3402</v>
      </c>
      <c r="C6412" s="3">
        <v>200000</v>
      </c>
      <c r="D6412" s="3"/>
      <c r="E6412" s="7">
        <f t="shared" si="121"/>
        <v>200000</v>
      </c>
      <c r="F6412" s="5">
        <v>45954</v>
      </c>
      <c r="G6412" s="4">
        <v>20251022</v>
      </c>
      <c r="H6412" s="38" t="str">
        <f>VLOOKUP(B6412,CAJEROS!B:D,3,0)</f>
        <v>Dispensador</v>
      </c>
      <c r="I6412" s="34"/>
      <c r="J6412" s="38" t="str">
        <f>VLOOKUP(B6412,CAJEROS!B:E,4,0)</f>
        <v>SUCARAUCA_1</v>
      </c>
      <c r="K6412" t="s">
        <v>610</v>
      </c>
    </row>
    <row r="6413" spans="1:11">
      <c r="A6413" s="32">
        <v>317</v>
      </c>
      <c r="B6413" s="33">
        <v>3403</v>
      </c>
      <c r="C6413" s="3">
        <v>20000</v>
      </c>
      <c r="D6413" s="3"/>
      <c r="E6413" s="7">
        <f t="shared" si="121"/>
        <v>20000</v>
      </c>
      <c r="F6413" s="5">
        <v>45954</v>
      </c>
      <c r="G6413" s="4">
        <v>20251022</v>
      </c>
      <c r="H6413" s="38" t="str">
        <f>VLOOKUP(B6413,CAJEROS!B:D,3,0)</f>
        <v>Dispensador</v>
      </c>
      <c r="I6413" s="34"/>
      <c r="J6413" s="38" t="str">
        <f>VLOOKUP(B6413,CAJEROS!B:E,4,0)</f>
        <v>SUCARAUCA_2</v>
      </c>
      <c r="K6413" t="s">
        <v>610</v>
      </c>
    </row>
    <row r="6414" spans="1:11">
      <c r="A6414" s="32">
        <v>317</v>
      </c>
      <c r="B6414" s="33">
        <v>3405</v>
      </c>
      <c r="C6414" s="3">
        <v>40000</v>
      </c>
      <c r="D6414" s="3"/>
      <c r="E6414" s="7">
        <f t="shared" si="121"/>
        <v>40000</v>
      </c>
      <c r="F6414" s="5">
        <v>45954</v>
      </c>
      <c r="G6414" s="4">
        <v>20251022</v>
      </c>
      <c r="H6414" s="38" t="str">
        <f>VLOOKUP(B6414,CAJEROS!B:D,3,0)</f>
        <v>Dispensador</v>
      </c>
      <c r="I6414" s="34"/>
      <c r="J6414" s="38" t="str">
        <f>VLOOKUP(B6414,CAJEROS!B:E,4,0)</f>
        <v>SUCARAUCA_4</v>
      </c>
      <c r="K6414" t="s">
        <v>610</v>
      </c>
    </row>
    <row r="6415" spans="1:11">
      <c r="A6415" s="32">
        <v>399</v>
      </c>
      <c r="B6415" s="33">
        <v>8442</v>
      </c>
      <c r="C6415" s="3">
        <v>800000</v>
      </c>
      <c r="D6415" s="3">
        <v>550000</v>
      </c>
      <c r="E6415" s="7">
        <f t="shared" si="121"/>
        <v>250000</v>
      </c>
      <c r="F6415" s="5">
        <v>45954</v>
      </c>
      <c r="G6415" s="4">
        <v>20251022</v>
      </c>
      <c r="H6415" s="38" t="str">
        <f>VLOOKUP(B6415,CAJEROS!B:D,3,0)</f>
        <v>Dispensador</v>
      </c>
      <c r="I6415" s="34"/>
      <c r="J6415" s="38" t="str">
        <f>VLOOKUP(B6415,CAJEROS!B:E,4,0)</f>
        <v>SUCGIRARDO3</v>
      </c>
      <c r="K6415" t="s">
        <v>610</v>
      </c>
    </row>
    <row r="6416" spans="1:11">
      <c r="A6416" s="32">
        <v>415</v>
      </c>
      <c r="B6416" s="33">
        <v>8617</v>
      </c>
      <c r="C6416" s="3">
        <v>380000</v>
      </c>
      <c r="D6416" s="3"/>
      <c r="E6416" s="7">
        <f t="shared" si="121"/>
        <v>380000</v>
      </c>
      <c r="F6416" s="5">
        <v>45954</v>
      </c>
      <c r="G6416" s="4">
        <v>20251022</v>
      </c>
      <c r="H6416" s="38" t="str">
        <f>VLOOKUP(B6416,CAJEROS!B:D,3,0)</f>
        <v>Dispensador</v>
      </c>
      <c r="I6416" s="34"/>
      <c r="J6416" s="38" t="str">
        <f>VLOOKUP(B6416,CAJEROS!B:E,4,0)</f>
        <v>SUCRETIRO2</v>
      </c>
      <c r="K6416" t="s">
        <v>610</v>
      </c>
    </row>
    <row r="6417" spans="1:11">
      <c r="A6417" s="32">
        <v>455</v>
      </c>
      <c r="B6417" s="33">
        <v>5974</v>
      </c>
      <c r="C6417" s="3">
        <v>100000</v>
      </c>
      <c r="D6417" s="3">
        <v>50000</v>
      </c>
      <c r="E6417" s="7">
        <f t="shared" si="121"/>
        <v>50000</v>
      </c>
      <c r="F6417" s="5">
        <v>45954</v>
      </c>
      <c r="G6417" s="4">
        <v>20251022</v>
      </c>
      <c r="H6417" s="38" t="str">
        <f>VLOOKUP(B6417,CAJEROS!B:D,3,0)</f>
        <v>Dispensador</v>
      </c>
      <c r="I6417" s="34"/>
      <c r="J6417" s="38" t="str">
        <f>VLOOKUP(B6417,CAJEROS!B:E,4,0)</f>
        <v>SUC_CEIBAS1</v>
      </c>
      <c r="K6417" t="s">
        <v>610</v>
      </c>
    </row>
    <row r="6418" spans="1:11">
      <c r="A6418" s="32">
        <v>516</v>
      </c>
      <c r="B6418" s="33">
        <v>9728</v>
      </c>
      <c r="C6418" s="3">
        <v>730000</v>
      </c>
      <c r="D6418" s="3">
        <v>720000</v>
      </c>
      <c r="E6418" s="7">
        <f t="shared" si="121"/>
        <v>10000</v>
      </c>
      <c r="F6418" s="5">
        <v>45954</v>
      </c>
      <c r="G6418" s="4">
        <v>20251022</v>
      </c>
      <c r="H6418" s="38" t="str">
        <f>VLOOKUP(B6418,CAJEROS!B:D,3,0)</f>
        <v>Dispensador</v>
      </c>
      <c r="I6418" s="34"/>
      <c r="J6418" s="38" t="str">
        <f>VLOOKUP(B6418,CAJEROS!B:E,4,0)</f>
        <v>SUCSTAMART3</v>
      </c>
      <c r="K6418" t="s">
        <v>610</v>
      </c>
    </row>
    <row r="6419" spans="1:11">
      <c r="A6419" s="32">
        <v>554</v>
      </c>
      <c r="B6419" s="33">
        <v>8298</v>
      </c>
      <c r="C6419" s="3">
        <v>3450000</v>
      </c>
      <c r="D6419" s="3"/>
      <c r="E6419" s="7">
        <f t="shared" si="121"/>
        <v>3450000</v>
      </c>
      <c r="F6419" s="5">
        <v>45954</v>
      </c>
      <c r="G6419" s="4">
        <v>20251022</v>
      </c>
      <c r="H6419" s="38" t="str">
        <f>VLOOKUP(B6419,CAJEROS!B:D,3,0)</f>
        <v>Dispensador</v>
      </c>
      <c r="I6419" s="34"/>
      <c r="J6419" s="38" t="str">
        <f>VLOOKUP(B6419,CAJEROS!B:E,4,0)</f>
        <v>SUCBUEVIII3</v>
      </c>
      <c r="K6419" t="s">
        <v>610</v>
      </c>
    </row>
    <row r="6420" spans="1:11">
      <c r="A6420" s="32">
        <v>721</v>
      </c>
      <c r="B6420" s="33">
        <v>8893</v>
      </c>
      <c r="C6420" s="3">
        <v>1000000</v>
      </c>
      <c r="D6420" s="3"/>
      <c r="E6420" s="7">
        <f t="shared" si="121"/>
        <v>1000000</v>
      </c>
      <c r="F6420" s="5">
        <v>45954</v>
      </c>
      <c r="G6420" s="4">
        <v>20251022</v>
      </c>
      <c r="H6420" s="38" t="str">
        <f>VLOOKUP(B6420,CAJEROS!B:D,3,0)</f>
        <v>Dispensador</v>
      </c>
      <c r="I6420" s="34"/>
      <c r="J6420" s="38" t="str">
        <f>VLOOKUP(B6420,CAJEROS!B:E,4,0)</f>
        <v>SUCHALLAGO3</v>
      </c>
      <c r="K6420" t="s">
        <v>610</v>
      </c>
    </row>
    <row r="6421" spans="1:11">
      <c r="A6421" s="32">
        <v>728</v>
      </c>
      <c r="B6421" s="33">
        <v>8585</v>
      </c>
      <c r="C6421" s="3">
        <v>650000</v>
      </c>
      <c r="D6421" s="3"/>
      <c r="E6421" s="7">
        <f t="shared" si="121"/>
        <v>650000</v>
      </c>
      <c r="F6421" s="5">
        <v>45954</v>
      </c>
      <c r="G6421" s="4">
        <v>20251022</v>
      </c>
      <c r="H6421" s="38" t="str">
        <f>VLOOKUP(B6421,CAJEROS!B:D,3,0)</f>
        <v>Dispensador</v>
      </c>
      <c r="I6421" s="34"/>
      <c r="J6421" s="38" t="str">
        <f>VLOOKUP(B6421,CAJEROS!B:E,4,0)</f>
        <v>SUCCARTAGO4</v>
      </c>
      <c r="K6421" t="s">
        <v>610</v>
      </c>
    </row>
    <row r="6422" spans="1:11">
      <c r="A6422" s="32">
        <v>741</v>
      </c>
      <c r="B6422" s="33">
        <v>6841</v>
      </c>
      <c r="C6422" s="3">
        <v>2130000</v>
      </c>
      <c r="D6422" s="3">
        <v>1890000</v>
      </c>
      <c r="E6422" s="7">
        <f t="shared" si="121"/>
        <v>240000</v>
      </c>
      <c r="F6422" s="5">
        <v>45954</v>
      </c>
      <c r="G6422" s="4">
        <v>20251022</v>
      </c>
      <c r="H6422" s="38" t="str">
        <f>VLOOKUP(B6422,CAJEROS!B:D,3,0)</f>
        <v>Dispensador</v>
      </c>
      <c r="I6422" s="34"/>
      <c r="J6422" s="38" t="str">
        <f>VLOOKUP(B6422,CAJEROS!B:E,4,0)</f>
        <v>SUC_IDEO_1</v>
      </c>
      <c r="K6422" t="s">
        <v>610</v>
      </c>
    </row>
    <row r="6423" spans="1:11">
      <c r="A6423" s="32">
        <v>789</v>
      </c>
      <c r="B6423" s="33">
        <v>5661</v>
      </c>
      <c r="C6423" s="3">
        <v>60000</v>
      </c>
      <c r="D6423" s="3"/>
      <c r="E6423" s="7">
        <f t="shared" si="121"/>
        <v>60000</v>
      </c>
      <c r="F6423" s="5">
        <v>45954</v>
      </c>
      <c r="G6423" s="4">
        <v>20251022</v>
      </c>
      <c r="H6423" s="38" t="str">
        <f>VLOOKUP(B6423,CAJEROS!B:D,3,0)</f>
        <v>Dispensador</v>
      </c>
      <c r="I6423" s="34"/>
      <c r="J6423" s="38" t="str">
        <f>VLOOKUP(B6423,CAJEROS!B:E,4,0)</f>
        <v>MANGA3</v>
      </c>
      <c r="K6423" t="s">
        <v>610</v>
      </c>
    </row>
    <row r="6424" spans="1:11">
      <c r="A6424" s="32">
        <v>828</v>
      </c>
      <c r="B6424" s="33">
        <v>3103</v>
      </c>
      <c r="C6424" s="3">
        <v>450000</v>
      </c>
      <c r="D6424" s="3"/>
      <c r="E6424" s="7">
        <f t="shared" si="121"/>
        <v>450000</v>
      </c>
      <c r="F6424" s="5">
        <v>45954</v>
      </c>
      <c r="G6424" s="4">
        <v>20251022</v>
      </c>
      <c r="H6424" s="38" t="str">
        <f>VLOOKUP(B6424,CAJEROS!B:D,3,0)</f>
        <v>Dispensador</v>
      </c>
      <c r="I6424" s="34"/>
      <c r="J6424" s="38" t="str">
        <f>VLOOKUP(B6424,CAJEROS!B:E,4,0)</f>
        <v>SUC_SANJOS2</v>
      </c>
      <c r="K6424" t="s">
        <v>610</v>
      </c>
    </row>
    <row r="6425" spans="1:11">
      <c r="A6425" s="32">
        <v>828</v>
      </c>
      <c r="B6425" s="33">
        <v>8331</v>
      </c>
      <c r="C6425" s="3">
        <v>2000000</v>
      </c>
      <c r="D6425" s="3">
        <v>340000</v>
      </c>
      <c r="E6425" s="7">
        <f t="shared" si="121"/>
        <v>1660000</v>
      </c>
      <c r="F6425" s="5">
        <v>45954</v>
      </c>
      <c r="G6425" s="4">
        <v>20251022</v>
      </c>
      <c r="H6425" s="38" t="str">
        <f>VLOOKUP(B6425,CAJEROS!B:D,3,0)</f>
        <v>Dispensador</v>
      </c>
      <c r="I6425" s="34"/>
      <c r="J6425" s="38" t="str">
        <f>VLOOKUP(B6425,CAJEROS!B:E,4,0)</f>
        <v>SUC_SANJOS3</v>
      </c>
      <c r="K6425" t="s">
        <v>610</v>
      </c>
    </row>
    <row r="6426" spans="1:11">
      <c r="A6426" s="32">
        <v>848</v>
      </c>
      <c r="B6426" s="33">
        <v>4739</v>
      </c>
      <c r="C6426" s="3">
        <v>330000</v>
      </c>
      <c r="D6426" s="3"/>
      <c r="E6426" s="7">
        <f t="shared" si="121"/>
        <v>330000</v>
      </c>
      <c r="F6426" s="5">
        <v>45954</v>
      </c>
      <c r="G6426" s="4">
        <v>20251022</v>
      </c>
      <c r="H6426" s="38" t="str">
        <f>VLOOKUP(B6426,CAJEROS!B:D,3,0)</f>
        <v>Dispensador</v>
      </c>
      <c r="I6426" s="34"/>
      <c r="J6426" s="38" t="str">
        <f>VLOOKUP(B6426,CAJEROS!B:E,4,0)</f>
        <v>PQECABAL_2</v>
      </c>
      <c r="K6426" t="s">
        <v>610</v>
      </c>
    </row>
    <row r="6427" spans="1:11">
      <c r="A6427" s="32">
        <v>943</v>
      </c>
      <c r="B6427" s="33">
        <v>7348</v>
      </c>
      <c r="C6427" s="3">
        <v>50000</v>
      </c>
      <c r="D6427" s="3"/>
      <c r="E6427" s="7">
        <f t="shared" si="121"/>
        <v>50000</v>
      </c>
      <c r="F6427" s="5">
        <v>45954</v>
      </c>
      <c r="G6427" s="4">
        <v>20251022</v>
      </c>
      <c r="H6427" s="38" t="str">
        <f>VLOOKUP(B6427,CAJEROS!B:D,3,0)</f>
        <v>Dispensador</v>
      </c>
      <c r="I6427" s="34"/>
      <c r="J6427" s="38" t="str">
        <f>VLOOKUP(B6427,CAJEROS!B:E,4,0)</f>
        <v>LETICIA_3</v>
      </c>
      <c r="K6427" t="s">
        <v>610</v>
      </c>
    </row>
    <row r="6428" spans="1:11">
      <c r="A6428" s="32">
        <v>60</v>
      </c>
      <c r="B6428" s="33">
        <v>8725</v>
      </c>
      <c r="C6428" s="3">
        <v>50000</v>
      </c>
      <c r="D6428" s="3"/>
      <c r="E6428" s="7">
        <f t="shared" si="121"/>
        <v>50000</v>
      </c>
      <c r="F6428" s="5">
        <v>45954</v>
      </c>
      <c r="G6428" s="4">
        <v>20251023</v>
      </c>
      <c r="H6428" s="38" t="str">
        <f>VLOOKUP(B6428,CAJEROS!B:D,3,0)</f>
        <v>Dispensador</v>
      </c>
      <c r="I6428" s="34"/>
      <c r="J6428" s="38" t="str">
        <f>VLOOKUP(B6428,CAJEROS!B:E,4,0)</f>
        <v>HALLCALIPR7</v>
      </c>
      <c r="K6428" t="s">
        <v>610</v>
      </c>
    </row>
    <row r="6429" spans="1:11">
      <c r="A6429" s="32">
        <v>68</v>
      </c>
      <c r="B6429" s="33">
        <v>4979</v>
      </c>
      <c r="C6429" s="3">
        <v>10590000</v>
      </c>
      <c r="D6429" s="3"/>
      <c r="E6429" s="7">
        <f t="shared" si="121"/>
        <v>10590000</v>
      </c>
      <c r="F6429" s="5">
        <v>45954</v>
      </c>
      <c r="G6429" s="4">
        <v>20251023</v>
      </c>
      <c r="H6429" s="38" t="str">
        <f>VLOOKUP(B6429,CAJEROS!B:D,3,0)</f>
        <v>Dispensador</v>
      </c>
      <c r="I6429" s="34"/>
      <c r="J6429" s="38" t="str">
        <f>VLOOKUP(B6429,CAJEROS!B:E,4,0)</f>
        <v>AUTO_IBAGU1</v>
      </c>
      <c r="K6429" t="s">
        <v>610</v>
      </c>
    </row>
    <row r="6430" spans="1:11">
      <c r="A6430" s="32">
        <v>68</v>
      </c>
      <c r="B6430" s="33">
        <v>4980</v>
      </c>
      <c r="C6430" s="3">
        <v>2650000</v>
      </c>
      <c r="D6430" s="3"/>
      <c r="E6430" s="7">
        <f t="shared" si="121"/>
        <v>2650000</v>
      </c>
      <c r="F6430" s="5">
        <v>45954</v>
      </c>
      <c r="G6430" s="4">
        <v>20251023</v>
      </c>
      <c r="H6430" s="38" t="str">
        <f>VLOOKUP(B6430,CAJEROS!B:D,3,0)</f>
        <v>Dispensador</v>
      </c>
      <c r="I6430" s="34"/>
      <c r="J6430" s="38" t="str">
        <f>VLOOKUP(B6430,CAJEROS!B:E,4,0)</f>
        <v>AUTO_IBAGU2</v>
      </c>
      <c r="K6430" t="s">
        <v>610</v>
      </c>
    </row>
    <row r="6431" spans="1:11">
      <c r="A6431" s="32">
        <v>68</v>
      </c>
      <c r="B6431" s="33">
        <v>4981</v>
      </c>
      <c r="C6431" s="3">
        <v>630000</v>
      </c>
      <c r="D6431" s="3"/>
      <c r="E6431" s="7">
        <f t="shared" si="121"/>
        <v>630000</v>
      </c>
      <c r="F6431" s="5">
        <v>45954</v>
      </c>
      <c r="G6431" s="4">
        <v>20251023</v>
      </c>
      <c r="H6431" s="38" t="str">
        <f>VLOOKUP(B6431,CAJEROS!B:D,3,0)</f>
        <v>Dispensador</v>
      </c>
      <c r="I6431" s="34"/>
      <c r="J6431" s="38" t="str">
        <f>VLOOKUP(B6431,CAJEROS!B:E,4,0)</f>
        <v>AUTO_IBAGU3</v>
      </c>
      <c r="K6431" t="s">
        <v>610</v>
      </c>
    </row>
    <row r="6432" spans="1:11">
      <c r="A6432" s="32">
        <v>289</v>
      </c>
      <c r="B6432" s="33">
        <v>3176</v>
      </c>
      <c r="C6432" s="3">
        <v>260000</v>
      </c>
      <c r="D6432" s="3"/>
      <c r="E6432" s="7">
        <f t="shared" si="121"/>
        <v>260000</v>
      </c>
      <c r="F6432" s="5">
        <v>45954</v>
      </c>
      <c r="G6432" s="4">
        <v>20251023</v>
      </c>
      <c r="H6432" s="38" t="str">
        <f>VLOOKUP(B6432,CAJEROS!B:D,3,0)</f>
        <v>Dispensador</v>
      </c>
      <c r="I6432" s="34"/>
      <c r="J6432" s="38" t="str">
        <f>VLOOKUP(B6432,CAJEROS!B:E,4,0)</f>
        <v>PUERTO_GAI1</v>
      </c>
      <c r="K6432" t="s">
        <v>610</v>
      </c>
    </row>
    <row r="6433" spans="1:11">
      <c r="A6433" s="32">
        <v>385</v>
      </c>
      <c r="B6433" s="33">
        <v>1826</v>
      </c>
      <c r="C6433" s="3">
        <v>500000</v>
      </c>
      <c r="D6433" s="3"/>
      <c r="E6433" s="7">
        <f t="shared" si="121"/>
        <v>500000</v>
      </c>
      <c r="F6433" s="5">
        <v>45954</v>
      </c>
      <c r="G6433" s="4">
        <v>20251023</v>
      </c>
      <c r="H6433" s="38" t="str">
        <f>VLOOKUP(B6433,CAJEROS!B:D,3,0)</f>
        <v>Dispensador</v>
      </c>
      <c r="I6433" s="34"/>
      <c r="J6433" s="38" t="str">
        <f>VLOOKUP(B6433,CAJEROS!B:E,4,0)</f>
        <v>OFVILLETA1</v>
      </c>
      <c r="K6433" t="s">
        <v>610</v>
      </c>
    </row>
    <row r="6434" spans="1:11">
      <c r="A6434" s="32">
        <v>415</v>
      </c>
      <c r="B6434" s="33">
        <v>8616</v>
      </c>
      <c r="C6434" s="3">
        <v>310000</v>
      </c>
      <c r="D6434" s="3"/>
      <c r="E6434" s="7">
        <f t="shared" si="121"/>
        <v>310000</v>
      </c>
      <c r="F6434" s="5">
        <v>45954</v>
      </c>
      <c r="G6434" s="4">
        <v>20251023</v>
      </c>
      <c r="H6434" s="38" t="str">
        <f>VLOOKUP(B6434,CAJEROS!B:D,3,0)</f>
        <v>Dispensador</v>
      </c>
      <c r="I6434" s="34"/>
      <c r="J6434" s="38" t="str">
        <f>VLOOKUP(B6434,CAJEROS!B:E,4,0)</f>
        <v>SUCRETIRO1</v>
      </c>
      <c r="K6434" t="s">
        <v>610</v>
      </c>
    </row>
    <row r="6435" spans="1:11">
      <c r="A6435" s="32">
        <v>499</v>
      </c>
      <c r="B6435" s="33">
        <v>9805</v>
      </c>
      <c r="C6435" s="3">
        <v>660000</v>
      </c>
      <c r="D6435" s="3"/>
      <c r="E6435" s="7">
        <f t="shared" si="121"/>
        <v>660000</v>
      </c>
      <c r="F6435" s="5">
        <v>45954</v>
      </c>
      <c r="G6435" s="4">
        <v>20251023</v>
      </c>
      <c r="H6435" s="38" t="str">
        <f>VLOOKUP(B6435,CAJEROS!B:D,3,0)</f>
        <v>Dispensador</v>
      </c>
      <c r="I6435" s="34"/>
      <c r="J6435" s="38" t="str">
        <f>VLOOKUP(B6435,CAJEROS!B:E,4,0)</f>
        <v>SUCPLZFABR7</v>
      </c>
      <c r="K6435" t="s">
        <v>610</v>
      </c>
    </row>
    <row r="6436" spans="1:11">
      <c r="A6436" s="32">
        <v>536</v>
      </c>
      <c r="B6436" s="33">
        <v>8993</v>
      </c>
      <c r="C6436" s="3">
        <v>100000</v>
      </c>
      <c r="D6436" s="3"/>
      <c r="E6436" s="7">
        <f t="shared" si="121"/>
        <v>100000</v>
      </c>
      <c r="F6436" s="5">
        <v>45954</v>
      </c>
      <c r="G6436" s="4">
        <v>20251023</v>
      </c>
      <c r="H6436" s="38" t="str">
        <f>VLOOKUP(B6436,CAJEROS!B:D,3,0)</f>
        <v>Dispensador</v>
      </c>
      <c r="I6436" s="34"/>
      <c r="J6436" s="38" t="str">
        <f>VLOOKUP(B6436,CAJEROS!B:E,4,0)</f>
        <v>SUC_QUIBDO8</v>
      </c>
      <c r="K6436" t="s">
        <v>610</v>
      </c>
    </row>
    <row r="6437" spans="1:11">
      <c r="A6437" s="32">
        <v>631</v>
      </c>
      <c r="B6437" s="33">
        <v>2795</v>
      </c>
      <c r="C6437" s="3">
        <v>500000</v>
      </c>
      <c r="D6437" s="3"/>
      <c r="E6437" s="7">
        <f t="shared" si="121"/>
        <v>500000</v>
      </c>
      <c r="F6437" s="5">
        <v>45954</v>
      </c>
      <c r="G6437" s="4">
        <v>20251023</v>
      </c>
      <c r="H6437" s="38" t="str">
        <f>VLOOKUP(B6437,CAJEROS!B:D,3,0)</f>
        <v>Dispensador</v>
      </c>
      <c r="I6437" s="34"/>
      <c r="J6437" s="38" t="str">
        <f>VLOOKUP(B6437,CAJEROS!B:E,4,0)</f>
        <v>SUCURIBIA_5</v>
      </c>
      <c r="K6437" t="s">
        <v>610</v>
      </c>
    </row>
    <row r="6438" spans="1:11">
      <c r="A6438" s="32">
        <v>951</v>
      </c>
      <c r="B6438" s="33">
        <v>7810</v>
      </c>
      <c r="C6438" s="3">
        <v>300000</v>
      </c>
      <c r="D6438" s="3"/>
      <c r="E6438" s="7">
        <f t="shared" si="121"/>
        <v>300000</v>
      </c>
      <c r="F6438" s="5">
        <v>45954</v>
      </c>
      <c r="G6438" s="4">
        <v>20251023</v>
      </c>
      <c r="H6438" s="38" t="str">
        <f>VLOOKUP(B6438,CAJEROS!B:D,3,0)</f>
        <v>Dispensador</v>
      </c>
      <c r="I6438" s="34"/>
      <c r="J6438" s="38" t="str">
        <f>VLOOKUP(B6438,CAJEROS!B:E,4,0)</f>
        <v>AUTOBOSC_3</v>
      </c>
      <c r="K6438" t="s">
        <v>610</v>
      </c>
    </row>
    <row r="6439" spans="1:11">
      <c r="A6439" s="32">
        <v>959</v>
      </c>
      <c r="B6439" s="33">
        <v>5577</v>
      </c>
      <c r="C6439" s="3">
        <v>100000</v>
      </c>
      <c r="D6439" s="3"/>
      <c r="E6439" s="7">
        <f t="shared" si="121"/>
        <v>100000</v>
      </c>
      <c r="F6439" s="5">
        <v>45954</v>
      </c>
      <c r="G6439" s="4">
        <v>20251023</v>
      </c>
      <c r="H6439" s="38" t="str">
        <f>VLOOKUP(B6439,CAJEROS!B:D,3,0)</f>
        <v>Dispensador</v>
      </c>
      <c r="I6439" s="34"/>
      <c r="J6439" s="38" t="str">
        <f>VLOOKUP(B6439,CAJEROS!B:E,4,0)</f>
        <v>TURBO2</v>
      </c>
      <c r="K6439" t="s">
        <v>610</v>
      </c>
    </row>
    <row r="6440" spans="1:11">
      <c r="A6440" s="32">
        <v>5</v>
      </c>
      <c r="B6440" s="33">
        <v>4866</v>
      </c>
      <c r="C6440" s="3">
        <v>2161900</v>
      </c>
      <c r="D6440" s="3">
        <v>1757600</v>
      </c>
      <c r="E6440" s="7">
        <f t="shared" si="121"/>
        <v>404300</v>
      </c>
      <c r="F6440" s="5">
        <v>45954</v>
      </c>
      <c r="G6440" s="4">
        <v>20251023</v>
      </c>
      <c r="H6440" s="38" t="str">
        <f>VLOOKUP(B6440,CAJEROS!B:D,3,0)</f>
        <v>Multifuncional</v>
      </c>
      <c r="I6440" s="34"/>
      <c r="J6440" s="38" t="str">
        <f>VLOOKUP(B6440,CAJEROS!B:E,4,0)</f>
        <v>MFSUCAVPBL1</v>
      </c>
      <c r="K6440" t="s">
        <v>610</v>
      </c>
    </row>
    <row r="6441" spans="1:11">
      <c r="A6441" s="32">
        <v>15</v>
      </c>
      <c r="B6441" s="33">
        <v>8576</v>
      </c>
      <c r="C6441" s="3">
        <v>4455000</v>
      </c>
      <c r="D6441" s="3"/>
      <c r="E6441" s="7">
        <f t="shared" si="121"/>
        <v>4455000</v>
      </c>
      <c r="F6441" s="5">
        <v>45954</v>
      </c>
      <c r="G6441" s="4">
        <v>20251023</v>
      </c>
      <c r="H6441" s="38" t="str">
        <f>VLOOKUP(B6441,CAJEROS!B:D,3,0)</f>
        <v>Multifuncional</v>
      </c>
      <c r="I6441" s="34"/>
      <c r="J6441" s="38" t="str">
        <f>VLOOKUP(B6441,CAJEROS!B:E,4,0)</f>
        <v>MF_HITAGUI1</v>
      </c>
      <c r="K6441" t="s">
        <v>610</v>
      </c>
    </row>
    <row r="6442" spans="1:11">
      <c r="A6442" s="32">
        <v>20</v>
      </c>
      <c r="B6442" s="33">
        <v>8927</v>
      </c>
      <c r="C6442" s="3">
        <v>7780000</v>
      </c>
      <c r="D6442" s="3">
        <v>80000</v>
      </c>
      <c r="E6442" s="7">
        <f t="shared" si="121"/>
        <v>7700000</v>
      </c>
      <c r="F6442" s="5">
        <v>45954</v>
      </c>
      <c r="G6442" s="4">
        <v>20251023</v>
      </c>
      <c r="H6442" s="38" t="str">
        <f>VLOOKUP(B6442,CAJEROS!B:D,3,0)</f>
        <v>Multifuncional</v>
      </c>
      <c r="I6442" s="34"/>
      <c r="J6442" s="38" t="str">
        <f>VLOOKUP(B6442,CAJEROS!B:E,4,0)</f>
        <v>MFSUCBUCMG2</v>
      </c>
      <c r="K6442" t="s">
        <v>610</v>
      </c>
    </row>
    <row r="6443" spans="1:11">
      <c r="A6443" s="32">
        <v>30</v>
      </c>
      <c r="B6443" s="33">
        <v>6172</v>
      </c>
      <c r="C6443" s="3">
        <v>6050000</v>
      </c>
      <c r="D6443" s="3"/>
      <c r="E6443" s="7">
        <f t="shared" si="121"/>
        <v>6050000</v>
      </c>
      <c r="F6443" s="5">
        <v>45954</v>
      </c>
      <c r="G6443" s="4">
        <v>20251023</v>
      </c>
      <c r="H6443" s="38" t="str">
        <f>VLOOKUP(B6443,CAJEROS!B:D,3,0)</f>
        <v>Multifuncional</v>
      </c>
      <c r="I6443" s="34"/>
      <c r="J6443" s="38" t="str">
        <f>VLOOKUP(B6443,CAJEROS!B:E,4,0)</f>
        <v>MF_CROCTAV1</v>
      </c>
      <c r="K6443" t="s">
        <v>610</v>
      </c>
    </row>
    <row r="6444" spans="1:11">
      <c r="A6444" s="32">
        <v>41</v>
      </c>
      <c r="B6444" s="33">
        <v>7341</v>
      </c>
      <c r="C6444" s="3">
        <v>6000</v>
      </c>
      <c r="D6444" s="3"/>
      <c r="E6444" s="7">
        <f t="shared" si="121"/>
        <v>6000</v>
      </c>
      <c r="F6444" s="5">
        <v>45954</v>
      </c>
      <c r="G6444" s="4">
        <v>20251023</v>
      </c>
      <c r="H6444" s="38" t="str">
        <f>VLOOKUP(B6444,CAJEROS!B:D,3,0)</f>
        <v>Multifuncional</v>
      </c>
      <c r="I6444" s="34"/>
      <c r="J6444" s="38" t="str">
        <f>VLOOKUP(B6444,CAJEROS!B:E,4,0)</f>
        <v>MF_PLZESPAN</v>
      </c>
      <c r="K6444" t="s">
        <v>610</v>
      </c>
    </row>
    <row r="6445" spans="1:11">
      <c r="A6445" s="32">
        <v>74</v>
      </c>
      <c r="B6445" s="33">
        <v>6215</v>
      </c>
      <c r="C6445" s="3">
        <v>22575050</v>
      </c>
      <c r="D6445" s="3"/>
      <c r="E6445" s="7">
        <f t="shared" si="121"/>
        <v>22575050</v>
      </c>
      <c r="F6445" s="5">
        <v>45954</v>
      </c>
      <c r="G6445" s="4">
        <v>20251023</v>
      </c>
      <c r="H6445" s="38" t="str">
        <f>VLOOKUP(B6445,CAJEROS!B:D,3,0)</f>
        <v>Multifuncional</v>
      </c>
      <c r="I6445" s="34"/>
      <c r="J6445" s="38" t="str">
        <f>VLOOKUP(B6445,CAJEROS!B:E,4,0)</f>
        <v>MF_PASTO</v>
      </c>
      <c r="K6445" t="s">
        <v>610</v>
      </c>
    </row>
    <row r="6446" spans="1:11">
      <c r="A6446" s="32">
        <v>77</v>
      </c>
      <c r="B6446" s="33">
        <v>5204</v>
      </c>
      <c r="C6446" s="3">
        <v>11000</v>
      </c>
      <c r="D6446" s="3"/>
      <c r="E6446" s="7">
        <f t="shared" si="121"/>
        <v>11000</v>
      </c>
      <c r="F6446" s="5">
        <v>45954</v>
      </c>
      <c r="G6446" s="4">
        <v>20251023</v>
      </c>
      <c r="H6446" s="38" t="str">
        <f>VLOOKUP(B6446,CAJEROS!B:D,3,0)</f>
        <v>Multifuncional</v>
      </c>
      <c r="I6446" s="34"/>
      <c r="J6446" s="38" t="str">
        <f>VLOOKUP(B6446,CAJEROS!B:E,4,0)</f>
        <v>MF_TEQENDMA</v>
      </c>
      <c r="K6446" t="s">
        <v>610</v>
      </c>
    </row>
    <row r="6447" spans="1:11">
      <c r="A6447" s="32">
        <v>78</v>
      </c>
      <c r="B6447" s="33">
        <v>6246</v>
      </c>
      <c r="C6447" s="3">
        <v>9700000</v>
      </c>
      <c r="D6447" s="3"/>
      <c r="E6447" s="7">
        <f t="shared" si="121"/>
        <v>9700000</v>
      </c>
      <c r="F6447" s="5">
        <v>45954</v>
      </c>
      <c r="G6447" s="4">
        <v>20251023</v>
      </c>
      <c r="H6447" s="38" t="str">
        <f>VLOOKUP(B6447,CAJEROS!B:D,3,0)</f>
        <v>Multifuncional</v>
      </c>
      <c r="I6447" s="34"/>
      <c r="J6447" s="38" t="str">
        <f>VLOOKUP(B6447,CAJEROS!B:E,4,0)</f>
        <v>MF_CACIQUE</v>
      </c>
      <c r="K6447" t="s">
        <v>610</v>
      </c>
    </row>
    <row r="6448" spans="1:11">
      <c r="A6448" s="32">
        <v>101</v>
      </c>
      <c r="B6448" s="33">
        <v>5128</v>
      </c>
      <c r="C6448" s="3">
        <v>6399050</v>
      </c>
      <c r="D6448" s="3"/>
      <c r="E6448" s="7">
        <f t="shared" si="121"/>
        <v>6399050</v>
      </c>
      <c r="F6448" s="5">
        <v>45954</v>
      </c>
      <c r="G6448" s="4">
        <v>20251023</v>
      </c>
      <c r="H6448" s="38" t="str">
        <f>VLOOKUP(B6448,CAJEROS!B:D,3,0)</f>
        <v>Multifuncional</v>
      </c>
      <c r="I6448" s="34"/>
      <c r="J6448" s="38" t="str">
        <f>VLOOKUP(B6448,CAJEROS!B:E,4,0)</f>
        <v>MF_MULTDRIV</v>
      </c>
      <c r="K6448" t="s">
        <v>610</v>
      </c>
    </row>
    <row r="6449" spans="1:11">
      <c r="A6449" s="32">
        <v>108</v>
      </c>
      <c r="B6449" s="33">
        <v>2254</v>
      </c>
      <c r="C6449" s="3">
        <v>515000</v>
      </c>
      <c r="D6449" s="3">
        <v>135900</v>
      </c>
      <c r="E6449" s="7">
        <f t="shared" si="121"/>
        <v>379100</v>
      </c>
      <c r="F6449" s="5">
        <v>45954</v>
      </c>
      <c r="G6449" s="4">
        <v>20251023</v>
      </c>
      <c r="H6449" s="38" t="str">
        <f>VLOOKUP(B6449,CAJEROS!B:D,3,0)</f>
        <v>Multifuncional</v>
      </c>
      <c r="I6449" s="34"/>
      <c r="J6449" s="38" t="str">
        <f>VLOOKUP(B6449,CAJEROS!B:E,4,0)</f>
        <v>MFSUCPAMER2</v>
      </c>
      <c r="K6449" t="s">
        <v>610</v>
      </c>
    </row>
    <row r="6450" spans="1:11">
      <c r="A6450" s="32">
        <v>138</v>
      </c>
      <c r="B6450" s="33">
        <v>6628</v>
      </c>
      <c r="C6450" s="3">
        <v>1000</v>
      </c>
      <c r="D6450" s="3"/>
      <c r="E6450" s="7">
        <f t="shared" si="121"/>
        <v>1000</v>
      </c>
      <c r="F6450" s="5">
        <v>45954</v>
      </c>
      <c r="G6450" s="4">
        <v>20251023</v>
      </c>
      <c r="H6450" s="38" t="str">
        <f>VLOOKUP(B6450,CAJEROS!B:D,3,0)</f>
        <v>Multifuncional</v>
      </c>
      <c r="I6450" s="34"/>
      <c r="J6450" s="38" t="str">
        <f>VLOOKUP(B6450,CAJEROS!B:E,4,0)</f>
        <v>MF_MOSQUERA</v>
      </c>
      <c r="K6450" t="s">
        <v>610</v>
      </c>
    </row>
    <row r="6451" spans="1:11">
      <c r="A6451" s="32">
        <v>166</v>
      </c>
      <c r="B6451" s="33">
        <v>7940</v>
      </c>
      <c r="C6451" s="3">
        <v>7750200</v>
      </c>
      <c r="D6451" s="3"/>
      <c r="E6451" s="7">
        <f t="shared" si="121"/>
        <v>7750200</v>
      </c>
      <c r="F6451" s="5">
        <v>45954</v>
      </c>
      <c r="G6451" s="4">
        <v>20251023</v>
      </c>
      <c r="H6451" s="38" t="str">
        <f>VLOOKUP(B6451,CAJEROS!B:D,3,0)</f>
        <v>Multifuncional</v>
      </c>
      <c r="I6451" s="34"/>
      <c r="J6451" s="38" t="str">
        <f>VLOOKUP(B6451,CAJEROS!B:E,4,0)</f>
        <v>MF_ALDELS22</v>
      </c>
      <c r="K6451" t="s">
        <v>610</v>
      </c>
    </row>
    <row r="6452" spans="1:11">
      <c r="A6452" s="32">
        <v>191</v>
      </c>
      <c r="B6452" s="33">
        <v>5112</v>
      </c>
      <c r="C6452" s="3">
        <v>200000</v>
      </c>
      <c r="D6452" s="3"/>
      <c r="E6452" s="7">
        <f t="shared" si="121"/>
        <v>200000</v>
      </c>
      <c r="F6452" s="5">
        <v>45954</v>
      </c>
      <c r="G6452" s="4">
        <v>20251023</v>
      </c>
      <c r="H6452" s="38" t="str">
        <f>VLOOKUP(B6452,CAJEROS!B:D,3,0)</f>
        <v>Multifuncional</v>
      </c>
      <c r="I6452" s="34"/>
      <c r="J6452" s="38" t="str">
        <f>VLOOKUP(B6452,CAJEROS!B:E,4,0)</f>
        <v>MF_AVENID19</v>
      </c>
      <c r="K6452" t="s">
        <v>610</v>
      </c>
    </row>
    <row r="6453" spans="1:11">
      <c r="A6453" s="32">
        <v>275</v>
      </c>
      <c r="B6453" s="33">
        <v>5034</v>
      </c>
      <c r="C6453" s="3">
        <v>1673800</v>
      </c>
      <c r="D6453" s="3"/>
      <c r="E6453" s="7">
        <f t="shared" si="121"/>
        <v>1673800</v>
      </c>
      <c r="F6453" s="5">
        <v>45954</v>
      </c>
      <c r="G6453" s="4">
        <v>20251023</v>
      </c>
      <c r="H6453" s="38" t="str">
        <f>VLOOKUP(B6453,CAJEROS!B:D,3,0)</f>
        <v>Multifuncional</v>
      </c>
      <c r="I6453" s="34"/>
      <c r="J6453" s="38" t="str">
        <f>VLOOKUP(B6453,CAJEROS!B:E,4,0)</f>
        <v>MF_BOUENVIG</v>
      </c>
      <c r="K6453" t="s">
        <v>610</v>
      </c>
    </row>
    <row r="6454" spans="1:11">
      <c r="A6454" s="32">
        <v>285</v>
      </c>
      <c r="B6454" s="33">
        <v>5228</v>
      </c>
      <c r="C6454" s="3">
        <v>5010000</v>
      </c>
      <c r="D6454" s="3"/>
      <c r="E6454" s="7">
        <f t="shared" si="121"/>
        <v>5010000</v>
      </c>
      <c r="F6454" s="5">
        <v>45954</v>
      </c>
      <c r="G6454" s="4">
        <v>20251023</v>
      </c>
      <c r="H6454" s="38" t="str">
        <f>VLOOKUP(B6454,CAJEROS!B:D,3,0)</f>
        <v>Multifuncional</v>
      </c>
      <c r="I6454" s="34"/>
      <c r="J6454" s="38" t="str">
        <f>VLOOKUP(B6454,CAJEROS!B:E,4,0)</f>
        <v>MF_GARZON</v>
      </c>
      <c r="K6454" t="s">
        <v>610</v>
      </c>
    </row>
    <row r="6455" spans="1:11">
      <c r="A6455" s="32">
        <v>317</v>
      </c>
      <c r="B6455" s="33">
        <v>6613</v>
      </c>
      <c r="C6455" s="3">
        <v>2150000</v>
      </c>
      <c r="D6455" s="3"/>
      <c r="E6455" s="7">
        <f t="shared" si="121"/>
        <v>2150000</v>
      </c>
      <c r="F6455" s="5">
        <v>45954</v>
      </c>
      <c r="G6455" s="4">
        <v>20251023</v>
      </c>
      <c r="H6455" s="38" t="str">
        <f>VLOOKUP(B6455,CAJEROS!B:D,3,0)</f>
        <v>Multifuncional</v>
      </c>
      <c r="I6455" s="34"/>
      <c r="J6455" s="38" t="str">
        <f>VLOOKUP(B6455,CAJEROS!B:E,4,0)</f>
        <v>MF_ARAUCA</v>
      </c>
      <c r="K6455" t="s">
        <v>610</v>
      </c>
    </row>
    <row r="6456" spans="1:11">
      <c r="A6456" s="32">
        <v>358</v>
      </c>
      <c r="B6456" s="33">
        <v>5149</v>
      </c>
      <c r="C6456" s="3">
        <v>5250000</v>
      </c>
      <c r="D6456" s="3"/>
      <c r="E6456" s="7">
        <f t="shared" si="121"/>
        <v>5250000</v>
      </c>
      <c r="F6456" s="5">
        <v>45954</v>
      </c>
      <c r="G6456" s="4">
        <v>20251023</v>
      </c>
      <c r="H6456" s="38" t="str">
        <f>VLOOKUP(B6456,CAJEROS!B:D,3,0)</f>
        <v>Multifuncional</v>
      </c>
      <c r="I6456" s="34"/>
      <c r="J6456" s="38" t="str">
        <f>VLOOKUP(B6456,CAJEROS!B:E,4,0)</f>
        <v>MF_SOGAMOSO</v>
      </c>
      <c r="K6456" t="s">
        <v>610</v>
      </c>
    </row>
    <row r="6457" spans="1:11">
      <c r="A6457" s="32">
        <v>442</v>
      </c>
      <c r="B6457" s="33">
        <v>8888</v>
      </c>
      <c r="C6457" s="3">
        <v>9720000</v>
      </c>
      <c r="D6457" s="3"/>
      <c r="E6457" s="7">
        <f t="shared" si="121"/>
        <v>9720000</v>
      </c>
      <c r="F6457" s="5">
        <v>45954</v>
      </c>
      <c r="G6457" s="4">
        <v>20251023</v>
      </c>
      <c r="H6457" s="38" t="str">
        <f>VLOOKUP(B6457,CAJEROS!B:D,3,0)</f>
        <v>Multifuncional</v>
      </c>
      <c r="I6457" s="34"/>
      <c r="J6457" s="38" t="str">
        <f>VLOOKUP(B6457,CAJEROS!B:E,4,0)</f>
        <v>MFVIVABQUI2</v>
      </c>
      <c r="K6457" t="s">
        <v>610</v>
      </c>
    </row>
    <row r="6458" spans="1:11">
      <c r="A6458" s="32">
        <v>453</v>
      </c>
      <c r="B6458" s="33">
        <v>8018</v>
      </c>
      <c r="C6458" s="3">
        <v>2851000</v>
      </c>
      <c r="D6458" s="3"/>
      <c r="E6458" s="7">
        <f t="shared" si="121"/>
        <v>2851000</v>
      </c>
      <c r="F6458" s="5">
        <v>45954</v>
      </c>
      <c r="G6458" s="4">
        <v>20251023</v>
      </c>
      <c r="H6458" s="38" t="str">
        <f>VLOOKUP(B6458,CAJEROS!B:D,3,0)</f>
        <v>Multifuncional</v>
      </c>
      <c r="I6458" s="34"/>
      <c r="J6458" s="38" t="str">
        <f>VLOOKUP(B6458,CAJEROS!B:E,4,0)</f>
        <v>MFSUCPITAL1</v>
      </c>
      <c r="K6458" t="s">
        <v>610</v>
      </c>
    </row>
    <row r="6459" spans="1:11">
      <c r="A6459" s="32">
        <v>455</v>
      </c>
      <c r="B6459" s="33">
        <v>5206</v>
      </c>
      <c r="C6459" s="3">
        <v>11349800</v>
      </c>
      <c r="D6459" s="3">
        <v>561800</v>
      </c>
      <c r="E6459" s="7">
        <f t="shared" si="121"/>
        <v>10788000</v>
      </c>
      <c r="F6459" s="5">
        <v>45954</v>
      </c>
      <c r="G6459" s="4">
        <v>20251023</v>
      </c>
      <c r="H6459" s="38" t="str">
        <f>VLOOKUP(B6459,CAJEROS!B:D,3,0)</f>
        <v>Multifuncional</v>
      </c>
      <c r="I6459" s="34"/>
      <c r="J6459" s="38" t="str">
        <f>VLOOKUP(B6459,CAJEROS!B:E,4,0)</f>
        <v>MF_CEIBAS1</v>
      </c>
      <c r="K6459" t="s">
        <v>610</v>
      </c>
    </row>
    <row r="6460" spans="1:11">
      <c r="A6460" s="32">
        <v>477</v>
      </c>
      <c r="B6460" s="33">
        <v>6251</v>
      </c>
      <c r="C6460" s="3">
        <v>9600000</v>
      </c>
      <c r="D6460" s="3"/>
      <c r="E6460" s="7">
        <f t="shared" si="121"/>
        <v>9600000</v>
      </c>
      <c r="F6460" s="5">
        <v>45954</v>
      </c>
      <c r="G6460" s="4">
        <v>20251023</v>
      </c>
      <c r="H6460" s="38" t="str">
        <f>VLOOKUP(B6460,CAJEROS!B:D,3,0)</f>
        <v>Multifuncional</v>
      </c>
      <c r="I6460" s="34"/>
      <c r="J6460" s="38" t="str">
        <f>VLOOKUP(B6460,CAJEROS!B:E,4,0)</f>
        <v>MF_GRANCENT</v>
      </c>
      <c r="K6460" t="s">
        <v>610</v>
      </c>
    </row>
    <row r="6461" spans="1:11">
      <c r="A6461" s="32">
        <v>554</v>
      </c>
      <c r="B6461" s="33">
        <v>8294</v>
      </c>
      <c r="C6461" s="3">
        <v>4470500</v>
      </c>
      <c r="D6461" s="3"/>
      <c r="E6461" s="7">
        <f t="shared" si="121"/>
        <v>4470500</v>
      </c>
      <c r="F6461" s="5">
        <v>45954</v>
      </c>
      <c r="G6461" s="4">
        <v>20251023</v>
      </c>
      <c r="H6461" s="38" t="str">
        <f>VLOOKUP(B6461,CAJEROS!B:D,3,0)</f>
        <v>Multifuncional</v>
      </c>
      <c r="I6461" s="34"/>
      <c r="J6461" s="38" t="str">
        <f>VLOOKUP(B6461,CAJEROS!B:E,4,0)</f>
        <v>MF_SBUVIII1</v>
      </c>
      <c r="K6461" t="s">
        <v>610</v>
      </c>
    </row>
    <row r="6462" spans="1:11">
      <c r="A6462" s="32">
        <v>554</v>
      </c>
      <c r="B6462" s="33">
        <v>8295</v>
      </c>
      <c r="C6462" s="3">
        <v>10210500</v>
      </c>
      <c r="D6462" s="3"/>
      <c r="E6462" s="7">
        <f t="shared" si="121"/>
        <v>10210500</v>
      </c>
      <c r="F6462" s="5">
        <v>45954</v>
      </c>
      <c r="G6462" s="4">
        <v>20251023</v>
      </c>
      <c r="H6462" s="38" t="str">
        <f>VLOOKUP(B6462,CAJEROS!B:D,3,0)</f>
        <v>Multifuncional</v>
      </c>
      <c r="I6462" s="34"/>
      <c r="J6462" s="38" t="str">
        <f>VLOOKUP(B6462,CAJEROS!B:E,4,0)</f>
        <v>MF_SBUVIII2</v>
      </c>
      <c r="K6462" t="s">
        <v>610</v>
      </c>
    </row>
    <row r="6463" spans="1:11">
      <c r="A6463" s="32">
        <v>692</v>
      </c>
      <c r="B6463" s="33">
        <v>1515</v>
      </c>
      <c r="C6463" s="3">
        <v>10024050</v>
      </c>
      <c r="D6463" s="3"/>
      <c r="E6463" s="7">
        <f t="shared" si="121"/>
        <v>10024050</v>
      </c>
      <c r="F6463" s="5">
        <v>45954</v>
      </c>
      <c r="G6463" s="4">
        <v>20251023</v>
      </c>
      <c r="H6463" s="38" t="str">
        <f>VLOOKUP(B6463,CAJEROS!B:D,3,0)</f>
        <v>Multifuncional</v>
      </c>
      <c r="I6463" s="34"/>
      <c r="J6463" s="38" t="str">
        <f>VLOOKUP(B6463,CAJEROS!B:E,4,0)</f>
        <v>MFSUCALTPR1</v>
      </c>
      <c r="K6463" t="s">
        <v>610</v>
      </c>
    </row>
    <row r="6464" spans="1:11">
      <c r="A6464" s="32">
        <v>692</v>
      </c>
      <c r="B6464" s="33">
        <v>1516</v>
      </c>
      <c r="C6464" s="3">
        <v>4120450</v>
      </c>
      <c r="D6464" s="3">
        <v>1474500</v>
      </c>
      <c r="E6464" s="7">
        <f t="shared" si="121"/>
        <v>2645950</v>
      </c>
      <c r="F6464" s="5">
        <v>45954</v>
      </c>
      <c r="G6464" s="4">
        <v>20251023</v>
      </c>
      <c r="H6464" s="38" t="str">
        <f>VLOOKUP(B6464,CAJEROS!B:D,3,0)</f>
        <v>Multifuncional</v>
      </c>
      <c r="I6464" s="34"/>
      <c r="J6464" s="38" t="str">
        <f>VLOOKUP(B6464,CAJEROS!B:E,4,0)</f>
        <v>MFSUCALTPR2</v>
      </c>
      <c r="K6464" t="s">
        <v>610</v>
      </c>
    </row>
    <row r="6465" spans="1:11">
      <c r="A6465" s="32">
        <v>693</v>
      </c>
      <c r="B6465" s="33">
        <v>7979</v>
      </c>
      <c r="C6465" s="3">
        <v>3000</v>
      </c>
      <c r="D6465" s="3"/>
      <c r="E6465" s="7">
        <f t="shared" si="121"/>
        <v>3000</v>
      </c>
      <c r="F6465" s="5">
        <v>45954</v>
      </c>
      <c r="G6465" s="4">
        <v>20251023</v>
      </c>
      <c r="H6465" s="38" t="str">
        <f>VLOOKUP(B6465,CAJEROS!B:D,3,0)</f>
        <v>Multifuncional</v>
      </c>
      <c r="I6465" s="34"/>
      <c r="J6465" s="38" t="str">
        <f>VLOOKUP(B6465,CAJEROS!B:E,4,0)</f>
        <v>MF_CCSNTAF3</v>
      </c>
      <c r="K6465" t="s">
        <v>610</v>
      </c>
    </row>
    <row r="6466" spans="1:11">
      <c r="A6466" s="32">
        <v>716</v>
      </c>
      <c r="B6466" s="33">
        <v>5192</v>
      </c>
      <c r="C6466" s="3">
        <v>4023100</v>
      </c>
      <c r="D6466" s="3"/>
      <c r="E6466" s="7">
        <f t="shared" si="121"/>
        <v>4023100</v>
      </c>
      <c r="F6466" s="5">
        <v>45954</v>
      </c>
      <c r="G6466" s="4">
        <v>20251023</v>
      </c>
      <c r="H6466" s="38" t="str">
        <f>VLOOKUP(B6466,CAJEROS!B:D,3,0)</f>
        <v>Multifuncional</v>
      </c>
      <c r="I6466" s="34"/>
      <c r="J6466" s="38" t="str">
        <f>VLOOKUP(B6466,CAJEROS!B:E,4,0)</f>
        <v>MF_AVCGORDS</v>
      </c>
      <c r="K6466" t="s">
        <v>610</v>
      </c>
    </row>
    <row r="6467" spans="1:11">
      <c r="A6467" s="32">
        <v>725</v>
      </c>
      <c r="B6467" s="33">
        <v>5166</v>
      </c>
      <c r="C6467" s="3">
        <v>1880000</v>
      </c>
      <c r="D6467" s="3"/>
      <c r="E6467" s="7">
        <f t="shared" si="121"/>
        <v>1880000</v>
      </c>
      <c r="F6467" s="5">
        <v>45954</v>
      </c>
      <c r="G6467" s="4">
        <v>20251023</v>
      </c>
      <c r="H6467" s="38" t="str">
        <f>VLOOKUP(B6467,CAJEROS!B:D,3,0)</f>
        <v>Multifuncional</v>
      </c>
      <c r="I6467" s="34"/>
      <c r="J6467" s="38" t="str">
        <f>VLOOKUP(B6467,CAJEROS!B:E,4,0)</f>
        <v>MF_DOSQUEBR</v>
      </c>
      <c r="K6467" t="s">
        <v>610</v>
      </c>
    </row>
    <row r="6468" spans="1:11">
      <c r="A6468" s="32">
        <v>779</v>
      </c>
      <c r="B6468" s="33">
        <v>8684</v>
      </c>
      <c r="C6468" s="3">
        <v>541000</v>
      </c>
      <c r="D6468" s="3"/>
      <c r="E6468" s="7">
        <f t="shared" si="121"/>
        <v>541000</v>
      </c>
      <c r="F6468" s="5">
        <v>45954</v>
      </c>
      <c r="G6468" s="4">
        <v>20251023</v>
      </c>
      <c r="H6468" s="38" t="str">
        <f>VLOOKUP(B6468,CAJEROS!B:D,3,0)</f>
        <v>Multifuncional</v>
      </c>
      <c r="I6468" s="34"/>
      <c r="J6468" s="38" t="str">
        <f>VLOOKUP(B6468,CAJEROS!B:E,4,0)</f>
        <v>MF_BUENVSM2</v>
      </c>
      <c r="K6468" t="s">
        <v>610</v>
      </c>
    </row>
    <row r="6469" spans="1:11">
      <c r="A6469" s="32">
        <v>789</v>
      </c>
      <c r="B6469" s="33">
        <v>5118</v>
      </c>
      <c r="C6469" s="3">
        <v>3545000</v>
      </c>
      <c r="D6469" s="3"/>
      <c r="E6469" s="7">
        <f t="shared" si="121"/>
        <v>3545000</v>
      </c>
      <c r="F6469" s="5">
        <v>45954</v>
      </c>
      <c r="G6469" s="4">
        <v>20251023</v>
      </c>
      <c r="H6469" s="38" t="str">
        <f>VLOOKUP(B6469,CAJEROS!B:D,3,0)</f>
        <v>Multifuncional</v>
      </c>
      <c r="I6469" s="34"/>
      <c r="J6469" s="38" t="str">
        <f>VLOOKUP(B6469,CAJEROS!B:E,4,0)</f>
        <v>MF_MANGA</v>
      </c>
      <c r="K6469" t="s">
        <v>610</v>
      </c>
    </row>
    <row r="6470" spans="1:11">
      <c r="A6470" s="32">
        <v>796</v>
      </c>
      <c r="B6470" s="33">
        <v>6911</v>
      </c>
      <c r="C6470" s="3">
        <v>4500</v>
      </c>
      <c r="D6470" s="3"/>
      <c r="E6470" s="7">
        <f t="shared" si="121"/>
        <v>4500</v>
      </c>
      <c r="F6470" s="5">
        <v>45954</v>
      </c>
      <c r="G6470" s="4">
        <v>20251023</v>
      </c>
      <c r="H6470" s="38" t="str">
        <f>VLOOKUP(B6470,CAJEROS!B:D,3,0)</f>
        <v>Multifuncional</v>
      </c>
      <c r="I6470" s="34"/>
      <c r="J6470" s="38" t="str">
        <f>VLOOKUP(B6470,CAJEROS!B:E,4,0)</f>
        <v>MF_GIRON</v>
      </c>
      <c r="K6470" t="s">
        <v>610</v>
      </c>
    </row>
    <row r="6471" spans="1:11">
      <c r="A6471" s="32">
        <v>848</v>
      </c>
      <c r="B6471" s="33">
        <v>7374</v>
      </c>
      <c r="C6471" s="3">
        <v>1291500</v>
      </c>
      <c r="D6471" s="3"/>
      <c r="E6471" s="7">
        <f t="shared" si="121"/>
        <v>1291500</v>
      </c>
      <c r="F6471" s="5">
        <v>45954</v>
      </c>
      <c r="G6471" s="4">
        <v>20251023</v>
      </c>
      <c r="H6471" s="38" t="str">
        <f>VLOOKUP(B6471,CAJEROS!B:D,3,0)</f>
        <v>Multifuncional</v>
      </c>
      <c r="I6471" s="34"/>
      <c r="J6471" s="38" t="str">
        <f>VLOOKUP(B6471,CAJEROS!B:E,4,0)</f>
        <v>MF_BUGA</v>
      </c>
      <c r="K6471" t="s">
        <v>610</v>
      </c>
    </row>
    <row r="6472" spans="1:11">
      <c r="A6472" s="32">
        <v>876</v>
      </c>
      <c r="B6472" s="33">
        <v>9682</v>
      </c>
      <c r="C6472" s="3">
        <v>8120000</v>
      </c>
      <c r="D6472" s="3"/>
      <c r="E6472" s="7">
        <f t="shared" si="121"/>
        <v>8120000</v>
      </c>
      <c r="F6472" s="5">
        <v>45954</v>
      </c>
      <c r="G6472" s="4">
        <v>20251023</v>
      </c>
      <c r="H6472" s="38" t="str">
        <f>VLOOKUP(B6472,CAJEROS!B:D,3,0)</f>
        <v>Multifuncional</v>
      </c>
      <c r="I6472" s="34"/>
      <c r="J6472" s="38" t="str">
        <f>VLOOKUP(B6472,CAJEROS!B:E,4,0)</f>
        <v>MF_VILCAM1</v>
      </c>
      <c r="K6472" t="s">
        <v>610</v>
      </c>
    </row>
    <row r="6473" spans="1:11">
      <c r="A6473" s="32">
        <v>337</v>
      </c>
      <c r="B6473" s="33">
        <v>6253</v>
      </c>
      <c r="C6473" s="3">
        <v>80000</v>
      </c>
      <c r="D6473" s="3"/>
      <c r="E6473" s="7">
        <f t="shared" si="121"/>
        <v>80000</v>
      </c>
      <c r="F6473" s="5">
        <v>45954</v>
      </c>
      <c r="G6473" s="4">
        <v>20251024</v>
      </c>
      <c r="H6473" s="38" t="str">
        <f>VLOOKUP(B6473,CAJEROS!B:D,3,0)</f>
        <v>Multifuncional</v>
      </c>
      <c r="I6473" s="34" t="s">
        <v>12</v>
      </c>
      <c r="J6473" s="38" t="str">
        <f>VLOOKUP(B6473,CAJEROS!B:E,4,0)</f>
        <v>MF_CHIA</v>
      </c>
      <c r="K6473" t="s">
        <v>610</v>
      </c>
    </row>
    <row r="6474" spans="1:11">
      <c r="A6474" s="32">
        <v>693</v>
      </c>
      <c r="B6474" s="33">
        <v>7979</v>
      </c>
      <c r="C6474" s="3">
        <v>5000</v>
      </c>
      <c r="D6474" s="3"/>
      <c r="E6474" s="7">
        <f t="shared" si="121"/>
        <v>5000</v>
      </c>
      <c r="F6474" s="5">
        <v>45954</v>
      </c>
      <c r="G6474" s="4">
        <v>20251024</v>
      </c>
      <c r="H6474" s="38" t="str">
        <f>VLOOKUP(B6474,CAJEROS!B:D,3,0)</f>
        <v>Multifuncional</v>
      </c>
      <c r="I6474" s="34" t="s">
        <v>12</v>
      </c>
      <c r="J6474" s="38" t="str">
        <f>VLOOKUP(B6474,CAJEROS!B:E,4,0)</f>
        <v>MF_CCSNTAF3</v>
      </c>
      <c r="K6474" t="s">
        <v>610</v>
      </c>
    </row>
    <row r="6475" spans="1:11">
      <c r="A6475" s="32">
        <v>57</v>
      </c>
      <c r="B6475" s="33">
        <v>9950</v>
      </c>
      <c r="C6475" s="3">
        <v>30000</v>
      </c>
      <c r="D6475" s="3"/>
      <c r="E6475" s="7">
        <f t="shared" ref="E6475:E6538" si="122">+C6475-D6475</f>
        <v>30000</v>
      </c>
      <c r="F6475" s="5">
        <v>45957</v>
      </c>
      <c r="G6475" s="4">
        <v>20251024</v>
      </c>
      <c r="H6475" s="38" t="str">
        <f>VLOOKUP(B6475,CAJEROS!B:D,3,0)</f>
        <v>Dispensador</v>
      </c>
      <c r="I6475" s="34"/>
      <c r="J6475" s="38" t="str">
        <f>VLOOKUP(B6475,CAJEROS!B:E,4,0)</f>
        <v>SUC_VILLAO5</v>
      </c>
      <c r="K6475" t="s">
        <v>610</v>
      </c>
    </row>
    <row r="6476" spans="1:11">
      <c r="A6476" s="32">
        <v>291</v>
      </c>
      <c r="B6476" s="33">
        <v>4410</v>
      </c>
      <c r="C6476" s="3">
        <v>420000</v>
      </c>
      <c r="D6476" s="3"/>
      <c r="E6476" s="7">
        <f t="shared" si="122"/>
        <v>420000</v>
      </c>
      <c r="F6476" s="5">
        <v>45957</v>
      </c>
      <c r="G6476" s="4">
        <v>20251024</v>
      </c>
      <c r="H6476" s="38" t="str">
        <f>VLOOKUP(B6476,CAJEROS!B:D,3,0)</f>
        <v>Dispensador</v>
      </c>
      <c r="I6476" s="34"/>
      <c r="J6476" s="38" t="str">
        <f>VLOOKUP(B6476,CAJEROS!B:E,4,0)</f>
        <v>SUC_PALMAS2</v>
      </c>
      <c r="K6476" t="s">
        <v>610</v>
      </c>
    </row>
    <row r="6477" spans="1:11">
      <c r="A6477" s="32">
        <v>398</v>
      </c>
      <c r="B6477" s="33">
        <v>3527</v>
      </c>
      <c r="C6477" s="3">
        <v>150000</v>
      </c>
      <c r="D6477" s="3"/>
      <c r="E6477" s="7">
        <f t="shared" si="122"/>
        <v>150000</v>
      </c>
      <c r="F6477" s="5">
        <v>45957</v>
      </c>
      <c r="G6477" s="4">
        <v>20251024</v>
      </c>
      <c r="H6477" s="38" t="str">
        <f>VLOOKUP(B6477,CAJEROS!B:D,3,0)</f>
        <v>Dispensador</v>
      </c>
      <c r="I6477" s="34"/>
      <c r="J6477" s="38" t="str">
        <f>VLOOKUP(B6477,CAJEROS!B:E,4,0)</f>
        <v>SUC_CHINU</v>
      </c>
      <c r="K6477" t="s">
        <v>610</v>
      </c>
    </row>
    <row r="6478" spans="1:11">
      <c r="A6478" s="32">
        <v>509</v>
      </c>
      <c r="B6478" s="33">
        <v>8778</v>
      </c>
      <c r="C6478" s="3">
        <v>300000</v>
      </c>
      <c r="D6478" s="3"/>
      <c r="E6478" s="7">
        <f t="shared" si="122"/>
        <v>300000</v>
      </c>
      <c r="F6478" s="5">
        <v>45957</v>
      </c>
      <c r="G6478" s="4">
        <v>20251024</v>
      </c>
      <c r="H6478" s="38" t="str">
        <f>VLOOKUP(B6478,CAJEROS!B:D,3,0)</f>
        <v>Dispensador</v>
      </c>
      <c r="I6478" s="34"/>
      <c r="J6478" s="38" t="str">
        <f>VLOOKUP(B6478,CAJEROS!B:E,4,0)</f>
        <v>SUCTURBA1</v>
      </c>
      <c r="K6478" t="s">
        <v>610</v>
      </c>
    </row>
    <row r="6479" spans="1:11">
      <c r="A6479" s="32">
        <v>512</v>
      </c>
      <c r="B6479" s="33">
        <v>4718</v>
      </c>
      <c r="C6479" s="3">
        <v>110000</v>
      </c>
      <c r="D6479" s="3"/>
      <c r="E6479" s="7">
        <f t="shared" si="122"/>
        <v>110000</v>
      </c>
      <c r="F6479" s="5">
        <v>45957</v>
      </c>
      <c r="G6479" s="4">
        <v>20251024</v>
      </c>
      <c r="H6479" s="38" t="str">
        <f>VLOOKUP(B6479,CAJEROS!B:D,3,0)</f>
        <v>Dispensador</v>
      </c>
      <c r="I6479" s="34"/>
      <c r="J6479" s="38" t="str">
        <f>VLOOKUP(B6479,CAJEROS!B:E,4,0)</f>
        <v>SUC_PLATO3</v>
      </c>
      <c r="K6479" t="s">
        <v>610</v>
      </c>
    </row>
    <row r="6480" spans="1:11">
      <c r="A6480" s="32">
        <v>60</v>
      </c>
      <c r="B6480" s="33">
        <v>8719</v>
      </c>
      <c r="C6480" s="3">
        <v>200000</v>
      </c>
      <c r="D6480" s="3"/>
      <c r="E6480" s="7">
        <f t="shared" si="122"/>
        <v>200000</v>
      </c>
      <c r="F6480" s="5">
        <v>45957</v>
      </c>
      <c r="G6480" s="4">
        <v>20251026</v>
      </c>
      <c r="H6480" s="38" t="str">
        <f>VLOOKUP(B6480,CAJEROS!B:D,3,0)</f>
        <v>Dispensador</v>
      </c>
      <c r="I6480" s="34" t="s">
        <v>9</v>
      </c>
      <c r="J6480" s="38" t="str">
        <f>VLOOKUP(B6480,CAJEROS!B:E,4,0)</f>
        <v>HALLCALIPR1</v>
      </c>
      <c r="K6480" t="s">
        <v>610</v>
      </c>
    </row>
    <row r="6481" spans="1:11">
      <c r="A6481" s="32">
        <v>96</v>
      </c>
      <c r="B6481" s="33">
        <v>1035</v>
      </c>
      <c r="C6481" s="3">
        <v>410000</v>
      </c>
      <c r="D6481" s="3"/>
      <c r="E6481" s="7">
        <f t="shared" si="122"/>
        <v>410000</v>
      </c>
      <c r="F6481" s="5">
        <v>45957</v>
      </c>
      <c r="G6481" s="4">
        <v>20251026</v>
      </c>
      <c r="H6481" s="38" t="str">
        <f>VLOOKUP(B6481,CAJEROS!B:D,3,0)</f>
        <v>Dispensador</v>
      </c>
      <c r="I6481" s="34" t="s">
        <v>9</v>
      </c>
      <c r="J6481" s="38" t="str">
        <f>VLOOKUP(B6481,CAJEROS!B:E,4,0)</f>
        <v>SUC_MAICAO1</v>
      </c>
      <c r="K6481" t="s">
        <v>610</v>
      </c>
    </row>
    <row r="6482" spans="1:11">
      <c r="A6482" s="32">
        <v>108</v>
      </c>
      <c r="B6482" s="33">
        <v>1738</v>
      </c>
      <c r="C6482" s="3">
        <v>50000</v>
      </c>
      <c r="D6482" s="3"/>
      <c r="E6482" s="7">
        <f t="shared" si="122"/>
        <v>50000</v>
      </c>
      <c r="F6482" s="5">
        <v>45957</v>
      </c>
      <c r="G6482" s="4">
        <v>20251026</v>
      </c>
      <c r="H6482" s="38" t="str">
        <f>VLOOKUP(B6482,CAJEROS!B:D,3,0)</f>
        <v>Dispensador</v>
      </c>
      <c r="I6482" s="34" t="s">
        <v>9</v>
      </c>
      <c r="J6482" s="38" t="str">
        <f>VLOOKUP(B6482,CAJEROS!B:E,4,0)</f>
        <v>SUCPLZAMER1</v>
      </c>
      <c r="K6482" t="s">
        <v>610</v>
      </c>
    </row>
    <row r="6483" spans="1:11">
      <c r="A6483" s="32">
        <v>111</v>
      </c>
      <c r="B6483" s="33">
        <v>5671</v>
      </c>
      <c r="C6483" s="3">
        <v>100000</v>
      </c>
      <c r="D6483" s="3">
        <v>90000</v>
      </c>
      <c r="E6483" s="7">
        <f t="shared" si="122"/>
        <v>10000</v>
      </c>
      <c r="F6483" s="5">
        <v>45957</v>
      </c>
      <c r="G6483" s="4">
        <v>20251026</v>
      </c>
      <c r="H6483" s="38" t="str">
        <f>VLOOKUP(B6483,CAJEROS!B:D,3,0)</f>
        <v>Dispensador</v>
      </c>
      <c r="I6483" s="34" t="s">
        <v>9</v>
      </c>
      <c r="J6483" s="38" t="str">
        <f>VLOOKUP(B6483,CAJEROS!B:E,4,0)</f>
        <v>SUC_COROZ3</v>
      </c>
      <c r="K6483" t="s">
        <v>610</v>
      </c>
    </row>
    <row r="6484" spans="1:11">
      <c r="A6484" s="32">
        <v>153</v>
      </c>
      <c r="B6484" s="33">
        <v>9882</v>
      </c>
      <c r="C6484" s="3">
        <v>200000</v>
      </c>
      <c r="D6484" s="3">
        <v>90000</v>
      </c>
      <c r="E6484" s="7">
        <f t="shared" si="122"/>
        <v>110000</v>
      </c>
      <c r="F6484" s="5">
        <v>45957</v>
      </c>
      <c r="G6484" s="4">
        <v>20251026</v>
      </c>
      <c r="H6484" s="38" t="str">
        <f>VLOOKUP(B6484,CAJEROS!B:D,3,0)</f>
        <v>Dispensador</v>
      </c>
      <c r="I6484" s="34" t="s">
        <v>9</v>
      </c>
      <c r="J6484" s="38" t="str">
        <f>VLOOKUP(B6484,CAJEROS!B:E,4,0)</f>
        <v>EXITOIBAG_4</v>
      </c>
      <c r="K6484" t="s">
        <v>610</v>
      </c>
    </row>
    <row r="6485" spans="1:11">
      <c r="A6485" s="32">
        <v>232</v>
      </c>
      <c r="B6485" s="33">
        <v>4062</v>
      </c>
      <c r="C6485" s="3">
        <v>280000</v>
      </c>
      <c r="D6485" s="3"/>
      <c r="E6485" s="7">
        <f t="shared" si="122"/>
        <v>280000</v>
      </c>
      <c r="F6485" s="5">
        <v>45957</v>
      </c>
      <c r="G6485" s="4">
        <v>20251026</v>
      </c>
      <c r="H6485" s="38" t="str">
        <f>VLOOKUP(B6485,CAJEROS!B:D,3,0)</f>
        <v>Dispensador</v>
      </c>
      <c r="I6485" s="34" t="s">
        <v>9</v>
      </c>
      <c r="J6485" s="38" t="str">
        <f>VLOOKUP(B6485,CAJEROS!B:E,4,0)</f>
        <v>SUC_GUASCA1</v>
      </c>
      <c r="K6485" t="s">
        <v>610</v>
      </c>
    </row>
    <row r="6486" spans="1:11">
      <c r="A6486" s="32">
        <v>245</v>
      </c>
      <c r="B6486" s="33">
        <v>1370</v>
      </c>
      <c r="C6486" s="3">
        <v>680000</v>
      </c>
      <c r="D6486" s="3"/>
      <c r="E6486" s="7">
        <f t="shared" si="122"/>
        <v>680000</v>
      </c>
      <c r="F6486" s="5">
        <v>45957</v>
      </c>
      <c r="G6486" s="4">
        <v>20251026</v>
      </c>
      <c r="H6486" s="38" t="str">
        <f>VLOOKUP(B6486,CAJEROS!B:D,3,0)</f>
        <v>Dispensador</v>
      </c>
      <c r="I6486" s="34" t="s">
        <v>9</v>
      </c>
      <c r="J6486" s="38" t="str">
        <f>VLOOKUP(B6486,CAJEROS!B:E,4,0)</f>
        <v>PUERTARIO4</v>
      </c>
      <c r="K6486" t="s">
        <v>610</v>
      </c>
    </row>
    <row r="6487" spans="1:11">
      <c r="A6487" s="32">
        <v>289</v>
      </c>
      <c r="B6487" s="33">
        <v>4593</v>
      </c>
      <c r="C6487" s="3">
        <v>300000</v>
      </c>
      <c r="D6487" s="3">
        <v>150000</v>
      </c>
      <c r="E6487" s="7">
        <f t="shared" si="122"/>
        <v>150000</v>
      </c>
      <c r="F6487" s="5">
        <v>45957</v>
      </c>
      <c r="G6487" s="4">
        <v>20251026</v>
      </c>
      <c r="H6487" s="38" t="str">
        <f>VLOOKUP(B6487,CAJEROS!B:D,3,0)</f>
        <v>Dispensador</v>
      </c>
      <c r="I6487" s="34" t="s">
        <v>9</v>
      </c>
      <c r="J6487" s="38" t="str">
        <f>VLOOKUP(B6487,CAJEROS!B:E,4,0)</f>
        <v>SUC_PGAIT3</v>
      </c>
      <c r="K6487" t="s">
        <v>610</v>
      </c>
    </row>
    <row r="6488" spans="1:11">
      <c r="A6488" s="32">
        <v>348</v>
      </c>
      <c r="B6488" s="33">
        <v>5649</v>
      </c>
      <c r="C6488" s="3">
        <v>300000</v>
      </c>
      <c r="D6488" s="3"/>
      <c r="E6488" s="7">
        <f t="shared" si="122"/>
        <v>300000</v>
      </c>
      <c r="F6488" s="5">
        <v>45957</v>
      </c>
      <c r="G6488" s="4">
        <v>20251026</v>
      </c>
      <c r="H6488" s="38" t="str">
        <f>VLOOKUP(B6488,CAJEROS!B:D,3,0)</f>
        <v>Dispensador</v>
      </c>
      <c r="I6488" s="34" t="s">
        <v>9</v>
      </c>
      <c r="J6488" s="38" t="str">
        <f>VLOOKUP(B6488,CAJEROS!B:E,4,0)</f>
        <v>SUCSANDRES5</v>
      </c>
      <c r="K6488" t="s">
        <v>610</v>
      </c>
    </row>
    <row r="6489" spans="1:11">
      <c r="A6489" s="32">
        <v>385</v>
      </c>
      <c r="B6489" s="33">
        <v>3694</v>
      </c>
      <c r="C6489" s="3">
        <v>50000</v>
      </c>
      <c r="D6489" s="3">
        <v>30000</v>
      </c>
      <c r="E6489" s="7">
        <f t="shared" si="122"/>
        <v>20000</v>
      </c>
      <c r="F6489" s="5">
        <v>45957</v>
      </c>
      <c r="G6489" s="4">
        <v>20251026</v>
      </c>
      <c r="H6489" s="38" t="str">
        <f>VLOOKUP(B6489,CAJEROS!B:D,3,0)</f>
        <v>Dispensador</v>
      </c>
      <c r="I6489" s="34" t="s">
        <v>9</v>
      </c>
      <c r="J6489" s="38" t="str">
        <f>VLOOKUP(B6489,CAJEROS!B:E,4,0)</f>
        <v>SUC_VILLET3</v>
      </c>
      <c r="K6489" t="s">
        <v>610</v>
      </c>
    </row>
    <row r="6490" spans="1:11">
      <c r="A6490" s="32">
        <v>398</v>
      </c>
      <c r="B6490" s="33">
        <v>9562</v>
      </c>
      <c r="C6490" s="3">
        <v>800000</v>
      </c>
      <c r="D6490" s="3"/>
      <c r="E6490" s="7">
        <f t="shared" si="122"/>
        <v>800000</v>
      </c>
      <c r="F6490" s="5">
        <v>45957</v>
      </c>
      <c r="G6490" s="4">
        <v>20251026</v>
      </c>
      <c r="H6490" s="38" t="str">
        <f>VLOOKUP(B6490,CAJEROS!B:D,3,0)</f>
        <v>Dispensador</v>
      </c>
      <c r="I6490" s="34" t="s">
        <v>9</v>
      </c>
      <c r="J6490" s="38" t="str">
        <f>VLOOKUP(B6490,CAJEROS!B:E,4,0)</f>
        <v>SUC_CHINU2</v>
      </c>
      <c r="K6490" t="s">
        <v>610</v>
      </c>
    </row>
    <row r="6491" spans="1:11">
      <c r="A6491" s="32">
        <v>399</v>
      </c>
      <c r="B6491" s="33">
        <v>8625</v>
      </c>
      <c r="C6491" s="3">
        <v>650000</v>
      </c>
      <c r="D6491" s="3"/>
      <c r="E6491" s="7">
        <f t="shared" si="122"/>
        <v>650000</v>
      </c>
      <c r="F6491" s="5">
        <v>45957</v>
      </c>
      <c r="G6491" s="4">
        <v>20251026</v>
      </c>
      <c r="H6491" s="38" t="str">
        <f>VLOOKUP(B6491,CAJEROS!B:D,3,0)</f>
        <v>Dispensador</v>
      </c>
      <c r="I6491" s="34" t="s">
        <v>9</v>
      </c>
      <c r="J6491" s="38" t="str">
        <f>VLOOKUP(B6491,CAJEROS!B:E,4,0)</f>
        <v>SUCGIRARDO5</v>
      </c>
      <c r="K6491" t="s">
        <v>610</v>
      </c>
    </row>
    <row r="6492" spans="1:11">
      <c r="A6492" s="32">
        <v>415</v>
      </c>
      <c r="B6492" s="33">
        <v>8617</v>
      </c>
      <c r="C6492" s="3">
        <v>60000</v>
      </c>
      <c r="D6492" s="3"/>
      <c r="E6492" s="7">
        <f t="shared" si="122"/>
        <v>60000</v>
      </c>
      <c r="F6492" s="5">
        <v>45957</v>
      </c>
      <c r="G6492" s="4">
        <v>20251026</v>
      </c>
      <c r="H6492" s="38" t="str">
        <f>VLOOKUP(B6492,CAJEROS!B:D,3,0)</f>
        <v>Dispensador</v>
      </c>
      <c r="I6492" s="34" t="s">
        <v>9</v>
      </c>
      <c r="J6492" s="38" t="str">
        <f>VLOOKUP(B6492,CAJEROS!B:E,4,0)</f>
        <v>SUCRETIRO2</v>
      </c>
      <c r="K6492" t="s">
        <v>610</v>
      </c>
    </row>
    <row r="6493" spans="1:11">
      <c r="A6493" s="32">
        <v>426</v>
      </c>
      <c r="B6493" s="33">
        <v>7819</v>
      </c>
      <c r="C6493" s="3">
        <v>100000</v>
      </c>
      <c r="D6493" s="3">
        <v>70000</v>
      </c>
      <c r="E6493" s="7">
        <f t="shared" si="122"/>
        <v>30000</v>
      </c>
      <c r="F6493" s="5">
        <v>45957</v>
      </c>
      <c r="G6493" s="4">
        <v>20251026</v>
      </c>
      <c r="H6493" s="38" t="str">
        <f>VLOOKUP(B6493,CAJEROS!B:D,3,0)</f>
        <v>Dispensador</v>
      </c>
      <c r="I6493" s="34" t="s">
        <v>9</v>
      </c>
      <c r="J6493" s="38" t="str">
        <f>VLOOKUP(B6493,CAJEROS!B:E,4,0)</f>
        <v>PURIFICACI2</v>
      </c>
      <c r="K6493" t="s">
        <v>610</v>
      </c>
    </row>
    <row r="6494" spans="1:11">
      <c r="A6494" s="32">
        <v>451</v>
      </c>
      <c r="B6494" s="33">
        <v>4967</v>
      </c>
      <c r="C6494" s="3">
        <v>30000</v>
      </c>
      <c r="D6494" s="3"/>
      <c r="E6494" s="7">
        <f t="shared" si="122"/>
        <v>30000</v>
      </c>
      <c r="F6494" s="5">
        <v>45957</v>
      </c>
      <c r="G6494" s="4">
        <v>20251026</v>
      </c>
      <c r="H6494" s="38" t="str">
        <f>VLOOKUP(B6494,CAJEROS!B:D,3,0)</f>
        <v>Dispensador</v>
      </c>
      <c r="I6494" s="34" t="s">
        <v>9</v>
      </c>
      <c r="J6494" s="38" t="str">
        <f>VLOOKUP(B6494,CAJEROS!B:E,4,0)</f>
        <v>SUCPTOASIS2</v>
      </c>
      <c r="K6494" t="s">
        <v>610</v>
      </c>
    </row>
    <row r="6495" spans="1:11">
      <c r="A6495" s="32">
        <v>523</v>
      </c>
      <c r="B6495" s="33">
        <v>3997</v>
      </c>
      <c r="C6495" s="3">
        <v>70000</v>
      </c>
      <c r="D6495" s="3"/>
      <c r="E6495" s="7">
        <f t="shared" si="122"/>
        <v>70000</v>
      </c>
      <c r="F6495" s="5">
        <v>45957</v>
      </c>
      <c r="G6495" s="4">
        <v>20251026</v>
      </c>
      <c r="H6495" s="38" t="str">
        <f>VLOOKUP(B6495,CAJEROS!B:D,3,0)</f>
        <v>Dispensador</v>
      </c>
      <c r="I6495" s="34" t="s">
        <v>9</v>
      </c>
      <c r="J6495" s="38" t="str">
        <f>VLOOKUP(B6495,CAJEROS!B:E,4,0)</f>
        <v>SUC_OVALLE3</v>
      </c>
      <c r="K6495" t="s">
        <v>610</v>
      </c>
    </row>
    <row r="6496" spans="1:11">
      <c r="A6496" s="32">
        <v>541</v>
      </c>
      <c r="B6496" s="33">
        <v>8650</v>
      </c>
      <c r="C6496" s="3">
        <v>200000</v>
      </c>
      <c r="D6496" s="3"/>
      <c r="E6496" s="7">
        <f t="shared" si="122"/>
        <v>200000</v>
      </c>
      <c r="F6496" s="5">
        <v>45957</v>
      </c>
      <c r="G6496" s="4">
        <v>20251026</v>
      </c>
      <c r="H6496" s="38" t="str">
        <f>VLOOKUP(B6496,CAJEROS!B:D,3,0)</f>
        <v>Dispensador</v>
      </c>
      <c r="I6496" s="34" t="s">
        <v>9</v>
      </c>
      <c r="J6496" s="38" t="str">
        <f>VLOOKUP(B6496,CAJEROS!B:E,4,0)</f>
        <v>SUCCALDASP1</v>
      </c>
      <c r="K6496" t="s">
        <v>610</v>
      </c>
    </row>
    <row r="6497" spans="1:11">
      <c r="A6497" s="32">
        <v>584</v>
      </c>
      <c r="B6497" s="33">
        <v>6874</v>
      </c>
      <c r="C6497" s="3">
        <v>220000</v>
      </c>
      <c r="D6497" s="3">
        <v>200000</v>
      </c>
      <c r="E6497" s="7">
        <f t="shared" si="122"/>
        <v>20000</v>
      </c>
      <c r="F6497" s="5">
        <v>45957</v>
      </c>
      <c r="G6497" s="4">
        <v>20251026</v>
      </c>
      <c r="H6497" s="38" t="str">
        <f>VLOOKUP(B6497,CAJEROS!B:D,3,0)</f>
        <v>Dispensador</v>
      </c>
      <c r="I6497" s="34" t="s">
        <v>9</v>
      </c>
      <c r="J6497" s="38" t="str">
        <f>VLOOKUP(B6497,CAJEROS!B:E,4,0)</f>
        <v>HALLCHIGOR2</v>
      </c>
      <c r="K6497" t="s">
        <v>610</v>
      </c>
    </row>
    <row r="6498" spans="1:11">
      <c r="A6498" s="32">
        <v>601</v>
      </c>
      <c r="B6498" s="33">
        <v>6424</v>
      </c>
      <c r="C6498" s="3">
        <v>50000</v>
      </c>
      <c r="D6498" s="3"/>
      <c r="E6498" s="7">
        <f t="shared" si="122"/>
        <v>50000</v>
      </c>
      <c r="F6498" s="5">
        <v>45957</v>
      </c>
      <c r="G6498" s="4">
        <v>20251026</v>
      </c>
      <c r="H6498" s="38" t="str">
        <f>VLOOKUP(B6498,CAJEROS!B:D,3,0)</f>
        <v>Dispensador</v>
      </c>
      <c r="I6498" s="34" t="s">
        <v>9</v>
      </c>
      <c r="J6498" s="38" t="str">
        <f>VLOOKUP(B6498,CAJEROS!B:E,4,0)</f>
        <v>SUC_PQCOL4</v>
      </c>
      <c r="K6498" t="s">
        <v>610</v>
      </c>
    </row>
    <row r="6499" spans="1:11">
      <c r="A6499" s="32">
        <v>631</v>
      </c>
      <c r="B6499" s="33">
        <v>2617</v>
      </c>
      <c r="C6499" s="3">
        <v>200000</v>
      </c>
      <c r="D6499" s="3"/>
      <c r="E6499" s="7">
        <f t="shared" si="122"/>
        <v>200000</v>
      </c>
      <c r="F6499" s="5">
        <v>45957</v>
      </c>
      <c r="G6499" s="4">
        <v>20251026</v>
      </c>
      <c r="H6499" s="38" t="str">
        <f>VLOOKUP(B6499,CAJEROS!B:D,3,0)</f>
        <v>Dispensador</v>
      </c>
      <c r="I6499" s="34" t="s">
        <v>9</v>
      </c>
      <c r="J6499" s="38" t="str">
        <f>VLOOKUP(B6499,CAJEROS!B:E,4,0)</f>
        <v>SUCURIBIA_3</v>
      </c>
      <c r="K6499" t="s">
        <v>610</v>
      </c>
    </row>
    <row r="6500" spans="1:11">
      <c r="A6500" s="32">
        <v>678</v>
      </c>
      <c r="B6500" s="33">
        <v>6014</v>
      </c>
      <c r="C6500" s="3">
        <v>2720000</v>
      </c>
      <c r="D6500" s="3"/>
      <c r="E6500" s="7">
        <f t="shared" si="122"/>
        <v>2720000</v>
      </c>
      <c r="F6500" s="5">
        <v>45957</v>
      </c>
      <c r="G6500" s="4">
        <v>20251026</v>
      </c>
      <c r="H6500" s="38" t="str">
        <f>VLOOKUP(B6500,CAJEROS!B:D,3,0)</f>
        <v>Dispensador</v>
      </c>
      <c r="I6500" s="34" t="s">
        <v>9</v>
      </c>
      <c r="J6500" s="38" t="str">
        <f>VLOOKUP(B6500,CAJEROS!B:E,4,0)</f>
        <v>PASEOCAST_5</v>
      </c>
      <c r="K6500" t="s">
        <v>610</v>
      </c>
    </row>
    <row r="6501" spans="1:11">
      <c r="A6501" s="32">
        <v>682</v>
      </c>
      <c r="B6501" s="33">
        <v>5960</v>
      </c>
      <c r="C6501" s="3">
        <v>3650000</v>
      </c>
      <c r="D6501" s="3">
        <v>250000</v>
      </c>
      <c r="E6501" s="7">
        <f t="shared" si="122"/>
        <v>3400000</v>
      </c>
      <c r="F6501" s="5">
        <v>45957</v>
      </c>
      <c r="G6501" s="4">
        <v>20251026</v>
      </c>
      <c r="H6501" s="38" t="str">
        <f>VLOOKUP(B6501,CAJEROS!B:D,3,0)</f>
        <v>Dispensador</v>
      </c>
      <c r="I6501" s="34" t="s">
        <v>9</v>
      </c>
      <c r="J6501" s="38" t="str">
        <f>VLOOKUP(B6501,CAJEROS!B:E,4,0)</f>
        <v>SUC_CCFONT2</v>
      </c>
      <c r="K6501" t="s">
        <v>610</v>
      </c>
    </row>
    <row r="6502" spans="1:11">
      <c r="A6502" s="32">
        <v>688</v>
      </c>
      <c r="B6502" s="33">
        <v>4840</v>
      </c>
      <c r="C6502" s="3">
        <v>220000</v>
      </c>
      <c r="D6502" s="3"/>
      <c r="E6502" s="7">
        <f t="shared" si="122"/>
        <v>220000</v>
      </c>
      <c r="F6502" s="5">
        <v>45957</v>
      </c>
      <c r="G6502" s="4">
        <v>20251026</v>
      </c>
      <c r="H6502" s="38" t="str">
        <f>VLOOKUP(B6502,CAJEROS!B:D,3,0)</f>
        <v>Dispensador</v>
      </c>
      <c r="I6502" s="34" t="s">
        <v>9</v>
      </c>
      <c r="J6502" s="38" t="str">
        <f>VLOOKUP(B6502,CAJEROS!B:E,4,0)</f>
        <v>SUC_CONTAD1</v>
      </c>
      <c r="K6502" t="s">
        <v>610</v>
      </c>
    </row>
    <row r="6503" spans="1:11">
      <c r="A6503" s="32">
        <v>741</v>
      </c>
      <c r="B6503" s="33">
        <v>6842</v>
      </c>
      <c r="C6503" s="3">
        <v>200000</v>
      </c>
      <c r="D6503" s="3">
        <v>20000</v>
      </c>
      <c r="E6503" s="7">
        <f t="shared" si="122"/>
        <v>180000</v>
      </c>
      <c r="F6503" s="5">
        <v>45957</v>
      </c>
      <c r="G6503" s="4">
        <v>20251026</v>
      </c>
      <c r="H6503" s="38" t="str">
        <f>VLOOKUP(B6503,CAJEROS!B:D,3,0)</f>
        <v>Dispensador</v>
      </c>
      <c r="I6503" s="34" t="s">
        <v>9</v>
      </c>
      <c r="J6503" s="38" t="str">
        <f>VLOOKUP(B6503,CAJEROS!B:E,4,0)</f>
        <v>SUC_IDEO_2</v>
      </c>
      <c r="K6503" t="s">
        <v>610</v>
      </c>
    </row>
    <row r="6504" spans="1:11">
      <c r="A6504" s="32">
        <v>799</v>
      </c>
      <c r="B6504" s="33">
        <v>8186</v>
      </c>
      <c r="C6504" s="3">
        <v>100000</v>
      </c>
      <c r="D6504" s="3"/>
      <c r="E6504" s="7">
        <f t="shared" si="122"/>
        <v>100000</v>
      </c>
      <c r="F6504" s="5">
        <v>45957</v>
      </c>
      <c r="G6504" s="4">
        <v>20251026</v>
      </c>
      <c r="H6504" s="38" t="str">
        <f>VLOOKUP(B6504,CAJEROS!B:D,3,0)</f>
        <v>Dispensador</v>
      </c>
      <c r="I6504" s="34" t="s">
        <v>9</v>
      </c>
      <c r="J6504" s="38" t="str">
        <f>VLOOKUP(B6504,CAJEROS!B:E,4,0)</f>
        <v>SUC_FLORBL3</v>
      </c>
      <c r="K6504" t="s">
        <v>610</v>
      </c>
    </row>
    <row r="6505" spans="1:11">
      <c r="A6505" s="32">
        <v>832</v>
      </c>
      <c r="B6505" s="33">
        <v>4768</v>
      </c>
      <c r="C6505" s="3">
        <v>650000</v>
      </c>
      <c r="D6505" s="3">
        <f>280000+80000</f>
        <v>360000</v>
      </c>
      <c r="E6505" s="7">
        <f t="shared" si="122"/>
        <v>290000</v>
      </c>
      <c r="F6505" s="5">
        <v>45957</v>
      </c>
      <c r="G6505" s="4">
        <v>20251026</v>
      </c>
      <c r="H6505" s="38" t="str">
        <f>VLOOKUP(B6505,CAJEROS!B:D,3,0)</f>
        <v>Dispensador</v>
      </c>
      <c r="I6505" s="34" t="s">
        <v>9</v>
      </c>
      <c r="J6505" s="38" t="str">
        <f>VLOOKUP(B6505,CAJEROS!B:E,4,0)</f>
        <v>SUC_SANTAN2</v>
      </c>
      <c r="K6505" t="s">
        <v>610</v>
      </c>
    </row>
    <row r="6506" spans="1:11">
      <c r="A6506" s="32">
        <v>858</v>
      </c>
      <c r="B6506" s="33">
        <v>2875</v>
      </c>
      <c r="C6506" s="3">
        <v>600000</v>
      </c>
      <c r="D6506" s="3"/>
      <c r="E6506" s="7">
        <f t="shared" si="122"/>
        <v>600000</v>
      </c>
      <c r="F6506" s="5">
        <v>45957</v>
      </c>
      <c r="G6506" s="4">
        <v>20251026</v>
      </c>
      <c r="H6506" s="38" t="str">
        <f>VLOOKUP(B6506,CAJEROS!B:D,3,0)</f>
        <v>Dispensador</v>
      </c>
      <c r="I6506" s="34" t="s">
        <v>9</v>
      </c>
      <c r="J6506" s="38" t="str">
        <f>VLOOKUP(B6506,CAJEROS!B:E,4,0)</f>
        <v>_CERRITO_1_</v>
      </c>
      <c r="K6506" t="s">
        <v>610</v>
      </c>
    </row>
    <row r="6507" spans="1:11">
      <c r="A6507" s="32">
        <v>863</v>
      </c>
      <c r="B6507" s="33">
        <v>3488</v>
      </c>
      <c r="C6507" s="3">
        <v>300000</v>
      </c>
      <c r="D6507" s="3"/>
      <c r="E6507" s="7">
        <f t="shared" si="122"/>
        <v>300000</v>
      </c>
      <c r="F6507" s="5">
        <v>45957</v>
      </c>
      <c r="G6507" s="4">
        <v>20251026</v>
      </c>
      <c r="H6507" s="38" t="str">
        <f>VLOOKUP(B6507,CAJEROS!B:D,3,0)</f>
        <v>Dispensador</v>
      </c>
      <c r="I6507" s="34" t="s">
        <v>9</v>
      </c>
      <c r="J6507" s="38" t="str">
        <f>VLOOKUP(B6507,CAJEROS!B:E,4,0)</f>
        <v>LOSPATIOS</v>
      </c>
      <c r="K6507" t="s">
        <v>610</v>
      </c>
    </row>
    <row r="6508" spans="1:11">
      <c r="A6508" s="32">
        <v>864</v>
      </c>
      <c r="B6508" s="33">
        <v>5795</v>
      </c>
      <c r="C6508" s="3">
        <v>320000</v>
      </c>
      <c r="D6508" s="3"/>
      <c r="E6508" s="7">
        <f t="shared" si="122"/>
        <v>320000</v>
      </c>
      <c r="F6508" s="5">
        <v>45957</v>
      </c>
      <c r="G6508" s="4">
        <v>20251026</v>
      </c>
      <c r="H6508" s="38" t="str">
        <f>VLOOKUP(B6508,CAJEROS!B:D,3,0)</f>
        <v>Dispensador</v>
      </c>
      <c r="I6508" s="34" t="s">
        <v>9</v>
      </c>
      <c r="J6508" s="38" t="str">
        <f>VLOOKUP(B6508,CAJEROS!B:E,4,0)</f>
        <v>SUC_PRADER1</v>
      </c>
      <c r="K6508" t="s">
        <v>610</v>
      </c>
    </row>
    <row r="6509" spans="1:11">
      <c r="A6509" s="32">
        <v>882</v>
      </c>
      <c r="B6509" s="33">
        <v>3510</v>
      </c>
      <c r="C6509" s="3">
        <v>2240000</v>
      </c>
      <c r="D6509" s="3">
        <f>2070000+110000</f>
        <v>2180000</v>
      </c>
      <c r="E6509" s="7">
        <f t="shared" si="122"/>
        <v>60000</v>
      </c>
      <c r="F6509" s="5">
        <v>45957</v>
      </c>
      <c r="G6509" s="4">
        <v>20251026</v>
      </c>
      <c r="H6509" s="38" t="str">
        <f>VLOOKUP(B6509,CAJEROS!B:D,3,0)</f>
        <v>Dispensador</v>
      </c>
      <c r="I6509" s="34" t="s">
        <v>9</v>
      </c>
      <c r="J6509" s="38" t="str">
        <f>VLOOKUP(B6509,CAJEROS!B:E,4,0)</f>
        <v>LIBERTADOR1</v>
      </c>
      <c r="K6509" t="s">
        <v>610</v>
      </c>
    </row>
    <row r="6510" spans="1:11">
      <c r="A6510" s="32">
        <v>914</v>
      </c>
      <c r="B6510" s="33">
        <v>5544</v>
      </c>
      <c r="C6510" s="3">
        <v>90000</v>
      </c>
      <c r="D6510" s="3"/>
      <c r="E6510" s="7">
        <f t="shared" si="122"/>
        <v>90000</v>
      </c>
      <c r="F6510" s="5">
        <v>45957</v>
      </c>
      <c r="G6510" s="4">
        <v>20251026</v>
      </c>
      <c r="H6510" s="38" t="str">
        <f>VLOOKUP(B6510,CAJEROS!B:D,3,0)</f>
        <v>Dispensador</v>
      </c>
      <c r="I6510" s="34" t="s">
        <v>9</v>
      </c>
      <c r="J6510" s="38" t="str">
        <f>VLOOKUP(B6510,CAJEROS!B:E,4,0)</f>
        <v>DONMATIA2</v>
      </c>
      <c r="K6510" t="s">
        <v>610</v>
      </c>
    </row>
    <row r="6511" spans="1:11">
      <c r="A6511" s="32">
        <v>916</v>
      </c>
      <c r="B6511" s="33">
        <v>5743</v>
      </c>
      <c r="C6511" s="3">
        <v>200000</v>
      </c>
      <c r="D6511" s="3"/>
      <c r="E6511" s="7">
        <f t="shared" si="122"/>
        <v>200000</v>
      </c>
      <c r="F6511" s="5">
        <v>45957</v>
      </c>
      <c r="G6511" s="4">
        <v>20251026</v>
      </c>
      <c r="H6511" s="38" t="str">
        <f>VLOOKUP(B6511,CAJEROS!B:D,3,0)</f>
        <v>Dispensador</v>
      </c>
      <c r="I6511" s="34" t="s">
        <v>9</v>
      </c>
      <c r="J6511" s="38" t="str">
        <f>VLOOKUP(B6511,CAJEROS!B:E,4,0)</f>
        <v>SUC_OCEANM3</v>
      </c>
      <c r="K6511" t="s">
        <v>610</v>
      </c>
    </row>
    <row r="6512" spans="1:11">
      <c r="A6512" s="32">
        <v>944</v>
      </c>
      <c r="B6512" s="33">
        <v>8358</v>
      </c>
      <c r="C6512" s="3">
        <v>180000</v>
      </c>
      <c r="D6512" s="3"/>
      <c r="E6512" s="7">
        <f t="shared" si="122"/>
        <v>180000</v>
      </c>
      <c r="F6512" s="5">
        <v>45957</v>
      </c>
      <c r="G6512" s="4">
        <v>20251026</v>
      </c>
      <c r="H6512" s="38" t="str">
        <f>VLOOKUP(B6512,CAJEROS!B:D,3,0)</f>
        <v>Dispensador</v>
      </c>
      <c r="I6512" s="34" t="s">
        <v>9</v>
      </c>
      <c r="J6512" s="38" t="str">
        <f>VLOOKUP(B6512,CAJEROS!B:E,4,0)</f>
        <v>SUCSANTABO4</v>
      </c>
      <c r="K6512" t="s">
        <v>610</v>
      </c>
    </row>
    <row r="6513" spans="1:11">
      <c r="A6513" s="32">
        <v>946</v>
      </c>
      <c r="B6513" s="33">
        <v>4497</v>
      </c>
      <c r="C6513" s="3">
        <v>200000</v>
      </c>
      <c r="D6513" s="3"/>
      <c r="E6513" s="7">
        <f t="shared" si="122"/>
        <v>200000</v>
      </c>
      <c r="F6513" s="5">
        <v>45957</v>
      </c>
      <c r="G6513" s="4">
        <v>20251026</v>
      </c>
      <c r="H6513" s="38" t="str">
        <f>VLOOKUP(B6513,CAJEROS!B:D,3,0)</f>
        <v>Dispensador</v>
      </c>
      <c r="I6513" s="34" t="s">
        <v>9</v>
      </c>
      <c r="J6513" s="38" t="str">
        <f>VLOOKUP(B6513,CAJEROS!B:E,4,0)</f>
        <v>SUC_CHIA1</v>
      </c>
      <c r="K6513" t="s">
        <v>610</v>
      </c>
    </row>
    <row r="6514" spans="1:11">
      <c r="A6514" s="32">
        <v>16</v>
      </c>
      <c r="B6514" s="33">
        <v>5219</v>
      </c>
      <c r="C6514" s="3">
        <v>6970000</v>
      </c>
      <c r="D6514" s="3"/>
      <c r="E6514" s="7">
        <f t="shared" si="122"/>
        <v>6970000</v>
      </c>
      <c r="F6514" s="5">
        <v>45957</v>
      </c>
      <c r="G6514" s="4">
        <v>20251024</v>
      </c>
      <c r="H6514" s="38" t="str">
        <f>VLOOKUP(B6514,CAJEROS!B:D,3,0)</f>
        <v>Multifuncional</v>
      </c>
      <c r="I6514" s="34"/>
      <c r="J6514" s="38" t="str">
        <f>VLOOKUP(B6514,CAJEROS!B:E,4,0)</f>
        <v>MF_AEOLAYA</v>
      </c>
      <c r="K6514" t="s">
        <v>610</v>
      </c>
    </row>
    <row r="6515" spans="1:11">
      <c r="A6515" s="32">
        <v>57</v>
      </c>
      <c r="B6515" s="33">
        <v>9963</v>
      </c>
      <c r="C6515" s="3">
        <v>5000</v>
      </c>
      <c r="D6515" s="3"/>
      <c r="E6515" s="7">
        <f t="shared" si="122"/>
        <v>5000</v>
      </c>
      <c r="F6515" s="5">
        <v>45957</v>
      </c>
      <c r="G6515" s="4">
        <v>20251024</v>
      </c>
      <c r="H6515" s="38" t="str">
        <f>VLOOKUP(B6515,CAJEROS!B:D,3,0)</f>
        <v>Multifuncional</v>
      </c>
      <c r="I6515" s="34"/>
      <c r="J6515" s="38" t="str">
        <f>VLOOKUP(B6515,CAJEROS!B:E,4,0)</f>
        <v>MF_VILLAVI1</v>
      </c>
      <c r="K6515" t="s">
        <v>610</v>
      </c>
    </row>
    <row r="6516" spans="1:11">
      <c r="A6516" s="32">
        <v>229</v>
      </c>
      <c r="B6516" s="33">
        <v>9605</v>
      </c>
      <c r="C6516" s="3">
        <v>1800</v>
      </c>
      <c r="D6516" s="3"/>
      <c r="E6516" s="7">
        <f t="shared" si="122"/>
        <v>1800</v>
      </c>
      <c r="F6516" s="5">
        <v>45957</v>
      </c>
      <c r="G6516" s="4">
        <v>20251024</v>
      </c>
      <c r="H6516" s="38" t="str">
        <f>VLOOKUP(B6516,CAJEROS!B:D,3,0)</f>
        <v>Multifuncional</v>
      </c>
      <c r="I6516" s="34"/>
      <c r="J6516" s="38" t="str">
        <f>VLOOKUP(B6516,CAJEROS!B:E,4,0)</f>
        <v>MFSUCPASER2</v>
      </c>
      <c r="K6516" t="s">
        <v>610</v>
      </c>
    </row>
    <row r="6517" spans="1:11">
      <c r="A6517" s="32">
        <v>383</v>
      </c>
      <c r="B6517" s="33">
        <v>5194</v>
      </c>
      <c r="C6517" s="3">
        <v>200000</v>
      </c>
      <c r="D6517" s="3"/>
      <c r="E6517" s="7">
        <f t="shared" si="122"/>
        <v>200000</v>
      </c>
      <c r="F6517" s="5">
        <v>45957</v>
      </c>
      <c r="G6517" s="4">
        <v>20251024</v>
      </c>
      <c r="H6517" s="38" t="str">
        <f>VLOOKUP(B6517,CAJEROS!B:D,3,0)</f>
        <v>Multifuncional</v>
      </c>
      <c r="I6517" s="34"/>
      <c r="J6517" s="38" t="str">
        <f>VLOOKUP(B6517,CAJEROS!B:E,4,0)</f>
        <v>MF_MADRID</v>
      </c>
      <c r="K6517" t="s">
        <v>610</v>
      </c>
    </row>
    <row r="6518" spans="1:11">
      <c r="A6518" s="32">
        <v>634</v>
      </c>
      <c r="B6518" s="33">
        <v>5087</v>
      </c>
      <c r="C6518" s="3">
        <v>950000</v>
      </c>
      <c r="D6518" s="3"/>
      <c r="E6518" s="7">
        <f t="shared" si="122"/>
        <v>950000</v>
      </c>
      <c r="F6518" s="5">
        <v>45957</v>
      </c>
      <c r="G6518" s="4">
        <v>20251024</v>
      </c>
      <c r="H6518" s="38" t="str">
        <f>VLOOKUP(B6518,CAJEROS!B:D,3,0)</f>
        <v>Multifuncional</v>
      </c>
      <c r="I6518" s="34"/>
      <c r="J6518" s="38" t="str">
        <f>VLOOKUP(B6518,CAJEROS!B:E,4,0)</f>
        <v>MF_AVENI127</v>
      </c>
      <c r="K6518" t="s">
        <v>610</v>
      </c>
    </row>
    <row r="6519" spans="1:11">
      <c r="A6519" s="32">
        <v>658</v>
      </c>
      <c r="B6519" s="33">
        <v>7074</v>
      </c>
      <c r="C6519" s="3">
        <v>2384550</v>
      </c>
      <c r="D6519" s="3">
        <v>816200</v>
      </c>
      <c r="E6519" s="7">
        <f t="shared" si="122"/>
        <v>1568350</v>
      </c>
      <c r="F6519" s="5">
        <v>45957</v>
      </c>
      <c r="G6519" s="4">
        <v>20251024</v>
      </c>
      <c r="H6519" s="38" t="str">
        <f>VLOOKUP(B6519,CAJEROS!B:D,3,0)</f>
        <v>Multifuncional</v>
      </c>
      <c r="I6519" s="34"/>
      <c r="J6519" s="38" t="str">
        <f>VLOOKUP(B6519,CAJEROS!B:E,4,0)</f>
        <v>MF_BELLASUI</v>
      </c>
      <c r="K6519" t="s">
        <v>610</v>
      </c>
    </row>
    <row r="6520" spans="1:11">
      <c r="A6520" s="32">
        <v>812</v>
      </c>
      <c r="B6520" s="33">
        <v>7613</v>
      </c>
      <c r="C6520" s="3">
        <v>86400</v>
      </c>
      <c r="D6520" s="3"/>
      <c r="E6520" s="7">
        <f t="shared" si="122"/>
        <v>86400</v>
      </c>
      <c r="F6520" s="5">
        <v>45957</v>
      </c>
      <c r="G6520" s="4">
        <v>20251024</v>
      </c>
      <c r="H6520" s="38" t="str">
        <f>VLOOKUP(B6520,CAJEROS!B:D,3,0)</f>
        <v>Multifuncional</v>
      </c>
      <c r="I6520" s="34"/>
      <c r="J6520" s="38" t="str">
        <f>VLOOKUP(B6520,CAJEROS!B:E,4,0)</f>
        <v>MF_CHPICHP2</v>
      </c>
      <c r="K6520" t="s">
        <v>610</v>
      </c>
    </row>
    <row r="6521" spans="1:11">
      <c r="A6521" s="32">
        <v>812</v>
      </c>
      <c r="B6521" s="33">
        <v>7614</v>
      </c>
      <c r="C6521" s="3">
        <v>413700</v>
      </c>
      <c r="D6521" s="3"/>
      <c r="E6521" s="7">
        <f t="shared" si="122"/>
        <v>413700</v>
      </c>
      <c r="F6521" s="5">
        <v>45957</v>
      </c>
      <c r="G6521" s="4">
        <v>20251024</v>
      </c>
      <c r="H6521" s="38" t="str">
        <f>VLOOKUP(B6521,CAJEROS!B:D,3,0)</f>
        <v>Multifuncional</v>
      </c>
      <c r="I6521" s="34"/>
      <c r="J6521" s="38" t="str">
        <f>VLOOKUP(B6521,CAJEROS!B:E,4,0)</f>
        <v>MF_CHPICHP3</v>
      </c>
      <c r="K6521" t="s">
        <v>610</v>
      </c>
    </row>
    <row r="6522" spans="1:11">
      <c r="A6522" s="32">
        <v>848</v>
      </c>
      <c r="B6522" s="33">
        <v>7374</v>
      </c>
      <c r="C6522" s="3">
        <v>829150</v>
      </c>
      <c r="D6522" s="3"/>
      <c r="E6522" s="7">
        <f t="shared" si="122"/>
        <v>829150</v>
      </c>
      <c r="F6522" s="5">
        <v>45957</v>
      </c>
      <c r="G6522" s="4">
        <v>20251024</v>
      </c>
      <c r="H6522" s="38" t="str">
        <f>VLOOKUP(B6522,CAJEROS!B:D,3,0)</f>
        <v>Multifuncional</v>
      </c>
      <c r="I6522" s="34"/>
      <c r="J6522" s="38" t="str">
        <f>VLOOKUP(B6522,CAJEROS!B:E,4,0)</f>
        <v>MF_BUGA</v>
      </c>
      <c r="K6522" t="s">
        <v>610</v>
      </c>
    </row>
    <row r="6523" spans="1:11">
      <c r="A6523" s="32">
        <v>957</v>
      </c>
      <c r="B6523" s="33">
        <v>9513</v>
      </c>
      <c r="C6523" s="3">
        <v>9425000</v>
      </c>
      <c r="D6523" s="3"/>
      <c r="E6523" s="7">
        <f t="shared" si="122"/>
        <v>9425000</v>
      </c>
      <c r="F6523" s="5">
        <v>45957</v>
      </c>
      <c r="G6523" s="4">
        <v>20251024</v>
      </c>
      <c r="H6523" s="38" t="str">
        <f>VLOOKUP(B6523,CAJEROS!B:D,3,0)</f>
        <v>Multifuncional</v>
      </c>
      <c r="I6523" s="34"/>
      <c r="J6523" s="38" t="str">
        <f>VLOOKUP(B6523,CAJEROS!B:E,4,0)</f>
        <v>MFSUCPARAL2</v>
      </c>
      <c r="K6523" t="s">
        <v>610</v>
      </c>
    </row>
    <row r="6524" spans="1:11">
      <c r="A6524" s="32">
        <v>541</v>
      </c>
      <c r="B6524" s="33">
        <v>5185</v>
      </c>
      <c r="C6524" s="3">
        <v>3945000</v>
      </c>
      <c r="D6524" s="3">
        <f>1095000+1826000</f>
        <v>2921000</v>
      </c>
      <c r="E6524" s="7">
        <f t="shared" si="122"/>
        <v>1024000</v>
      </c>
      <c r="F6524" s="5">
        <v>45957</v>
      </c>
      <c r="G6524" s="4">
        <v>20251026</v>
      </c>
      <c r="H6524" s="38" t="str">
        <f>VLOOKUP(B6524,CAJEROS!B:D,3,0)</f>
        <v>Multifuncional</v>
      </c>
      <c r="I6524" s="34" t="s">
        <v>9</v>
      </c>
      <c r="J6524" s="38" t="str">
        <f>VLOOKUP(B6524,CAJEROS!B:E,4,0)</f>
        <v>MF_PARQCALD</v>
      </c>
      <c r="K6524" t="s">
        <v>610</v>
      </c>
    </row>
    <row r="6525" spans="1:11">
      <c r="A6525" s="32">
        <v>849</v>
      </c>
      <c r="B6525" s="33">
        <v>9724</v>
      </c>
      <c r="C6525" s="3">
        <v>3860000</v>
      </c>
      <c r="D6525" s="3"/>
      <c r="E6525" s="7">
        <f t="shared" si="122"/>
        <v>3860000</v>
      </c>
      <c r="F6525" s="5">
        <v>45957</v>
      </c>
      <c r="G6525" s="4">
        <v>20251026</v>
      </c>
      <c r="H6525" s="38" t="str">
        <f>VLOOKUP(B6525,CAJEROS!B:D,3,0)</f>
        <v>Multifuncional</v>
      </c>
      <c r="I6525" s="34" t="s">
        <v>9</v>
      </c>
      <c r="J6525" s="38" t="str">
        <f>VLOOKUP(B6525,CAJEROS!B:E,4,0)</f>
        <v>MF_SUNIVIL1</v>
      </c>
      <c r="K6525" t="s">
        <v>610</v>
      </c>
    </row>
    <row r="6526" spans="1:11">
      <c r="A6526" s="32">
        <v>20</v>
      </c>
      <c r="B6526" s="33">
        <v>6839</v>
      </c>
      <c r="C6526" s="3">
        <v>3780000</v>
      </c>
      <c r="D6526" s="3">
        <v>1680000</v>
      </c>
      <c r="E6526" s="7">
        <f t="shared" si="122"/>
        <v>2100000</v>
      </c>
      <c r="F6526" s="5">
        <v>45957</v>
      </c>
      <c r="G6526" s="4">
        <v>20251026</v>
      </c>
      <c r="H6526" s="38" t="str">
        <f>VLOOKUP(B6526,CAJEROS!B:D,3,0)</f>
        <v>Multifuncional</v>
      </c>
      <c r="I6526" s="34" t="s">
        <v>9</v>
      </c>
      <c r="J6526" s="38" t="str">
        <f>VLOOKUP(B6526,CAJEROS!B:E,4,0)</f>
        <v>MF_BUCMANG3</v>
      </c>
      <c r="K6526" t="s">
        <v>610</v>
      </c>
    </row>
    <row r="6527" spans="1:11">
      <c r="A6527" s="32">
        <v>332</v>
      </c>
      <c r="B6527" s="33">
        <v>7569</v>
      </c>
      <c r="C6527" s="3">
        <v>3260000</v>
      </c>
      <c r="D6527" s="3">
        <v>1830000</v>
      </c>
      <c r="E6527" s="7">
        <f t="shared" si="122"/>
        <v>1430000</v>
      </c>
      <c r="F6527" s="5">
        <v>45957</v>
      </c>
      <c r="G6527" s="4">
        <v>20251026</v>
      </c>
      <c r="H6527" s="38" t="str">
        <f>VLOOKUP(B6527,CAJEROS!B:D,3,0)</f>
        <v>Multifuncional</v>
      </c>
      <c r="I6527" s="34" t="s">
        <v>9</v>
      </c>
      <c r="J6527" s="38" t="str">
        <f>VLOOKUP(B6527,CAJEROS!B:E,4,0)</f>
        <v>MF_ZIPAQUI2</v>
      </c>
      <c r="K6527" t="s">
        <v>610</v>
      </c>
    </row>
    <row r="6528" spans="1:11">
      <c r="A6528" s="32">
        <v>750</v>
      </c>
      <c r="B6528" s="33">
        <v>5157</v>
      </c>
      <c r="C6528" s="3">
        <v>2951000</v>
      </c>
      <c r="D6528" s="3"/>
      <c r="E6528" s="7">
        <f t="shared" si="122"/>
        <v>2951000</v>
      </c>
      <c r="F6528" s="5">
        <v>45957</v>
      </c>
      <c r="G6528" s="4">
        <v>20251026</v>
      </c>
      <c r="H6528" s="38" t="str">
        <f>VLOOKUP(B6528,CAJEROS!B:D,3,0)</f>
        <v>Multifuncional</v>
      </c>
      <c r="I6528" s="34" t="s">
        <v>9</v>
      </c>
      <c r="J6528" s="38" t="str">
        <f>VLOOKUP(B6528,CAJEROS!B:E,4,0)</f>
        <v>MF_AVROOSVL</v>
      </c>
      <c r="K6528" t="s">
        <v>610</v>
      </c>
    </row>
    <row r="6529" spans="1:11">
      <c r="A6529" s="32">
        <v>795</v>
      </c>
      <c r="B6529" s="33">
        <v>1028</v>
      </c>
      <c r="C6529" s="3">
        <v>2522000</v>
      </c>
      <c r="D6529" s="3">
        <v>2520000</v>
      </c>
      <c r="E6529" s="7">
        <f t="shared" si="122"/>
        <v>2000</v>
      </c>
      <c r="F6529" s="5">
        <v>45957</v>
      </c>
      <c r="G6529" s="4">
        <v>20251026</v>
      </c>
      <c r="H6529" s="38" t="str">
        <f>VLOOKUP(B6529,CAJEROS!B:D,3,0)</f>
        <v>Multifuncional</v>
      </c>
      <c r="I6529" s="34" t="s">
        <v>9</v>
      </c>
      <c r="J6529" s="38" t="str">
        <f>VLOOKUP(B6529,CAJEROS!B:E,4,0)</f>
        <v>MFSUCANVER2</v>
      </c>
      <c r="K6529" t="s">
        <v>610</v>
      </c>
    </row>
    <row r="6530" spans="1:11">
      <c r="A6530" s="32">
        <v>236</v>
      </c>
      <c r="B6530" s="33">
        <v>8497</v>
      </c>
      <c r="C6530" s="3">
        <v>2154000</v>
      </c>
      <c r="D6530" s="3"/>
      <c r="E6530" s="7">
        <f t="shared" si="122"/>
        <v>2154000</v>
      </c>
      <c r="F6530" s="5">
        <v>45957</v>
      </c>
      <c r="G6530" s="4">
        <v>20251026</v>
      </c>
      <c r="H6530" s="38" t="str">
        <f>VLOOKUP(B6530,CAJEROS!B:D,3,0)</f>
        <v>Multifuncional</v>
      </c>
      <c r="I6530" s="34" t="s">
        <v>9</v>
      </c>
      <c r="J6530" s="38" t="str">
        <f>VLOOKUP(B6530,CAJEROS!B:E,4,0)</f>
        <v>MF_EXITCOL2</v>
      </c>
      <c r="K6530" t="s">
        <v>610</v>
      </c>
    </row>
    <row r="6531" spans="1:11">
      <c r="A6531" s="32">
        <v>4</v>
      </c>
      <c r="B6531" s="33">
        <v>8630</v>
      </c>
      <c r="C6531" s="3">
        <v>2106000</v>
      </c>
      <c r="D6531" s="3"/>
      <c r="E6531" s="7">
        <f t="shared" si="122"/>
        <v>2106000</v>
      </c>
      <c r="F6531" s="5">
        <v>45957</v>
      </c>
      <c r="G6531" s="4">
        <v>20251026</v>
      </c>
      <c r="H6531" s="38" t="str">
        <f>VLOOKUP(B6531,CAJEROS!B:D,3,0)</f>
        <v>Multifuncional</v>
      </c>
      <c r="I6531" s="34" t="s">
        <v>9</v>
      </c>
      <c r="J6531" s="38" t="str">
        <f>VLOOKUP(B6531,CAJEROS!B:E,4,0)</f>
        <v>MF_SUCLAUR1</v>
      </c>
      <c r="K6531" t="s">
        <v>610</v>
      </c>
    </row>
    <row r="6532" spans="1:11">
      <c r="A6532" s="32">
        <v>20</v>
      </c>
      <c r="B6532" s="33">
        <v>9204</v>
      </c>
      <c r="C6532" s="3">
        <v>2000000</v>
      </c>
      <c r="D6532" s="3">
        <f>80000+28000</f>
        <v>108000</v>
      </c>
      <c r="E6532" s="7">
        <f t="shared" si="122"/>
        <v>1892000</v>
      </c>
      <c r="F6532" s="5">
        <v>45957</v>
      </c>
      <c r="G6532" s="4">
        <v>20251026</v>
      </c>
      <c r="H6532" s="38" t="str">
        <f>VLOOKUP(B6532,CAJEROS!B:D,3,0)</f>
        <v>Multifuncional</v>
      </c>
      <c r="I6532" s="34" t="s">
        <v>9</v>
      </c>
      <c r="J6532" s="38" t="str">
        <f>VLOOKUP(B6532,CAJEROS!B:E,4,0)</f>
        <v>MF_BUCMANGA</v>
      </c>
      <c r="K6532" t="s">
        <v>610</v>
      </c>
    </row>
    <row r="6533" spans="1:11">
      <c r="A6533" s="32">
        <v>91</v>
      </c>
      <c r="B6533" s="33">
        <v>5148</v>
      </c>
      <c r="C6533" s="3">
        <v>1900000</v>
      </c>
      <c r="D6533" s="3"/>
      <c r="E6533" s="7">
        <f t="shared" si="122"/>
        <v>1900000</v>
      </c>
      <c r="F6533" s="5">
        <v>45957</v>
      </c>
      <c r="G6533" s="4">
        <v>20251026</v>
      </c>
      <c r="H6533" s="38" t="str">
        <f>VLOOKUP(B6533,CAJEROS!B:D,3,0)</f>
        <v>Multifuncional</v>
      </c>
      <c r="I6533" s="34" t="s">
        <v>9</v>
      </c>
      <c r="J6533" s="38" t="str">
        <f>VLOOKUP(B6533,CAJEROS!B:E,4,0)</f>
        <v>MF_MONTERIA</v>
      </c>
      <c r="K6533" t="s">
        <v>610</v>
      </c>
    </row>
    <row r="6534" spans="1:11">
      <c r="A6534" s="32">
        <v>879</v>
      </c>
      <c r="B6534" s="33">
        <v>5045</v>
      </c>
      <c r="C6534" s="3">
        <v>1770500</v>
      </c>
      <c r="D6534" s="3"/>
      <c r="E6534" s="7">
        <f t="shared" si="122"/>
        <v>1770500</v>
      </c>
      <c r="F6534" s="5">
        <v>45957</v>
      </c>
      <c r="G6534" s="4">
        <v>20251026</v>
      </c>
      <c r="H6534" s="38" t="str">
        <f>VLOOKUP(B6534,CAJEROS!B:D,3,0)</f>
        <v>Multifuncional</v>
      </c>
      <c r="I6534" s="34" t="s">
        <v>9</v>
      </c>
      <c r="J6534" s="38" t="str">
        <f>VLOOKUP(B6534,CAJEROS!B:E,4,0)</f>
        <v>MF_UNPASTO</v>
      </c>
      <c r="K6534" t="s">
        <v>610</v>
      </c>
    </row>
    <row r="6535" spans="1:11">
      <c r="A6535" s="32">
        <v>927</v>
      </c>
      <c r="B6535" s="33">
        <v>5143</v>
      </c>
      <c r="C6535" s="3">
        <v>1750000</v>
      </c>
      <c r="D6535" s="3"/>
      <c r="E6535" s="7">
        <f t="shared" si="122"/>
        <v>1750000</v>
      </c>
      <c r="F6535" s="5">
        <v>45957</v>
      </c>
      <c r="G6535" s="4">
        <v>20251026</v>
      </c>
      <c r="H6535" s="38" t="str">
        <f>VLOOKUP(B6535,CAJEROS!B:D,3,0)</f>
        <v>Multifuncional</v>
      </c>
      <c r="I6535" s="34" t="s">
        <v>9</v>
      </c>
      <c r="J6535" s="38" t="str">
        <f>VLOOKUP(B6535,CAJEROS!B:E,4,0)</f>
        <v>MF_SUCMOCOA</v>
      </c>
      <c r="K6535" t="s">
        <v>610</v>
      </c>
    </row>
    <row r="6536" spans="1:11">
      <c r="A6536" s="32">
        <v>367</v>
      </c>
      <c r="B6536" s="33">
        <v>9580</v>
      </c>
      <c r="C6536" s="3">
        <v>1590000</v>
      </c>
      <c r="D6536" s="3"/>
      <c r="E6536" s="7">
        <f t="shared" si="122"/>
        <v>1590000</v>
      </c>
      <c r="F6536" s="5">
        <v>45957</v>
      </c>
      <c r="G6536" s="4">
        <v>20251026</v>
      </c>
      <c r="H6536" s="38" t="str">
        <f>VLOOKUP(B6536,CAJEROS!B:D,3,0)</f>
        <v>Multifuncional</v>
      </c>
      <c r="I6536" s="34" t="s">
        <v>9</v>
      </c>
      <c r="J6536" s="38" t="str">
        <f>VLOOKUP(B6536,CAJEROS!B:E,4,0)</f>
        <v>MF_SUCGRAN1</v>
      </c>
      <c r="K6536" t="s">
        <v>610</v>
      </c>
    </row>
    <row r="6537" spans="1:11">
      <c r="A6537" s="32">
        <v>795</v>
      </c>
      <c r="B6537" s="33">
        <v>1027</v>
      </c>
      <c r="C6537" s="3">
        <v>1540000</v>
      </c>
      <c r="D6537" s="3"/>
      <c r="E6537" s="7">
        <f t="shared" si="122"/>
        <v>1540000</v>
      </c>
      <c r="F6537" s="5">
        <v>45957</v>
      </c>
      <c r="G6537" s="4">
        <v>20251026</v>
      </c>
      <c r="H6537" s="38" t="str">
        <f>VLOOKUP(B6537,CAJEROS!B:D,3,0)</f>
        <v>Multifuncional</v>
      </c>
      <c r="I6537" s="34" t="s">
        <v>9</v>
      </c>
      <c r="J6537" s="38" t="str">
        <f>VLOOKUP(B6537,CAJEROS!B:E,4,0)</f>
        <v>MFSUCANVER1</v>
      </c>
      <c r="K6537" t="s">
        <v>610</v>
      </c>
    </row>
    <row r="6538" spans="1:11">
      <c r="A6538" s="32">
        <v>237</v>
      </c>
      <c r="B6538" s="33">
        <v>6467</v>
      </c>
      <c r="C6538" s="3">
        <v>1471150</v>
      </c>
      <c r="D6538" s="3">
        <v>570000</v>
      </c>
      <c r="E6538" s="7">
        <f t="shared" si="122"/>
        <v>901150</v>
      </c>
      <c r="F6538" s="5">
        <v>45957</v>
      </c>
      <c r="G6538" s="4">
        <v>20251026</v>
      </c>
      <c r="H6538" s="38" t="str">
        <f>VLOOKUP(B6538,CAJEROS!B:D,3,0)</f>
        <v>Multifuncional</v>
      </c>
      <c r="I6538" s="34" t="s">
        <v>9</v>
      </c>
      <c r="J6538" s="38" t="str">
        <f>VLOOKUP(B6538,CAJEROS!B:E,4,0)</f>
        <v>MF_DORADOPL</v>
      </c>
      <c r="K6538" t="s">
        <v>610</v>
      </c>
    </row>
    <row r="6539" spans="1:11">
      <c r="A6539" s="32">
        <v>554</v>
      </c>
      <c r="B6539" s="33">
        <v>8295</v>
      </c>
      <c r="C6539" s="3">
        <v>1250000</v>
      </c>
      <c r="D6539" s="3"/>
      <c r="E6539" s="7">
        <f t="shared" ref="E6539:E6602" si="123">+C6539-D6539</f>
        <v>1250000</v>
      </c>
      <c r="F6539" s="5">
        <v>45957</v>
      </c>
      <c r="G6539" s="4">
        <v>20251026</v>
      </c>
      <c r="H6539" s="38" t="str">
        <f>VLOOKUP(B6539,CAJEROS!B:D,3,0)</f>
        <v>Multifuncional</v>
      </c>
      <c r="I6539" s="34" t="s">
        <v>9</v>
      </c>
      <c r="J6539" s="38" t="str">
        <f>VLOOKUP(B6539,CAJEROS!B:E,4,0)</f>
        <v>MF_SBUVIII2</v>
      </c>
      <c r="K6539" t="s">
        <v>610</v>
      </c>
    </row>
    <row r="6540" spans="1:11">
      <c r="A6540" s="32">
        <v>211</v>
      </c>
      <c r="B6540" s="33">
        <v>5067</v>
      </c>
      <c r="C6540" s="3">
        <v>1205000</v>
      </c>
      <c r="D6540" s="3"/>
      <c r="E6540" s="7">
        <f t="shared" si="123"/>
        <v>1205000</v>
      </c>
      <c r="F6540" s="5">
        <v>45957</v>
      </c>
      <c r="G6540" s="4">
        <v>20251026</v>
      </c>
      <c r="H6540" s="38" t="str">
        <f>VLOOKUP(B6540,CAJEROS!B:D,3,0)</f>
        <v>Multifuncional</v>
      </c>
      <c r="I6540" s="34" t="s">
        <v>9</v>
      </c>
      <c r="J6540" s="38" t="str">
        <f>VLOOKUP(B6540,CAJEROS!B:E,4,0)</f>
        <v>MF_SCTROIND</v>
      </c>
      <c r="K6540" t="s">
        <v>610</v>
      </c>
    </row>
    <row r="6541" spans="1:11">
      <c r="A6541" s="32">
        <v>678</v>
      </c>
      <c r="B6541" s="33">
        <v>5227</v>
      </c>
      <c r="C6541" s="3">
        <v>1050000</v>
      </c>
      <c r="D6541" s="3"/>
      <c r="E6541" s="7">
        <f t="shared" si="123"/>
        <v>1050000</v>
      </c>
      <c r="F6541" s="5">
        <v>45957</v>
      </c>
      <c r="G6541" s="4">
        <v>20251026</v>
      </c>
      <c r="H6541" s="38" t="str">
        <f>VLOOKUP(B6541,CAJEROS!B:D,3,0)</f>
        <v>Multifuncional</v>
      </c>
      <c r="I6541" s="34" t="s">
        <v>9</v>
      </c>
      <c r="J6541" s="38" t="str">
        <f>VLOOKUP(B6541,CAJEROS!B:E,4,0)</f>
        <v>MF_PASCASTE</v>
      </c>
      <c r="K6541" t="s">
        <v>610</v>
      </c>
    </row>
    <row r="6542" spans="1:11">
      <c r="A6542" s="32">
        <v>141</v>
      </c>
      <c r="B6542" s="33">
        <v>1541</v>
      </c>
      <c r="C6542" s="3">
        <v>655000</v>
      </c>
      <c r="D6542" s="3"/>
      <c r="E6542" s="7">
        <f t="shared" si="123"/>
        <v>655000</v>
      </c>
      <c r="F6542" s="5">
        <v>45957</v>
      </c>
      <c r="G6542" s="4">
        <v>20251026</v>
      </c>
      <c r="H6542" s="38" t="str">
        <f>VLOOKUP(B6542,CAJEROS!B:D,3,0)</f>
        <v>Multifuncional</v>
      </c>
      <c r="I6542" s="34" t="s">
        <v>9</v>
      </c>
      <c r="J6542" s="38" t="str">
        <f>VLOOKUP(B6542,CAJEROS!B:E,4,0)</f>
        <v>MFSUCMERCA1</v>
      </c>
      <c r="K6542" t="s">
        <v>610</v>
      </c>
    </row>
    <row r="6543" spans="1:11">
      <c r="A6543" s="32">
        <v>333</v>
      </c>
      <c r="B6543" s="33">
        <v>442</v>
      </c>
      <c r="C6543" s="3">
        <v>634150</v>
      </c>
      <c r="D6543" s="3"/>
      <c r="E6543" s="7">
        <f t="shared" si="123"/>
        <v>634150</v>
      </c>
      <c r="F6543" s="5">
        <v>45957</v>
      </c>
      <c r="G6543" s="4">
        <v>20251026</v>
      </c>
      <c r="H6543" s="38" t="str">
        <f>VLOOKUP(B6543,CAJEROS!B:D,3,0)</f>
        <v>Multifuncional</v>
      </c>
      <c r="I6543" s="34" t="s">
        <v>9</v>
      </c>
      <c r="J6543" s="38" t="str">
        <f>VLOOKUP(B6543,CAJEROS!B:E,4,0)</f>
        <v>MFSUCAVMAR2</v>
      </c>
      <c r="K6543" t="s">
        <v>610</v>
      </c>
    </row>
    <row r="6544" spans="1:11">
      <c r="A6544" s="32">
        <v>554</v>
      </c>
      <c r="B6544" s="33">
        <v>8294</v>
      </c>
      <c r="C6544" s="3">
        <v>540000</v>
      </c>
      <c r="D6544" s="3"/>
      <c r="E6544" s="7">
        <f t="shared" si="123"/>
        <v>540000</v>
      </c>
      <c r="F6544" s="5">
        <v>45957</v>
      </c>
      <c r="G6544" s="4">
        <v>20251026</v>
      </c>
      <c r="H6544" s="38" t="str">
        <f>VLOOKUP(B6544,CAJEROS!B:D,3,0)</f>
        <v>Multifuncional</v>
      </c>
      <c r="I6544" s="34" t="s">
        <v>9</v>
      </c>
      <c r="J6544" s="38" t="str">
        <f>VLOOKUP(B6544,CAJEROS!B:E,4,0)</f>
        <v>MF_SBUVIII1</v>
      </c>
      <c r="K6544" t="s">
        <v>610</v>
      </c>
    </row>
    <row r="6545" spans="1:11">
      <c r="A6545" s="32">
        <v>601</v>
      </c>
      <c r="B6545" s="33">
        <v>6407</v>
      </c>
      <c r="C6545" s="3">
        <v>530000</v>
      </c>
      <c r="D6545" s="3"/>
      <c r="E6545" s="7">
        <f t="shared" si="123"/>
        <v>530000</v>
      </c>
      <c r="F6545" s="5">
        <v>45957</v>
      </c>
      <c r="G6545" s="4">
        <v>20251026</v>
      </c>
      <c r="H6545" s="38" t="str">
        <f>VLOOKUP(B6545,CAJEROS!B:D,3,0)</f>
        <v>Multifuncional</v>
      </c>
      <c r="I6545" s="34" t="s">
        <v>9</v>
      </c>
      <c r="J6545" s="38" t="str">
        <f>VLOOKUP(B6545,CAJEROS!B:E,4,0)</f>
        <v>MF_COLINACA</v>
      </c>
      <c r="K6545" t="s">
        <v>610</v>
      </c>
    </row>
    <row r="6546" spans="1:11">
      <c r="A6546" s="32">
        <v>115</v>
      </c>
      <c r="B6546" s="33">
        <v>5080</v>
      </c>
      <c r="C6546" s="3">
        <v>500000</v>
      </c>
      <c r="D6546" s="3">
        <f>350000+20000</f>
        <v>370000</v>
      </c>
      <c r="E6546" s="7">
        <f t="shared" si="123"/>
        <v>130000</v>
      </c>
      <c r="F6546" s="5">
        <v>45957</v>
      </c>
      <c r="G6546" s="4">
        <v>20251026</v>
      </c>
      <c r="H6546" s="38" t="str">
        <f>VLOOKUP(B6546,CAJEROS!B:D,3,0)</f>
        <v>Multifuncional</v>
      </c>
      <c r="I6546" s="34" t="s">
        <v>9</v>
      </c>
      <c r="J6546" s="38" t="str">
        <f>VLOOKUP(B6546,CAJEROS!B:E,4,0)</f>
        <v>MF_CIPEREIR</v>
      </c>
      <c r="K6546" t="s">
        <v>610</v>
      </c>
    </row>
    <row r="6547" spans="1:11">
      <c r="A6547" s="32">
        <v>825</v>
      </c>
      <c r="B6547" s="33">
        <v>5023</v>
      </c>
      <c r="C6547" s="3">
        <v>430000</v>
      </c>
      <c r="D6547" s="3"/>
      <c r="E6547" s="7">
        <f t="shared" si="123"/>
        <v>430000</v>
      </c>
      <c r="F6547" s="5">
        <v>45957</v>
      </c>
      <c r="G6547" s="4">
        <v>20251026</v>
      </c>
      <c r="H6547" s="38" t="str">
        <f>VLOOKUP(B6547,CAJEROS!B:D,3,0)</f>
        <v>Multifuncional</v>
      </c>
      <c r="I6547" s="34" t="s">
        <v>9</v>
      </c>
      <c r="J6547" s="38" t="str">
        <f>VLOOKUP(B6547,CAJEROS!B:E,4,0)</f>
        <v>MF_ASTROCEN</v>
      </c>
      <c r="K6547" t="s">
        <v>610</v>
      </c>
    </row>
    <row r="6548" spans="1:11">
      <c r="A6548" s="32">
        <v>60</v>
      </c>
      <c r="B6548" s="33">
        <v>8729</v>
      </c>
      <c r="C6548" s="3">
        <v>354000</v>
      </c>
      <c r="D6548" s="3"/>
      <c r="E6548" s="7">
        <f t="shared" si="123"/>
        <v>354000</v>
      </c>
      <c r="F6548" s="5">
        <v>45957</v>
      </c>
      <c r="G6548" s="4">
        <v>20251026</v>
      </c>
      <c r="H6548" s="38" t="str">
        <f>VLOOKUP(B6548,CAJEROS!B:D,3,0)</f>
        <v>Multifuncional</v>
      </c>
      <c r="I6548" s="34" t="s">
        <v>9</v>
      </c>
      <c r="J6548" s="38" t="str">
        <f>VLOOKUP(B6548,CAJEROS!B:E,4,0)</f>
        <v>MF_HCALIPR3</v>
      </c>
      <c r="K6548" t="s">
        <v>610</v>
      </c>
    </row>
    <row r="6549" spans="1:11">
      <c r="A6549" s="32">
        <v>123</v>
      </c>
      <c r="B6549" s="33">
        <v>7134</v>
      </c>
      <c r="C6549" s="3">
        <v>326000</v>
      </c>
      <c r="D6549" s="3"/>
      <c r="E6549" s="7">
        <f t="shared" si="123"/>
        <v>326000</v>
      </c>
      <c r="F6549" s="5">
        <v>45957</v>
      </c>
      <c r="G6549" s="4">
        <v>20251026</v>
      </c>
      <c r="H6549" s="38" t="str">
        <f>VLOOKUP(B6549,CAJEROS!B:D,3,0)</f>
        <v>Multifuncional</v>
      </c>
      <c r="I6549" s="34" t="s">
        <v>9</v>
      </c>
      <c r="J6549" s="38" t="str">
        <f>VLOOKUP(B6549,CAJEROS!B:E,4,0)</f>
        <v>MF_CPRIONE2</v>
      </c>
      <c r="K6549" t="s">
        <v>610</v>
      </c>
    </row>
    <row r="6550" spans="1:11">
      <c r="A6550" s="32">
        <v>1</v>
      </c>
      <c r="B6550" s="33">
        <v>5000</v>
      </c>
      <c r="C6550" s="3">
        <v>300000</v>
      </c>
      <c r="D6550" s="3">
        <v>49100</v>
      </c>
      <c r="E6550" s="7">
        <f t="shared" si="123"/>
        <v>250900</v>
      </c>
      <c r="F6550" s="5">
        <v>45957</v>
      </c>
      <c r="G6550" s="4">
        <v>20251026</v>
      </c>
      <c r="H6550" s="38" t="str">
        <f>VLOOKUP(B6550,CAJEROS!B:D,3,0)</f>
        <v>Multifuncional</v>
      </c>
      <c r="I6550" s="34" t="s">
        <v>9</v>
      </c>
      <c r="J6550" s="38" t="str">
        <f>VLOOKUP(B6550,CAJEROS!B:E,4,0)</f>
        <v>MF_CARABOBO</v>
      </c>
      <c r="K6550" t="s">
        <v>610</v>
      </c>
    </row>
    <row r="6551" spans="1:11">
      <c r="A6551" s="32">
        <v>250</v>
      </c>
      <c r="B6551" s="33">
        <v>5197</v>
      </c>
      <c r="C6551" s="3">
        <v>287000</v>
      </c>
      <c r="D6551" s="3">
        <v>58000</v>
      </c>
      <c r="E6551" s="7">
        <f t="shared" si="123"/>
        <v>229000</v>
      </c>
      <c r="F6551" s="5">
        <v>45957</v>
      </c>
      <c r="G6551" s="4">
        <v>20251026</v>
      </c>
      <c r="H6551" s="38" t="str">
        <f>VLOOKUP(B6551,CAJEROS!B:D,3,0)</f>
        <v>Multifuncional</v>
      </c>
      <c r="I6551" s="34" t="s">
        <v>9</v>
      </c>
      <c r="J6551" s="38" t="str">
        <f>VLOOKUP(B6551,CAJEROS!B:E,4,0)</f>
        <v>MF_MODELIA</v>
      </c>
      <c r="K6551" t="s">
        <v>610</v>
      </c>
    </row>
    <row r="6552" spans="1:11">
      <c r="A6552" s="32">
        <v>287</v>
      </c>
      <c r="B6552" s="33">
        <v>907</v>
      </c>
      <c r="C6552" s="3">
        <v>264000</v>
      </c>
      <c r="D6552" s="3"/>
      <c r="E6552" s="7">
        <f t="shared" si="123"/>
        <v>264000</v>
      </c>
      <c r="F6552" s="5">
        <v>45957</v>
      </c>
      <c r="G6552" s="4">
        <v>20251026</v>
      </c>
      <c r="H6552" s="38" t="str">
        <f>VLOOKUP(B6552,CAJEROS!B:D,3,0)</f>
        <v>Multifuncional</v>
      </c>
      <c r="I6552" s="34" t="s">
        <v>9</v>
      </c>
      <c r="J6552" s="38" t="str">
        <f>VLOOKUP(B6552,CAJEROS!B:E,4,0)</f>
        <v>MFABASTOBGA</v>
      </c>
      <c r="K6552" t="s">
        <v>610</v>
      </c>
    </row>
    <row r="6553" spans="1:11">
      <c r="A6553" s="32">
        <v>430</v>
      </c>
      <c r="B6553" s="33">
        <v>5104</v>
      </c>
      <c r="C6553" s="3">
        <v>210500</v>
      </c>
      <c r="D6553" s="3"/>
      <c r="E6553" s="7">
        <f t="shared" si="123"/>
        <v>210500</v>
      </c>
      <c r="F6553" s="5">
        <v>45957</v>
      </c>
      <c r="G6553" s="4">
        <v>20251026</v>
      </c>
      <c r="H6553" s="38" t="str">
        <f>VLOOKUP(B6553,CAJEROS!B:D,3,0)</f>
        <v>Multifuncional</v>
      </c>
      <c r="I6553" s="34" t="s">
        <v>9</v>
      </c>
      <c r="J6553" s="38" t="str">
        <f>VLOOKUP(B6553,CAJEROS!B:E,4,0)</f>
        <v>MF_ZONAROSA</v>
      </c>
      <c r="K6553" t="s">
        <v>610</v>
      </c>
    </row>
    <row r="6554" spans="1:11">
      <c r="A6554" s="32">
        <v>300</v>
      </c>
      <c r="B6554" s="33">
        <v>5139</v>
      </c>
      <c r="C6554" s="3">
        <v>205000</v>
      </c>
      <c r="D6554" s="3"/>
      <c r="E6554" s="7">
        <f t="shared" si="123"/>
        <v>205000</v>
      </c>
      <c r="F6554" s="5">
        <v>45957</v>
      </c>
      <c r="G6554" s="4">
        <v>20251026</v>
      </c>
      <c r="H6554" s="38" t="str">
        <f>VLOOKUP(B6554,CAJEROS!B:D,3,0)</f>
        <v>Multifuncional</v>
      </c>
      <c r="I6554" s="34" t="s">
        <v>9</v>
      </c>
      <c r="J6554" s="38" t="str">
        <f>VLOOKUP(B6554,CAJEROS!B:E,4,0)</f>
        <v>MF_AUTOP98</v>
      </c>
      <c r="K6554" t="s">
        <v>610</v>
      </c>
    </row>
    <row r="6555" spans="1:11">
      <c r="A6555" s="32">
        <v>745</v>
      </c>
      <c r="B6555" s="33">
        <v>1477</v>
      </c>
      <c r="C6555" s="3">
        <v>180000</v>
      </c>
      <c r="D6555" s="3"/>
      <c r="E6555" s="7">
        <f t="shared" si="123"/>
        <v>180000</v>
      </c>
      <c r="F6555" s="5">
        <v>45957</v>
      </c>
      <c r="G6555" s="4">
        <v>20251026</v>
      </c>
      <c r="H6555" s="38" t="str">
        <f>VLOOKUP(B6555,CAJEROS!B:D,3,0)</f>
        <v>Multifuncional</v>
      </c>
      <c r="I6555" s="34" t="s">
        <v>9</v>
      </c>
      <c r="J6555" s="38" t="str">
        <f>VLOOKUP(B6555,CAJEROS!B:E,4,0)</f>
        <v>MFSUCMALPZ2</v>
      </c>
      <c r="K6555" t="s">
        <v>610</v>
      </c>
    </row>
    <row r="6556" spans="1:11">
      <c r="A6556" s="32">
        <v>829</v>
      </c>
      <c r="B6556" s="33">
        <v>5137</v>
      </c>
      <c r="C6556" s="3">
        <v>140000</v>
      </c>
      <c r="D6556" s="3"/>
      <c r="E6556" s="7">
        <f t="shared" si="123"/>
        <v>140000</v>
      </c>
      <c r="F6556" s="5">
        <v>45957</v>
      </c>
      <c r="G6556" s="4">
        <v>20251026</v>
      </c>
      <c r="H6556" s="38" t="str">
        <f>VLOOKUP(B6556,CAJEROS!B:D,3,0)</f>
        <v>Multifuncional</v>
      </c>
      <c r="I6556" s="34" t="s">
        <v>9</v>
      </c>
      <c r="J6556" s="38" t="str">
        <f>VLOOKUP(B6556,CAJEROS!B:E,4,0)</f>
        <v>MF_UNICALI1</v>
      </c>
      <c r="K6556" t="s">
        <v>610</v>
      </c>
    </row>
    <row r="6557" spans="1:11">
      <c r="A6557" s="32">
        <v>379</v>
      </c>
      <c r="B6557" s="33">
        <v>6465</v>
      </c>
      <c r="C6557" s="3">
        <v>135000</v>
      </c>
      <c r="D6557" s="3"/>
      <c r="E6557" s="7">
        <f t="shared" si="123"/>
        <v>135000</v>
      </c>
      <c r="F6557" s="5">
        <v>45957</v>
      </c>
      <c r="G6557" s="4">
        <v>20251026</v>
      </c>
      <c r="H6557" s="38" t="str">
        <f>VLOOKUP(B6557,CAJEROS!B:D,3,0)</f>
        <v>Multifuncional</v>
      </c>
      <c r="I6557" s="34" t="s">
        <v>9</v>
      </c>
      <c r="J6557" s="38" t="str">
        <f>VLOOKUP(B6557,CAJEROS!B:E,4,0)</f>
        <v>MF_SUCTESO1</v>
      </c>
      <c r="K6557" t="s">
        <v>610</v>
      </c>
    </row>
    <row r="6558" spans="1:11">
      <c r="A6558" s="32">
        <v>728</v>
      </c>
      <c r="B6558" s="33">
        <v>8586</v>
      </c>
      <c r="C6558" s="3">
        <v>95200</v>
      </c>
      <c r="D6558" s="3"/>
      <c r="E6558" s="7">
        <f t="shared" si="123"/>
        <v>95200</v>
      </c>
      <c r="F6558" s="5">
        <v>45957</v>
      </c>
      <c r="G6558" s="4">
        <v>20251026</v>
      </c>
      <c r="H6558" s="38" t="str">
        <f>VLOOKUP(B6558,CAJEROS!B:D,3,0)</f>
        <v>Multifuncional</v>
      </c>
      <c r="I6558" s="34" t="s">
        <v>9</v>
      </c>
      <c r="J6558" s="38" t="str">
        <f>VLOOKUP(B6558,CAJEROS!B:E,4,0)</f>
        <v>MF_SUCCART1</v>
      </c>
      <c r="K6558" t="s">
        <v>610</v>
      </c>
    </row>
    <row r="6559" spans="1:11">
      <c r="A6559" s="32">
        <v>721</v>
      </c>
      <c r="B6559" s="33">
        <v>8896</v>
      </c>
      <c r="C6559" s="3">
        <v>30000</v>
      </c>
      <c r="D6559" s="3"/>
      <c r="E6559" s="7">
        <f t="shared" si="123"/>
        <v>30000</v>
      </c>
      <c r="F6559" s="5">
        <v>45957</v>
      </c>
      <c r="G6559" s="4">
        <v>20251026</v>
      </c>
      <c r="H6559" s="38" t="str">
        <f>VLOOKUP(B6559,CAJEROS!B:D,3,0)</f>
        <v>Multifuncional</v>
      </c>
      <c r="I6559" s="34" t="s">
        <v>9</v>
      </c>
      <c r="J6559" s="38" t="str">
        <f>VLOOKUP(B6559,CAJEROS!B:E,4,0)</f>
        <v>MFSUCLAGO1</v>
      </c>
      <c r="K6559" t="s">
        <v>610</v>
      </c>
    </row>
    <row r="6560" spans="1:11">
      <c r="A6560" s="32">
        <v>399</v>
      </c>
      <c r="B6560" s="33">
        <v>8625</v>
      </c>
      <c r="C6560" s="3">
        <v>50000</v>
      </c>
      <c r="D6560" s="3"/>
      <c r="E6560" s="7">
        <f t="shared" si="123"/>
        <v>50000</v>
      </c>
      <c r="F6560" s="5">
        <v>45958</v>
      </c>
      <c r="G6560" s="4">
        <v>20251027</v>
      </c>
      <c r="H6560" s="38" t="str">
        <f>VLOOKUP(B6560,CAJEROS!B:D,3,0)</f>
        <v>Dispensador</v>
      </c>
      <c r="I6560" s="34"/>
      <c r="J6560" s="38" t="str">
        <f>VLOOKUP(B6560,CAJEROS!B:E,4,0)</f>
        <v>SUCGIRARDO5</v>
      </c>
      <c r="K6560" t="s">
        <v>610</v>
      </c>
    </row>
    <row r="6561" spans="1:11">
      <c r="A6561" s="32">
        <v>438</v>
      </c>
      <c r="B6561" s="33">
        <v>4380</v>
      </c>
      <c r="C6561" s="3">
        <v>490000</v>
      </c>
      <c r="D6561" s="3">
        <v>40000</v>
      </c>
      <c r="E6561" s="7">
        <f t="shared" si="123"/>
        <v>450000</v>
      </c>
      <c r="F6561" s="5">
        <v>45958</v>
      </c>
      <c r="G6561" s="4">
        <v>20251027</v>
      </c>
      <c r="H6561" s="38" t="str">
        <f>VLOOKUP(B6561,CAJEROS!B:D,3,0)</f>
        <v>Dispensador</v>
      </c>
      <c r="I6561" s="34"/>
      <c r="J6561" s="38" t="str">
        <f>VLOOKUP(B6561,CAJEROS!B:E,4,0)</f>
        <v>ANDES</v>
      </c>
      <c r="K6561" t="s">
        <v>610</v>
      </c>
    </row>
    <row r="6562" spans="1:11">
      <c r="A6562" s="32">
        <v>446</v>
      </c>
      <c r="B6562" s="33">
        <v>3425</v>
      </c>
      <c r="C6562" s="3">
        <v>90000</v>
      </c>
      <c r="D6562" s="3"/>
      <c r="E6562" s="7">
        <f t="shared" si="123"/>
        <v>90000</v>
      </c>
      <c r="F6562" s="5">
        <v>45958</v>
      </c>
      <c r="G6562" s="4">
        <v>20251027</v>
      </c>
      <c r="H6562" s="38" t="str">
        <f>VLOOKUP(B6562,CAJEROS!B:D,3,0)</f>
        <v>Dispensador</v>
      </c>
      <c r="I6562" s="34"/>
      <c r="J6562" s="38" t="str">
        <f>VLOOKUP(B6562,CAJEROS!B:E,4,0)</f>
        <v>LIBANO2</v>
      </c>
      <c r="K6562" t="s">
        <v>610</v>
      </c>
    </row>
    <row r="6563" spans="1:11">
      <c r="A6563" s="32">
        <v>687</v>
      </c>
      <c r="B6563" s="33">
        <v>8513</v>
      </c>
      <c r="C6563" s="3">
        <v>980000</v>
      </c>
      <c r="D6563" s="3"/>
      <c r="E6563" s="7">
        <f t="shared" si="123"/>
        <v>980000</v>
      </c>
      <c r="F6563" s="5">
        <v>45958</v>
      </c>
      <c r="G6563" s="4">
        <v>20251027</v>
      </c>
      <c r="H6563" s="38" t="str">
        <f>VLOOKUP(B6563,CAJEROS!B:D,3,0)</f>
        <v>Dispensador</v>
      </c>
      <c r="I6563" s="34"/>
      <c r="J6563" s="38" t="str">
        <f>VLOOKUP(B6563,CAJEROS!B:E,4,0)</f>
        <v>SUC_PLANE3</v>
      </c>
      <c r="K6563" t="s">
        <v>610</v>
      </c>
    </row>
    <row r="6564" spans="1:11">
      <c r="A6564" s="32">
        <v>802</v>
      </c>
      <c r="B6564" s="33">
        <v>6323</v>
      </c>
      <c r="C6564" s="3">
        <v>500000</v>
      </c>
      <c r="D6564" s="3"/>
      <c r="E6564" s="7">
        <f t="shared" si="123"/>
        <v>500000</v>
      </c>
      <c r="F6564" s="5">
        <v>45958</v>
      </c>
      <c r="G6564" s="4">
        <v>20251027</v>
      </c>
      <c r="H6564" s="38" t="str">
        <f>VLOOKUP(B6564,CAJEROS!B:D,3,0)</f>
        <v>Dispensador</v>
      </c>
      <c r="I6564" s="34"/>
      <c r="J6564" s="38" t="str">
        <f>VLOOKUP(B6564,CAJEROS!B:E,4,0)</f>
        <v>SUC_PTOLOP3</v>
      </c>
      <c r="K6564" t="s">
        <v>610</v>
      </c>
    </row>
    <row r="6565" spans="1:11">
      <c r="A6565" s="32">
        <v>838</v>
      </c>
      <c r="B6565" s="33">
        <v>4008</v>
      </c>
      <c r="C6565" s="3">
        <v>500000</v>
      </c>
      <c r="D6565" s="3">
        <v>200000</v>
      </c>
      <c r="E6565" s="7">
        <f t="shared" si="123"/>
        <v>300000</v>
      </c>
      <c r="F6565" s="5">
        <v>45958</v>
      </c>
      <c r="G6565" s="4">
        <v>20251027</v>
      </c>
      <c r="H6565" s="38" t="str">
        <f>VLOOKUP(B6565,CAJEROS!B:D,3,0)</f>
        <v>Dispensador</v>
      </c>
      <c r="I6565" s="34"/>
      <c r="J6565" s="38" t="str">
        <f>VLOOKUP(B6565,CAJEROS!B:E,4,0)</f>
        <v>SUC_SANQUI1</v>
      </c>
      <c r="K6565" t="s">
        <v>610</v>
      </c>
    </row>
    <row r="6566" spans="1:11">
      <c r="A6566" s="32">
        <v>96</v>
      </c>
      <c r="B6566" s="33">
        <v>1035</v>
      </c>
      <c r="C6566" s="3">
        <v>1070000</v>
      </c>
      <c r="D6566" s="3">
        <v>50000</v>
      </c>
      <c r="E6566" s="7">
        <f t="shared" si="123"/>
        <v>1020000</v>
      </c>
      <c r="F6566" s="5">
        <v>45958</v>
      </c>
      <c r="G6566" s="4">
        <v>20251027</v>
      </c>
      <c r="H6566" s="38" t="str">
        <f>VLOOKUP(B6566,CAJEROS!B:D,3,0)</f>
        <v>Dispensador</v>
      </c>
      <c r="I6566" s="34" t="s">
        <v>9</v>
      </c>
      <c r="J6566" s="38" t="str">
        <f>VLOOKUP(B6566,CAJEROS!B:E,4,0)</f>
        <v>SUC_MAICAO1</v>
      </c>
      <c r="K6566" t="s">
        <v>610</v>
      </c>
    </row>
    <row r="6567" spans="1:11">
      <c r="A6567" s="32">
        <v>213</v>
      </c>
      <c r="B6567" s="33">
        <v>5594</v>
      </c>
      <c r="C6567" s="3">
        <v>490000</v>
      </c>
      <c r="D6567" s="3"/>
      <c r="E6567" s="7">
        <f t="shared" si="123"/>
        <v>490000</v>
      </c>
      <c r="F6567" s="5">
        <v>45958</v>
      </c>
      <c r="G6567" s="4">
        <v>20251027</v>
      </c>
      <c r="H6567" s="38" t="str">
        <f>VLOOKUP(B6567,CAJEROS!B:D,3,0)</f>
        <v>Dispensador</v>
      </c>
      <c r="I6567" s="34" t="s">
        <v>9</v>
      </c>
      <c r="J6567" s="38" t="str">
        <f>VLOOKUP(B6567,CAJEROS!B:E,4,0)</f>
        <v>CCMILPLAZA1</v>
      </c>
      <c r="K6567" t="s">
        <v>610</v>
      </c>
    </row>
    <row r="6568" spans="1:11">
      <c r="A6568" s="32">
        <v>232</v>
      </c>
      <c r="B6568" s="33">
        <v>4062</v>
      </c>
      <c r="C6568" s="3">
        <v>590000</v>
      </c>
      <c r="D6568" s="3"/>
      <c r="E6568" s="7">
        <f t="shared" si="123"/>
        <v>590000</v>
      </c>
      <c r="F6568" s="5">
        <v>45958</v>
      </c>
      <c r="G6568" s="4">
        <v>20251027</v>
      </c>
      <c r="H6568" s="38" t="str">
        <f>VLOOKUP(B6568,CAJEROS!B:D,3,0)</f>
        <v>Dispensador</v>
      </c>
      <c r="I6568" s="34" t="s">
        <v>9</v>
      </c>
      <c r="J6568" s="38" t="str">
        <f>VLOOKUP(B6568,CAJEROS!B:E,4,0)</f>
        <v>SUC_GUASCA1</v>
      </c>
      <c r="K6568" t="s">
        <v>610</v>
      </c>
    </row>
    <row r="6569" spans="1:11">
      <c r="A6569" s="32">
        <v>348</v>
      </c>
      <c r="B6569" s="33">
        <v>5649</v>
      </c>
      <c r="C6569" s="3">
        <v>200000</v>
      </c>
      <c r="D6569" s="3"/>
      <c r="E6569" s="7">
        <f t="shared" si="123"/>
        <v>200000</v>
      </c>
      <c r="F6569" s="5">
        <v>45958</v>
      </c>
      <c r="G6569" s="4">
        <v>20251027</v>
      </c>
      <c r="H6569" s="38" t="str">
        <f>VLOOKUP(B6569,CAJEROS!B:D,3,0)</f>
        <v>Dispensador</v>
      </c>
      <c r="I6569" s="34" t="s">
        <v>9</v>
      </c>
      <c r="J6569" s="38" t="str">
        <f>VLOOKUP(B6569,CAJEROS!B:E,4,0)</f>
        <v>SUCSANDRES5</v>
      </c>
      <c r="K6569" t="s">
        <v>610</v>
      </c>
    </row>
    <row r="6570" spans="1:11">
      <c r="A6570" s="32">
        <v>398</v>
      </c>
      <c r="B6570" s="33">
        <v>9562</v>
      </c>
      <c r="C6570" s="3">
        <v>520000</v>
      </c>
      <c r="D6570" s="3"/>
      <c r="E6570" s="7">
        <f t="shared" si="123"/>
        <v>520000</v>
      </c>
      <c r="F6570" s="5">
        <v>45958</v>
      </c>
      <c r="G6570" s="4">
        <v>20251027</v>
      </c>
      <c r="H6570" s="38" t="str">
        <f>VLOOKUP(B6570,CAJEROS!B:D,3,0)</f>
        <v>Dispensador</v>
      </c>
      <c r="I6570" s="34" t="s">
        <v>9</v>
      </c>
      <c r="J6570" s="38" t="str">
        <f>VLOOKUP(B6570,CAJEROS!B:E,4,0)</f>
        <v>SUC_CHINU2</v>
      </c>
      <c r="K6570" t="s">
        <v>610</v>
      </c>
    </row>
    <row r="6571" spans="1:11">
      <c r="A6571" s="32">
        <v>467</v>
      </c>
      <c r="B6571" s="33">
        <v>8912</v>
      </c>
      <c r="C6571" s="3">
        <v>700000</v>
      </c>
      <c r="D6571" s="3"/>
      <c r="E6571" s="7">
        <f t="shared" si="123"/>
        <v>700000</v>
      </c>
      <c r="F6571" s="5">
        <v>45958</v>
      </c>
      <c r="G6571" s="4">
        <v>20251027</v>
      </c>
      <c r="H6571" s="38" t="str">
        <f>VLOOKUP(B6571,CAJEROS!B:D,3,0)</f>
        <v>Dispensador</v>
      </c>
      <c r="I6571" s="34" t="s">
        <v>9</v>
      </c>
      <c r="J6571" s="38" t="str">
        <f>VLOOKUP(B6571,CAJEROS!B:E,4,0)</f>
        <v>HDIVERPLZ_2</v>
      </c>
      <c r="K6571" t="s">
        <v>610</v>
      </c>
    </row>
    <row r="6572" spans="1:11">
      <c r="A6572" s="32">
        <v>523</v>
      </c>
      <c r="B6572" s="33">
        <v>3997</v>
      </c>
      <c r="C6572" s="3">
        <v>1000000</v>
      </c>
      <c r="D6572" s="3"/>
      <c r="E6572" s="7">
        <f t="shared" si="123"/>
        <v>1000000</v>
      </c>
      <c r="F6572" s="5">
        <v>45958</v>
      </c>
      <c r="G6572" s="4">
        <v>20251027</v>
      </c>
      <c r="H6572" s="38" t="str">
        <f>VLOOKUP(B6572,CAJEROS!B:D,3,0)</f>
        <v>Dispensador</v>
      </c>
      <c r="I6572" s="34" t="s">
        <v>9</v>
      </c>
      <c r="J6572" s="38" t="str">
        <f>VLOOKUP(B6572,CAJEROS!B:E,4,0)</f>
        <v>SUC_OVALLE3</v>
      </c>
      <c r="K6572" t="s">
        <v>610</v>
      </c>
    </row>
    <row r="6573" spans="1:11">
      <c r="A6573" s="32">
        <v>541</v>
      </c>
      <c r="B6573" s="33">
        <v>8652</v>
      </c>
      <c r="C6573" s="3">
        <v>100000</v>
      </c>
      <c r="D6573" s="3"/>
      <c r="E6573" s="7">
        <f t="shared" si="123"/>
        <v>100000</v>
      </c>
      <c r="F6573" s="5">
        <v>45958</v>
      </c>
      <c r="G6573" s="4">
        <v>20251027</v>
      </c>
      <c r="H6573" s="38" t="str">
        <f>VLOOKUP(B6573,CAJEROS!B:D,3,0)</f>
        <v>Dispensador</v>
      </c>
      <c r="I6573" s="34" t="s">
        <v>9</v>
      </c>
      <c r="J6573" s="38" t="str">
        <f>VLOOKUP(B6573,CAJEROS!B:E,4,0)</f>
        <v>SUCCALDASP3</v>
      </c>
      <c r="K6573" t="s">
        <v>610</v>
      </c>
    </row>
    <row r="6574" spans="1:11">
      <c r="A6574" s="32">
        <v>789</v>
      </c>
      <c r="B6574" s="33">
        <v>5661</v>
      </c>
      <c r="C6574" s="3">
        <v>150000</v>
      </c>
      <c r="D6574" s="3"/>
      <c r="E6574" s="7">
        <f t="shared" si="123"/>
        <v>150000</v>
      </c>
      <c r="F6574" s="5">
        <v>45958</v>
      </c>
      <c r="G6574" s="4">
        <v>20251027</v>
      </c>
      <c r="H6574" s="38" t="str">
        <f>VLOOKUP(B6574,CAJEROS!B:D,3,0)</f>
        <v>Dispensador</v>
      </c>
      <c r="I6574" s="34" t="s">
        <v>9</v>
      </c>
      <c r="J6574" s="38" t="str">
        <f>VLOOKUP(B6574,CAJEROS!B:E,4,0)</f>
        <v>MANGA3</v>
      </c>
      <c r="K6574" t="s">
        <v>610</v>
      </c>
    </row>
    <row r="6575" spans="1:11">
      <c r="A6575" s="32">
        <v>846</v>
      </c>
      <c r="B6575" s="33">
        <v>4376</v>
      </c>
      <c r="C6575" s="3">
        <v>240000</v>
      </c>
      <c r="D6575" s="3"/>
      <c r="E6575" s="7">
        <f t="shared" si="123"/>
        <v>240000</v>
      </c>
      <c r="F6575" s="5">
        <v>45958</v>
      </c>
      <c r="G6575" s="4">
        <v>20251027</v>
      </c>
      <c r="H6575" s="38" t="str">
        <f>VLOOKUP(B6575,CAJEROS!B:D,3,0)</f>
        <v>Dispensador</v>
      </c>
      <c r="I6575" s="34" t="s">
        <v>9</v>
      </c>
      <c r="J6575" s="38" t="str">
        <f>VLOOKUP(B6575,CAJEROS!B:E,4,0)</f>
        <v>SUC_CUMAR1</v>
      </c>
      <c r="K6575" t="s">
        <v>610</v>
      </c>
    </row>
    <row r="6576" spans="1:11">
      <c r="A6576" s="32">
        <v>882</v>
      </c>
      <c r="B6576" s="33">
        <v>3510</v>
      </c>
      <c r="C6576" s="3">
        <v>250000</v>
      </c>
      <c r="D6576" s="3"/>
      <c r="E6576" s="7">
        <f t="shared" si="123"/>
        <v>250000</v>
      </c>
      <c r="F6576" s="5">
        <v>45958</v>
      </c>
      <c r="G6576" s="4">
        <v>20251027</v>
      </c>
      <c r="H6576" s="38" t="str">
        <f>VLOOKUP(B6576,CAJEROS!B:D,3,0)</f>
        <v>Dispensador</v>
      </c>
      <c r="I6576" s="34" t="s">
        <v>9</v>
      </c>
      <c r="J6576" s="38" t="str">
        <f>VLOOKUP(B6576,CAJEROS!B:E,4,0)</f>
        <v>LIBERTADOR1</v>
      </c>
      <c r="K6576" t="s">
        <v>610</v>
      </c>
    </row>
    <row r="6577" spans="1:11">
      <c r="A6577" s="32">
        <v>959</v>
      </c>
      <c r="B6577" s="33">
        <v>5577</v>
      </c>
      <c r="C6577" s="3">
        <v>450000</v>
      </c>
      <c r="D6577" s="3"/>
      <c r="E6577" s="7">
        <f t="shared" si="123"/>
        <v>450000</v>
      </c>
      <c r="F6577" s="5">
        <v>45958</v>
      </c>
      <c r="G6577" s="4">
        <v>20251027</v>
      </c>
      <c r="H6577" s="38" t="str">
        <f>VLOOKUP(B6577,CAJEROS!B:D,3,0)</f>
        <v>Dispensador</v>
      </c>
      <c r="I6577" s="34" t="s">
        <v>9</v>
      </c>
      <c r="J6577" s="38" t="str">
        <f>VLOOKUP(B6577,CAJEROS!B:E,4,0)</f>
        <v>TURBO2</v>
      </c>
      <c r="K6577" t="s">
        <v>610</v>
      </c>
    </row>
    <row r="6578" spans="1:11">
      <c r="A6578" s="32">
        <v>68</v>
      </c>
      <c r="B6578" s="33">
        <v>5135</v>
      </c>
      <c r="C6578" s="3">
        <v>7000</v>
      </c>
      <c r="D6578" s="3"/>
      <c r="E6578" s="7">
        <f t="shared" si="123"/>
        <v>7000</v>
      </c>
      <c r="F6578" s="5">
        <v>45958</v>
      </c>
      <c r="G6578" s="4">
        <v>20251027</v>
      </c>
      <c r="H6578" s="38" t="str">
        <f>VLOOKUP(B6578,CAJEROS!B:D,3,0)</f>
        <v>Multifuncional</v>
      </c>
      <c r="I6578" s="34"/>
      <c r="J6578" s="38" t="str">
        <f>VLOOKUP(B6578,CAJEROS!B:E,4,0)</f>
        <v>MF_IBAGUE</v>
      </c>
      <c r="K6578" t="s">
        <v>610</v>
      </c>
    </row>
    <row r="6579" spans="1:11">
      <c r="A6579" s="32">
        <v>198</v>
      </c>
      <c r="B6579" s="33">
        <v>5179</v>
      </c>
      <c r="C6579" s="3">
        <v>643000</v>
      </c>
      <c r="D6579" s="3"/>
      <c r="E6579" s="7">
        <f t="shared" si="123"/>
        <v>643000</v>
      </c>
      <c r="F6579" s="5">
        <v>45958</v>
      </c>
      <c r="G6579" s="4">
        <v>20251027</v>
      </c>
      <c r="H6579" s="38" t="str">
        <f>VLOOKUP(B6579,CAJEROS!B:D,3,0)</f>
        <v>Multifuncional</v>
      </c>
      <c r="I6579" s="34"/>
      <c r="J6579" s="38" t="str">
        <f>VLOOKUP(B6579,CAJEROS!B:E,4,0)</f>
        <v>MF_CENTSUBA</v>
      </c>
      <c r="K6579" t="s">
        <v>610</v>
      </c>
    </row>
    <row r="6580" spans="1:11">
      <c r="A6580" s="32">
        <v>225</v>
      </c>
      <c r="B6580" s="33">
        <v>8868</v>
      </c>
      <c r="C6580" s="3">
        <v>11020250</v>
      </c>
      <c r="D6580" s="3"/>
      <c r="E6580" s="7">
        <f t="shared" si="123"/>
        <v>11020250</v>
      </c>
      <c r="F6580" s="5">
        <v>45958</v>
      </c>
      <c r="G6580" s="4">
        <v>20251027</v>
      </c>
      <c r="H6580" s="38" t="str">
        <f>VLOOKUP(B6580,CAJEROS!B:D,3,0)</f>
        <v>Multifuncional</v>
      </c>
      <c r="I6580" s="34"/>
      <c r="J6580" s="38" t="str">
        <f>VLOOKUP(B6580,CAJEROS!B:E,4,0)</f>
        <v>MF_SMPLNQS1</v>
      </c>
      <c r="K6580" t="s">
        <v>610</v>
      </c>
    </row>
    <row r="6581" spans="1:11">
      <c r="A6581" s="32">
        <v>275</v>
      </c>
      <c r="B6581" s="33">
        <v>5034</v>
      </c>
      <c r="C6581" s="3">
        <v>100000</v>
      </c>
      <c r="D6581" s="3">
        <v>98450</v>
      </c>
      <c r="E6581" s="7">
        <f t="shared" si="123"/>
        <v>1550</v>
      </c>
      <c r="F6581" s="5">
        <v>45958</v>
      </c>
      <c r="G6581" s="4">
        <v>20251027</v>
      </c>
      <c r="H6581" s="38" t="str">
        <f>VLOOKUP(B6581,CAJEROS!B:D,3,0)</f>
        <v>Multifuncional</v>
      </c>
      <c r="I6581" s="34"/>
      <c r="J6581" s="38" t="str">
        <f>VLOOKUP(B6581,CAJEROS!B:E,4,0)</f>
        <v>MF_BOUENVIG</v>
      </c>
      <c r="K6581" t="s">
        <v>610</v>
      </c>
    </row>
    <row r="6582" spans="1:11">
      <c r="A6582" s="32">
        <v>392</v>
      </c>
      <c r="B6582" s="33">
        <v>5064</v>
      </c>
      <c r="C6582" s="3">
        <v>3910500</v>
      </c>
      <c r="D6582" s="3"/>
      <c r="E6582" s="7">
        <f t="shared" si="123"/>
        <v>3910500</v>
      </c>
      <c r="F6582" s="5">
        <v>45958</v>
      </c>
      <c r="G6582" s="4">
        <v>20251027</v>
      </c>
      <c r="H6582" s="38" t="str">
        <f>VLOOKUP(B6582,CAJEROS!B:D,3,0)</f>
        <v>Multifuncional</v>
      </c>
      <c r="I6582" s="34"/>
      <c r="J6582" s="38" t="str">
        <f>VLOOKUP(B6582,CAJEROS!B:E,4,0)</f>
        <v>MF_LADORADA</v>
      </c>
      <c r="K6582" t="s">
        <v>610</v>
      </c>
    </row>
    <row r="6583" spans="1:11">
      <c r="A6583" s="32">
        <v>442</v>
      </c>
      <c r="B6583" s="33">
        <v>8887</v>
      </c>
      <c r="C6583" s="3">
        <v>7866000</v>
      </c>
      <c r="D6583" s="3"/>
      <c r="E6583" s="7">
        <f t="shared" si="123"/>
        <v>7866000</v>
      </c>
      <c r="F6583" s="5">
        <v>45958</v>
      </c>
      <c r="G6583" s="4">
        <v>20251027</v>
      </c>
      <c r="H6583" s="38" t="str">
        <f>VLOOKUP(B6583,CAJEROS!B:D,3,0)</f>
        <v>Multifuncional</v>
      </c>
      <c r="I6583" s="34"/>
      <c r="J6583" s="38" t="str">
        <f>VLOOKUP(B6583,CAJEROS!B:E,4,0)</f>
        <v>MFVIVABQUI1</v>
      </c>
      <c r="K6583" t="s">
        <v>610</v>
      </c>
    </row>
    <row r="6584" spans="1:11">
      <c r="A6584" s="32">
        <v>843</v>
      </c>
      <c r="B6584" s="33">
        <v>6716</v>
      </c>
      <c r="C6584" s="3">
        <v>5575500</v>
      </c>
      <c r="D6584" s="3"/>
      <c r="E6584" s="7">
        <f t="shared" si="123"/>
        <v>5575500</v>
      </c>
      <c r="F6584" s="5">
        <v>45958</v>
      </c>
      <c r="G6584" s="4">
        <v>20251027</v>
      </c>
      <c r="H6584" s="38" t="str">
        <f>VLOOKUP(B6584,CAJEROS!B:D,3,0)</f>
        <v>Multifuncional</v>
      </c>
      <c r="I6584" s="34"/>
      <c r="J6584" s="38" t="str">
        <f>VLOOKUP(B6584,CAJEROS!B:E,4,0)</f>
        <v>MF_CPBUENAV</v>
      </c>
      <c r="K6584" t="s">
        <v>610</v>
      </c>
    </row>
    <row r="6585" spans="1:11">
      <c r="A6585" s="32">
        <v>849</v>
      </c>
      <c r="B6585" s="33">
        <v>9725</v>
      </c>
      <c r="C6585" s="3">
        <v>4100000</v>
      </c>
      <c r="D6585" s="3"/>
      <c r="E6585" s="7">
        <f t="shared" si="123"/>
        <v>4100000</v>
      </c>
      <c r="F6585" s="5">
        <v>45958</v>
      </c>
      <c r="G6585" s="4">
        <v>20251027</v>
      </c>
      <c r="H6585" s="38" t="str">
        <f>VLOOKUP(B6585,CAJEROS!B:D,3,0)</f>
        <v>Multifuncional</v>
      </c>
      <c r="I6585" s="34"/>
      <c r="J6585" s="38" t="str">
        <f>VLOOKUP(B6585,CAJEROS!B:E,4,0)</f>
        <v>MF_SUNIVIL2</v>
      </c>
      <c r="K6585" t="s">
        <v>610</v>
      </c>
    </row>
    <row r="6586" spans="1:11">
      <c r="A6586" s="32">
        <v>888</v>
      </c>
      <c r="B6586" s="33">
        <v>6818</v>
      </c>
      <c r="C6586" s="3">
        <v>9200000</v>
      </c>
      <c r="D6586" s="3"/>
      <c r="E6586" s="7">
        <f t="shared" si="123"/>
        <v>9200000</v>
      </c>
      <c r="F6586" s="5">
        <v>45958</v>
      </c>
      <c r="G6586" s="4">
        <v>20251027</v>
      </c>
      <c r="H6586" s="38" t="str">
        <f>VLOOKUP(B6586,CAJEROS!B:D,3,0)</f>
        <v>Multifuncional</v>
      </c>
      <c r="I6586" s="34"/>
      <c r="J6586" s="38" t="str">
        <f>VLOOKUP(B6586,CAJEROS!B:E,4,0)</f>
        <v>MF_IPIALES</v>
      </c>
      <c r="K6586" t="s">
        <v>610</v>
      </c>
    </row>
    <row r="6587" spans="1:11">
      <c r="A6587" s="32">
        <v>915</v>
      </c>
      <c r="B6587" s="33">
        <v>8313</v>
      </c>
      <c r="C6587" s="3">
        <v>4997750</v>
      </c>
      <c r="D6587" s="3">
        <v>297800</v>
      </c>
      <c r="E6587" s="7">
        <f t="shared" si="123"/>
        <v>4699950</v>
      </c>
      <c r="F6587" s="5">
        <v>45958</v>
      </c>
      <c r="G6587" s="4">
        <v>20251027</v>
      </c>
      <c r="H6587" s="38" t="str">
        <f>VLOOKUP(B6587,CAJEROS!B:D,3,0)</f>
        <v>Multifuncional</v>
      </c>
      <c r="I6587" s="34"/>
      <c r="J6587" s="38" t="str">
        <f>VLOOKUP(B6587,CAJEROS!B:E,4,0)</f>
        <v>MF_BANLABB1</v>
      </c>
      <c r="K6587" t="s">
        <v>610</v>
      </c>
    </row>
    <row r="6588" spans="1:11">
      <c r="A6588" s="32">
        <v>915</v>
      </c>
      <c r="B6588" s="33">
        <v>8314</v>
      </c>
      <c r="C6588" s="3">
        <v>50000</v>
      </c>
      <c r="D6588" s="3"/>
      <c r="E6588" s="7">
        <f t="shared" si="123"/>
        <v>50000</v>
      </c>
      <c r="F6588" s="5">
        <v>45958</v>
      </c>
      <c r="G6588" s="4">
        <v>20251027</v>
      </c>
      <c r="H6588" s="38" t="str">
        <f>VLOOKUP(B6588,CAJEROS!B:D,3,0)</f>
        <v>Multifuncional</v>
      </c>
      <c r="I6588" s="34"/>
      <c r="J6588" s="38" t="str">
        <f>VLOOKUP(B6588,CAJEROS!B:E,4,0)</f>
        <v>MF_BANLABB2</v>
      </c>
      <c r="K6588" t="s">
        <v>610</v>
      </c>
    </row>
    <row r="6589" spans="1:11">
      <c r="A6589" s="32">
        <v>944</v>
      </c>
      <c r="B6589" s="33">
        <v>2228</v>
      </c>
      <c r="C6589" s="3">
        <v>4900</v>
      </c>
      <c r="D6589" s="3"/>
      <c r="E6589" s="7">
        <f t="shared" si="123"/>
        <v>4900</v>
      </c>
      <c r="F6589" s="5">
        <v>45958</v>
      </c>
      <c r="G6589" s="4">
        <v>20251027</v>
      </c>
      <c r="H6589" s="38" t="str">
        <f>VLOOKUP(B6589,CAJEROS!B:D,3,0)</f>
        <v>Multifuncional</v>
      </c>
      <c r="I6589" s="34"/>
      <c r="J6589" s="38" t="str">
        <f>VLOOKUP(B6589,CAJEROS!B:E,4,0)</f>
        <v>MF_SANTABO3</v>
      </c>
      <c r="K6589" t="s">
        <v>610</v>
      </c>
    </row>
    <row r="6590" spans="1:11">
      <c r="A6590" s="32">
        <v>682</v>
      </c>
      <c r="B6590" s="33">
        <v>5049</v>
      </c>
      <c r="C6590" s="3">
        <v>3940100</v>
      </c>
      <c r="D6590" s="3"/>
      <c r="E6590" s="7">
        <f t="shared" si="123"/>
        <v>3940100</v>
      </c>
      <c r="F6590" s="5">
        <v>45958</v>
      </c>
      <c r="G6590" s="4">
        <v>20251027</v>
      </c>
      <c r="H6590" s="38" t="str">
        <f>VLOOKUP(B6590,CAJEROS!B:D,3,0)</f>
        <v>Multifuncional</v>
      </c>
      <c r="I6590" s="34" t="s">
        <v>9</v>
      </c>
      <c r="J6590" s="38" t="str">
        <f>VLOOKUP(B6590,CAJEROS!B:E,4,0)</f>
        <v>MF_CCFONTA1</v>
      </c>
      <c r="K6590" t="s">
        <v>610</v>
      </c>
    </row>
    <row r="6591" spans="1:11">
      <c r="A6591" s="32">
        <v>138</v>
      </c>
      <c r="B6591" s="33">
        <v>6628</v>
      </c>
      <c r="C6591" s="3">
        <v>3508300</v>
      </c>
      <c r="D6591" s="3">
        <v>788500</v>
      </c>
      <c r="E6591" s="7">
        <f t="shared" si="123"/>
        <v>2719800</v>
      </c>
      <c r="F6591" s="5">
        <v>45958</v>
      </c>
      <c r="G6591" s="4">
        <v>20251027</v>
      </c>
      <c r="H6591" s="38" t="str">
        <f>VLOOKUP(B6591,CAJEROS!B:D,3,0)</f>
        <v>Multifuncional</v>
      </c>
      <c r="I6591" s="34" t="s">
        <v>9</v>
      </c>
      <c r="J6591" s="38" t="str">
        <f>VLOOKUP(B6591,CAJEROS!B:E,4,0)</f>
        <v>MF_MOSQUERA</v>
      </c>
      <c r="K6591" t="s">
        <v>610</v>
      </c>
    </row>
    <row r="6592" spans="1:11">
      <c r="A6592" s="32">
        <v>812</v>
      </c>
      <c r="B6592" s="33">
        <v>5144</v>
      </c>
      <c r="C6592" s="3">
        <v>3374000</v>
      </c>
      <c r="D6592" s="3"/>
      <c r="E6592" s="7">
        <f t="shared" si="123"/>
        <v>3374000</v>
      </c>
      <c r="F6592" s="5">
        <v>45958</v>
      </c>
      <c r="G6592" s="4">
        <v>20251027</v>
      </c>
      <c r="H6592" s="38" t="str">
        <f>VLOOKUP(B6592,CAJEROS!B:D,3,0)</f>
        <v>Multifuncional</v>
      </c>
      <c r="I6592" s="34" t="s">
        <v>9</v>
      </c>
      <c r="J6592" s="38" t="str">
        <f>VLOOKUP(B6592,CAJEROS!B:E,4,0)</f>
        <v>MF_CHPICHPE</v>
      </c>
      <c r="K6592" t="s">
        <v>610</v>
      </c>
    </row>
    <row r="6593" spans="1:11">
      <c r="A6593" s="32">
        <v>377</v>
      </c>
      <c r="B6593" s="33">
        <v>1508</v>
      </c>
      <c r="C6593" s="3">
        <v>3038000</v>
      </c>
      <c r="D6593" s="3">
        <v>2628000</v>
      </c>
      <c r="E6593" s="7">
        <f t="shared" si="123"/>
        <v>410000</v>
      </c>
      <c r="F6593" s="5">
        <v>45958</v>
      </c>
      <c r="G6593" s="4">
        <v>20251027</v>
      </c>
      <c r="H6593" s="38" t="str">
        <f>VLOOKUP(B6593,CAJEROS!B:D,3,0)</f>
        <v>Multifuncional</v>
      </c>
      <c r="I6593" s="34" t="s">
        <v>9</v>
      </c>
      <c r="J6593" s="38" t="str">
        <f>VLOOKUP(B6593,CAJEROS!B:E,4,0)</f>
        <v>MFSUCCIAV1</v>
      </c>
      <c r="K6593" t="s">
        <v>610</v>
      </c>
    </row>
    <row r="6594" spans="1:11">
      <c r="A6594" s="32">
        <v>166</v>
      </c>
      <c r="B6594" s="33">
        <v>7940</v>
      </c>
      <c r="C6594" s="3">
        <v>2945000</v>
      </c>
      <c r="D6594" s="3"/>
      <c r="E6594" s="7">
        <f t="shared" si="123"/>
        <v>2945000</v>
      </c>
      <c r="F6594" s="5">
        <v>45958</v>
      </c>
      <c r="G6594" s="4">
        <v>20251027</v>
      </c>
      <c r="H6594" s="38" t="str">
        <f>VLOOKUP(B6594,CAJEROS!B:D,3,0)</f>
        <v>Multifuncional</v>
      </c>
      <c r="I6594" s="34" t="s">
        <v>9</v>
      </c>
      <c r="J6594" s="38" t="str">
        <f>VLOOKUP(B6594,CAJEROS!B:E,4,0)</f>
        <v>MF_ALDELS22</v>
      </c>
      <c r="K6594" t="s">
        <v>610</v>
      </c>
    </row>
    <row r="6595" spans="1:11">
      <c r="A6595" s="32">
        <v>4</v>
      </c>
      <c r="B6595" s="33">
        <v>8631</v>
      </c>
      <c r="C6595" s="3">
        <v>2820000</v>
      </c>
      <c r="D6595" s="3"/>
      <c r="E6595" s="7">
        <f t="shared" si="123"/>
        <v>2820000</v>
      </c>
      <c r="F6595" s="5">
        <v>45958</v>
      </c>
      <c r="G6595" s="4">
        <v>20251027</v>
      </c>
      <c r="H6595" s="38" t="str">
        <f>VLOOKUP(B6595,CAJEROS!B:D,3,0)</f>
        <v>Multifuncional</v>
      </c>
      <c r="I6595" s="34" t="s">
        <v>9</v>
      </c>
      <c r="J6595" s="38" t="str">
        <f>VLOOKUP(B6595,CAJEROS!B:E,4,0)</f>
        <v>MF_SUCLAUR2</v>
      </c>
      <c r="K6595" t="s">
        <v>610</v>
      </c>
    </row>
    <row r="6596" spans="1:11">
      <c r="A6596" s="32">
        <v>556</v>
      </c>
      <c r="B6596" s="33">
        <v>8333</v>
      </c>
      <c r="C6596" s="3">
        <v>2800000</v>
      </c>
      <c r="D6596" s="3"/>
      <c r="E6596" s="7">
        <f t="shared" si="123"/>
        <v>2800000</v>
      </c>
      <c r="F6596" s="5">
        <v>45958</v>
      </c>
      <c r="G6596" s="4">
        <v>20251027</v>
      </c>
      <c r="H6596" s="38" t="str">
        <f>VLOOKUP(B6596,CAJEROS!B:D,3,0)</f>
        <v>Multifuncional</v>
      </c>
      <c r="I6596" s="34" t="s">
        <v>9</v>
      </c>
      <c r="J6596" s="38" t="str">
        <f>VLOOKUP(B6596,CAJEROS!B:E,4,0)</f>
        <v>MF_SCARVIB1</v>
      </c>
      <c r="K6596" t="s">
        <v>610</v>
      </c>
    </row>
    <row r="6597" spans="1:11">
      <c r="A6597" s="32">
        <v>300</v>
      </c>
      <c r="B6597" s="33">
        <v>5139</v>
      </c>
      <c r="C6597" s="3">
        <v>2680000</v>
      </c>
      <c r="D6597" s="3">
        <v>1730000</v>
      </c>
      <c r="E6597" s="7">
        <f t="shared" si="123"/>
        <v>950000</v>
      </c>
      <c r="F6597" s="5">
        <v>45958</v>
      </c>
      <c r="G6597" s="4">
        <v>20251027</v>
      </c>
      <c r="H6597" s="38" t="str">
        <f>VLOOKUP(B6597,CAJEROS!B:D,3,0)</f>
        <v>Multifuncional</v>
      </c>
      <c r="I6597" s="34" t="s">
        <v>9</v>
      </c>
      <c r="J6597" s="38" t="str">
        <f>VLOOKUP(B6597,CAJEROS!B:E,4,0)</f>
        <v>MF_AUTOP98</v>
      </c>
      <c r="K6597" t="s">
        <v>610</v>
      </c>
    </row>
    <row r="6598" spans="1:11">
      <c r="A6598" s="32">
        <v>57</v>
      </c>
      <c r="B6598" s="33">
        <v>9963</v>
      </c>
      <c r="C6598" s="3">
        <v>2665000</v>
      </c>
      <c r="D6598" s="3">
        <v>2119100</v>
      </c>
      <c r="E6598" s="7">
        <f t="shared" si="123"/>
        <v>545900</v>
      </c>
      <c r="F6598" s="5">
        <v>45958</v>
      </c>
      <c r="G6598" s="4">
        <v>20251027</v>
      </c>
      <c r="H6598" s="38" t="str">
        <f>VLOOKUP(B6598,CAJEROS!B:D,3,0)</f>
        <v>Multifuncional</v>
      </c>
      <c r="I6598" s="34" t="s">
        <v>9</v>
      </c>
      <c r="J6598" s="38" t="str">
        <f>VLOOKUP(B6598,CAJEROS!B:E,4,0)</f>
        <v>MF_VILLAVI1</v>
      </c>
      <c r="K6598" t="s">
        <v>610</v>
      </c>
    </row>
    <row r="6599" spans="1:11">
      <c r="A6599" s="32">
        <v>541</v>
      </c>
      <c r="B6599" s="33">
        <v>5185</v>
      </c>
      <c r="C6599" s="3">
        <v>2540000</v>
      </c>
      <c r="D6599" s="3"/>
      <c r="E6599" s="7">
        <f t="shared" si="123"/>
        <v>2540000</v>
      </c>
      <c r="F6599" s="5">
        <v>45958</v>
      </c>
      <c r="G6599" s="4">
        <v>20251027</v>
      </c>
      <c r="H6599" s="38" t="str">
        <f>VLOOKUP(B6599,CAJEROS!B:D,3,0)</f>
        <v>Multifuncional</v>
      </c>
      <c r="I6599" s="34" t="s">
        <v>9</v>
      </c>
      <c r="J6599" s="38" t="str">
        <f>VLOOKUP(B6599,CAJEROS!B:E,4,0)</f>
        <v>MF_PARQCALD</v>
      </c>
      <c r="K6599" t="s">
        <v>610</v>
      </c>
    </row>
    <row r="6600" spans="1:11">
      <c r="A6600" s="32">
        <v>61</v>
      </c>
      <c r="B6600" s="33">
        <v>788</v>
      </c>
      <c r="C6600" s="3">
        <v>2430000</v>
      </c>
      <c r="D6600" s="3"/>
      <c r="E6600" s="7">
        <f t="shared" si="123"/>
        <v>2430000</v>
      </c>
      <c r="F6600" s="5">
        <v>45958</v>
      </c>
      <c r="G6600" s="4">
        <v>20251027</v>
      </c>
      <c r="H6600" s="38" t="str">
        <f>VLOOKUP(B6600,CAJEROS!B:D,3,0)</f>
        <v>Multifuncional</v>
      </c>
      <c r="I6600" s="34" t="s">
        <v>9</v>
      </c>
      <c r="J6600" s="38" t="str">
        <f>VLOOKUP(B6600,CAJEROS!B:E,4,0)</f>
        <v>MFSUCLAEST1</v>
      </c>
      <c r="K6600" t="s">
        <v>610</v>
      </c>
    </row>
    <row r="6601" spans="1:11">
      <c r="A6601" s="32">
        <v>4</v>
      </c>
      <c r="B6601" s="33">
        <v>8630</v>
      </c>
      <c r="C6601" s="3">
        <v>2390000</v>
      </c>
      <c r="D6601" s="3"/>
      <c r="E6601" s="7">
        <f t="shared" si="123"/>
        <v>2390000</v>
      </c>
      <c r="F6601" s="5">
        <v>45958</v>
      </c>
      <c r="G6601" s="4">
        <v>20251027</v>
      </c>
      <c r="H6601" s="38" t="str">
        <f>VLOOKUP(B6601,CAJEROS!B:D,3,0)</f>
        <v>Multifuncional</v>
      </c>
      <c r="I6601" s="34" t="s">
        <v>9</v>
      </c>
      <c r="J6601" s="38" t="str">
        <f>VLOOKUP(B6601,CAJEROS!B:E,4,0)</f>
        <v>MF_SUCLAUR1</v>
      </c>
      <c r="K6601" t="s">
        <v>610</v>
      </c>
    </row>
    <row r="6602" spans="1:11">
      <c r="A6602" s="32">
        <v>941</v>
      </c>
      <c r="B6602" s="33">
        <v>5220</v>
      </c>
      <c r="C6602" s="3">
        <v>2310000</v>
      </c>
      <c r="D6602" s="3"/>
      <c r="E6602" s="7">
        <f t="shared" si="123"/>
        <v>2310000</v>
      </c>
      <c r="F6602" s="5">
        <v>45958</v>
      </c>
      <c r="G6602" s="4">
        <v>20251027</v>
      </c>
      <c r="H6602" s="38" t="str">
        <f>VLOOKUP(B6602,CAJEROS!B:D,3,0)</f>
        <v>Multifuncional</v>
      </c>
      <c r="I6602" s="34" t="s">
        <v>9</v>
      </c>
      <c r="J6602" s="38" t="str">
        <f>VLOOKUP(B6602,CAJEROS!B:E,4,0)</f>
        <v>MF_NEIVANVA</v>
      </c>
      <c r="K6602" t="s">
        <v>610</v>
      </c>
    </row>
    <row r="6603" spans="1:11">
      <c r="A6603" s="32">
        <v>957</v>
      </c>
      <c r="B6603" s="33">
        <v>9512</v>
      </c>
      <c r="C6603" s="3">
        <v>2265200</v>
      </c>
      <c r="D6603" s="3"/>
      <c r="E6603" s="7">
        <f t="shared" ref="E6603:E6666" si="124">+C6603-D6603</f>
        <v>2265200</v>
      </c>
      <c r="F6603" s="5">
        <v>45958</v>
      </c>
      <c r="G6603" s="4">
        <v>20251027</v>
      </c>
      <c r="H6603" s="38" t="str">
        <f>VLOOKUP(B6603,CAJEROS!B:D,3,0)</f>
        <v>Multifuncional</v>
      </c>
      <c r="I6603" s="34" t="s">
        <v>9</v>
      </c>
      <c r="J6603" s="38" t="str">
        <f>VLOOKUP(B6603,CAJEROS!B:E,4,0)</f>
        <v>MFSUCPARAL1</v>
      </c>
      <c r="K6603" t="s">
        <v>610</v>
      </c>
    </row>
    <row r="6604" spans="1:11">
      <c r="A6604" s="32">
        <v>829</v>
      </c>
      <c r="B6604" s="33">
        <v>5137</v>
      </c>
      <c r="C6604" s="3">
        <v>2260000</v>
      </c>
      <c r="D6604" s="3">
        <v>1760000</v>
      </c>
      <c r="E6604" s="7">
        <f t="shared" si="124"/>
        <v>500000</v>
      </c>
      <c r="F6604" s="5">
        <v>45958</v>
      </c>
      <c r="G6604" s="4">
        <v>20251027</v>
      </c>
      <c r="H6604" s="38" t="str">
        <f>VLOOKUP(B6604,CAJEROS!B:D,3,0)</f>
        <v>Multifuncional</v>
      </c>
      <c r="I6604" s="34" t="s">
        <v>9</v>
      </c>
      <c r="J6604" s="38" t="str">
        <f>VLOOKUP(B6604,CAJEROS!B:E,4,0)</f>
        <v>MF_UNICALI1</v>
      </c>
      <c r="K6604" t="s">
        <v>610</v>
      </c>
    </row>
    <row r="6605" spans="1:11">
      <c r="A6605" s="32">
        <v>852</v>
      </c>
      <c r="B6605" s="33">
        <v>5050</v>
      </c>
      <c r="C6605" s="3">
        <v>2131000</v>
      </c>
      <c r="D6605" s="3">
        <v>2130000</v>
      </c>
      <c r="E6605" s="7">
        <f t="shared" si="124"/>
        <v>1000</v>
      </c>
      <c r="F6605" s="5">
        <v>45958</v>
      </c>
      <c r="G6605" s="4">
        <v>20251027</v>
      </c>
      <c r="H6605" s="38" t="str">
        <f>VLOOKUP(B6605,CAJEROS!B:D,3,0)</f>
        <v>Multifuncional</v>
      </c>
      <c r="I6605" s="34" t="s">
        <v>9</v>
      </c>
      <c r="J6605" s="38" t="str">
        <f>VLOOKUP(B6605,CAJEROS!B:E,4,0)</f>
        <v>MF_VICPLAZA</v>
      </c>
      <c r="K6605" t="s">
        <v>610</v>
      </c>
    </row>
    <row r="6606" spans="1:11">
      <c r="A6606" s="32">
        <v>358</v>
      </c>
      <c r="B6606" s="33">
        <v>5149</v>
      </c>
      <c r="C6606" s="3">
        <v>2040000</v>
      </c>
      <c r="D6606" s="3"/>
      <c r="E6606" s="7">
        <f t="shared" si="124"/>
        <v>2040000</v>
      </c>
      <c r="F6606" s="5">
        <v>45958</v>
      </c>
      <c r="G6606" s="4">
        <v>20251027</v>
      </c>
      <c r="H6606" s="38" t="str">
        <f>VLOOKUP(B6606,CAJEROS!B:D,3,0)</f>
        <v>Multifuncional</v>
      </c>
      <c r="I6606" s="34" t="s">
        <v>9</v>
      </c>
      <c r="J6606" s="38" t="str">
        <f>VLOOKUP(B6606,CAJEROS!B:E,4,0)</f>
        <v>MF_SOGAMOSO</v>
      </c>
      <c r="K6606" t="s">
        <v>610</v>
      </c>
    </row>
    <row r="6607" spans="1:11">
      <c r="A6607" s="32">
        <v>779</v>
      </c>
      <c r="B6607" s="33">
        <v>5013</v>
      </c>
      <c r="C6607" s="3">
        <v>2030800</v>
      </c>
      <c r="D6607" s="3"/>
      <c r="E6607" s="7">
        <f t="shared" si="124"/>
        <v>2030800</v>
      </c>
      <c r="F6607" s="5">
        <v>45958</v>
      </c>
      <c r="G6607" s="4">
        <v>20251027</v>
      </c>
      <c r="H6607" s="38" t="str">
        <f>VLOOKUP(B6607,CAJEROS!B:D,3,0)</f>
        <v>Multifuncional</v>
      </c>
      <c r="I6607" s="34" t="s">
        <v>9</v>
      </c>
      <c r="J6607" s="38" t="str">
        <f>VLOOKUP(B6607,CAJEROS!B:E,4,0)</f>
        <v>MF_BUENASM1</v>
      </c>
      <c r="K6607" t="s">
        <v>610</v>
      </c>
    </row>
    <row r="6608" spans="1:11">
      <c r="A6608" s="32">
        <v>793</v>
      </c>
      <c r="B6608" s="33">
        <v>5216</v>
      </c>
      <c r="C6608" s="3">
        <v>1940000</v>
      </c>
      <c r="D6608" s="3"/>
      <c r="E6608" s="7">
        <f t="shared" si="124"/>
        <v>1940000</v>
      </c>
      <c r="F6608" s="5">
        <v>45958</v>
      </c>
      <c r="G6608" s="4">
        <v>20251027</v>
      </c>
      <c r="H6608" s="38" t="str">
        <f>VLOOKUP(B6608,CAJEROS!B:D,3,0)</f>
        <v>Multifuncional</v>
      </c>
      <c r="I6608" s="34" t="s">
        <v>9</v>
      </c>
      <c r="J6608" s="38" t="str">
        <f>VLOOKUP(B6608,CAJEROS!B:E,4,0)</f>
        <v>MF_PROFENAL</v>
      </c>
      <c r="K6608" t="s">
        <v>610</v>
      </c>
    </row>
    <row r="6609" spans="1:11">
      <c r="A6609" s="32">
        <v>15</v>
      </c>
      <c r="B6609" s="33">
        <v>8576</v>
      </c>
      <c r="C6609" s="3">
        <v>1900000</v>
      </c>
      <c r="D6609" s="3">
        <v>1898250</v>
      </c>
      <c r="E6609" s="7">
        <f t="shared" si="124"/>
        <v>1750</v>
      </c>
      <c r="F6609" s="5">
        <v>45958</v>
      </c>
      <c r="G6609" s="4">
        <v>20251027</v>
      </c>
      <c r="H6609" s="38" t="str">
        <f>VLOOKUP(B6609,CAJEROS!B:D,3,0)</f>
        <v>Multifuncional</v>
      </c>
      <c r="I6609" s="34" t="s">
        <v>9</v>
      </c>
      <c r="J6609" s="38" t="str">
        <f>VLOOKUP(B6609,CAJEROS!B:E,4,0)</f>
        <v>MF_HITAGUI1</v>
      </c>
      <c r="K6609" t="s">
        <v>610</v>
      </c>
    </row>
    <row r="6610" spans="1:11">
      <c r="A6610" s="32">
        <v>551</v>
      </c>
      <c r="B6610" s="33">
        <v>9643</v>
      </c>
      <c r="C6610" s="3">
        <v>1874000</v>
      </c>
      <c r="D6610" s="3">
        <v>1680000</v>
      </c>
      <c r="E6610" s="7">
        <f t="shared" si="124"/>
        <v>194000</v>
      </c>
      <c r="F6610" s="5">
        <v>45958</v>
      </c>
      <c r="G6610" s="4">
        <v>20251027</v>
      </c>
      <c r="H6610" s="38" t="str">
        <f>VLOOKUP(B6610,CAJEROS!B:D,3,0)</f>
        <v>Multifuncional</v>
      </c>
      <c r="I6610" s="34" t="s">
        <v>9</v>
      </c>
      <c r="J6610" s="38" t="str">
        <f>VLOOKUP(B6610,CAJEROS!B:E,4,0)</f>
        <v>MFSUCUNIME1</v>
      </c>
      <c r="K6610" t="s">
        <v>610</v>
      </c>
    </row>
    <row r="6611" spans="1:11">
      <c r="A6611" s="32">
        <v>277</v>
      </c>
      <c r="B6611" s="33">
        <v>5021</v>
      </c>
      <c r="C6611" s="3">
        <v>1870000</v>
      </c>
      <c r="D6611" s="3"/>
      <c r="E6611" s="7">
        <f t="shared" si="124"/>
        <v>1870000</v>
      </c>
      <c r="F6611" s="5">
        <v>45958</v>
      </c>
      <c r="G6611" s="4">
        <v>20251027</v>
      </c>
      <c r="H6611" s="38" t="str">
        <f>VLOOKUP(B6611,CAJEROS!B:D,3,0)</f>
        <v>Multifuncional</v>
      </c>
      <c r="I6611" s="34" t="s">
        <v>9</v>
      </c>
      <c r="J6611" s="38" t="str">
        <f>VLOOKUP(B6611,CAJEROS!B:E,4,0)</f>
        <v>MF_CCMAYOR1</v>
      </c>
      <c r="K6611" t="s">
        <v>610</v>
      </c>
    </row>
    <row r="6612" spans="1:11">
      <c r="A6612" s="32">
        <v>745</v>
      </c>
      <c r="B6612" s="33">
        <v>1477</v>
      </c>
      <c r="C6612" s="3">
        <v>1710000</v>
      </c>
      <c r="D6612" s="3"/>
      <c r="E6612" s="7">
        <f t="shared" si="124"/>
        <v>1710000</v>
      </c>
      <c r="F6612" s="5">
        <v>45958</v>
      </c>
      <c r="G6612" s="4">
        <v>20251027</v>
      </c>
      <c r="H6612" s="38" t="str">
        <f>VLOOKUP(B6612,CAJEROS!B:D,3,0)</f>
        <v>Multifuncional</v>
      </c>
      <c r="I6612" s="34" t="s">
        <v>9</v>
      </c>
      <c r="J6612" s="38" t="str">
        <f>VLOOKUP(B6612,CAJEROS!B:E,4,0)</f>
        <v>MFSUCMALPZ2</v>
      </c>
      <c r="K6612" t="s">
        <v>610</v>
      </c>
    </row>
    <row r="6613" spans="1:11">
      <c r="A6613" s="32">
        <v>15</v>
      </c>
      <c r="B6613" s="33">
        <v>8578</v>
      </c>
      <c r="C6613" s="3">
        <v>1662000</v>
      </c>
      <c r="D6613" s="3">
        <v>1655800</v>
      </c>
      <c r="E6613" s="7">
        <f t="shared" si="124"/>
        <v>6200</v>
      </c>
      <c r="F6613" s="5">
        <v>45958</v>
      </c>
      <c r="G6613" s="4">
        <v>20251027</v>
      </c>
      <c r="H6613" s="38" t="str">
        <f>VLOOKUP(B6613,CAJEROS!B:D,3,0)</f>
        <v>Multifuncional</v>
      </c>
      <c r="I6613" s="34" t="s">
        <v>9</v>
      </c>
      <c r="J6613" s="38" t="str">
        <f>VLOOKUP(B6613,CAJEROS!B:E,4,0)</f>
        <v>MF_HITAGUI3</v>
      </c>
      <c r="K6613" t="s">
        <v>610</v>
      </c>
    </row>
    <row r="6614" spans="1:11">
      <c r="A6614" s="32">
        <v>816</v>
      </c>
      <c r="B6614" s="33">
        <v>5205</v>
      </c>
      <c r="C6614" s="3">
        <v>1603100</v>
      </c>
      <c r="D6614" s="3">
        <v>640000</v>
      </c>
      <c r="E6614" s="7">
        <f t="shared" si="124"/>
        <v>963100</v>
      </c>
      <c r="F6614" s="5">
        <v>45958</v>
      </c>
      <c r="G6614" s="4">
        <v>20251027</v>
      </c>
      <c r="H6614" s="38" t="str">
        <f>VLOOKUP(B6614,CAJEROS!B:D,3,0)</f>
        <v>Multifuncional</v>
      </c>
      <c r="I6614" s="34" t="s">
        <v>9</v>
      </c>
      <c r="J6614" s="38" t="str">
        <f>VLOOKUP(B6614,CAJEROS!B:E,4,0)</f>
        <v>MF_SUCLLE10</v>
      </c>
      <c r="K6614" t="s">
        <v>610</v>
      </c>
    </row>
    <row r="6615" spans="1:11">
      <c r="A6615" s="32">
        <v>554</v>
      </c>
      <c r="B6615" s="33">
        <v>8295</v>
      </c>
      <c r="C6615" s="3">
        <v>1390000</v>
      </c>
      <c r="D6615" s="3">
        <v>690000</v>
      </c>
      <c r="E6615" s="7">
        <f t="shared" si="124"/>
        <v>700000</v>
      </c>
      <c r="F6615" s="5">
        <v>45958</v>
      </c>
      <c r="G6615" s="4">
        <v>20251027</v>
      </c>
      <c r="H6615" s="38" t="str">
        <f>VLOOKUP(B6615,CAJEROS!B:D,3,0)</f>
        <v>Multifuncional</v>
      </c>
      <c r="I6615" s="34" t="s">
        <v>9</v>
      </c>
      <c r="J6615" s="38" t="str">
        <f>VLOOKUP(B6615,CAJEROS!B:E,4,0)</f>
        <v>MF_SBUVIII2</v>
      </c>
      <c r="K6615" t="s">
        <v>610</v>
      </c>
    </row>
    <row r="6616" spans="1:11">
      <c r="A6616" s="32">
        <v>453</v>
      </c>
      <c r="B6616" s="33">
        <v>8018</v>
      </c>
      <c r="C6616" s="3">
        <v>1260000</v>
      </c>
      <c r="D6616" s="3"/>
      <c r="E6616" s="7">
        <f t="shared" si="124"/>
        <v>1260000</v>
      </c>
      <c r="F6616" s="5">
        <v>45958</v>
      </c>
      <c r="G6616" s="4">
        <v>20251027</v>
      </c>
      <c r="H6616" s="38" t="str">
        <f>VLOOKUP(B6616,CAJEROS!B:D,3,0)</f>
        <v>Multifuncional</v>
      </c>
      <c r="I6616" s="34" t="s">
        <v>9</v>
      </c>
      <c r="J6616" s="38" t="str">
        <f>VLOOKUP(B6616,CAJEROS!B:E,4,0)</f>
        <v>MFSUCPITAL1</v>
      </c>
      <c r="K6616" t="s">
        <v>610</v>
      </c>
    </row>
    <row r="6617" spans="1:11">
      <c r="A6617" s="32">
        <v>678</v>
      </c>
      <c r="B6617" s="33">
        <v>5227</v>
      </c>
      <c r="C6617" s="3">
        <v>980000</v>
      </c>
      <c r="D6617" s="3"/>
      <c r="E6617" s="7">
        <f t="shared" si="124"/>
        <v>980000</v>
      </c>
      <c r="F6617" s="5">
        <v>45958</v>
      </c>
      <c r="G6617" s="4">
        <v>20251027</v>
      </c>
      <c r="H6617" s="38" t="str">
        <f>VLOOKUP(B6617,CAJEROS!B:D,3,0)</f>
        <v>Multifuncional</v>
      </c>
      <c r="I6617" s="34" t="s">
        <v>9</v>
      </c>
      <c r="J6617" s="38" t="str">
        <f>VLOOKUP(B6617,CAJEROS!B:E,4,0)</f>
        <v>MF_PASCASTE</v>
      </c>
      <c r="K6617" t="s">
        <v>610</v>
      </c>
    </row>
    <row r="6618" spans="1:11">
      <c r="A6618" s="32">
        <v>769</v>
      </c>
      <c r="B6618" s="33">
        <v>8679</v>
      </c>
      <c r="C6618" s="3">
        <v>756000</v>
      </c>
      <c r="D6618" s="3">
        <v>700000</v>
      </c>
      <c r="E6618" s="7">
        <f t="shared" si="124"/>
        <v>56000</v>
      </c>
      <c r="F6618" s="5">
        <v>45958</v>
      </c>
      <c r="G6618" s="4">
        <v>20251027</v>
      </c>
      <c r="H6618" s="38" t="str">
        <f>VLOOKUP(B6618,CAJEROS!B:D,3,0)</f>
        <v>Multifuncional</v>
      </c>
      <c r="I6618" s="34" t="s">
        <v>9</v>
      </c>
      <c r="J6618" s="38" t="str">
        <f>VLOOKUP(B6618,CAJEROS!B:E,4,0)</f>
        <v>MF_SUCPPRA1</v>
      </c>
      <c r="K6618" t="s">
        <v>610</v>
      </c>
    </row>
    <row r="6619" spans="1:11">
      <c r="A6619" s="32">
        <v>123</v>
      </c>
      <c r="B6619" s="33">
        <v>7134</v>
      </c>
      <c r="C6619" s="3">
        <v>661000</v>
      </c>
      <c r="D6619" s="3">
        <v>251000</v>
      </c>
      <c r="E6619" s="7">
        <f t="shared" si="124"/>
        <v>410000</v>
      </c>
      <c r="F6619" s="5">
        <v>45958</v>
      </c>
      <c r="G6619" s="4">
        <v>20251027</v>
      </c>
      <c r="H6619" s="38" t="str">
        <f>VLOOKUP(B6619,CAJEROS!B:D,3,0)</f>
        <v>Multifuncional</v>
      </c>
      <c r="I6619" s="34" t="s">
        <v>9</v>
      </c>
      <c r="J6619" s="38" t="str">
        <f>VLOOKUP(B6619,CAJEROS!B:E,4,0)</f>
        <v>MF_CPRIONE2</v>
      </c>
      <c r="K6619" t="s">
        <v>610</v>
      </c>
    </row>
    <row r="6620" spans="1:11">
      <c r="A6620" s="32">
        <v>820</v>
      </c>
      <c r="B6620" s="33">
        <v>6174</v>
      </c>
      <c r="C6620" s="3">
        <v>595000</v>
      </c>
      <c r="D6620" s="3">
        <v>440000</v>
      </c>
      <c r="E6620" s="7">
        <f t="shared" si="124"/>
        <v>155000</v>
      </c>
      <c r="F6620" s="5">
        <v>45958</v>
      </c>
      <c r="G6620" s="4">
        <v>20251027</v>
      </c>
      <c r="H6620" s="38" t="str">
        <f>VLOOKUP(B6620,CAJEROS!B:D,3,0)</f>
        <v>Multifuncional</v>
      </c>
      <c r="I6620" s="34" t="s">
        <v>9</v>
      </c>
      <c r="J6620" s="38" t="str">
        <f>VLOOKUP(B6620,CAJEROS!B:E,4,0)</f>
        <v>MF_AVCERO</v>
      </c>
      <c r="K6620" t="s">
        <v>610</v>
      </c>
    </row>
    <row r="6621" spans="1:11">
      <c r="A6621" s="32">
        <v>91</v>
      </c>
      <c r="B6621" s="33">
        <v>7943</v>
      </c>
      <c r="C6621" s="3">
        <v>583000</v>
      </c>
      <c r="D6621" s="3"/>
      <c r="E6621" s="7">
        <f t="shared" si="124"/>
        <v>583000</v>
      </c>
      <c r="F6621" s="5">
        <v>45958</v>
      </c>
      <c r="G6621" s="4">
        <v>20251027</v>
      </c>
      <c r="H6621" s="38" t="str">
        <f>VLOOKUP(B6621,CAJEROS!B:D,3,0)</f>
        <v>Multifuncional</v>
      </c>
      <c r="I6621" s="34" t="s">
        <v>9</v>
      </c>
      <c r="J6621" s="38" t="str">
        <f>VLOOKUP(B6621,CAJEROS!B:E,4,0)</f>
        <v>MF_MONTERI2</v>
      </c>
      <c r="K6621" t="s">
        <v>610</v>
      </c>
    </row>
    <row r="6622" spans="1:11">
      <c r="A6622" s="32">
        <v>656</v>
      </c>
      <c r="B6622" s="33">
        <v>5103</v>
      </c>
      <c r="C6622" s="3">
        <v>507950</v>
      </c>
      <c r="D6622" s="3"/>
      <c r="E6622" s="7">
        <f t="shared" si="124"/>
        <v>507950</v>
      </c>
      <c r="F6622" s="5">
        <v>45958</v>
      </c>
      <c r="G6622" s="4">
        <v>20251027</v>
      </c>
      <c r="H6622" s="38" t="str">
        <f>VLOOKUP(B6622,CAJEROS!B:D,3,0)</f>
        <v>Multifuncional</v>
      </c>
      <c r="I6622" s="34" t="s">
        <v>9</v>
      </c>
      <c r="J6622" s="38" t="str">
        <f>VLOOKUP(B6622,CAJEROS!B:E,4,0)</f>
        <v>MF_MAYPLAZA</v>
      </c>
      <c r="K6622" t="s">
        <v>610</v>
      </c>
    </row>
    <row r="6623" spans="1:11">
      <c r="A6623" s="32">
        <v>236</v>
      </c>
      <c r="B6623" s="33">
        <v>6242</v>
      </c>
      <c r="C6623" s="3">
        <v>490000</v>
      </c>
      <c r="D6623" s="3"/>
      <c r="E6623" s="7">
        <f t="shared" si="124"/>
        <v>490000</v>
      </c>
      <c r="F6623" s="5">
        <v>45958</v>
      </c>
      <c r="G6623" s="4">
        <v>20251027</v>
      </c>
      <c r="H6623" s="38" t="str">
        <f>VLOOKUP(B6623,CAJEROS!B:D,3,0)</f>
        <v>Multifuncional</v>
      </c>
      <c r="I6623" s="34" t="s">
        <v>9</v>
      </c>
      <c r="J6623" s="38" t="str">
        <f>VLOOKUP(B6623,CAJEROS!B:E,4,0)</f>
        <v>MF_EXITCOLO</v>
      </c>
      <c r="K6623" t="s">
        <v>610</v>
      </c>
    </row>
    <row r="6624" spans="1:11">
      <c r="A6624" s="32">
        <v>395</v>
      </c>
      <c r="B6624" s="33">
        <v>1528</v>
      </c>
      <c r="C6624" s="3">
        <v>430000</v>
      </c>
      <c r="D6624" s="3"/>
      <c r="E6624" s="7">
        <f t="shared" si="124"/>
        <v>430000</v>
      </c>
      <c r="F6624" s="5">
        <v>45958</v>
      </c>
      <c r="G6624" s="4">
        <v>20251027</v>
      </c>
      <c r="H6624" s="38" t="str">
        <f>VLOOKUP(B6624,CAJEROS!B:D,3,0)</f>
        <v>Multifuncional</v>
      </c>
      <c r="I6624" s="34" t="s">
        <v>9</v>
      </c>
      <c r="J6624" s="38" t="str">
        <f>VLOOKUP(B6624,CAJEROS!B:E,4,0)</f>
        <v>SUCMFVIVCI1</v>
      </c>
      <c r="K6624" t="s">
        <v>610</v>
      </c>
    </row>
    <row r="6625" spans="1:11">
      <c r="A6625" s="32">
        <v>379</v>
      </c>
      <c r="B6625" s="33">
        <v>6465</v>
      </c>
      <c r="C6625" s="3">
        <v>370000</v>
      </c>
      <c r="D6625" s="3">
        <v>300000</v>
      </c>
      <c r="E6625" s="7">
        <f t="shared" si="124"/>
        <v>70000</v>
      </c>
      <c r="F6625" s="5">
        <v>45958</v>
      </c>
      <c r="G6625" s="4">
        <v>20251027</v>
      </c>
      <c r="H6625" s="38" t="str">
        <f>VLOOKUP(B6625,CAJEROS!B:D,3,0)</f>
        <v>Multifuncional</v>
      </c>
      <c r="I6625" s="34" t="s">
        <v>9</v>
      </c>
      <c r="J6625" s="38" t="str">
        <f>VLOOKUP(B6625,CAJEROS!B:E,4,0)</f>
        <v>MF_SUCTESO1</v>
      </c>
      <c r="K6625" t="s">
        <v>610</v>
      </c>
    </row>
    <row r="6626" spans="1:11">
      <c r="A6626" s="32">
        <v>486</v>
      </c>
      <c r="B6626" s="33">
        <v>5081</v>
      </c>
      <c r="C6626" s="3">
        <v>350000</v>
      </c>
      <c r="D6626" s="3"/>
      <c r="E6626" s="7">
        <f t="shared" si="124"/>
        <v>350000</v>
      </c>
      <c r="F6626" s="5">
        <v>45958</v>
      </c>
      <c r="G6626" s="4">
        <v>20251027</v>
      </c>
      <c r="H6626" s="38" t="str">
        <f>VLOOKUP(B6626,CAJEROS!B:D,3,0)</f>
        <v>Multifuncional</v>
      </c>
      <c r="I6626" s="34" t="s">
        <v>9</v>
      </c>
      <c r="J6626" s="38" t="str">
        <f>VLOOKUP(B6626,CAJEROS!B:E,4,0)</f>
        <v>MF_SANNIBA1</v>
      </c>
      <c r="K6626" t="s">
        <v>610</v>
      </c>
    </row>
    <row r="6627" spans="1:11">
      <c r="A6627" s="32">
        <v>54</v>
      </c>
      <c r="B6627" s="33">
        <v>6204</v>
      </c>
      <c r="C6627" s="3">
        <v>204950</v>
      </c>
      <c r="D6627" s="3">
        <v>200000</v>
      </c>
      <c r="E6627" s="7">
        <f t="shared" si="124"/>
        <v>4950</v>
      </c>
      <c r="F6627" s="5">
        <v>45958</v>
      </c>
      <c r="G6627" s="4">
        <v>20251027</v>
      </c>
      <c r="H6627" s="38" t="str">
        <f>VLOOKUP(B6627,CAJEROS!B:D,3,0)</f>
        <v>Multifuncional</v>
      </c>
      <c r="I6627" s="34" t="s">
        <v>9</v>
      </c>
      <c r="J6627" s="38" t="str">
        <f>VLOOKUP(B6627,CAJEROS!B:E,4,0)</f>
        <v>MF_CALLE122</v>
      </c>
      <c r="K6627" t="s">
        <v>610</v>
      </c>
    </row>
    <row r="6628" spans="1:11">
      <c r="A6628" s="32">
        <v>261</v>
      </c>
      <c r="B6628" s="33">
        <v>5048</v>
      </c>
      <c r="C6628" s="3">
        <v>204900</v>
      </c>
      <c r="D6628" s="3"/>
      <c r="E6628" s="7">
        <f t="shared" si="124"/>
        <v>204900</v>
      </c>
      <c r="F6628" s="5">
        <v>45958</v>
      </c>
      <c r="G6628" s="4">
        <v>20251027</v>
      </c>
      <c r="H6628" s="38" t="str">
        <f>VLOOKUP(B6628,CAJEROS!B:D,3,0)</f>
        <v>Multifuncional</v>
      </c>
      <c r="I6628" s="34" t="s">
        <v>9</v>
      </c>
      <c r="J6628" s="38" t="str">
        <f>VLOOKUP(B6628,CAJEROS!B:E,4,0)</f>
        <v>MF_CAMPANA</v>
      </c>
      <c r="K6628" t="s">
        <v>610</v>
      </c>
    </row>
    <row r="6629" spans="1:11">
      <c r="A6629" s="32">
        <v>32</v>
      </c>
      <c r="B6629" s="33">
        <v>5027</v>
      </c>
      <c r="C6629" s="3">
        <v>170000</v>
      </c>
      <c r="D6629" s="3"/>
      <c r="E6629" s="7">
        <f t="shared" si="124"/>
        <v>170000</v>
      </c>
      <c r="F6629" s="5">
        <v>45958</v>
      </c>
      <c r="G6629" s="4">
        <v>20251027</v>
      </c>
      <c r="H6629" s="38" t="str">
        <f>VLOOKUP(B6629,CAJEROS!B:D,3,0)</f>
        <v>Multifuncional</v>
      </c>
      <c r="I6629" s="34" t="s">
        <v>9</v>
      </c>
      <c r="J6629" s="38" t="str">
        <f>VLOOKUP(B6629,CAJEROS!B:E,4,0)</f>
        <v>MF_ANTCOUNT</v>
      </c>
      <c r="K6629" t="s">
        <v>610</v>
      </c>
    </row>
    <row r="6630" spans="1:11">
      <c r="A6630" s="32">
        <v>890</v>
      </c>
      <c r="B6630" s="33">
        <v>9584</v>
      </c>
      <c r="C6630" s="3">
        <v>160000</v>
      </c>
      <c r="D6630" s="3"/>
      <c r="E6630" s="7">
        <f t="shared" si="124"/>
        <v>160000</v>
      </c>
      <c r="F6630" s="5">
        <v>45958</v>
      </c>
      <c r="G6630" s="4">
        <v>20251027</v>
      </c>
      <c r="H6630" s="38" t="str">
        <f>VLOOKUP(B6630,CAJEROS!B:D,3,0)</f>
        <v>Multifuncional</v>
      </c>
      <c r="I6630" s="34" t="s">
        <v>9</v>
      </c>
      <c r="J6630" s="38" t="str">
        <f>VLOOKUP(B6630,CAJEROS!B:E,4,0)</f>
        <v>MFSUCACACI1</v>
      </c>
      <c r="K6630" t="s">
        <v>610</v>
      </c>
    </row>
    <row r="6631" spans="1:11">
      <c r="A6631" s="32">
        <v>76</v>
      </c>
      <c r="B6631" s="33">
        <v>5126</v>
      </c>
      <c r="C6631" s="3">
        <v>120000</v>
      </c>
      <c r="D6631" s="3"/>
      <c r="E6631" s="7">
        <f t="shared" si="124"/>
        <v>120000</v>
      </c>
      <c r="F6631" s="5">
        <v>45958</v>
      </c>
      <c r="G6631" s="4">
        <v>20251027</v>
      </c>
      <c r="H6631" s="38" t="str">
        <f>VLOOKUP(B6631,CAJEROS!B:D,3,0)</f>
        <v>Multifuncional</v>
      </c>
      <c r="I6631" s="34" t="s">
        <v>9</v>
      </c>
      <c r="J6631" s="38" t="str">
        <f>VLOOKUP(B6631,CAJEROS!B:E,4,0)</f>
        <v>MF_NEIVA</v>
      </c>
      <c r="K6631" t="s">
        <v>610</v>
      </c>
    </row>
    <row r="6632" spans="1:11">
      <c r="A6632" s="32">
        <v>217</v>
      </c>
      <c r="B6632" s="33">
        <v>5208</v>
      </c>
      <c r="C6632" s="3">
        <v>80000</v>
      </c>
      <c r="D6632" s="3"/>
      <c r="E6632" s="7">
        <f t="shared" si="124"/>
        <v>80000</v>
      </c>
      <c r="F6632" s="5">
        <v>45958</v>
      </c>
      <c r="G6632" s="4">
        <v>20251027</v>
      </c>
      <c r="H6632" s="38" t="str">
        <f>VLOOKUP(B6632,CAJEROS!B:D,3,0)</f>
        <v>Multifuncional</v>
      </c>
      <c r="I6632" s="34" t="s">
        <v>9</v>
      </c>
      <c r="J6632" s="38" t="str">
        <f>VLOOKUP(B6632,CAJEROS!B:E,4,0)</f>
        <v>MF_MONTEVID</v>
      </c>
      <c r="K6632" t="s">
        <v>610</v>
      </c>
    </row>
    <row r="6633" spans="1:11">
      <c r="A6633" s="32">
        <v>499</v>
      </c>
      <c r="B6633" s="33">
        <v>9810</v>
      </c>
      <c r="C6633" s="3">
        <v>70000</v>
      </c>
      <c r="D6633" s="3"/>
      <c r="E6633" s="7">
        <f t="shared" si="124"/>
        <v>70000</v>
      </c>
      <c r="F6633" s="5">
        <v>45958</v>
      </c>
      <c r="G6633" s="4">
        <v>20251027</v>
      </c>
      <c r="H6633" s="38" t="str">
        <f>VLOOKUP(B6633,CAJEROS!B:D,3,0)</f>
        <v>Multifuncional</v>
      </c>
      <c r="I6633" s="34" t="s">
        <v>9</v>
      </c>
      <c r="J6633" s="38" t="str">
        <f>VLOOKUP(B6633,CAJEROS!B:E,4,0)</f>
        <v>MF_SUCPARF1</v>
      </c>
      <c r="K6633" t="s">
        <v>610</v>
      </c>
    </row>
    <row r="6634" spans="1:11">
      <c r="A6634" s="32">
        <v>6</v>
      </c>
      <c r="B6634" s="33">
        <v>5001</v>
      </c>
      <c r="C6634" s="3">
        <v>50000</v>
      </c>
      <c r="D6634" s="3"/>
      <c r="E6634" s="7">
        <f t="shared" si="124"/>
        <v>50000</v>
      </c>
      <c r="F6634" s="5">
        <v>45958</v>
      </c>
      <c r="G6634" s="4">
        <v>20251027</v>
      </c>
      <c r="H6634" s="38" t="str">
        <f>VLOOKUP(B6634,CAJEROS!B:D,3,0)</f>
        <v>Multifuncional</v>
      </c>
      <c r="I6634" s="34" t="s">
        <v>9</v>
      </c>
      <c r="J6634" s="38" t="str">
        <f>VLOOKUP(B6634,CAJEROS!B:E,4,0)</f>
        <v>MF_AVJUNIN</v>
      </c>
      <c r="K6634" t="s">
        <v>610</v>
      </c>
    </row>
    <row r="6635" spans="1:11">
      <c r="A6635" s="32">
        <v>20</v>
      </c>
      <c r="B6635" s="33">
        <v>8927</v>
      </c>
      <c r="C6635" s="3">
        <v>27900</v>
      </c>
      <c r="D6635" s="3"/>
      <c r="E6635" s="7">
        <f t="shared" si="124"/>
        <v>27900</v>
      </c>
      <c r="F6635" s="5">
        <v>45958</v>
      </c>
      <c r="G6635" s="4">
        <v>20251027</v>
      </c>
      <c r="H6635" s="38" t="str">
        <f>VLOOKUP(B6635,CAJEROS!B:D,3,0)</f>
        <v>Multifuncional</v>
      </c>
      <c r="I6635" s="34" t="s">
        <v>9</v>
      </c>
      <c r="J6635" s="38" t="str">
        <f>VLOOKUP(B6635,CAJEROS!B:E,4,0)</f>
        <v>MFSUCBUCMG2</v>
      </c>
      <c r="K6635" t="s">
        <v>610</v>
      </c>
    </row>
    <row r="6636" spans="1:11">
      <c r="A6636" s="32">
        <v>716</v>
      </c>
      <c r="B6636" s="33">
        <v>5192</v>
      </c>
      <c r="C6636" s="3">
        <v>150</v>
      </c>
      <c r="D6636" s="3"/>
      <c r="E6636" s="7">
        <f t="shared" si="124"/>
        <v>150</v>
      </c>
      <c r="F6636" s="5">
        <v>45958</v>
      </c>
      <c r="G6636" s="4">
        <v>20251027</v>
      </c>
      <c r="H6636" s="38" t="str">
        <f>VLOOKUP(B6636,CAJEROS!B:D,3,0)</f>
        <v>Multifuncional</v>
      </c>
      <c r="I6636" s="34" t="s">
        <v>10</v>
      </c>
      <c r="J6636" s="38" t="str">
        <f>VLOOKUP(B6636,CAJEROS!B:E,4,0)</f>
        <v>MF_AVCGORDS</v>
      </c>
      <c r="K6636" t="s">
        <v>610</v>
      </c>
    </row>
    <row r="6637" spans="1:11">
      <c r="A6637" s="32">
        <v>191</v>
      </c>
      <c r="B6637" s="33">
        <v>5112</v>
      </c>
      <c r="C6637" s="3">
        <v>1600</v>
      </c>
      <c r="D6637" s="3"/>
      <c r="E6637" s="7">
        <f t="shared" si="124"/>
        <v>1600</v>
      </c>
      <c r="F6637" s="5">
        <v>45958</v>
      </c>
      <c r="G6637" s="4">
        <v>20251027</v>
      </c>
      <c r="H6637" s="38" t="str">
        <f>VLOOKUP(B6637,CAJEROS!B:D,3,0)</f>
        <v>Multifuncional</v>
      </c>
      <c r="I6637" s="34" t="s">
        <v>10</v>
      </c>
      <c r="J6637" s="38" t="str">
        <f>VLOOKUP(B6637,CAJEROS!B:E,4,0)</f>
        <v>MF_AVENID19</v>
      </c>
      <c r="K6637" t="s">
        <v>610</v>
      </c>
    </row>
    <row r="6638" spans="1:11">
      <c r="A6638" s="32">
        <v>517</v>
      </c>
      <c r="B6638" s="33">
        <v>5053</v>
      </c>
      <c r="C6638" s="3">
        <v>12000</v>
      </c>
      <c r="D6638" s="3"/>
      <c r="E6638" s="7">
        <f t="shared" si="124"/>
        <v>12000</v>
      </c>
      <c r="F6638" s="5">
        <v>45958</v>
      </c>
      <c r="G6638" s="4">
        <v>20251027</v>
      </c>
      <c r="H6638" s="38" t="str">
        <f>VLOOKUP(B6638,CAJEROS!B:D,3,0)</f>
        <v>Multifuncional</v>
      </c>
      <c r="I6638" s="34" t="s">
        <v>10</v>
      </c>
      <c r="J6638" s="38" t="str">
        <f>VLOOKUP(B6638,CAJEROS!B:E,4,0)</f>
        <v>MF_RODADERO</v>
      </c>
      <c r="K6638" t="s">
        <v>610</v>
      </c>
    </row>
    <row r="6639" spans="1:11">
      <c r="A6639" s="32">
        <v>1</v>
      </c>
      <c r="B6639" s="33">
        <v>5000</v>
      </c>
      <c r="C6639" s="3">
        <v>5000</v>
      </c>
      <c r="D6639" s="3"/>
      <c r="E6639" s="7">
        <f t="shared" si="124"/>
        <v>5000</v>
      </c>
      <c r="F6639" s="5">
        <v>45958</v>
      </c>
      <c r="G6639" s="4">
        <v>20251027</v>
      </c>
      <c r="H6639" s="38" t="str">
        <f>VLOOKUP(B6639,CAJEROS!B:D,3,0)</f>
        <v>Multifuncional</v>
      </c>
      <c r="I6639" s="34" t="s">
        <v>10</v>
      </c>
      <c r="J6639" s="38" t="str">
        <f>VLOOKUP(B6639,CAJEROS!B:E,4,0)</f>
        <v>MF_CARABOBO</v>
      </c>
      <c r="K6639" t="s">
        <v>610</v>
      </c>
    </row>
    <row r="6640" spans="1:11">
      <c r="A6640" s="32">
        <v>399</v>
      </c>
      <c r="B6640" s="33">
        <v>8442</v>
      </c>
      <c r="C6640" s="3">
        <v>10000</v>
      </c>
      <c r="D6640" s="3"/>
      <c r="E6640" s="7">
        <f t="shared" si="124"/>
        <v>10000</v>
      </c>
      <c r="F6640" s="5">
        <v>45958</v>
      </c>
      <c r="G6640" s="4">
        <v>20251027</v>
      </c>
      <c r="H6640" s="38" t="str">
        <f>VLOOKUP(B6640,CAJEROS!B:D,3,0)</f>
        <v>Dispensador</v>
      </c>
      <c r="I6640" s="34" t="s">
        <v>10</v>
      </c>
      <c r="J6640" s="38" t="str">
        <f>VLOOKUP(B6640,CAJEROS!B:E,4,0)</f>
        <v>SUCGIRARDO3</v>
      </c>
      <c r="K6640" t="s">
        <v>610</v>
      </c>
    </row>
    <row r="6641" spans="1:11">
      <c r="A6641" s="32">
        <v>291</v>
      </c>
      <c r="B6641" s="33">
        <v>8188</v>
      </c>
      <c r="C6641" s="3">
        <v>20000</v>
      </c>
      <c r="D6641" s="3"/>
      <c r="E6641" s="7">
        <f t="shared" si="124"/>
        <v>20000</v>
      </c>
      <c r="F6641" s="5">
        <v>45958</v>
      </c>
      <c r="G6641" s="4">
        <v>20251027</v>
      </c>
      <c r="H6641" s="38" t="str">
        <f>VLOOKUP(B6641,CAJEROS!B:D,3,0)</f>
        <v>Dispensador</v>
      </c>
      <c r="I6641" s="34" t="s">
        <v>10</v>
      </c>
      <c r="J6641" s="38" t="str">
        <f>VLOOKUP(B6641,CAJEROS!B:E,4,0)</f>
        <v>SUCPALMAS3</v>
      </c>
      <c r="K6641" t="s">
        <v>610</v>
      </c>
    </row>
    <row r="6642" spans="1:11">
      <c r="A6642" s="32">
        <v>372</v>
      </c>
      <c r="B6642" s="33">
        <v>7917</v>
      </c>
      <c r="C6642" s="3">
        <v>20000</v>
      </c>
      <c r="D6642" s="3"/>
      <c r="E6642" s="7">
        <f t="shared" si="124"/>
        <v>20000</v>
      </c>
      <c r="F6642" s="5">
        <v>45958</v>
      </c>
      <c r="G6642" s="4">
        <v>20251027</v>
      </c>
      <c r="H6642" s="38" t="str">
        <f>VLOOKUP(B6642,CAJEROS!B:D,3,0)</f>
        <v>Dispensador</v>
      </c>
      <c r="I6642" s="34" t="s">
        <v>10</v>
      </c>
      <c r="J6642" s="38" t="str">
        <f>VLOOKUP(B6642,CAJEROS!B:E,4,0)</f>
        <v>SUCFACATA_3</v>
      </c>
      <c r="K6642" t="s">
        <v>610</v>
      </c>
    </row>
    <row r="6643" spans="1:11">
      <c r="A6643" s="32">
        <v>844</v>
      </c>
      <c r="B6643" s="33">
        <v>6157</v>
      </c>
      <c r="C6643" s="3">
        <v>10000</v>
      </c>
      <c r="D6643" s="3"/>
      <c r="E6643" s="7">
        <f t="shared" si="124"/>
        <v>10000</v>
      </c>
      <c r="F6643" s="5">
        <v>45958</v>
      </c>
      <c r="G6643" s="4">
        <v>20251027</v>
      </c>
      <c r="H6643" s="38" t="str">
        <f>VLOOKUP(B6643,CAJEROS!B:D,3,0)</f>
        <v>Dispensador</v>
      </c>
      <c r="I6643" s="34" t="s">
        <v>10</v>
      </c>
      <c r="J6643" s="38" t="str">
        <f>VLOOKUP(B6643,CAJEROS!B:E,4,0)</f>
        <v>SUCCCPRIMA3</v>
      </c>
      <c r="K6643" t="s">
        <v>610</v>
      </c>
    </row>
    <row r="6644" spans="1:11">
      <c r="A6644" s="32">
        <v>297</v>
      </c>
      <c r="B6644" s="33">
        <v>4564</v>
      </c>
      <c r="C6644" s="3">
        <v>20000</v>
      </c>
      <c r="D6644" s="3"/>
      <c r="E6644" s="7">
        <f t="shared" si="124"/>
        <v>20000</v>
      </c>
      <c r="F6644" s="5">
        <v>45958</v>
      </c>
      <c r="G6644" s="4">
        <v>20251027</v>
      </c>
      <c r="H6644" s="38" t="str">
        <f>VLOOKUP(B6644,CAJEROS!B:D,3,0)</f>
        <v>Dispensador</v>
      </c>
      <c r="I6644" s="34" t="s">
        <v>10</v>
      </c>
      <c r="J6644" s="38" t="str">
        <f>VLOOKUP(B6644,CAJEROS!B:E,4,0)</f>
        <v>SUC_AGUAC3</v>
      </c>
      <c r="K6644" t="s">
        <v>610</v>
      </c>
    </row>
    <row r="6645" spans="1:11">
      <c r="A6645" s="32">
        <v>943</v>
      </c>
      <c r="B6645" s="33">
        <v>3428</v>
      </c>
      <c r="C6645" s="3">
        <v>20000</v>
      </c>
      <c r="D6645" s="3"/>
      <c r="E6645" s="7">
        <f t="shared" si="124"/>
        <v>20000</v>
      </c>
      <c r="F6645" s="5">
        <v>45958</v>
      </c>
      <c r="G6645" s="4">
        <v>20251027</v>
      </c>
      <c r="H6645" s="38" t="str">
        <f>VLOOKUP(B6645,CAJEROS!B:D,3,0)</f>
        <v>Dispensador</v>
      </c>
      <c r="I6645" s="34" t="s">
        <v>10</v>
      </c>
      <c r="J6645" s="38" t="str">
        <f>VLOOKUP(B6645,CAJEROS!B:E,4,0)</f>
        <v>LETICIA_2</v>
      </c>
      <c r="K6645" t="s">
        <v>610</v>
      </c>
    </row>
    <row r="6646" spans="1:11">
      <c r="A6646" s="32">
        <v>60</v>
      </c>
      <c r="B6646" s="33">
        <v>8727</v>
      </c>
      <c r="C6646" s="3">
        <v>5000</v>
      </c>
      <c r="D6646" s="3"/>
      <c r="E6646" s="7">
        <f t="shared" si="124"/>
        <v>5000</v>
      </c>
      <c r="F6646" s="5">
        <v>45958</v>
      </c>
      <c r="G6646" s="4">
        <v>20251027</v>
      </c>
      <c r="H6646" s="38" t="str">
        <f>VLOOKUP(B6646,CAJEROS!B:D,3,0)</f>
        <v>Multifuncional</v>
      </c>
      <c r="I6646" s="34" t="s">
        <v>10</v>
      </c>
      <c r="J6646" s="38" t="str">
        <f>VLOOKUP(B6646,CAJEROS!B:E,4,0)</f>
        <v>MF_HCALIPR1</v>
      </c>
      <c r="K6646" t="s">
        <v>610</v>
      </c>
    </row>
    <row r="6647" spans="1:11">
      <c r="A6647" s="32">
        <v>240</v>
      </c>
      <c r="B6647" s="33">
        <v>6372</v>
      </c>
      <c r="C6647" s="3">
        <v>10000</v>
      </c>
      <c r="D6647" s="3"/>
      <c r="E6647" s="7">
        <f t="shared" si="124"/>
        <v>10000</v>
      </c>
      <c r="F6647" s="5">
        <v>45959</v>
      </c>
      <c r="G6647" s="4">
        <v>20251027</v>
      </c>
      <c r="H6647" s="38" t="str">
        <f>VLOOKUP(B6647,CAJEROS!B:D,3,0)</f>
        <v>Dispensador</v>
      </c>
      <c r="I6647" s="34"/>
      <c r="J6647" s="38" t="str">
        <f>VLOOKUP(B6647,CAJEROS!B:E,4,0)</f>
        <v>STAFEANTI_2</v>
      </c>
      <c r="K6647" t="s">
        <v>610</v>
      </c>
    </row>
    <row r="6648" spans="1:11">
      <c r="A6648" s="32">
        <v>16</v>
      </c>
      <c r="B6648" s="33">
        <v>5219</v>
      </c>
      <c r="C6648" s="3">
        <v>5000</v>
      </c>
      <c r="D6648" s="3"/>
      <c r="E6648" s="7">
        <f t="shared" si="124"/>
        <v>5000</v>
      </c>
      <c r="F6648" s="5">
        <v>45959</v>
      </c>
      <c r="G6648" s="4">
        <v>20251028</v>
      </c>
      <c r="H6648" s="38" t="str">
        <f>VLOOKUP(B6648,CAJEROS!B:D,3,0)</f>
        <v>Multifuncional</v>
      </c>
      <c r="I6648" s="34"/>
      <c r="J6648" s="38" t="str">
        <f>VLOOKUP(B6648,CAJEROS!B:E,4,0)</f>
        <v>MF_AEOLAYA</v>
      </c>
      <c r="K6648" t="s">
        <v>610</v>
      </c>
    </row>
    <row r="6649" spans="1:11">
      <c r="A6649" s="32">
        <v>33</v>
      </c>
      <c r="B6649" s="33">
        <v>8861</v>
      </c>
      <c r="C6649" s="3">
        <v>2350000</v>
      </c>
      <c r="D6649" s="3"/>
      <c r="E6649" s="7">
        <f t="shared" si="124"/>
        <v>2350000</v>
      </c>
      <c r="F6649" s="5">
        <v>45959</v>
      </c>
      <c r="G6649" s="4">
        <v>20251028</v>
      </c>
      <c r="H6649" s="38" t="str">
        <f>VLOOKUP(B6649,CAJEROS!B:D,3,0)</f>
        <v>Multifuncional</v>
      </c>
      <c r="I6649" s="34"/>
      <c r="J6649" s="38" t="str">
        <f>VLOOKUP(B6649,CAJEROS!B:E,4,0)</f>
        <v>MF_SPOLCLU1</v>
      </c>
      <c r="K6649" t="s">
        <v>610</v>
      </c>
    </row>
    <row r="6650" spans="1:11">
      <c r="A6650" s="32">
        <v>229</v>
      </c>
      <c r="B6650" s="33">
        <v>9604</v>
      </c>
      <c r="C6650" s="3">
        <v>7794000</v>
      </c>
      <c r="D6650" s="3"/>
      <c r="E6650" s="7">
        <f t="shared" si="124"/>
        <v>7794000</v>
      </c>
      <c r="F6650" s="5">
        <v>45959</v>
      </c>
      <c r="G6650" s="4">
        <v>20251028</v>
      </c>
      <c r="H6650" s="38" t="str">
        <f>VLOOKUP(B6650,CAJEROS!B:D,3,0)</f>
        <v>Multifuncional</v>
      </c>
      <c r="I6650" s="34"/>
      <c r="J6650" s="38" t="str">
        <f>VLOOKUP(B6650,CAJEROS!B:E,4,0)</f>
        <v>MFSUCPASER1</v>
      </c>
      <c r="K6650" t="s">
        <v>610</v>
      </c>
    </row>
    <row r="6651" spans="1:11">
      <c r="A6651" s="32">
        <v>285</v>
      </c>
      <c r="B6651" s="33">
        <v>5228</v>
      </c>
      <c r="C6651" s="3">
        <v>3000</v>
      </c>
      <c r="D6651" s="3"/>
      <c r="E6651" s="7">
        <f t="shared" si="124"/>
        <v>3000</v>
      </c>
      <c r="F6651" s="5">
        <v>45959</v>
      </c>
      <c r="G6651" s="4">
        <v>20251028</v>
      </c>
      <c r="H6651" s="38" t="str">
        <f>VLOOKUP(B6651,CAJEROS!B:D,3,0)</f>
        <v>Multifuncional</v>
      </c>
      <c r="I6651" s="34"/>
      <c r="J6651" s="38" t="str">
        <f>VLOOKUP(B6651,CAJEROS!B:E,4,0)</f>
        <v>MF_GARZON</v>
      </c>
      <c r="K6651" t="s">
        <v>610</v>
      </c>
    </row>
    <row r="6652" spans="1:11">
      <c r="A6652" s="32">
        <v>352</v>
      </c>
      <c r="B6652" s="33">
        <v>6618</v>
      </c>
      <c r="C6652" s="3">
        <v>9900</v>
      </c>
      <c r="D6652" s="3"/>
      <c r="E6652" s="7">
        <f t="shared" si="124"/>
        <v>9900</v>
      </c>
      <c r="F6652" s="5">
        <v>45959</v>
      </c>
      <c r="G6652" s="4">
        <v>20251028</v>
      </c>
      <c r="H6652" s="38" t="str">
        <f>VLOOKUP(B6652,CAJEROS!B:D,3,0)</f>
        <v>Multifuncional</v>
      </c>
      <c r="I6652" s="34"/>
      <c r="J6652" s="38" t="str">
        <f>VLOOKUP(B6652,CAJEROS!B:E,4,0)</f>
        <v>MF_CHIQUINQ</v>
      </c>
      <c r="K6652" t="s">
        <v>610</v>
      </c>
    </row>
    <row r="6653" spans="1:11">
      <c r="A6653" s="32">
        <v>438</v>
      </c>
      <c r="B6653" s="33">
        <v>1565</v>
      </c>
      <c r="C6653" s="3">
        <v>21933000</v>
      </c>
      <c r="D6653" s="3"/>
      <c r="E6653" s="7">
        <f t="shared" si="124"/>
        <v>21933000</v>
      </c>
      <c r="F6653" s="5">
        <v>45959</v>
      </c>
      <c r="G6653" s="4">
        <v>20251028</v>
      </c>
      <c r="H6653" s="38" t="str">
        <f>VLOOKUP(B6653,CAJEROS!B:D,3,0)</f>
        <v>Multifuncional</v>
      </c>
      <c r="I6653" s="34"/>
      <c r="J6653" s="38" t="str">
        <f>VLOOKUP(B6653,CAJEROS!B:E,4,0)</f>
        <v>MFSUCANDES1</v>
      </c>
      <c r="K6653" t="s">
        <v>610</v>
      </c>
    </row>
    <row r="6654" spans="1:11">
      <c r="A6654" s="32">
        <v>442</v>
      </c>
      <c r="B6654" s="33">
        <v>8888</v>
      </c>
      <c r="C6654" s="3">
        <v>5008000</v>
      </c>
      <c r="D6654" s="3"/>
      <c r="E6654" s="7">
        <f t="shared" si="124"/>
        <v>5008000</v>
      </c>
      <c r="F6654" s="5">
        <v>45959</v>
      </c>
      <c r="G6654" s="4">
        <v>20251028</v>
      </c>
      <c r="H6654" s="38" t="str">
        <f>VLOOKUP(B6654,CAJEROS!B:D,3,0)</f>
        <v>Multifuncional</v>
      </c>
      <c r="I6654" s="34"/>
      <c r="J6654" s="38" t="str">
        <f>VLOOKUP(B6654,CAJEROS!B:E,4,0)</f>
        <v>MFVIVABQUI2</v>
      </c>
      <c r="K6654" t="s">
        <v>610</v>
      </c>
    </row>
    <row r="6655" spans="1:11">
      <c r="A6655" s="32">
        <v>554</v>
      </c>
      <c r="B6655" s="33">
        <v>8295</v>
      </c>
      <c r="C6655" s="3">
        <v>7018000</v>
      </c>
      <c r="D6655" s="3"/>
      <c r="E6655" s="7">
        <f t="shared" si="124"/>
        <v>7018000</v>
      </c>
      <c r="F6655" s="5">
        <v>45959</v>
      </c>
      <c r="G6655" s="4">
        <v>20251028</v>
      </c>
      <c r="H6655" s="38" t="str">
        <f>VLOOKUP(B6655,CAJEROS!B:D,3,0)</f>
        <v>Multifuncional</v>
      </c>
      <c r="I6655" s="34"/>
      <c r="J6655" s="38" t="str">
        <f>VLOOKUP(B6655,CAJEROS!B:E,4,0)</f>
        <v>MF_SBUVIII2</v>
      </c>
      <c r="K6655" t="s">
        <v>610</v>
      </c>
    </row>
    <row r="6656" spans="1:11">
      <c r="A6656" s="32">
        <v>569</v>
      </c>
      <c r="B6656" s="33">
        <v>8129</v>
      </c>
      <c r="C6656" s="3">
        <v>4314000</v>
      </c>
      <c r="D6656" s="3"/>
      <c r="E6656" s="7">
        <f t="shared" si="124"/>
        <v>4314000</v>
      </c>
      <c r="F6656" s="5">
        <v>45959</v>
      </c>
      <c r="G6656" s="4">
        <v>20251028</v>
      </c>
      <c r="H6656" s="38" t="str">
        <f>VLOOKUP(B6656,CAJEROS!B:D,3,0)</f>
        <v>Multifuncional</v>
      </c>
      <c r="I6656" s="34"/>
      <c r="J6656" s="38" t="str">
        <f>VLOOKUP(B6656,CAJEROS!B:E,4,0)</f>
        <v>MF_BUENMON2</v>
      </c>
      <c r="K6656" t="s">
        <v>610</v>
      </c>
    </row>
    <row r="6657" spans="1:11">
      <c r="A6657" s="32">
        <v>741</v>
      </c>
      <c r="B6657" s="33">
        <v>6843</v>
      </c>
      <c r="C6657" s="3">
        <v>300000</v>
      </c>
      <c r="D6657" s="3"/>
      <c r="E6657" s="7">
        <f t="shared" si="124"/>
        <v>300000</v>
      </c>
      <c r="F6657" s="5">
        <v>45959</v>
      </c>
      <c r="G6657" s="4">
        <v>20251028</v>
      </c>
      <c r="H6657" s="38" t="str">
        <f>VLOOKUP(B6657,CAJEROS!B:D,3,0)</f>
        <v>Multifuncional</v>
      </c>
      <c r="I6657" s="34"/>
      <c r="J6657" s="38" t="str">
        <f>VLOOKUP(B6657,CAJEROS!B:E,4,0)</f>
        <v>MFSUC_IDEO1</v>
      </c>
      <c r="K6657" t="s">
        <v>610</v>
      </c>
    </row>
    <row r="6658" spans="1:11">
      <c r="A6658" s="32">
        <v>779</v>
      </c>
      <c r="B6658" s="33">
        <v>5013</v>
      </c>
      <c r="C6658" s="3">
        <v>970000</v>
      </c>
      <c r="D6658" s="3"/>
      <c r="E6658" s="7">
        <f t="shared" si="124"/>
        <v>970000</v>
      </c>
      <c r="F6658" s="5">
        <v>45959</v>
      </c>
      <c r="G6658" s="4">
        <v>20251028</v>
      </c>
      <c r="H6658" s="38" t="str">
        <f>VLOOKUP(B6658,CAJEROS!B:D,3,0)</f>
        <v>Multifuncional</v>
      </c>
      <c r="I6658" s="34"/>
      <c r="J6658" s="38" t="str">
        <f>VLOOKUP(B6658,CAJEROS!B:E,4,0)</f>
        <v>MF_BUENASM1</v>
      </c>
      <c r="K6658" t="s">
        <v>610</v>
      </c>
    </row>
    <row r="6659" spans="1:11">
      <c r="A6659" s="32">
        <v>812</v>
      </c>
      <c r="B6659" s="33">
        <v>7614</v>
      </c>
      <c r="C6659" s="3">
        <v>30000</v>
      </c>
      <c r="D6659" s="3"/>
      <c r="E6659" s="7">
        <f t="shared" si="124"/>
        <v>30000</v>
      </c>
      <c r="F6659" s="5">
        <v>45959</v>
      </c>
      <c r="G6659" s="4">
        <v>20251028</v>
      </c>
      <c r="H6659" s="38" t="str">
        <f>VLOOKUP(B6659,CAJEROS!B:D,3,0)</f>
        <v>Multifuncional</v>
      </c>
      <c r="I6659" s="34"/>
      <c r="J6659" s="38" t="str">
        <f>VLOOKUP(B6659,CAJEROS!B:E,4,0)</f>
        <v>MF_CHPICHP3</v>
      </c>
      <c r="K6659" t="s">
        <v>610</v>
      </c>
    </row>
    <row r="6660" spans="1:11">
      <c r="A6660" s="32">
        <v>879</v>
      </c>
      <c r="B6660" s="33">
        <v>5045</v>
      </c>
      <c r="C6660" s="3">
        <v>640200</v>
      </c>
      <c r="D6660" s="3"/>
      <c r="E6660" s="7">
        <f t="shared" si="124"/>
        <v>640200</v>
      </c>
      <c r="F6660" s="5">
        <v>45959</v>
      </c>
      <c r="G6660" s="4">
        <v>20251028</v>
      </c>
      <c r="H6660" s="38" t="str">
        <f>VLOOKUP(B6660,CAJEROS!B:D,3,0)</f>
        <v>Multifuncional</v>
      </c>
      <c r="I6660" s="34"/>
      <c r="J6660" s="38" t="str">
        <f>VLOOKUP(B6660,CAJEROS!B:E,4,0)</f>
        <v>MF_UNPASTO</v>
      </c>
      <c r="K6660" t="s">
        <v>610</v>
      </c>
    </row>
    <row r="6661" spans="1:11">
      <c r="A6661" s="32">
        <v>907</v>
      </c>
      <c r="B6661" s="33">
        <v>4830</v>
      </c>
      <c r="C6661" s="3">
        <v>17074750</v>
      </c>
      <c r="D6661" s="3"/>
      <c r="E6661" s="7">
        <f t="shared" si="124"/>
        <v>17074750</v>
      </c>
      <c r="F6661" s="5">
        <v>45959</v>
      </c>
      <c r="G6661" s="4">
        <v>20251028</v>
      </c>
      <c r="H6661" s="38" t="str">
        <f>VLOOKUP(B6661,CAJEROS!B:D,3,0)</f>
        <v>Multifuncional</v>
      </c>
      <c r="I6661" s="34"/>
      <c r="J6661" s="38" t="str">
        <f>VLOOKUP(B6661,CAJEROS!B:E,4,0)</f>
        <v>MF_FRONTER2</v>
      </c>
      <c r="K6661" t="s">
        <v>610</v>
      </c>
    </row>
    <row r="6662" spans="1:11">
      <c r="A6662" s="32">
        <v>941</v>
      </c>
      <c r="B6662" s="33">
        <v>5220</v>
      </c>
      <c r="C6662" s="3">
        <v>926000</v>
      </c>
      <c r="D6662" s="3"/>
      <c r="E6662" s="7">
        <f t="shared" si="124"/>
        <v>926000</v>
      </c>
      <c r="F6662" s="5">
        <v>45959</v>
      </c>
      <c r="G6662" s="4">
        <v>20251028</v>
      </c>
      <c r="H6662" s="38" t="str">
        <f>VLOOKUP(B6662,CAJEROS!B:D,3,0)</f>
        <v>Multifuncional</v>
      </c>
      <c r="I6662" s="34"/>
      <c r="J6662" s="38" t="str">
        <f>VLOOKUP(B6662,CAJEROS!B:E,4,0)</f>
        <v>MF_NEIVANVA</v>
      </c>
      <c r="K6662" t="s">
        <v>610</v>
      </c>
    </row>
    <row r="6663" spans="1:11">
      <c r="A6663" s="32">
        <v>944</v>
      </c>
      <c r="B6663" s="33">
        <v>8354</v>
      </c>
      <c r="C6663" s="3">
        <v>25590000</v>
      </c>
      <c r="D6663" s="3"/>
      <c r="E6663" s="7">
        <f t="shared" si="124"/>
        <v>25590000</v>
      </c>
      <c r="F6663" s="5">
        <v>45959</v>
      </c>
      <c r="G6663" s="4">
        <v>20251028</v>
      </c>
      <c r="H6663" s="38" t="str">
        <f>VLOOKUP(B6663,CAJEROS!B:D,3,0)</f>
        <v>Multifuncional</v>
      </c>
      <c r="I6663" s="34"/>
      <c r="J6663" s="38" t="str">
        <f>VLOOKUP(B6663,CAJEROS!B:E,4,0)</f>
        <v>MF_SANTABO2</v>
      </c>
      <c r="K6663" t="s">
        <v>610</v>
      </c>
    </row>
    <row r="6664" spans="1:11">
      <c r="A6664" s="32">
        <v>743</v>
      </c>
      <c r="B6664" s="33">
        <v>5106</v>
      </c>
      <c r="C6664" s="3">
        <v>3840000</v>
      </c>
      <c r="D6664" s="3">
        <v>3740000</v>
      </c>
      <c r="E6664" s="7">
        <f t="shared" si="124"/>
        <v>100000</v>
      </c>
      <c r="F6664" s="5">
        <v>45959</v>
      </c>
      <c r="G6664" s="4">
        <v>20251028</v>
      </c>
      <c r="H6664" s="38" t="str">
        <f>VLOOKUP(B6664,CAJEROS!B:D,3,0)</f>
        <v>Multifuncional</v>
      </c>
      <c r="I6664" s="34" t="s">
        <v>9</v>
      </c>
      <c r="J6664" s="38" t="str">
        <f>VLOOKUP(B6664,CAJEROS!B:E,4,0)</f>
        <v>MF_NORTHPOI</v>
      </c>
      <c r="K6664" t="s">
        <v>610</v>
      </c>
    </row>
    <row r="6665" spans="1:11">
      <c r="A6665" s="32">
        <v>348</v>
      </c>
      <c r="B6665" s="33">
        <v>9009</v>
      </c>
      <c r="C6665" s="3">
        <v>3736000</v>
      </c>
      <c r="D6665" s="3"/>
      <c r="E6665" s="7">
        <f t="shared" si="124"/>
        <v>3736000</v>
      </c>
      <c r="F6665" s="5">
        <v>45959</v>
      </c>
      <c r="G6665" s="4">
        <v>20251028</v>
      </c>
      <c r="H6665" s="38" t="str">
        <f>VLOOKUP(B6665,CAJEROS!B:D,3,0)</f>
        <v>Multifuncional</v>
      </c>
      <c r="I6665" s="34" t="s">
        <v>9</v>
      </c>
      <c r="J6665" s="38" t="str">
        <f>VLOOKUP(B6665,CAJEROS!B:E,4,0)</f>
        <v>MF_SANDRES2</v>
      </c>
      <c r="K6665" t="s">
        <v>610</v>
      </c>
    </row>
    <row r="6666" spans="1:11">
      <c r="A6666" s="32">
        <v>674</v>
      </c>
      <c r="B6666" s="33">
        <v>5200</v>
      </c>
      <c r="C6666" s="3">
        <v>3670000</v>
      </c>
      <c r="D6666" s="3">
        <v>3120000</v>
      </c>
      <c r="E6666" s="7">
        <f t="shared" si="124"/>
        <v>550000</v>
      </c>
      <c r="F6666" s="5">
        <v>45959</v>
      </c>
      <c r="G6666" s="4">
        <v>20251028</v>
      </c>
      <c r="H6666" s="38" t="str">
        <f>VLOOKUP(B6666,CAJEROS!B:D,3,0)</f>
        <v>Multifuncional</v>
      </c>
      <c r="I6666" s="34" t="s">
        <v>9</v>
      </c>
      <c r="J6666" s="38" t="str">
        <f>VLOOKUP(B6666,CAJEROS!B:E,4,0)</f>
        <v>MF_AV68FLOR</v>
      </c>
      <c r="K6666" t="s">
        <v>610</v>
      </c>
    </row>
    <row r="6667" spans="1:11">
      <c r="A6667" s="32">
        <v>509</v>
      </c>
      <c r="B6667" s="33">
        <v>8835</v>
      </c>
      <c r="C6667" s="3">
        <v>3575000</v>
      </c>
      <c r="D6667" s="3"/>
      <c r="E6667" s="7">
        <f t="shared" ref="E6667:E6730" si="125">+C6667-D6667</f>
        <v>3575000</v>
      </c>
      <c r="F6667" s="5">
        <v>45959</v>
      </c>
      <c r="G6667" s="4">
        <v>20251028</v>
      </c>
      <c r="H6667" s="38" t="str">
        <f>VLOOKUP(B6667,CAJEROS!B:D,3,0)</f>
        <v>Multifuncional</v>
      </c>
      <c r="I6667" s="34" t="s">
        <v>9</v>
      </c>
      <c r="J6667" s="38" t="str">
        <f>VLOOKUP(B6667,CAJEROS!B:E,4,0)</f>
        <v>MFTSUCURB1</v>
      </c>
      <c r="K6667" t="s">
        <v>610</v>
      </c>
    </row>
    <row r="6668" spans="1:11">
      <c r="A6668" s="32">
        <v>367</v>
      </c>
      <c r="B6668" s="33">
        <v>9580</v>
      </c>
      <c r="C6668" s="3">
        <v>3187300</v>
      </c>
      <c r="D6668" s="3"/>
      <c r="E6668" s="7">
        <f t="shared" si="125"/>
        <v>3187300</v>
      </c>
      <c r="F6668" s="5">
        <v>45959</v>
      </c>
      <c r="G6668" s="4">
        <v>20251028</v>
      </c>
      <c r="H6668" s="38" t="str">
        <f>VLOOKUP(B6668,CAJEROS!B:D,3,0)</f>
        <v>Multifuncional</v>
      </c>
      <c r="I6668" s="34" t="s">
        <v>9</v>
      </c>
      <c r="J6668" s="38" t="str">
        <f>VLOOKUP(B6668,CAJEROS!B:E,4,0)</f>
        <v>MF_SUCGRAN1</v>
      </c>
      <c r="K6668" t="s">
        <v>610</v>
      </c>
    </row>
    <row r="6669" spans="1:11">
      <c r="A6669" s="32">
        <v>658</v>
      </c>
      <c r="B6669" s="33">
        <v>7074</v>
      </c>
      <c r="C6669" s="3">
        <v>3143600</v>
      </c>
      <c r="D6669" s="3"/>
      <c r="E6669" s="7">
        <f t="shared" si="125"/>
        <v>3143600</v>
      </c>
      <c r="F6669" s="5">
        <v>45959</v>
      </c>
      <c r="G6669" s="4">
        <v>20251028</v>
      </c>
      <c r="H6669" s="38" t="str">
        <f>VLOOKUP(B6669,CAJEROS!B:D,3,0)</f>
        <v>Multifuncional</v>
      </c>
      <c r="I6669" s="34" t="s">
        <v>9</v>
      </c>
      <c r="J6669" s="38" t="str">
        <f>VLOOKUP(B6669,CAJEROS!B:E,4,0)</f>
        <v>MF_BELLASUI</v>
      </c>
      <c r="K6669" t="s">
        <v>610</v>
      </c>
    </row>
    <row r="6670" spans="1:11">
      <c r="A6670" s="32">
        <v>20</v>
      </c>
      <c r="B6670" s="33">
        <v>9204</v>
      </c>
      <c r="C6670" s="3">
        <v>3110000</v>
      </c>
      <c r="D6670" s="3">
        <v>1860000</v>
      </c>
      <c r="E6670" s="7">
        <f t="shared" si="125"/>
        <v>1250000</v>
      </c>
      <c r="F6670" s="5">
        <v>45959</v>
      </c>
      <c r="G6670" s="4">
        <v>20251028</v>
      </c>
      <c r="H6670" s="38" t="str">
        <f>VLOOKUP(B6670,CAJEROS!B:D,3,0)</f>
        <v>Multifuncional</v>
      </c>
      <c r="I6670" s="34" t="s">
        <v>9</v>
      </c>
      <c r="J6670" s="38" t="str">
        <f>VLOOKUP(B6670,CAJEROS!B:E,4,0)</f>
        <v>MF_BUCMANGA</v>
      </c>
      <c r="K6670" t="s">
        <v>610</v>
      </c>
    </row>
    <row r="6671" spans="1:11">
      <c r="A6671" s="32">
        <v>292</v>
      </c>
      <c r="B6671" s="33">
        <v>5116</v>
      </c>
      <c r="C6671" s="3">
        <v>3100000</v>
      </c>
      <c r="D6671" s="3">
        <f>230000+2180000</f>
        <v>2410000</v>
      </c>
      <c r="E6671" s="7">
        <f t="shared" si="125"/>
        <v>690000</v>
      </c>
      <c r="F6671" s="5">
        <v>45959</v>
      </c>
      <c r="G6671" s="4">
        <v>20251028</v>
      </c>
      <c r="H6671" s="38" t="str">
        <f>VLOOKUP(B6671,CAJEROS!B:D,3,0)</f>
        <v>Multifuncional</v>
      </c>
      <c r="I6671" s="34" t="s">
        <v>9</v>
      </c>
      <c r="J6671" s="38" t="str">
        <f>VLOOKUP(B6671,CAJEROS!B:E,4,0)</f>
        <v>MF_CONFECCI</v>
      </c>
      <c r="K6671" t="s">
        <v>610</v>
      </c>
    </row>
    <row r="6672" spans="1:11">
      <c r="A6672" s="32">
        <v>59</v>
      </c>
      <c r="B6672" s="33">
        <v>5002</v>
      </c>
      <c r="C6672" s="3">
        <v>2510000</v>
      </c>
      <c r="D6672" s="3">
        <v>2392250</v>
      </c>
      <c r="E6672" s="7">
        <f t="shared" si="125"/>
        <v>117750</v>
      </c>
      <c r="F6672" s="5">
        <v>45959</v>
      </c>
      <c r="G6672" s="4">
        <v>20251028</v>
      </c>
      <c r="H6672" s="38" t="str">
        <f>VLOOKUP(B6672,CAJEROS!B:D,3,0)</f>
        <v>Multifuncional</v>
      </c>
      <c r="I6672" s="34" t="s">
        <v>9</v>
      </c>
      <c r="J6672" s="38" t="str">
        <f>VLOOKUP(B6672,CAJEROS!B:E,4,0)</f>
        <v>MF_AVSTNDER</v>
      </c>
      <c r="K6672" t="s">
        <v>610</v>
      </c>
    </row>
    <row r="6673" spans="1:11">
      <c r="A6673" s="32">
        <v>517</v>
      </c>
      <c r="B6673" s="33">
        <v>5053</v>
      </c>
      <c r="C6673" s="3">
        <v>2461200</v>
      </c>
      <c r="D6673" s="3"/>
      <c r="E6673" s="7">
        <f t="shared" si="125"/>
        <v>2461200</v>
      </c>
      <c r="F6673" s="5">
        <v>45959</v>
      </c>
      <c r="G6673" s="4">
        <v>20251028</v>
      </c>
      <c r="H6673" s="38" t="str">
        <f>VLOOKUP(B6673,CAJEROS!B:D,3,0)</f>
        <v>Multifuncional</v>
      </c>
      <c r="I6673" s="34" t="s">
        <v>9</v>
      </c>
      <c r="J6673" s="38" t="str">
        <f>VLOOKUP(B6673,CAJEROS!B:E,4,0)</f>
        <v>MF_RODADERO</v>
      </c>
      <c r="K6673" t="s">
        <v>610</v>
      </c>
    </row>
    <row r="6674" spans="1:11">
      <c r="A6674" s="32">
        <v>74</v>
      </c>
      <c r="B6674" s="33">
        <v>6215</v>
      </c>
      <c r="C6674" s="3">
        <v>2252000</v>
      </c>
      <c r="D6674" s="3"/>
      <c r="E6674" s="7">
        <f t="shared" si="125"/>
        <v>2252000</v>
      </c>
      <c r="F6674" s="5">
        <v>45959</v>
      </c>
      <c r="G6674" s="4">
        <v>20251028</v>
      </c>
      <c r="H6674" s="38" t="str">
        <f>VLOOKUP(B6674,CAJEROS!B:D,3,0)</f>
        <v>Multifuncional</v>
      </c>
      <c r="I6674" s="34" t="s">
        <v>9</v>
      </c>
      <c r="J6674" s="38" t="str">
        <f>VLOOKUP(B6674,CAJEROS!B:E,4,0)</f>
        <v>MF_PASTO</v>
      </c>
      <c r="K6674" t="s">
        <v>610</v>
      </c>
    </row>
    <row r="6675" spans="1:11">
      <c r="A6675" s="32">
        <v>4</v>
      </c>
      <c r="B6675" s="33">
        <v>8631</v>
      </c>
      <c r="C6675" s="3">
        <v>1910000</v>
      </c>
      <c r="D6675" s="3"/>
      <c r="E6675" s="7">
        <f t="shared" si="125"/>
        <v>1910000</v>
      </c>
      <c r="F6675" s="5">
        <v>45959</v>
      </c>
      <c r="G6675" s="4">
        <v>20251028</v>
      </c>
      <c r="H6675" s="38" t="str">
        <f>VLOOKUP(B6675,CAJEROS!B:D,3,0)</f>
        <v>Multifuncional</v>
      </c>
      <c r="I6675" s="34" t="s">
        <v>9</v>
      </c>
      <c r="J6675" s="38" t="str">
        <f>VLOOKUP(B6675,CAJEROS!B:E,4,0)</f>
        <v>MF_SUCLAUR2</v>
      </c>
      <c r="K6675" t="s">
        <v>610</v>
      </c>
    </row>
    <row r="6676" spans="1:11">
      <c r="A6676" s="32">
        <v>454</v>
      </c>
      <c r="B6676" s="33">
        <v>5231</v>
      </c>
      <c r="C6676" s="3">
        <v>1802000</v>
      </c>
      <c r="D6676" s="3"/>
      <c r="E6676" s="7">
        <f t="shared" si="125"/>
        <v>1802000</v>
      </c>
      <c r="F6676" s="5">
        <v>45959</v>
      </c>
      <c r="G6676" s="4">
        <v>20251028</v>
      </c>
      <c r="H6676" s="38" t="str">
        <f>VLOOKUP(B6676,CAJEROS!B:D,3,0)</f>
        <v>Multifuncional</v>
      </c>
      <c r="I6676" s="34" t="s">
        <v>9</v>
      </c>
      <c r="J6676" s="38" t="str">
        <f>VLOOKUP(B6676,CAJEROS!B:E,4,0)</f>
        <v>MF_5TAVENID</v>
      </c>
      <c r="K6676" t="s">
        <v>610</v>
      </c>
    </row>
    <row r="6677" spans="1:11">
      <c r="A6677" s="32">
        <v>331</v>
      </c>
      <c r="B6677" s="33">
        <v>575</v>
      </c>
      <c r="C6677" s="3">
        <v>1530000</v>
      </c>
      <c r="D6677" s="3">
        <v>1010000</v>
      </c>
      <c r="E6677" s="7">
        <f t="shared" si="125"/>
        <v>520000</v>
      </c>
      <c r="F6677" s="5">
        <v>45959</v>
      </c>
      <c r="G6677" s="4">
        <v>20251028</v>
      </c>
      <c r="H6677" s="38" t="str">
        <f>VLOOKUP(B6677,CAJEROS!B:D,3,0)</f>
        <v>Multifuncional</v>
      </c>
      <c r="I6677" s="34" t="s">
        <v>9</v>
      </c>
      <c r="J6677" s="38" t="str">
        <f>VLOOKUP(B6677,CAJEROS!B:E,4,0)</f>
        <v>MF_SUCARKA2</v>
      </c>
      <c r="K6677" t="s">
        <v>610</v>
      </c>
    </row>
    <row r="6678" spans="1:11">
      <c r="A6678" s="32">
        <v>623</v>
      </c>
      <c r="B6678" s="33">
        <v>7375</v>
      </c>
      <c r="C6678" s="3">
        <v>1485000</v>
      </c>
      <c r="D6678" s="3"/>
      <c r="E6678" s="7">
        <f t="shared" si="125"/>
        <v>1485000</v>
      </c>
      <c r="F6678" s="5">
        <v>45959</v>
      </c>
      <c r="G6678" s="4">
        <v>20251028</v>
      </c>
      <c r="H6678" s="38" t="str">
        <f>VLOOKUP(B6678,CAJEROS!B:D,3,0)</f>
        <v>Multifuncional</v>
      </c>
      <c r="I6678" s="34" t="s">
        <v>9</v>
      </c>
      <c r="J6678" s="38" t="str">
        <f>VLOOKUP(B6678,CAJEROS!B:E,4,0)</f>
        <v>MF_FUNDMAN2</v>
      </c>
      <c r="K6678" t="s">
        <v>610</v>
      </c>
    </row>
    <row r="6679" spans="1:11">
      <c r="A6679" s="32">
        <v>221</v>
      </c>
      <c r="B6679" s="33">
        <v>5221</v>
      </c>
      <c r="C6679" s="3">
        <v>1465000</v>
      </c>
      <c r="D6679" s="3">
        <v>1451000</v>
      </c>
      <c r="E6679" s="7">
        <f t="shared" si="125"/>
        <v>14000</v>
      </c>
      <c r="F6679" s="5">
        <v>45959</v>
      </c>
      <c r="G6679" s="4">
        <v>20251028</v>
      </c>
      <c r="H6679" s="38" t="str">
        <f>VLOOKUP(B6679,CAJEROS!B:D,3,0)</f>
        <v>Multifuncional</v>
      </c>
      <c r="I6679" s="34" t="s">
        <v>9</v>
      </c>
      <c r="J6679" s="38" t="str">
        <f>VLOOKUP(B6679,CAJEROS!B:E,4,0)</f>
        <v>MF_SOACHA</v>
      </c>
      <c r="K6679" t="s">
        <v>610</v>
      </c>
    </row>
    <row r="6680" spans="1:11">
      <c r="A6680" s="32">
        <v>250</v>
      </c>
      <c r="B6680" s="33">
        <v>5197</v>
      </c>
      <c r="C6680" s="3">
        <v>1341000</v>
      </c>
      <c r="D6680" s="3"/>
      <c r="E6680" s="7">
        <f t="shared" si="125"/>
        <v>1341000</v>
      </c>
      <c r="F6680" s="5">
        <v>45959</v>
      </c>
      <c r="G6680" s="4">
        <v>20251028</v>
      </c>
      <c r="H6680" s="38" t="str">
        <f>VLOOKUP(B6680,CAJEROS!B:D,3,0)</f>
        <v>Multifuncional</v>
      </c>
      <c r="I6680" s="34" t="s">
        <v>9</v>
      </c>
      <c r="J6680" s="38" t="str">
        <f>VLOOKUP(B6680,CAJEROS!B:E,4,0)</f>
        <v>MF_MODELIA</v>
      </c>
      <c r="K6680" t="s">
        <v>610</v>
      </c>
    </row>
    <row r="6681" spans="1:11">
      <c r="A6681" s="32">
        <v>541</v>
      </c>
      <c r="B6681" s="33">
        <v>5185</v>
      </c>
      <c r="C6681" s="3">
        <v>1340000</v>
      </c>
      <c r="D6681" s="3"/>
      <c r="E6681" s="7">
        <f t="shared" si="125"/>
        <v>1340000</v>
      </c>
      <c r="F6681" s="5">
        <v>45959</v>
      </c>
      <c r="G6681" s="4">
        <v>20251028</v>
      </c>
      <c r="H6681" s="38" t="str">
        <f>VLOOKUP(B6681,CAJEROS!B:D,3,0)</f>
        <v>Multifuncional</v>
      </c>
      <c r="I6681" s="34" t="s">
        <v>9</v>
      </c>
      <c r="J6681" s="38" t="str">
        <f>VLOOKUP(B6681,CAJEROS!B:E,4,0)</f>
        <v>MF_PARQCALD</v>
      </c>
      <c r="K6681" t="s">
        <v>610</v>
      </c>
    </row>
    <row r="6682" spans="1:11">
      <c r="A6682" s="32">
        <v>20</v>
      </c>
      <c r="B6682" s="33">
        <v>8927</v>
      </c>
      <c r="C6682" s="3">
        <v>1250000</v>
      </c>
      <c r="D6682" s="3"/>
      <c r="E6682" s="7">
        <f t="shared" si="125"/>
        <v>1250000</v>
      </c>
      <c r="F6682" s="5">
        <v>45959</v>
      </c>
      <c r="G6682" s="4">
        <v>20251028</v>
      </c>
      <c r="H6682" s="38" t="str">
        <f>VLOOKUP(B6682,CAJEROS!B:D,3,0)</f>
        <v>Multifuncional</v>
      </c>
      <c r="I6682" s="34" t="s">
        <v>9</v>
      </c>
      <c r="J6682" s="38" t="str">
        <f>VLOOKUP(B6682,CAJEROS!B:E,4,0)</f>
        <v>MFSUCBUCMG2</v>
      </c>
      <c r="K6682" t="s">
        <v>610</v>
      </c>
    </row>
    <row r="6683" spans="1:11">
      <c r="A6683" s="32">
        <v>395</v>
      </c>
      <c r="B6683" s="33">
        <v>1529</v>
      </c>
      <c r="C6683" s="3">
        <v>1053500</v>
      </c>
      <c r="D6683" s="3"/>
      <c r="E6683" s="7">
        <f t="shared" si="125"/>
        <v>1053500</v>
      </c>
      <c r="F6683" s="5">
        <v>45959</v>
      </c>
      <c r="G6683" s="4">
        <v>20251028</v>
      </c>
      <c r="H6683" s="38" t="str">
        <f>VLOOKUP(B6683,CAJEROS!B:D,3,0)</f>
        <v>Multifuncional</v>
      </c>
      <c r="I6683" s="34" t="s">
        <v>9</v>
      </c>
      <c r="J6683" s="38" t="str">
        <f>VLOOKUP(B6683,CAJEROS!B:E,4,0)</f>
        <v>SUCMFVIVCI2</v>
      </c>
      <c r="K6683" t="s">
        <v>610</v>
      </c>
    </row>
    <row r="6684" spans="1:11">
      <c r="A6684" s="32">
        <v>453</v>
      </c>
      <c r="B6684" s="33">
        <v>8018</v>
      </c>
      <c r="C6684" s="3">
        <v>945000</v>
      </c>
      <c r="D6684" s="3"/>
      <c r="E6684" s="7">
        <f t="shared" si="125"/>
        <v>945000</v>
      </c>
      <c r="F6684" s="5">
        <v>45959</v>
      </c>
      <c r="G6684" s="4">
        <v>20251028</v>
      </c>
      <c r="H6684" s="38" t="str">
        <f>VLOOKUP(B6684,CAJEROS!B:D,3,0)</f>
        <v>Multifuncional</v>
      </c>
      <c r="I6684" s="34" t="s">
        <v>9</v>
      </c>
      <c r="J6684" s="38" t="str">
        <f>VLOOKUP(B6684,CAJEROS!B:E,4,0)</f>
        <v>MFSUCPITAL1</v>
      </c>
      <c r="K6684" t="s">
        <v>610</v>
      </c>
    </row>
    <row r="6685" spans="1:11">
      <c r="A6685" s="32">
        <v>866</v>
      </c>
      <c r="B6685" s="33">
        <v>8662</v>
      </c>
      <c r="C6685" s="3">
        <v>880000</v>
      </c>
      <c r="D6685" s="3">
        <v>878400</v>
      </c>
      <c r="E6685" s="7">
        <f t="shared" si="125"/>
        <v>1600</v>
      </c>
      <c r="F6685" s="5">
        <v>45959</v>
      </c>
      <c r="G6685" s="4">
        <v>20251028</v>
      </c>
      <c r="H6685" s="38" t="str">
        <f>VLOOKUP(B6685,CAJEROS!B:D,3,0)</f>
        <v>Multifuncional</v>
      </c>
      <c r="I6685" s="34" t="s">
        <v>9</v>
      </c>
      <c r="J6685" s="38" t="str">
        <f>VLOOKUP(B6685,CAJEROS!B:E,4,0)</f>
        <v>MF_FLORID3</v>
      </c>
      <c r="K6685" t="s">
        <v>610</v>
      </c>
    </row>
    <row r="6686" spans="1:11">
      <c r="A6686" s="32">
        <v>40</v>
      </c>
      <c r="B6686" s="33">
        <v>5142</v>
      </c>
      <c r="C6686" s="3">
        <v>848000</v>
      </c>
      <c r="D6686" s="3">
        <v>350000</v>
      </c>
      <c r="E6686" s="7">
        <f t="shared" si="125"/>
        <v>498000</v>
      </c>
      <c r="F6686" s="5">
        <v>45959</v>
      </c>
      <c r="G6686" s="4">
        <v>20251028</v>
      </c>
      <c r="H6686" s="38" t="str">
        <f>VLOOKUP(B6686,CAJEROS!B:D,3,0)</f>
        <v>Multifuncional</v>
      </c>
      <c r="I6686" s="34" t="s">
        <v>9</v>
      </c>
      <c r="J6686" s="38" t="str">
        <f>VLOOKUP(B6686,CAJEROS!B:E,4,0)</f>
        <v>MF_CENTRO93</v>
      </c>
      <c r="K6686" t="s">
        <v>610</v>
      </c>
    </row>
    <row r="6687" spans="1:11">
      <c r="A6687" s="32">
        <v>554</v>
      </c>
      <c r="B6687" s="33">
        <v>8294</v>
      </c>
      <c r="C6687" s="3">
        <v>830000</v>
      </c>
      <c r="D6687" s="3"/>
      <c r="E6687" s="7">
        <f t="shared" si="125"/>
        <v>830000</v>
      </c>
      <c r="F6687" s="5">
        <v>45959</v>
      </c>
      <c r="G6687" s="4">
        <v>20251028</v>
      </c>
      <c r="H6687" s="38" t="str">
        <f>VLOOKUP(B6687,CAJEROS!B:D,3,0)</f>
        <v>Multifuncional</v>
      </c>
      <c r="I6687" s="34" t="s">
        <v>9</v>
      </c>
      <c r="J6687" s="38" t="str">
        <f>VLOOKUP(B6687,CAJEROS!B:E,4,0)</f>
        <v>MF_SBUVIII1</v>
      </c>
      <c r="K6687" t="s">
        <v>610</v>
      </c>
    </row>
    <row r="6688" spans="1:11">
      <c r="A6688" s="32">
        <v>745</v>
      </c>
      <c r="B6688" s="33">
        <v>1477</v>
      </c>
      <c r="C6688" s="3">
        <v>830000</v>
      </c>
      <c r="D6688" s="3"/>
      <c r="E6688" s="7">
        <f t="shared" si="125"/>
        <v>830000</v>
      </c>
      <c r="F6688" s="5">
        <v>45959</v>
      </c>
      <c r="G6688" s="4">
        <v>20251028</v>
      </c>
      <c r="H6688" s="38" t="str">
        <f>VLOOKUP(B6688,CAJEROS!B:D,3,0)</f>
        <v>Multifuncional</v>
      </c>
      <c r="I6688" s="34" t="s">
        <v>9</v>
      </c>
      <c r="J6688" s="38" t="str">
        <f>VLOOKUP(B6688,CAJEROS!B:E,4,0)</f>
        <v>MFSUCMALPZ2</v>
      </c>
      <c r="K6688" t="s">
        <v>610</v>
      </c>
    </row>
    <row r="6689" spans="1:11">
      <c r="A6689" s="32">
        <v>716</v>
      </c>
      <c r="B6689" s="33">
        <v>5192</v>
      </c>
      <c r="C6689" s="3">
        <v>750150</v>
      </c>
      <c r="D6689" s="3"/>
      <c r="E6689" s="7">
        <f t="shared" si="125"/>
        <v>750150</v>
      </c>
      <c r="F6689" s="5">
        <v>45959</v>
      </c>
      <c r="G6689" s="4">
        <v>20251028</v>
      </c>
      <c r="H6689" s="38" t="str">
        <f>VLOOKUP(B6689,CAJEROS!B:D,3,0)</f>
        <v>Multifuncional</v>
      </c>
      <c r="I6689" s="34" t="s">
        <v>9</v>
      </c>
      <c r="J6689" s="38" t="str">
        <f>VLOOKUP(B6689,CAJEROS!B:E,4,0)</f>
        <v>MF_AVCGORDS</v>
      </c>
      <c r="K6689" t="s">
        <v>610</v>
      </c>
    </row>
    <row r="6690" spans="1:11">
      <c r="A6690" s="32">
        <v>609</v>
      </c>
      <c r="B6690" s="33">
        <v>7875</v>
      </c>
      <c r="C6690" s="3">
        <v>690000</v>
      </c>
      <c r="D6690" s="3">
        <v>670000</v>
      </c>
      <c r="E6690" s="7">
        <f t="shared" si="125"/>
        <v>20000</v>
      </c>
      <c r="F6690" s="5">
        <v>45959</v>
      </c>
      <c r="G6690" s="4">
        <v>20251028</v>
      </c>
      <c r="H6690" s="38" t="str">
        <f>VLOOKUP(B6690,CAJEROS!B:D,3,0)</f>
        <v>Multifuncional</v>
      </c>
      <c r="I6690" s="34" t="s">
        <v>9</v>
      </c>
      <c r="J6690" s="38" t="str">
        <f>VLOOKUP(B6690,CAJEROS!B:E,4,0)</f>
        <v>MFSUCABAST1</v>
      </c>
      <c r="K6690" t="s">
        <v>610</v>
      </c>
    </row>
    <row r="6691" spans="1:11">
      <c r="A6691" s="32">
        <v>499</v>
      </c>
      <c r="B6691" s="33">
        <v>9810</v>
      </c>
      <c r="C6691" s="3">
        <v>590000</v>
      </c>
      <c r="D6691" s="3"/>
      <c r="E6691" s="7">
        <f t="shared" si="125"/>
        <v>590000</v>
      </c>
      <c r="F6691" s="5">
        <v>45959</v>
      </c>
      <c r="G6691" s="4">
        <v>20251028</v>
      </c>
      <c r="H6691" s="38" t="str">
        <f>VLOOKUP(B6691,CAJEROS!B:D,3,0)</f>
        <v>Multifuncional</v>
      </c>
      <c r="I6691" s="34" t="s">
        <v>9</v>
      </c>
      <c r="J6691" s="38" t="str">
        <f>VLOOKUP(B6691,CAJEROS!B:E,4,0)</f>
        <v>MF_SUCPARF1</v>
      </c>
      <c r="K6691" t="s">
        <v>610</v>
      </c>
    </row>
    <row r="6692" spans="1:11">
      <c r="A6692" s="32">
        <v>244</v>
      </c>
      <c r="B6692" s="33">
        <v>5129</v>
      </c>
      <c r="C6692" s="3">
        <v>574650</v>
      </c>
      <c r="D6692" s="3">
        <v>45000</v>
      </c>
      <c r="E6692" s="7">
        <f t="shared" si="125"/>
        <v>529650</v>
      </c>
      <c r="F6692" s="5">
        <v>45959</v>
      </c>
      <c r="G6692" s="4">
        <v>20251028</v>
      </c>
      <c r="H6692" s="38" t="str">
        <f>VLOOKUP(B6692,CAJEROS!B:D,3,0)</f>
        <v>Multifuncional</v>
      </c>
      <c r="I6692" s="34" t="s">
        <v>9</v>
      </c>
      <c r="J6692" s="38" t="str">
        <f>VLOOKUP(B6692,CAJEROS!B:E,4,0)</f>
        <v>MF_TRIGALAN</v>
      </c>
      <c r="K6692" t="s">
        <v>610</v>
      </c>
    </row>
    <row r="6693" spans="1:11">
      <c r="A6693" s="32">
        <v>481</v>
      </c>
      <c r="B6693" s="33">
        <v>1010</v>
      </c>
      <c r="C6693" s="3">
        <v>465000</v>
      </c>
      <c r="D6693" s="3"/>
      <c r="E6693" s="7">
        <f t="shared" si="125"/>
        <v>465000</v>
      </c>
      <c r="F6693" s="5">
        <v>45959</v>
      </c>
      <c r="G6693" s="4">
        <v>20251028</v>
      </c>
      <c r="H6693" s="38" t="str">
        <f>VLOOKUP(B6693,CAJEROS!B:D,3,0)</f>
        <v>Multifuncional</v>
      </c>
      <c r="I6693" s="34" t="s">
        <v>9</v>
      </c>
      <c r="J6693" s="38" t="str">
        <f>VLOOKUP(B6693,CAJEROS!B:E,4,0)</f>
        <v>MF_SOLEDAD1</v>
      </c>
      <c r="K6693" t="s">
        <v>610</v>
      </c>
    </row>
    <row r="6694" spans="1:11">
      <c r="A6694" s="32">
        <v>81</v>
      </c>
      <c r="B6694" s="33">
        <v>5036</v>
      </c>
      <c r="C6694" s="3">
        <v>460000</v>
      </c>
      <c r="D6694" s="3"/>
      <c r="E6694" s="7">
        <f t="shared" si="125"/>
        <v>460000</v>
      </c>
      <c r="F6694" s="5">
        <v>45959</v>
      </c>
      <c r="G6694" s="4">
        <v>20251028</v>
      </c>
      <c r="H6694" s="38" t="str">
        <f>VLOOKUP(B6694,CAJEROS!B:D,3,0)</f>
        <v>Multifuncional</v>
      </c>
      <c r="I6694" s="34" t="s">
        <v>9</v>
      </c>
      <c r="J6694" s="38" t="str">
        <f>VLOOKUP(B6694,CAJEROS!B:E,4,0)</f>
        <v>MF_AVKENNE</v>
      </c>
      <c r="K6694" t="s">
        <v>610</v>
      </c>
    </row>
    <row r="6695" spans="1:11">
      <c r="A6695" s="32">
        <v>915</v>
      </c>
      <c r="B6695" s="33">
        <v>8314</v>
      </c>
      <c r="C6695" s="3">
        <v>200000</v>
      </c>
      <c r="D6695" s="3"/>
      <c r="E6695" s="7">
        <f t="shared" si="125"/>
        <v>200000</v>
      </c>
      <c r="F6695" s="5">
        <v>45959</v>
      </c>
      <c r="G6695" s="4">
        <v>20251028</v>
      </c>
      <c r="H6695" s="38" t="str">
        <f>VLOOKUP(B6695,CAJEROS!B:D,3,0)</f>
        <v>Multifuncional</v>
      </c>
      <c r="I6695" s="34" t="s">
        <v>9</v>
      </c>
      <c r="J6695" s="38" t="str">
        <f>VLOOKUP(B6695,CAJEROS!B:E,4,0)</f>
        <v>MF_BANLABB2</v>
      </c>
      <c r="K6695" t="s">
        <v>610</v>
      </c>
    </row>
    <row r="6696" spans="1:11">
      <c r="A6696" s="32">
        <v>108</v>
      </c>
      <c r="B6696" s="33">
        <v>2254</v>
      </c>
      <c r="C6696" s="3">
        <v>84000</v>
      </c>
      <c r="D6696" s="3"/>
      <c r="E6696" s="7">
        <f t="shared" si="125"/>
        <v>84000</v>
      </c>
      <c r="F6696" s="5">
        <v>45959</v>
      </c>
      <c r="G6696" s="4">
        <v>20251028</v>
      </c>
      <c r="H6696" s="38" t="str">
        <f>VLOOKUP(B6696,CAJEROS!B:D,3,0)</f>
        <v>Multifuncional</v>
      </c>
      <c r="I6696" s="34" t="s">
        <v>9</v>
      </c>
      <c r="J6696" s="38" t="str">
        <f>VLOOKUP(B6696,CAJEROS!B:E,4,0)</f>
        <v>MFSUCPAMER2</v>
      </c>
      <c r="K6696" t="s">
        <v>610</v>
      </c>
    </row>
    <row r="6697" spans="1:11">
      <c r="A6697" s="32">
        <v>442</v>
      </c>
      <c r="B6697" s="33">
        <v>8887</v>
      </c>
      <c r="C6697" s="3">
        <v>80000</v>
      </c>
      <c r="D6697" s="3"/>
      <c r="E6697" s="7">
        <f t="shared" si="125"/>
        <v>80000</v>
      </c>
      <c r="F6697" s="5">
        <v>45959</v>
      </c>
      <c r="G6697" s="4">
        <v>20251028</v>
      </c>
      <c r="H6697" s="38" t="str">
        <f>VLOOKUP(B6697,CAJEROS!B:D,3,0)</f>
        <v>Multifuncional</v>
      </c>
      <c r="I6697" s="34" t="s">
        <v>9</v>
      </c>
      <c r="J6697" s="38" t="str">
        <f>VLOOKUP(B6697,CAJEROS!B:E,4,0)</f>
        <v>MFVIVABQUI1</v>
      </c>
      <c r="K6697" t="s">
        <v>610</v>
      </c>
    </row>
    <row r="6698" spans="1:11">
      <c r="A6698" s="32">
        <v>351</v>
      </c>
      <c r="B6698" s="33">
        <v>6182</v>
      </c>
      <c r="C6698" s="3">
        <v>70600</v>
      </c>
      <c r="D6698" s="3"/>
      <c r="E6698" s="7">
        <f t="shared" si="125"/>
        <v>70600</v>
      </c>
      <c r="F6698" s="5">
        <v>45959</v>
      </c>
      <c r="G6698" s="4">
        <v>20251028</v>
      </c>
      <c r="H6698" s="38" t="str">
        <f>VLOOKUP(B6698,CAJEROS!B:D,3,0)</f>
        <v>Multifuncional</v>
      </c>
      <c r="I6698" s="34" t="s">
        <v>9</v>
      </c>
      <c r="J6698" s="38" t="str">
        <f>VLOOKUP(B6698,CAJEROS!B:E,4,0)</f>
        <v>MF_PUNTORIE</v>
      </c>
      <c r="K6698" t="s">
        <v>610</v>
      </c>
    </row>
    <row r="6699" spans="1:11">
      <c r="A6699" s="32">
        <v>623</v>
      </c>
      <c r="B6699" s="33">
        <v>5047</v>
      </c>
      <c r="C6699" s="3">
        <v>70000</v>
      </c>
      <c r="D6699" s="3"/>
      <c r="E6699" s="7">
        <f t="shared" si="125"/>
        <v>70000</v>
      </c>
      <c r="F6699" s="5">
        <v>45959</v>
      </c>
      <c r="G6699" s="4">
        <v>20251028</v>
      </c>
      <c r="H6699" s="38" t="str">
        <f>VLOOKUP(B6699,CAJEROS!B:D,3,0)</f>
        <v>Multifuncional</v>
      </c>
      <c r="I6699" s="34" t="s">
        <v>9</v>
      </c>
      <c r="J6699" s="38" t="str">
        <f>VLOOKUP(B6699,CAJEROS!B:E,4,0)</f>
        <v>MF_FMANIZAL</v>
      </c>
      <c r="K6699" t="s">
        <v>610</v>
      </c>
    </row>
    <row r="6700" spans="1:11">
      <c r="A6700" s="32">
        <v>8</v>
      </c>
      <c r="B6700" s="33">
        <v>5079</v>
      </c>
      <c r="C6700" s="3">
        <v>45000</v>
      </c>
      <c r="D6700" s="3"/>
      <c r="E6700" s="7">
        <f t="shared" si="125"/>
        <v>45000</v>
      </c>
      <c r="F6700" s="5">
        <v>45959</v>
      </c>
      <c r="G6700" s="4">
        <v>20251028</v>
      </c>
      <c r="H6700" s="38" t="str">
        <f>VLOOKUP(B6700,CAJEROS!B:D,3,0)</f>
        <v>Multifuncional</v>
      </c>
      <c r="I6700" s="34" t="s">
        <v>9</v>
      </c>
      <c r="J6700" s="38" t="str">
        <f>VLOOKUP(B6700,CAJEROS!B:E,4,0)</f>
        <v>MF_LAPLAYA</v>
      </c>
      <c r="K6700" t="s">
        <v>610</v>
      </c>
    </row>
    <row r="6701" spans="1:11">
      <c r="A6701" s="32">
        <v>6</v>
      </c>
      <c r="B6701" s="33">
        <v>5001</v>
      </c>
      <c r="C6701" s="3">
        <v>40000</v>
      </c>
      <c r="D6701" s="3"/>
      <c r="E6701" s="7">
        <f t="shared" si="125"/>
        <v>40000</v>
      </c>
      <c r="F6701" s="5">
        <v>45959</v>
      </c>
      <c r="G6701" s="4">
        <v>20251028</v>
      </c>
      <c r="H6701" s="38" t="str">
        <f>VLOOKUP(B6701,CAJEROS!B:D,3,0)</f>
        <v>Multifuncional</v>
      </c>
      <c r="I6701" s="34" t="s">
        <v>9</v>
      </c>
      <c r="J6701" s="38" t="str">
        <f>VLOOKUP(B6701,CAJEROS!B:E,4,0)</f>
        <v>MF_AVJUNIN</v>
      </c>
      <c r="K6701" t="s">
        <v>610</v>
      </c>
    </row>
    <row r="6702" spans="1:11">
      <c r="A6702" s="32">
        <v>609</v>
      </c>
      <c r="B6702" s="33">
        <v>7888</v>
      </c>
      <c r="C6702" s="3">
        <v>30000</v>
      </c>
      <c r="D6702" s="3"/>
      <c r="E6702" s="7">
        <f t="shared" si="125"/>
        <v>30000</v>
      </c>
      <c r="F6702" s="5">
        <v>45959</v>
      </c>
      <c r="G6702" s="4">
        <v>20251028</v>
      </c>
      <c r="H6702" s="38" t="str">
        <f>VLOOKUP(B6702,CAJEROS!B:D,3,0)</f>
        <v>Multifuncional</v>
      </c>
      <c r="I6702" s="34" t="s">
        <v>9</v>
      </c>
      <c r="J6702" s="38" t="str">
        <f>VLOOKUP(B6702,CAJEROS!B:E,4,0)</f>
        <v>MFSUCABAST2</v>
      </c>
      <c r="K6702" t="s">
        <v>610</v>
      </c>
    </row>
    <row r="6703" spans="1:11">
      <c r="A6703" s="32">
        <v>193</v>
      </c>
      <c r="B6703" s="33">
        <v>8537</v>
      </c>
      <c r="C6703" s="3">
        <v>26800</v>
      </c>
      <c r="D6703" s="3"/>
      <c r="E6703" s="7">
        <f t="shared" si="125"/>
        <v>26800</v>
      </c>
      <c r="F6703" s="5">
        <v>45959</v>
      </c>
      <c r="G6703" s="4">
        <v>20251028</v>
      </c>
      <c r="H6703" s="38" t="str">
        <f>VLOOKUP(B6703,CAJEROS!B:D,3,0)</f>
        <v>Multifuncional</v>
      </c>
      <c r="I6703" s="34" t="s">
        <v>9</v>
      </c>
      <c r="J6703" s="38" t="str">
        <f>VLOOKUP(B6703,CAJEROS!B:E,4,0)</f>
        <v>MF_HSUCFIC1</v>
      </c>
      <c r="K6703" t="s">
        <v>610</v>
      </c>
    </row>
    <row r="6704" spans="1:11">
      <c r="A6704" s="32">
        <v>61</v>
      </c>
      <c r="B6704" s="33">
        <v>782</v>
      </c>
      <c r="C6704" s="3">
        <v>200000</v>
      </c>
      <c r="D6704" s="3"/>
      <c r="E6704" s="7">
        <f t="shared" si="125"/>
        <v>200000</v>
      </c>
      <c r="F6704" s="5">
        <v>45959</v>
      </c>
      <c r="G6704" s="4">
        <v>20251028</v>
      </c>
      <c r="H6704" s="38" t="str">
        <f>VLOOKUP(B6704,CAJEROS!B:D,3,0)</f>
        <v>Dispensador</v>
      </c>
      <c r="I6704" s="34"/>
      <c r="J6704" s="38" t="str">
        <f>VLOOKUP(B6704,CAJEROS!B:E,4,0)</f>
        <v>SUCLAESTAC2</v>
      </c>
      <c r="K6704" t="s">
        <v>610</v>
      </c>
    </row>
    <row r="6705" spans="1:11">
      <c r="A6705" s="32">
        <v>108</v>
      </c>
      <c r="B6705" s="33">
        <v>2041</v>
      </c>
      <c r="C6705" s="3">
        <v>1250000</v>
      </c>
      <c r="D6705" s="3"/>
      <c r="E6705" s="7">
        <f t="shared" si="125"/>
        <v>1250000</v>
      </c>
      <c r="F6705" s="5">
        <v>45959</v>
      </c>
      <c r="G6705" s="4">
        <v>20251028</v>
      </c>
      <c r="H6705" s="38" t="str">
        <f>VLOOKUP(B6705,CAJEROS!B:D,3,0)</f>
        <v>Dispensador</v>
      </c>
      <c r="I6705" s="34"/>
      <c r="J6705" s="38" t="str">
        <f>VLOOKUP(B6705,CAJEROS!B:E,4,0)</f>
        <v>SUCPLZAMER4</v>
      </c>
      <c r="K6705" t="s">
        <v>610</v>
      </c>
    </row>
    <row r="6706" spans="1:11">
      <c r="A6706" s="32">
        <v>108</v>
      </c>
      <c r="B6706" s="33">
        <v>2042</v>
      </c>
      <c r="C6706" s="3">
        <v>850000</v>
      </c>
      <c r="D6706" s="3"/>
      <c r="E6706" s="7">
        <f t="shared" si="125"/>
        <v>850000</v>
      </c>
      <c r="F6706" s="5">
        <v>45959</v>
      </c>
      <c r="G6706" s="4">
        <v>20251028</v>
      </c>
      <c r="H6706" s="38" t="str">
        <f>VLOOKUP(B6706,CAJEROS!B:D,3,0)</f>
        <v>Dispensador</v>
      </c>
      <c r="I6706" s="34"/>
      <c r="J6706" s="38" t="str">
        <f>VLOOKUP(B6706,CAJEROS!B:E,4,0)</f>
        <v>SUCPLZAMER5</v>
      </c>
      <c r="K6706" t="s">
        <v>610</v>
      </c>
    </row>
    <row r="6707" spans="1:11">
      <c r="A6707" s="32">
        <v>232</v>
      </c>
      <c r="B6707" s="33">
        <v>4062</v>
      </c>
      <c r="C6707" s="3">
        <v>2800000</v>
      </c>
      <c r="D6707" s="3"/>
      <c r="E6707" s="7">
        <f t="shared" si="125"/>
        <v>2800000</v>
      </c>
      <c r="F6707" s="5">
        <v>45959</v>
      </c>
      <c r="G6707" s="4">
        <v>20251028</v>
      </c>
      <c r="H6707" s="38" t="str">
        <f>VLOOKUP(B6707,CAJEROS!B:D,3,0)</f>
        <v>Dispensador</v>
      </c>
      <c r="I6707" s="34"/>
      <c r="J6707" s="38" t="str">
        <f>VLOOKUP(B6707,CAJEROS!B:E,4,0)</f>
        <v>SUC_GUASCA1</v>
      </c>
      <c r="K6707" t="s">
        <v>610</v>
      </c>
    </row>
    <row r="6708" spans="1:11">
      <c r="A6708" s="32">
        <v>254</v>
      </c>
      <c r="B6708" s="33">
        <v>9213</v>
      </c>
      <c r="C6708" s="3">
        <v>50000</v>
      </c>
      <c r="D6708" s="3"/>
      <c r="E6708" s="7">
        <f t="shared" si="125"/>
        <v>50000</v>
      </c>
      <c r="F6708" s="5">
        <v>45959</v>
      </c>
      <c r="G6708" s="4">
        <v>20251028</v>
      </c>
      <c r="H6708" s="38" t="str">
        <f>VLOOKUP(B6708,CAJEROS!B:D,3,0)</f>
        <v>Dispensador</v>
      </c>
      <c r="I6708" s="34"/>
      <c r="J6708" s="38" t="str">
        <f>VLOOKUP(B6708,CAJEROS!B:E,4,0)</f>
        <v>PTOBOYACA3</v>
      </c>
      <c r="K6708" t="s">
        <v>610</v>
      </c>
    </row>
    <row r="6709" spans="1:11">
      <c r="A6709" s="32">
        <v>285</v>
      </c>
      <c r="B6709" s="33">
        <v>6053</v>
      </c>
      <c r="C6709" s="3">
        <v>110000</v>
      </c>
      <c r="D6709" s="3"/>
      <c r="E6709" s="7">
        <f t="shared" si="125"/>
        <v>110000</v>
      </c>
      <c r="F6709" s="5">
        <v>45959</v>
      </c>
      <c r="G6709" s="4">
        <v>20251028</v>
      </c>
      <c r="H6709" s="38" t="str">
        <f>VLOOKUP(B6709,CAJEROS!B:D,3,0)</f>
        <v>Dispensador</v>
      </c>
      <c r="I6709" s="34"/>
      <c r="J6709" s="38" t="str">
        <f>VLOOKUP(B6709,CAJEROS!B:E,4,0)</f>
        <v>GARZON3</v>
      </c>
      <c r="K6709" t="s">
        <v>610</v>
      </c>
    </row>
    <row r="6710" spans="1:11">
      <c r="A6710" s="32">
        <v>355</v>
      </c>
      <c r="B6710" s="33">
        <v>5360</v>
      </c>
      <c r="C6710" s="3">
        <v>350000</v>
      </c>
      <c r="D6710" s="3"/>
      <c r="E6710" s="7">
        <f t="shared" si="125"/>
        <v>350000</v>
      </c>
      <c r="F6710" s="5">
        <v>45959</v>
      </c>
      <c r="G6710" s="4">
        <v>20251028</v>
      </c>
      <c r="H6710" s="38" t="str">
        <f>VLOOKUP(B6710,CAJEROS!B:D,3,0)</f>
        <v>Dispensador</v>
      </c>
      <c r="I6710" s="34"/>
      <c r="J6710" s="38" t="str">
        <f>VLOOKUP(B6710,CAJEROS!B:E,4,0)</f>
        <v>SIMIJACA1</v>
      </c>
      <c r="K6710" t="s">
        <v>610</v>
      </c>
    </row>
    <row r="6711" spans="1:11">
      <c r="A6711" s="32">
        <v>359</v>
      </c>
      <c r="B6711" s="33">
        <v>8425</v>
      </c>
      <c r="C6711" s="3">
        <v>10000</v>
      </c>
      <c r="D6711" s="3"/>
      <c r="E6711" s="7">
        <f t="shared" si="125"/>
        <v>10000</v>
      </c>
      <c r="F6711" s="5">
        <v>45959</v>
      </c>
      <c r="G6711" s="4">
        <v>20251028</v>
      </c>
      <c r="H6711" s="38" t="str">
        <f>VLOOKUP(B6711,CAJEROS!B:D,3,0)</f>
        <v>Dispensador</v>
      </c>
      <c r="I6711" s="34"/>
      <c r="J6711" s="38" t="str">
        <f>VLOOKUP(B6711,CAJEROS!B:E,4,0)</f>
        <v>SUCCOVENAS1</v>
      </c>
      <c r="K6711" t="s">
        <v>610</v>
      </c>
    </row>
    <row r="6712" spans="1:11">
      <c r="A6712" s="32">
        <v>591</v>
      </c>
      <c r="B6712" s="33">
        <v>7833</v>
      </c>
      <c r="C6712" s="3">
        <v>670000</v>
      </c>
      <c r="D6712" s="3"/>
      <c r="E6712" s="7">
        <f t="shared" si="125"/>
        <v>670000</v>
      </c>
      <c r="F6712" s="5">
        <v>45959</v>
      </c>
      <c r="G6712" s="4">
        <v>20251028</v>
      </c>
      <c r="H6712" s="38" t="str">
        <f>VLOOKUP(B6712,CAJEROS!B:D,3,0)</f>
        <v>Dispensador</v>
      </c>
      <c r="I6712" s="34"/>
      <c r="J6712" s="38" t="str">
        <f>VLOOKUP(B6712,CAJEROS!B:E,4,0)</f>
        <v>SAMACA_1</v>
      </c>
      <c r="K6712" t="s">
        <v>610</v>
      </c>
    </row>
    <row r="6713" spans="1:11">
      <c r="A6713" s="32">
        <v>705</v>
      </c>
      <c r="B6713" s="33">
        <v>4152</v>
      </c>
      <c r="C6713" s="3">
        <v>20000</v>
      </c>
      <c r="D6713" s="3"/>
      <c r="E6713" s="7">
        <f t="shared" si="125"/>
        <v>20000</v>
      </c>
      <c r="F6713" s="5">
        <v>45959</v>
      </c>
      <c r="G6713" s="4">
        <v>20251028</v>
      </c>
      <c r="H6713" s="38" t="str">
        <f>VLOOKUP(B6713,CAJEROS!B:D,3,0)</f>
        <v>Dispensador</v>
      </c>
      <c r="I6713" s="34"/>
      <c r="J6713" s="38" t="str">
        <f>VLOOKUP(B6713,CAJEROS!B:E,4,0)</f>
        <v>SUC_BAGRE2</v>
      </c>
      <c r="K6713" t="s">
        <v>610</v>
      </c>
    </row>
    <row r="6714" spans="1:11">
      <c r="A6714" s="32">
        <v>732</v>
      </c>
      <c r="B6714" s="33">
        <v>6966</v>
      </c>
      <c r="C6714" s="3">
        <v>60000</v>
      </c>
      <c r="D6714" s="3"/>
      <c r="E6714" s="7">
        <f t="shared" si="125"/>
        <v>60000</v>
      </c>
      <c r="F6714" s="5">
        <v>45959</v>
      </c>
      <c r="G6714" s="4">
        <v>20251028</v>
      </c>
      <c r="H6714" s="38" t="str">
        <f>VLOOKUP(B6714,CAJEROS!B:D,3,0)</f>
        <v>Dispensador</v>
      </c>
      <c r="I6714" s="34"/>
      <c r="J6714" s="38" t="str">
        <f>VLOOKUP(B6714,CAJEROS!B:E,4,0)</f>
        <v>ROLDANIL_2</v>
      </c>
      <c r="K6714" t="s">
        <v>610</v>
      </c>
    </row>
    <row r="6715" spans="1:11">
      <c r="A6715" s="32">
        <v>916</v>
      </c>
      <c r="B6715" s="33">
        <v>5743</v>
      </c>
      <c r="C6715" s="3">
        <v>9390000</v>
      </c>
      <c r="D6715" s="3">
        <v>320000</v>
      </c>
      <c r="E6715" s="7">
        <f t="shared" si="125"/>
        <v>9070000</v>
      </c>
      <c r="F6715" s="5">
        <v>45959</v>
      </c>
      <c r="G6715" s="4">
        <v>20251028</v>
      </c>
      <c r="H6715" s="38" t="str">
        <f>VLOOKUP(B6715,CAJEROS!B:D,3,0)</f>
        <v>Dispensador</v>
      </c>
      <c r="I6715" s="34"/>
      <c r="J6715" s="38" t="str">
        <f>VLOOKUP(B6715,CAJEROS!B:E,4,0)</f>
        <v>SUC_OCEANM3</v>
      </c>
      <c r="K6715" t="s">
        <v>610</v>
      </c>
    </row>
    <row r="6716" spans="1:11">
      <c r="A6716" s="32">
        <v>211</v>
      </c>
      <c r="B6716" s="33">
        <v>5309</v>
      </c>
      <c r="C6716" s="3">
        <v>760000</v>
      </c>
      <c r="D6716" s="3"/>
      <c r="E6716" s="7">
        <f t="shared" si="125"/>
        <v>760000</v>
      </c>
      <c r="F6716" s="5">
        <v>45959</v>
      </c>
      <c r="G6716" s="4">
        <v>20251028</v>
      </c>
      <c r="H6716" s="38" t="str">
        <f>VLOOKUP(B6716,CAJEROS!B:D,3,0)</f>
        <v>Dispensador</v>
      </c>
      <c r="I6716" s="34" t="s">
        <v>9</v>
      </c>
      <c r="J6716" s="38" t="str">
        <f>VLOOKUP(B6716,CAJEROS!B:E,4,0)</f>
        <v>SUC_INDUST2</v>
      </c>
      <c r="K6716" t="s">
        <v>610</v>
      </c>
    </row>
    <row r="6717" spans="1:11">
      <c r="A6717" s="32">
        <v>348</v>
      </c>
      <c r="B6717" s="33">
        <v>9007</v>
      </c>
      <c r="C6717" s="3">
        <v>160000</v>
      </c>
      <c r="D6717" s="3"/>
      <c r="E6717" s="7">
        <f t="shared" si="125"/>
        <v>160000</v>
      </c>
      <c r="F6717" s="5">
        <v>45959</v>
      </c>
      <c r="G6717" s="4">
        <v>20251028</v>
      </c>
      <c r="H6717" s="38" t="str">
        <f>VLOOKUP(B6717,CAJEROS!B:D,3,0)</f>
        <v>Dispensador</v>
      </c>
      <c r="I6717" s="34" t="s">
        <v>9</v>
      </c>
      <c r="J6717" s="38" t="str">
        <f>VLOOKUP(B6717,CAJEROS!B:E,4,0)</f>
        <v>SUCSANDRES7</v>
      </c>
      <c r="K6717" t="s">
        <v>610</v>
      </c>
    </row>
    <row r="6718" spans="1:11">
      <c r="A6718" s="32">
        <v>427</v>
      </c>
      <c r="B6718" s="33">
        <v>4271</v>
      </c>
      <c r="C6718" s="3">
        <v>600000</v>
      </c>
      <c r="D6718" s="3"/>
      <c r="E6718" s="7">
        <f t="shared" si="125"/>
        <v>600000</v>
      </c>
      <c r="F6718" s="5">
        <v>45959</v>
      </c>
      <c r="G6718" s="4">
        <v>20251028</v>
      </c>
      <c r="H6718" s="38" t="str">
        <f>VLOOKUP(B6718,CAJEROS!B:D,3,0)</f>
        <v>Dispensador</v>
      </c>
      <c r="I6718" s="34" t="s">
        <v>9</v>
      </c>
      <c r="J6718" s="38" t="str">
        <f>VLOOKUP(B6718,CAJEROS!B:E,4,0)</f>
        <v>SALDANA</v>
      </c>
      <c r="K6718" t="s">
        <v>610</v>
      </c>
    </row>
    <row r="6719" spans="1:11">
      <c r="A6719" s="32">
        <v>631</v>
      </c>
      <c r="B6719" s="33">
        <v>2795</v>
      </c>
      <c r="C6719" s="3">
        <v>40000</v>
      </c>
      <c r="D6719" s="3"/>
      <c r="E6719" s="7">
        <f t="shared" si="125"/>
        <v>40000</v>
      </c>
      <c r="F6719" s="5">
        <v>45959</v>
      </c>
      <c r="G6719" s="4">
        <v>20251028</v>
      </c>
      <c r="H6719" s="38" t="str">
        <f>VLOOKUP(B6719,CAJEROS!B:D,3,0)</f>
        <v>Dispensador</v>
      </c>
      <c r="I6719" s="34" t="s">
        <v>9</v>
      </c>
      <c r="J6719" s="38" t="str">
        <f>VLOOKUP(B6719,CAJEROS!B:E,4,0)</f>
        <v>SUCURIBIA_5</v>
      </c>
      <c r="K6719" t="s">
        <v>610</v>
      </c>
    </row>
    <row r="6720" spans="1:11">
      <c r="A6720" s="32">
        <v>865</v>
      </c>
      <c r="B6720" s="33">
        <v>7596</v>
      </c>
      <c r="C6720" s="3">
        <v>100000</v>
      </c>
      <c r="D6720" s="3"/>
      <c r="E6720" s="7">
        <f t="shared" si="125"/>
        <v>100000</v>
      </c>
      <c r="F6720" s="5">
        <v>45959</v>
      </c>
      <c r="G6720" s="4">
        <v>20251028</v>
      </c>
      <c r="H6720" s="38" t="str">
        <f>VLOOKUP(B6720,CAJEROS!B:D,3,0)</f>
        <v>Dispensador</v>
      </c>
      <c r="I6720" s="34" t="s">
        <v>9</v>
      </c>
      <c r="J6720" s="38" t="str">
        <f>VLOOKUP(B6720,CAJEROS!B:E,4,0)</f>
        <v>SUC_PLBOAR2</v>
      </c>
      <c r="K6720" t="s">
        <v>610</v>
      </c>
    </row>
    <row r="6721" spans="1:11">
      <c r="A6721" s="32">
        <v>927</v>
      </c>
      <c r="B6721" s="33">
        <v>5751</v>
      </c>
      <c r="C6721" s="3">
        <v>550000</v>
      </c>
      <c r="D6721" s="3"/>
      <c r="E6721" s="7">
        <f t="shared" si="125"/>
        <v>550000</v>
      </c>
      <c r="F6721" s="5">
        <v>45959</v>
      </c>
      <c r="G6721" s="4">
        <v>20251028</v>
      </c>
      <c r="H6721" s="38" t="str">
        <f>VLOOKUP(B6721,CAJEROS!B:D,3,0)</f>
        <v>Dispensador</v>
      </c>
      <c r="I6721" s="34" t="s">
        <v>9</v>
      </c>
      <c r="J6721" s="38" t="str">
        <f>VLOOKUP(B6721,CAJEROS!B:E,4,0)</f>
        <v>SUC_MOCOA3</v>
      </c>
      <c r="K6721" t="s">
        <v>610</v>
      </c>
    </row>
    <row r="6722" spans="1:11">
      <c r="A6722" s="32">
        <v>217</v>
      </c>
      <c r="B6722" s="33">
        <v>5208</v>
      </c>
      <c r="C6722" s="3">
        <v>20000</v>
      </c>
      <c r="D6722" s="3"/>
      <c r="E6722" s="7">
        <f t="shared" si="125"/>
        <v>20000</v>
      </c>
      <c r="F6722" s="5">
        <v>45959</v>
      </c>
      <c r="G6722" s="4">
        <v>20251028</v>
      </c>
      <c r="H6722" s="38" t="str">
        <f>VLOOKUP(B6722,CAJEROS!B:D,3,0)</f>
        <v>Multifuncional</v>
      </c>
      <c r="I6722" s="34" t="s">
        <v>10</v>
      </c>
      <c r="J6722" s="38" t="str">
        <f>VLOOKUP(B6722,CAJEROS!B:E,4,0)</f>
        <v>MF_MONTEVID</v>
      </c>
      <c r="K6722" t="s">
        <v>610</v>
      </c>
    </row>
    <row r="6723" spans="1:11">
      <c r="A6723" s="32">
        <v>225</v>
      </c>
      <c r="B6723" s="33">
        <v>8863</v>
      </c>
      <c r="C6723" s="3">
        <v>20000</v>
      </c>
      <c r="D6723" s="3"/>
      <c r="E6723" s="7">
        <f t="shared" si="125"/>
        <v>20000</v>
      </c>
      <c r="F6723" s="5">
        <v>45959</v>
      </c>
      <c r="G6723" s="4">
        <v>20251028</v>
      </c>
      <c r="H6723" s="38" t="str">
        <f>VLOOKUP(B6723,CAJEROS!B:D,3,0)</f>
        <v>Dispensador</v>
      </c>
      <c r="I6723" s="34" t="s">
        <v>10</v>
      </c>
      <c r="J6723" s="38" t="str">
        <f>VLOOKUP(B6723,CAJEROS!B:E,4,0)</f>
        <v>SMALPLANQS1</v>
      </c>
      <c r="K6723" t="s">
        <v>610</v>
      </c>
    </row>
    <row r="6724" spans="1:11">
      <c r="A6724" s="32">
        <v>864</v>
      </c>
      <c r="B6724" s="33">
        <v>5795</v>
      </c>
      <c r="C6724" s="3">
        <v>10000</v>
      </c>
      <c r="D6724" s="3"/>
      <c r="E6724" s="7">
        <f t="shared" si="125"/>
        <v>10000</v>
      </c>
      <c r="F6724" s="5">
        <v>45959</v>
      </c>
      <c r="G6724" s="4">
        <v>20251028</v>
      </c>
      <c r="H6724" s="38" t="str">
        <f>VLOOKUP(B6724,CAJEROS!B:D,3,0)</f>
        <v>Dispensador</v>
      </c>
      <c r="I6724" s="34" t="s">
        <v>10</v>
      </c>
      <c r="J6724" s="38" t="str">
        <f>VLOOKUP(B6724,CAJEROS!B:E,4,0)</f>
        <v>SUC_PRADER1</v>
      </c>
      <c r="K6724" t="s">
        <v>610</v>
      </c>
    </row>
    <row r="6725" spans="1:11">
      <c r="A6725" s="32">
        <v>495</v>
      </c>
      <c r="B6725" s="33">
        <v>8482</v>
      </c>
      <c r="C6725" s="3">
        <v>10000</v>
      </c>
      <c r="D6725" s="3"/>
      <c r="E6725" s="7">
        <f t="shared" si="125"/>
        <v>10000</v>
      </c>
      <c r="F6725" s="5">
        <v>45959</v>
      </c>
      <c r="G6725" s="4">
        <v>20251028</v>
      </c>
      <c r="H6725" s="38" t="str">
        <f>VLOOKUP(B6725,CAJEROS!B:D,3,0)</f>
        <v>Multifuncional</v>
      </c>
      <c r="I6725" s="34" t="s">
        <v>10</v>
      </c>
      <c r="J6725" s="38" t="str">
        <f>VLOOKUP(B6725,CAJEROS!B:E,4,0)</f>
        <v>MF_SUCBOSQ1</v>
      </c>
      <c r="K6725" t="s">
        <v>610</v>
      </c>
    </row>
    <row r="6726" spans="1:11">
      <c r="A6726" s="32">
        <v>692</v>
      </c>
      <c r="B6726" s="33">
        <v>1525</v>
      </c>
      <c r="C6726" s="3">
        <v>20000</v>
      </c>
      <c r="D6726" s="3"/>
      <c r="E6726" s="7">
        <f t="shared" si="125"/>
        <v>20000</v>
      </c>
      <c r="F6726" s="5">
        <v>45959</v>
      </c>
      <c r="G6726" s="4">
        <v>20251028</v>
      </c>
      <c r="H6726" s="38" t="str">
        <f>VLOOKUP(B6726,CAJEROS!B:D,3,0)</f>
        <v>Dispensador</v>
      </c>
      <c r="I6726" s="34" t="s">
        <v>10</v>
      </c>
      <c r="J6726" s="38" t="str">
        <f>VLOOKUP(B6726,CAJEROS!B:E,4,0)</f>
        <v>SUCALTOPRA1</v>
      </c>
      <c r="K6726" t="s">
        <v>610</v>
      </c>
    </row>
    <row r="6727" spans="1:11">
      <c r="A6727" s="32">
        <v>780</v>
      </c>
      <c r="B6727" s="33">
        <v>4714</v>
      </c>
      <c r="C6727" s="3">
        <v>20000</v>
      </c>
      <c r="D6727" s="3"/>
      <c r="E6727" s="7">
        <f t="shared" si="125"/>
        <v>20000</v>
      </c>
      <c r="F6727" s="5">
        <v>45959</v>
      </c>
      <c r="G6727" s="4">
        <v>20251028</v>
      </c>
      <c r="H6727" s="38" t="str">
        <f>VLOOKUP(B6727,CAJEROS!B:D,3,0)</f>
        <v>Dispensador</v>
      </c>
      <c r="I6727" s="34" t="s">
        <v>10</v>
      </c>
      <c r="J6727" s="38" t="str">
        <f>VLOOKUP(B6727,CAJEROS!B:E,4,0)</f>
        <v>SUCREALMIN2</v>
      </c>
      <c r="K6727" t="s">
        <v>610</v>
      </c>
    </row>
    <row r="6728" spans="1:11">
      <c r="A6728" s="32">
        <v>60</v>
      </c>
      <c r="B6728" s="33">
        <v>8727</v>
      </c>
      <c r="C6728" s="3">
        <v>1000</v>
      </c>
      <c r="D6728" s="3"/>
      <c r="E6728" s="7">
        <f t="shared" si="125"/>
        <v>1000</v>
      </c>
      <c r="F6728" s="5">
        <v>45959</v>
      </c>
      <c r="G6728" s="4">
        <v>20251028</v>
      </c>
      <c r="H6728" s="38" t="str">
        <f>VLOOKUP(B6728,CAJEROS!B:D,3,0)</f>
        <v>Multifuncional</v>
      </c>
      <c r="I6728" s="34" t="s">
        <v>10</v>
      </c>
      <c r="J6728" s="38" t="str">
        <f>VLOOKUP(B6728,CAJEROS!B:E,4,0)</f>
        <v>MF_HCALIPR1</v>
      </c>
      <c r="K6728" t="s">
        <v>610</v>
      </c>
    </row>
    <row r="6729" spans="1:11">
      <c r="A6729" s="32">
        <v>162</v>
      </c>
      <c r="B6729" s="33">
        <v>1620</v>
      </c>
      <c r="C6729" s="3">
        <v>30000</v>
      </c>
      <c r="D6729" s="3"/>
      <c r="E6729" s="7">
        <f t="shared" si="125"/>
        <v>30000</v>
      </c>
      <c r="F6729" s="5">
        <v>45960</v>
      </c>
      <c r="G6729" s="4">
        <v>20251029</v>
      </c>
      <c r="H6729" s="38" t="str">
        <f>VLOOKUP(B6729,CAJEROS!B:D,3,0)</f>
        <v>Dispensador</v>
      </c>
      <c r="I6729" s="34"/>
      <c r="J6729" s="38" t="str">
        <f>VLOOKUP(B6729,CAJEROS!B:E,4,0)</f>
        <v>SAN_PEDRO</v>
      </c>
      <c r="K6729" t="s">
        <v>610</v>
      </c>
    </row>
    <row r="6730" spans="1:11">
      <c r="A6730" s="32">
        <v>516</v>
      </c>
      <c r="B6730" s="33">
        <v>9728</v>
      </c>
      <c r="C6730" s="3">
        <v>720000</v>
      </c>
      <c r="D6730" s="3">
        <v>670000</v>
      </c>
      <c r="E6730" s="7">
        <f t="shared" si="125"/>
        <v>50000</v>
      </c>
      <c r="F6730" s="5">
        <v>45960</v>
      </c>
      <c r="G6730" s="4">
        <v>20251029</v>
      </c>
      <c r="H6730" s="38" t="str">
        <f>VLOOKUP(B6730,CAJEROS!B:D,3,0)</f>
        <v>Dispensador</v>
      </c>
      <c r="I6730" s="34"/>
      <c r="J6730" s="38" t="str">
        <f>VLOOKUP(B6730,CAJEROS!B:E,4,0)</f>
        <v>SUCSTAMART3</v>
      </c>
      <c r="K6730" t="s">
        <v>610</v>
      </c>
    </row>
    <row r="6731" spans="1:11">
      <c r="A6731" s="32">
        <v>211</v>
      </c>
      <c r="B6731" s="33">
        <v>5309</v>
      </c>
      <c r="C6731" s="3">
        <v>50000</v>
      </c>
      <c r="D6731" s="3"/>
      <c r="E6731" s="7">
        <f t="shared" ref="E6731:E6794" si="126">+C6731-D6731</f>
        <v>50000</v>
      </c>
      <c r="F6731" s="5">
        <v>45960</v>
      </c>
      <c r="G6731" s="4">
        <v>20251029</v>
      </c>
      <c r="H6731" s="38" t="str">
        <f>VLOOKUP(B6731,CAJEROS!B:D,3,0)</f>
        <v>Dispensador</v>
      </c>
      <c r="I6731" s="34" t="s">
        <v>9</v>
      </c>
      <c r="J6731" s="38" t="str">
        <f>VLOOKUP(B6731,CAJEROS!B:E,4,0)</f>
        <v>SUC_INDUST2</v>
      </c>
      <c r="K6731" t="s">
        <v>610</v>
      </c>
    </row>
    <row r="6732" spans="1:11">
      <c r="A6732" s="32">
        <v>232</v>
      </c>
      <c r="B6732" s="33">
        <v>4062</v>
      </c>
      <c r="C6732" s="3">
        <v>50000</v>
      </c>
      <c r="D6732" s="3"/>
      <c r="E6732" s="7">
        <f t="shared" si="126"/>
        <v>50000</v>
      </c>
      <c r="F6732" s="5">
        <v>45960</v>
      </c>
      <c r="G6732" s="4">
        <v>20251029</v>
      </c>
      <c r="H6732" s="38" t="str">
        <f>VLOOKUP(B6732,CAJEROS!B:D,3,0)</f>
        <v>Dispensador</v>
      </c>
      <c r="I6732" s="34" t="s">
        <v>9</v>
      </c>
      <c r="J6732" s="38" t="str">
        <f>VLOOKUP(B6732,CAJEROS!B:E,4,0)</f>
        <v>SUC_GUASCA1</v>
      </c>
      <c r="K6732" t="s">
        <v>610</v>
      </c>
    </row>
    <row r="6733" spans="1:11">
      <c r="A6733" s="32">
        <v>240</v>
      </c>
      <c r="B6733" s="33">
        <v>6372</v>
      </c>
      <c r="C6733" s="3">
        <v>850000</v>
      </c>
      <c r="D6733" s="3">
        <v>150000</v>
      </c>
      <c r="E6733" s="7">
        <f t="shared" si="126"/>
        <v>700000</v>
      </c>
      <c r="F6733" s="5">
        <v>45960</v>
      </c>
      <c r="G6733" s="4">
        <v>20251029</v>
      </c>
      <c r="H6733" s="38" t="str">
        <f>VLOOKUP(B6733,CAJEROS!B:D,3,0)</f>
        <v>Dispensador</v>
      </c>
      <c r="I6733" s="34" t="s">
        <v>9</v>
      </c>
      <c r="J6733" s="38" t="str">
        <f>VLOOKUP(B6733,CAJEROS!B:E,4,0)</f>
        <v>STAFEANTI_2</v>
      </c>
      <c r="K6733" t="s">
        <v>610</v>
      </c>
    </row>
    <row r="6734" spans="1:11">
      <c r="A6734" s="32">
        <v>334</v>
      </c>
      <c r="B6734" s="33">
        <v>8802</v>
      </c>
      <c r="C6734" s="3">
        <v>50000</v>
      </c>
      <c r="D6734" s="3"/>
      <c r="E6734" s="7">
        <f t="shared" si="126"/>
        <v>50000</v>
      </c>
      <c r="F6734" s="5">
        <v>45960</v>
      </c>
      <c r="G6734" s="4">
        <v>20251029</v>
      </c>
      <c r="H6734" s="38" t="str">
        <f>VLOOKUP(B6734,CAJEROS!B:D,3,0)</f>
        <v>Dispensador</v>
      </c>
      <c r="I6734" s="34" t="s">
        <v>9</v>
      </c>
      <c r="J6734" s="38" t="str">
        <f>VLOOKUP(B6734,CAJEROS!B:E,4,0)</f>
        <v>SUCPENOL_2</v>
      </c>
      <c r="K6734" t="s">
        <v>610</v>
      </c>
    </row>
    <row r="6735" spans="1:11">
      <c r="A6735" s="32">
        <v>348</v>
      </c>
      <c r="B6735" s="33">
        <v>5649</v>
      </c>
      <c r="C6735" s="3">
        <v>280000</v>
      </c>
      <c r="D6735" s="3"/>
      <c r="E6735" s="7">
        <f t="shared" si="126"/>
        <v>280000</v>
      </c>
      <c r="F6735" s="5">
        <v>45960</v>
      </c>
      <c r="G6735" s="4">
        <v>20251029</v>
      </c>
      <c r="H6735" s="38" t="str">
        <f>VLOOKUP(B6735,CAJEROS!B:D,3,0)</f>
        <v>Dispensador</v>
      </c>
      <c r="I6735" s="34" t="s">
        <v>9</v>
      </c>
      <c r="J6735" s="38" t="str">
        <f>VLOOKUP(B6735,CAJEROS!B:E,4,0)</f>
        <v>SUCSANDRES5</v>
      </c>
      <c r="K6735" t="s">
        <v>610</v>
      </c>
    </row>
    <row r="6736" spans="1:11">
      <c r="A6736" s="32">
        <v>385</v>
      </c>
      <c r="B6736" s="33">
        <v>6601</v>
      </c>
      <c r="C6736" s="3">
        <v>300000</v>
      </c>
      <c r="D6736" s="3"/>
      <c r="E6736" s="7">
        <f t="shared" si="126"/>
        <v>300000</v>
      </c>
      <c r="F6736" s="5">
        <v>45960</v>
      </c>
      <c r="G6736" s="4">
        <v>20251029</v>
      </c>
      <c r="H6736" s="38" t="str">
        <f>VLOOKUP(B6736,CAJEROS!B:D,3,0)</f>
        <v>Dispensador</v>
      </c>
      <c r="I6736" s="34" t="s">
        <v>9</v>
      </c>
      <c r="J6736" s="38" t="str">
        <f>VLOOKUP(B6736,CAJEROS!B:E,4,0)</f>
        <v>OFVILLETA_2</v>
      </c>
      <c r="K6736" t="s">
        <v>610</v>
      </c>
    </row>
    <row r="6737" spans="1:11">
      <c r="A6737" s="32">
        <v>392</v>
      </c>
      <c r="B6737" s="33">
        <v>4890</v>
      </c>
      <c r="C6737" s="3">
        <v>150000</v>
      </c>
      <c r="D6737" s="3">
        <v>80000</v>
      </c>
      <c r="E6737" s="7">
        <f t="shared" si="126"/>
        <v>70000</v>
      </c>
      <c r="F6737" s="5">
        <v>45960</v>
      </c>
      <c r="G6737" s="4">
        <v>20251029</v>
      </c>
      <c r="H6737" s="38" t="str">
        <f>VLOOKUP(B6737,CAJEROS!B:D,3,0)</f>
        <v>Dispensador</v>
      </c>
      <c r="I6737" s="34" t="s">
        <v>9</v>
      </c>
      <c r="J6737" s="38" t="str">
        <f>VLOOKUP(B6737,CAJEROS!B:E,4,0)</f>
        <v>LADORADA3</v>
      </c>
      <c r="K6737" t="s">
        <v>610</v>
      </c>
    </row>
    <row r="6738" spans="1:11">
      <c r="A6738" s="32">
        <v>467</v>
      </c>
      <c r="B6738" s="33">
        <v>8911</v>
      </c>
      <c r="C6738" s="3">
        <v>30000</v>
      </c>
      <c r="D6738" s="3"/>
      <c r="E6738" s="7">
        <f t="shared" si="126"/>
        <v>30000</v>
      </c>
      <c r="F6738" s="5">
        <v>45960</v>
      </c>
      <c r="G6738" s="4">
        <v>20251029</v>
      </c>
      <c r="H6738" s="38" t="str">
        <f>VLOOKUP(B6738,CAJEROS!B:D,3,0)</f>
        <v>Dispensador</v>
      </c>
      <c r="I6738" s="34" t="s">
        <v>9</v>
      </c>
      <c r="J6738" s="38" t="str">
        <f>VLOOKUP(B6738,CAJEROS!B:E,4,0)</f>
        <v>HDIVERPLZ_1</v>
      </c>
      <c r="K6738" t="s">
        <v>610</v>
      </c>
    </row>
    <row r="6739" spans="1:11">
      <c r="A6739" s="32">
        <v>584</v>
      </c>
      <c r="B6739" s="33">
        <v>6874</v>
      </c>
      <c r="C6739" s="3">
        <v>450000</v>
      </c>
      <c r="D6739" s="3"/>
      <c r="E6739" s="7">
        <f t="shared" si="126"/>
        <v>450000</v>
      </c>
      <c r="F6739" s="5">
        <v>45960</v>
      </c>
      <c r="G6739" s="4">
        <v>20251029</v>
      </c>
      <c r="H6739" s="38" t="str">
        <f>VLOOKUP(B6739,CAJEROS!B:D,3,0)</f>
        <v>Dispensador</v>
      </c>
      <c r="I6739" s="34" t="s">
        <v>9</v>
      </c>
      <c r="J6739" s="38" t="str">
        <f>VLOOKUP(B6739,CAJEROS!B:E,4,0)</f>
        <v>HALLCHIGOR2</v>
      </c>
      <c r="K6739" t="s">
        <v>610</v>
      </c>
    </row>
    <row r="6740" spans="1:11">
      <c r="A6740" s="32">
        <v>631</v>
      </c>
      <c r="B6740" s="33">
        <v>2617</v>
      </c>
      <c r="C6740" s="3">
        <v>1560000</v>
      </c>
      <c r="D6740" s="3">
        <v>1260000</v>
      </c>
      <c r="E6740" s="7">
        <f t="shared" si="126"/>
        <v>300000</v>
      </c>
      <c r="F6740" s="5">
        <v>45960</v>
      </c>
      <c r="G6740" s="4">
        <v>20251029</v>
      </c>
      <c r="H6740" s="38" t="str">
        <f>VLOOKUP(B6740,CAJEROS!B:D,3,0)</f>
        <v>Dispensador</v>
      </c>
      <c r="I6740" s="34" t="s">
        <v>9</v>
      </c>
      <c r="J6740" s="38" t="str">
        <f>VLOOKUP(B6740,CAJEROS!B:E,4,0)</f>
        <v>SUCURIBIA_3</v>
      </c>
      <c r="K6740" t="s">
        <v>610</v>
      </c>
    </row>
    <row r="6741" spans="1:11">
      <c r="A6741" s="32">
        <v>828</v>
      </c>
      <c r="B6741" s="33">
        <v>3103</v>
      </c>
      <c r="C6741" s="3">
        <v>100000</v>
      </c>
      <c r="D6741" s="3"/>
      <c r="E6741" s="7">
        <f t="shared" si="126"/>
        <v>100000</v>
      </c>
      <c r="F6741" s="5">
        <v>45960</v>
      </c>
      <c r="G6741" s="4">
        <v>20251029</v>
      </c>
      <c r="H6741" s="38" t="str">
        <f>VLOOKUP(B6741,CAJEROS!B:D,3,0)</f>
        <v>Dispensador</v>
      </c>
      <c r="I6741" s="34" t="s">
        <v>9</v>
      </c>
      <c r="J6741" s="38" t="str">
        <f>VLOOKUP(B6741,CAJEROS!B:E,4,0)</f>
        <v>SUC_SANJOS2</v>
      </c>
      <c r="K6741" t="s">
        <v>610</v>
      </c>
    </row>
    <row r="6742" spans="1:11">
      <c r="A6742" s="32">
        <v>864</v>
      </c>
      <c r="B6742" s="33">
        <v>5795</v>
      </c>
      <c r="C6742" s="3">
        <v>300000</v>
      </c>
      <c r="D6742" s="3"/>
      <c r="E6742" s="7">
        <f t="shared" si="126"/>
        <v>300000</v>
      </c>
      <c r="F6742" s="5">
        <v>45960</v>
      </c>
      <c r="G6742" s="4">
        <v>20251029</v>
      </c>
      <c r="H6742" s="38" t="str">
        <f>VLOOKUP(B6742,CAJEROS!B:D,3,0)</f>
        <v>Dispensador</v>
      </c>
      <c r="I6742" s="34" t="s">
        <v>9</v>
      </c>
      <c r="J6742" s="38" t="str">
        <f>VLOOKUP(B6742,CAJEROS!B:E,4,0)</f>
        <v>SUC_PRADER1</v>
      </c>
      <c r="K6742" t="s">
        <v>610</v>
      </c>
    </row>
    <row r="6743" spans="1:11">
      <c r="A6743" s="32">
        <v>882</v>
      </c>
      <c r="B6743" s="33">
        <v>3510</v>
      </c>
      <c r="C6743" s="3">
        <v>340000</v>
      </c>
      <c r="D6743" s="3"/>
      <c r="E6743" s="7">
        <f t="shared" si="126"/>
        <v>340000</v>
      </c>
      <c r="F6743" s="5">
        <v>45960</v>
      </c>
      <c r="G6743" s="4">
        <v>20251029</v>
      </c>
      <c r="H6743" s="38" t="str">
        <f>VLOOKUP(B6743,CAJEROS!B:D,3,0)</f>
        <v>Dispensador</v>
      </c>
      <c r="I6743" s="34" t="s">
        <v>9</v>
      </c>
      <c r="J6743" s="38" t="str">
        <f>VLOOKUP(B6743,CAJEROS!B:E,4,0)</f>
        <v>LIBERTADOR1</v>
      </c>
      <c r="K6743" t="s">
        <v>610</v>
      </c>
    </row>
    <row r="6744" spans="1:11">
      <c r="A6744" s="32">
        <v>894</v>
      </c>
      <c r="B6744" s="33">
        <v>4233</v>
      </c>
      <c r="C6744" s="3">
        <v>100000</v>
      </c>
      <c r="D6744" s="3"/>
      <c r="E6744" s="7">
        <f t="shared" si="126"/>
        <v>100000</v>
      </c>
      <c r="F6744" s="5">
        <v>45960</v>
      </c>
      <c r="G6744" s="4">
        <v>20251029</v>
      </c>
      <c r="H6744" s="38" t="str">
        <f>VLOOKUP(B6744,CAJEROS!B:D,3,0)</f>
        <v>Dispensador</v>
      </c>
      <c r="I6744" s="34" t="s">
        <v>9</v>
      </c>
      <c r="J6744" s="38" t="str">
        <f>VLOOKUP(B6744,CAJEROS!B:E,4,0)</f>
        <v>AUTO_TUMA2</v>
      </c>
      <c r="K6744" t="s">
        <v>610</v>
      </c>
    </row>
    <row r="6745" spans="1:11">
      <c r="A6745" s="32">
        <v>943</v>
      </c>
      <c r="B6745" s="33">
        <v>7348</v>
      </c>
      <c r="C6745" s="3">
        <v>40000</v>
      </c>
      <c r="D6745" s="3"/>
      <c r="E6745" s="7">
        <f t="shared" si="126"/>
        <v>40000</v>
      </c>
      <c r="F6745" s="5">
        <v>45960</v>
      </c>
      <c r="G6745" s="4">
        <v>20251029</v>
      </c>
      <c r="H6745" s="38" t="str">
        <f>VLOOKUP(B6745,CAJEROS!B:D,3,0)</f>
        <v>Dispensador</v>
      </c>
      <c r="I6745" s="34" t="s">
        <v>9</v>
      </c>
      <c r="J6745" s="38" t="str">
        <f>VLOOKUP(B6745,CAJEROS!B:E,4,0)</f>
        <v>LETICIA_3</v>
      </c>
      <c r="K6745" t="s">
        <v>610</v>
      </c>
    </row>
    <row r="6746" spans="1:11">
      <c r="A6746" s="32">
        <v>333</v>
      </c>
      <c r="B6746" s="33">
        <v>442</v>
      </c>
      <c r="C6746" s="3">
        <v>7644000</v>
      </c>
      <c r="D6746" s="3"/>
      <c r="E6746" s="7">
        <f t="shared" si="126"/>
        <v>7644000</v>
      </c>
      <c r="F6746" s="5">
        <v>45960</v>
      </c>
      <c r="G6746" s="4">
        <v>20251029</v>
      </c>
      <c r="H6746" s="38" t="str">
        <f>VLOOKUP(B6746,CAJEROS!B:D,3,0)</f>
        <v>Multifuncional</v>
      </c>
      <c r="I6746" s="34"/>
      <c r="J6746" s="38" t="str">
        <f>VLOOKUP(B6746,CAJEROS!B:E,4,0)</f>
        <v>MFSUCAVMAR2</v>
      </c>
      <c r="K6746" t="s">
        <v>610</v>
      </c>
    </row>
    <row r="6747" spans="1:11">
      <c r="A6747" s="32">
        <v>333</v>
      </c>
      <c r="B6747" s="33">
        <v>5076</v>
      </c>
      <c r="C6747" s="3">
        <v>5675000</v>
      </c>
      <c r="D6747" s="3">
        <v>3002900</v>
      </c>
      <c r="E6747" s="7">
        <f t="shared" si="126"/>
        <v>2672100</v>
      </c>
      <c r="F6747" s="5">
        <v>45960</v>
      </c>
      <c r="G6747" s="4">
        <v>20251029</v>
      </c>
      <c r="H6747" s="38" t="str">
        <f>VLOOKUP(B6747,CAJEROS!B:D,3,0)</f>
        <v>Multifuncional</v>
      </c>
      <c r="I6747" s="34"/>
      <c r="J6747" s="38" t="str">
        <f>VLOOKUP(B6747,CAJEROS!B:E,4,0)</f>
        <v>MF_AVESMARI</v>
      </c>
      <c r="K6747" t="s">
        <v>610</v>
      </c>
    </row>
    <row r="6748" spans="1:11">
      <c r="A6748" s="32">
        <v>467</v>
      </c>
      <c r="B6748" s="33">
        <v>9051</v>
      </c>
      <c r="C6748" s="3">
        <v>5799900</v>
      </c>
      <c r="D6748" s="3"/>
      <c r="E6748" s="7">
        <f t="shared" si="126"/>
        <v>5799900</v>
      </c>
      <c r="F6748" s="5">
        <v>45960</v>
      </c>
      <c r="G6748" s="4">
        <v>20251029</v>
      </c>
      <c r="H6748" s="38" t="str">
        <f>VLOOKUP(B6748,CAJEROS!B:D,3,0)</f>
        <v>Multifuncional</v>
      </c>
      <c r="I6748" s="34"/>
      <c r="J6748" s="38" t="str">
        <f>VLOOKUP(B6748,CAJEROS!B:E,4,0)</f>
        <v>MFHDVERPLZ1</v>
      </c>
      <c r="K6748" t="s">
        <v>610</v>
      </c>
    </row>
    <row r="6749" spans="1:11">
      <c r="A6749" s="32">
        <v>523</v>
      </c>
      <c r="B6749" s="33">
        <v>5082</v>
      </c>
      <c r="C6749" s="3">
        <v>13567600</v>
      </c>
      <c r="D6749" s="3">
        <v>1670000</v>
      </c>
      <c r="E6749" s="7">
        <f t="shared" si="126"/>
        <v>11897600</v>
      </c>
      <c r="F6749" s="5">
        <v>45960</v>
      </c>
      <c r="G6749" s="4">
        <v>20251029</v>
      </c>
      <c r="H6749" s="38" t="str">
        <f>VLOOKUP(B6749,CAJEROS!B:D,3,0)</f>
        <v>Multifuncional</v>
      </c>
      <c r="I6749" s="34"/>
      <c r="J6749" s="38" t="str">
        <f>VLOOKUP(B6749,CAJEROS!B:E,4,0)</f>
        <v>MF_OVALLEDU</v>
      </c>
      <c r="K6749" t="s">
        <v>610</v>
      </c>
    </row>
    <row r="6750" spans="1:11">
      <c r="A6750" s="32">
        <v>849</v>
      </c>
      <c r="B6750" s="33">
        <v>9724</v>
      </c>
      <c r="C6750" s="3">
        <v>259550</v>
      </c>
      <c r="D6750" s="3"/>
      <c r="E6750" s="7">
        <f t="shared" si="126"/>
        <v>259550</v>
      </c>
      <c r="F6750" s="5">
        <v>45960</v>
      </c>
      <c r="G6750" s="4">
        <v>20251029</v>
      </c>
      <c r="H6750" s="38" t="str">
        <f>VLOOKUP(B6750,CAJEROS!B:D,3,0)</f>
        <v>Multifuncional</v>
      </c>
      <c r="I6750" s="34"/>
      <c r="J6750" s="38" t="str">
        <f>VLOOKUP(B6750,CAJEROS!B:E,4,0)</f>
        <v>MF_SUNIVIL1</v>
      </c>
      <c r="K6750" t="s">
        <v>610</v>
      </c>
    </row>
    <row r="6751" spans="1:11">
      <c r="A6751" s="32">
        <v>849</v>
      </c>
      <c r="B6751" s="33">
        <v>9725</v>
      </c>
      <c r="C6751" s="3">
        <v>9950000</v>
      </c>
      <c r="D6751" s="3"/>
      <c r="E6751" s="7">
        <f t="shared" si="126"/>
        <v>9950000</v>
      </c>
      <c r="F6751" s="5">
        <v>45960</v>
      </c>
      <c r="G6751" s="4">
        <v>20251029</v>
      </c>
      <c r="H6751" s="38" t="str">
        <f>VLOOKUP(B6751,CAJEROS!B:D,3,0)</f>
        <v>Multifuncional</v>
      </c>
      <c r="I6751" s="34"/>
      <c r="J6751" s="38" t="str">
        <f>VLOOKUP(B6751,CAJEROS!B:E,4,0)</f>
        <v>MF_SUNIVIL2</v>
      </c>
      <c r="K6751" t="s">
        <v>610</v>
      </c>
    </row>
    <row r="6752" spans="1:11">
      <c r="A6752" s="32">
        <v>166</v>
      </c>
      <c r="B6752" s="33">
        <v>7939</v>
      </c>
      <c r="C6752" s="3">
        <v>3932000</v>
      </c>
      <c r="D6752" s="3">
        <v>3670000</v>
      </c>
      <c r="E6752" s="7">
        <f t="shared" si="126"/>
        <v>262000</v>
      </c>
      <c r="F6752" s="5">
        <v>45960</v>
      </c>
      <c r="G6752" s="4">
        <v>20251029</v>
      </c>
      <c r="H6752" s="38" t="str">
        <f>VLOOKUP(B6752,CAJEROS!B:D,3,0)</f>
        <v>Multifuncional</v>
      </c>
      <c r="I6752" s="34" t="s">
        <v>9</v>
      </c>
      <c r="J6752" s="38" t="str">
        <f>VLOOKUP(B6752,CAJEROS!B:E,4,0)</f>
        <v>MF_ALDELSI1</v>
      </c>
      <c r="K6752" t="s">
        <v>610</v>
      </c>
    </row>
    <row r="6753" spans="1:11">
      <c r="A6753" s="32">
        <v>4</v>
      </c>
      <c r="B6753" s="33">
        <v>8630</v>
      </c>
      <c r="C6753" s="3">
        <v>3830000</v>
      </c>
      <c r="D6753" s="3">
        <v>270000</v>
      </c>
      <c r="E6753" s="7">
        <f t="shared" si="126"/>
        <v>3560000</v>
      </c>
      <c r="F6753" s="5">
        <v>45960</v>
      </c>
      <c r="G6753" s="4">
        <v>20251029</v>
      </c>
      <c r="H6753" s="38" t="str">
        <f>VLOOKUP(B6753,CAJEROS!B:D,3,0)</f>
        <v>Multifuncional</v>
      </c>
      <c r="I6753" s="34" t="s">
        <v>9</v>
      </c>
      <c r="J6753" s="38" t="str">
        <f>VLOOKUP(B6753,CAJEROS!B:E,4,0)</f>
        <v>MF_SUCLAUR1</v>
      </c>
      <c r="K6753" t="s">
        <v>610</v>
      </c>
    </row>
    <row r="6754" spans="1:11">
      <c r="A6754" s="32">
        <v>74</v>
      </c>
      <c r="B6754" s="33">
        <v>6215</v>
      </c>
      <c r="C6754" s="3">
        <v>3779000</v>
      </c>
      <c r="D6754" s="3">
        <v>2264000</v>
      </c>
      <c r="E6754" s="7">
        <f t="shared" si="126"/>
        <v>1515000</v>
      </c>
      <c r="F6754" s="5">
        <v>45960</v>
      </c>
      <c r="G6754" s="4">
        <v>20251029</v>
      </c>
      <c r="H6754" s="38" t="str">
        <f>VLOOKUP(B6754,CAJEROS!B:D,3,0)</f>
        <v>Multifuncional</v>
      </c>
      <c r="I6754" s="34" t="s">
        <v>9</v>
      </c>
      <c r="J6754" s="38" t="str">
        <f>VLOOKUP(B6754,CAJEROS!B:E,4,0)</f>
        <v>MF_PASTO</v>
      </c>
      <c r="K6754" t="s">
        <v>610</v>
      </c>
    </row>
    <row r="6755" spans="1:11">
      <c r="A6755" s="32">
        <v>366</v>
      </c>
      <c r="B6755" s="33">
        <v>5132</v>
      </c>
      <c r="C6755" s="3">
        <v>3590000</v>
      </c>
      <c r="D6755" s="3">
        <v>210000</v>
      </c>
      <c r="E6755" s="7">
        <f t="shared" si="126"/>
        <v>3380000</v>
      </c>
      <c r="F6755" s="5">
        <v>45960</v>
      </c>
      <c r="G6755" s="4">
        <v>20251029</v>
      </c>
      <c r="H6755" s="38" t="str">
        <f>VLOOKUP(B6755,CAJEROS!B:D,3,0)</f>
        <v>Multifuncional</v>
      </c>
      <c r="I6755" s="34" t="s">
        <v>9</v>
      </c>
      <c r="J6755" s="38" t="str">
        <f>VLOOKUP(B6755,CAJEROS!B:E,4,0)</f>
        <v>MF_TERMTPTE</v>
      </c>
      <c r="K6755" t="s">
        <v>610</v>
      </c>
    </row>
    <row r="6756" spans="1:11">
      <c r="A6756" s="32">
        <v>20</v>
      </c>
      <c r="B6756" s="33">
        <v>6839</v>
      </c>
      <c r="C6756" s="3">
        <v>3090000</v>
      </c>
      <c r="D6756" s="3"/>
      <c r="E6756" s="7">
        <f t="shared" si="126"/>
        <v>3090000</v>
      </c>
      <c r="F6756" s="5">
        <v>45960</v>
      </c>
      <c r="G6756" s="4">
        <v>20251029</v>
      </c>
      <c r="H6756" s="38" t="str">
        <f>VLOOKUP(B6756,CAJEROS!B:D,3,0)</f>
        <v>Multifuncional</v>
      </c>
      <c r="I6756" s="34" t="s">
        <v>9</v>
      </c>
      <c r="J6756" s="38" t="str">
        <f>VLOOKUP(B6756,CAJEROS!B:E,4,0)</f>
        <v>MF_BUCMANG3</v>
      </c>
      <c r="K6756" t="s">
        <v>610</v>
      </c>
    </row>
    <row r="6757" spans="1:11">
      <c r="A6757" s="32">
        <v>556</v>
      </c>
      <c r="B6757" s="33">
        <v>8333</v>
      </c>
      <c r="C6757" s="3">
        <v>2990000</v>
      </c>
      <c r="D6757" s="3">
        <v>1690000</v>
      </c>
      <c r="E6757" s="7">
        <f t="shared" si="126"/>
        <v>1300000</v>
      </c>
      <c r="F6757" s="5">
        <v>45960</v>
      </c>
      <c r="G6757" s="4">
        <v>20251029</v>
      </c>
      <c r="H6757" s="38" t="str">
        <f>VLOOKUP(B6757,CAJEROS!B:D,3,0)</f>
        <v>Multifuncional</v>
      </c>
      <c r="I6757" s="34" t="s">
        <v>9</v>
      </c>
      <c r="J6757" s="38" t="str">
        <f>VLOOKUP(B6757,CAJEROS!B:E,4,0)</f>
        <v>MF_SCARVIB1</v>
      </c>
      <c r="K6757" t="s">
        <v>610</v>
      </c>
    </row>
    <row r="6758" spans="1:11">
      <c r="A6758" s="32">
        <v>852</v>
      </c>
      <c r="B6758" s="33">
        <v>5050</v>
      </c>
      <c r="C6758" s="3">
        <v>2920000</v>
      </c>
      <c r="D6758" s="3">
        <f>920000+320000+1400000</f>
        <v>2640000</v>
      </c>
      <c r="E6758" s="7">
        <f t="shared" si="126"/>
        <v>280000</v>
      </c>
      <c r="F6758" s="5">
        <v>45960</v>
      </c>
      <c r="G6758" s="4">
        <v>20251029</v>
      </c>
      <c r="H6758" s="38" t="str">
        <f>VLOOKUP(B6758,CAJEROS!B:D,3,0)</f>
        <v>Multifuncional</v>
      </c>
      <c r="I6758" s="34" t="s">
        <v>9</v>
      </c>
      <c r="J6758" s="38" t="str">
        <f>VLOOKUP(B6758,CAJEROS!B:E,4,0)</f>
        <v>MF_VICPLAZA</v>
      </c>
      <c r="K6758" t="s">
        <v>610</v>
      </c>
    </row>
    <row r="6759" spans="1:11">
      <c r="A6759" s="32">
        <v>193</v>
      </c>
      <c r="B6759" s="33">
        <v>8537</v>
      </c>
      <c r="C6759" s="3">
        <v>2700000</v>
      </c>
      <c r="D6759" s="3"/>
      <c r="E6759" s="7">
        <f t="shared" si="126"/>
        <v>2700000</v>
      </c>
      <c r="F6759" s="5">
        <v>45960</v>
      </c>
      <c r="G6759" s="4">
        <v>20251029</v>
      </c>
      <c r="H6759" s="38" t="str">
        <f>VLOOKUP(B6759,CAJEROS!B:D,3,0)</f>
        <v>Multifuncional</v>
      </c>
      <c r="I6759" s="34" t="s">
        <v>9</v>
      </c>
      <c r="J6759" s="38" t="str">
        <f>VLOOKUP(B6759,CAJEROS!B:E,4,0)</f>
        <v>MF_HSUCFIC1</v>
      </c>
      <c r="K6759" t="s">
        <v>610</v>
      </c>
    </row>
    <row r="6760" spans="1:11">
      <c r="A6760" s="32">
        <v>848</v>
      </c>
      <c r="B6760" s="33">
        <v>7374</v>
      </c>
      <c r="C6760" s="3">
        <v>2651000</v>
      </c>
      <c r="D6760" s="3"/>
      <c r="E6760" s="7">
        <f t="shared" si="126"/>
        <v>2651000</v>
      </c>
      <c r="F6760" s="5">
        <v>45960</v>
      </c>
      <c r="G6760" s="4">
        <v>20251029</v>
      </c>
      <c r="H6760" s="38" t="str">
        <f>VLOOKUP(B6760,CAJEROS!B:D,3,0)</f>
        <v>Multifuncional</v>
      </c>
      <c r="I6760" s="34" t="s">
        <v>9</v>
      </c>
      <c r="J6760" s="38" t="str">
        <f>VLOOKUP(B6760,CAJEROS!B:E,4,0)</f>
        <v>MF_BUGA</v>
      </c>
      <c r="K6760" t="s">
        <v>610</v>
      </c>
    </row>
    <row r="6761" spans="1:11">
      <c r="A6761" s="32">
        <v>53</v>
      </c>
      <c r="B6761" s="33">
        <v>5141</v>
      </c>
      <c r="C6761" s="3">
        <v>2630000</v>
      </c>
      <c r="D6761" s="3">
        <v>1030000</v>
      </c>
      <c r="E6761" s="7">
        <f t="shared" si="126"/>
        <v>1600000</v>
      </c>
      <c r="F6761" s="5">
        <v>45960</v>
      </c>
      <c r="G6761" s="4">
        <v>20251029</v>
      </c>
      <c r="H6761" s="38" t="str">
        <f>VLOOKUP(B6761,CAJEROS!B:D,3,0)</f>
        <v>Multifuncional</v>
      </c>
      <c r="I6761" s="34" t="s">
        <v>9</v>
      </c>
      <c r="J6761" s="38" t="str">
        <f>VLOOKUP(B6761,CAJEROS!B:E,4,0)</f>
        <v>MF_CARRDECI</v>
      </c>
      <c r="K6761" t="s">
        <v>610</v>
      </c>
    </row>
    <row r="6762" spans="1:11">
      <c r="A6762" s="32">
        <v>371</v>
      </c>
      <c r="B6762" s="33">
        <v>6718</v>
      </c>
      <c r="C6762" s="3">
        <v>2372000</v>
      </c>
      <c r="D6762" s="3"/>
      <c r="E6762" s="7">
        <f t="shared" si="126"/>
        <v>2372000</v>
      </c>
      <c r="F6762" s="5">
        <v>45960</v>
      </c>
      <c r="G6762" s="4">
        <v>20251029</v>
      </c>
      <c r="H6762" s="38" t="str">
        <f>VLOOKUP(B6762,CAJEROS!B:D,3,0)</f>
        <v>Multifuncional</v>
      </c>
      <c r="I6762" s="34" t="s">
        <v>9</v>
      </c>
      <c r="J6762" s="38" t="str">
        <f>VLOOKUP(B6762,CAJEROS!B:E,4,0)</f>
        <v>MF_CAUCASIA</v>
      </c>
      <c r="K6762" t="s">
        <v>610</v>
      </c>
    </row>
    <row r="6763" spans="1:11">
      <c r="A6763" s="32">
        <v>623</v>
      </c>
      <c r="B6763" s="33">
        <v>5047</v>
      </c>
      <c r="C6763" s="3">
        <v>2190000</v>
      </c>
      <c r="D6763" s="3">
        <v>1940000</v>
      </c>
      <c r="E6763" s="7">
        <f t="shared" si="126"/>
        <v>250000</v>
      </c>
      <c r="F6763" s="5">
        <v>45960</v>
      </c>
      <c r="G6763" s="4">
        <v>20251029</v>
      </c>
      <c r="H6763" s="38" t="str">
        <f>VLOOKUP(B6763,CAJEROS!B:D,3,0)</f>
        <v>Multifuncional</v>
      </c>
      <c r="I6763" s="34" t="s">
        <v>9</v>
      </c>
      <c r="J6763" s="38" t="str">
        <f>VLOOKUP(B6763,CAJEROS!B:E,4,0)</f>
        <v>MF_FMANIZAL</v>
      </c>
      <c r="K6763" t="s">
        <v>610</v>
      </c>
    </row>
    <row r="6764" spans="1:11">
      <c r="A6764" s="32">
        <v>716</v>
      </c>
      <c r="B6764" s="33">
        <v>5192</v>
      </c>
      <c r="C6764" s="3">
        <v>2021000</v>
      </c>
      <c r="D6764" s="3">
        <v>1892000</v>
      </c>
      <c r="E6764" s="7">
        <f t="shared" si="126"/>
        <v>129000</v>
      </c>
      <c r="F6764" s="5">
        <v>45960</v>
      </c>
      <c r="G6764" s="4">
        <v>20251029</v>
      </c>
      <c r="H6764" s="38" t="str">
        <f>VLOOKUP(B6764,CAJEROS!B:D,3,0)</f>
        <v>Multifuncional</v>
      </c>
      <c r="I6764" s="34" t="s">
        <v>9</v>
      </c>
      <c r="J6764" s="38" t="str">
        <f>VLOOKUP(B6764,CAJEROS!B:E,4,0)</f>
        <v>MF_AVCGORDS</v>
      </c>
      <c r="K6764" t="s">
        <v>610</v>
      </c>
    </row>
    <row r="6765" spans="1:11">
      <c r="A6765" s="32">
        <v>377</v>
      </c>
      <c r="B6765" s="33">
        <v>1508</v>
      </c>
      <c r="C6765" s="3">
        <v>1968000</v>
      </c>
      <c r="D6765" s="3"/>
      <c r="E6765" s="7">
        <f t="shared" si="126"/>
        <v>1968000</v>
      </c>
      <c r="F6765" s="5">
        <v>45960</v>
      </c>
      <c r="G6765" s="4">
        <v>20251029</v>
      </c>
      <c r="H6765" s="38" t="str">
        <f>VLOOKUP(B6765,CAJEROS!B:D,3,0)</f>
        <v>Multifuncional</v>
      </c>
      <c r="I6765" s="34" t="s">
        <v>9</v>
      </c>
      <c r="J6765" s="38" t="str">
        <f>VLOOKUP(B6765,CAJEROS!B:E,4,0)</f>
        <v>MFSUCCIAV1</v>
      </c>
      <c r="K6765" t="s">
        <v>610</v>
      </c>
    </row>
    <row r="6766" spans="1:11">
      <c r="A6766" s="32">
        <v>20</v>
      </c>
      <c r="B6766" s="33">
        <v>8927</v>
      </c>
      <c r="C6766" s="3">
        <v>1900000</v>
      </c>
      <c r="D6766" s="3"/>
      <c r="E6766" s="7">
        <f t="shared" si="126"/>
        <v>1900000</v>
      </c>
      <c r="F6766" s="5">
        <v>45960</v>
      </c>
      <c r="G6766" s="4">
        <v>20251029</v>
      </c>
      <c r="H6766" s="38" t="str">
        <f>VLOOKUP(B6766,CAJEROS!B:D,3,0)</f>
        <v>Multifuncional</v>
      </c>
      <c r="I6766" s="34" t="s">
        <v>9</v>
      </c>
      <c r="J6766" s="38" t="str">
        <f>VLOOKUP(B6766,CAJEROS!B:E,4,0)</f>
        <v>MFSUCBUCMG2</v>
      </c>
      <c r="K6766" t="s">
        <v>610</v>
      </c>
    </row>
    <row r="6767" spans="1:11">
      <c r="A6767" s="32">
        <v>652</v>
      </c>
      <c r="B6767" s="33">
        <v>5070</v>
      </c>
      <c r="C6767" s="3">
        <v>1894000</v>
      </c>
      <c r="D6767" s="3">
        <f>1415000+435000</f>
        <v>1850000</v>
      </c>
      <c r="E6767" s="7">
        <f t="shared" si="126"/>
        <v>44000</v>
      </c>
      <c r="F6767" s="5">
        <v>45960</v>
      </c>
      <c r="G6767" s="4">
        <v>20251029</v>
      </c>
      <c r="H6767" s="38" t="str">
        <f>VLOOKUP(B6767,CAJEROS!B:D,3,0)</f>
        <v>Multifuncional</v>
      </c>
      <c r="I6767" s="34" t="s">
        <v>9</v>
      </c>
      <c r="J6767" s="38" t="str">
        <f>VLOOKUP(B6767,CAJEROS!B:E,4,0)</f>
        <v>MF_CHICO94</v>
      </c>
      <c r="K6767" t="s">
        <v>610</v>
      </c>
    </row>
    <row r="6768" spans="1:11">
      <c r="A6768" s="32">
        <v>957</v>
      </c>
      <c r="B6768" s="33">
        <v>9513</v>
      </c>
      <c r="C6768" s="3">
        <v>1775000</v>
      </c>
      <c r="D6768" s="3"/>
      <c r="E6768" s="7">
        <f t="shared" si="126"/>
        <v>1775000</v>
      </c>
      <c r="F6768" s="5">
        <v>45960</v>
      </c>
      <c r="G6768" s="4">
        <v>20251029</v>
      </c>
      <c r="H6768" s="38" t="str">
        <f>VLOOKUP(B6768,CAJEROS!B:D,3,0)</f>
        <v>Multifuncional</v>
      </c>
      <c r="I6768" s="34" t="s">
        <v>9</v>
      </c>
      <c r="J6768" s="38" t="str">
        <f>VLOOKUP(B6768,CAJEROS!B:E,4,0)</f>
        <v>MFSUCPARAL2</v>
      </c>
      <c r="K6768" t="s">
        <v>610</v>
      </c>
    </row>
    <row r="6769" spans="1:11">
      <c r="A6769" s="32">
        <v>876</v>
      </c>
      <c r="B6769" s="33">
        <v>9682</v>
      </c>
      <c r="C6769" s="3">
        <v>1606000</v>
      </c>
      <c r="D6769" s="3">
        <v>900000</v>
      </c>
      <c r="E6769" s="7">
        <f t="shared" si="126"/>
        <v>706000</v>
      </c>
      <c r="F6769" s="5">
        <v>45960</v>
      </c>
      <c r="G6769" s="4">
        <v>20251029</v>
      </c>
      <c r="H6769" s="38" t="str">
        <f>VLOOKUP(B6769,CAJEROS!B:D,3,0)</f>
        <v>Multifuncional</v>
      </c>
      <c r="I6769" s="34" t="s">
        <v>9</v>
      </c>
      <c r="J6769" s="38" t="str">
        <f>VLOOKUP(B6769,CAJEROS!B:E,4,0)</f>
        <v>MF_VILCAM1</v>
      </c>
      <c r="K6769" t="s">
        <v>610</v>
      </c>
    </row>
    <row r="6770" spans="1:11">
      <c r="A6770" s="32">
        <v>793</v>
      </c>
      <c r="B6770" s="33">
        <v>5216</v>
      </c>
      <c r="C6770" s="3">
        <v>1555000</v>
      </c>
      <c r="D6770" s="3"/>
      <c r="E6770" s="7">
        <f t="shared" si="126"/>
        <v>1555000</v>
      </c>
      <c r="F6770" s="5">
        <v>45960</v>
      </c>
      <c r="G6770" s="4">
        <v>20251029</v>
      </c>
      <c r="H6770" s="38" t="str">
        <f>VLOOKUP(B6770,CAJEROS!B:D,3,0)</f>
        <v>Multifuncional</v>
      </c>
      <c r="I6770" s="34" t="s">
        <v>9</v>
      </c>
      <c r="J6770" s="38" t="str">
        <f>VLOOKUP(B6770,CAJEROS!B:E,4,0)</f>
        <v>MF_PROFENAL</v>
      </c>
      <c r="K6770" t="s">
        <v>610</v>
      </c>
    </row>
    <row r="6771" spans="1:11">
      <c r="A6771" s="32">
        <v>795</v>
      </c>
      <c r="B6771" s="33">
        <v>1029</v>
      </c>
      <c r="C6771" s="3">
        <v>1470000</v>
      </c>
      <c r="D6771" s="3"/>
      <c r="E6771" s="7">
        <f t="shared" si="126"/>
        <v>1470000</v>
      </c>
      <c r="F6771" s="5">
        <v>45960</v>
      </c>
      <c r="G6771" s="4">
        <v>20251029</v>
      </c>
      <c r="H6771" s="38" t="str">
        <f>VLOOKUP(B6771,CAJEROS!B:D,3,0)</f>
        <v>Multifuncional</v>
      </c>
      <c r="I6771" s="34" t="s">
        <v>9</v>
      </c>
      <c r="J6771" s="38" t="str">
        <f>VLOOKUP(B6771,CAJEROS!B:E,4,0)</f>
        <v>MFSUCANVER3</v>
      </c>
      <c r="K6771" t="s">
        <v>610</v>
      </c>
    </row>
    <row r="6772" spans="1:11">
      <c r="A6772" s="32">
        <v>844</v>
      </c>
      <c r="B6772" s="33">
        <v>6169</v>
      </c>
      <c r="C6772" s="3">
        <v>1430000</v>
      </c>
      <c r="D6772" s="3">
        <v>110000</v>
      </c>
      <c r="E6772" s="7">
        <f t="shared" si="126"/>
        <v>1320000</v>
      </c>
      <c r="F6772" s="5">
        <v>45960</v>
      </c>
      <c r="G6772" s="4">
        <v>20251029</v>
      </c>
      <c r="H6772" s="38" t="str">
        <f>VLOOKUP(B6772,CAJEROS!B:D,3,0)</f>
        <v>Multifuncional</v>
      </c>
      <c r="I6772" s="34" t="s">
        <v>9</v>
      </c>
      <c r="J6772" s="38" t="str">
        <f>VLOOKUP(B6772,CAJEROS!B:E,4,0)</f>
        <v>MF_PRIMAVRA</v>
      </c>
      <c r="K6772" t="s">
        <v>610</v>
      </c>
    </row>
    <row r="6773" spans="1:11">
      <c r="A6773" s="32">
        <v>609</v>
      </c>
      <c r="B6773" s="33">
        <v>7888</v>
      </c>
      <c r="C6773" s="3">
        <v>1340000</v>
      </c>
      <c r="D6773" s="3"/>
      <c r="E6773" s="7">
        <f t="shared" si="126"/>
        <v>1340000</v>
      </c>
      <c r="F6773" s="5">
        <v>45960</v>
      </c>
      <c r="G6773" s="4">
        <v>20251029</v>
      </c>
      <c r="H6773" s="38" t="str">
        <f>VLOOKUP(B6773,CAJEROS!B:D,3,0)</f>
        <v>Multifuncional</v>
      </c>
      <c r="I6773" s="34" t="s">
        <v>9</v>
      </c>
      <c r="J6773" s="38" t="str">
        <f>VLOOKUP(B6773,CAJEROS!B:E,4,0)</f>
        <v>MFSUCABAST2</v>
      </c>
      <c r="K6773" t="s">
        <v>610</v>
      </c>
    </row>
    <row r="6774" spans="1:11">
      <c r="A6774" s="32">
        <v>267</v>
      </c>
      <c r="B6774" s="33">
        <v>6186</v>
      </c>
      <c r="C6774" s="3">
        <v>1176500</v>
      </c>
      <c r="D6774" s="3">
        <v>90000</v>
      </c>
      <c r="E6774" s="7">
        <f t="shared" si="126"/>
        <v>1086500</v>
      </c>
      <c r="F6774" s="5">
        <v>45960</v>
      </c>
      <c r="G6774" s="4">
        <v>20251029</v>
      </c>
      <c r="H6774" s="38" t="str">
        <f>VLOOKUP(B6774,CAJEROS!B:D,3,0)</f>
        <v>Multifuncional</v>
      </c>
      <c r="I6774" s="34" t="s">
        <v>9</v>
      </c>
      <c r="J6774" s="38" t="str">
        <f>VLOOKUP(B6774,CAJEROS!B:E,4,0)</f>
        <v>MF_VISITACI</v>
      </c>
      <c r="K6774" t="s">
        <v>610</v>
      </c>
    </row>
    <row r="6775" spans="1:11">
      <c r="A6775" s="32">
        <v>944</v>
      </c>
      <c r="B6775" s="33">
        <v>2228</v>
      </c>
      <c r="C6775" s="3">
        <v>1166000</v>
      </c>
      <c r="D6775" s="3"/>
      <c r="E6775" s="7">
        <f t="shared" si="126"/>
        <v>1166000</v>
      </c>
      <c r="F6775" s="5">
        <v>45960</v>
      </c>
      <c r="G6775" s="4">
        <v>20251029</v>
      </c>
      <c r="H6775" s="38" t="str">
        <f>VLOOKUP(B6775,CAJEROS!B:D,3,0)</f>
        <v>Multifuncional</v>
      </c>
      <c r="I6775" s="34" t="s">
        <v>9</v>
      </c>
      <c r="J6775" s="38" t="str">
        <f>VLOOKUP(B6775,CAJEROS!B:E,4,0)</f>
        <v>MF_SANTABO3</v>
      </c>
      <c r="K6775" t="s">
        <v>610</v>
      </c>
    </row>
    <row r="6776" spans="1:11">
      <c r="A6776" s="32">
        <v>317</v>
      </c>
      <c r="B6776" s="33">
        <v>6613</v>
      </c>
      <c r="C6776" s="3">
        <v>1074300</v>
      </c>
      <c r="D6776" s="3"/>
      <c r="E6776" s="7">
        <f t="shared" si="126"/>
        <v>1074300</v>
      </c>
      <c r="F6776" s="5">
        <v>45960</v>
      </c>
      <c r="G6776" s="4">
        <v>20251029</v>
      </c>
      <c r="H6776" s="38" t="str">
        <f>VLOOKUP(B6776,CAJEROS!B:D,3,0)</f>
        <v>Multifuncional</v>
      </c>
      <c r="I6776" s="34" t="s">
        <v>9</v>
      </c>
      <c r="J6776" s="38" t="str">
        <f>VLOOKUP(B6776,CAJEROS!B:E,4,0)</f>
        <v>MF_ARAUCA</v>
      </c>
      <c r="K6776" t="s">
        <v>610</v>
      </c>
    </row>
    <row r="6777" spans="1:11">
      <c r="A6777" s="32">
        <v>15</v>
      </c>
      <c r="B6777" s="33">
        <v>8576</v>
      </c>
      <c r="C6777" s="3">
        <v>1059950</v>
      </c>
      <c r="D6777" s="3"/>
      <c r="E6777" s="7">
        <f t="shared" si="126"/>
        <v>1059950</v>
      </c>
      <c r="F6777" s="5">
        <v>45960</v>
      </c>
      <c r="G6777" s="4">
        <v>20251029</v>
      </c>
      <c r="H6777" s="38" t="str">
        <f>VLOOKUP(B6777,CAJEROS!B:D,3,0)</f>
        <v>Multifuncional</v>
      </c>
      <c r="I6777" s="34" t="s">
        <v>9</v>
      </c>
      <c r="J6777" s="38" t="str">
        <f>VLOOKUP(B6777,CAJEROS!B:E,4,0)</f>
        <v>MF_HITAGUI1</v>
      </c>
      <c r="K6777" t="s">
        <v>610</v>
      </c>
    </row>
    <row r="6778" spans="1:11">
      <c r="A6778" s="32">
        <v>244</v>
      </c>
      <c r="B6778" s="33">
        <v>5129</v>
      </c>
      <c r="C6778" s="3">
        <v>1010000</v>
      </c>
      <c r="D6778" s="3"/>
      <c r="E6778" s="7">
        <f t="shared" si="126"/>
        <v>1010000</v>
      </c>
      <c r="F6778" s="5">
        <v>45960</v>
      </c>
      <c r="G6778" s="4">
        <v>20251029</v>
      </c>
      <c r="H6778" s="38" t="str">
        <f>VLOOKUP(B6778,CAJEROS!B:D,3,0)</f>
        <v>Multifuncional</v>
      </c>
      <c r="I6778" s="34" t="s">
        <v>9</v>
      </c>
      <c r="J6778" s="38" t="str">
        <f>VLOOKUP(B6778,CAJEROS!B:E,4,0)</f>
        <v>MF_TRIGALAN</v>
      </c>
      <c r="K6778" t="s">
        <v>610</v>
      </c>
    </row>
    <row r="6779" spans="1:11">
      <c r="A6779" s="32">
        <v>292</v>
      </c>
      <c r="B6779" s="33">
        <v>5116</v>
      </c>
      <c r="C6779" s="3">
        <v>990000</v>
      </c>
      <c r="D6779" s="3"/>
      <c r="E6779" s="7">
        <f t="shared" si="126"/>
        <v>990000</v>
      </c>
      <c r="F6779" s="5">
        <v>45960</v>
      </c>
      <c r="G6779" s="4">
        <v>20251029</v>
      </c>
      <c r="H6779" s="38" t="str">
        <f>VLOOKUP(B6779,CAJEROS!B:D,3,0)</f>
        <v>Multifuncional</v>
      </c>
      <c r="I6779" s="34" t="s">
        <v>9</v>
      </c>
      <c r="J6779" s="38" t="str">
        <f>VLOOKUP(B6779,CAJEROS!B:E,4,0)</f>
        <v>MF_CONFECCI</v>
      </c>
      <c r="K6779" t="s">
        <v>610</v>
      </c>
    </row>
    <row r="6780" spans="1:11">
      <c r="A6780" s="32">
        <v>261</v>
      </c>
      <c r="B6780" s="33">
        <v>5048</v>
      </c>
      <c r="C6780" s="3">
        <v>980000</v>
      </c>
      <c r="D6780" s="3"/>
      <c r="E6780" s="7">
        <f t="shared" si="126"/>
        <v>980000</v>
      </c>
      <c r="F6780" s="5">
        <v>45960</v>
      </c>
      <c r="G6780" s="4">
        <v>20251029</v>
      </c>
      <c r="H6780" s="38" t="str">
        <f>VLOOKUP(B6780,CAJEROS!B:D,3,0)</f>
        <v>Multifuncional</v>
      </c>
      <c r="I6780" s="34" t="s">
        <v>9</v>
      </c>
      <c r="J6780" s="38" t="str">
        <f>VLOOKUP(B6780,CAJEROS!B:E,4,0)</f>
        <v>MF_CAMPANA</v>
      </c>
      <c r="K6780" t="s">
        <v>610</v>
      </c>
    </row>
    <row r="6781" spans="1:11">
      <c r="A6781" s="32">
        <v>225</v>
      </c>
      <c r="B6781" s="33">
        <v>8868</v>
      </c>
      <c r="C6781" s="3">
        <v>930000</v>
      </c>
      <c r="D6781" s="3"/>
      <c r="E6781" s="7">
        <f t="shared" si="126"/>
        <v>930000</v>
      </c>
      <c r="F6781" s="5">
        <v>45960</v>
      </c>
      <c r="G6781" s="4">
        <v>20251029</v>
      </c>
      <c r="H6781" s="38" t="str">
        <f>VLOOKUP(B6781,CAJEROS!B:D,3,0)</f>
        <v>Multifuncional</v>
      </c>
      <c r="I6781" s="34" t="s">
        <v>9</v>
      </c>
      <c r="J6781" s="38" t="str">
        <f>VLOOKUP(B6781,CAJEROS!B:E,4,0)</f>
        <v>MF_SMPLNQS1</v>
      </c>
      <c r="K6781" t="s">
        <v>610</v>
      </c>
    </row>
    <row r="6782" spans="1:11">
      <c r="A6782" s="32">
        <v>253</v>
      </c>
      <c r="B6782" s="33">
        <v>5176</v>
      </c>
      <c r="C6782" s="3">
        <v>890000</v>
      </c>
      <c r="D6782" s="3"/>
      <c r="E6782" s="7">
        <f t="shared" si="126"/>
        <v>890000</v>
      </c>
      <c r="F6782" s="5">
        <v>45960</v>
      </c>
      <c r="G6782" s="4">
        <v>20251029</v>
      </c>
      <c r="H6782" s="38" t="str">
        <f>VLOOKUP(B6782,CAJEROS!B:D,3,0)</f>
        <v>Multifuncional</v>
      </c>
      <c r="I6782" s="34" t="s">
        <v>9</v>
      </c>
      <c r="J6782" s="38" t="str">
        <f>VLOOKUP(B6782,CAJEROS!B:E,4,0)</f>
        <v>MF_SPTANORT</v>
      </c>
      <c r="K6782" t="s">
        <v>610</v>
      </c>
    </row>
    <row r="6783" spans="1:11">
      <c r="A6783" s="32">
        <v>166</v>
      </c>
      <c r="B6783" s="33">
        <v>7940</v>
      </c>
      <c r="C6783" s="3">
        <v>700000</v>
      </c>
      <c r="D6783" s="3"/>
      <c r="E6783" s="7">
        <f t="shared" si="126"/>
        <v>700000</v>
      </c>
      <c r="F6783" s="5">
        <v>45960</v>
      </c>
      <c r="G6783" s="4">
        <v>20251029</v>
      </c>
      <c r="H6783" s="38" t="str">
        <f>VLOOKUP(B6783,CAJEROS!B:D,3,0)</f>
        <v>Multifuncional</v>
      </c>
      <c r="I6783" s="34" t="s">
        <v>9</v>
      </c>
      <c r="J6783" s="38" t="str">
        <f>VLOOKUP(B6783,CAJEROS!B:E,4,0)</f>
        <v>MF_ALDELS22</v>
      </c>
      <c r="K6783" t="s">
        <v>610</v>
      </c>
    </row>
    <row r="6784" spans="1:11">
      <c r="A6784" s="32">
        <v>916</v>
      </c>
      <c r="B6784" s="33">
        <v>5052</v>
      </c>
      <c r="C6784" s="3">
        <v>595000</v>
      </c>
      <c r="D6784" s="3"/>
      <c r="E6784" s="7">
        <f t="shared" si="126"/>
        <v>595000</v>
      </c>
      <c r="F6784" s="5">
        <v>45960</v>
      </c>
      <c r="G6784" s="4">
        <v>20251029</v>
      </c>
      <c r="H6784" s="38" t="str">
        <f>VLOOKUP(B6784,CAJEROS!B:D,3,0)</f>
        <v>Multifuncional</v>
      </c>
      <c r="I6784" s="34" t="s">
        <v>9</v>
      </c>
      <c r="J6784" s="38" t="str">
        <f>VLOOKUP(B6784,CAJEROS!B:E,4,0)</f>
        <v>MF_OCEANMAL</v>
      </c>
      <c r="K6784" t="s">
        <v>610</v>
      </c>
    </row>
    <row r="6785" spans="1:11">
      <c r="A6785" s="32">
        <v>167</v>
      </c>
      <c r="B6785" s="33">
        <v>5030</v>
      </c>
      <c r="C6785" s="3">
        <v>570000</v>
      </c>
      <c r="D6785" s="3">
        <v>568000</v>
      </c>
      <c r="E6785" s="7">
        <f t="shared" si="126"/>
        <v>2000</v>
      </c>
      <c r="F6785" s="5">
        <v>45960</v>
      </c>
      <c r="G6785" s="4">
        <v>20251029</v>
      </c>
      <c r="H6785" s="38" t="str">
        <f>VLOOKUP(B6785,CAJEROS!B:D,3,0)</f>
        <v>Multifuncional</v>
      </c>
      <c r="I6785" s="34" t="s">
        <v>9</v>
      </c>
      <c r="J6785" s="38" t="str">
        <f>VLOOKUP(B6785,CAJEROS!B:E,4,0)</f>
        <v>MF_AVENID82</v>
      </c>
      <c r="K6785" t="s">
        <v>610</v>
      </c>
    </row>
    <row r="6786" spans="1:11">
      <c r="A6786" s="32">
        <v>442</v>
      </c>
      <c r="B6786" s="33">
        <v>8887</v>
      </c>
      <c r="C6786" s="3">
        <v>440000</v>
      </c>
      <c r="D6786" s="3"/>
      <c r="E6786" s="7">
        <f t="shared" si="126"/>
        <v>440000</v>
      </c>
      <c r="F6786" s="5">
        <v>45960</v>
      </c>
      <c r="G6786" s="4">
        <v>20251029</v>
      </c>
      <c r="H6786" s="38" t="str">
        <f>VLOOKUP(B6786,CAJEROS!B:D,3,0)</f>
        <v>Multifuncional</v>
      </c>
      <c r="I6786" s="34" t="s">
        <v>9</v>
      </c>
      <c r="J6786" s="38" t="str">
        <f>VLOOKUP(B6786,CAJEROS!B:E,4,0)</f>
        <v>MFVIVABQUI1</v>
      </c>
      <c r="K6786" t="s">
        <v>610</v>
      </c>
    </row>
    <row r="6787" spans="1:11">
      <c r="A6787" s="32">
        <v>944</v>
      </c>
      <c r="B6787" s="33">
        <v>8353</v>
      </c>
      <c r="C6787" s="3">
        <v>425000</v>
      </c>
      <c r="D6787" s="3"/>
      <c r="E6787" s="7">
        <f t="shared" si="126"/>
        <v>425000</v>
      </c>
      <c r="F6787" s="5">
        <v>45960</v>
      </c>
      <c r="G6787" s="4">
        <v>20251029</v>
      </c>
      <c r="H6787" s="38" t="str">
        <f>VLOOKUP(B6787,CAJEROS!B:D,3,0)</f>
        <v>Multifuncional</v>
      </c>
      <c r="I6787" s="34" t="s">
        <v>9</v>
      </c>
      <c r="J6787" s="38" t="str">
        <f>VLOOKUP(B6787,CAJEROS!B:E,4,0)</f>
        <v>MF_SANTABO1</v>
      </c>
      <c r="K6787" t="s">
        <v>610</v>
      </c>
    </row>
    <row r="6788" spans="1:11">
      <c r="A6788" s="32">
        <v>6</v>
      </c>
      <c r="B6788" s="33">
        <v>5001</v>
      </c>
      <c r="C6788" s="3">
        <v>380000</v>
      </c>
      <c r="D6788" s="3">
        <v>220000</v>
      </c>
      <c r="E6788" s="7">
        <f t="shared" si="126"/>
        <v>160000</v>
      </c>
      <c r="F6788" s="5">
        <v>45960</v>
      </c>
      <c r="G6788" s="4">
        <v>20251029</v>
      </c>
      <c r="H6788" s="38" t="str">
        <f>VLOOKUP(B6788,CAJEROS!B:D,3,0)</f>
        <v>Multifuncional</v>
      </c>
      <c r="I6788" s="34" t="s">
        <v>9</v>
      </c>
      <c r="J6788" s="38" t="str">
        <f>VLOOKUP(B6788,CAJEROS!B:E,4,0)</f>
        <v>MF_AVJUNIN</v>
      </c>
      <c r="K6788" t="s">
        <v>610</v>
      </c>
    </row>
    <row r="6789" spans="1:11">
      <c r="A6789" s="32">
        <v>57</v>
      </c>
      <c r="B6789" s="33">
        <v>9963</v>
      </c>
      <c r="C6789" s="3">
        <v>311400</v>
      </c>
      <c r="D6789" s="3"/>
      <c r="E6789" s="7">
        <f t="shared" si="126"/>
        <v>311400</v>
      </c>
      <c r="F6789" s="5">
        <v>45960</v>
      </c>
      <c r="G6789" s="4">
        <v>20251029</v>
      </c>
      <c r="H6789" s="38" t="str">
        <f>VLOOKUP(B6789,CAJEROS!B:D,3,0)</f>
        <v>Multifuncional</v>
      </c>
      <c r="I6789" s="34" t="s">
        <v>9</v>
      </c>
      <c r="J6789" s="38" t="str">
        <f>VLOOKUP(B6789,CAJEROS!B:E,4,0)</f>
        <v>MF_VILLAVI1</v>
      </c>
      <c r="K6789" t="s">
        <v>610</v>
      </c>
    </row>
    <row r="6790" spans="1:11">
      <c r="A6790" s="32">
        <v>32</v>
      </c>
      <c r="B6790" s="33">
        <v>5027</v>
      </c>
      <c r="C6790" s="3">
        <v>276900</v>
      </c>
      <c r="D6790" s="3"/>
      <c r="E6790" s="7">
        <f t="shared" si="126"/>
        <v>276900</v>
      </c>
      <c r="F6790" s="5">
        <v>45960</v>
      </c>
      <c r="G6790" s="4">
        <v>20251029</v>
      </c>
      <c r="H6790" s="38" t="str">
        <f>VLOOKUP(B6790,CAJEROS!B:D,3,0)</f>
        <v>Multifuncional</v>
      </c>
      <c r="I6790" s="34" t="s">
        <v>9</v>
      </c>
      <c r="J6790" s="38" t="str">
        <f>VLOOKUP(B6790,CAJEROS!B:E,4,0)</f>
        <v>MF_ANTCOUNT</v>
      </c>
      <c r="K6790" t="s">
        <v>610</v>
      </c>
    </row>
    <row r="6791" spans="1:11">
      <c r="A6791" s="32">
        <v>291</v>
      </c>
      <c r="B6791" s="33">
        <v>5114</v>
      </c>
      <c r="C6791" s="3">
        <v>220000</v>
      </c>
      <c r="D6791" s="3"/>
      <c r="E6791" s="7">
        <f t="shared" si="126"/>
        <v>220000</v>
      </c>
      <c r="F6791" s="5">
        <v>45960</v>
      </c>
      <c r="G6791" s="4">
        <v>20251029</v>
      </c>
      <c r="H6791" s="38" t="str">
        <f>VLOOKUP(B6791,CAJEROS!B:D,3,0)</f>
        <v>Multifuncional</v>
      </c>
      <c r="I6791" s="34" t="s">
        <v>9</v>
      </c>
      <c r="J6791" s="38" t="str">
        <f>VLOOKUP(B6791,CAJEROS!B:E,4,0)</f>
        <v>MF_LPALMAS</v>
      </c>
      <c r="K6791" t="s">
        <v>610</v>
      </c>
    </row>
    <row r="6792" spans="1:11">
      <c r="A6792" s="32">
        <v>745</v>
      </c>
      <c r="B6792" s="33">
        <v>1477</v>
      </c>
      <c r="C6792" s="3">
        <v>200000</v>
      </c>
      <c r="D6792" s="3"/>
      <c r="E6792" s="7">
        <f t="shared" si="126"/>
        <v>200000</v>
      </c>
      <c r="F6792" s="5">
        <v>45960</v>
      </c>
      <c r="G6792" s="4">
        <v>20251029</v>
      </c>
      <c r="H6792" s="38" t="str">
        <f>VLOOKUP(B6792,CAJEROS!B:D,3,0)</f>
        <v>Multifuncional</v>
      </c>
      <c r="I6792" s="34" t="s">
        <v>9</v>
      </c>
      <c r="J6792" s="38" t="str">
        <f>VLOOKUP(B6792,CAJEROS!B:E,4,0)</f>
        <v>MFSUCMALPZ2</v>
      </c>
      <c r="K6792" t="s">
        <v>610</v>
      </c>
    </row>
    <row r="6793" spans="1:11">
      <c r="A6793" s="32">
        <v>554</v>
      </c>
      <c r="B6793" s="33">
        <v>8295</v>
      </c>
      <c r="C6793" s="3">
        <v>180000</v>
      </c>
      <c r="D6793" s="3"/>
      <c r="E6793" s="7">
        <f t="shared" si="126"/>
        <v>180000</v>
      </c>
      <c r="F6793" s="5">
        <v>45960</v>
      </c>
      <c r="G6793" s="4">
        <v>20251029</v>
      </c>
      <c r="H6793" s="38" t="str">
        <f>VLOOKUP(B6793,CAJEROS!B:D,3,0)</f>
        <v>Multifuncional</v>
      </c>
      <c r="I6793" s="34" t="s">
        <v>9</v>
      </c>
      <c r="J6793" s="38" t="str">
        <f>VLOOKUP(B6793,CAJEROS!B:E,4,0)</f>
        <v>MF_SBUVIII2</v>
      </c>
      <c r="K6793" t="s">
        <v>610</v>
      </c>
    </row>
    <row r="6794" spans="1:11">
      <c r="A6794" s="32">
        <v>499</v>
      </c>
      <c r="B6794" s="33">
        <v>9810</v>
      </c>
      <c r="C6794" s="3">
        <v>110000</v>
      </c>
      <c r="D6794" s="3"/>
      <c r="E6794" s="7">
        <f t="shared" si="126"/>
        <v>110000</v>
      </c>
      <c r="F6794" s="5">
        <v>45960</v>
      </c>
      <c r="G6794" s="4">
        <v>20251029</v>
      </c>
      <c r="H6794" s="38" t="str">
        <f>VLOOKUP(B6794,CAJEROS!B:D,3,0)</f>
        <v>Multifuncional</v>
      </c>
      <c r="I6794" s="34" t="s">
        <v>9</v>
      </c>
      <c r="J6794" s="38" t="str">
        <f>VLOOKUP(B6794,CAJEROS!B:E,4,0)</f>
        <v>MF_SUCPARF1</v>
      </c>
      <c r="K6794" t="s">
        <v>610</v>
      </c>
    </row>
    <row r="6795" spans="1:11">
      <c r="A6795" s="32">
        <v>795</v>
      </c>
      <c r="B6795" s="33">
        <v>1028</v>
      </c>
      <c r="C6795" s="3">
        <v>110000</v>
      </c>
      <c r="D6795" s="3"/>
      <c r="E6795" s="7">
        <f t="shared" ref="E6795:E6858" si="127">+C6795-D6795</f>
        <v>110000</v>
      </c>
      <c r="F6795" s="5">
        <v>45960</v>
      </c>
      <c r="G6795" s="4">
        <v>20251029</v>
      </c>
      <c r="H6795" s="38" t="str">
        <f>VLOOKUP(B6795,CAJEROS!B:D,3,0)</f>
        <v>Multifuncional</v>
      </c>
      <c r="I6795" s="34" t="s">
        <v>9</v>
      </c>
      <c r="J6795" s="38" t="str">
        <f>VLOOKUP(B6795,CAJEROS!B:E,4,0)</f>
        <v>MFSUCANVER2</v>
      </c>
      <c r="K6795" t="s">
        <v>610</v>
      </c>
    </row>
    <row r="6796" spans="1:11">
      <c r="A6796" s="32">
        <v>395</v>
      </c>
      <c r="B6796" s="33">
        <v>1529</v>
      </c>
      <c r="C6796" s="3">
        <v>80000</v>
      </c>
      <c r="D6796" s="3"/>
      <c r="E6796" s="7">
        <f t="shared" si="127"/>
        <v>80000</v>
      </c>
      <c r="F6796" s="5">
        <v>45960</v>
      </c>
      <c r="G6796" s="4">
        <v>20251029</v>
      </c>
      <c r="H6796" s="38" t="str">
        <f>VLOOKUP(B6796,CAJEROS!B:D,3,0)</f>
        <v>Multifuncional</v>
      </c>
      <c r="I6796" s="34" t="s">
        <v>9</v>
      </c>
      <c r="J6796" s="38" t="str">
        <f>VLOOKUP(B6796,CAJEROS!B:E,4,0)</f>
        <v>SUCMFVIVCI2</v>
      </c>
      <c r="K6796" t="s">
        <v>610</v>
      </c>
    </row>
    <row r="6797" spans="1:11">
      <c r="A6797" s="32">
        <v>688</v>
      </c>
      <c r="B6797" s="33">
        <v>4840</v>
      </c>
      <c r="C6797" s="3">
        <v>10000</v>
      </c>
      <c r="D6797" s="3"/>
      <c r="E6797" s="7">
        <f t="shared" si="127"/>
        <v>10000</v>
      </c>
      <c r="F6797" s="5">
        <v>45960</v>
      </c>
      <c r="G6797" s="4">
        <v>20251029</v>
      </c>
      <c r="H6797" s="38" t="str">
        <f>VLOOKUP(B6797,CAJEROS!B:D,3,0)</f>
        <v>Dispensador</v>
      </c>
      <c r="I6797" s="34" t="s">
        <v>10</v>
      </c>
      <c r="J6797" s="38" t="str">
        <f>VLOOKUP(B6797,CAJEROS!B:E,4,0)</f>
        <v>SUC_CONTAD1</v>
      </c>
      <c r="K6797" t="s">
        <v>610</v>
      </c>
    </row>
    <row r="6798" spans="1:11">
      <c r="A6798" s="32">
        <v>451</v>
      </c>
      <c r="B6798" s="33">
        <v>4967</v>
      </c>
      <c r="C6798" s="3">
        <v>10000</v>
      </c>
      <c r="D6798" s="3"/>
      <c r="E6798" s="7">
        <f t="shared" si="127"/>
        <v>10000</v>
      </c>
      <c r="F6798" s="5">
        <v>45960</v>
      </c>
      <c r="G6798" s="4">
        <v>20251029</v>
      </c>
      <c r="H6798" s="38" t="str">
        <f>VLOOKUP(B6798,CAJEROS!B:D,3,0)</f>
        <v>Dispensador</v>
      </c>
      <c r="I6798" s="34" t="s">
        <v>10</v>
      </c>
      <c r="J6798" s="38" t="str">
        <f>VLOOKUP(B6798,CAJEROS!B:E,4,0)</f>
        <v>SUCPTOASIS2</v>
      </c>
      <c r="K6798" t="s">
        <v>610</v>
      </c>
    </row>
    <row r="6799" spans="1:11">
      <c r="A6799" s="32">
        <v>211</v>
      </c>
      <c r="B6799" s="33">
        <v>5308</v>
      </c>
      <c r="C6799" s="3">
        <v>20000</v>
      </c>
      <c r="D6799" s="3"/>
      <c r="E6799" s="7">
        <f t="shared" si="127"/>
        <v>20000</v>
      </c>
      <c r="F6799" s="5">
        <v>45960</v>
      </c>
      <c r="G6799" s="4">
        <v>20251029</v>
      </c>
      <c r="H6799" s="38" t="str">
        <f>VLOOKUP(B6799,CAJEROS!B:D,3,0)</f>
        <v>Dispensador</v>
      </c>
      <c r="I6799" s="34" t="s">
        <v>10</v>
      </c>
      <c r="J6799" s="38" t="str">
        <f>VLOOKUP(B6799,CAJEROS!B:E,4,0)</f>
        <v>SUC_INDUST1</v>
      </c>
      <c r="K6799" t="s">
        <v>610</v>
      </c>
    </row>
    <row r="6800" spans="1:11">
      <c r="A6800" s="32">
        <v>1</v>
      </c>
      <c r="B6800" s="33">
        <v>5000</v>
      </c>
      <c r="C6800" s="3">
        <v>3700</v>
      </c>
      <c r="D6800" s="3"/>
      <c r="E6800" s="7">
        <f t="shared" si="127"/>
        <v>3700</v>
      </c>
      <c r="F6800" s="5">
        <v>45960</v>
      </c>
      <c r="G6800" s="4">
        <v>20251029</v>
      </c>
      <c r="H6800" s="38" t="str">
        <f>VLOOKUP(B6800,CAJEROS!B:D,3,0)</f>
        <v>Multifuncional</v>
      </c>
      <c r="I6800" s="34" t="s">
        <v>10</v>
      </c>
      <c r="J6800" s="38" t="str">
        <f>VLOOKUP(B6800,CAJEROS!B:E,4,0)</f>
        <v>MF_CARABOBO</v>
      </c>
      <c r="K6800" t="s">
        <v>610</v>
      </c>
    </row>
    <row r="6801" spans="1:11">
      <c r="A6801" s="32">
        <v>486</v>
      </c>
      <c r="B6801" s="33">
        <v>5081</v>
      </c>
      <c r="C6801" s="3">
        <v>10000</v>
      </c>
      <c r="D6801" s="3"/>
      <c r="E6801" s="7">
        <f t="shared" si="127"/>
        <v>10000</v>
      </c>
      <c r="F6801" s="5">
        <v>45960</v>
      </c>
      <c r="G6801" s="4">
        <v>20251029</v>
      </c>
      <c r="H6801" s="38" t="str">
        <f>VLOOKUP(B6801,CAJEROS!B:D,3,0)</f>
        <v>Multifuncional</v>
      </c>
      <c r="I6801" s="34" t="s">
        <v>10</v>
      </c>
      <c r="J6801" s="38" t="str">
        <f>VLOOKUP(B6801,CAJEROS!B:E,4,0)</f>
        <v>MF_SANNIBA1</v>
      </c>
      <c r="K6801" t="s">
        <v>610</v>
      </c>
    </row>
    <row r="6802" spans="1:11">
      <c r="A6802" s="32">
        <v>237</v>
      </c>
      <c r="B6802" s="33">
        <v>6467</v>
      </c>
      <c r="C6802" s="3">
        <v>9950</v>
      </c>
      <c r="D6802" s="3"/>
      <c r="E6802" s="7">
        <f t="shared" si="127"/>
        <v>9950</v>
      </c>
      <c r="F6802" s="5">
        <v>45960</v>
      </c>
      <c r="G6802" s="4">
        <v>20251029</v>
      </c>
      <c r="H6802" s="38" t="str">
        <f>VLOOKUP(B6802,CAJEROS!B:D,3,0)</f>
        <v>Multifuncional</v>
      </c>
      <c r="I6802" s="34" t="s">
        <v>10</v>
      </c>
      <c r="J6802" s="38" t="str">
        <f>VLOOKUP(B6802,CAJEROS!B:E,4,0)</f>
        <v>MF_DORADOPL</v>
      </c>
      <c r="K6802" t="s">
        <v>610</v>
      </c>
    </row>
    <row r="6803" spans="1:11">
      <c r="A6803" s="32">
        <v>693</v>
      </c>
      <c r="B6803" s="33">
        <v>7979</v>
      </c>
      <c r="C6803" s="3">
        <v>10000</v>
      </c>
      <c r="D6803" s="3"/>
      <c r="E6803" s="7">
        <f t="shared" si="127"/>
        <v>10000</v>
      </c>
      <c r="F6803" s="5">
        <v>45960</v>
      </c>
      <c r="G6803" s="4">
        <v>20251029</v>
      </c>
      <c r="H6803" s="38" t="str">
        <f>VLOOKUP(B6803,CAJEROS!B:D,3,0)</f>
        <v>Multifuncional</v>
      </c>
      <c r="I6803" s="34" t="s">
        <v>10</v>
      </c>
      <c r="J6803" s="38" t="str">
        <f>VLOOKUP(B6803,CAJEROS!B:E,4,0)</f>
        <v>MF_CCSNTAF3</v>
      </c>
      <c r="K6803" t="s">
        <v>610</v>
      </c>
    </row>
    <row r="6804" spans="1:11">
      <c r="A6804" s="32">
        <v>946</v>
      </c>
      <c r="B6804" s="33">
        <v>5225</v>
      </c>
      <c r="C6804" s="3">
        <v>750000</v>
      </c>
      <c r="D6804" s="3"/>
      <c r="E6804" s="7">
        <f t="shared" si="127"/>
        <v>750000</v>
      </c>
      <c r="F6804" s="5">
        <v>45959</v>
      </c>
      <c r="G6804" s="4">
        <v>20251026</v>
      </c>
      <c r="H6804" s="38" t="str">
        <f>VLOOKUP(B6804,CAJEROS!B:D,3,0)</f>
        <v>Multifuncional</v>
      </c>
      <c r="I6804" s="34"/>
      <c r="J6804" s="38" t="str">
        <f>VLOOKUP(B6804,CAJEROS!B:E,4,0)</f>
        <v>MF_SABANACH</v>
      </c>
      <c r="K6804" t="s">
        <v>610</v>
      </c>
    </row>
    <row r="6805" spans="1:11">
      <c r="A6805" s="32">
        <v>377</v>
      </c>
      <c r="B6805" s="33">
        <v>1505</v>
      </c>
      <c r="C6805" s="3">
        <v>90000</v>
      </c>
      <c r="D6805" s="3"/>
      <c r="E6805" s="7">
        <f t="shared" si="127"/>
        <v>90000</v>
      </c>
      <c r="F6805" s="5">
        <v>45961</v>
      </c>
      <c r="G6805" s="4">
        <v>20251030</v>
      </c>
      <c r="H6805" s="38" t="str">
        <f>VLOOKUP(B6805,CAJEROS!B:D,3,0)</f>
        <v>Dispensador</v>
      </c>
      <c r="I6805" s="34"/>
      <c r="J6805" s="38" t="str">
        <f>VLOOKUP(B6805,CAJEROS!B:E,4,0)</f>
        <v>SUCCIALAVE2</v>
      </c>
      <c r="K6805" t="s">
        <v>610</v>
      </c>
    </row>
    <row r="6806" spans="1:11">
      <c r="A6806" s="32">
        <v>719</v>
      </c>
      <c r="B6806" s="33">
        <v>7190</v>
      </c>
      <c r="C6806" s="3">
        <v>100000</v>
      </c>
      <c r="D6806" s="3"/>
      <c r="E6806" s="7">
        <f t="shared" si="127"/>
        <v>100000</v>
      </c>
      <c r="F6806" s="5">
        <v>45961</v>
      </c>
      <c r="G6806" s="4">
        <v>20251030</v>
      </c>
      <c r="H6806" s="38" t="str">
        <f>VLOOKUP(B6806,CAJEROS!B:D,3,0)</f>
        <v>Dispensador</v>
      </c>
      <c r="I6806" s="34"/>
      <c r="J6806" s="38" t="str">
        <f>VLOOKUP(B6806,CAJEROS!B:E,4,0)</f>
        <v>BELENUMBRIA</v>
      </c>
      <c r="K6806" t="s">
        <v>610</v>
      </c>
    </row>
    <row r="6807" spans="1:11">
      <c r="A6807" s="32">
        <v>31</v>
      </c>
      <c r="B6807" s="33">
        <v>8732</v>
      </c>
      <c r="C6807" s="3">
        <v>200000</v>
      </c>
      <c r="D6807" s="3">
        <v>150000</v>
      </c>
      <c r="E6807" s="7">
        <f t="shared" si="127"/>
        <v>50000</v>
      </c>
      <c r="F6807" s="5">
        <v>45961</v>
      </c>
      <c r="G6807" s="4">
        <v>20251030</v>
      </c>
      <c r="H6807" s="38" t="str">
        <f>VLOOKUP(B6807,CAJEROS!B:D,3,0)</f>
        <v>Dispensador</v>
      </c>
      <c r="I6807" s="34" t="s">
        <v>9</v>
      </c>
      <c r="J6807" s="38" t="str">
        <f>VLOOKUP(B6807,CAJEROS!B:E,4,0)</f>
        <v>SUCENTINTE1</v>
      </c>
      <c r="K6807" t="s">
        <v>610</v>
      </c>
    </row>
    <row r="6808" spans="1:11">
      <c r="A6808" s="32">
        <v>60</v>
      </c>
      <c r="B6808" s="33">
        <v>8721</v>
      </c>
      <c r="C6808" s="3">
        <v>200000</v>
      </c>
      <c r="D6808" s="3"/>
      <c r="E6808" s="7">
        <f t="shared" si="127"/>
        <v>200000</v>
      </c>
      <c r="F6808" s="5">
        <v>45961</v>
      </c>
      <c r="G6808" s="4">
        <v>20251030</v>
      </c>
      <c r="H6808" s="38" t="str">
        <f>VLOOKUP(B6808,CAJEROS!B:D,3,0)</f>
        <v>Dispensador</v>
      </c>
      <c r="I6808" s="34" t="s">
        <v>9</v>
      </c>
      <c r="J6808" s="38" t="str">
        <f>VLOOKUP(B6808,CAJEROS!B:E,4,0)</f>
        <v>HALLCALIPR3</v>
      </c>
      <c r="K6808" t="s">
        <v>610</v>
      </c>
    </row>
    <row r="6809" spans="1:11">
      <c r="A6809" s="32">
        <v>96</v>
      </c>
      <c r="B6809" s="33">
        <v>1036</v>
      </c>
      <c r="C6809" s="3">
        <v>700000</v>
      </c>
      <c r="D6809" s="3">
        <v>600000</v>
      </c>
      <c r="E6809" s="7">
        <f t="shared" si="127"/>
        <v>100000</v>
      </c>
      <c r="F6809" s="5">
        <v>45961</v>
      </c>
      <c r="G6809" s="4">
        <v>20251030</v>
      </c>
      <c r="H6809" s="38" t="str">
        <f>VLOOKUP(B6809,CAJEROS!B:D,3,0)</f>
        <v>Dispensador</v>
      </c>
      <c r="I6809" s="34" t="s">
        <v>9</v>
      </c>
      <c r="J6809" s="38" t="str">
        <f>VLOOKUP(B6809,CAJEROS!B:E,4,0)</f>
        <v>SUC_MAICAO2</v>
      </c>
      <c r="K6809" t="s">
        <v>610</v>
      </c>
    </row>
    <row r="6810" spans="1:11">
      <c r="A6810" s="32">
        <v>186</v>
      </c>
      <c r="B6810" s="33">
        <v>6510</v>
      </c>
      <c r="C6810" s="3">
        <v>2000000</v>
      </c>
      <c r="D6810" s="3">
        <v>1640000</v>
      </c>
      <c r="E6810" s="7">
        <f t="shared" si="127"/>
        <v>360000</v>
      </c>
      <c r="F6810" s="5">
        <v>45961</v>
      </c>
      <c r="G6810" s="4">
        <v>20251030</v>
      </c>
      <c r="H6810" s="38" t="str">
        <f>VLOOKUP(B6810,CAJEROS!B:D,3,0)</f>
        <v>Dispensador</v>
      </c>
      <c r="I6810" s="34" t="s">
        <v>9</v>
      </c>
      <c r="J6810" s="38" t="str">
        <f>VLOOKUP(B6810,CAJEROS!B:E,4,0)</f>
        <v>SUC_GALERI3</v>
      </c>
      <c r="K6810" t="s">
        <v>610</v>
      </c>
    </row>
    <row r="6811" spans="1:11">
      <c r="A6811" s="32">
        <v>232</v>
      </c>
      <c r="B6811" s="33">
        <v>4062</v>
      </c>
      <c r="C6811" s="3">
        <v>1130000</v>
      </c>
      <c r="D6811" s="3"/>
      <c r="E6811" s="7">
        <f t="shared" si="127"/>
        <v>1130000</v>
      </c>
      <c r="F6811" s="5">
        <v>45961</v>
      </c>
      <c r="G6811" s="4">
        <v>20251030</v>
      </c>
      <c r="H6811" s="38" t="str">
        <f>VLOOKUP(B6811,CAJEROS!B:D,3,0)</f>
        <v>Dispensador</v>
      </c>
      <c r="I6811" s="34" t="s">
        <v>9</v>
      </c>
      <c r="J6811" s="38" t="str">
        <f>VLOOKUP(B6811,CAJEROS!B:E,4,0)</f>
        <v>SUC_GUASCA1</v>
      </c>
      <c r="K6811" t="s">
        <v>610</v>
      </c>
    </row>
    <row r="6812" spans="1:11">
      <c r="A6812" s="32">
        <v>372</v>
      </c>
      <c r="B6812" s="33">
        <v>7917</v>
      </c>
      <c r="C6812" s="3">
        <v>50000</v>
      </c>
      <c r="D6812" s="3"/>
      <c r="E6812" s="7">
        <f t="shared" si="127"/>
        <v>50000</v>
      </c>
      <c r="F6812" s="5">
        <v>45961</v>
      </c>
      <c r="G6812" s="4">
        <v>20251030</v>
      </c>
      <c r="H6812" s="38" t="str">
        <f>VLOOKUP(B6812,CAJEROS!B:D,3,0)</f>
        <v>Dispensador</v>
      </c>
      <c r="I6812" s="34" t="s">
        <v>9</v>
      </c>
      <c r="J6812" s="38" t="str">
        <f>VLOOKUP(B6812,CAJEROS!B:E,4,0)</f>
        <v>SUCFACATA_3</v>
      </c>
      <c r="K6812" t="s">
        <v>610</v>
      </c>
    </row>
    <row r="6813" spans="1:11">
      <c r="A6813" s="32">
        <v>451</v>
      </c>
      <c r="B6813" s="33">
        <v>4967</v>
      </c>
      <c r="C6813" s="3">
        <v>30000</v>
      </c>
      <c r="D6813" s="3"/>
      <c r="E6813" s="7">
        <f t="shared" si="127"/>
        <v>30000</v>
      </c>
      <c r="F6813" s="5">
        <v>45961</v>
      </c>
      <c r="G6813" s="4">
        <v>20251030</v>
      </c>
      <c r="H6813" s="38" t="str">
        <f>VLOOKUP(B6813,CAJEROS!B:D,3,0)</f>
        <v>Dispensador</v>
      </c>
      <c r="I6813" s="34" t="s">
        <v>9</v>
      </c>
      <c r="J6813" s="38" t="str">
        <f>VLOOKUP(B6813,CAJEROS!B:E,4,0)</f>
        <v>SUCPTOASIS2</v>
      </c>
      <c r="K6813" t="s">
        <v>610</v>
      </c>
    </row>
    <row r="6814" spans="1:11">
      <c r="A6814" s="32">
        <v>482</v>
      </c>
      <c r="B6814" s="33">
        <v>8620</v>
      </c>
      <c r="C6814" s="3">
        <v>270000</v>
      </c>
      <c r="D6814" s="3"/>
      <c r="E6814" s="7">
        <f t="shared" si="127"/>
        <v>270000</v>
      </c>
      <c r="F6814" s="5">
        <v>45961</v>
      </c>
      <c r="G6814" s="4">
        <v>20251030</v>
      </c>
      <c r="H6814" s="38" t="str">
        <f>VLOOKUP(B6814,CAJEROS!B:D,3,0)</f>
        <v>Dispensador</v>
      </c>
      <c r="I6814" s="34" t="s">
        <v>9</v>
      </c>
      <c r="J6814" s="38" t="str">
        <f>VLOOKUP(B6814,CAJEROS!B:E,4,0)</f>
        <v>SUC_CIENAG1</v>
      </c>
      <c r="K6814" t="s">
        <v>610</v>
      </c>
    </row>
    <row r="6815" spans="1:11">
      <c r="A6815" s="32">
        <v>486</v>
      </c>
      <c r="B6815" s="33">
        <v>5748</v>
      </c>
      <c r="C6815" s="3">
        <v>100000</v>
      </c>
      <c r="D6815" s="3"/>
      <c r="E6815" s="7">
        <f t="shared" si="127"/>
        <v>100000</v>
      </c>
      <c r="F6815" s="5">
        <v>45961</v>
      </c>
      <c r="G6815" s="4">
        <v>20251030</v>
      </c>
      <c r="H6815" s="38" t="str">
        <f>VLOOKUP(B6815,CAJEROS!B:D,3,0)</f>
        <v>Dispensador</v>
      </c>
      <c r="I6815" s="34" t="s">
        <v>9</v>
      </c>
      <c r="J6815" s="38" t="str">
        <f>VLOOKUP(B6815,CAJEROS!B:E,4,0)</f>
        <v>SUC_SNICOL3</v>
      </c>
      <c r="K6815" t="s">
        <v>610</v>
      </c>
    </row>
    <row r="6816" spans="1:11">
      <c r="A6816" s="32">
        <v>567</v>
      </c>
      <c r="B6816" s="33">
        <v>4521</v>
      </c>
      <c r="C6816" s="3">
        <v>760000</v>
      </c>
      <c r="D6816" s="3"/>
      <c r="E6816" s="7">
        <f t="shared" si="127"/>
        <v>760000</v>
      </c>
      <c r="F6816" s="5">
        <v>45961</v>
      </c>
      <c r="G6816" s="4">
        <v>20251030</v>
      </c>
      <c r="H6816" s="38" t="str">
        <f>VLOOKUP(B6816,CAJEROS!B:D,3,0)</f>
        <v>Dispensador</v>
      </c>
      <c r="I6816" s="34" t="s">
        <v>9</v>
      </c>
      <c r="J6816" s="38" t="str">
        <f>VLOOKUP(B6816,CAJEROS!B:E,4,0)</f>
        <v>VENECIA2</v>
      </c>
      <c r="K6816" t="s">
        <v>610</v>
      </c>
    </row>
    <row r="6817" spans="1:11">
      <c r="A6817" s="32">
        <v>642</v>
      </c>
      <c r="B6817" s="33">
        <v>1951</v>
      </c>
      <c r="C6817" s="3">
        <v>500000</v>
      </c>
      <c r="D6817" s="3"/>
      <c r="E6817" s="7">
        <f t="shared" si="127"/>
        <v>500000</v>
      </c>
      <c r="F6817" s="5">
        <v>45961</v>
      </c>
      <c r="G6817" s="4">
        <v>20251030</v>
      </c>
      <c r="H6817" s="38" t="str">
        <f>VLOOKUP(B6817,CAJEROS!B:D,3,0)</f>
        <v>Dispensador</v>
      </c>
      <c r="I6817" s="34" t="s">
        <v>9</v>
      </c>
      <c r="J6817" s="38" t="str">
        <f>VLOOKUP(B6817,CAJEROS!B:E,4,0)</f>
        <v>SANTAROSOS2</v>
      </c>
      <c r="K6817" t="s">
        <v>610</v>
      </c>
    </row>
    <row r="6818" spans="1:11">
      <c r="A6818" s="32">
        <v>642</v>
      </c>
      <c r="B6818" s="33">
        <v>1952</v>
      </c>
      <c r="C6818" s="3">
        <v>100000</v>
      </c>
      <c r="D6818" s="3"/>
      <c r="E6818" s="7">
        <f t="shared" si="127"/>
        <v>100000</v>
      </c>
      <c r="F6818" s="5">
        <v>45961</v>
      </c>
      <c r="G6818" s="4">
        <v>20251030</v>
      </c>
      <c r="H6818" s="38" t="str">
        <f>VLOOKUP(B6818,CAJEROS!B:D,3,0)</f>
        <v>Dispensador</v>
      </c>
      <c r="I6818" s="34" t="s">
        <v>9</v>
      </c>
      <c r="J6818" s="38" t="str">
        <f>VLOOKUP(B6818,CAJEROS!B:E,4,0)</f>
        <v>SATAROSOS3</v>
      </c>
      <c r="K6818" t="s">
        <v>610</v>
      </c>
    </row>
    <row r="6819" spans="1:11">
      <c r="A6819" s="32">
        <v>765</v>
      </c>
      <c r="B6819" s="33">
        <v>4998</v>
      </c>
      <c r="C6819" s="3">
        <v>100000</v>
      </c>
      <c r="D6819" s="3"/>
      <c r="E6819" s="7">
        <f t="shared" si="127"/>
        <v>100000</v>
      </c>
      <c r="F6819" s="5">
        <v>45961</v>
      </c>
      <c r="G6819" s="4">
        <v>20251030</v>
      </c>
      <c r="H6819" s="38" t="str">
        <f>VLOOKUP(B6819,CAJEROS!B:D,3,0)</f>
        <v>Dispensador</v>
      </c>
      <c r="I6819" s="34" t="s">
        <v>9</v>
      </c>
      <c r="J6819" s="38" t="str">
        <f>VLOOKUP(B6819,CAJEROS!B:E,4,0)</f>
        <v>SUC_BECERR1</v>
      </c>
      <c r="K6819" t="s">
        <v>610</v>
      </c>
    </row>
    <row r="6820" spans="1:11">
      <c r="A6820" s="32">
        <v>789</v>
      </c>
      <c r="B6820" s="33">
        <v>5661</v>
      </c>
      <c r="C6820" s="3">
        <v>100000</v>
      </c>
      <c r="D6820" s="3"/>
      <c r="E6820" s="7">
        <f t="shared" si="127"/>
        <v>100000</v>
      </c>
      <c r="F6820" s="5">
        <v>45961</v>
      </c>
      <c r="G6820" s="4">
        <v>20251030</v>
      </c>
      <c r="H6820" s="38" t="str">
        <f>VLOOKUP(B6820,CAJEROS!B:D,3,0)</f>
        <v>Dispensador</v>
      </c>
      <c r="I6820" s="34" t="s">
        <v>9</v>
      </c>
      <c r="J6820" s="38" t="str">
        <f>VLOOKUP(B6820,CAJEROS!B:E,4,0)</f>
        <v>MANGA3</v>
      </c>
      <c r="K6820" t="s">
        <v>610</v>
      </c>
    </row>
    <row r="6821" spans="1:11">
      <c r="A6821" s="32">
        <v>831</v>
      </c>
      <c r="B6821" s="33">
        <v>1014</v>
      </c>
      <c r="C6821" s="3">
        <v>300000</v>
      </c>
      <c r="D6821" s="3"/>
      <c r="E6821" s="7">
        <f t="shared" si="127"/>
        <v>300000</v>
      </c>
      <c r="F6821" s="5">
        <v>45961</v>
      </c>
      <c r="G6821" s="4">
        <v>20251030</v>
      </c>
      <c r="H6821" s="38" t="str">
        <f>VLOOKUP(B6821,CAJEROS!B:D,3,0)</f>
        <v>Dispensador</v>
      </c>
      <c r="I6821" s="34" t="s">
        <v>9</v>
      </c>
      <c r="J6821" s="38" t="str">
        <f>VLOOKUP(B6821,CAJEROS!B:E,4,0)</f>
        <v>SUC_CAREPA4</v>
      </c>
      <c r="K6821" t="s">
        <v>610</v>
      </c>
    </row>
    <row r="6822" spans="1:11">
      <c r="A6822" s="32">
        <v>32</v>
      </c>
      <c r="B6822" s="33">
        <v>5027</v>
      </c>
      <c r="C6822" s="3">
        <v>4460000</v>
      </c>
      <c r="D6822" s="3"/>
      <c r="E6822" s="7">
        <f t="shared" si="127"/>
        <v>4460000</v>
      </c>
      <c r="F6822" s="5">
        <v>45961</v>
      </c>
      <c r="G6822" s="4">
        <v>20251030</v>
      </c>
      <c r="H6822" s="38" t="str">
        <f>VLOOKUP(B6822,CAJEROS!B:D,3,0)</f>
        <v>Multifuncional</v>
      </c>
      <c r="I6822" s="34"/>
      <c r="J6822" s="38" t="str">
        <f>VLOOKUP(B6822,CAJEROS!B:E,4,0)</f>
        <v>MF_ANTCOUNT</v>
      </c>
      <c r="K6822" t="s">
        <v>610</v>
      </c>
    </row>
    <row r="6823" spans="1:11">
      <c r="A6823" s="32">
        <v>40</v>
      </c>
      <c r="B6823" s="33">
        <v>5142</v>
      </c>
      <c r="C6823" s="3">
        <v>200000</v>
      </c>
      <c r="D6823" s="3"/>
      <c r="E6823" s="7">
        <f t="shared" si="127"/>
        <v>200000</v>
      </c>
      <c r="F6823" s="5">
        <v>45961</v>
      </c>
      <c r="G6823" s="4">
        <v>20251030</v>
      </c>
      <c r="H6823" s="38" t="str">
        <f>VLOOKUP(B6823,CAJEROS!B:D,3,0)</f>
        <v>Multifuncional</v>
      </c>
      <c r="I6823" s="34"/>
      <c r="J6823" s="38" t="str">
        <f>VLOOKUP(B6823,CAJEROS!B:E,4,0)</f>
        <v>MF_CENTRO93</v>
      </c>
      <c r="K6823" t="s">
        <v>610</v>
      </c>
    </row>
    <row r="6824" spans="1:11">
      <c r="A6824" s="32">
        <v>123</v>
      </c>
      <c r="B6824" s="33">
        <v>7134</v>
      </c>
      <c r="C6824" s="3">
        <v>986000</v>
      </c>
      <c r="D6824" s="3"/>
      <c r="E6824" s="7">
        <f t="shared" si="127"/>
        <v>986000</v>
      </c>
      <c r="F6824" s="5">
        <v>45961</v>
      </c>
      <c r="G6824" s="4">
        <v>20251030</v>
      </c>
      <c r="H6824" s="38" t="str">
        <f>VLOOKUP(B6824,CAJEROS!B:D,3,0)</f>
        <v>Multifuncional</v>
      </c>
      <c r="I6824" s="34"/>
      <c r="J6824" s="38" t="str">
        <f>VLOOKUP(B6824,CAJEROS!B:E,4,0)</f>
        <v>MF_CPRIONE2</v>
      </c>
      <c r="K6824" t="s">
        <v>610</v>
      </c>
    </row>
    <row r="6825" spans="1:11">
      <c r="A6825" s="32">
        <v>495</v>
      </c>
      <c r="B6825" s="33">
        <v>8482</v>
      </c>
      <c r="C6825" s="3">
        <v>4990000</v>
      </c>
      <c r="D6825" s="3"/>
      <c r="E6825" s="7">
        <f t="shared" si="127"/>
        <v>4990000</v>
      </c>
      <c r="F6825" s="5">
        <v>45961</v>
      </c>
      <c r="G6825" s="4">
        <v>20251030</v>
      </c>
      <c r="H6825" s="38" t="str">
        <f>VLOOKUP(B6825,CAJEROS!B:D,3,0)</f>
        <v>Multifuncional</v>
      </c>
      <c r="I6825" s="34"/>
      <c r="J6825" s="38" t="str">
        <f>VLOOKUP(B6825,CAJEROS!B:E,4,0)</f>
        <v>MF_SUCBOSQ1</v>
      </c>
      <c r="K6825" t="s">
        <v>610</v>
      </c>
    </row>
    <row r="6826" spans="1:11">
      <c r="A6826" s="32">
        <v>750</v>
      </c>
      <c r="B6826" s="33">
        <v>5157</v>
      </c>
      <c r="C6826" s="3">
        <v>533000</v>
      </c>
      <c r="D6826" s="3">
        <v>500000</v>
      </c>
      <c r="E6826" s="7">
        <f t="shared" si="127"/>
        <v>33000</v>
      </c>
      <c r="F6826" s="5">
        <v>45961</v>
      </c>
      <c r="G6826" s="4">
        <v>20251030</v>
      </c>
      <c r="H6826" s="38" t="str">
        <f>VLOOKUP(B6826,CAJEROS!B:D,3,0)</f>
        <v>Multifuncional</v>
      </c>
      <c r="I6826" s="34"/>
      <c r="J6826" s="38" t="str">
        <f>VLOOKUP(B6826,CAJEROS!B:E,4,0)</f>
        <v>MF_AVROOSVL</v>
      </c>
      <c r="K6826" t="s">
        <v>610</v>
      </c>
    </row>
    <row r="6827" spans="1:11">
      <c r="A6827" s="32">
        <v>779</v>
      </c>
      <c r="B6827" s="33">
        <v>8684</v>
      </c>
      <c r="C6827" s="3">
        <v>1370000</v>
      </c>
      <c r="D6827" s="3">
        <v>300000</v>
      </c>
      <c r="E6827" s="7">
        <f t="shared" si="127"/>
        <v>1070000</v>
      </c>
      <c r="F6827" s="5">
        <v>45961</v>
      </c>
      <c r="G6827" s="4">
        <v>20251030</v>
      </c>
      <c r="H6827" s="38" t="str">
        <f>VLOOKUP(B6827,CAJEROS!B:D,3,0)</f>
        <v>Multifuncional</v>
      </c>
      <c r="I6827" s="34"/>
      <c r="J6827" s="38" t="str">
        <f>VLOOKUP(B6827,CAJEROS!B:E,4,0)</f>
        <v>MF_BUENVSM2</v>
      </c>
      <c r="K6827" t="s">
        <v>610</v>
      </c>
    </row>
    <row r="6828" spans="1:11">
      <c r="A6828" s="32">
        <v>781</v>
      </c>
      <c r="B6828" s="33">
        <v>5057</v>
      </c>
      <c r="C6828" s="3">
        <v>11917000</v>
      </c>
      <c r="D6828" s="3"/>
      <c r="E6828" s="7">
        <f t="shared" si="127"/>
        <v>11917000</v>
      </c>
      <c r="F6828" s="5">
        <v>45961</v>
      </c>
      <c r="G6828" s="4">
        <v>20251030</v>
      </c>
      <c r="H6828" s="38" t="str">
        <f>VLOOKUP(B6828,CAJEROS!B:D,3,0)</f>
        <v>Multifuncional</v>
      </c>
      <c r="I6828" s="34"/>
      <c r="J6828" s="38" t="str">
        <f>VLOOKUP(B6828,CAJEROS!B:E,4,0)</f>
        <v>MF_PRPLAZA</v>
      </c>
      <c r="K6828" t="s">
        <v>610</v>
      </c>
    </row>
    <row r="6829" spans="1:11">
      <c r="A6829" s="32">
        <v>57</v>
      </c>
      <c r="B6829" s="33">
        <v>9963</v>
      </c>
      <c r="C6829" s="3">
        <v>3950000</v>
      </c>
      <c r="D6829" s="3"/>
      <c r="E6829" s="7">
        <f t="shared" si="127"/>
        <v>3950000</v>
      </c>
      <c r="F6829" s="5">
        <v>45961</v>
      </c>
      <c r="G6829" s="4">
        <v>20251030</v>
      </c>
      <c r="H6829" s="38" t="str">
        <f>VLOOKUP(B6829,CAJEROS!B:D,3,0)</f>
        <v>Multifuncional</v>
      </c>
      <c r="I6829" s="34" t="s">
        <v>9</v>
      </c>
      <c r="J6829" s="38" t="str">
        <f>VLOOKUP(B6829,CAJEROS!B:E,4,0)</f>
        <v>MF_VILLAVI1</v>
      </c>
      <c r="K6829" t="s">
        <v>610</v>
      </c>
    </row>
    <row r="6830" spans="1:11">
      <c r="A6830" s="32">
        <v>379</v>
      </c>
      <c r="B6830" s="33">
        <v>6465</v>
      </c>
      <c r="C6830" s="3">
        <v>3945000</v>
      </c>
      <c r="D6830" s="3"/>
      <c r="E6830" s="7">
        <f t="shared" si="127"/>
        <v>3945000</v>
      </c>
      <c r="F6830" s="5">
        <v>45961</v>
      </c>
      <c r="G6830" s="4">
        <v>20251030</v>
      </c>
      <c r="H6830" s="38" t="str">
        <f>VLOOKUP(B6830,CAJEROS!B:D,3,0)</f>
        <v>Multifuncional</v>
      </c>
      <c r="I6830" s="34" t="s">
        <v>9</v>
      </c>
      <c r="J6830" s="38" t="str">
        <f>VLOOKUP(B6830,CAJEROS!B:E,4,0)</f>
        <v>MF_SUCTESO1</v>
      </c>
      <c r="K6830" t="s">
        <v>610</v>
      </c>
    </row>
    <row r="6831" spans="1:11">
      <c r="A6831" s="32">
        <v>890</v>
      </c>
      <c r="B6831" s="33">
        <v>9584</v>
      </c>
      <c r="C6831" s="3">
        <v>3699950</v>
      </c>
      <c r="D6831" s="3">
        <v>1000000</v>
      </c>
      <c r="E6831" s="7">
        <f t="shared" si="127"/>
        <v>2699950</v>
      </c>
      <c r="F6831" s="5">
        <v>45961</v>
      </c>
      <c r="G6831" s="4">
        <v>20251030</v>
      </c>
      <c r="H6831" s="38" t="str">
        <f>VLOOKUP(B6831,CAJEROS!B:D,3,0)</f>
        <v>Multifuncional</v>
      </c>
      <c r="I6831" s="34" t="s">
        <v>9</v>
      </c>
      <c r="J6831" s="38" t="str">
        <f>VLOOKUP(B6831,CAJEROS!B:E,4,0)</f>
        <v>MFSUCACACI1</v>
      </c>
      <c r="K6831" t="s">
        <v>610</v>
      </c>
    </row>
    <row r="6832" spans="1:11">
      <c r="A6832" s="32">
        <v>229</v>
      </c>
      <c r="B6832" s="33">
        <v>9604</v>
      </c>
      <c r="C6832" s="3">
        <v>3670000</v>
      </c>
      <c r="D6832" s="3">
        <v>1569750</v>
      </c>
      <c r="E6832" s="7">
        <f t="shared" si="127"/>
        <v>2100250</v>
      </c>
      <c r="F6832" s="5">
        <v>45961</v>
      </c>
      <c r="G6832" s="4">
        <v>20251030</v>
      </c>
      <c r="H6832" s="38" t="str">
        <f>VLOOKUP(B6832,CAJEROS!B:D,3,0)</f>
        <v>Multifuncional</v>
      </c>
      <c r="I6832" s="34" t="s">
        <v>9</v>
      </c>
      <c r="J6832" s="38" t="str">
        <f>VLOOKUP(B6832,CAJEROS!B:E,4,0)</f>
        <v>MFSUCPASER1</v>
      </c>
      <c r="K6832" t="s">
        <v>610</v>
      </c>
    </row>
    <row r="6833" spans="1:11">
      <c r="A6833" s="32">
        <v>825</v>
      </c>
      <c r="B6833" s="33">
        <v>5023</v>
      </c>
      <c r="C6833" s="3">
        <v>3570000</v>
      </c>
      <c r="D6833" s="3"/>
      <c r="E6833" s="7">
        <f t="shared" si="127"/>
        <v>3570000</v>
      </c>
      <c r="F6833" s="5">
        <v>45961</v>
      </c>
      <c r="G6833" s="4">
        <v>20251030</v>
      </c>
      <c r="H6833" s="38" t="str">
        <f>VLOOKUP(B6833,CAJEROS!B:D,3,0)</f>
        <v>Multifuncional</v>
      </c>
      <c r="I6833" s="34" t="s">
        <v>9</v>
      </c>
      <c r="J6833" s="38" t="str">
        <f>VLOOKUP(B6833,CAJEROS!B:E,4,0)</f>
        <v>MF_ASTROCEN</v>
      </c>
      <c r="K6833" t="s">
        <v>610</v>
      </c>
    </row>
    <row r="6834" spans="1:11">
      <c r="A6834" s="32">
        <v>795</v>
      </c>
      <c r="B6834" s="33">
        <v>1029</v>
      </c>
      <c r="C6834" s="3">
        <v>3410000</v>
      </c>
      <c r="D6834" s="3"/>
      <c r="E6834" s="7">
        <f t="shared" si="127"/>
        <v>3410000</v>
      </c>
      <c r="F6834" s="5">
        <v>45961</v>
      </c>
      <c r="G6834" s="4">
        <v>20251030</v>
      </c>
      <c r="H6834" s="38" t="str">
        <f>VLOOKUP(B6834,CAJEROS!B:D,3,0)</f>
        <v>Multifuncional</v>
      </c>
      <c r="I6834" s="34" t="s">
        <v>9</v>
      </c>
      <c r="J6834" s="38" t="str">
        <f>VLOOKUP(B6834,CAJEROS!B:E,4,0)</f>
        <v>MFSUCANVER3</v>
      </c>
      <c r="K6834" t="s">
        <v>610</v>
      </c>
    </row>
    <row r="6835" spans="1:11">
      <c r="A6835" s="32">
        <v>769</v>
      </c>
      <c r="B6835" s="33">
        <v>8679</v>
      </c>
      <c r="C6835" s="3">
        <v>3283000</v>
      </c>
      <c r="D6835" s="3">
        <v>3170000</v>
      </c>
      <c r="E6835" s="7">
        <f t="shared" si="127"/>
        <v>113000</v>
      </c>
      <c r="F6835" s="5">
        <v>45961</v>
      </c>
      <c r="G6835" s="4">
        <v>20251030</v>
      </c>
      <c r="H6835" s="38" t="str">
        <f>VLOOKUP(B6835,CAJEROS!B:D,3,0)</f>
        <v>Multifuncional</v>
      </c>
      <c r="I6835" s="34" t="s">
        <v>9</v>
      </c>
      <c r="J6835" s="38" t="str">
        <f>VLOOKUP(B6835,CAJEROS!B:E,4,0)</f>
        <v>MF_SUCPPRA1</v>
      </c>
      <c r="K6835" t="s">
        <v>610</v>
      </c>
    </row>
    <row r="6836" spans="1:11">
      <c r="A6836" s="32">
        <v>442</v>
      </c>
      <c r="B6836" s="33">
        <v>8888</v>
      </c>
      <c r="C6836" s="3">
        <v>3210000</v>
      </c>
      <c r="D6836" s="3"/>
      <c r="E6836" s="7">
        <f t="shared" si="127"/>
        <v>3210000</v>
      </c>
      <c r="F6836" s="5">
        <v>45961</v>
      </c>
      <c r="G6836" s="4">
        <v>20251030</v>
      </c>
      <c r="H6836" s="38" t="str">
        <f>VLOOKUP(B6836,CAJEROS!B:D,3,0)</f>
        <v>Multifuncional</v>
      </c>
      <c r="I6836" s="34" t="s">
        <v>9</v>
      </c>
      <c r="J6836" s="38" t="str">
        <f>VLOOKUP(B6836,CAJEROS!B:E,4,0)</f>
        <v>MFVIVABQUI2</v>
      </c>
      <c r="K6836" t="s">
        <v>610</v>
      </c>
    </row>
    <row r="6837" spans="1:11">
      <c r="A6837" s="32">
        <v>4</v>
      </c>
      <c r="B6837" s="33">
        <v>8630</v>
      </c>
      <c r="C6837" s="3">
        <v>3100000</v>
      </c>
      <c r="D6837" s="3"/>
      <c r="E6837" s="7">
        <f t="shared" si="127"/>
        <v>3100000</v>
      </c>
      <c r="F6837" s="5">
        <v>45961</v>
      </c>
      <c r="G6837" s="4">
        <v>20251030</v>
      </c>
      <c r="H6837" s="38" t="str">
        <f>VLOOKUP(B6837,CAJEROS!B:D,3,0)</f>
        <v>Multifuncional</v>
      </c>
      <c r="I6837" s="34" t="s">
        <v>9</v>
      </c>
      <c r="J6837" s="38" t="str">
        <f>VLOOKUP(B6837,CAJEROS!B:E,4,0)</f>
        <v>MF_SUCLAUR1</v>
      </c>
      <c r="K6837" t="s">
        <v>610</v>
      </c>
    </row>
    <row r="6838" spans="1:11">
      <c r="A6838" s="32">
        <v>198</v>
      </c>
      <c r="B6838" s="33">
        <v>5179</v>
      </c>
      <c r="C6838" s="3">
        <v>3060000</v>
      </c>
      <c r="D6838" s="3"/>
      <c r="E6838" s="7">
        <f t="shared" si="127"/>
        <v>3060000</v>
      </c>
      <c r="F6838" s="5">
        <v>45961</v>
      </c>
      <c r="G6838" s="4">
        <v>20251030</v>
      </c>
      <c r="H6838" s="38" t="str">
        <f>VLOOKUP(B6838,CAJEROS!B:D,3,0)</f>
        <v>Multifuncional</v>
      </c>
      <c r="I6838" s="34" t="s">
        <v>9</v>
      </c>
      <c r="J6838" s="38" t="str">
        <f>VLOOKUP(B6838,CAJEROS!B:E,4,0)</f>
        <v>MF_CENTSUBA</v>
      </c>
      <c r="K6838" t="s">
        <v>610</v>
      </c>
    </row>
    <row r="6839" spans="1:11">
      <c r="A6839" s="32">
        <v>291</v>
      </c>
      <c r="B6839" s="33">
        <v>5114</v>
      </c>
      <c r="C6839" s="3">
        <v>2870000</v>
      </c>
      <c r="D6839" s="3"/>
      <c r="E6839" s="7">
        <f t="shared" si="127"/>
        <v>2870000</v>
      </c>
      <c r="F6839" s="5">
        <v>45961</v>
      </c>
      <c r="G6839" s="4">
        <v>20251030</v>
      </c>
      <c r="H6839" s="38" t="str">
        <f>VLOOKUP(B6839,CAJEROS!B:D,3,0)</f>
        <v>Multifuncional</v>
      </c>
      <c r="I6839" s="34" t="s">
        <v>9</v>
      </c>
      <c r="J6839" s="38" t="str">
        <f>VLOOKUP(B6839,CAJEROS!B:E,4,0)</f>
        <v>MF_LPALMAS</v>
      </c>
      <c r="K6839" t="s">
        <v>610</v>
      </c>
    </row>
    <row r="6840" spans="1:11">
      <c r="A6840" s="32">
        <v>166</v>
      </c>
      <c r="B6840" s="33">
        <v>7939</v>
      </c>
      <c r="C6840" s="3">
        <v>2860000</v>
      </c>
      <c r="D6840" s="3">
        <v>960000</v>
      </c>
      <c r="E6840" s="7">
        <f t="shared" si="127"/>
        <v>1900000</v>
      </c>
      <c r="F6840" s="5">
        <v>45961</v>
      </c>
      <c r="G6840" s="4">
        <v>20251030</v>
      </c>
      <c r="H6840" s="38" t="str">
        <f>VLOOKUP(B6840,CAJEROS!B:D,3,0)</f>
        <v>Multifuncional</v>
      </c>
      <c r="I6840" s="34" t="s">
        <v>9</v>
      </c>
      <c r="J6840" s="38" t="str">
        <f>VLOOKUP(B6840,CAJEROS!B:E,4,0)</f>
        <v>MF_ALDELSI1</v>
      </c>
      <c r="K6840" t="s">
        <v>610</v>
      </c>
    </row>
    <row r="6841" spans="1:11">
      <c r="A6841" s="32">
        <v>907</v>
      </c>
      <c r="B6841" s="33">
        <v>4830</v>
      </c>
      <c r="C6841" s="3">
        <v>2780000</v>
      </c>
      <c r="D6841" s="3">
        <v>36000</v>
      </c>
      <c r="E6841" s="7">
        <f t="shared" si="127"/>
        <v>2744000</v>
      </c>
      <c r="F6841" s="5">
        <v>45961</v>
      </c>
      <c r="G6841" s="4">
        <v>20251030</v>
      </c>
      <c r="H6841" s="38" t="str">
        <f>VLOOKUP(B6841,CAJEROS!B:D,3,0)</f>
        <v>Multifuncional</v>
      </c>
      <c r="I6841" s="34" t="s">
        <v>9</v>
      </c>
      <c r="J6841" s="38" t="str">
        <f>VLOOKUP(B6841,CAJEROS!B:E,4,0)</f>
        <v>MF_FRONTER2</v>
      </c>
      <c r="K6841" t="s">
        <v>610</v>
      </c>
    </row>
    <row r="6842" spans="1:11">
      <c r="A6842" s="32">
        <v>225</v>
      </c>
      <c r="B6842" s="33">
        <v>8868</v>
      </c>
      <c r="C6842" s="3">
        <v>2750000</v>
      </c>
      <c r="D6842" s="3"/>
      <c r="E6842" s="7">
        <f t="shared" si="127"/>
        <v>2750000</v>
      </c>
      <c r="F6842" s="5">
        <v>45961</v>
      </c>
      <c r="G6842" s="4">
        <v>20251030</v>
      </c>
      <c r="H6842" s="38" t="str">
        <f>VLOOKUP(B6842,CAJEROS!B:D,3,0)</f>
        <v>Multifuncional</v>
      </c>
      <c r="I6842" s="34" t="s">
        <v>9</v>
      </c>
      <c r="J6842" s="38" t="str">
        <f>VLOOKUP(B6842,CAJEROS!B:E,4,0)</f>
        <v>MF_SMPLNQS1</v>
      </c>
      <c r="K6842" t="s">
        <v>610</v>
      </c>
    </row>
    <row r="6843" spans="1:11">
      <c r="A6843" s="32">
        <v>481</v>
      </c>
      <c r="B6843" s="33">
        <v>1010</v>
      </c>
      <c r="C6843" s="3">
        <v>2750000</v>
      </c>
      <c r="D6843" s="3"/>
      <c r="E6843" s="7">
        <f t="shared" si="127"/>
        <v>2750000</v>
      </c>
      <c r="F6843" s="5">
        <v>45961</v>
      </c>
      <c r="G6843" s="4">
        <v>20251030</v>
      </c>
      <c r="H6843" s="38" t="str">
        <f>VLOOKUP(B6843,CAJEROS!B:D,3,0)</f>
        <v>Multifuncional</v>
      </c>
      <c r="I6843" s="34" t="s">
        <v>9</v>
      </c>
      <c r="J6843" s="38" t="str">
        <f>VLOOKUP(B6843,CAJEROS!B:E,4,0)</f>
        <v>MF_SOLEDAD1</v>
      </c>
      <c r="K6843" t="s">
        <v>610</v>
      </c>
    </row>
    <row r="6844" spans="1:11">
      <c r="A6844" s="32">
        <v>78</v>
      </c>
      <c r="B6844" s="33">
        <v>8594</v>
      </c>
      <c r="C6844" s="3">
        <v>2687500</v>
      </c>
      <c r="D6844" s="3">
        <v>2676400</v>
      </c>
      <c r="E6844" s="7">
        <f t="shared" si="127"/>
        <v>11100</v>
      </c>
      <c r="F6844" s="5">
        <v>45961</v>
      </c>
      <c r="G6844" s="4">
        <v>20251030</v>
      </c>
      <c r="H6844" s="38" t="str">
        <f>VLOOKUP(B6844,CAJEROS!B:D,3,0)</f>
        <v>Multifuncional</v>
      </c>
      <c r="I6844" s="34" t="s">
        <v>9</v>
      </c>
      <c r="J6844" s="38" t="str">
        <f>VLOOKUP(B6844,CAJEROS!B:E,4,0)</f>
        <v>MF_CACIQUE2</v>
      </c>
      <c r="K6844" t="s">
        <v>610</v>
      </c>
    </row>
    <row r="6845" spans="1:11">
      <c r="A6845" s="32">
        <v>677</v>
      </c>
      <c r="B6845" s="33">
        <v>7124</v>
      </c>
      <c r="C6845" s="3">
        <v>2563600</v>
      </c>
      <c r="D6845" s="3">
        <v>2544500</v>
      </c>
      <c r="E6845" s="7">
        <f t="shared" si="127"/>
        <v>19100</v>
      </c>
      <c r="F6845" s="5">
        <v>45961</v>
      </c>
      <c r="G6845" s="4">
        <v>20251030</v>
      </c>
      <c r="H6845" s="38" t="str">
        <f>VLOOKUP(B6845,CAJEROS!B:D,3,0)</f>
        <v>Multifuncional</v>
      </c>
      <c r="I6845" s="34" t="s">
        <v>9</v>
      </c>
      <c r="J6845" s="38" t="str">
        <f>VLOOKUP(B6845,CAJEROS!B:E,4,0)</f>
        <v>MF_PLMERMON</v>
      </c>
      <c r="K6845" t="s">
        <v>610</v>
      </c>
    </row>
    <row r="6846" spans="1:11">
      <c r="A6846" s="32">
        <v>442</v>
      </c>
      <c r="B6846" s="33">
        <v>8887</v>
      </c>
      <c r="C6846" s="3">
        <v>2420000</v>
      </c>
      <c r="D6846" s="3">
        <v>2040000</v>
      </c>
      <c r="E6846" s="7">
        <f t="shared" si="127"/>
        <v>380000</v>
      </c>
      <c r="F6846" s="5">
        <v>45961</v>
      </c>
      <c r="G6846" s="4">
        <v>20251030</v>
      </c>
      <c r="H6846" s="38" t="str">
        <f>VLOOKUP(B6846,CAJEROS!B:D,3,0)</f>
        <v>Multifuncional</v>
      </c>
      <c r="I6846" s="34" t="s">
        <v>9</v>
      </c>
      <c r="J6846" s="38" t="str">
        <f>VLOOKUP(B6846,CAJEROS!B:E,4,0)</f>
        <v>MFVIVABQUI1</v>
      </c>
      <c r="K6846" t="s">
        <v>610</v>
      </c>
    </row>
    <row r="6847" spans="1:11">
      <c r="A6847" s="32">
        <v>793</v>
      </c>
      <c r="B6847" s="33">
        <v>5216</v>
      </c>
      <c r="C6847" s="3">
        <v>2220000</v>
      </c>
      <c r="D6847" s="3"/>
      <c r="E6847" s="7">
        <f t="shared" si="127"/>
        <v>2220000</v>
      </c>
      <c r="F6847" s="5">
        <v>45961</v>
      </c>
      <c r="G6847" s="4">
        <v>20251030</v>
      </c>
      <c r="H6847" s="38" t="str">
        <f>VLOOKUP(B6847,CAJEROS!B:D,3,0)</f>
        <v>Multifuncional</v>
      </c>
      <c r="I6847" s="34" t="s">
        <v>9</v>
      </c>
      <c r="J6847" s="38" t="str">
        <f>VLOOKUP(B6847,CAJEROS!B:E,4,0)</f>
        <v>MF_PROFENAL</v>
      </c>
      <c r="K6847" t="s">
        <v>610</v>
      </c>
    </row>
    <row r="6848" spans="1:11">
      <c r="A6848" s="32">
        <v>606</v>
      </c>
      <c r="B6848" s="33">
        <v>5201</v>
      </c>
      <c r="C6848" s="3">
        <v>2210550</v>
      </c>
      <c r="D6848" s="3"/>
      <c r="E6848" s="7">
        <f t="shared" si="127"/>
        <v>2210550</v>
      </c>
      <c r="F6848" s="5">
        <v>45961</v>
      </c>
      <c r="G6848" s="4">
        <v>20251030</v>
      </c>
      <c r="H6848" s="38" t="str">
        <f>VLOOKUP(B6848,CAJEROS!B:D,3,0)</f>
        <v>Multifuncional</v>
      </c>
      <c r="I6848" s="34" t="s">
        <v>9</v>
      </c>
      <c r="J6848" s="38" t="str">
        <f>VLOOKUP(B6848,CAJEROS!B:E,4,0)</f>
        <v>MF_UNITUNJA</v>
      </c>
      <c r="K6848" t="s">
        <v>610</v>
      </c>
    </row>
    <row r="6849" spans="1:11">
      <c r="A6849" s="32">
        <v>4</v>
      </c>
      <c r="B6849" s="33">
        <v>316</v>
      </c>
      <c r="C6849" s="3">
        <v>2190000</v>
      </c>
      <c r="D6849" s="3">
        <f>100000+2089500</f>
        <v>2189500</v>
      </c>
      <c r="E6849" s="7">
        <f t="shared" si="127"/>
        <v>500</v>
      </c>
      <c r="F6849" s="5">
        <v>45961</v>
      </c>
      <c r="G6849" s="4">
        <v>20251030</v>
      </c>
      <c r="H6849" s="38" t="str">
        <f>VLOOKUP(B6849,CAJEROS!B:D,3,0)</f>
        <v>Multifuncional</v>
      </c>
      <c r="I6849" s="34" t="s">
        <v>9</v>
      </c>
      <c r="J6849" s="38" t="str">
        <f>VLOOKUP(B6849,CAJEROS!B:E,4,0)</f>
        <v>MF_SUCLAUR3</v>
      </c>
      <c r="K6849" t="s">
        <v>610</v>
      </c>
    </row>
    <row r="6850" spans="1:11">
      <c r="A6850" s="32">
        <v>623</v>
      </c>
      <c r="B6850" s="33">
        <v>7375</v>
      </c>
      <c r="C6850" s="3">
        <v>2145000</v>
      </c>
      <c r="D6850" s="3"/>
      <c r="E6850" s="7">
        <f t="shared" si="127"/>
        <v>2145000</v>
      </c>
      <c r="F6850" s="5">
        <v>45961</v>
      </c>
      <c r="G6850" s="4">
        <v>20251030</v>
      </c>
      <c r="H6850" s="38" t="str">
        <f>VLOOKUP(B6850,CAJEROS!B:D,3,0)</f>
        <v>Multifuncional</v>
      </c>
      <c r="I6850" s="34" t="s">
        <v>9</v>
      </c>
      <c r="J6850" s="38" t="str">
        <f>VLOOKUP(B6850,CAJEROS!B:E,4,0)</f>
        <v>MF_FUNDMAN2</v>
      </c>
      <c r="K6850" t="s">
        <v>610</v>
      </c>
    </row>
    <row r="6851" spans="1:11">
      <c r="A6851" s="32">
        <v>322</v>
      </c>
      <c r="B6851" s="33">
        <v>2444</v>
      </c>
      <c r="C6851" s="3">
        <v>2000000</v>
      </c>
      <c r="D6851" s="3"/>
      <c r="E6851" s="7">
        <f t="shared" si="127"/>
        <v>2000000</v>
      </c>
      <c r="F6851" s="5">
        <v>45961</v>
      </c>
      <c r="G6851" s="4">
        <v>20251030</v>
      </c>
      <c r="H6851" s="38" t="str">
        <f>VLOOKUP(B6851,CAJEROS!B:D,3,0)</f>
        <v>Multifuncional</v>
      </c>
      <c r="I6851" s="34" t="s">
        <v>9</v>
      </c>
      <c r="J6851" s="38" t="str">
        <f>VLOOKUP(B6851,CAJEROS!B:E,4,0)</f>
        <v>MFSUCSNGIL1</v>
      </c>
      <c r="K6851" t="s">
        <v>610</v>
      </c>
    </row>
    <row r="6852" spans="1:11">
      <c r="A6852" s="32">
        <v>358</v>
      </c>
      <c r="B6852" s="33">
        <v>5149</v>
      </c>
      <c r="C6852" s="3">
        <v>1970000</v>
      </c>
      <c r="D6852" s="3">
        <v>1200000</v>
      </c>
      <c r="E6852" s="7">
        <f t="shared" si="127"/>
        <v>770000</v>
      </c>
      <c r="F6852" s="5">
        <v>45961</v>
      </c>
      <c r="G6852" s="4">
        <v>20251030</v>
      </c>
      <c r="H6852" s="38" t="str">
        <f>VLOOKUP(B6852,CAJEROS!B:D,3,0)</f>
        <v>Multifuncional</v>
      </c>
      <c r="I6852" s="34" t="s">
        <v>9</v>
      </c>
      <c r="J6852" s="38" t="str">
        <f>VLOOKUP(B6852,CAJEROS!B:E,4,0)</f>
        <v>MF_SOGAMOSO</v>
      </c>
      <c r="K6852" t="s">
        <v>610</v>
      </c>
    </row>
    <row r="6853" spans="1:11">
      <c r="A6853" s="32">
        <v>523</v>
      </c>
      <c r="B6853" s="33">
        <v>5082</v>
      </c>
      <c r="C6853" s="3">
        <v>1951000</v>
      </c>
      <c r="D6853" s="3">
        <v>1429850</v>
      </c>
      <c r="E6853" s="7">
        <f t="shared" si="127"/>
        <v>521150</v>
      </c>
      <c r="F6853" s="5">
        <v>45961</v>
      </c>
      <c r="G6853" s="4">
        <v>20251030</v>
      </c>
      <c r="H6853" s="38" t="str">
        <f>VLOOKUP(B6853,CAJEROS!B:D,3,0)</f>
        <v>Multifuncional</v>
      </c>
      <c r="I6853" s="34" t="s">
        <v>9</v>
      </c>
      <c r="J6853" s="38" t="str">
        <f>VLOOKUP(B6853,CAJEROS!B:E,4,0)</f>
        <v>MF_OVALLEDU</v>
      </c>
      <c r="K6853" t="s">
        <v>610</v>
      </c>
    </row>
    <row r="6854" spans="1:11">
      <c r="A6854" s="32">
        <v>88</v>
      </c>
      <c r="B6854" s="33">
        <v>5111</v>
      </c>
      <c r="C6854" s="3">
        <v>1815400</v>
      </c>
      <c r="D6854" s="3"/>
      <c r="E6854" s="7">
        <f t="shared" si="127"/>
        <v>1815400</v>
      </c>
      <c r="F6854" s="5">
        <v>45961</v>
      </c>
      <c r="G6854" s="4">
        <v>20251030</v>
      </c>
      <c r="H6854" s="38" t="str">
        <f>VLOOKUP(B6854,CAJEROS!B:D,3,0)</f>
        <v>Multifuncional</v>
      </c>
      <c r="I6854" s="34" t="s">
        <v>9</v>
      </c>
      <c r="J6854" s="38" t="str">
        <f>VLOOKUP(B6854,CAJEROS!B:E,4,0)</f>
        <v>MF_CUCUTPAL</v>
      </c>
      <c r="K6854" t="s">
        <v>610</v>
      </c>
    </row>
    <row r="6855" spans="1:11">
      <c r="A6855" s="32">
        <v>15</v>
      </c>
      <c r="B6855" s="33">
        <v>8577</v>
      </c>
      <c r="C6855" s="3">
        <v>1700000</v>
      </c>
      <c r="D6855" s="3"/>
      <c r="E6855" s="7">
        <f t="shared" si="127"/>
        <v>1700000</v>
      </c>
      <c r="F6855" s="5">
        <v>45961</v>
      </c>
      <c r="G6855" s="4">
        <v>20251030</v>
      </c>
      <c r="H6855" s="38" t="str">
        <f>VLOOKUP(B6855,CAJEROS!B:D,3,0)</f>
        <v>Multifuncional</v>
      </c>
      <c r="I6855" s="34" t="s">
        <v>9</v>
      </c>
      <c r="J6855" s="38" t="str">
        <f>VLOOKUP(B6855,CAJEROS!B:E,4,0)</f>
        <v>MF_HITAGUI2</v>
      </c>
      <c r="K6855" t="s">
        <v>610</v>
      </c>
    </row>
    <row r="6856" spans="1:11">
      <c r="A6856" s="32">
        <v>907</v>
      </c>
      <c r="B6856" s="33">
        <v>5019</v>
      </c>
      <c r="C6856" s="3">
        <v>1670000</v>
      </c>
      <c r="D6856" s="3"/>
      <c r="E6856" s="7">
        <f t="shared" si="127"/>
        <v>1670000</v>
      </c>
      <c r="F6856" s="5">
        <v>45961</v>
      </c>
      <c r="G6856" s="4">
        <v>20251030</v>
      </c>
      <c r="H6856" s="38" t="str">
        <f>VLOOKUP(B6856,CAJEROS!B:D,3,0)</f>
        <v>Multifuncional</v>
      </c>
      <c r="I6856" s="34" t="s">
        <v>9</v>
      </c>
      <c r="J6856" s="38" t="str">
        <f>VLOOKUP(B6856,CAJEROS!B:E,4,0)</f>
        <v>MF_FRONTERA</v>
      </c>
      <c r="K6856" t="s">
        <v>610</v>
      </c>
    </row>
    <row r="6857" spans="1:11">
      <c r="A6857" s="32">
        <v>690</v>
      </c>
      <c r="B6857" s="33">
        <v>6180</v>
      </c>
      <c r="C6857" s="3">
        <v>1410000</v>
      </c>
      <c r="D6857" s="3">
        <v>1190000</v>
      </c>
      <c r="E6857" s="7">
        <f t="shared" si="127"/>
        <v>220000</v>
      </c>
      <c r="F6857" s="5">
        <v>45961</v>
      </c>
      <c r="G6857" s="4">
        <v>20251030</v>
      </c>
      <c r="H6857" s="38" t="str">
        <f>VLOOKUP(B6857,CAJEROS!B:D,3,0)</f>
        <v>Multifuncional</v>
      </c>
      <c r="I6857" s="34" t="s">
        <v>9</v>
      </c>
      <c r="J6857" s="38" t="str">
        <f>VLOOKUP(B6857,CAJEROS!B:E,4,0)</f>
        <v>MF_HTQENDAM</v>
      </c>
      <c r="K6857" t="s">
        <v>610</v>
      </c>
    </row>
    <row r="6858" spans="1:11">
      <c r="A6858" s="32">
        <v>941</v>
      </c>
      <c r="B6858" s="33">
        <v>5220</v>
      </c>
      <c r="C6858" s="3">
        <v>1400000</v>
      </c>
      <c r="D6858" s="3"/>
      <c r="E6858" s="7">
        <f t="shared" si="127"/>
        <v>1400000</v>
      </c>
      <c r="F6858" s="5">
        <v>45961</v>
      </c>
      <c r="G6858" s="4">
        <v>20251030</v>
      </c>
      <c r="H6858" s="38" t="str">
        <f>VLOOKUP(B6858,CAJEROS!B:D,3,0)</f>
        <v>Multifuncional</v>
      </c>
      <c r="I6858" s="34" t="s">
        <v>9</v>
      </c>
      <c r="J6858" s="38" t="str">
        <f>VLOOKUP(B6858,CAJEROS!B:E,4,0)</f>
        <v>MF_NEIVANVA</v>
      </c>
      <c r="K6858" t="s">
        <v>610</v>
      </c>
    </row>
    <row r="6859" spans="1:11">
      <c r="A6859" s="32">
        <v>4</v>
      </c>
      <c r="B6859" s="33">
        <v>8631</v>
      </c>
      <c r="C6859" s="3">
        <v>1360000</v>
      </c>
      <c r="D6859" s="3"/>
      <c r="E6859" s="7">
        <f t="shared" ref="E6859:E6922" si="128">+C6859-D6859</f>
        <v>1360000</v>
      </c>
      <c r="F6859" s="5">
        <v>45961</v>
      </c>
      <c r="G6859" s="4">
        <v>20251030</v>
      </c>
      <c r="H6859" s="38" t="str">
        <f>VLOOKUP(B6859,CAJEROS!B:D,3,0)</f>
        <v>Multifuncional</v>
      </c>
      <c r="I6859" s="34" t="s">
        <v>9</v>
      </c>
      <c r="J6859" s="38" t="str">
        <f>VLOOKUP(B6859,CAJEROS!B:E,4,0)</f>
        <v>MF_SUCLAUR2</v>
      </c>
      <c r="K6859" t="s">
        <v>610</v>
      </c>
    </row>
    <row r="6860" spans="1:11">
      <c r="A6860" s="32">
        <v>517</v>
      </c>
      <c r="B6860" s="33">
        <v>5053</v>
      </c>
      <c r="C6860" s="3">
        <v>1330000</v>
      </c>
      <c r="D6860" s="3"/>
      <c r="E6860" s="7">
        <f t="shared" si="128"/>
        <v>1330000</v>
      </c>
      <c r="F6860" s="5">
        <v>45961</v>
      </c>
      <c r="G6860" s="4">
        <v>20251030</v>
      </c>
      <c r="H6860" s="38" t="str">
        <f>VLOOKUP(B6860,CAJEROS!B:D,3,0)</f>
        <v>Multifuncional</v>
      </c>
      <c r="I6860" s="34" t="s">
        <v>9</v>
      </c>
      <c r="J6860" s="38" t="str">
        <f>VLOOKUP(B6860,CAJEROS!B:E,4,0)</f>
        <v>MF_RODADERO</v>
      </c>
      <c r="K6860" t="s">
        <v>610</v>
      </c>
    </row>
    <row r="6861" spans="1:11">
      <c r="A6861" s="32">
        <v>944</v>
      </c>
      <c r="B6861" s="33">
        <v>8353</v>
      </c>
      <c r="C6861" s="3">
        <v>1295000</v>
      </c>
      <c r="D6861" s="3"/>
      <c r="E6861" s="7">
        <f t="shared" si="128"/>
        <v>1295000</v>
      </c>
      <c r="F6861" s="5">
        <v>45961</v>
      </c>
      <c r="G6861" s="4">
        <v>20251030</v>
      </c>
      <c r="H6861" s="38" t="str">
        <f>VLOOKUP(B6861,CAJEROS!B:D,3,0)</f>
        <v>Multifuncional</v>
      </c>
      <c r="I6861" s="34" t="s">
        <v>9</v>
      </c>
      <c r="J6861" s="38" t="str">
        <f>VLOOKUP(B6861,CAJEROS!B:E,4,0)</f>
        <v>MF_SANTABO1</v>
      </c>
      <c r="K6861" t="s">
        <v>610</v>
      </c>
    </row>
    <row r="6862" spans="1:11">
      <c r="A6862" s="32">
        <v>486</v>
      </c>
      <c r="B6862" s="33">
        <v>5081</v>
      </c>
      <c r="C6862" s="3">
        <v>1250000</v>
      </c>
      <c r="D6862" s="3"/>
      <c r="E6862" s="7">
        <f t="shared" si="128"/>
        <v>1250000</v>
      </c>
      <c r="F6862" s="5">
        <v>45961</v>
      </c>
      <c r="G6862" s="4">
        <v>20251030</v>
      </c>
      <c r="H6862" s="38" t="str">
        <f>VLOOKUP(B6862,CAJEROS!B:D,3,0)</f>
        <v>Multifuncional</v>
      </c>
      <c r="I6862" s="34" t="s">
        <v>9</v>
      </c>
      <c r="J6862" s="38" t="str">
        <f>VLOOKUP(B6862,CAJEROS!B:E,4,0)</f>
        <v>MF_SANNIBA1</v>
      </c>
      <c r="K6862" t="s">
        <v>610</v>
      </c>
    </row>
    <row r="6863" spans="1:11">
      <c r="A6863" s="32">
        <v>453</v>
      </c>
      <c r="B6863" s="33">
        <v>8018</v>
      </c>
      <c r="C6863" s="3">
        <v>1088000</v>
      </c>
      <c r="D6863" s="3"/>
      <c r="E6863" s="7">
        <f t="shared" si="128"/>
        <v>1088000</v>
      </c>
      <c r="F6863" s="5">
        <v>45961</v>
      </c>
      <c r="G6863" s="4">
        <v>20251030</v>
      </c>
      <c r="H6863" s="38" t="str">
        <f>VLOOKUP(B6863,CAJEROS!B:D,3,0)</f>
        <v>Multifuncional</v>
      </c>
      <c r="I6863" s="34" t="s">
        <v>9</v>
      </c>
      <c r="J6863" s="38" t="str">
        <f>VLOOKUP(B6863,CAJEROS!B:E,4,0)</f>
        <v>MFSUCPITAL1</v>
      </c>
      <c r="K6863" t="s">
        <v>610</v>
      </c>
    </row>
    <row r="6864" spans="1:11">
      <c r="A6864" s="32">
        <v>915</v>
      </c>
      <c r="B6864" s="33">
        <v>8313</v>
      </c>
      <c r="C6864" s="3">
        <v>1000000</v>
      </c>
      <c r="D6864" s="3">
        <v>984650</v>
      </c>
      <c r="E6864" s="7">
        <f t="shared" si="128"/>
        <v>15350</v>
      </c>
      <c r="F6864" s="5">
        <v>45961</v>
      </c>
      <c r="G6864" s="4">
        <v>20251030</v>
      </c>
      <c r="H6864" s="38" t="str">
        <f>VLOOKUP(B6864,CAJEROS!B:D,3,0)</f>
        <v>Multifuncional</v>
      </c>
      <c r="I6864" s="34" t="s">
        <v>9</v>
      </c>
      <c r="J6864" s="38" t="str">
        <f>VLOOKUP(B6864,CAJEROS!B:E,4,0)</f>
        <v>MF_BANLABB1</v>
      </c>
      <c r="K6864" t="s">
        <v>610</v>
      </c>
    </row>
    <row r="6865" spans="1:11">
      <c r="A6865" s="32">
        <v>267</v>
      </c>
      <c r="B6865" s="33">
        <v>6186</v>
      </c>
      <c r="C6865" s="3">
        <v>960000</v>
      </c>
      <c r="D6865" s="3"/>
      <c r="E6865" s="7">
        <f t="shared" si="128"/>
        <v>960000</v>
      </c>
      <c r="F6865" s="5">
        <v>45961</v>
      </c>
      <c r="G6865" s="4">
        <v>20251030</v>
      </c>
      <c r="H6865" s="38" t="str">
        <f>VLOOKUP(B6865,CAJEROS!B:D,3,0)</f>
        <v>Multifuncional</v>
      </c>
      <c r="I6865" s="34" t="s">
        <v>9</v>
      </c>
      <c r="J6865" s="38" t="str">
        <f>VLOOKUP(B6865,CAJEROS!B:E,4,0)</f>
        <v>MF_VISITACI</v>
      </c>
      <c r="K6865" t="s">
        <v>610</v>
      </c>
    </row>
    <row r="6866" spans="1:11">
      <c r="A6866" s="32">
        <v>499</v>
      </c>
      <c r="B6866" s="33">
        <v>9810</v>
      </c>
      <c r="C6866" s="3">
        <v>720000</v>
      </c>
      <c r="D6866" s="3"/>
      <c r="E6866" s="7">
        <f t="shared" si="128"/>
        <v>720000</v>
      </c>
      <c r="F6866" s="5">
        <v>45961</v>
      </c>
      <c r="G6866" s="4">
        <v>20251030</v>
      </c>
      <c r="H6866" s="38" t="str">
        <f>VLOOKUP(B6866,CAJEROS!B:D,3,0)</f>
        <v>Multifuncional</v>
      </c>
      <c r="I6866" s="34" t="s">
        <v>9</v>
      </c>
      <c r="J6866" s="38" t="str">
        <f>VLOOKUP(B6866,CAJEROS!B:E,4,0)</f>
        <v>MF_SUCPARF1</v>
      </c>
      <c r="K6866" t="s">
        <v>610</v>
      </c>
    </row>
    <row r="6867" spans="1:11">
      <c r="A6867" s="32">
        <v>237</v>
      </c>
      <c r="B6867" s="33">
        <v>6467</v>
      </c>
      <c r="C6867" s="3">
        <v>690000</v>
      </c>
      <c r="D6867" s="3">
        <v>600000</v>
      </c>
      <c r="E6867" s="7">
        <f t="shared" si="128"/>
        <v>90000</v>
      </c>
      <c r="F6867" s="5">
        <v>45961</v>
      </c>
      <c r="G6867" s="4">
        <v>20251030</v>
      </c>
      <c r="H6867" s="38" t="str">
        <f>VLOOKUP(B6867,CAJEROS!B:D,3,0)</f>
        <v>Multifuncional</v>
      </c>
      <c r="I6867" s="34" t="s">
        <v>9</v>
      </c>
      <c r="J6867" s="38" t="str">
        <f>VLOOKUP(B6867,CAJEROS!B:E,4,0)</f>
        <v>MF_DORADOPL</v>
      </c>
      <c r="K6867" t="s">
        <v>610</v>
      </c>
    </row>
    <row r="6868" spans="1:11">
      <c r="A6868" s="32">
        <v>777</v>
      </c>
      <c r="B6868" s="33">
        <v>4868</v>
      </c>
      <c r="C6868" s="3">
        <v>675200</v>
      </c>
      <c r="D6868" s="3"/>
      <c r="E6868" s="7">
        <f t="shared" si="128"/>
        <v>675200</v>
      </c>
      <c r="F6868" s="5">
        <v>45961</v>
      </c>
      <c r="G6868" s="4">
        <v>20251030</v>
      </c>
      <c r="H6868" s="38" t="str">
        <f>VLOOKUP(B6868,CAJEROS!B:D,3,0)</f>
        <v>Multifuncional</v>
      </c>
      <c r="I6868" s="34" t="s">
        <v>9</v>
      </c>
      <c r="J6868" s="38" t="str">
        <f>VLOOKUP(B6868,CAJEROS!B:E,4,0)</f>
        <v>MFPWASHING2</v>
      </c>
      <c r="K6868" t="s">
        <v>610</v>
      </c>
    </row>
    <row r="6869" spans="1:11">
      <c r="A6869" s="32">
        <v>601</v>
      </c>
      <c r="B6869" s="33">
        <v>6407</v>
      </c>
      <c r="C6869" s="3">
        <v>640950</v>
      </c>
      <c r="D6869" s="3"/>
      <c r="E6869" s="7">
        <f t="shared" si="128"/>
        <v>640950</v>
      </c>
      <c r="F6869" s="5">
        <v>45961</v>
      </c>
      <c r="G6869" s="4">
        <v>20251030</v>
      </c>
      <c r="H6869" s="38" t="str">
        <f>VLOOKUP(B6869,CAJEROS!B:D,3,0)</f>
        <v>Multifuncional</v>
      </c>
      <c r="I6869" s="34" t="s">
        <v>9</v>
      </c>
      <c r="J6869" s="38" t="str">
        <f>VLOOKUP(B6869,CAJEROS!B:E,4,0)</f>
        <v>MF_COLINACA</v>
      </c>
      <c r="K6869" t="s">
        <v>610</v>
      </c>
    </row>
    <row r="6870" spans="1:11">
      <c r="A6870" s="32">
        <v>829</v>
      </c>
      <c r="B6870" s="33">
        <v>5137</v>
      </c>
      <c r="C6870" s="3">
        <v>592000</v>
      </c>
      <c r="D6870" s="3"/>
      <c r="E6870" s="7">
        <f t="shared" si="128"/>
        <v>592000</v>
      </c>
      <c r="F6870" s="5">
        <v>45961</v>
      </c>
      <c r="G6870" s="4">
        <v>20251030</v>
      </c>
      <c r="H6870" s="38" t="str">
        <f>VLOOKUP(B6870,CAJEROS!B:D,3,0)</f>
        <v>Multifuncional</v>
      </c>
      <c r="I6870" s="34" t="s">
        <v>9</v>
      </c>
      <c r="J6870" s="38" t="str">
        <f>VLOOKUP(B6870,CAJEROS!B:E,4,0)</f>
        <v>MF_UNICALI1</v>
      </c>
      <c r="K6870" t="s">
        <v>610</v>
      </c>
    </row>
    <row r="6871" spans="1:11">
      <c r="A6871" s="32">
        <v>849</v>
      </c>
      <c r="B6871" s="33">
        <v>9724</v>
      </c>
      <c r="C6871" s="3">
        <v>570000</v>
      </c>
      <c r="D6871" s="3"/>
      <c r="E6871" s="7">
        <f t="shared" si="128"/>
        <v>570000</v>
      </c>
      <c r="F6871" s="5">
        <v>45961</v>
      </c>
      <c r="G6871" s="4">
        <v>20251030</v>
      </c>
      <c r="H6871" s="38" t="str">
        <f>VLOOKUP(B6871,CAJEROS!B:D,3,0)</f>
        <v>Multifuncional</v>
      </c>
      <c r="I6871" s="34" t="s">
        <v>9</v>
      </c>
      <c r="J6871" s="38" t="str">
        <f>VLOOKUP(B6871,CAJEROS!B:E,4,0)</f>
        <v>MF_SUNIVIL1</v>
      </c>
      <c r="K6871" t="s">
        <v>610</v>
      </c>
    </row>
    <row r="6872" spans="1:11">
      <c r="A6872" s="32">
        <v>453</v>
      </c>
      <c r="B6872" s="33">
        <v>8019</v>
      </c>
      <c r="C6872" s="3">
        <v>524650</v>
      </c>
      <c r="D6872" s="3"/>
      <c r="E6872" s="7">
        <f t="shared" si="128"/>
        <v>524650</v>
      </c>
      <c r="F6872" s="5">
        <v>45961</v>
      </c>
      <c r="G6872" s="4">
        <v>20251030</v>
      </c>
      <c r="H6872" s="38" t="str">
        <f>VLOOKUP(B6872,CAJEROS!B:D,3,0)</f>
        <v>Multifuncional</v>
      </c>
      <c r="I6872" s="34" t="s">
        <v>9</v>
      </c>
      <c r="J6872" s="38" t="str">
        <f>VLOOKUP(B6872,CAJEROS!B:E,4,0)</f>
        <v>MFSUCPITAL2</v>
      </c>
      <c r="K6872" t="s">
        <v>610</v>
      </c>
    </row>
    <row r="6873" spans="1:11">
      <c r="A6873" s="32">
        <v>795</v>
      </c>
      <c r="B6873" s="33">
        <v>1028</v>
      </c>
      <c r="C6873" s="3">
        <v>430000</v>
      </c>
      <c r="D6873" s="3"/>
      <c r="E6873" s="7">
        <f t="shared" si="128"/>
        <v>430000</v>
      </c>
      <c r="F6873" s="5">
        <v>45961</v>
      </c>
      <c r="G6873" s="4">
        <v>20251030</v>
      </c>
      <c r="H6873" s="38" t="str">
        <f>VLOOKUP(B6873,CAJEROS!B:D,3,0)</f>
        <v>Multifuncional</v>
      </c>
      <c r="I6873" s="34" t="s">
        <v>9</v>
      </c>
      <c r="J6873" s="38" t="str">
        <f>VLOOKUP(B6873,CAJEROS!B:E,4,0)</f>
        <v>MFSUCANVER2</v>
      </c>
      <c r="K6873" t="s">
        <v>610</v>
      </c>
    </row>
    <row r="6874" spans="1:11">
      <c r="A6874" s="32">
        <v>74</v>
      </c>
      <c r="B6874" s="33">
        <v>6215</v>
      </c>
      <c r="C6874" s="3">
        <v>363600</v>
      </c>
      <c r="D6874" s="3">
        <v>361400</v>
      </c>
      <c r="E6874" s="7">
        <f t="shared" si="128"/>
        <v>2200</v>
      </c>
      <c r="F6874" s="5">
        <v>45961</v>
      </c>
      <c r="G6874" s="4">
        <v>20251030</v>
      </c>
      <c r="H6874" s="38" t="str">
        <f>VLOOKUP(B6874,CAJEROS!B:D,3,0)</f>
        <v>Multifuncional</v>
      </c>
      <c r="I6874" s="34" t="s">
        <v>9</v>
      </c>
      <c r="J6874" s="38" t="str">
        <f>VLOOKUP(B6874,CAJEROS!B:E,4,0)</f>
        <v>MF_PASTO</v>
      </c>
      <c r="K6874" t="s">
        <v>610</v>
      </c>
    </row>
    <row r="6875" spans="1:11">
      <c r="A6875" s="32">
        <v>551</v>
      </c>
      <c r="B6875" s="33">
        <v>9643</v>
      </c>
      <c r="C6875" s="3">
        <v>335000</v>
      </c>
      <c r="D6875" s="3"/>
      <c r="E6875" s="7">
        <f t="shared" si="128"/>
        <v>335000</v>
      </c>
      <c r="F6875" s="5">
        <v>45961</v>
      </c>
      <c r="G6875" s="4">
        <v>20251030</v>
      </c>
      <c r="H6875" s="38" t="str">
        <f>VLOOKUP(B6875,CAJEROS!B:D,3,0)</f>
        <v>Multifuncional</v>
      </c>
      <c r="I6875" s="34" t="s">
        <v>9</v>
      </c>
      <c r="J6875" s="38" t="str">
        <f>VLOOKUP(B6875,CAJEROS!B:E,4,0)</f>
        <v>MFSUCUNIME1</v>
      </c>
      <c r="K6875" t="s">
        <v>610</v>
      </c>
    </row>
    <row r="6876" spans="1:11">
      <c r="A6876" s="32">
        <v>53</v>
      </c>
      <c r="B6876" s="33">
        <v>5141</v>
      </c>
      <c r="C6876" s="3">
        <v>290000</v>
      </c>
      <c r="D6876" s="3"/>
      <c r="E6876" s="7">
        <f t="shared" si="128"/>
        <v>290000</v>
      </c>
      <c r="F6876" s="5">
        <v>45961</v>
      </c>
      <c r="G6876" s="4">
        <v>20251030</v>
      </c>
      <c r="H6876" s="38" t="str">
        <f>VLOOKUP(B6876,CAJEROS!B:D,3,0)</f>
        <v>Multifuncional</v>
      </c>
      <c r="I6876" s="34" t="s">
        <v>9</v>
      </c>
      <c r="J6876" s="38" t="str">
        <f>VLOOKUP(B6876,CAJEROS!B:E,4,0)</f>
        <v>MF_CARRDECI</v>
      </c>
      <c r="K6876" t="s">
        <v>610</v>
      </c>
    </row>
    <row r="6877" spans="1:11">
      <c r="A6877" s="32">
        <v>79</v>
      </c>
      <c r="B6877" s="33">
        <v>6245</v>
      </c>
      <c r="C6877" s="3">
        <v>150000</v>
      </c>
      <c r="D6877" s="3">
        <v>130000</v>
      </c>
      <c r="E6877" s="7">
        <f t="shared" si="128"/>
        <v>20000</v>
      </c>
      <c r="F6877" s="5">
        <v>45961</v>
      </c>
      <c r="G6877" s="4">
        <v>20251030</v>
      </c>
      <c r="H6877" s="38" t="str">
        <f>VLOOKUP(B6877,CAJEROS!B:D,3,0)</f>
        <v>Multifuncional</v>
      </c>
      <c r="I6877" s="34" t="s">
        <v>9</v>
      </c>
      <c r="J6877" s="38" t="str">
        <f>VLOOKUP(B6877,CAJEROS!B:E,4,0)</f>
        <v>MF_LAQUINTA</v>
      </c>
      <c r="K6877" t="s">
        <v>610</v>
      </c>
    </row>
    <row r="6878" spans="1:11">
      <c r="A6878" s="32">
        <v>849</v>
      </c>
      <c r="B6878" s="33">
        <v>9725</v>
      </c>
      <c r="C6878" s="3">
        <v>110000</v>
      </c>
      <c r="D6878" s="3"/>
      <c r="E6878" s="7">
        <f t="shared" si="128"/>
        <v>110000</v>
      </c>
      <c r="F6878" s="5">
        <v>45961</v>
      </c>
      <c r="G6878" s="4">
        <v>20251030</v>
      </c>
      <c r="H6878" s="38" t="str">
        <f>VLOOKUP(B6878,CAJEROS!B:D,3,0)</f>
        <v>Multifuncional</v>
      </c>
      <c r="I6878" s="34" t="s">
        <v>9</v>
      </c>
      <c r="J6878" s="38" t="str">
        <f>VLOOKUP(B6878,CAJEROS!B:E,4,0)</f>
        <v>MF_SUNIVIL2</v>
      </c>
      <c r="K6878" t="s">
        <v>610</v>
      </c>
    </row>
    <row r="6879" spans="1:11">
      <c r="A6879" s="32">
        <v>467</v>
      </c>
      <c r="B6879" s="33">
        <v>9051</v>
      </c>
      <c r="C6879" s="3">
        <v>70000</v>
      </c>
      <c r="D6879" s="3"/>
      <c r="E6879" s="7">
        <f t="shared" si="128"/>
        <v>70000</v>
      </c>
      <c r="F6879" s="5">
        <v>45961</v>
      </c>
      <c r="G6879" s="4">
        <v>20251030</v>
      </c>
      <c r="H6879" s="38" t="str">
        <f>VLOOKUP(B6879,CAJEROS!B:D,3,0)</f>
        <v>Multifuncional</v>
      </c>
      <c r="I6879" s="34" t="s">
        <v>9</v>
      </c>
      <c r="J6879" s="38" t="str">
        <f>VLOOKUP(B6879,CAJEROS!B:E,4,0)</f>
        <v>MFHDVERPLZ1</v>
      </c>
      <c r="K6879" t="s">
        <v>610</v>
      </c>
    </row>
    <row r="6880" spans="1:11">
      <c r="A6880" s="32">
        <v>516</v>
      </c>
      <c r="B6880" s="33">
        <v>9729</v>
      </c>
      <c r="C6880" s="3">
        <v>50050</v>
      </c>
      <c r="D6880" s="3"/>
      <c r="E6880" s="7">
        <f t="shared" si="128"/>
        <v>50050</v>
      </c>
      <c r="F6880" s="5">
        <v>45961</v>
      </c>
      <c r="G6880" s="4">
        <v>20251030</v>
      </c>
      <c r="H6880" s="38" t="str">
        <f>VLOOKUP(B6880,CAJEROS!B:D,3,0)</f>
        <v>Multifuncional</v>
      </c>
      <c r="I6880" s="34" t="s">
        <v>9</v>
      </c>
      <c r="J6880" s="38" t="str">
        <f>VLOOKUP(B6880,CAJEROS!B:E,4,0)</f>
        <v>MF_SUCSTAM1</v>
      </c>
      <c r="K6880" t="s">
        <v>610</v>
      </c>
    </row>
    <row r="6881" spans="1:11">
      <c r="A6881" s="32">
        <v>656</v>
      </c>
      <c r="B6881" s="33">
        <v>5103</v>
      </c>
      <c r="C6881" s="3">
        <v>21100</v>
      </c>
      <c r="D6881" s="3"/>
      <c r="E6881" s="7">
        <f t="shared" si="128"/>
        <v>21100</v>
      </c>
      <c r="F6881" s="5">
        <v>45961</v>
      </c>
      <c r="G6881" s="4">
        <v>20251030</v>
      </c>
      <c r="H6881" s="38" t="str">
        <f>VLOOKUP(B6881,CAJEROS!B:D,3,0)</f>
        <v>Multifuncional</v>
      </c>
      <c r="I6881" s="34" t="s">
        <v>9</v>
      </c>
      <c r="J6881" s="38" t="str">
        <f>VLOOKUP(B6881,CAJEROS!B:E,4,0)</f>
        <v>MF_MAYPLAZA</v>
      </c>
      <c r="K6881" t="s">
        <v>610</v>
      </c>
    </row>
    <row r="6882" spans="1:11">
      <c r="A6882" s="32">
        <v>693</v>
      </c>
      <c r="B6882" s="33">
        <v>7979</v>
      </c>
      <c r="C6882" s="3">
        <v>5000</v>
      </c>
      <c r="D6882" s="3"/>
      <c r="E6882" s="7">
        <f t="shared" si="128"/>
        <v>5000</v>
      </c>
      <c r="F6882" s="5">
        <v>45961</v>
      </c>
      <c r="G6882" s="4">
        <v>20251030</v>
      </c>
      <c r="H6882" s="38" t="str">
        <f>VLOOKUP(B6882,CAJEROS!B:D,3,0)</f>
        <v>Multifuncional</v>
      </c>
      <c r="I6882" s="34" t="s">
        <v>10</v>
      </c>
      <c r="J6882" s="38" t="str">
        <f>VLOOKUP(B6882,CAJEROS!B:E,4,0)</f>
        <v>MF_CCSNTAF3</v>
      </c>
      <c r="K6882" t="s">
        <v>610</v>
      </c>
    </row>
    <row r="6883" spans="1:11">
      <c r="A6883" s="32">
        <v>524</v>
      </c>
      <c r="B6883" s="33">
        <v>6336</v>
      </c>
      <c r="C6883" s="3">
        <v>8000</v>
      </c>
      <c r="D6883" s="3"/>
      <c r="E6883" s="7">
        <f t="shared" si="128"/>
        <v>8000</v>
      </c>
      <c r="F6883" s="5">
        <v>45961</v>
      </c>
      <c r="G6883" s="4">
        <v>20251030</v>
      </c>
      <c r="H6883" s="38" t="str">
        <f>VLOOKUP(B6883,CAJEROS!B:D,3,0)</f>
        <v>Multifuncional</v>
      </c>
      <c r="I6883" s="34" t="s">
        <v>10</v>
      </c>
      <c r="J6883" s="38" t="str">
        <f>VLOOKUP(B6883,CAJEROS!B:E,4,0)</f>
        <v>MF_VALLEDUP</v>
      </c>
      <c r="K6883" t="s">
        <v>610</v>
      </c>
    </row>
    <row r="6884" spans="1:11">
      <c r="A6884" s="32">
        <v>76</v>
      </c>
      <c r="B6884" s="33">
        <v>5126</v>
      </c>
      <c r="C6884" s="3">
        <v>10000</v>
      </c>
      <c r="D6884" s="3"/>
      <c r="E6884" s="7">
        <f t="shared" si="128"/>
        <v>10000</v>
      </c>
      <c r="F6884" s="5">
        <v>45961</v>
      </c>
      <c r="G6884" s="4">
        <v>20251030</v>
      </c>
      <c r="H6884" s="38" t="str">
        <f>VLOOKUP(B6884,CAJEROS!B:D,3,0)</f>
        <v>Multifuncional</v>
      </c>
      <c r="I6884" s="34" t="s">
        <v>10</v>
      </c>
      <c r="J6884" s="38" t="str">
        <f>VLOOKUP(B6884,CAJEROS!B:E,4,0)</f>
        <v>MF_NEIVA</v>
      </c>
      <c r="K6884" t="s">
        <v>610</v>
      </c>
    </row>
    <row r="6885" spans="1:11">
      <c r="A6885" s="32">
        <v>1</v>
      </c>
      <c r="B6885" s="33">
        <v>5000</v>
      </c>
      <c r="C6885" s="3">
        <v>20000</v>
      </c>
      <c r="D6885" s="3"/>
      <c r="E6885" s="7">
        <f t="shared" si="128"/>
        <v>20000</v>
      </c>
      <c r="F6885" s="5">
        <v>45961</v>
      </c>
      <c r="G6885" s="4">
        <v>20251030</v>
      </c>
      <c r="H6885" s="38" t="str">
        <f>VLOOKUP(B6885,CAJEROS!B:D,3,0)</f>
        <v>Multifuncional</v>
      </c>
      <c r="I6885" s="34" t="s">
        <v>10</v>
      </c>
      <c r="J6885" s="38" t="str">
        <f>VLOOKUP(B6885,CAJEROS!B:E,4,0)</f>
        <v>MF_CARABOBO</v>
      </c>
      <c r="K6885" t="s">
        <v>610</v>
      </c>
    </row>
    <row r="6886" spans="1:11">
      <c r="A6886" s="32">
        <v>225</v>
      </c>
      <c r="B6886" s="33">
        <v>8867</v>
      </c>
      <c r="C6886" s="3">
        <v>20000</v>
      </c>
      <c r="D6886" s="3"/>
      <c r="E6886" s="7">
        <f t="shared" si="128"/>
        <v>20000</v>
      </c>
      <c r="F6886" s="5">
        <v>45961</v>
      </c>
      <c r="G6886" s="4">
        <v>20251030</v>
      </c>
      <c r="H6886" s="38" t="str">
        <f>VLOOKUP(B6886,CAJEROS!B:D,3,0)</f>
        <v>Dispensador</v>
      </c>
      <c r="I6886" s="34" t="s">
        <v>10</v>
      </c>
      <c r="J6886" s="38" t="str">
        <f>VLOOKUP(B6886,CAJEROS!B:E,4,0)</f>
        <v>SMALPLANQS5</v>
      </c>
      <c r="K6886" t="s">
        <v>610</v>
      </c>
    </row>
    <row r="6887" spans="1:11">
      <c r="A6887" s="32">
        <v>664</v>
      </c>
      <c r="B6887" s="33">
        <v>8858</v>
      </c>
      <c r="C6887" s="3">
        <v>10000</v>
      </c>
      <c r="D6887" s="3"/>
      <c r="E6887" s="7">
        <f t="shared" si="128"/>
        <v>10000</v>
      </c>
      <c r="F6887" s="5">
        <v>45961</v>
      </c>
      <c r="G6887" s="4">
        <v>20251030</v>
      </c>
      <c r="H6887" s="38" t="str">
        <f>VLOOKUP(B6887,CAJEROS!B:D,3,0)</f>
        <v>Dispensador</v>
      </c>
      <c r="I6887" s="34" t="s">
        <v>10</v>
      </c>
      <c r="J6887" s="38" t="str">
        <f>VLOOKUP(B6887,CAJEROS!B:E,4,0)</f>
        <v>SUCCPCORAB3</v>
      </c>
      <c r="K6887" t="s">
        <v>610</v>
      </c>
    </row>
    <row r="6888" spans="1:11">
      <c r="A6888" s="32">
        <v>541</v>
      </c>
      <c r="B6888" s="33">
        <v>8657</v>
      </c>
      <c r="C6888" s="3">
        <v>20000</v>
      </c>
      <c r="D6888" s="3"/>
      <c r="E6888" s="7">
        <f t="shared" si="128"/>
        <v>20000</v>
      </c>
      <c r="F6888" s="5">
        <v>45961</v>
      </c>
      <c r="G6888" s="4">
        <v>20251030</v>
      </c>
      <c r="H6888" s="38" t="str">
        <f>VLOOKUP(B6888,CAJEROS!B:D,3,0)</f>
        <v>Dispensador</v>
      </c>
      <c r="I6888" s="34" t="s">
        <v>10</v>
      </c>
      <c r="J6888" s="38" t="str">
        <f>VLOOKUP(B6888,CAJEROS!B:E,4,0)</f>
        <v>SUCCALDASP8</v>
      </c>
      <c r="K6888" t="s">
        <v>610</v>
      </c>
    </row>
    <row r="6889" spans="1:11">
      <c r="A6889" s="32">
        <v>677</v>
      </c>
      <c r="B6889" s="33">
        <v>6896</v>
      </c>
      <c r="C6889" s="3">
        <v>20000</v>
      </c>
      <c r="D6889" s="3"/>
      <c r="E6889" s="7">
        <f t="shared" si="128"/>
        <v>20000</v>
      </c>
      <c r="F6889" s="5">
        <v>45961</v>
      </c>
      <c r="G6889" s="4">
        <v>20251030</v>
      </c>
      <c r="H6889" s="38" t="str">
        <f>VLOOKUP(B6889,CAJEROS!B:D,3,0)</f>
        <v>Dispensador</v>
      </c>
      <c r="I6889" s="34" t="s">
        <v>10</v>
      </c>
      <c r="J6889" s="38" t="str">
        <f>VLOOKUP(B6889,CAJEROS!B:E,4,0)</f>
        <v>SUCPLZMERC2</v>
      </c>
      <c r="K6889" t="s">
        <v>610</v>
      </c>
    </row>
    <row r="6890" spans="1:11">
      <c r="A6890" s="32">
        <v>332</v>
      </c>
      <c r="B6890" s="33">
        <v>2559</v>
      </c>
      <c r="C6890" s="3">
        <v>20000</v>
      </c>
      <c r="D6890" s="3"/>
      <c r="E6890" s="7">
        <f t="shared" si="128"/>
        <v>20000</v>
      </c>
      <c r="F6890" s="5">
        <v>45961</v>
      </c>
      <c r="G6890" s="4">
        <v>20251030</v>
      </c>
      <c r="H6890" s="38" t="str">
        <f>VLOOKUP(B6890,CAJEROS!B:D,3,0)</f>
        <v>Dispensador</v>
      </c>
      <c r="I6890" s="34" t="s">
        <v>10</v>
      </c>
      <c r="J6890" s="38" t="str">
        <f>VLOOKUP(B6890,CAJEROS!B:E,4,0)</f>
        <v>ZIPAQUIRA_4</v>
      </c>
      <c r="K6890" t="s">
        <v>610</v>
      </c>
    </row>
    <row r="6891" spans="1:11">
      <c r="A6891" s="32">
        <v>454</v>
      </c>
      <c r="B6891" s="33">
        <v>1884</v>
      </c>
      <c r="C6891" s="3">
        <v>20000</v>
      </c>
      <c r="D6891" s="3"/>
      <c r="E6891" s="7">
        <f t="shared" si="128"/>
        <v>20000</v>
      </c>
      <c r="F6891" s="5">
        <v>45961</v>
      </c>
      <c r="G6891" s="4">
        <v>20251030</v>
      </c>
      <c r="H6891" s="38" t="str">
        <f>VLOOKUP(B6891,CAJEROS!B:D,3,0)</f>
        <v>Dispensador</v>
      </c>
      <c r="I6891" s="34" t="s">
        <v>10</v>
      </c>
      <c r="J6891" s="38" t="str">
        <f>VLOOKUP(B6891,CAJEROS!B:E,4,0)</f>
        <v>5TAVENIDA1</v>
      </c>
      <c r="K6891" t="s">
        <v>610</v>
      </c>
    </row>
    <row r="6892" spans="1:11">
      <c r="A6892" s="32">
        <v>829</v>
      </c>
      <c r="B6892" s="33">
        <v>1157</v>
      </c>
      <c r="C6892" s="3">
        <v>20000</v>
      </c>
      <c r="D6892" s="3"/>
      <c r="E6892" s="7">
        <f t="shared" si="128"/>
        <v>20000</v>
      </c>
      <c r="F6892" s="5">
        <v>45961</v>
      </c>
      <c r="G6892" s="4">
        <v>20251030</v>
      </c>
      <c r="H6892" s="38" t="str">
        <f>VLOOKUP(B6892,CAJEROS!B:D,3,0)</f>
        <v>Dispensador</v>
      </c>
      <c r="I6892" s="34" t="s">
        <v>10</v>
      </c>
      <c r="J6892" s="38" t="str">
        <f>VLOOKUP(B6892,CAJEROS!B:E,4,0)</f>
        <v>SUCUNICCAL3</v>
      </c>
      <c r="K6892" t="s">
        <v>610</v>
      </c>
    </row>
    <row r="6893" spans="1:11">
      <c r="A6893" s="32">
        <v>795</v>
      </c>
      <c r="B6893" s="33">
        <v>1023</v>
      </c>
      <c r="C6893" s="3">
        <v>10000</v>
      </c>
      <c r="D6893" s="3"/>
      <c r="E6893" s="7">
        <f t="shared" si="128"/>
        <v>10000</v>
      </c>
      <c r="F6893" s="5">
        <v>45961</v>
      </c>
      <c r="G6893" s="4">
        <v>20251030</v>
      </c>
      <c r="H6893" s="38" t="str">
        <f>VLOOKUP(B6893,CAJEROS!B:D,3,0)</f>
        <v>Dispensador</v>
      </c>
      <c r="I6893" s="34" t="s">
        <v>10</v>
      </c>
      <c r="J6893" s="38" t="str">
        <f>VLOOKUP(B6893,CAJEROS!B:E,4,0)</f>
        <v>SUCANAVERA3</v>
      </c>
      <c r="K6893" t="s">
        <v>610</v>
      </c>
    </row>
    <row r="6894" spans="1:11">
      <c r="A6894" s="32">
        <v>725</v>
      </c>
      <c r="B6894" s="33">
        <v>8090</v>
      </c>
      <c r="C6894" s="3">
        <v>6000</v>
      </c>
      <c r="D6894" s="3"/>
      <c r="E6894" s="7">
        <f t="shared" si="128"/>
        <v>6000</v>
      </c>
      <c r="F6894" s="5">
        <v>45961</v>
      </c>
      <c r="G6894" s="4">
        <v>20251030</v>
      </c>
      <c r="H6894" s="38" t="str">
        <f>VLOOKUP(B6894,CAJEROS!B:D,3,0)</f>
        <v>Multifuncional</v>
      </c>
      <c r="I6894" s="34" t="s">
        <v>10</v>
      </c>
      <c r="J6894" s="38" t="str">
        <f>VLOOKUP(B6894,CAJEROS!B:E,4,0)</f>
        <v>MF_DOSQUEB2</v>
      </c>
      <c r="K6894" t="s">
        <v>610</v>
      </c>
    </row>
    <row r="6895" spans="1:11">
      <c r="A6895" s="32">
        <v>331</v>
      </c>
      <c r="B6895" s="33">
        <v>575</v>
      </c>
      <c r="C6895" s="3">
        <v>3050000</v>
      </c>
      <c r="D6895" s="3"/>
      <c r="E6895" s="7">
        <f t="shared" si="128"/>
        <v>3050000</v>
      </c>
      <c r="F6895" s="5">
        <v>45960</v>
      </c>
      <c r="G6895" s="4">
        <v>20251030</v>
      </c>
      <c r="H6895" s="38" t="str">
        <f>VLOOKUP(B6895,CAJEROS!B:D,3,0)</f>
        <v>Multifuncional</v>
      </c>
      <c r="I6895" s="34"/>
      <c r="J6895" s="38" t="str">
        <f>VLOOKUP(B6895,CAJEROS!B:E,4,0)</f>
        <v>MF_SUCARKA2</v>
      </c>
      <c r="K6895" t="s">
        <v>610</v>
      </c>
    </row>
    <row r="6896" spans="1:11">
      <c r="A6896" s="32">
        <v>927</v>
      </c>
      <c r="B6896" s="33">
        <v>5749</v>
      </c>
      <c r="C6896" s="3">
        <v>10000</v>
      </c>
      <c r="D6896" s="3"/>
      <c r="E6896" s="30">
        <f t="shared" si="128"/>
        <v>10000</v>
      </c>
      <c r="F6896" s="5">
        <v>45961</v>
      </c>
      <c r="G6896" s="4">
        <v>20251030</v>
      </c>
      <c r="H6896" s="38" t="str">
        <f>VLOOKUP(B6896,CAJEROS!B:D,3,0)</f>
        <v>Dispensador</v>
      </c>
      <c r="I6896" s="34"/>
      <c r="J6896" s="38" t="str">
        <f>VLOOKUP(B6896,CAJEROS!B:E,4,0)</f>
        <v>SUC_MOCOA1</v>
      </c>
      <c r="K6896" t="s">
        <v>610</v>
      </c>
    </row>
    <row r="6897" spans="1:11">
      <c r="A6897" s="32">
        <v>33</v>
      </c>
      <c r="B6897" s="33">
        <v>8861</v>
      </c>
      <c r="C6897" s="3">
        <v>1561000</v>
      </c>
      <c r="D6897" s="3"/>
      <c r="E6897" s="31">
        <f t="shared" si="128"/>
        <v>1561000</v>
      </c>
      <c r="F6897" s="5">
        <v>45961</v>
      </c>
      <c r="G6897" s="4">
        <v>20251031</v>
      </c>
      <c r="H6897" s="38" t="str">
        <f>VLOOKUP(B6897,CAJEROS!B:D,3,0)</f>
        <v>Multifuncional</v>
      </c>
      <c r="I6897" s="34"/>
      <c r="J6897" s="38" t="str">
        <f>VLOOKUP(B6897,CAJEROS!B:E,4,0)</f>
        <v>MF_SPOLCLU1</v>
      </c>
      <c r="K6897" t="s">
        <v>610</v>
      </c>
    </row>
    <row r="6898" spans="1:11">
      <c r="A6898" s="32">
        <v>64</v>
      </c>
      <c r="B6898" s="33">
        <v>9306</v>
      </c>
      <c r="C6898" s="3">
        <v>2980000</v>
      </c>
      <c r="D6898" s="3"/>
      <c r="E6898" s="31">
        <f t="shared" si="128"/>
        <v>2980000</v>
      </c>
      <c r="F6898" s="5">
        <v>45961</v>
      </c>
      <c r="G6898" s="4">
        <v>20251031</v>
      </c>
      <c r="H6898" s="38" t="str">
        <f>VLOOKUP(B6898,CAJEROS!B:D,3,0)</f>
        <v>Multifuncional</v>
      </c>
      <c r="I6898" s="34"/>
      <c r="J6898" s="38" t="str">
        <f>VLOOKUP(B6898,CAJEROS!B:E,4,0)</f>
        <v>MFSUCVIPA1</v>
      </c>
      <c r="K6898" t="s">
        <v>610</v>
      </c>
    </row>
    <row r="6899" spans="1:11">
      <c r="A6899" s="32">
        <v>74</v>
      </c>
      <c r="B6899" s="33">
        <v>6215</v>
      </c>
      <c r="C6899" s="3">
        <v>303600</v>
      </c>
      <c r="D6899" s="3"/>
      <c r="E6899" s="31">
        <f t="shared" si="128"/>
        <v>303600</v>
      </c>
      <c r="F6899" s="5">
        <v>45961</v>
      </c>
      <c r="G6899" s="4">
        <v>20251031</v>
      </c>
      <c r="H6899" s="38" t="str">
        <f>VLOOKUP(B6899,CAJEROS!B:D,3,0)</f>
        <v>Multifuncional</v>
      </c>
      <c r="I6899" s="34"/>
      <c r="J6899" s="38" t="str">
        <f>VLOOKUP(B6899,CAJEROS!B:E,4,0)</f>
        <v>MF_PASTO</v>
      </c>
      <c r="K6899" t="s">
        <v>610</v>
      </c>
    </row>
    <row r="6900" spans="1:11">
      <c r="A6900" s="32">
        <v>77</v>
      </c>
      <c r="B6900" s="33">
        <v>5204</v>
      </c>
      <c r="C6900" s="3">
        <v>465400</v>
      </c>
      <c r="D6900" s="3"/>
      <c r="E6900" s="31">
        <f t="shared" si="128"/>
        <v>465400</v>
      </c>
      <c r="F6900" s="5">
        <v>45961</v>
      </c>
      <c r="G6900" s="4">
        <v>20251031</v>
      </c>
      <c r="H6900" s="38" t="str">
        <f>VLOOKUP(B6900,CAJEROS!B:D,3,0)</f>
        <v>Multifuncional</v>
      </c>
      <c r="I6900" s="34"/>
      <c r="J6900" s="38" t="str">
        <f>VLOOKUP(B6900,CAJEROS!B:E,4,0)</f>
        <v>MF_TEQENDMA</v>
      </c>
      <c r="K6900" t="s">
        <v>610</v>
      </c>
    </row>
    <row r="6901" spans="1:11">
      <c r="A6901" s="32">
        <v>78</v>
      </c>
      <c r="B6901" s="33">
        <v>6246</v>
      </c>
      <c r="C6901" s="3">
        <v>8050000</v>
      </c>
      <c r="D6901" s="3"/>
      <c r="E6901" s="31">
        <f t="shared" si="128"/>
        <v>8050000</v>
      </c>
      <c r="F6901" s="5">
        <v>45961</v>
      </c>
      <c r="G6901" s="4">
        <v>20251031</v>
      </c>
      <c r="H6901" s="38" t="str">
        <f>VLOOKUP(B6901,CAJEROS!B:D,3,0)</f>
        <v>Multifuncional</v>
      </c>
      <c r="I6901" s="34"/>
      <c r="J6901" s="38" t="str">
        <f>VLOOKUP(B6901,CAJEROS!B:E,4,0)</f>
        <v>MF_CACIQUE</v>
      </c>
      <c r="K6901" t="s">
        <v>610</v>
      </c>
    </row>
    <row r="6902" spans="1:11">
      <c r="A6902" s="32">
        <v>85</v>
      </c>
      <c r="B6902" s="33">
        <v>8974</v>
      </c>
      <c r="C6902" s="3">
        <v>3000</v>
      </c>
      <c r="D6902" s="3"/>
      <c r="E6902" s="31">
        <f t="shared" si="128"/>
        <v>3000</v>
      </c>
      <c r="F6902" s="5">
        <v>45961</v>
      </c>
      <c r="G6902" s="4">
        <v>20251031</v>
      </c>
      <c r="H6902" s="38" t="str">
        <f>VLOOKUP(B6902,CAJEROS!B:D,3,0)</f>
        <v>Multifuncional</v>
      </c>
      <c r="I6902" s="34"/>
      <c r="J6902" s="38" t="str">
        <f>VLOOKUP(B6902,CAJEROS!B:E,4,0)</f>
        <v>MF_SUCSERZU</v>
      </c>
      <c r="K6902" t="s">
        <v>610</v>
      </c>
    </row>
    <row r="6903" spans="1:11">
      <c r="A6903" s="32">
        <v>91</v>
      </c>
      <c r="B6903" s="33">
        <v>5148</v>
      </c>
      <c r="C6903" s="3">
        <v>5841550</v>
      </c>
      <c r="D6903" s="3"/>
      <c r="E6903" s="31">
        <f t="shared" si="128"/>
        <v>5841550</v>
      </c>
      <c r="F6903" s="5">
        <v>45961</v>
      </c>
      <c r="G6903" s="4">
        <v>20251031</v>
      </c>
      <c r="H6903" s="38" t="str">
        <f>VLOOKUP(B6903,CAJEROS!B:D,3,0)</f>
        <v>Multifuncional</v>
      </c>
      <c r="I6903" s="34"/>
      <c r="J6903" s="38" t="str">
        <f>VLOOKUP(B6903,CAJEROS!B:E,4,0)</f>
        <v>MF_MONTERIA</v>
      </c>
      <c r="K6903" t="s">
        <v>610</v>
      </c>
    </row>
    <row r="6904" spans="1:11">
      <c r="A6904" s="32">
        <v>91</v>
      </c>
      <c r="B6904" s="33">
        <v>7943</v>
      </c>
      <c r="C6904" s="3">
        <v>10029000</v>
      </c>
      <c r="D6904" s="3"/>
      <c r="E6904" s="31">
        <f t="shared" si="128"/>
        <v>10029000</v>
      </c>
      <c r="F6904" s="5">
        <v>45961</v>
      </c>
      <c r="G6904" s="4">
        <v>20251031</v>
      </c>
      <c r="H6904" s="38" t="str">
        <f>VLOOKUP(B6904,CAJEROS!B:D,3,0)</f>
        <v>Multifuncional</v>
      </c>
      <c r="I6904" s="34"/>
      <c r="J6904" s="38" t="str">
        <f>VLOOKUP(B6904,CAJEROS!B:E,4,0)</f>
        <v>MF_MONTERI2</v>
      </c>
      <c r="K6904" t="s">
        <v>610</v>
      </c>
    </row>
    <row r="6905" spans="1:11">
      <c r="A6905" s="32">
        <v>229</v>
      </c>
      <c r="B6905" s="33">
        <v>9604</v>
      </c>
      <c r="C6905" s="3">
        <v>4802800</v>
      </c>
      <c r="D6905" s="3">
        <v>2970000</v>
      </c>
      <c r="E6905" s="31">
        <f t="shared" si="128"/>
        <v>1832800</v>
      </c>
      <c r="F6905" s="5">
        <v>45961</v>
      </c>
      <c r="G6905" s="4">
        <v>20251031</v>
      </c>
      <c r="H6905" s="38" t="str">
        <f>VLOOKUP(B6905,CAJEROS!B:D,3,0)</f>
        <v>Multifuncional</v>
      </c>
      <c r="I6905" s="34"/>
      <c r="J6905" s="38" t="str">
        <f>VLOOKUP(B6905,CAJEROS!B:E,4,0)</f>
        <v>MFSUCPASER1</v>
      </c>
      <c r="K6905" t="s">
        <v>610</v>
      </c>
    </row>
    <row r="6906" spans="1:11">
      <c r="A6906" s="32">
        <v>383</v>
      </c>
      <c r="B6906" s="33">
        <v>5194</v>
      </c>
      <c r="C6906" s="3">
        <v>4885000</v>
      </c>
      <c r="D6906" s="3">
        <v>1065000</v>
      </c>
      <c r="E6906" s="31">
        <f t="shared" si="128"/>
        <v>3820000</v>
      </c>
      <c r="F6906" s="5">
        <v>45961</v>
      </c>
      <c r="G6906" s="4">
        <v>20251031</v>
      </c>
      <c r="H6906" s="38" t="str">
        <f>VLOOKUP(B6906,CAJEROS!B:D,3,0)</f>
        <v>Multifuncional</v>
      </c>
      <c r="I6906" s="34"/>
      <c r="J6906" s="38" t="str">
        <f>VLOOKUP(B6906,CAJEROS!B:E,4,0)</f>
        <v>MF_MADRID</v>
      </c>
      <c r="K6906" t="s">
        <v>610</v>
      </c>
    </row>
    <row r="6907" spans="1:11">
      <c r="A6907" s="32">
        <v>392</v>
      </c>
      <c r="B6907" s="33">
        <v>5064</v>
      </c>
      <c r="C6907" s="3">
        <v>1450</v>
      </c>
      <c r="D6907" s="3"/>
      <c r="E6907" s="31">
        <f t="shared" si="128"/>
        <v>1450</v>
      </c>
      <c r="F6907" s="5">
        <v>45961</v>
      </c>
      <c r="G6907" s="4">
        <v>20251031</v>
      </c>
      <c r="H6907" s="38" t="str">
        <f>VLOOKUP(B6907,CAJEROS!B:D,3,0)</f>
        <v>Multifuncional</v>
      </c>
      <c r="I6907" s="34"/>
      <c r="J6907" s="38" t="str">
        <f>VLOOKUP(B6907,CAJEROS!B:E,4,0)</f>
        <v>MF_LADORADA</v>
      </c>
      <c r="K6907" t="s">
        <v>610</v>
      </c>
    </row>
    <row r="6908" spans="1:11">
      <c r="A6908" s="32">
        <v>495</v>
      </c>
      <c r="B6908" s="33">
        <v>8482</v>
      </c>
      <c r="C6908" s="3">
        <v>1200000</v>
      </c>
      <c r="D6908" s="3"/>
      <c r="E6908" s="31">
        <f t="shared" si="128"/>
        <v>1200000</v>
      </c>
      <c r="F6908" s="5">
        <v>45961</v>
      </c>
      <c r="G6908" s="4">
        <v>20251031</v>
      </c>
      <c r="H6908" s="38" t="str">
        <f>VLOOKUP(B6908,CAJEROS!B:D,3,0)</f>
        <v>Multifuncional</v>
      </c>
      <c r="I6908" s="34"/>
      <c r="J6908" s="38" t="str">
        <f>VLOOKUP(B6908,CAJEROS!B:E,4,0)</f>
        <v>MF_SUCBOSQ1</v>
      </c>
      <c r="K6908" t="s">
        <v>610</v>
      </c>
    </row>
    <row r="6909" spans="1:11">
      <c r="A6909" s="32">
        <v>516</v>
      </c>
      <c r="B6909" s="33">
        <v>9729</v>
      </c>
      <c r="C6909" s="3">
        <v>5800000</v>
      </c>
      <c r="D6909" s="3"/>
      <c r="E6909" s="31">
        <f t="shared" si="128"/>
        <v>5800000</v>
      </c>
      <c r="F6909" s="5">
        <v>45961</v>
      </c>
      <c r="G6909" s="4">
        <v>20251031</v>
      </c>
      <c r="H6909" s="38" t="str">
        <f>VLOOKUP(B6909,CAJEROS!B:D,3,0)</f>
        <v>Multifuncional</v>
      </c>
      <c r="I6909" s="34"/>
      <c r="J6909" s="38" t="str">
        <f>VLOOKUP(B6909,CAJEROS!B:E,4,0)</f>
        <v>MF_SUCSTAM1</v>
      </c>
      <c r="K6909" t="s">
        <v>610</v>
      </c>
    </row>
    <row r="6910" spans="1:11">
      <c r="A6910" s="32">
        <v>536</v>
      </c>
      <c r="B6910" s="33">
        <v>8988</v>
      </c>
      <c r="C6910" s="3">
        <v>32537900</v>
      </c>
      <c r="D6910" s="3"/>
      <c r="E6910" s="31">
        <f t="shared" si="128"/>
        <v>32537900</v>
      </c>
      <c r="F6910" s="5">
        <v>45961</v>
      </c>
      <c r="G6910" s="4">
        <v>20251031</v>
      </c>
      <c r="H6910" s="38" t="str">
        <f>VLOOKUP(B6910,CAJEROS!B:D,3,0)</f>
        <v>Multifuncional</v>
      </c>
      <c r="I6910" s="34"/>
      <c r="J6910" s="38" t="str">
        <f>VLOOKUP(B6910,CAJEROS!B:E,4,0)</f>
        <v>MF_QUIBDO2</v>
      </c>
      <c r="K6910" t="s">
        <v>610</v>
      </c>
    </row>
    <row r="6911" spans="1:11">
      <c r="A6911" s="32">
        <v>721</v>
      </c>
      <c r="B6911" s="33">
        <v>8897</v>
      </c>
      <c r="C6911" s="3">
        <v>7106300</v>
      </c>
      <c r="D6911" s="3"/>
      <c r="E6911" s="31">
        <f t="shared" si="128"/>
        <v>7106300</v>
      </c>
      <c r="F6911" s="5">
        <v>45961</v>
      </c>
      <c r="G6911" s="4">
        <v>20251031</v>
      </c>
      <c r="H6911" s="38" t="str">
        <f>VLOOKUP(B6911,CAJEROS!B:D,3,0)</f>
        <v>Multifuncional</v>
      </c>
      <c r="I6911" s="34"/>
      <c r="J6911" s="38" t="str">
        <f>VLOOKUP(B6911,CAJEROS!B:E,4,0)</f>
        <v>MFSUCLAGO2</v>
      </c>
      <c r="K6911" t="s">
        <v>610</v>
      </c>
    </row>
    <row r="6912" spans="1:11">
      <c r="A6912" s="32">
        <v>728</v>
      </c>
      <c r="B6912" s="33">
        <v>8586</v>
      </c>
      <c r="C6912" s="3">
        <v>15936400</v>
      </c>
      <c r="D6912" s="3"/>
      <c r="E6912" s="31">
        <f t="shared" si="128"/>
        <v>15936400</v>
      </c>
      <c r="F6912" s="5">
        <v>45961</v>
      </c>
      <c r="G6912" s="4">
        <v>20251031</v>
      </c>
      <c r="H6912" s="38" t="str">
        <f>VLOOKUP(B6912,CAJEROS!B:D,3,0)</f>
        <v>Multifuncional</v>
      </c>
      <c r="I6912" s="34"/>
      <c r="J6912" s="38" t="str">
        <f>VLOOKUP(B6912,CAJEROS!B:E,4,0)</f>
        <v>MF_SUCCART1</v>
      </c>
      <c r="K6912" t="s">
        <v>610</v>
      </c>
    </row>
    <row r="6913" spans="1:11">
      <c r="A6913" s="32">
        <v>781</v>
      </c>
      <c r="B6913" s="33">
        <v>5057</v>
      </c>
      <c r="C6913" s="3">
        <v>10000</v>
      </c>
      <c r="D6913" s="3"/>
      <c r="E6913" s="31">
        <f t="shared" si="128"/>
        <v>10000</v>
      </c>
      <c r="F6913" s="5">
        <v>45961</v>
      </c>
      <c r="G6913" s="4">
        <v>20251031</v>
      </c>
      <c r="H6913" s="38" t="str">
        <f>VLOOKUP(B6913,CAJEROS!B:D,3,0)</f>
        <v>Multifuncional</v>
      </c>
      <c r="I6913" s="34"/>
      <c r="J6913" s="38" t="str">
        <f>VLOOKUP(B6913,CAJEROS!B:E,4,0)</f>
        <v>MF_PRPLAZA</v>
      </c>
      <c r="K6913" t="s">
        <v>610</v>
      </c>
    </row>
    <row r="6914" spans="1:11">
      <c r="A6914" s="32">
        <v>19</v>
      </c>
      <c r="B6914" s="33">
        <v>1449</v>
      </c>
      <c r="C6914" s="3">
        <v>750000</v>
      </c>
      <c r="D6914" s="3"/>
      <c r="E6914" s="31">
        <f t="shared" si="128"/>
        <v>750000</v>
      </c>
      <c r="F6914" s="5">
        <v>45961</v>
      </c>
      <c r="G6914" s="4">
        <v>20251031</v>
      </c>
      <c r="H6914" s="38" t="str">
        <f>VLOOKUP(B6914,CAJEROS!B:D,3,0)</f>
        <v>Dispensador</v>
      </c>
      <c r="I6914" s="34"/>
      <c r="J6914" s="38" t="str">
        <f>VLOOKUP(B6914,CAJEROS!B:E,4,0)</f>
        <v>ENVIGADO_2</v>
      </c>
      <c r="K6914" t="s">
        <v>610</v>
      </c>
    </row>
    <row r="6915" spans="1:11">
      <c r="A6915" s="32">
        <v>64</v>
      </c>
      <c r="B6915" s="33">
        <v>6605</v>
      </c>
      <c r="C6915" s="3">
        <v>180000</v>
      </c>
      <c r="D6915" s="3"/>
      <c r="E6915" s="31">
        <f t="shared" si="128"/>
        <v>180000</v>
      </c>
      <c r="F6915" s="5">
        <v>45961</v>
      </c>
      <c r="G6915" s="4">
        <v>20251031</v>
      </c>
      <c r="H6915" s="38" t="str">
        <f>VLOOKUP(B6915,CAJEROS!B:D,3,0)</f>
        <v>Dispensador</v>
      </c>
      <c r="I6915" s="34"/>
      <c r="J6915" s="38" t="str">
        <f>VLOOKUP(B6915,CAJEROS!B:E,4,0)</f>
        <v>VIPASA_6_R</v>
      </c>
      <c r="K6915" t="s">
        <v>610</v>
      </c>
    </row>
    <row r="6916" spans="1:11">
      <c r="A6916" s="32">
        <v>85</v>
      </c>
      <c r="B6916" s="33">
        <v>8972</v>
      </c>
      <c r="C6916" s="3">
        <v>1000000</v>
      </c>
      <c r="D6916" s="3"/>
      <c r="E6916" s="31">
        <f t="shared" si="128"/>
        <v>1000000</v>
      </c>
      <c r="F6916" s="5">
        <v>45961</v>
      </c>
      <c r="G6916" s="4">
        <v>20251031</v>
      </c>
      <c r="H6916" s="38" t="str">
        <f>VLOOKUP(B6916,CAJEROS!B:D,3,0)</f>
        <v>Dispensador</v>
      </c>
      <c r="I6916" s="34"/>
      <c r="J6916" s="38" t="str">
        <f>VLOOKUP(B6916,CAJEROS!B:E,4,0)</f>
        <v>SUCSERZUL_3</v>
      </c>
      <c r="K6916" t="s">
        <v>610</v>
      </c>
    </row>
    <row r="6917" spans="1:11">
      <c r="A6917" s="32">
        <v>91</v>
      </c>
      <c r="B6917" s="33">
        <v>4731</v>
      </c>
      <c r="C6917" s="3">
        <v>320000</v>
      </c>
      <c r="D6917" s="3"/>
      <c r="E6917" s="31">
        <f t="shared" si="128"/>
        <v>320000</v>
      </c>
      <c r="F6917" s="5">
        <v>45961</v>
      </c>
      <c r="G6917" s="4">
        <v>20251031</v>
      </c>
      <c r="H6917" s="38" t="str">
        <f>VLOOKUP(B6917,CAJEROS!B:D,3,0)</f>
        <v>Dispensador</v>
      </c>
      <c r="I6917" s="34"/>
      <c r="J6917" s="38" t="str">
        <f>VLOOKUP(B6917,CAJEROS!B:E,4,0)</f>
        <v>MONTERIA_2</v>
      </c>
      <c r="K6917" t="s">
        <v>610</v>
      </c>
    </row>
    <row r="6918" spans="1:11">
      <c r="A6918" s="32">
        <v>91</v>
      </c>
      <c r="B6918" s="33">
        <v>8165</v>
      </c>
      <c r="C6918" s="3">
        <v>50000</v>
      </c>
      <c r="D6918" s="3"/>
      <c r="E6918" s="31">
        <f t="shared" si="128"/>
        <v>50000</v>
      </c>
      <c r="F6918" s="5">
        <v>45961</v>
      </c>
      <c r="G6918" s="4">
        <v>20251031</v>
      </c>
      <c r="H6918" s="38" t="str">
        <f>VLOOKUP(B6918,CAJEROS!B:D,3,0)</f>
        <v>Dispensador</v>
      </c>
      <c r="I6918" s="34"/>
      <c r="J6918" s="38" t="str">
        <f>VLOOKUP(B6918,CAJEROS!B:E,4,0)</f>
        <v>SUC_MONTER7</v>
      </c>
      <c r="K6918" t="s">
        <v>610</v>
      </c>
    </row>
    <row r="6919" spans="1:11">
      <c r="A6919" s="32">
        <v>111</v>
      </c>
      <c r="B6919" s="33">
        <v>3654</v>
      </c>
      <c r="C6919" s="3">
        <v>100000</v>
      </c>
      <c r="D6919" s="3"/>
      <c r="E6919" s="31">
        <f t="shared" si="128"/>
        <v>100000</v>
      </c>
      <c r="F6919" s="5">
        <v>45961</v>
      </c>
      <c r="G6919" s="4">
        <v>20251031</v>
      </c>
      <c r="H6919" s="38" t="str">
        <f>VLOOKUP(B6919,CAJEROS!B:D,3,0)</f>
        <v>Dispensador</v>
      </c>
      <c r="I6919" s="34"/>
      <c r="J6919" s="38" t="str">
        <f>VLOOKUP(B6919,CAJEROS!B:E,4,0)</f>
        <v>SUC_COROZ2</v>
      </c>
      <c r="K6919" t="s">
        <v>610</v>
      </c>
    </row>
    <row r="6920" spans="1:11">
      <c r="A6920" s="32">
        <v>141</v>
      </c>
      <c r="B6920" s="33">
        <v>1415</v>
      </c>
      <c r="C6920" s="3">
        <v>10000</v>
      </c>
      <c r="D6920" s="3"/>
      <c r="E6920" s="31">
        <f t="shared" si="128"/>
        <v>10000</v>
      </c>
      <c r="F6920" s="5">
        <v>45961</v>
      </c>
      <c r="G6920" s="4">
        <v>20251031</v>
      </c>
      <c r="H6920" s="38" t="str">
        <f>VLOOKUP(B6920,CAJEROS!B:D,3,0)</f>
        <v>Dispensador</v>
      </c>
      <c r="I6920" s="34"/>
      <c r="J6920" s="38" t="str">
        <f>VLOOKUP(B6920,CAJEROS!B:E,4,0)</f>
        <v>MERCANT_5</v>
      </c>
      <c r="K6920" t="s">
        <v>610</v>
      </c>
    </row>
    <row r="6921" spans="1:11">
      <c r="A6921" s="32">
        <v>318</v>
      </c>
      <c r="B6921" s="33">
        <v>5349</v>
      </c>
      <c r="C6921" s="3">
        <v>30000</v>
      </c>
      <c r="D6921" s="3">
        <v>20000</v>
      </c>
      <c r="E6921" s="31">
        <f t="shared" si="128"/>
        <v>10000</v>
      </c>
      <c r="F6921" s="5">
        <v>45961</v>
      </c>
      <c r="G6921" s="4">
        <v>20251031</v>
      </c>
      <c r="H6921" s="38" t="str">
        <f>VLOOKUP(B6921,CAJEROS!B:D,3,0)</f>
        <v>Dispensador</v>
      </c>
      <c r="I6921" s="34"/>
      <c r="J6921" s="38" t="str">
        <f>VLOOKUP(B6921,CAJEROS!B:E,4,0)</f>
        <v>SUC_OCANA2</v>
      </c>
      <c r="K6921" t="s">
        <v>610</v>
      </c>
    </row>
    <row r="6922" spans="1:11">
      <c r="A6922" s="32">
        <v>439</v>
      </c>
      <c r="B6922" s="33">
        <v>6309</v>
      </c>
      <c r="C6922" s="3">
        <v>1300000</v>
      </c>
      <c r="D6922" s="3"/>
      <c r="E6922" s="31">
        <f t="shared" si="128"/>
        <v>1300000</v>
      </c>
      <c r="F6922" s="5">
        <v>45961</v>
      </c>
      <c r="G6922" s="4">
        <v>20251031</v>
      </c>
      <c r="H6922" s="38" t="str">
        <f>VLOOKUP(B6922,CAJEROS!B:D,3,0)</f>
        <v>Dispensador</v>
      </c>
      <c r="I6922" s="34"/>
      <c r="J6922" s="38" t="str">
        <f>VLOOKUP(B6922,CAJEROS!B:E,4,0)</f>
        <v>SUC_CAJAMA2</v>
      </c>
      <c r="K6922" t="s">
        <v>610</v>
      </c>
    </row>
    <row r="6923" spans="1:11">
      <c r="A6923" s="32">
        <v>536</v>
      </c>
      <c r="B6923" s="33">
        <v>5362</v>
      </c>
      <c r="C6923" s="3">
        <v>490000</v>
      </c>
      <c r="D6923" s="3"/>
      <c r="E6923" s="31">
        <f t="shared" ref="E6923:E6935" si="129">+C6923-D6923</f>
        <v>490000</v>
      </c>
      <c r="F6923" s="5">
        <v>45961</v>
      </c>
      <c r="G6923" s="4">
        <v>20251031</v>
      </c>
      <c r="H6923" s="38" t="str">
        <f>VLOOKUP(B6923,CAJEROS!B:D,3,0)</f>
        <v>Dispensador</v>
      </c>
      <c r="I6923" s="34"/>
      <c r="J6923" s="38" t="str">
        <f>VLOOKUP(B6923,CAJEROS!B:E,4,0)</f>
        <v>QUIBDO_2</v>
      </c>
      <c r="K6923" t="s">
        <v>610</v>
      </c>
    </row>
    <row r="6924" spans="1:11">
      <c r="A6924" s="32">
        <v>536</v>
      </c>
      <c r="B6924" s="33">
        <v>6914</v>
      </c>
      <c r="C6924" s="3">
        <v>400000</v>
      </c>
      <c r="D6924" s="3"/>
      <c r="E6924" s="31">
        <f t="shared" si="129"/>
        <v>400000</v>
      </c>
      <c r="F6924" s="5">
        <v>45961</v>
      </c>
      <c r="G6924" s="4">
        <v>20251031</v>
      </c>
      <c r="H6924" s="38" t="str">
        <f>VLOOKUP(B6924,CAJEROS!B:D,3,0)</f>
        <v>Dispensador</v>
      </c>
      <c r="I6924" s="34"/>
      <c r="J6924" s="38" t="str">
        <f>VLOOKUP(B6924,CAJEROS!B:E,4,0)</f>
        <v>SUC_QUIBDO6</v>
      </c>
      <c r="K6924" t="s">
        <v>610</v>
      </c>
    </row>
    <row r="6925" spans="1:11">
      <c r="A6925" s="32">
        <v>536</v>
      </c>
      <c r="B6925" s="33">
        <v>6915</v>
      </c>
      <c r="C6925" s="3">
        <v>320000</v>
      </c>
      <c r="D6925" s="3"/>
      <c r="E6925" s="31">
        <f t="shared" si="129"/>
        <v>320000</v>
      </c>
      <c r="F6925" s="5">
        <v>45961</v>
      </c>
      <c r="G6925" s="4">
        <v>20251031</v>
      </c>
      <c r="H6925" s="38" t="str">
        <f>VLOOKUP(B6925,CAJEROS!B:D,3,0)</f>
        <v>Dispensador</v>
      </c>
      <c r="I6925" s="34"/>
      <c r="J6925" s="38" t="str">
        <f>VLOOKUP(B6925,CAJEROS!B:E,4,0)</f>
        <v>SUC_QUIBDO7</v>
      </c>
      <c r="K6925" t="s">
        <v>610</v>
      </c>
    </row>
    <row r="6926" spans="1:11">
      <c r="A6926" s="32">
        <v>601</v>
      </c>
      <c r="B6926" s="33">
        <v>6423</v>
      </c>
      <c r="C6926" s="3">
        <v>50000</v>
      </c>
      <c r="D6926" s="3"/>
      <c r="E6926" s="31">
        <f t="shared" si="129"/>
        <v>50000</v>
      </c>
      <c r="F6926" s="5">
        <v>45961</v>
      </c>
      <c r="G6926" s="4">
        <v>20251031</v>
      </c>
      <c r="H6926" s="38" t="str">
        <f>VLOOKUP(B6926,CAJEROS!B:D,3,0)</f>
        <v>Dispensador</v>
      </c>
      <c r="I6926" s="34"/>
      <c r="J6926" s="38" t="str">
        <f>VLOOKUP(B6926,CAJEROS!B:E,4,0)</f>
        <v>SUC_PQCOL3</v>
      </c>
      <c r="K6926" t="s">
        <v>610</v>
      </c>
    </row>
    <row r="6927" spans="1:11">
      <c r="A6927" s="32">
        <v>631</v>
      </c>
      <c r="B6927" s="33">
        <v>2617</v>
      </c>
      <c r="C6927" s="3">
        <v>970000</v>
      </c>
      <c r="D6927" s="3"/>
      <c r="E6927" s="31">
        <f t="shared" si="129"/>
        <v>970000</v>
      </c>
      <c r="F6927" s="5">
        <v>45961</v>
      </c>
      <c r="G6927" s="4">
        <v>20251031</v>
      </c>
      <c r="H6927" s="38" t="str">
        <f>VLOOKUP(B6927,CAJEROS!B:D,3,0)</f>
        <v>Dispensador</v>
      </c>
      <c r="I6927" s="34"/>
      <c r="J6927" s="38" t="str">
        <f>VLOOKUP(B6927,CAJEROS!B:E,4,0)</f>
        <v>SUCURIBIA_3</v>
      </c>
      <c r="K6927" t="s">
        <v>610</v>
      </c>
    </row>
    <row r="6928" spans="1:11">
      <c r="A6928" s="32">
        <v>631</v>
      </c>
      <c r="B6928" s="33">
        <v>2795</v>
      </c>
      <c r="C6928" s="3">
        <v>60000</v>
      </c>
      <c r="D6928" s="3"/>
      <c r="E6928" s="31">
        <f t="shared" si="129"/>
        <v>60000</v>
      </c>
      <c r="F6928" s="5">
        <v>45961</v>
      </c>
      <c r="G6928" s="4">
        <v>20251031</v>
      </c>
      <c r="H6928" s="38" t="str">
        <f>VLOOKUP(B6928,CAJEROS!B:D,3,0)</f>
        <v>Dispensador</v>
      </c>
      <c r="I6928" s="34"/>
      <c r="J6928" s="38" t="str">
        <f>VLOOKUP(B6928,CAJEROS!B:E,4,0)</f>
        <v>SUCURIBIA_5</v>
      </c>
      <c r="K6928" t="s">
        <v>610</v>
      </c>
    </row>
    <row r="6929" spans="1:11">
      <c r="A6929" s="32">
        <v>681</v>
      </c>
      <c r="B6929" s="33">
        <v>3640</v>
      </c>
      <c r="C6929" s="3">
        <v>170000</v>
      </c>
      <c r="D6929" s="3"/>
      <c r="E6929" s="31">
        <f t="shared" si="129"/>
        <v>170000</v>
      </c>
      <c r="F6929" s="5">
        <v>45961</v>
      </c>
      <c r="G6929" s="4">
        <v>20251031</v>
      </c>
      <c r="H6929" s="38" t="str">
        <f>VLOOKUP(B6929,CAJEROS!B:D,3,0)</f>
        <v>Dispensador</v>
      </c>
      <c r="I6929" s="34"/>
      <c r="J6929" s="38" t="str">
        <f>VLOOKUP(B6929,CAJEROS!B:E,4,0)</f>
        <v>CERETE_3</v>
      </c>
      <c r="K6929" t="s">
        <v>610</v>
      </c>
    </row>
    <row r="6930" spans="1:11">
      <c r="A6930" s="32">
        <v>681</v>
      </c>
      <c r="B6930" s="33">
        <v>8420</v>
      </c>
      <c r="C6930" s="3">
        <v>40000</v>
      </c>
      <c r="D6930" s="3"/>
      <c r="E6930" s="31">
        <f t="shared" si="129"/>
        <v>40000</v>
      </c>
      <c r="F6930" s="5">
        <v>45961</v>
      </c>
      <c r="G6930" s="4">
        <v>20251031</v>
      </c>
      <c r="H6930" s="38" t="str">
        <f>VLOOKUP(B6930,CAJEROS!B:D,3,0)</f>
        <v>Dispensador</v>
      </c>
      <c r="I6930" s="34"/>
      <c r="J6930" s="38" t="str">
        <f>VLOOKUP(B6930,CAJEROS!B:E,4,0)</f>
        <v>SUC_CERETE5</v>
      </c>
      <c r="K6930" t="s">
        <v>610</v>
      </c>
    </row>
    <row r="6931" spans="1:11">
      <c r="A6931" s="32">
        <v>681</v>
      </c>
      <c r="B6931" s="33">
        <v>8494</v>
      </c>
      <c r="C6931" s="3">
        <v>40000</v>
      </c>
      <c r="D6931" s="3"/>
      <c r="E6931" s="31">
        <f t="shared" si="129"/>
        <v>40000</v>
      </c>
      <c r="F6931" s="5">
        <v>45961</v>
      </c>
      <c r="G6931" s="4">
        <v>20251031</v>
      </c>
      <c r="H6931" s="38" t="str">
        <f>VLOOKUP(B6931,CAJEROS!B:D,3,0)</f>
        <v>Dispensador</v>
      </c>
      <c r="I6931" s="34"/>
      <c r="J6931" s="38" t="str">
        <f>VLOOKUP(B6931,CAJEROS!B:E,4,0)</f>
        <v>SUC_CERETE2</v>
      </c>
      <c r="K6931" t="s">
        <v>610</v>
      </c>
    </row>
    <row r="6932" spans="1:11">
      <c r="A6932" s="32">
        <v>748</v>
      </c>
      <c r="B6932" s="33">
        <v>4584</v>
      </c>
      <c r="C6932" s="3">
        <v>500000</v>
      </c>
      <c r="D6932" s="3"/>
      <c r="E6932" s="31">
        <f t="shared" si="129"/>
        <v>500000</v>
      </c>
      <c r="F6932" s="5">
        <v>45961</v>
      </c>
      <c r="G6932" s="4">
        <v>20251031</v>
      </c>
      <c r="H6932" s="38" t="str">
        <f>VLOOKUP(B6932,CAJEROS!B:D,3,0)</f>
        <v>Dispensador</v>
      </c>
      <c r="I6932" s="34"/>
      <c r="J6932" s="38" t="str">
        <f>VLOOKUP(B6932,CAJEROS!B:E,4,0)</f>
        <v>SUC_MOMPOX1</v>
      </c>
      <c r="K6932" t="s">
        <v>610</v>
      </c>
    </row>
    <row r="6933" spans="1:11">
      <c r="A6933" s="32">
        <v>824</v>
      </c>
      <c r="B6933" s="33">
        <v>217</v>
      </c>
      <c r="C6933" s="3">
        <v>1000000</v>
      </c>
      <c r="D6933" s="3"/>
      <c r="E6933" s="31">
        <f t="shared" si="129"/>
        <v>1000000</v>
      </c>
      <c r="F6933" s="5">
        <v>45961</v>
      </c>
      <c r="G6933" s="4">
        <v>20251031</v>
      </c>
      <c r="H6933" s="38" t="str">
        <f>VLOOKUP(B6933,CAJEROS!B:D,3,0)</f>
        <v>Dispensador</v>
      </c>
      <c r="I6933" s="34"/>
      <c r="J6933" s="38" t="str">
        <f>VLOOKUP(B6933,CAJEROS!B:E,4,0)</f>
        <v>SUCVENTPLZ7</v>
      </c>
      <c r="K6933" t="s">
        <v>610</v>
      </c>
    </row>
    <row r="6934" spans="1:11">
      <c r="A6934" s="32">
        <v>894</v>
      </c>
      <c r="B6934" s="33">
        <v>4233</v>
      </c>
      <c r="C6934" s="3">
        <v>70000</v>
      </c>
      <c r="D6934" s="3"/>
      <c r="E6934" s="31">
        <f t="shared" si="129"/>
        <v>70000</v>
      </c>
      <c r="F6934" s="5">
        <v>45961</v>
      </c>
      <c r="G6934" s="4">
        <v>20251031</v>
      </c>
      <c r="H6934" s="38" t="str">
        <f>VLOOKUP(B6934,CAJEROS!B:D,3,0)</f>
        <v>Dispensador</v>
      </c>
      <c r="I6934" s="34"/>
      <c r="J6934" s="38" t="str">
        <f>VLOOKUP(B6934,CAJEROS!B:E,4,0)</f>
        <v>AUTO_TUMA2</v>
      </c>
      <c r="K6934" t="s">
        <v>610</v>
      </c>
    </row>
    <row r="6935" spans="1:11">
      <c r="A6935" s="32">
        <v>966</v>
      </c>
      <c r="B6935" s="33">
        <v>9942</v>
      </c>
      <c r="C6935" s="3">
        <v>100000</v>
      </c>
      <c r="D6935" s="3"/>
      <c r="E6935" s="31">
        <f t="shared" si="129"/>
        <v>100000</v>
      </c>
      <c r="F6935" s="5">
        <v>45961</v>
      </c>
      <c r="G6935" s="4">
        <v>20251031</v>
      </c>
      <c r="H6935" s="38" t="str">
        <f>VLOOKUP(B6935,CAJEROS!B:D,3,0)</f>
        <v>Dispensador</v>
      </c>
      <c r="I6935" s="34"/>
      <c r="J6935" s="38" t="str">
        <f>VLOOKUP(B6935,CAJEROS!B:E,4,0)</f>
        <v>HALLSUCMTE2</v>
      </c>
      <c r="K6935" t="s">
        <v>610</v>
      </c>
    </row>
    <row r="6936" spans="1:11">
      <c r="A6936" s="32">
        <v>415</v>
      </c>
      <c r="B6936" s="33">
        <v>8617</v>
      </c>
      <c r="C6936" s="3">
        <v>170000</v>
      </c>
      <c r="D6936" s="3">
        <v>170000</v>
      </c>
      <c r="E6936" s="31">
        <v>0</v>
      </c>
      <c r="F6936" s="5">
        <v>45965</v>
      </c>
      <c r="G6936" s="4">
        <v>20251103</v>
      </c>
      <c r="H6936" s="38" t="s">
        <v>30</v>
      </c>
      <c r="I6936" s="34" t="s">
        <v>9</v>
      </c>
      <c r="J6936" s="38" t="s">
        <v>613</v>
      </c>
    </row>
    <row r="6937" spans="1:11">
      <c r="A6937" s="32">
        <v>638</v>
      </c>
      <c r="B6937" s="33">
        <v>4486</v>
      </c>
      <c r="C6937" s="3">
        <v>30000</v>
      </c>
      <c r="D6937" s="3">
        <v>30000</v>
      </c>
      <c r="E6937" s="31">
        <v>0</v>
      </c>
      <c r="F6937" s="5">
        <v>45965</v>
      </c>
      <c r="G6937" s="4">
        <v>20251103</v>
      </c>
      <c r="H6937" s="38" t="s">
        <v>30</v>
      </c>
      <c r="I6937" s="34" t="s">
        <v>9</v>
      </c>
      <c r="J6937" s="38" t="s">
        <v>116</v>
      </c>
    </row>
    <row r="6938" spans="1:11">
      <c r="A6938" s="32">
        <v>780</v>
      </c>
      <c r="B6938" s="33">
        <v>4713</v>
      </c>
      <c r="C6938" s="3">
        <v>40000</v>
      </c>
      <c r="D6938" s="3">
        <v>40000</v>
      </c>
      <c r="E6938" s="31">
        <v>0</v>
      </c>
      <c r="F6938" s="5">
        <v>45965</v>
      </c>
      <c r="G6938" s="4">
        <v>20251103</v>
      </c>
      <c r="H6938" s="38" t="s">
        <v>30</v>
      </c>
      <c r="I6938" s="34" t="s">
        <v>9</v>
      </c>
      <c r="J6938" s="38" t="s">
        <v>539</v>
      </c>
    </row>
    <row r="6939" spans="1:11">
      <c r="A6939" s="32">
        <v>20</v>
      </c>
      <c r="B6939" s="33">
        <v>8927</v>
      </c>
      <c r="C6939" s="3">
        <v>560000</v>
      </c>
      <c r="D6939" s="3">
        <v>560000</v>
      </c>
      <c r="E6939" s="31">
        <v>0</v>
      </c>
      <c r="F6939" s="5">
        <v>45965</v>
      </c>
      <c r="G6939" s="4">
        <v>20251103</v>
      </c>
      <c r="H6939" s="38" t="s">
        <v>24</v>
      </c>
      <c r="I6939" s="34" t="s">
        <v>9</v>
      </c>
      <c r="J6939" s="38" t="s">
        <v>614</v>
      </c>
    </row>
    <row r="6940" spans="1:11">
      <c r="A6940" s="32">
        <v>229</v>
      </c>
      <c r="B6940" s="33">
        <v>9605</v>
      </c>
      <c r="C6940" s="3">
        <v>3340000</v>
      </c>
      <c r="D6940" s="3">
        <v>3340000</v>
      </c>
      <c r="E6940" s="31">
        <v>0</v>
      </c>
      <c r="F6940" s="5">
        <v>45966</v>
      </c>
      <c r="G6940" s="4">
        <v>20251104</v>
      </c>
      <c r="H6940" s="38" t="s">
        <v>24</v>
      </c>
      <c r="I6940" s="34" t="s">
        <v>9</v>
      </c>
      <c r="J6940" s="38" t="s">
        <v>153</v>
      </c>
    </row>
    <row r="6941" spans="1:11">
      <c r="A6941" s="32">
        <v>20</v>
      </c>
      <c r="B6941" s="33">
        <v>8927</v>
      </c>
      <c r="C6941" s="3">
        <v>1660000</v>
      </c>
      <c r="D6941" s="3">
        <v>1660000</v>
      </c>
      <c r="E6941" s="31">
        <v>0</v>
      </c>
      <c r="F6941" s="5">
        <v>45966</v>
      </c>
      <c r="G6941" s="4">
        <v>20251104</v>
      </c>
      <c r="H6941" s="38" t="s">
        <v>24</v>
      </c>
      <c r="I6941" s="34" t="s">
        <v>9</v>
      </c>
      <c r="J6941" s="38" t="s">
        <v>614</v>
      </c>
    </row>
    <row r="6942" spans="1:11">
      <c r="A6942" s="32">
        <v>291</v>
      </c>
      <c r="B6942" s="33">
        <v>5114</v>
      </c>
      <c r="C6942" s="3">
        <v>1252250</v>
      </c>
      <c r="D6942" s="3">
        <v>1252250</v>
      </c>
      <c r="E6942" s="31">
        <v>0</v>
      </c>
      <c r="F6942" s="5">
        <v>45966</v>
      </c>
      <c r="G6942" s="4">
        <v>20251104</v>
      </c>
      <c r="H6942" s="38" t="s">
        <v>24</v>
      </c>
      <c r="I6942" s="34" t="s">
        <v>9</v>
      </c>
      <c r="J6942" s="38" t="s">
        <v>245</v>
      </c>
    </row>
    <row r="6943" spans="1:11">
      <c r="A6943" s="32">
        <v>88</v>
      </c>
      <c r="B6943" s="33">
        <v>5111</v>
      </c>
      <c r="C6943" s="3">
        <v>536850</v>
      </c>
      <c r="D6943" s="3">
        <v>536850</v>
      </c>
      <c r="E6943" s="31">
        <v>0</v>
      </c>
      <c r="F6943" s="5">
        <v>45966</v>
      </c>
      <c r="G6943" s="4">
        <v>20251104</v>
      </c>
      <c r="H6943" s="38" t="s">
        <v>24</v>
      </c>
      <c r="I6943" s="34" t="s">
        <v>9</v>
      </c>
      <c r="J6943" s="38" t="s">
        <v>298</v>
      </c>
    </row>
    <row r="6944" spans="1:11">
      <c r="A6944" s="32">
        <v>780</v>
      </c>
      <c r="B6944" s="33">
        <v>4713</v>
      </c>
      <c r="C6944" s="3">
        <v>40000</v>
      </c>
      <c r="D6944" s="3">
        <v>40000</v>
      </c>
      <c r="E6944" s="31">
        <v>0</v>
      </c>
      <c r="F6944" s="5">
        <v>45966</v>
      </c>
      <c r="G6944" s="4">
        <v>20251104</v>
      </c>
      <c r="H6944" s="38" t="s">
        <v>30</v>
      </c>
      <c r="I6944" s="34" t="s">
        <v>9</v>
      </c>
      <c r="J6944" s="38" t="s">
        <v>539</v>
      </c>
    </row>
    <row r="6945" spans="1:10">
      <c r="A6945" s="32">
        <v>914</v>
      </c>
      <c r="B6945" s="33">
        <v>5544</v>
      </c>
      <c r="C6945" s="3">
        <v>20000</v>
      </c>
      <c r="D6945" s="3">
        <v>20000</v>
      </c>
      <c r="E6945" s="31">
        <v>0</v>
      </c>
      <c r="F6945" s="5">
        <v>45966</v>
      </c>
      <c r="G6945" s="4">
        <v>20251104</v>
      </c>
      <c r="H6945" s="38" t="s">
        <v>30</v>
      </c>
      <c r="I6945" s="34" t="s">
        <v>10</v>
      </c>
      <c r="J6945" s="38" t="s">
        <v>102</v>
      </c>
    </row>
    <row r="6946" spans="1:10">
      <c r="A6946" s="32">
        <v>616</v>
      </c>
      <c r="B6946" s="33">
        <v>1067</v>
      </c>
      <c r="C6946" s="3">
        <v>120000</v>
      </c>
      <c r="D6946" s="3">
        <v>120000</v>
      </c>
      <c r="E6946" s="31">
        <v>0</v>
      </c>
      <c r="F6946" s="5">
        <v>45967</v>
      </c>
      <c r="G6946" s="4">
        <v>20251105</v>
      </c>
      <c r="H6946" s="38" t="s">
        <v>30</v>
      </c>
      <c r="I6946" s="34" t="s">
        <v>9</v>
      </c>
      <c r="J6946" s="38" t="s">
        <v>615</v>
      </c>
    </row>
    <row r="6947" spans="1:10">
      <c r="A6947" s="32">
        <v>799</v>
      </c>
      <c r="B6947" s="33">
        <v>8187</v>
      </c>
      <c r="C6947" s="3">
        <v>600000</v>
      </c>
      <c r="D6947" s="3">
        <v>600000</v>
      </c>
      <c r="E6947" s="31">
        <v>0</v>
      </c>
      <c r="F6947" s="5">
        <v>45967</v>
      </c>
      <c r="G6947" s="4">
        <v>20251105</v>
      </c>
      <c r="H6947" s="38" t="s">
        <v>30</v>
      </c>
      <c r="I6947" s="34" t="s">
        <v>9</v>
      </c>
      <c r="J6947" s="38" t="s">
        <v>338</v>
      </c>
    </row>
    <row r="6948" spans="1:10">
      <c r="A6948" s="32">
        <v>20</v>
      </c>
      <c r="B6948" s="33">
        <v>8927</v>
      </c>
      <c r="C6948" s="3">
        <v>3842300</v>
      </c>
      <c r="D6948" s="3">
        <v>3842300</v>
      </c>
      <c r="E6948" s="31">
        <v>0</v>
      </c>
      <c r="F6948" s="5">
        <v>45967</v>
      </c>
      <c r="G6948" s="4">
        <v>20251105</v>
      </c>
      <c r="H6948" s="38" t="s">
        <v>24</v>
      </c>
      <c r="I6948" s="34" t="s">
        <v>9</v>
      </c>
      <c r="J6948" s="38" t="s">
        <v>614</v>
      </c>
    </row>
    <row r="6949" spans="1:10">
      <c r="A6949" s="32">
        <v>322</v>
      </c>
      <c r="B6949" s="33">
        <v>2444</v>
      </c>
      <c r="C6949" s="3">
        <v>60000</v>
      </c>
      <c r="D6949" s="3">
        <v>60000</v>
      </c>
      <c r="E6949" s="31">
        <v>0</v>
      </c>
      <c r="F6949" s="5">
        <v>45967</v>
      </c>
      <c r="G6949" s="4">
        <v>20251105</v>
      </c>
      <c r="H6949" s="38" t="s">
        <v>24</v>
      </c>
      <c r="I6949" s="34" t="s">
        <v>9</v>
      </c>
      <c r="J6949" s="38" t="s">
        <v>109</v>
      </c>
    </row>
    <row r="6950" spans="1:10">
      <c r="A6950" s="32">
        <v>516</v>
      </c>
      <c r="B6950" s="33">
        <v>9727</v>
      </c>
      <c r="C6950" s="3">
        <v>2940000</v>
      </c>
      <c r="D6950" s="3">
        <v>2940000</v>
      </c>
      <c r="E6950" s="31">
        <v>0</v>
      </c>
      <c r="F6950" s="5">
        <v>45968</v>
      </c>
      <c r="G6950" s="4">
        <v>20251106</v>
      </c>
      <c r="H6950" s="38" t="s">
        <v>30</v>
      </c>
      <c r="I6950" s="34" t="s">
        <v>9</v>
      </c>
      <c r="J6950" s="38" t="s">
        <v>616</v>
      </c>
    </row>
    <row r="6951" spans="1:10">
      <c r="A6951" s="32">
        <v>20</v>
      </c>
      <c r="B6951" s="33">
        <v>9204</v>
      </c>
      <c r="C6951" s="3">
        <v>2242000</v>
      </c>
      <c r="D6951" s="3">
        <v>2242000</v>
      </c>
      <c r="E6951" s="31">
        <v>0</v>
      </c>
      <c r="F6951" s="5">
        <v>45968</v>
      </c>
      <c r="G6951" s="4">
        <v>20251106</v>
      </c>
      <c r="H6951" s="38" t="s">
        <v>24</v>
      </c>
      <c r="I6951" s="34" t="s">
        <v>9</v>
      </c>
      <c r="J6951" s="38" t="s">
        <v>254</v>
      </c>
    </row>
    <row r="6952" spans="1:10">
      <c r="A6952" s="32">
        <v>250</v>
      </c>
      <c r="B6952" s="33">
        <v>5197</v>
      </c>
      <c r="C6952" s="3">
        <v>1030000</v>
      </c>
      <c r="D6952" s="3">
        <v>1030000</v>
      </c>
      <c r="E6952" s="31">
        <v>0</v>
      </c>
      <c r="F6952" s="5">
        <v>45968</v>
      </c>
      <c r="G6952" s="4">
        <v>20251106</v>
      </c>
      <c r="H6952" s="38" t="s">
        <v>24</v>
      </c>
      <c r="I6952" s="34" t="s">
        <v>9</v>
      </c>
      <c r="J6952" s="38" t="s">
        <v>522</v>
      </c>
    </row>
    <row r="6953" spans="1:10">
      <c r="A6953" s="32">
        <v>623</v>
      </c>
      <c r="B6953" s="33">
        <v>5047</v>
      </c>
      <c r="C6953" s="3">
        <v>210000</v>
      </c>
      <c r="D6953" s="3">
        <v>210000</v>
      </c>
      <c r="E6953" s="31">
        <v>0</v>
      </c>
      <c r="F6953" s="5">
        <v>45968</v>
      </c>
      <c r="G6953" s="4">
        <v>20251106</v>
      </c>
      <c r="H6953" s="38" t="s">
        <v>24</v>
      </c>
      <c r="I6953" s="34" t="s">
        <v>9</v>
      </c>
      <c r="J6953" s="38" t="s">
        <v>26</v>
      </c>
    </row>
    <row r="6954" spans="1:10">
      <c r="A6954" s="32">
        <v>88</v>
      </c>
      <c r="B6954" s="33">
        <v>5111</v>
      </c>
      <c r="C6954" s="3">
        <v>3280000</v>
      </c>
      <c r="D6954" s="3">
        <v>3280000</v>
      </c>
      <c r="E6954" s="31">
        <v>0</v>
      </c>
      <c r="F6954" s="5">
        <v>45971</v>
      </c>
      <c r="G6954" s="4">
        <v>20251109</v>
      </c>
      <c r="H6954" s="38" t="s">
        <v>24</v>
      </c>
      <c r="I6954" s="34" t="s">
        <v>9</v>
      </c>
      <c r="J6954" s="38" t="s">
        <v>298</v>
      </c>
    </row>
    <row r="6955" spans="1:10">
      <c r="A6955" s="32">
        <v>634</v>
      </c>
      <c r="B6955" s="33">
        <v>5087</v>
      </c>
      <c r="C6955" s="3">
        <v>1050000</v>
      </c>
      <c r="D6955" s="3">
        <v>1050000</v>
      </c>
      <c r="E6955" s="31">
        <v>0</v>
      </c>
      <c r="F6955" s="5">
        <v>45971</v>
      </c>
      <c r="G6955" s="4">
        <v>20251109</v>
      </c>
      <c r="H6955" s="38" t="s">
        <v>24</v>
      </c>
      <c r="I6955" s="34" t="s">
        <v>9</v>
      </c>
      <c r="J6955" s="38" t="s">
        <v>183</v>
      </c>
    </row>
    <row r="6956" spans="1:10">
      <c r="A6956" s="32">
        <v>571</v>
      </c>
      <c r="B6956" s="33">
        <v>6150</v>
      </c>
      <c r="C6956" s="3">
        <v>530000</v>
      </c>
      <c r="D6956" s="3">
        <v>530000</v>
      </c>
      <c r="E6956" s="31">
        <v>0</v>
      </c>
      <c r="F6956" s="5">
        <v>45971</v>
      </c>
      <c r="G6956" s="4">
        <v>20251109</v>
      </c>
      <c r="H6956" s="38" t="s">
        <v>24</v>
      </c>
      <c r="I6956" s="34" t="s">
        <v>9</v>
      </c>
      <c r="J6956" s="38" t="s">
        <v>249</v>
      </c>
    </row>
    <row r="6957" spans="1:10">
      <c r="A6957" s="32">
        <v>337</v>
      </c>
      <c r="B6957" s="33">
        <v>6253</v>
      </c>
      <c r="C6957" s="3">
        <v>453000</v>
      </c>
      <c r="D6957" s="3">
        <v>453000</v>
      </c>
      <c r="E6957" s="31">
        <v>0</v>
      </c>
      <c r="F6957" s="5">
        <v>45971</v>
      </c>
      <c r="G6957" s="4">
        <v>20251109</v>
      </c>
      <c r="H6957" s="38" t="s">
        <v>24</v>
      </c>
      <c r="I6957" s="34" t="s">
        <v>9</v>
      </c>
      <c r="J6957" s="38" t="s">
        <v>352</v>
      </c>
    </row>
    <row r="6958" spans="1:10">
      <c r="A6958" s="32">
        <v>454</v>
      </c>
      <c r="B6958" s="33">
        <v>1886</v>
      </c>
      <c r="C6958" s="3">
        <v>1900000</v>
      </c>
      <c r="D6958" s="3">
        <v>1900000</v>
      </c>
      <c r="E6958" s="31">
        <v>0</v>
      </c>
      <c r="F6958" s="5">
        <v>45972</v>
      </c>
      <c r="G6958" s="4">
        <v>20251110</v>
      </c>
      <c r="H6958" s="38" t="s">
        <v>30</v>
      </c>
      <c r="I6958" s="34" t="s">
        <v>9</v>
      </c>
      <c r="J6958" s="38" t="s">
        <v>439</v>
      </c>
    </row>
    <row r="6959" spans="1:10">
      <c r="A6959" s="32">
        <v>348</v>
      </c>
      <c r="B6959" s="33">
        <v>192</v>
      </c>
      <c r="C6959" s="3">
        <v>1659950</v>
      </c>
      <c r="D6959" s="3">
        <v>1659950</v>
      </c>
      <c r="E6959" s="31">
        <v>0</v>
      </c>
      <c r="F6959" s="5">
        <v>45972</v>
      </c>
      <c r="G6959" s="4">
        <v>20251110</v>
      </c>
      <c r="H6959" s="38" t="s">
        <v>24</v>
      </c>
      <c r="I6959" s="34" t="s">
        <v>9</v>
      </c>
      <c r="J6959" s="38" t="s">
        <v>617</v>
      </c>
    </row>
    <row r="6960" spans="1:10">
      <c r="A6960" s="32">
        <v>154</v>
      </c>
      <c r="B6960" s="33">
        <v>5041</v>
      </c>
      <c r="C6960" s="3">
        <v>1620000</v>
      </c>
      <c r="D6960" s="3">
        <v>1620000</v>
      </c>
      <c r="E6960" s="31">
        <v>0</v>
      </c>
      <c r="F6960" s="5">
        <v>45972</v>
      </c>
      <c r="G6960" s="4">
        <v>20251110</v>
      </c>
      <c r="H6960" s="38" t="s">
        <v>24</v>
      </c>
      <c r="I6960" s="34" t="s">
        <v>9</v>
      </c>
      <c r="J6960" s="38" t="s">
        <v>364</v>
      </c>
    </row>
    <row r="6961" spans="1:10">
      <c r="A6961" s="32">
        <v>484</v>
      </c>
      <c r="B6961" s="33">
        <v>3268</v>
      </c>
      <c r="C6961" s="3">
        <v>2960000</v>
      </c>
      <c r="D6961" s="3">
        <v>2960000</v>
      </c>
      <c r="E6961" s="31">
        <v>0</v>
      </c>
      <c r="F6961" s="5">
        <v>45973</v>
      </c>
      <c r="G6961" s="4">
        <v>20251111</v>
      </c>
      <c r="H6961" s="38" t="s">
        <v>30</v>
      </c>
      <c r="I6961" s="34" t="s">
        <v>9</v>
      </c>
      <c r="J6961" s="38" t="s">
        <v>618</v>
      </c>
    </row>
    <row r="6962" spans="1:10">
      <c r="A6962" s="32">
        <v>555</v>
      </c>
      <c r="B6962" s="33">
        <v>7259</v>
      </c>
      <c r="C6962" s="3">
        <v>1990000</v>
      </c>
      <c r="D6962" s="3">
        <v>1990000</v>
      </c>
      <c r="E6962" s="31">
        <v>0</v>
      </c>
      <c r="F6962" s="5">
        <v>45973</v>
      </c>
      <c r="G6962" s="4">
        <v>20251111</v>
      </c>
      <c r="H6962" s="38" t="s">
        <v>30</v>
      </c>
      <c r="I6962" s="34" t="s">
        <v>9</v>
      </c>
      <c r="J6962" s="38" t="s">
        <v>619</v>
      </c>
    </row>
    <row r="6963" spans="1:10">
      <c r="A6963" s="32">
        <v>802</v>
      </c>
      <c r="B6963" s="33">
        <v>2712</v>
      </c>
      <c r="C6963" s="3">
        <v>5930000</v>
      </c>
      <c r="D6963" s="3">
        <v>5930000</v>
      </c>
      <c r="E6963" s="31">
        <v>0</v>
      </c>
      <c r="F6963" s="5">
        <v>45973</v>
      </c>
      <c r="G6963" s="4">
        <v>20251111</v>
      </c>
      <c r="H6963" s="38" t="s">
        <v>30</v>
      </c>
      <c r="I6963" s="34" t="s">
        <v>9</v>
      </c>
      <c r="J6963" s="38" t="s">
        <v>498</v>
      </c>
    </row>
    <row r="6964" spans="1:10">
      <c r="A6964" s="32">
        <v>348</v>
      </c>
      <c r="B6964" s="33">
        <v>192</v>
      </c>
      <c r="C6964" s="3">
        <v>2220000</v>
      </c>
      <c r="D6964" s="3">
        <v>2220000</v>
      </c>
      <c r="E6964" s="31">
        <v>0</v>
      </c>
      <c r="F6964" s="5">
        <v>45973</v>
      </c>
      <c r="G6964" s="4">
        <v>20251111</v>
      </c>
      <c r="H6964" s="38" t="s">
        <v>24</v>
      </c>
      <c r="I6964" s="34" t="s">
        <v>9</v>
      </c>
      <c r="J6964" s="38" t="s">
        <v>617</v>
      </c>
    </row>
    <row r="6965" spans="1:10">
      <c r="A6965" s="32">
        <v>795</v>
      </c>
      <c r="B6965" s="33">
        <v>1028</v>
      </c>
      <c r="C6965" s="3">
        <v>2170000</v>
      </c>
      <c r="D6965" s="3">
        <v>2170000</v>
      </c>
      <c r="E6965" s="31">
        <v>0</v>
      </c>
      <c r="F6965" s="5">
        <v>45973</v>
      </c>
      <c r="G6965" s="4">
        <v>20251111</v>
      </c>
      <c r="H6965" s="38" t="s">
        <v>24</v>
      </c>
      <c r="I6965" s="34" t="s">
        <v>9</v>
      </c>
      <c r="J6965" s="38" t="s">
        <v>305</v>
      </c>
    </row>
    <row r="6966" spans="1:10">
      <c r="A6966" s="32">
        <v>322</v>
      </c>
      <c r="B6966" s="33">
        <v>2444</v>
      </c>
      <c r="C6966" s="3">
        <v>1220000</v>
      </c>
      <c r="D6966" s="3">
        <v>1220000</v>
      </c>
      <c r="E6966" s="31">
        <v>0</v>
      </c>
      <c r="F6966" s="5">
        <v>45973</v>
      </c>
      <c r="G6966" s="4">
        <v>20251111</v>
      </c>
      <c r="H6966" s="38" t="s">
        <v>24</v>
      </c>
      <c r="I6966" s="34" t="s">
        <v>9</v>
      </c>
      <c r="J6966" s="38" t="s">
        <v>109</v>
      </c>
    </row>
    <row r="6967" spans="1:10">
      <c r="A6967" s="32">
        <v>20</v>
      </c>
      <c r="B6967" s="33">
        <v>6839</v>
      </c>
      <c r="C6967" s="3">
        <v>1120000</v>
      </c>
      <c r="D6967" s="3">
        <v>1120000</v>
      </c>
      <c r="E6967" s="31">
        <v>0</v>
      </c>
      <c r="F6967" s="5">
        <v>45973</v>
      </c>
      <c r="G6967" s="4">
        <v>20251111</v>
      </c>
      <c r="H6967" s="38" t="s">
        <v>24</v>
      </c>
      <c r="I6967" s="34" t="s">
        <v>9</v>
      </c>
      <c r="J6967" s="38" t="s">
        <v>112</v>
      </c>
    </row>
    <row r="6968" spans="1:10">
      <c r="A6968" s="32">
        <v>760</v>
      </c>
      <c r="B6968" s="33">
        <v>6092</v>
      </c>
      <c r="C6968" s="3">
        <v>100000</v>
      </c>
      <c r="D6968" s="3">
        <v>100000</v>
      </c>
      <c r="E6968" s="31">
        <v>0</v>
      </c>
      <c r="F6968" s="5">
        <v>45973</v>
      </c>
      <c r="G6968" s="4">
        <v>20251111</v>
      </c>
      <c r="H6968" s="38" t="s">
        <v>24</v>
      </c>
      <c r="I6968" s="34" t="s">
        <v>9</v>
      </c>
      <c r="J6968" s="38" t="s">
        <v>553</v>
      </c>
    </row>
    <row r="6969" spans="1:10">
      <c r="A6969" s="32">
        <v>60</v>
      </c>
      <c r="B6969" s="33">
        <v>8729</v>
      </c>
      <c r="C6969" s="3">
        <v>70000</v>
      </c>
      <c r="D6969" s="3">
        <v>70000</v>
      </c>
      <c r="E6969" s="31">
        <v>0</v>
      </c>
      <c r="F6969" s="5">
        <v>45973</v>
      </c>
      <c r="G6969" s="4">
        <v>20251111</v>
      </c>
      <c r="H6969" s="38" t="s">
        <v>24</v>
      </c>
      <c r="I6969" s="34" t="s">
        <v>9</v>
      </c>
      <c r="J6969" s="38" t="s">
        <v>303</v>
      </c>
    </row>
    <row r="6970" spans="1:10">
      <c r="A6970" s="32">
        <v>88</v>
      </c>
      <c r="B6970" s="33">
        <v>5111</v>
      </c>
      <c r="C6970" s="3">
        <v>2200</v>
      </c>
      <c r="D6970" s="3">
        <v>2200</v>
      </c>
      <c r="E6970" s="31">
        <v>0</v>
      </c>
      <c r="F6970" s="5">
        <v>45973</v>
      </c>
      <c r="G6970" s="4">
        <v>20251111</v>
      </c>
      <c r="H6970" s="38" t="s">
        <v>24</v>
      </c>
      <c r="I6970" s="34" t="s">
        <v>10</v>
      </c>
      <c r="J6970" s="38" t="s">
        <v>298</v>
      </c>
    </row>
    <row r="6971" spans="1:10">
      <c r="A6971" s="32">
        <v>348</v>
      </c>
      <c r="B6971" s="33">
        <v>5649</v>
      </c>
      <c r="C6971" s="3">
        <v>3250000</v>
      </c>
      <c r="D6971" s="3">
        <v>3250000</v>
      </c>
      <c r="E6971" s="31">
        <v>0</v>
      </c>
      <c r="F6971" s="5">
        <v>45965</v>
      </c>
      <c r="G6971" s="4">
        <v>20251103</v>
      </c>
      <c r="H6971" s="38" t="s">
        <v>30</v>
      </c>
      <c r="I6971" s="34" t="s">
        <v>9</v>
      </c>
      <c r="J6971" s="38" t="s">
        <v>375</v>
      </c>
    </row>
    <row r="6972" spans="1:10">
      <c r="A6972" s="32">
        <v>358</v>
      </c>
      <c r="B6972" s="33">
        <v>4499</v>
      </c>
      <c r="C6972" s="3">
        <v>60000</v>
      </c>
      <c r="D6972" s="3">
        <v>60000</v>
      </c>
      <c r="E6972" s="31">
        <v>0</v>
      </c>
      <c r="F6972" s="5">
        <v>45965</v>
      </c>
      <c r="G6972" s="4">
        <v>20251103</v>
      </c>
      <c r="H6972" s="38" t="s">
        <v>30</v>
      </c>
      <c r="I6972" s="34" t="s">
        <v>9</v>
      </c>
      <c r="J6972" s="38" t="s">
        <v>575</v>
      </c>
    </row>
    <row r="6973" spans="1:10">
      <c r="A6973" s="32">
        <v>473</v>
      </c>
      <c r="B6973" s="33">
        <v>3441</v>
      </c>
      <c r="C6973" s="3">
        <v>80000</v>
      </c>
      <c r="D6973" s="3">
        <v>80000</v>
      </c>
      <c r="E6973" s="31">
        <v>0</v>
      </c>
      <c r="F6973" s="5">
        <v>45965</v>
      </c>
      <c r="G6973" s="4">
        <v>20251103</v>
      </c>
      <c r="H6973" s="38" t="s">
        <v>30</v>
      </c>
      <c r="I6973" s="34" t="s">
        <v>9</v>
      </c>
      <c r="J6973" s="38" t="s">
        <v>470</v>
      </c>
    </row>
    <row r="6974" spans="1:10">
      <c r="A6974" s="32">
        <v>799</v>
      </c>
      <c r="B6974" s="33">
        <v>8184</v>
      </c>
      <c r="C6974" s="3">
        <v>250000</v>
      </c>
      <c r="D6974" s="3">
        <v>250000</v>
      </c>
      <c r="E6974" s="31">
        <v>0</v>
      </c>
      <c r="F6974" s="5">
        <v>45965</v>
      </c>
      <c r="G6974" s="4">
        <v>20251103</v>
      </c>
      <c r="H6974" s="38" t="s">
        <v>30</v>
      </c>
      <c r="I6974" s="34" t="s">
        <v>9</v>
      </c>
      <c r="J6974" s="38" t="s">
        <v>69</v>
      </c>
    </row>
    <row r="6975" spans="1:10">
      <c r="A6975" s="32">
        <v>799</v>
      </c>
      <c r="B6975" s="33">
        <v>8185</v>
      </c>
      <c r="C6975" s="3">
        <v>2920000</v>
      </c>
      <c r="D6975" s="3">
        <v>2920000</v>
      </c>
      <c r="E6975" s="31">
        <v>0</v>
      </c>
      <c r="F6975" s="5">
        <v>45965</v>
      </c>
      <c r="G6975" s="4">
        <v>20251103</v>
      </c>
      <c r="H6975" s="38" t="s">
        <v>30</v>
      </c>
      <c r="I6975" s="34" t="s">
        <v>9</v>
      </c>
      <c r="J6975" s="38" t="s">
        <v>101</v>
      </c>
    </row>
    <row r="6976" spans="1:10">
      <c r="A6976" s="32">
        <v>467</v>
      </c>
      <c r="B6976" s="33">
        <v>9051</v>
      </c>
      <c r="C6976" s="3">
        <v>255000</v>
      </c>
      <c r="D6976" s="3">
        <v>255000</v>
      </c>
      <c r="E6976" s="31">
        <v>0</v>
      </c>
      <c r="F6976" s="5">
        <v>45965</v>
      </c>
      <c r="G6976" s="4">
        <v>20251103</v>
      </c>
      <c r="H6976" s="38" t="s">
        <v>24</v>
      </c>
      <c r="I6976" s="34" t="s">
        <v>9</v>
      </c>
      <c r="J6976" s="38" t="s">
        <v>314</v>
      </c>
    </row>
    <row r="6977" spans="1:10">
      <c r="A6977" s="32">
        <v>467</v>
      </c>
      <c r="B6977" s="33">
        <v>9051</v>
      </c>
      <c r="C6977" s="3">
        <v>695000</v>
      </c>
      <c r="D6977" s="3">
        <v>695000</v>
      </c>
      <c r="E6977" s="31">
        <v>0</v>
      </c>
      <c r="F6977" s="5">
        <v>45966</v>
      </c>
      <c r="G6977" s="4">
        <v>20251104</v>
      </c>
      <c r="H6977" s="38" t="s">
        <v>24</v>
      </c>
      <c r="I6977" s="34" t="s">
        <v>9</v>
      </c>
      <c r="J6977" s="38" t="s">
        <v>314</v>
      </c>
    </row>
    <row r="6978" spans="1:10">
      <c r="A6978" s="32">
        <v>567</v>
      </c>
      <c r="B6978" s="33">
        <v>2423</v>
      </c>
      <c r="C6978" s="3">
        <v>830000</v>
      </c>
      <c r="D6978" s="3">
        <v>830000</v>
      </c>
      <c r="E6978" s="31">
        <v>0</v>
      </c>
      <c r="F6978" s="5">
        <v>45966</v>
      </c>
      <c r="G6978" s="4">
        <v>20251104</v>
      </c>
      <c r="H6978" s="38" t="s">
        <v>30</v>
      </c>
      <c r="I6978" s="34" t="s">
        <v>9</v>
      </c>
      <c r="J6978" s="38" t="s">
        <v>342</v>
      </c>
    </row>
    <row r="6979" spans="1:10">
      <c r="A6979" s="32">
        <v>951</v>
      </c>
      <c r="B6979" s="33">
        <v>7776</v>
      </c>
      <c r="C6979" s="3">
        <v>20000</v>
      </c>
      <c r="D6979" s="3">
        <v>20000</v>
      </c>
      <c r="E6979" s="31">
        <v>0</v>
      </c>
      <c r="F6979" s="5">
        <v>45966</v>
      </c>
      <c r="G6979" s="4">
        <v>20251104</v>
      </c>
      <c r="H6979" s="38" t="s">
        <v>30</v>
      </c>
      <c r="I6979" s="34" t="s">
        <v>10</v>
      </c>
      <c r="J6979" s="38" t="s">
        <v>81</v>
      </c>
    </row>
    <row r="6980" spans="1:10">
      <c r="A6980" s="32">
        <v>343</v>
      </c>
      <c r="B6980" s="33">
        <v>7955</v>
      </c>
      <c r="C6980" s="3">
        <v>900000</v>
      </c>
      <c r="D6980" s="3">
        <v>900000</v>
      </c>
      <c r="E6980" s="31">
        <v>0</v>
      </c>
      <c r="F6980" s="5">
        <v>45967</v>
      </c>
      <c r="G6980" s="4">
        <v>20251105</v>
      </c>
      <c r="H6980" s="38" t="s">
        <v>30</v>
      </c>
      <c r="I6980" s="34" t="s">
        <v>9</v>
      </c>
      <c r="J6980" s="38" t="s">
        <v>95</v>
      </c>
    </row>
    <row r="6981" spans="1:10">
      <c r="A6981" s="32">
        <v>358</v>
      </c>
      <c r="B6981" s="33">
        <v>4499</v>
      </c>
      <c r="C6981" s="3">
        <v>650000</v>
      </c>
      <c r="D6981" s="3">
        <v>650000</v>
      </c>
      <c r="E6981" s="31">
        <v>0</v>
      </c>
      <c r="F6981" s="5">
        <v>45967</v>
      </c>
      <c r="G6981" s="4">
        <v>20251105</v>
      </c>
      <c r="H6981" s="38" t="s">
        <v>30</v>
      </c>
      <c r="I6981" s="34" t="s">
        <v>9</v>
      </c>
      <c r="J6981" s="38" t="s">
        <v>575</v>
      </c>
    </row>
    <row r="6982" spans="1:10">
      <c r="A6982" s="32">
        <v>799</v>
      </c>
      <c r="B6982" s="33">
        <v>8185</v>
      </c>
      <c r="C6982" s="3">
        <v>540000</v>
      </c>
      <c r="D6982" s="3">
        <v>540000</v>
      </c>
      <c r="E6982" s="31">
        <v>0</v>
      </c>
      <c r="F6982" s="5">
        <v>45967</v>
      </c>
      <c r="G6982" s="4">
        <v>20251105</v>
      </c>
      <c r="H6982" s="38" t="s">
        <v>30</v>
      </c>
      <c r="I6982" s="34" t="s">
        <v>9</v>
      </c>
      <c r="J6982" s="38" t="s">
        <v>101</v>
      </c>
    </row>
    <row r="6983" spans="1:10">
      <c r="A6983" s="32">
        <v>467</v>
      </c>
      <c r="B6983" s="33">
        <v>9051</v>
      </c>
      <c r="C6983" s="3">
        <v>1625000</v>
      </c>
      <c r="D6983" s="3">
        <v>1625000</v>
      </c>
      <c r="E6983" s="31">
        <v>0</v>
      </c>
      <c r="F6983" s="5">
        <v>45967</v>
      </c>
      <c r="G6983" s="4">
        <v>20251105</v>
      </c>
      <c r="H6983" s="38" t="s">
        <v>24</v>
      </c>
      <c r="I6983" s="34" t="s">
        <v>9</v>
      </c>
      <c r="J6983" s="38" t="s">
        <v>314</v>
      </c>
    </row>
    <row r="6984" spans="1:10">
      <c r="A6984" s="32">
        <v>799</v>
      </c>
      <c r="B6984" s="33">
        <v>8184</v>
      </c>
      <c r="C6984" s="3">
        <v>20000</v>
      </c>
      <c r="D6984" s="3">
        <v>20000</v>
      </c>
      <c r="E6984" s="31">
        <v>0</v>
      </c>
      <c r="F6984" s="5">
        <v>45967</v>
      </c>
      <c r="G6984" s="4">
        <v>20251105</v>
      </c>
      <c r="H6984" s="38" t="s">
        <v>30</v>
      </c>
      <c r="I6984" s="34" t="s">
        <v>10</v>
      </c>
      <c r="J6984" s="38" t="s">
        <v>69</v>
      </c>
    </row>
    <row r="6985" spans="1:10">
      <c r="A6985" s="32">
        <v>348</v>
      </c>
      <c r="B6985" s="33">
        <v>5649</v>
      </c>
      <c r="C6985" s="3">
        <v>3160000</v>
      </c>
      <c r="D6985" s="3">
        <v>3160000</v>
      </c>
      <c r="E6985" s="31">
        <v>0</v>
      </c>
      <c r="F6985" s="5">
        <v>45968</v>
      </c>
      <c r="G6985" s="4">
        <v>20251106</v>
      </c>
      <c r="H6985" s="38" t="s">
        <v>30</v>
      </c>
      <c r="I6985" s="34" t="s">
        <v>9</v>
      </c>
      <c r="J6985" s="38" t="s">
        <v>375</v>
      </c>
    </row>
    <row r="6986" spans="1:10">
      <c r="A6986" s="32">
        <v>567</v>
      </c>
      <c r="B6986" s="33">
        <v>2423</v>
      </c>
      <c r="C6986" s="3">
        <v>670000</v>
      </c>
      <c r="D6986" s="3">
        <v>670000</v>
      </c>
      <c r="E6986" s="31">
        <v>0</v>
      </c>
      <c r="F6986" s="5">
        <v>45968</v>
      </c>
      <c r="G6986" s="4">
        <v>20251106</v>
      </c>
      <c r="H6986" s="38" t="s">
        <v>30</v>
      </c>
      <c r="I6986" s="34" t="s">
        <v>9</v>
      </c>
      <c r="J6986" s="38" t="s">
        <v>342</v>
      </c>
    </row>
    <row r="6987" spans="1:10">
      <c r="A6987" s="32">
        <v>799</v>
      </c>
      <c r="B6987" s="33">
        <v>8187</v>
      </c>
      <c r="C6987" s="3">
        <v>8100000</v>
      </c>
      <c r="D6987" s="3">
        <v>8100000</v>
      </c>
      <c r="E6987" s="31">
        <v>0</v>
      </c>
      <c r="F6987" s="5">
        <v>45968</v>
      </c>
      <c r="G6987" s="4">
        <v>20251106</v>
      </c>
      <c r="H6987" s="38" t="s">
        <v>30</v>
      </c>
      <c r="I6987" s="34" t="s">
        <v>9</v>
      </c>
      <c r="J6987" s="38" t="s">
        <v>338</v>
      </c>
    </row>
    <row r="6988" spans="1:10">
      <c r="A6988" s="32">
        <v>358</v>
      </c>
      <c r="B6988" s="33">
        <v>4499</v>
      </c>
      <c r="C6988" s="3">
        <v>290000</v>
      </c>
      <c r="D6988" s="3">
        <v>290000</v>
      </c>
      <c r="E6988" s="31">
        <v>0</v>
      </c>
      <c r="F6988" s="5">
        <v>45971</v>
      </c>
      <c r="G6988" s="4">
        <v>20251109</v>
      </c>
      <c r="H6988" s="38" t="s">
        <v>30</v>
      </c>
      <c r="I6988" s="34" t="s">
        <v>9</v>
      </c>
      <c r="J6988" s="38" t="s">
        <v>575</v>
      </c>
    </row>
    <row r="6989" spans="1:10">
      <c r="A6989" s="32">
        <v>522</v>
      </c>
      <c r="B6989" s="33">
        <v>4590</v>
      </c>
      <c r="C6989" s="3">
        <v>2970000</v>
      </c>
      <c r="D6989" s="3">
        <v>2970000</v>
      </c>
      <c r="E6989" s="31">
        <v>0</v>
      </c>
      <c r="F6989" s="5">
        <v>45971</v>
      </c>
      <c r="G6989" s="4">
        <v>20251109</v>
      </c>
      <c r="H6989" s="38" t="s">
        <v>30</v>
      </c>
      <c r="I6989" s="34" t="s">
        <v>9</v>
      </c>
      <c r="J6989" s="38" t="s">
        <v>348</v>
      </c>
    </row>
    <row r="6990" spans="1:10">
      <c r="A6990" s="32">
        <v>799</v>
      </c>
      <c r="B6990" s="33">
        <v>8185</v>
      </c>
      <c r="C6990" s="3">
        <v>280000</v>
      </c>
      <c r="D6990" s="3">
        <v>280000</v>
      </c>
      <c r="E6990" s="31">
        <v>0</v>
      </c>
      <c r="F6990" s="5">
        <v>45971</v>
      </c>
      <c r="G6990" s="4">
        <v>20251109</v>
      </c>
      <c r="H6990" s="38" t="s">
        <v>30</v>
      </c>
      <c r="I6990" s="34" t="s">
        <v>9</v>
      </c>
      <c r="J6990" s="38" t="s">
        <v>101</v>
      </c>
    </row>
    <row r="6991" spans="1:10">
      <c r="A6991" s="32">
        <v>799</v>
      </c>
      <c r="B6991" s="33">
        <v>8186</v>
      </c>
      <c r="C6991" s="3">
        <v>3860000</v>
      </c>
      <c r="D6991" s="3">
        <v>3860000</v>
      </c>
      <c r="E6991" s="31">
        <v>0</v>
      </c>
      <c r="F6991" s="5">
        <v>45971</v>
      </c>
      <c r="G6991" s="4">
        <v>20251109</v>
      </c>
      <c r="H6991" s="38" t="s">
        <v>30</v>
      </c>
      <c r="I6991" s="34" t="s">
        <v>9</v>
      </c>
      <c r="J6991" s="38" t="s">
        <v>463</v>
      </c>
    </row>
    <row r="6992" spans="1:10">
      <c r="A6992" s="32">
        <v>799</v>
      </c>
      <c r="B6992" s="33">
        <v>8187</v>
      </c>
      <c r="C6992" s="3">
        <v>240000</v>
      </c>
      <c r="D6992" s="3">
        <v>240000</v>
      </c>
      <c r="E6992" s="31">
        <v>0</v>
      </c>
      <c r="F6992" s="5">
        <v>45971</v>
      </c>
      <c r="G6992" s="4">
        <v>20251109</v>
      </c>
      <c r="H6992" s="38" t="s">
        <v>30</v>
      </c>
      <c r="I6992" s="34" t="s">
        <v>9</v>
      </c>
      <c r="J6992" s="38" t="s">
        <v>338</v>
      </c>
    </row>
    <row r="6993" spans="1:10">
      <c r="A6993" s="32">
        <v>658</v>
      </c>
      <c r="B6993" s="33">
        <v>7074</v>
      </c>
      <c r="C6993" s="3">
        <v>2513600</v>
      </c>
      <c r="D6993" s="3">
        <v>2513600</v>
      </c>
      <c r="E6993" s="31">
        <v>0</v>
      </c>
      <c r="F6993" s="5">
        <v>45971</v>
      </c>
      <c r="G6993" s="4">
        <v>20251107</v>
      </c>
      <c r="H6993" s="38" t="s">
        <v>24</v>
      </c>
      <c r="I6993" s="34"/>
      <c r="J6993" s="38" t="s">
        <v>414</v>
      </c>
    </row>
    <row r="6994" spans="1:10">
      <c r="A6994" s="32">
        <v>728</v>
      </c>
      <c r="B6994" s="33">
        <v>8587</v>
      </c>
      <c r="C6994" s="3">
        <v>660000</v>
      </c>
      <c r="D6994" s="3">
        <v>660000</v>
      </c>
      <c r="E6994" s="31">
        <v>0</v>
      </c>
      <c r="F6994" s="5">
        <v>45971</v>
      </c>
      <c r="G6994" s="4">
        <v>20251109</v>
      </c>
      <c r="H6994" s="38" t="s">
        <v>24</v>
      </c>
      <c r="I6994" s="34" t="s">
        <v>9</v>
      </c>
      <c r="J6994" s="38" t="s">
        <v>130</v>
      </c>
    </row>
    <row r="6995" spans="1:10">
      <c r="A6995" s="32">
        <v>348</v>
      </c>
      <c r="B6995" s="33">
        <v>5649</v>
      </c>
      <c r="C6995" s="3">
        <v>730000</v>
      </c>
      <c r="D6995" s="3">
        <v>730000</v>
      </c>
      <c r="E6995" s="31">
        <v>0</v>
      </c>
      <c r="F6995" s="5">
        <v>45972</v>
      </c>
      <c r="G6995" s="4">
        <v>20251110</v>
      </c>
      <c r="H6995" s="38" t="s">
        <v>30</v>
      </c>
      <c r="I6995" s="34" t="s">
        <v>9</v>
      </c>
      <c r="J6995" s="38" t="s">
        <v>375</v>
      </c>
    </row>
    <row r="6996" spans="1:10">
      <c r="A6996" s="32">
        <v>522</v>
      </c>
      <c r="B6996" s="33">
        <v>4590</v>
      </c>
      <c r="C6996" s="3">
        <v>3000000</v>
      </c>
      <c r="D6996" s="3">
        <v>3000000</v>
      </c>
      <c r="E6996" s="31">
        <v>0</v>
      </c>
      <c r="F6996" s="5">
        <v>45972</v>
      </c>
      <c r="G6996" s="4">
        <v>20251110</v>
      </c>
      <c r="H6996" s="38" t="s">
        <v>30</v>
      </c>
      <c r="I6996" s="34" t="s">
        <v>9</v>
      </c>
      <c r="J6996" s="38" t="s">
        <v>348</v>
      </c>
    </row>
    <row r="6997" spans="1:10">
      <c r="A6997" s="32">
        <v>567</v>
      </c>
      <c r="B6997" s="33">
        <v>2423</v>
      </c>
      <c r="C6997" s="3">
        <v>6830000</v>
      </c>
      <c r="D6997" s="3">
        <v>6830000</v>
      </c>
      <c r="E6997" s="31">
        <v>0</v>
      </c>
      <c r="F6997" s="5">
        <v>45972</v>
      </c>
      <c r="G6997" s="4">
        <v>20251110</v>
      </c>
      <c r="H6997" s="38" t="s">
        <v>30</v>
      </c>
      <c r="I6997" s="34" t="s">
        <v>9</v>
      </c>
      <c r="J6997" s="38" t="s">
        <v>342</v>
      </c>
    </row>
    <row r="6998" spans="1:10">
      <c r="A6998" s="32">
        <v>820</v>
      </c>
      <c r="B6998" s="33">
        <v>6174</v>
      </c>
      <c r="C6998" s="3">
        <v>2415100</v>
      </c>
      <c r="D6998" s="3">
        <v>2415100</v>
      </c>
      <c r="E6998" s="31">
        <v>0</v>
      </c>
      <c r="F6998" s="5">
        <v>45972</v>
      </c>
      <c r="G6998" s="4">
        <v>20251110</v>
      </c>
      <c r="H6998" s="38" t="s">
        <v>24</v>
      </c>
      <c r="I6998" s="34" t="s">
        <v>9</v>
      </c>
      <c r="J6998" s="38" t="s">
        <v>395</v>
      </c>
    </row>
    <row r="6999" spans="1:10">
      <c r="A6999" s="32">
        <v>888</v>
      </c>
      <c r="B6999" s="33">
        <v>6818</v>
      </c>
      <c r="C6999" s="3">
        <v>1730000</v>
      </c>
      <c r="D6999" s="3">
        <v>1730000</v>
      </c>
      <c r="E6999" s="31">
        <v>0</v>
      </c>
      <c r="F6999" s="5">
        <v>45972</v>
      </c>
      <c r="G6999" s="4">
        <v>20251110</v>
      </c>
      <c r="H6999" s="38" t="s">
        <v>24</v>
      </c>
      <c r="I6999" s="34" t="s">
        <v>9</v>
      </c>
      <c r="J6999" s="38" t="s">
        <v>321</v>
      </c>
    </row>
    <row r="7000" spans="1:10">
      <c r="A7000" s="32">
        <v>6</v>
      </c>
      <c r="B7000" s="33">
        <v>5001</v>
      </c>
      <c r="C7000" s="3">
        <v>20000</v>
      </c>
      <c r="D7000" s="3">
        <v>20000</v>
      </c>
      <c r="E7000" s="31">
        <v>0</v>
      </c>
      <c r="F7000" s="5">
        <v>45972</v>
      </c>
      <c r="G7000" s="4">
        <v>20251110</v>
      </c>
      <c r="H7000" s="38" t="s">
        <v>24</v>
      </c>
      <c r="I7000" s="34" t="s">
        <v>10</v>
      </c>
      <c r="J7000" s="38" t="s">
        <v>281</v>
      </c>
    </row>
    <row r="7001" spans="1:10">
      <c r="A7001" s="32">
        <v>229</v>
      </c>
      <c r="B7001" s="33">
        <v>9605</v>
      </c>
      <c r="C7001" s="3">
        <v>1620000</v>
      </c>
      <c r="D7001" s="3">
        <v>1620000</v>
      </c>
      <c r="E7001" s="31">
        <v>0</v>
      </c>
      <c r="F7001" s="5">
        <v>45973</v>
      </c>
      <c r="G7001" s="4">
        <v>20251111</v>
      </c>
      <c r="H7001" s="38" t="s">
        <v>24</v>
      </c>
      <c r="I7001" s="34" t="s">
        <v>9</v>
      </c>
      <c r="J7001" s="38" t="s">
        <v>153</v>
      </c>
    </row>
    <row r="7002" spans="1:10">
      <c r="A7002" s="32">
        <v>907</v>
      </c>
      <c r="B7002" s="33">
        <v>5019</v>
      </c>
      <c r="C7002" s="3">
        <v>650000</v>
      </c>
      <c r="D7002" s="3">
        <v>650000</v>
      </c>
      <c r="E7002" s="31">
        <v>0</v>
      </c>
      <c r="F7002" s="5">
        <v>45973</v>
      </c>
      <c r="G7002" s="4">
        <v>20251111</v>
      </c>
      <c r="H7002" s="38" t="s">
        <v>24</v>
      </c>
      <c r="I7002" s="34" t="s">
        <v>9</v>
      </c>
      <c r="J7002" s="38" t="s">
        <v>111</v>
      </c>
    </row>
    <row r="7003" spans="1:10">
      <c r="A7003" s="32">
        <v>623</v>
      </c>
      <c r="B7003" s="33">
        <v>5047</v>
      </c>
      <c r="C7003" s="3">
        <v>390000</v>
      </c>
      <c r="D7003" s="3">
        <v>390000</v>
      </c>
      <c r="E7003" s="31">
        <v>0</v>
      </c>
      <c r="F7003" s="5">
        <v>45973</v>
      </c>
      <c r="G7003" s="4">
        <v>20251111</v>
      </c>
      <c r="H7003" s="38" t="s">
        <v>24</v>
      </c>
      <c r="I7003" s="34" t="s">
        <v>9</v>
      </c>
      <c r="J7003" s="38" t="s">
        <v>26</v>
      </c>
    </row>
    <row r="7004" spans="1:10">
      <c r="A7004" s="32">
        <v>59</v>
      </c>
      <c r="B7004" s="33">
        <v>5002</v>
      </c>
      <c r="C7004" s="3">
        <v>290000</v>
      </c>
      <c r="D7004" s="3">
        <v>290000</v>
      </c>
      <c r="E7004" s="31">
        <v>0</v>
      </c>
      <c r="F7004" s="5">
        <v>45973</v>
      </c>
      <c r="G7004" s="4">
        <v>20251111</v>
      </c>
      <c r="H7004" s="38" t="s">
        <v>24</v>
      </c>
      <c r="I7004" s="34" t="s">
        <v>9</v>
      </c>
      <c r="J7004" s="38" t="s">
        <v>407</v>
      </c>
    </row>
    <row r="7005" spans="1:10">
      <c r="A7005" s="32">
        <v>6</v>
      </c>
      <c r="B7005" s="33">
        <v>5001</v>
      </c>
      <c r="C7005" s="3">
        <v>30000</v>
      </c>
      <c r="D7005" s="3">
        <v>30000</v>
      </c>
      <c r="E7005" s="31">
        <v>0</v>
      </c>
      <c r="F7005" s="5">
        <v>45973</v>
      </c>
      <c r="G7005" s="4">
        <v>20251111</v>
      </c>
      <c r="H7005" s="38" t="s">
        <v>24</v>
      </c>
      <c r="I7005" s="34" t="s">
        <v>9</v>
      </c>
      <c r="J7005" s="38" t="s">
        <v>281</v>
      </c>
    </row>
    <row r="7006" spans="1:10">
      <c r="A7006" s="32">
        <v>567</v>
      </c>
      <c r="B7006" s="33">
        <v>2423</v>
      </c>
      <c r="C7006" s="3">
        <v>1530000</v>
      </c>
      <c r="D7006" s="3">
        <v>1530000</v>
      </c>
      <c r="E7006" s="7">
        <v>0</v>
      </c>
      <c r="F7006" s="5">
        <v>45974</v>
      </c>
      <c r="G7006" s="4">
        <v>20251112</v>
      </c>
      <c r="H7006" s="38" t="s">
        <v>30</v>
      </c>
      <c r="I7006" s="34" t="s">
        <v>9</v>
      </c>
      <c r="J7006" s="38" t="s">
        <v>342</v>
      </c>
    </row>
    <row r="7007" spans="1:10">
      <c r="A7007" s="32">
        <v>799</v>
      </c>
      <c r="B7007" s="33">
        <v>8184</v>
      </c>
      <c r="C7007" s="3">
        <v>80000</v>
      </c>
      <c r="D7007" s="3">
        <v>80000</v>
      </c>
      <c r="E7007" s="7">
        <v>0</v>
      </c>
      <c r="F7007" s="5">
        <v>45974</v>
      </c>
      <c r="G7007" s="4">
        <v>20251112</v>
      </c>
      <c r="H7007" s="38" t="s">
        <v>30</v>
      </c>
      <c r="I7007" s="34" t="s">
        <v>9</v>
      </c>
      <c r="J7007" s="38" t="s">
        <v>69</v>
      </c>
    </row>
    <row r="7008" spans="1:10">
      <c r="A7008" s="32">
        <v>888</v>
      </c>
      <c r="B7008" s="33">
        <v>6818</v>
      </c>
      <c r="C7008" s="3">
        <v>3690000</v>
      </c>
      <c r="D7008" s="3">
        <v>3690000</v>
      </c>
      <c r="E7008" s="7">
        <v>0</v>
      </c>
      <c r="F7008" s="5">
        <v>45974</v>
      </c>
      <c r="G7008" s="4">
        <v>20251112</v>
      </c>
      <c r="H7008" s="38" t="s">
        <v>24</v>
      </c>
      <c r="I7008" s="34" t="s">
        <v>9</v>
      </c>
      <c r="J7008" s="38" t="s">
        <v>321</v>
      </c>
    </row>
    <row r="7009" spans="1:10">
      <c r="A7009" s="32">
        <v>728</v>
      </c>
      <c r="B7009" s="33">
        <v>8587</v>
      </c>
      <c r="C7009" s="3">
        <v>2980000</v>
      </c>
      <c r="D7009" s="3">
        <v>2980000</v>
      </c>
      <c r="E7009" s="7">
        <v>0</v>
      </c>
      <c r="F7009" s="5">
        <v>45974</v>
      </c>
      <c r="G7009" s="4">
        <v>20251112</v>
      </c>
      <c r="H7009" s="38" t="s">
        <v>24</v>
      </c>
      <c r="I7009" s="34" t="s">
        <v>9</v>
      </c>
      <c r="J7009" s="38" t="s">
        <v>130</v>
      </c>
    </row>
    <row r="7010" spans="1:10">
      <c r="A7010" s="32">
        <v>59</v>
      </c>
      <c r="B7010" s="33">
        <v>5002</v>
      </c>
      <c r="C7010" s="3">
        <v>2080000</v>
      </c>
      <c r="D7010" s="3">
        <v>2080000</v>
      </c>
      <c r="E7010" s="7">
        <v>0</v>
      </c>
      <c r="F7010" s="5">
        <v>45974</v>
      </c>
      <c r="G7010" s="4">
        <v>20251112</v>
      </c>
      <c r="H7010" s="38" t="s">
        <v>24</v>
      </c>
      <c r="I7010" s="34" t="s">
        <v>9</v>
      </c>
      <c r="J7010" s="38" t="s">
        <v>407</v>
      </c>
    </row>
    <row r="7011" spans="1:10">
      <c r="A7011" s="32">
        <v>6</v>
      </c>
      <c r="B7011" s="33">
        <v>5001</v>
      </c>
      <c r="C7011" s="3">
        <v>360000</v>
      </c>
      <c r="D7011" s="3">
        <v>360000</v>
      </c>
      <c r="E7011" s="7">
        <v>0</v>
      </c>
      <c r="F7011" s="5">
        <v>45974</v>
      </c>
      <c r="G7011" s="4">
        <v>20251112</v>
      </c>
      <c r="H7011" s="38" t="s">
        <v>24</v>
      </c>
      <c r="I7011" s="34" t="s">
        <v>9</v>
      </c>
      <c r="J7011" s="38" t="s">
        <v>281</v>
      </c>
    </row>
    <row r="7012" spans="1:10">
      <c r="A7012" s="32">
        <v>96</v>
      </c>
      <c r="B7012" s="33">
        <v>1035</v>
      </c>
      <c r="C7012" s="3">
        <v>450000</v>
      </c>
      <c r="D7012" s="3">
        <v>450000</v>
      </c>
      <c r="E7012" s="31">
        <v>0</v>
      </c>
      <c r="F7012" s="5">
        <v>45965</v>
      </c>
      <c r="G7012" s="4">
        <v>20251103</v>
      </c>
      <c r="H7012" s="38" t="s">
        <v>30</v>
      </c>
      <c r="I7012" s="34" t="s">
        <v>9</v>
      </c>
      <c r="J7012" s="38" t="s">
        <v>60</v>
      </c>
    </row>
    <row r="7013" spans="1:10">
      <c r="A7013" s="32">
        <v>512</v>
      </c>
      <c r="B7013" s="33">
        <v>4718</v>
      </c>
      <c r="C7013" s="3">
        <v>1690000</v>
      </c>
      <c r="D7013" s="3">
        <v>1690000</v>
      </c>
      <c r="E7013" s="31">
        <v>0</v>
      </c>
      <c r="F7013" s="5">
        <v>45965</v>
      </c>
      <c r="G7013" s="4">
        <v>20251103</v>
      </c>
      <c r="H7013" s="38" t="s">
        <v>30</v>
      </c>
      <c r="I7013" s="34" t="s">
        <v>9</v>
      </c>
      <c r="J7013" s="38" t="s">
        <v>234</v>
      </c>
    </row>
    <row r="7014" spans="1:10">
      <c r="A7014" s="32">
        <v>631</v>
      </c>
      <c r="B7014" s="33">
        <v>2794</v>
      </c>
      <c r="C7014" s="3">
        <v>200000</v>
      </c>
      <c r="D7014" s="3">
        <v>200000</v>
      </c>
      <c r="E7014" s="31">
        <v>0</v>
      </c>
      <c r="F7014" s="5">
        <v>45965</v>
      </c>
      <c r="G7014" s="4">
        <v>20251103</v>
      </c>
      <c r="H7014" s="38" t="s">
        <v>30</v>
      </c>
      <c r="I7014" s="34" t="s">
        <v>9</v>
      </c>
      <c r="J7014" s="38" t="s">
        <v>97</v>
      </c>
    </row>
    <row r="7015" spans="1:10">
      <c r="A7015" s="32">
        <v>795</v>
      </c>
      <c r="B7015" s="33">
        <v>1023</v>
      </c>
      <c r="C7015" s="3">
        <v>100000</v>
      </c>
      <c r="D7015" s="3">
        <v>100000</v>
      </c>
      <c r="E7015" s="31">
        <v>0</v>
      </c>
      <c r="F7015" s="5">
        <v>45965</v>
      </c>
      <c r="G7015" s="4">
        <v>20251103</v>
      </c>
      <c r="H7015" s="38" t="s">
        <v>30</v>
      </c>
      <c r="I7015" s="34" t="s">
        <v>9</v>
      </c>
      <c r="J7015" s="38" t="s">
        <v>620</v>
      </c>
    </row>
    <row r="7016" spans="1:10">
      <c r="A7016" s="32">
        <v>882</v>
      </c>
      <c r="B7016" s="33">
        <v>3510</v>
      </c>
      <c r="C7016" s="3">
        <v>200000</v>
      </c>
      <c r="D7016" s="3">
        <v>200000</v>
      </c>
      <c r="E7016" s="31">
        <v>0</v>
      </c>
      <c r="F7016" s="5">
        <v>45965</v>
      </c>
      <c r="G7016" s="4">
        <v>20251103</v>
      </c>
      <c r="H7016" s="38" t="s">
        <v>30</v>
      </c>
      <c r="I7016" s="34" t="s">
        <v>9</v>
      </c>
      <c r="J7016" s="38" t="s">
        <v>222</v>
      </c>
    </row>
    <row r="7017" spans="1:10">
      <c r="A7017" s="32">
        <v>966</v>
      </c>
      <c r="B7017" s="33">
        <v>9943</v>
      </c>
      <c r="C7017" s="3">
        <v>870000</v>
      </c>
      <c r="D7017" s="3">
        <v>870000</v>
      </c>
      <c r="E7017" s="31">
        <v>0</v>
      </c>
      <c r="F7017" s="5">
        <v>45965</v>
      </c>
      <c r="G7017" s="4">
        <v>20251103</v>
      </c>
      <c r="H7017" s="38" t="s">
        <v>30</v>
      </c>
      <c r="I7017" s="34" t="s">
        <v>9</v>
      </c>
      <c r="J7017" s="38" t="s">
        <v>40</v>
      </c>
    </row>
    <row r="7018" spans="1:10">
      <c r="A7018" s="32">
        <v>499</v>
      </c>
      <c r="B7018" s="33">
        <v>9810</v>
      </c>
      <c r="C7018" s="3">
        <v>2235000</v>
      </c>
      <c r="D7018" s="3">
        <v>2235000</v>
      </c>
      <c r="E7018" s="31">
        <v>0</v>
      </c>
      <c r="F7018" s="5">
        <v>45966</v>
      </c>
      <c r="G7018" s="4">
        <v>20251104</v>
      </c>
      <c r="H7018" s="38" t="s">
        <v>24</v>
      </c>
      <c r="I7018" s="34" t="s">
        <v>9</v>
      </c>
      <c r="J7018" s="38" t="s">
        <v>621</v>
      </c>
    </row>
    <row r="7019" spans="1:10">
      <c r="A7019" s="32">
        <v>331</v>
      </c>
      <c r="B7019" s="33">
        <v>575</v>
      </c>
      <c r="C7019" s="3">
        <v>60000</v>
      </c>
      <c r="D7019" s="3">
        <v>60000</v>
      </c>
      <c r="E7019" s="31">
        <v>0</v>
      </c>
      <c r="F7019" s="5">
        <v>45966</v>
      </c>
      <c r="G7019" s="4">
        <v>20251104</v>
      </c>
      <c r="H7019" s="38" t="s">
        <v>24</v>
      </c>
      <c r="I7019" s="34" t="s">
        <v>9</v>
      </c>
      <c r="J7019" s="38" t="s">
        <v>596</v>
      </c>
    </row>
    <row r="7020" spans="1:10">
      <c r="A7020" s="32">
        <v>520</v>
      </c>
      <c r="B7020" s="33">
        <v>8281</v>
      </c>
      <c r="C7020" s="3">
        <v>20000</v>
      </c>
      <c r="D7020" s="3">
        <v>20000</v>
      </c>
      <c r="E7020" s="31">
        <v>0</v>
      </c>
      <c r="F7020" s="5">
        <v>45966</v>
      </c>
      <c r="G7020" s="4">
        <v>20251104</v>
      </c>
      <c r="H7020" s="38" t="s">
        <v>30</v>
      </c>
      <c r="I7020" s="34"/>
      <c r="J7020" s="38" t="s">
        <v>622</v>
      </c>
    </row>
    <row r="7021" spans="1:10">
      <c r="A7021" s="32">
        <v>512</v>
      </c>
      <c r="B7021" s="33">
        <v>4718</v>
      </c>
      <c r="C7021" s="3">
        <v>180000</v>
      </c>
      <c r="D7021" s="3">
        <v>180000</v>
      </c>
      <c r="E7021" s="31">
        <v>0</v>
      </c>
      <c r="F7021" s="5">
        <v>45966</v>
      </c>
      <c r="G7021" s="4">
        <v>20251104</v>
      </c>
      <c r="H7021" s="38" t="s">
        <v>30</v>
      </c>
      <c r="I7021" s="34" t="s">
        <v>9</v>
      </c>
      <c r="J7021" s="38" t="s">
        <v>234</v>
      </c>
    </row>
    <row r="7022" spans="1:10">
      <c r="A7022" s="32">
        <v>520</v>
      </c>
      <c r="B7022" s="33">
        <v>4471</v>
      </c>
      <c r="C7022" s="3">
        <v>1100000</v>
      </c>
      <c r="D7022" s="3">
        <v>1100000</v>
      </c>
      <c r="E7022" s="31">
        <v>0</v>
      </c>
      <c r="F7022" s="5">
        <v>45966</v>
      </c>
      <c r="G7022" s="4">
        <v>20251104</v>
      </c>
      <c r="H7022" s="38" t="s">
        <v>30</v>
      </c>
      <c r="I7022" s="34" t="s">
        <v>9</v>
      </c>
      <c r="J7022" s="38" t="s">
        <v>96</v>
      </c>
    </row>
    <row r="7023" spans="1:10">
      <c r="A7023" s="32">
        <v>882</v>
      </c>
      <c r="B7023" s="33">
        <v>3510</v>
      </c>
      <c r="C7023" s="3">
        <v>150000</v>
      </c>
      <c r="D7023" s="3">
        <v>150000</v>
      </c>
      <c r="E7023" s="31">
        <v>0</v>
      </c>
      <c r="F7023" s="5">
        <v>45966</v>
      </c>
      <c r="G7023" s="4">
        <v>20251104</v>
      </c>
      <c r="H7023" s="38" t="s">
        <v>30</v>
      </c>
      <c r="I7023" s="34" t="s">
        <v>9</v>
      </c>
      <c r="J7023" s="38" t="s">
        <v>222</v>
      </c>
    </row>
    <row r="7024" spans="1:10">
      <c r="A7024" s="32">
        <v>631</v>
      </c>
      <c r="B7024" s="33">
        <v>2794</v>
      </c>
      <c r="C7024" s="3">
        <v>10000</v>
      </c>
      <c r="D7024" s="3">
        <v>10000</v>
      </c>
      <c r="E7024" s="31">
        <v>0</v>
      </c>
      <c r="F7024" s="5">
        <v>45966</v>
      </c>
      <c r="G7024" s="4">
        <v>20251104</v>
      </c>
      <c r="H7024" s="38" t="s">
        <v>30</v>
      </c>
      <c r="I7024" s="34" t="s">
        <v>10</v>
      </c>
      <c r="J7024" s="38" t="s">
        <v>97</v>
      </c>
    </row>
    <row r="7025" spans="1:10">
      <c r="A7025" s="32">
        <v>520</v>
      </c>
      <c r="B7025" s="33">
        <v>8281</v>
      </c>
      <c r="C7025" s="3">
        <v>40000</v>
      </c>
      <c r="D7025" s="3">
        <v>40000</v>
      </c>
      <c r="E7025" s="31">
        <v>0</v>
      </c>
      <c r="F7025" s="5">
        <v>45967</v>
      </c>
      <c r="G7025" s="4">
        <v>20251105</v>
      </c>
      <c r="H7025" s="38" t="s">
        <v>30</v>
      </c>
      <c r="I7025" s="34" t="s">
        <v>9</v>
      </c>
      <c r="J7025" s="38" t="s">
        <v>622</v>
      </c>
    </row>
    <row r="7026" spans="1:10">
      <c r="A7026" s="32">
        <v>882</v>
      </c>
      <c r="B7026" s="33">
        <v>3510</v>
      </c>
      <c r="C7026" s="3">
        <v>100000</v>
      </c>
      <c r="D7026" s="3">
        <v>100000</v>
      </c>
      <c r="E7026" s="31">
        <v>0</v>
      </c>
      <c r="F7026" s="5">
        <v>45967</v>
      </c>
      <c r="G7026" s="4">
        <v>20251105</v>
      </c>
      <c r="H7026" s="38" t="s">
        <v>30</v>
      </c>
      <c r="I7026" s="34" t="s">
        <v>9</v>
      </c>
      <c r="J7026" s="38" t="s">
        <v>222</v>
      </c>
    </row>
    <row r="7027" spans="1:10">
      <c r="A7027" s="32">
        <v>264</v>
      </c>
      <c r="B7027" s="33">
        <v>9906</v>
      </c>
      <c r="C7027" s="3">
        <v>3740000</v>
      </c>
      <c r="D7027" s="3">
        <v>3740000</v>
      </c>
      <c r="E7027" s="31">
        <v>0</v>
      </c>
      <c r="F7027" s="5">
        <v>45967</v>
      </c>
      <c r="G7027" s="4">
        <v>20251105</v>
      </c>
      <c r="H7027" s="38" t="s">
        <v>24</v>
      </c>
      <c r="I7027" s="34" t="s">
        <v>9</v>
      </c>
      <c r="J7027" s="38" t="s">
        <v>57</v>
      </c>
    </row>
    <row r="7028" spans="1:10">
      <c r="A7028" s="32">
        <v>211</v>
      </c>
      <c r="B7028" s="33">
        <v>5308</v>
      </c>
      <c r="C7028" s="3">
        <v>20000</v>
      </c>
      <c r="D7028" s="3">
        <v>20000</v>
      </c>
      <c r="E7028" s="31">
        <v>0</v>
      </c>
      <c r="F7028" s="5">
        <v>45967</v>
      </c>
      <c r="G7028" s="4">
        <v>20251105</v>
      </c>
      <c r="H7028" s="38" t="s">
        <v>30</v>
      </c>
      <c r="I7028" s="34" t="s">
        <v>10</v>
      </c>
      <c r="J7028" s="38" t="s">
        <v>182</v>
      </c>
    </row>
    <row r="7029" spans="1:10">
      <c r="A7029" s="32">
        <v>216</v>
      </c>
      <c r="B7029" s="33">
        <v>4434</v>
      </c>
      <c r="C7029" s="3">
        <v>5610000</v>
      </c>
      <c r="D7029" s="3">
        <v>5610000</v>
      </c>
      <c r="E7029" s="31">
        <v>0</v>
      </c>
      <c r="F7029" s="5">
        <v>45968</v>
      </c>
      <c r="G7029" s="4">
        <v>20251106</v>
      </c>
      <c r="H7029" s="38" t="s">
        <v>30</v>
      </c>
      <c r="I7029" s="34" t="s">
        <v>9</v>
      </c>
      <c r="J7029" s="38" t="s">
        <v>623</v>
      </c>
    </row>
    <row r="7030" spans="1:10">
      <c r="A7030" s="32">
        <v>595</v>
      </c>
      <c r="B7030" s="33">
        <v>3697</v>
      </c>
      <c r="C7030" s="3">
        <v>100000</v>
      </c>
      <c r="D7030" s="3">
        <v>100000</v>
      </c>
      <c r="E7030" s="31">
        <v>0</v>
      </c>
      <c r="F7030" s="5">
        <v>45968</v>
      </c>
      <c r="G7030" s="4">
        <v>20251106</v>
      </c>
      <c r="H7030" s="38" t="s">
        <v>30</v>
      </c>
      <c r="I7030" s="34" t="s">
        <v>9</v>
      </c>
      <c r="J7030" s="38" t="s">
        <v>403</v>
      </c>
    </row>
    <row r="7031" spans="1:10">
      <c r="A7031" s="32">
        <v>631</v>
      </c>
      <c r="B7031" s="33">
        <v>2794</v>
      </c>
      <c r="C7031" s="3">
        <v>200000</v>
      </c>
      <c r="D7031" s="3">
        <v>200000</v>
      </c>
      <c r="E7031" s="31">
        <v>0</v>
      </c>
      <c r="F7031" s="5">
        <v>45968</v>
      </c>
      <c r="G7031" s="4">
        <v>20251106</v>
      </c>
      <c r="H7031" s="38" t="s">
        <v>30</v>
      </c>
      <c r="I7031" s="34" t="s">
        <v>9</v>
      </c>
      <c r="J7031" s="38" t="s">
        <v>97</v>
      </c>
    </row>
    <row r="7032" spans="1:10">
      <c r="A7032" s="32">
        <v>892</v>
      </c>
      <c r="B7032" s="33">
        <v>8921</v>
      </c>
      <c r="C7032" s="3">
        <v>170000</v>
      </c>
      <c r="D7032" s="3">
        <v>170000</v>
      </c>
      <c r="E7032" s="31">
        <v>0</v>
      </c>
      <c r="F7032" s="5">
        <v>45968</v>
      </c>
      <c r="G7032" s="4">
        <v>20251106</v>
      </c>
      <c r="H7032" s="38" t="s">
        <v>30</v>
      </c>
      <c r="I7032" s="34" t="s">
        <v>9</v>
      </c>
      <c r="J7032" s="38" t="s">
        <v>471</v>
      </c>
    </row>
    <row r="7033" spans="1:10">
      <c r="A7033" s="32">
        <v>287</v>
      </c>
      <c r="B7033" s="33">
        <v>907</v>
      </c>
      <c r="C7033" s="3">
        <v>2804000</v>
      </c>
      <c r="D7033" s="3">
        <v>2804000</v>
      </c>
      <c r="E7033" s="31">
        <v>0</v>
      </c>
      <c r="F7033" s="5">
        <v>45968</v>
      </c>
      <c r="G7033" s="4">
        <v>20251106</v>
      </c>
      <c r="H7033" s="38" t="s">
        <v>24</v>
      </c>
      <c r="I7033" s="34" t="s">
        <v>9</v>
      </c>
      <c r="J7033" s="38" t="s">
        <v>624</v>
      </c>
    </row>
    <row r="7034" spans="1:10">
      <c r="A7034" s="32">
        <v>659</v>
      </c>
      <c r="B7034" s="33">
        <v>5102</v>
      </c>
      <c r="C7034" s="3">
        <v>2780000</v>
      </c>
      <c r="D7034" s="3">
        <v>2780000</v>
      </c>
      <c r="E7034" s="31">
        <v>0</v>
      </c>
      <c r="F7034" s="5">
        <v>45968</v>
      </c>
      <c r="G7034" s="4">
        <v>20251106</v>
      </c>
      <c r="H7034" s="38" t="s">
        <v>24</v>
      </c>
      <c r="I7034" s="34" t="s">
        <v>9</v>
      </c>
      <c r="J7034" s="38" t="s">
        <v>481</v>
      </c>
    </row>
    <row r="7035" spans="1:10">
      <c r="A7035" s="32">
        <v>168</v>
      </c>
      <c r="B7035" s="33">
        <v>5224</v>
      </c>
      <c r="C7035" s="3">
        <v>1876000</v>
      </c>
      <c r="D7035" s="3">
        <v>1876000</v>
      </c>
      <c r="E7035" s="31">
        <v>0</v>
      </c>
      <c r="F7035" s="5">
        <v>45968</v>
      </c>
      <c r="G7035" s="4">
        <v>20251106</v>
      </c>
      <c r="H7035" s="38" t="s">
        <v>24</v>
      </c>
      <c r="I7035" s="34" t="s">
        <v>9</v>
      </c>
      <c r="J7035" s="38" t="s">
        <v>248</v>
      </c>
    </row>
    <row r="7036" spans="1:10">
      <c r="A7036" s="32">
        <v>750</v>
      </c>
      <c r="B7036" s="33">
        <v>7483</v>
      </c>
      <c r="C7036" s="3">
        <v>20000</v>
      </c>
      <c r="D7036" s="3">
        <v>20000</v>
      </c>
      <c r="E7036" s="31">
        <v>0</v>
      </c>
      <c r="F7036" s="5">
        <v>45968</v>
      </c>
      <c r="G7036" s="4">
        <v>20251106</v>
      </c>
      <c r="H7036" s="38" t="s">
        <v>30</v>
      </c>
      <c r="I7036" s="34" t="s">
        <v>10</v>
      </c>
      <c r="J7036" s="38" t="s">
        <v>625</v>
      </c>
    </row>
    <row r="7037" spans="1:10">
      <c r="A7037" s="32">
        <v>60</v>
      </c>
      <c r="B7037" s="33">
        <v>8724</v>
      </c>
      <c r="C7037" s="3">
        <v>100000</v>
      </c>
      <c r="D7037" s="3">
        <v>100000</v>
      </c>
      <c r="E7037" s="31">
        <v>0</v>
      </c>
      <c r="F7037" s="5">
        <v>45971</v>
      </c>
      <c r="G7037" s="4">
        <v>20251109</v>
      </c>
      <c r="H7037" s="38" t="s">
        <v>30</v>
      </c>
      <c r="I7037" s="34" t="s">
        <v>9</v>
      </c>
      <c r="J7037" s="38" t="s">
        <v>482</v>
      </c>
    </row>
    <row r="7038" spans="1:10">
      <c r="A7038" s="32">
        <v>289</v>
      </c>
      <c r="B7038" s="33">
        <v>8225</v>
      </c>
      <c r="C7038" s="3">
        <v>210000</v>
      </c>
      <c r="D7038" s="3">
        <v>210000</v>
      </c>
      <c r="E7038" s="31">
        <v>0</v>
      </c>
      <c r="F7038" s="5">
        <v>45971</v>
      </c>
      <c r="G7038" s="4">
        <v>20251109</v>
      </c>
      <c r="H7038" s="38" t="s">
        <v>30</v>
      </c>
      <c r="I7038" s="34" t="s">
        <v>9</v>
      </c>
      <c r="J7038" s="38" t="s">
        <v>356</v>
      </c>
    </row>
    <row r="7039" spans="1:10">
      <c r="A7039" s="32">
        <v>512</v>
      </c>
      <c r="B7039" s="33">
        <v>4718</v>
      </c>
      <c r="C7039" s="3">
        <v>100000</v>
      </c>
      <c r="D7039" s="3">
        <v>100000</v>
      </c>
      <c r="E7039" s="31">
        <v>0</v>
      </c>
      <c r="F7039" s="5">
        <v>45971</v>
      </c>
      <c r="G7039" s="4">
        <v>20251109</v>
      </c>
      <c r="H7039" s="38" t="s">
        <v>30</v>
      </c>
      <c r="I7039" s="34" t="s">
        <v>9</v>
      </c>
      <c r="J7039" s="38" t="s">
        <v>234</v>
      </c>
    </row>
    <row r="7040" spans="1:10">
      <c r="A7040" s="32">
        <v>832</v>
      </c>
      <c r="B7040" s="33">
        <v>4768</v>
      </c>
      <c r="C7040" s="3">
        <v>60000</v>
      </c>
      <c r="D7040" s="3">
        <v>60000</v>
      </c>
      <c r="E7040" s="31">
        <v>0</v>
      </c>
      <c r="F7040" s="5">
        <v>45971</v>
      </c>
      <c r="G7040" s="4">
        <v>20251109</v>
      </c>
      <c r="H7040" s="38" t="s">
        <v>30</v>
      </c>
      <c r="I7040" s="34" t="s">
        <v>9</v>
      </c>
      <c r="J7040" s="38" t="s">
        <v>207</v>
      </c>
    </row>
    <row r="7041" spans="1:10">
      <c r="A7041" s="32">
        <v>882</v>
      </c>
      <c r="B7041" s="33">
        <v>3510</v>
      </c>
      <c r="C7041" s="3">
        <v>300000</v>
      </c>
      <c r="D7041" s="3">
        <v>300000</v>
      </c>
      <c r="E7041" s="7">
        <v>0</v>
      </c>
      <c r="F7041" s="5">
        <v>45971</v>
      </c>
      <c r="G7041" s="4">
        <v>20251109</v>
      </c>
      <c r="H7041" s="38" t="s">
        <v>30</v>
      </c>
      <c r="I7041" s="34" t="s">
        <v>9</v>
      </c>
      <c r="J7041" s="38" t="s">
        <v>222</v>
      </c>
    </row>
    <row r="7042" spans="1:10">
      <c r="A7042" s="32">
        <v>756</v>
      </c>
      <c r="B7042" s="33">
        <v>5183</v>
      </c>
      <c r="C7042" s="3">
        <v>309400</v>
      </c>
      <c r="D7042" s="3">
        <v>309400</v>
      </c>
      <c r="E7042" s="31">
        <v>0</v>
      </c>
      <c r="F7042" s="5">
        <v>45971</v>
      </c>
      <c r="G7042" s="4">
        <v>20251107</v>
      </c>
      <c r="H7042" s="38" t="s">
        <v>24</v>
      </c>
      <c r="I7042" s="34"/>
      <c r="J7042" s="38" t="s">
        <v>295</v>
      </c>
    </row>
    <row r="7043" spans="1:10">
      <c r="A7043" s="32">
        <v>291</v>
      </c>
      <c r="B7043" s="33">
        <v>8139</v>
      </c>
      <c r="C7043" s="3">
        <v>3061000</v>
      </c>
      <c r="D7043" s="3">
        <v>3061000</v>
      </c>
      <c r="E7043" s="31">
        <v>0</v>
      </c>
      <c r="F7043" s="5">
        <v>45972</v>
      </c>
      <c r="G7043" s="4">
        <v>20251110</v>
      </c>
      <c r="H7043" s="38" t="s">
        <v>24</v>
      </c>
      <c r="I7043" s="34" t="s">
        <v>9</v>
      </c>
      <c r="J7043" s="38" t="s">
        <v>428</v>
      </c>
    </row>
    <row r="7044" spans="1:10">
      <c r="A7044" s="32">
        <v>367</v>
      </c>
      <c r="B7044" s="33">
        <v>9580</v>
      </c>
      <c r="C7044" s="3">
        <v>2245000</v>
      </c>
      <c r="D7044" s="3">
        <v>2245000</v>
      </c>
      <c r="E7044" s="31">
        <v>0</v>
      </c>
      <c r="F7044" s="5">
        <v>45972</v>
      </c>
      <c r="G7044" s="4">
        <v>20251110</v>
      </c>
      <c r="H7044" s="38" t="s">
        <v>24</v>
      </c>
      <c r="I7044" s="34" t="s">
        <v>9</v>
      </c>
      <c r="J7044" s="38" t="s">
        <v>386</v>
      </c>
    </row>
    <row r="7045" spans="1:10">
      <c r="A7045" s="32">
        <v>849</v>
      </c>
      <c r="B7045" s="33">
        <v>9725</v>
      </c>
      <c r="C7045" s="3">
        <v>180000</v>
      </c>
      <c r="D7045" s="3">
        <v>180000</v>
      </c>
      <c r="E7045" s="31">
        <v>0</v>
      </c>
      <c r="F7045" s="5">
        <v>45972</v>
      </c>
      <c r="G7045" s="4">
        <v>20251110</v>
      </c>
      <c r="H7045" s="38" t="s">
        <v>24</v>
      </c>
      <c r="I7045" s="34" t="s">
        <v>9</v>
      </c>
      <c r="J7045" s="38" t="s">
        <v>256</v>
      </c>
    </row>
    <row r="7046" spans="1:10">
      <c r="A7046" s="32">
        <v>763</v>
      </c>
      <c r="B7046" s="33">
        <v>4996</v>
      </c>
      <c r="C7046" s="3">
        <v>50000</v>
      </c>
      <c r="D7046" s="3">
        <v>50000</v>
      </c>
      <c r="E7046" s="31">
        <v>0</v>
      </c>
      <c r="F7046" s="5">
        <v>45973</v>
      </c>
      <c r="G7046" s="4">
        <v>20251111</v>
      </c>
      <c r="H7046" s="38" t="s">
        <v>30</v>
      </c>
      <c r="I7046" s="34"/>
      <c r="J7046" s="38" t="s">
        <v>574</v>
      </c>
    </row>
    <row r="7047" spans="1:10">
      <c r="A7047" s="32">
        <v>211</v>
      </c>
      <c r="B7047" s="33">
        <v>5308</v>
      </c>
      <c r="C7047" s="3">
        <v>120000</v>
      </c>
      <c r="D7047" s="3">
        <v>120000</v>
      </c>
      <c r="E7047" s="31">
        <v>0</v>
      </c>
      <c r="F7047" s="5">
        <v>45973</v>
      </c>
      <c r="G7047" s="4">
        <v>20251111</v>
      </c>
      <c r="H7047" s="38" t="s">
        <v>30</v>
      </c>
      <c r="I7047" s="34" t="s">
        <v>9</v>
      </c>
      <c r="J7047" s="38" t="s">
        <v>182</v>
      </c>
    </row>
    <row r="7048" spans="1:10">
      <c r="A7048" s="32">
        <v>229</v>
      </c>
      <c r="B7048" s="33">
        <v>8956</v>
      </c>
      <c r="C7048" s="3">
        <v>1750000</v>
      </c>
      <c r="D7048" s="3">
        <v>1750000</v>
      </c>
      <c r="E7048" s="31">
        <v>0</v>
      </c>
      <c r="F7048" s="5">
        <v>45973</v>
      </c>
      <c r="G7048" s="4">
        <v>20251111</v>
      </c>
      <c r="H7048" s="38" t="s">
        <v>30</v>
      </c>
      <c r="I7048" s="34" t="s">
        <v>9</v>
      </c>
      <c r="J7048" s="38" t="s">
        <v>260</v>
      </c>
    </row>
    <row r="7049" spans="1:10">
      <c r="A7049" s="32">
        <v>229</v>
      </c>
      <c r="B7049" s="33">
        <v>8957</v>
      </c>
      <c r="C7049" s="3">
        <v>500000</v>
      </c>
      <c r="D7049" s="3">
        <v>500000</v>
      </c>
      <c r="E7049" s="31">
        <v>0</v>
      </c>
      <c r="F7049" s="5">
        <v>45973</v>
      </c>
      <c r="G7049" s="4">
        <v>20251111</v>
      </c>
      <c r="H7049" s="38" t="s">
        <v>30</v>
      </c>
      <c r="I7049" s="34" t="s">
        <v>9</v>
      </c>
      <c r="J7049" s="38" t="s">
        <v>71</v>
      </c>
    </row>
    <row r="7050" spans="1:10">
      <c r="A7050" s="32">
        <v>287</v>
      </c>
      <c r="B7050" s="33">
        <v>906</v>
      </c>
      <c r="C7050" s="3">
        <v>100000</v>
      </c>
      <c r="D7050" s="3">
        <v>100000</v>
      </c>
      <c r="E7050" s="31">
        <v>0</v>
      </c>
      <c r="F7050" s="5">
        <v>45973</v>
      </c>
      <c r="G7050" s="4">
        <v>20251111</v>
      </c>
      <c r="H7050" s="38" t="s">
        <v>30</v>
      </c>
      <c r="I7050" s="34" t="s">
        <v>9</v>
      </c>
      <c r="J7050" s="38" t="s">
        <v>366</v>
      </c>
    </row>
    <row r="7051" spans="1:10">
      <c r="A7051" s="32">
        <v>289</v>
      </c>
      <c r="B7051" s="33">
        <v>8225</v>
      </c>
      <c r="C7051" s="3">
        <v>300000</v>
      </c>
      <c r="D7051" s="3">
        <v>300000</v>
      </c>
      <c r="E7051" s="31">
        <v>0</v>
      </c>
      <c r="F7051" s="5">
        <v>45973</v>
      </c>
      <c r="G7051" s="4">
        <v>20251111</v>
      </c>
      <c r="H7051" s="38" t="s">
        <v>30</v>
      </c>
      <c r="I7051" s="34" t="s">
        <v>9</v>
      </c>
      <c r="J7051" s="38" t="s">
        <v>356</v>
      </c>
    </row>
    <row r="7052" spans="1:10">
      <c r="A7052" s="32">
        <v>317</v>
      </c>
      <c r="B7052" s="33">
        <v>3403</v>
      </c>
      <c r="C7052" s="3">
        <v>6980000</v>
      </c>
      <c r="D7052" s="3">
        <v>6980000</v>
      </c>
      <c r="E7052" s="31">
        <v>0</v>
      </c>
      <c r="F7052" s="5">
        <v>45973</v>
      </c>
      <c r="G7052" s="4">
        <v>20251111</v>
      </c>
      <c r="H7052" s="38" t="s">
        <v>30</v>
      </c>
      <c r="I7052" s="34" t="s">
        <v>9</v>
      </c>
      <c r="J7052" s="38" t="s">
        <v>133</v>
      </c>
    </row>
    <row r="7053" spans="1:10">
      <c r="A7053" s="32">
        <v>541</v>
      </c>
      <c r="B7053" s="33">
        <v>8652</v>
      </c>
      <c r="C7053" s="3">
        <v>1360000</v>
      </c>
      <c r="D7053" s="3">
        <v>1360000</v>
      </c>
      <c r="E7053" s="31">
        <v>0</v>
      </c>
      <c r="F7053" s="5">
        <v>45973</v>
      </c>
      <c r="G7053" s="4">
        <v>20251111</v>
      </c>
      <c r="H7053" s="38" t="s">
        <v>30</v>
      </c>
      <c r="I7053" s="34" t="s">
        <v>9</v>
      </c>
      <c r="J7053" s="38" t="s">
        <v>626</v>
      </c>
    </row>
    <row r="7054" spans="1:10">
      <c r="A7054" s="32">
        <v>631</v>
      </c>
      <c r="B7054" s="33">
        <v>2794</v>
      </c>
      <c r="C7054" s="3">
        <v>500000</v>
      </c>
      <c r="D7054" s="3">
        <v>500000</v>
      </c>
      <c r="E7054" s="31">
        <v>0</v>
      </c>
      <c r="F7054" s="5">
        <v>45973</v>
      </c>
      <c r="G7054" s="4">
        <v>20251111</v>
      </c>
      <c r="H7054" s="38" t="s">
        <v>30</v>
      </c>
      <c r="I7054" s="34" t="s">
        <v>9</v>
      </c>
      <c r="J7054" s="38" t="s">
        <v>97</v>
      </c>
    </row>
    <row r="7055" spans="1:10">
      <c r="A7055" s="32">
        <v>831</v>
      </c>
      <c r="B7055" s="33">
        <v>3909</v>
      </c>
      <c r="C7055" s="3">
        <v>4230000</v>
      </c>
      <c r="D7055" s="3">
        <v>4230000</v>
      </c>
      <c r="E7055" s="31">
        <v>0</v>
      </c>
      <c r="F7055" s="5">
        <v>45973</v>
      </c>
      <c r="G7055" s="4">
        <v>20251111</v>
      </c>
      <c r="H7055" s="38" t="s">
        <v>30</v>
      </c>
      <c r="I7055" s="34" t="s">
        <v>9</v>
      </c>
      <c r="J7055" s="38" t="s">
        <v>627</v>
      </c>
    </row>
    <row r="7056" spans="1:10">
      <c r="A7056" s="32">
        <v>882</v>
      </c>
      <c r="B7056" s="33">
        <v>3510</v>
      </c>
      <c r="C7056" s="3">
        <v>340000</v>
      </c>
      <c r="D7056" s="3">
        <v>340000</v>
      </c>
      <c r="E7056" s="31">
        <v>0</v>
      </c>
      <c r="F7056" s="5">
        <v>45973</v>
      </c>
      <c r="G7056" s="4">
        <v>20251111</v>
      </c>
      <c r="H7056" s="38" t="s">
        <v>30</v>
      </c>
      <c r="I7056" s="34" t="s">
        <v>9</v>
      </c>
      <c r="J7056" s="38" t="s">
        <v>222</v>
      </c>
    </row>
    <row r="7057" spans="1:10">
      <c r="A7057" s="32">
        <v>287</v>
      </c>
      <c r="B7057" s="33">
        <v>907</v>
      </c>
      <c r="C7057" s="3">
        <v>3461000</v>
      </c>
      <c r="D7057" s="3">
        <v>3461000</v>
      </c>
      <c r="E7057" s="31">
        <v>0</v>
      </c>
      <c r="F7057" s="5">
        <v>45973</v>
      </c>
      <c r="G7057" s="4">
        <v>20251111</v>
      </c>
      <c r="H7057" s="38" t="s">
        <v>24</v>
      </c>
      <c r="I7057" s="34" t="s">
        <v>9</v>
      </c>
      <c r="J7057" s="38" t="s">
        <v>624</v>
      </c>
    </row>
    <row r="7058" spans="1:10">
      <c r="A7058" s="32">
        <v>300</v>
      </c>
      <c r="B7058" s="33">
        <v>5139</v>
      </c>
      <c r="C7058" s="3">
        <v>1720000</v>
      </c>
      <c r="D7058" s="3">
        <v>1720000</v>
      </c>
      <c r="E7058" s="31">
        <v>0</v>
      </c>
      <c r="F7058" s="5">
        <v>45973</v>
      </c>
      <c r="G7058" s="4">
        <v>20251111</v>
      </c>
      <c r="H7058" s="38" t="s">
        <v>24</v>
      </c>
      <c r="I7058" s="34" t="s">
        <v>9</v>
      </c>
      <c r="J7058" s="38" t="s">
        <v>51</v>
      </c>
    </row>
    <row r="7059" spans="1:10">
      <c r="A7059" s="32">
        <v>750</v>
      </c>
      <c r="B7059" s="33">
        <v>5157</v>
      </c>
      <c r="C7059" s="3">
        <v>1080000</v>
      </c>
      <c r="D7059" s="3">
        <v>1080000</v>
      </c>
      <c r="E7059" s="31">
        <v>0</v>
      </c>
      <c r="F7059" s="5">
        <v>45973</v>
      </c>
      <c r="G7059" s="4">
        <v>20251111</v>
      </c>
      <c r="H7059" s="38" t="s">
        <v>24</v>
      </c>
      <c r="I7059" s="34" t="s">
        <v>9</v>
      </c>
      <c r="J7059" s="38" t="s">
        <v>628</v>
      </c>
    </row>
    <row r="7060" spans="1:10">
      <c r="A7060" s="32">
        <v>331</v>
      </c>
      <c r="B7060" s="33">
        <v>575</v>
      </c>
      <c r="C7060" s="3">
        <v>730000</v>
      </c>
      <c r="D7060" s="3">
        <v>730000</v>
      </c>
      <c r="E7060" s="31">
        <v>0</v>
      </c>
      <c r="F7060" s="5">
        <v>45973</v>
      </c>
      <c r="G7060" s="4">
        <v>20251111</v>
      </c>
      <c r="H7060" s="38" t="s">
        <v>24</v>
      </c>
      <c r="I7060" s="34" t="s">
        <v>9</v>
      </c>
      <c r="J7060" s="38" t="s">
        <v>596</v>
      </c>
    </row>
    <row r="7061" spans="1:10">
      <c r="A7061" s="32">
        <v>849</v>
      </c>
      <c r="B7061" s="33">
        <v>9725</v>
      </c>
      <c r="C7061" s="3">
        <v>450000</v>
      </c>
      <c r="D7061" s="3">
        <v>450000</v>
      </c>
      <c r="E7061" s="31">
        <v>0</v>
      </c>
      <c r="F7061" s="5">
        <v>45973</v>
      </c>
      <c r="G7061" s="4">
        <v>20251111</v>
      </c>
      <c r="H7061" s="38" t="s">
        <v>24</v>
      </c>
      <c r="I7061" s="34" t="s">
        <v>9</v>
      </c>
      <c r="J7061" s="38" t="s">
        <v>256</v>
      </c>
    </row>
    <row r="7062" spans="1:10">
      <c r="A7062" s="32">
        <v>32</v>
      </c>
      <c r="B7062" s="33">
        <v>5027</v>
      </c>
      <c r="C7062" s="3">
        <v>20000</v>
      </c>
      <c r="D7062" s="3">
        <v>20000</v>
      </c>
      <c r="E7062" s="31">
        <v>0</v>
      </c>
      <c r="F7062" s="5">
        <v>45973</v>
      </c>
      <c r="G7062" s="4">
        <v>20251111</v>
      </c>
      <c r="H7062" s="38" t="s">
        <v>24</v>
      </c>
      <c r="I7062" s="34" t="s">
        <v>10</v>
      </c>
      <c r="J7062" s="38" t="s">
        <v>280</v>
      </c>
    </row>
    <row r="7063" spans="1:10">
      <c r="A7063" s="32">
        <v>60</v>
      </c>
      <c r="B7063" s="33">
        <v>8720</v>
      </c>
      <c r="C7063" s="3">
        <v>100000</v>
      </c>
      <c r="D7063" s="3">
        <v>100000</v>
      </c>
      <c r="E7063" s="7">
        <v>0</v>
      </c>
      <c r="F7063" s="5">
        <v>45974</v>
      </c>
      <c r="G7063" s="4">
        <v>20251112</v>
      </c>
      <c r="H7063" s="38" t="s">
        <v>30</v>
      </c>
      <c r="I7063" s="34" t="s">
        <v>9</v>
      </c>
      <c r="J7063" s="38" t="s">
        <v>324</v>
      </c>
    </row>
    <row r="7064" spans="1:10">
      <c r="A7064" s="32">
        <v>750</v>
      </c>
      <c r="B7064" s="33">
        <v>5157</v>
      </c>
      <c r="C7064" s="3">
        <v>3995000</v>
      </c>
      <c r="D7064" s="3">
        <v>3995000</v>
      </c>
      <c r="E7064" s="7">
        <v>0</v>
      </c>
      <c r="F7064" s="5">
        <v>45974</v>
      </c>
      <c r="G7064" s="4">
        <v>20251112</v>
      </c>
      <c r="H7064" s="38" t="s">
        <v>24</v>
      </c>
      <c r="I7064" s="34" t="s">
        <v>9</v>
      </c>
      <c r="J7064" s="38" t="s">
        <v>628</v>
      </c>
    </row>
    <row r="7065" spans="1:10">
      <c r="A7065" s="32">
        <v>57</v>
      </c>
      <c r="B7065" s="33">
        <v>9963</v>
      </c>
      <c r="C7065" s="3">
        <v>2215000</v>
      </c>
      <c r="D7065" s="3">
        <v>2215000</v>
      </c>
      <c r="E7065" s="7">
        <v>0</v>
      </c>
      <c r="F7065" s="5">
        <v>45974</v>
      </c>
      <c r="G7065" s="4">
        <v>20251112</v>
      </c>
      <c r="H7065" s="38" t="s">
        <v>24</v>
      </c>
      <c r="I7065" s="34" t="s">
        <v>9</v>
      </c>
      <c r="J7065" s="38" t="s">
        <v>58</v>
      </c>
    </row>
    <row r="7066" spans="1:10">
      <c r="A7066" s="32">
        <v>716</v>
      </c>
      <c r="B7066" s="33">
        <v>5192</v>
      </c>
      <c r="C7066" s="3">
        <v>380000</v>
      </c>
      <c r="D7066" s="3">
        <v>380000</v>
      </c>
      <c r="E7066" s="7">
        <v>0</v>
      </c>
      <c r="F7066" s="5">
        <v>45974</v>
      </c>
      <c r="G7066" s="4">
        <v>20251112</v>
      </c>
      <c r="H7066" s="38" t="s">
        <v>24</v>
      </c>
      <c r="I7066" s="34" t="s">
        <v>9</v>
      </c>
      <c r="J7066" s="38" t="s">
        <v>629</v>
      </c>
    </row>
    <row r="7067" spans="1:10">
      <c r="A7067" s="32">
        <v>756</v>
      </c>
      <c r="B7067" s="33">
        <v>5183</v>
      </c>
      <c r="C7067" s="3">
        <v>206200</v>
      </c>
      <c r="D7067" s="3">
        <v>206200</v>
      </c>
      <c r="E7067" s="7">
        <v>0</v>
      </c>
      <c r="F7067" s="5">
        <v>45974</v>
      </c>
      <c r="G7067" s="4">
        <v>20251112</v>
      </c>
      <c r="H7067" s="38" t="s">
        <v>24</v>
      </c>
      <c r="I7067" s="34" t="s">
        <v>9</v>
      </c>
      <c r="J7067" s="38" t="s">
        <v>295</v>
      </c>
    </row>
    <row r="7068" spans="1:10">
      <c r="A7068" s="32">
        <v>824</v>
      </c>
      <c r="B7068" s="33">
        <v>5040</v>
      </c>
      <c r="C7068" s="3">
        <v>195000</v>
      </c>
      <c r="D7068" s="3">
        <v>195000</v>
      </c>
      <c r="E7068" s="7">
        <v>0</v>
      </c>
      <c r="F7068" s="5">
        <v>45974</v>
      </c>
      <c r="G7068" s="4">
        <v>20251112</v>
      </c>
      <c r="H7068" s="38" t="s">
        <v>24</v>
      </c>
      <c r="I7068" s="34" t="s">
        <v>9</v>
      </c>
      <c r="J7068" s="38" t="s">
        <v>530</v>
      </c>
    </row>
    <row r="7069" spans="1:10">
      <c r="A7069" s="32">
        <v>32</v>
      </c>
      <c r="B7069" s="33">
        <v>5027</v>
      </c>
      <c r="C7069" s="3">
        <v>80000</v>
      </c>
      <c r="D7069" s="3">
        <v>80000</v>
      </c>
      <c r="E7069" s="7">
        <v>0</v>
      </c>
      <c r="F7069" s="5">
        <v>45974</v>
      </c>
      <c r="G7069" s="4">
        <v>20251112</v>
      </c>
      <c r="H7069" s="38" t="s">
        <v>24</v>
      </c>
      <c r="I7069" s="34" t="s">
        <v>9</v>
      </c>
      <c r="J7069" s="38" t="s">
        <v>280</v>
      </c>
    </row>
    <row r="7070" spans="1:10">
      <c r="A7070" s="32">
        <v>725</v>
      </c>
      <c r="B7070" s="33">
        <v>8090</v>
      </c>
      <c r="C7070" s="3">
        <v>80000</v>
      </c>
      <c r="D7070" s="3">
        <v>80000</v>
      </c>
      <c r="E7070" s="7">
        <v>0</v>
      </c>
      <c r="F7070" s="5">
        <v>45974</v>
      </c>
      <c r="G7070" s="4">
        <v>20251112</v>
      </c>
      <c r="H7070" s="38" t="s">
        <v>24</v>
      </c>
      <c r="I7070" s="34" t="s">
        <v>9</v>
      </c>
      <c r="J7070" s="38" t="s">
        <v>336</v>
      </c>
    </row>
    <row r="7071" spans="1:10">
      <c r="A7071" s="32">
        <v>57</v>
      </c>
      <c r="B7071" s="33">
        <v>9963</v>
      </c>
      <c r="C7071" s="3">
        <v>2215000</v>
      </c>
      <c r="D7071" s="3">
        <v>2215000</v>
      </c>
      <c r="E7071" s="7">
        <v>0</v>
      </c>
      <c r="F7071" s="5">
        <v>45975</v>
      </c>
      <c r="G7071" s="4">
        <v>20251113</v>
      </c>
      <c r="H7071" s="38" t="s">
        <v>24</v>
      </c>
      <c r="I7071" s="34"/>
      <c r="J7071" s="38" t="s">
        <v>58</v>
      </c>
    </row>
    <row r="7072" spans="1:10">
      <c r="A7072" s="32">
        <v>367</v>
      </c>
      <c r="B7072" s="33">
        <v>9580</v>
      </c>
      <c r="C7072" s="3">
        <v>7550000</v>
      </c>
      <c r="D7072" s="3">
        <v>7550000</v>
      </c>
      <c r="E7072" s="7">
        <v>0</v>
      </c>
      <c r="F7072" s="5">
        <v>45975</v>
      </c>
      <c r="G7072" s="4">
        <v>20251113</v>
      </c>
      <c r="H7072" s="38" t="s">
        <v>24</v>
      </c>
      <c r="I7072" s="34"/>
      <c r="J7072" s="38" t="s">
        <v>386</v>
      </c>
    </row>
    <row r="7073" spans="1:10">
      <c r="A7073" s="32">
        <v>91</v>
      </c>
      <c r="B7073" s="33">
        <v>5148</v>
      </c>
      <c r="C7073" s="3">
        <v>3850000</v>
      </c>
      <c r="D7073" s="3">
        <v>3850000</v>
      </c>
      <c r="E7073" s="7">
        <v>0</v>
      </c>
      <c r="F7073" s="5">
        <v>45975</v>
      </c>
      <c r="G7073" s="4">
        <v>20251113</v>
      </c>
      <c r="H7073" s="38" t="s">
        <v>24</v>
      </c>
      <c r="I7073" s="34" t="s">
        <v>9</v>
      </c>
      <c r="J7073" s="38" t="s">
        <v>88</v>
      </c>
    </row>
    <row r="7074" spans="1:10">
      <c r="A7074" s="32">
        <v>331</v>
      </c>
      <c r="B7074" s="33">
        <v>574</v>
      </c>
      <c r="C7074" s="3">
        <v>3000450</v>
      </c>
      <c r="D7074" s="3">
        <v>3000450</v>
      </c>
      <c r="E7074" s="7">
        <v>0</v>
      </c>
      <c r="F7074" s="5">
        <v>45975</v>
      </c>
      <c r="G7074" s="4">
        <v>20251113</v>
      </c>
      <c r="H7074" s="38" t="s">
        <v>24</v>
      </c>
      <c r="I7074" s="34" t="s">
        <v>9</v>
      </c>
      <c r="J7074" s="38" t="s">
        <v>457</v>
      </c>
    </row>
    <row r="7075" spans="1:10">
      <c r="A7075" s="32">
        <v>554</v>
      </c>
      <c r="B7075" s="33">
        <v>8295</v>
      </c>
      <c r="C7075" s="3">
        <v>2900000</v>
      </c>
      <c r="D7075" s="3">
        <v>2900000</v>
      </c>
      <c r="E7075" s="7">
        <v>0</v>
      </c>
      <c r="F7075" s="5">
        <v>45975</v>
      </c>
      <c r="G7075" s="4">
        <v>20251113</v>
      </c>
      <c r="H7075" s="38" t="s">
        <v>24</v>
      </c>
      <c r="I7075" s="34" t="s">
        <v>9</v>
      </c>
      <c r="J7075" s="38" t="s">
        <v>592</v>
      </c>
    </row>
    <row r="7076" spans="1:10">
      <c r="A7076" s="32">
        <v>264</v>
      </c>
      <c r="B7076" s="33">
        <v>9906</v>
      </c>
      <c r="C7076" s="3">
        <v>2670000</v>
      </c>
      <c r="D7076" s="3">
        <v>2670000</v>
      </c>
      <c r="E7076" s="7">
        <v>0</v>
      </c>
      <c r="F7076" s="5">
        <v>45975</v>
      </c>
      <c r="G7076" s="4">
        <v>20251113</v>
      </c>
      <c r="H7076" s="38" t="s">
        <v>24</v>
      </c>
      <c r="I7076" s="34" t="s">
        <v>9</v>
      </c>
      <c r="J7076" s="38" t="s">
        <v>57</v>
      </c>
    </row>
    <row r="7077" spans="1:10">
      <c r="A7077" s="32">
        <v>73</v>
      </c>
      <c r="B7077" s="33">
        <v>5108</v>
      </c>
      <c r="C7077" s="3">
        <v>1500000</v>
      </c>
      <c r="D7077" s="3">
        <v>1500000</v>
      </c>
      <c r="E7077" s="7">
        <v>0</v>
      </c>
      <c r="F7077" s="5">
        <v>45975</v>
      </c>
      <c r="G7077" s="4">
        <v>20251113</v>
      </c>
      <c r="H7077" s="38" t="s">
        <v>24</v>
      </c>
      <c r="I7077" s="34" t="s">
        <v>9</v>
      </c>
      <c r="J7077" s="38" t="s">
        <v>478</v>
      </c>
    </row>
    <row r="7078" spans="1:10">
      <c r="A7078" s="32">
        <v>337</v>
      </c>
      <c r="B7078" s="33">
        <v>6253</v>
      </c>
      <c r="C7078" s="3">
        <v>1403000</v>
      </c>
      <c r="D7078" s="3">
        <v>1403000</v>
      </c>
      <c r="E7078" s="7">
        <v>0</v>
      </c>
      <c r="F7078" s="5">
        <v>45975</v>
      </c>
      <c r="G7078" s="4">
        <v>20251113</v>
      </c>
      <c r="H7078" s="38" t="s">
        <v>24</v>
      </c>
      <c r="I7078" s="34" t="s">
        <v>9</v>
      </c>
      <c r="J7078" s="38" t="s">
        <v>352</v>
      </c>
    </row>
    <row r="7079" spans="1:10">
      <c r="A7079" s="32">
        <v>481</v>
      </c>
      <c r="B7079" s="33">
        <v>1011</v>
      </c>
      <c r="C7079" s="3">
        <v>1260000</v>
      </c>
      <c r="D7079" s="3">
        <v>1260000</v>
      </c>
      <c r="E7079" s="7">
        <v>0</v>
      </c>
      <c r="F7079" s="5">
        <v>45975</v>
      </c>
      <c r="G7079" s="4">
        <v>20251113</v>
      </c>
      <c r="H7079" s="38" t="s">
        <v>24</v>
      </c>
      <c r="I7079" s="34" t="s">
        <v>9</v>
      </c>
      <c r="J7079" s="38" t="s">
        <v>630</v>
      </c>
    </row>
    <row r="7080" spans="1:10">
      <c r="A7080" s="32">
        <v>824</v>
      </c>
      <c r="B7080" s="33">
        <v>5040</v>
      </c>
      <c r="C7080" s="3">
        <v>575000</v>
      </c>
      <c r="D7080" s="3">
        <v>575000</v>
      </c>
      <c r="E7080" s="7">
        <v>0</v>
      </c>
      <c r="F7080" s="5">
        <v>45975</v>
      </c>
      <c r="G7080" s="4">
        <v>20251113</v>
      </c>
      <c r="H7080" s="38" t="s">
        <v>24</v>
      </c>
      <c r="I7080" s="34" t="s">
        <v>9</v>
      </c>
      <c r="J7080" s="38" t="s">
        <v>530</v>
      </c>
    </row>
    <row r="7081" spans="1:10">
      <c r="A7081" s="32">
        <v>760</v>
      </c>
      <c r="B7081" s="33">
        <v>6092</v>
      </c>
      <c r="C7081" s="3">
        <v>10000</v>
      </c>
      <c r="D7081" s="3">
        <v>10000</v>
      </c>
      <c r="E7081" s="7">
        <v>0</v>
      </c>
      <c r="F7081" s="5">
        <v>45975</v>
      </c>
      <c r="G7081" s="4">
        <v>20251113</v>
      </c>
      <c r="H7081" s="38" t="s">
        <v>24</v>
      </c>
      <c r="I7081" s="34" t="s">
        <v>10</v>
      </c>
      <c r="J7081" s="38" t="s">
        <v>553</v>
      </c>
    </row>
    <row r="7082" spans="1:10">
      <c r="A7082" s="32">
        <v>225</v>
      </c>
      <c r="B7082" s="33">
        <v>8867</v>
      </c>
      <c r="C7082" s="3">
        <v>50000</v>
      </c>
      <c r="D7082" s="3">
        <v>50000</v>
      </c>
      <c r="E7082" s="7">
        <v>0</v>
      </c>
      <c r="F7082" s="5">
        <v>45979</v>
      </c>
      <c r="G7082" s="4">
        <v>20251117</v>
      </c>
      <c r="H7082" s="38" t="s">
        <v>30</v>
      </c>
      <c r="I7082" s="34" t="s">
        <v>9</v>
      </c>
      <c r="J7082" s="38" t="s">
        <v>448</v>
      </c>
    </row>
    <row r="7083" spans="1:10">
      <c r="A7083" s="32">
        <v>229</v>
      </c>
      <c r="B7083" s="33">
        <v>8957</v>
      </c>
      <c r="C7083" s="3">
        <v>320000</v>
      </c>
      <c r="D7083" s="3">
        <v>320000</v>
      </c>
      <c r="E7083" s="7">
        <v>0</v>
      </c>
      <c r="F7083" s="5">
        <v>45979</v>
      </c>
      <c r="G7083" s="4">
        <v>20251117</v>
      </c>
      <c r="H7083" s="38" t="s">
        <v>30</v>
      </c>
      <c r="I7083" s="34" t="s">
        <v>9</v>
      </c>
      <c r="J7083" s="38" t="s">
        <v>71</v>
      </c>
    </row>
    <row r="7084" spans="1:10">
      <c r="A7084" s="32">
        <v>264</v>
      </c>
      <c r="B7084" s="33">
        <v>9904</v>
      </c>
      <c r="C7084" s="3">
        <v>500000</v>
      </c>
      <c r="D7084" s="3">
        <v>500000</v>
      </c>
      <c r="E7084" s="7">
        <v>0</v>
      </c>
      <c r="F7084" s="5">
        <v>45979</v>
      </c>
      <c r="G7084" s="4">
        <v>20251117</v>
      </c>
      <c r="H7084" s="38" t="s">
        <v>30</v>
      </c>
      <c r="I7084" s="34" t="s">
        <v>9</v>
      </c>
      <c r="J7084" s="38" t="s">
        <v>488</v>
      </c>
    </row>
    <row r="7085" spans="1:10">
      <c r="A7085" s="32">
        <v>332</v>
      </c>
      <c r="B7085" s="33">
        <v>2559</v>
      </c>
      <c r="C7085" s="3">
        <v>60000</v>
      </c>
      <c r="D7085" s="3">
        <v>60000</v>
      </c>
      <c r="E7085" s="7">
        <v>0</v>
      </c>
      <c r="F7085" s="5">
        <v>45979</v>
      </c>
      <c r="G7085" s="4">
        <v>20251117</v>
      </c>
      <c r="H7085" s="38" t="s">
        <v>30</v>
      </c>
      <c r="I7085" s="34" t="s">
        <v>9</v>
      </c>
      <c r="J7085" s="38" t="s">
        <v>503</v>
      </c>
    </row>
    <row r="7086" spans="1:10">
      <c r="A7086" s="32">
        <v>335</v>
      </c>
      <c r="B7086" s="33">
        <v>5741</v>
      </c>
      <c r="C7086" s="3">
        <v>50000</v>
      </c>
      <c r="D7086" s="3">
        <v>50000</v>
      </c>
      <c r="E7086" s="7">
        <v>0</v>
      </c>
      <c r="F7086" s="5">
        <v>45979</v>
      </c>
      <c r="G7086" s="4">
        <v>20251117</v>
      </c>
      <c r="H7086" s="38" t="s">
        <v>30</v>
      </c>
      <c r="I7086" s="34" t="s">
        <v>9</v>
      </c>
      <c r="J7086" s="38" t="s">
        <v>32</v>
      </c>
    </row>
    <row r="7087" spans="1:10">
      <c r="A7087" s="32">
        <v>358</v>
      </c>
      <c r="B7087" s="33">
        <v>4499</v>
      </c>
      <c r="C7087" s="3">
        <v>100000</v>
      </c>
      <c r="D7087" s="3">
        <v>100000</v>
      </c>
      <c r="E7087" s="7">
        <v>0</v>
      </c>
      <c r="F7087" s="5">
        <v>45979</v>
      </c>
      <c r="G7087" s="4">
        <v>20251117</v>
      </c>
      <c r="H7087" s="38" t="s">
        <v>30</v>
      </c>
      <c r="I7087" s="34" t="s">
        <v>9</v>
      </c>
      <c r="J7087" s="38" t="s">
        <v>575</v>
      </c>
    </row>
    <row r="7088" spans="1:10">
      <c r="A7088" s="32">
        <v>415</v>
      </c>
      <c r="B7088" s="33">
        <v>8617</v>
      </c>
      <c r="C7088" s="3">
        <v>90000</v>
      </c>
      <c r="D7088" s="3">
        <v>90000</v>
      </c>
      <c r="E7088" s="7">
        <v>0</v>
      </c>
      <c r="F7088" s="5">
        <v>45979</v>
      </c>
      <c r="G7088" s="4">
        <v>20251117</v>
      </c>
      <c r="H7088" s="38" t="s">
        <v>30</v>
      </c>
      <c r="I7088" s="34" t="s">
        <v>9</v>
      </c>
      <c r="J7088" s="38" t="s">
        <v>613</v>
      </c>
    </row>
    <row r="7089" spans="1:10">
      <c r="A7089" s="32">
        <v>520</v>
      </c>
      <c r="B7089" s="33">
        <v>4471</v>
      </c>
      <c r="C7089" s="3">
        <v>50000</v>
      </c>
      <c r="D7089" s="3">
        <v>50000</v>
      </c>
      <c r="E7089" s="7">
        <v>0</v>
      </c>
      <c r="F7089" s="5">
        <v>45979</v>
      </c>
      <c r="G7089" s="4">
        <v>20251117</v>
      </c>
      <c r="H7089" s="38" t="s">
        <v>30</v>
      </c>
      <c r="I7089" s="34" t="s">
        <v>9</v>
      </c>
      <c r="J7089" s="38" t="s">
        <v>96</v>
      </c>
    </row>
    <row r="7090" spans="1:10">
      <c r="A7090" s="32">
        <v>595</v>
      </c>
      <c r="B7090" s="33">
        <v>5928</v>
      </c>
      <c r="C7090" s="3">
        <v>60000</v>
      </c>
      <c r="D7090" s="3">
        <v>60000</v>
      </c>
      <c r="E7090" s="7">
        <v>0</v>
      </c>
      <c r="F7090" s="5">
        <v>45979</v>
      </c>
      <c r="G7090" s="4">
        <v>20251117</v>
      </c>
      <c r="H7090" s="38" t="s">
        <v>30</v>
      </c>
      <c r="I7090" s="34" t="s">
        <v>9</v>
      </c>
      <c r="J7090" s="38" t="s">
        <v>235</v>
      </c>
    </row>
    <row r="7091" spans="1:10">
      <c r="A7091" s="32">
        <v>631</v>
      </c>
      <c r="B7091" s="33">
        <v>2794</v>
      </c>
      <c r="C7091" s="3">
        <v>400000</v>
      </c>
      <c r="D7091" s="3">
        <v>400000</v>
      </c>
      <c r="E7091" s="7">
        <v>0</v>
      </c>
      <c r="F7091" s="5">
        <v>45979</v>
      </c>
      <c r="G7091" s="4">
        <v>20251117</v>
      </c>
      <c r="H7091" s="38" t="s">
        <v>30</v>
      </c>
      <c r="I7091" s="34" t="s">
        <v>9</v>
      </c>
      <c r="J7091" s="38" t="s">
        <v>97</v>
      </c>
    </row>
    <row r="7092" spans="1:10">
      <c r="A7092" s="32">
        <v>721</v>
      </c>
      <c r="B7092" s="33">
        <v>8893</v>
      </c>
      <c r="C7092" s="3">
        <v>300000</v>
      </c>
      <c r="D7092" s="3">
        <v>300000</v>
      </c>
      <c r="E7092" s="7">
        <v>0</v>
      </c>
      <c r="F7092" s="5">
        <v>45979</v>
      </c>
      <c r="G7092" s="4">
        <v>20251117</v>
      </c>
      <c r="H7092" s="38" t="s">
        <v>30</v>
      </c>
      <c r="I7092" s="34" t="s">
        <v>9</v>
      </c>
      <c r="J7092" s="38" t="s">
        <v>170</v>
      </c>
    </row>
    <row r="7093" spans="1:10">
      <c r="A7093" s="32">
        <v>848</v>
      </c>
      <c r="B7093" s="33">
        <v>4740</v>
      </c>
      <c r="C7093" s="3">
        <v>180000</v>
      </c>
      <c r="D7093" s="3">
        <v>180000</v>
      </c>
      <c r="E7093" s="7">
        <v>0</v>
      </c>
      <c r="F7093" s="5">
        <v>45979</v>
      </c>
      <c r="G7093" s="4">
        <v>20251117</v>
      </c>
      <c r="H7093" s="38" t="s">
        <v>30</v>
      </c>
      <c r="I7093" s="34" t="s">
        <v>9</v>
      </c>
      <c r="J7093" s="38" t="s">
        <v>599</v>
      </c>
    </row>
    <row r="7094" spans="1:10">
      <c r="A7094" s="32">
        <v>849</v>
      </c>
      <c r="B7094" s="33">
        <v>9722</v>
      </c>
      <c r="C7094" s="3">
        <v>2100000</v>
      </c>
      <c r="D7094" s="3">
        <v>2100000</v>
      </c>
      <c r="E7094" s="7">
        <v>0</v>
      </c>
      <c r="F7094" s="5">
        <v>45979</v>
      </c>
      <c r="G7094" s="4">
        <v>20251117</v>
      </c>
      <c r="H7094" s="38" t="s">
        <v>30</v>
      </c>
      <c r="I7094" s="34" t="s">
        <v>9</v>
      </c>
      <c r="J7094" s="38" t="s">
        <v>200</v>
      </c>
    </row>
    <row r="7095" spans="1:10">
      <c r="A7095" s="32">
        <v>318</v>
      </c>
      <c r="B7095" s="33">
        <v>5136</v>
      </c>
      <c r="C7095" s="3">
        <v>10000000</v>
      </c>
      <c r="D7095" s="3">
        <v>10000000</v>
      </c>
      <c r="E7095" s="7">
        <v>0</v>
      </c>
      <c r="F7095" s="5">
        <v>45979</v>
      </c>
      <c r="G7095" s="4">
        <v>20251114</v>
      </c>
      <c r="H7095" s="38" t="s">
        <v>24</v>
      </c>
      <c r="I7095" s="34"/>
      <c r="J7095" s="38" t="s">
        <v>631</v>
      </c>
    </row>
    <row r="7096" spans="1:10">
      <c r="A7096" s="32">
        <v>777</v>
      </c>
      <c r="B7096" s="33">
        <v>5009</v>
      </c>
      <c r="C7096" s="3">
        <v>2530000</v>
      </c>
      <c r="D7096" s="3">
        <v>2530000</v>
      </c>
      <c r="E7096" s="7">
        <v>0</v>
      </c>
      <c r="F7096" s="5">
        <v>45979</v>
      </c>
      <c r="G7096" s="4">
        <v>20251117</v>
      </c>
      <c r="H7096" s="38" t="s">
        <v>24</v>
      </c>
      <c r="I7096" s="34" t="s">
        <v>9</v>
      </c>
      <c r="J7096" s="38" t="s">
        <v>632</v>
      </c>
    </row>
    <row r="7097" spans="1:10">
      <c r="A7097" s="32">
        <v>658</v>
      </c>
      <c r="B7097" s="33">
        <v>7074</v>
      </c>
      <c r="C7097" s="3">
        <v>1866300</v>
      </c>
      <c r="D7097" s="3">
        <v>1866300</v>
      </c>
      <c r="E7097" s="7">
        <v>0</v>
      </c>
      <c r="F7097" s="5">
        <v>45979</v>
      </c>
      <c r="G7097" s="4">
        <v>20251117</v>
      </c>
      <c r="H7097" s="38" t="s">
        <v>24</v>
      </c>
      <c r="I7097" s="34" t="s">
        <v>9</v>
      </c>
      <c r="J7097" s="38" t="s">
        <v>414</v>
      </c>
    </row>
    <row r="7098" spans="1:10">
      <c r="A7098" s="32">
        <v>115</v>
      </c>
      <c r="B7098" s="33">
        <v>5080</v>
      </c>
      <c r="C7098" s="3">
        <v>1690000</v>
      </c>
      <c r="D7098" s="3">
        <v>1690000</v>
      </c>
      <c r="E7098" s="7">
        <v>0</v>
      </c>
      <c r="F7098" s="5">
        <v>45979</v>
      </c>
      <c r="G7098" s="4">
        <v>20251117</v>
      </c>
      <c r="H7098" s="38" t="s">
        <v>24</v>
      </c>
      <c r="I7098" s="34" t="s">
        <v>9</v>
      </c>
      <c r="J7098" s="38" t="s">
        <v>263</v>
      </c>
    </row>
    <row r="7099" spans="1:10">
      <c r="A7099" s="32">
        <v>419</v>
      </c>
      <c r="B7099" s="33">
        <v>7980</v>
      </c>
      <c r="C7099" s="3">
        <v>450000</v>
      </c>
      <c r="D7099" s="3">
        <v>450000</v>
      </c>
      <c r="E7099" s="7">
        <v>0</v>
      </c>
      <c r="F7099" s="5">
        <v>45979</v>
      </c>
      <c r="G7099" s="4">
        <v>20251117</v>
      </c>
      <c r="H7099" s="38" t="s">
        <v>24</v>
      </c>
      <c r="I7099" s="34" t="s">
        <v>9</v>
      </c>
      <c r="J7099" s="38" t="s">
        <v>113</v>
      </c>
    </row>
    <row r="7100" spans="1:10">
      <c r="A7100" s="32">
        <v>551</v>
      </c>
      <c r="B7100" s="33">
        <v>9643</v>
      </c>
      <c r="C7100" s="3">
        <v>100000</v>
      </c>
      <c r="D7100" s="3">
        <v>100000</v>
      </c>
      <c r="E7100" s="7">
        <v>0</v>
      </c>
      <c r="F7100" s="5">
        <v>45979</v>
      </c>
      <c r="G7100" s="4">
        <v>20251117</v>
      </c>
      <c r="H7100" s="38" t="s">
        <v>24</v>
      </c>
      <c r="I7100" s="34" t="s">
        <v>9</v>
      </c>
      <c r="J7100" s="38" t="s">
        <v>390</v>
      </c>
    </row>
    <row r="7101" spans="1:10">
      <c r="A7101" s="32">
        <v>4</v>
      </c>
      <c r="B7101" s="33">
        <v>8631</v>
      </c>
      <c r="C7101" s="3">
        <v>3685000</v>
      </c>
      <c r="D7101" s="3">
        <v>3685000</v>
      </c>
      <c r="E7101" s="7">
        <v>0</v>
      </c>
      <c r="F7101" s="5">
        <v>45979</v>
      </c>
      <c r="G7101" s="4">
        <v>20251118</v>
      </c>
      <c r="H7101" s="38" t="s">
        <v>24</v>
      </c>
      <c r="I7101" s="34" t="s">
        <v>13</v>
      </c>
      <c r="J7101" s="38" t="s">
        <v>329</v>
      </c>
    </row>
    <row r="7102" spans="1:10">
      <c r="A7102" s="32">
        <v>322</v>
      </c>
      <c r="B7102" s="33">
        <v>2444</v>
      </c>
      <c r="C7102" s="3">
        <v>830000</v>
      </c>
      <c r="D7102" s="3">
        <v>830000</v>
      </c>
      <c r="E7102" s="7">
        <v>0</v>
      </c>
      <c r="F7102" s="5">
        <v>45979</v>
      </c>
      <c r="G7102" s="4">
        <v>20251118</v>
      </c>
      <c r="H7102" s="38" t="s">
        <v>24</v>
      </c>
      <c r="I7102" s="34" t="s">
        <v>13</v>
      </c>
      <c r="J7102" s="38" t="s">
        <v>109</v>
      </c>
    </row>
    <row r="7103" spans="1:10">
      <c r="A7103" s="32">
        <v>366</v>
      </c>
      <c r="B7103" s="33">
        <v>5132</v>
      </c>
      <c r="C7103" s="3">
        <v>1910400</v>
      </c>
      <c r="D7103" s="3">
        <v>1910400</v>
      </c>
      <c r="E7103" s="7">
        <v>0</v>
      </c>
      <c r="F7103" s="5">
        <v>45979</v>
      </c>
      <c r="G7103" s="4">
        <v>20251118</v>
      </c>
      <c r="H7103" s="38" t="s">
        <v>24</v>
      </c>
      <c r="I7103" s="34" t="s">
        <v>13</v>
      </c>
      <c r="J7103" s="38" t="s">
        <v>259</v>
      </c>
    </row>
    <row r="7104" spans="1:10">
      <c r="A7104" s="32">
        <v>536</v>
      </c>
      <c r="B7104" s="33">
        <v>6927</v>
      </c>
      <c r="C7104" s="3">
        <v>1646000</v>
      </c>
      <c r="D7104" s="3">
        <v>1646000</v>
      </c>
      <c r="E7104" s="7">
        <v>0</v>
      </c>
      <c r="F7104" s="5">
        <v>45979</v>
      </c>
      <c r="G7104" s="4">
        <v>20251118</v>
      </c>
      <c r="H7104" s="38" t="s">
        <v>24</v>
      </c>
      <c r="I7104" s="34" t="s">
        <v>13</v>
      </c>
      <c r="J7104" s="38" t="s">
        <v>258</v>
      </c>
    </row>
    <row r="7105" spans="1:10">
      <c r="A7105" s="32">
        <v>536</v>
      </c>
      <c r="B7105" s="33">
        <v>8988</v>
      </c>
      <c r="C7105" s="3">
        <v>26847900</v>
      </c>
      <c r="D7105" s="3">
        <v>26847900</v>
      </c>
      <c r="E7105" s="7">
        <v>0</v>
      </c>
      <c r="F7105" s="5">
        <v>45979</v>
      </c>
      <c r="G7105" s="4">
        <v>20251118</v>
      </c>
      <c r="H7105" s="38" t="s">
        <v>24</v>
      </c>
      <c r="I7105" s="34" t="s">
        <v>13</v>
      </c>
      <c r="J7105" s="38" t="s">
        <v>633</v>
      </c>
    </row>
    <row r="7106" spans="1:10">
      <c r="A7106" s="32">
        <v>658</v>
      </c>
      <c r="B7106" s="33">
        <v>7074</v>
      </c>
      <c r="C7106" s="3">
        <v>2287850</v>
      </c>
      <c r="D7106" s="3">
        <v>2287850</v>
      </c>
      <c r="E7106" s="7">
        <v>0</v>
      </c>
      <c r="F7106" s="5">
        <v>45979</v>
      </c>
      <c r="G7106" s="4">
        <v>20251118</v>
      </c>
      <c r="H7106" s="38" t="s">
        <v>24</v>
      </c>
      <c r="I7106" s="34" t="s">
        <v>13</v>
      </c>
      <c r="J7106" s="38" t="s">
        <v>414</v>
      </c>
    </row>
    <row r="7107" spans="1:10">
      <c r="A7107" s="32">
        <v>721</v>
      </c>
      <c r="B7107" s="33">
        <v>8893</v>
      </c>
      <c r="C7107" s="3">
        <v>30000</v>
      </c>
      <c r="D7107" s="3">
        <v>30000</v>
      </c>
      <c r="E7107" s="7">
        <v>0</v>
      </c>
      <c r="F7107" s="5">
        <v>45980</v>
      </c>
      <c r="G7107" s="4">
        <v>20251118</v>
      </c>
      <c r="H7107" s="38" t="s">
        <v>30</v>
      </c>
      <c r="I7107" s="34" t="s">
        <v>9</v>
      </c>
      <c r="J7107" s="38" t="s">
        <v>170</v>
      </c>
    </row>
    <row r="7108" spans="1:10">
      <c r="A7108" s="32">
        <v>721</v>
      </c>
      <c r="B7108" s="33">
        <v>8897</v>
      </c>
      <c r="C7108" s="3">
        <v>1664000</v>
      </c>
      <c r="D7108" s="3">
        <v>1664000</v>
      </c>
      <c r="E7108" s="7">
        <v>0</v>
      </c>
      <c r="F7108" s="5">
        <v>45980</v>
      </c>
      <c r="G7108" s="4">
        <v>20251118</v>
      </c>
      <c r="H7108" s="38" t="s">
        <v>24</v>
      </c>
      <c r="I7108" s="34" t="s">
        <v>9</v>
      </c>
      <c r="J7108" s="38" t="s">
        <v>476</v>
      </c>
    </row>
    <row r="7109" spans="1:10">
      <c r="A7109" s="32">
        <v>335</v>
      </c>
      <c r="B7109" s="33">
        <v>5741</v>
      </c>
      <c r="C7109" s="3">
        <v>20000</v>
      </c>
      <c r="D7109" s="3">
        <v>20000</v>
      </c>
      <c r="E7109" s="7">
        <v>0</v>
      </c>
      <c r="F7109" s="5">
        <v>45980</v>
      </c>
      <c r="G7109" s="4">
        <v>20251118</v>
      </c>
      <c r="H7109" s="38" t="s">
        <v>30</v>
      </c>
      <c r="I7109" s="34" t="s">
        <v>10</v>
      </c>
      <c r="J7109" s="38" t="s">
        <v>32</v>
      </c>
    </row>
    <row r="7115" spans="1:10">
      <c r="J7115" t="s">
        <v>634</v>
      </c>
    </row>
  </sheetData>
  <autoFilter ref="A1:K7109" xr:uid="{F0C80A2B-B5BC-4390-A31C-3960AD007F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24AE-33BF-45E1-845E-95B4B412D29D}">
  <sheetPr filterMode="1">
    <tabColor rgb="FF66FFFF"/>
  </sheetPr>
  <dimension ref="A1:E998"/>
  <sheetViews>
    <sheetView showGridLines="0" workbookViewId="0">
      <pane ySplit="1" topLeftCell="B355" activePane="bottomLeft" state="frozen"/>
      <selection pane="bottomLeft" activeCell="B1" sqref="B1"/>
    </sheetView>
  </sheetViews>
  <sheetFormatPr defaultColWidth="11.42578125" defaultRowHeight="14.45"/>
  <cols>
    <col min="4" max="4" width="16" bestFit="1" customWidth="1"/>
    <col min="5" max="5" width="21.5703125" bestFit="1" customWidth="1"/>
  </cols>
  <sheetData>
    <row r="1" spans="1:5">
      <c r="A1" s="21" t="s">
        <v>0</v>
      </c>
      <c r="B1" s="22" t="s">
        <v>635</v>
      </c>
      <c r="C1" s="21" t="s">
        <v>636</v>
      </c>
      <c r="D1" s="21" t="s">
        <v>635</v>
      </c>
      <c r="E1" s="21" t="s">
        <v>637</v>
      </c>
    </row>
    <row r="2" spans="1:5" hidden="1">
      <c r="A2" s="11">
        <v>1</v>
      </c>
      <c r="B2" s="11">
        <v>4959</v>
      </c>
      <c r="C2" s="23" t="s">
        <v>638</v>
      </c>
      <c r="D2" s="12" t="s">
        <v>30</v>
      </c>
      <c r="E2" s="12" t="s">
        <v>639</v>
      </c>
    </row>
    <row r="3" spans="1:5" hidden="1">
      <c r="A3" s="11">
        <v>1</v>
      </c>
      <c r="B3" s="11">
        <v>5000</v>
      </c>
      <c r="C3" s="23" t="s">
        <v>640</v>
      </c>
      <c r="D3" s="12" t="s">
        <v>24</v>
      </c>
      <c r="E3" s="12" t="s">
        <v>243</v>
      </c>
    </row>
    <row r="4" spans="1:5" hidden="1">
      <c r="A4" s="11">
        <v>4</v>
      </c>
      <c r="B4" s="11">
        <v>316</v>
      </c>
      <c r="C4" s="23" t="s">
        <v>640</v>
      </c>
      <c r="D4" s="12" t="s">
        <v>24</v>
      </c>
      <c r="E4" s="12" t="s">
        <v>602</v>
      </c>
    </row>
    <row r="5" spans="1:5" hidden="1">
      <c r="A5" s="11">
        <v>4</v>
      </c>
      <c r="B5" s="11">
        <v>8626</v>
      </c>
      <c r="C5" s="23" t="s">
        <v>638</v>
      </c>
      <c r="D5" s="12" t="s">
        <v>30</v>
      </c>
      <c r="E5" s="12" t="s">
        <v>308</v>
      </c>
    </row>
    <row r="6" spans="1:5" hidden="1">
      <c r="A6" s="11">
        <v>4</v>
      </c>
      <c r="B6" s="11">
        <v>8627</v>
      </c>
      <c r="C6" s="23" t="s">
        <v>638</v>
      </c>
      <c r="D6" s="12" t="s">
        <v>30</v>
      </c>
      <c r="E6" s="12" t="s">
        <v>641</v>
      </c>
    </row>
    <row r="7" spans="1:5" hidden="1">
      <c r="A7" s="11">
        <v>4</v>
      </c>
      <c r="B7" s="11">
        <v>8628</v>
      </c>
      <c r="C7" s="23" t="s">
        <v>638</v>
      </c>
      <c r="D7" s="12" t="s">
        <v>30</v>
      </c>
      <c r="E7" s="12" t="s">
        <v>371</v>
      </c>
    </row>
    <row r="8" spans="1:5" hidden="1">
      <c r="A8" s="11">
        <v>4</v>
      </c>
      <c r="B8" s="11">
        <v>8629</v>
      </c>
      <c r="C8" s="23" t="s">
        <v>638</v>
      </c>
      <c r="D8" s="12" t="s">
        <v>30</v>
      </c>
      <c r="E8" s="12" t="s">
        <v>74</v>
      </c>
    </row>
    <row r="9" spans="1:5" hidden="1">
      <c r="A9" s="11">
        <v>4</v>
      </c>
      <c r="B9" s="11">
        <v>8630</v>
      </c>
      <c r="C9" s="23" t="s">
        <v>640</v>
      </c>
      <c r="D9" s="12" t="s">
        <v>24</v>
      </c>
      <c r="E9" s="12" t="s">
        <v>292</v>
      </c>
    </row>
    <row r="10" spans="1:5" hidden="1">
      <c r="A10" s="11">
        <v>4</v>
      </c>
      <c r="B10" s="11">
        <v>8631</v>
      </c>
      <c r="C10" s="23" t="s">
        <v>640</v>
      </c>
      <c r="D10" s="12" t="s">
        <v>24</v>
      </c>
      <c r="E10" s="12" t="s">
        <v>329</v>
      </c>
    </row>
    <row r="11" spans="1:5" hidden="1">
      <c r="A11" s="11">
        <v>5</v>
      </c>
      <c r="B11" s="11">
        <v>4866</v>
      </c>
      <c r="C11" s="23" t="e">
        <v>#N/A</v>
      </c>
      <c r="D11" s="12" t="s">
        <v>24</v>
      </c>
      <c r="E11" s="12" t="s">
        <v>642</v>
      </c>
    </row>
    <row r="12" spans="1:5" hidden="1">
      <c r="A12" s="11">
        <v>6</v>
      </c>
      <c r="B12" s="11">
        <v>5001</v>
      </c>
      <c r="C12" s="23" t="s">
        <v>640</v>
      </c>
      <c r="D12" s="12" t="s">
        <v>24</v>
      </c>
      <c r="E12" s="12" t="s">
        <v>281</v>
      </c>
    </row>
    <row r="13" spans="1:5" hidden="1">
      <c r="A13" s="11">
        <v>7</v>
      </c>
      <c r="B13" s="11">
        <v>5059</v>
      </c>
      <c r="C13" s="23" t="s">
        <v>643</v>
      </c>
      <c r="D13" s="12" t="s">
        <v>24</v>
      </c>
      <c r="E13" s="12" t="s">
        <v>644</v>
      </c>
    </row>
    <row r="14" spans="1:5" hidden="1">
      <c r="A14" s="11">
        <v>7</v>
      </c>
      <c r="B14" s="11">
        <v>5613</v>
      </c>
      <c r="C14" s="23" t="s">
        <v>643</v>
      </c>
      <c r="D14" s="12" t="s">
        <v>30</v>
      </c>
      <c r="E14" s="12" t="s">
        <v>645</v>
      </c>
    </row>
    <row r="15" spans="1:5" hidden="1">
      <c r="A15" s="11">
        <v>7</v>
      </c>
      <c r="B15" s="11">
        <v>5614</v>
      </c>
      <c r="C15" s="23" t="s">
        <v>638</v>
      </c>
      <c r="D15" s="12" t="s">
        <v>30</v>
      </c>
      <c r="E15" s="12" t="s">
        <v>646</v>
      </c>
    </row>
    <row r="16" spans="1:5" hidden="1">
      <c r="A16" s="11">
        <v>7</v>
      </c>
      <c r="B16" s="11">
        <v>5615</v>
      </c>
      <c r="C16" s="23" t="s">
        <v>643</v>
      </c>
      <c r="D16" s="12" t="s">
        <v>30</v>
      </c>
      <c r="E16" s="12" t="s">
        <v>647</v>
      </c>
    </row>
    <row r="17" spans="1:5" hidden="1">
      <c r="A17" s="11">
        <v>7</v>
      </c>
      <c r="B17" s="11">
        <v>5616</v>
      </c>
      <c r="C17" s="23" t="s">
        <v>643</v>
      </c>
      <c r="D17" s="12" t="s">
        <v>30</v>
      </c>
      <c r="E17" s="12" t="s">
        <v>648</v>
      </c>
    </row>
    <row r="18" spans="1:5" hidden="1">
      <c r="A18" s="11">
        <v>7</v>
      </c>
      <c r="B18" s="11">
        <v>5617</v>
      </c>
      <c r="C18" s="23" t="s">
        <v>638</v>
      </c>
      <c r="D18" s="12" t="s">
        <v>30</v>
      </c>
      <c r="E18" s="12" t="s">
        <v>141</v>
      </c>
    </row>
    <row r="19" spans="1:5" hidden="1">
      <c r="A19" s="11">
        <v>7</v>
      </c>
      <c r="B19" s="11">
        <v>7812</v>
      </c>
      <c r="C19" s="23" t="s">
        <v>643</v>
      </c>
      <c r="D19" s="12" t="s">
        <v>24</v>
      </c>
      <c r="E19" s="12" t="s">
        <v>274</v>
      </c>
    </row>
    <row r="20" spans="1:5" hidden="1">
      <c r="A20" s="11">
        <v>8</v>
      </c>
      <c r="B20" s="11">
        <v>5079</v>
      </c>
      <c r="C20" s="23" t="s">
        <v>640</v>
      </c>
      <c r="D20" s="12" t="s">
        <v>24</v>
      </c>
      <c r="E20" s="12" t="s">
        <v>649</v>
      </c>
    </row>
    <row r="21" spans="1:5" hidden="1">
      <c r="A21" s="11">
        <v>8</v>
      </c>
      <c r="B21" s="11">
        <v>5655</v>
      </c>
      <c r="C21" s="23" t="s">
        <v>650</v>
      </c>
      <c r="D21" s="12" t="s">
        <v>30</v>
      </c>
      <c r="E21" s="12" t="s">
        <v>651</v>
      </c>
    </row>
    <row r="22" spans="1:5" hidden="1">
      <c r="A22" s="11">
        <v>8</v>
      </c>
      <c r="B22" s="11">
        <v>5656</v>
      </c>
      <c r="C22" s="23" t="s">
        <v>650</v>
      </c>
      <c r="D22" s="12" t="s">
        <v>30</v>
      </c>
      <c r="E22" s="12" t="s">
        <v>400</v>
      </c>
    </row>
    <row r="23" spans="1:5" hidden="1">
      <c r="A23" s="11">
        <v>8</v>
      </c>
      <c r="B23" s="11">
        <v>7272</v>
      </c>
      <c r="C23" s="23" t="s">
        <v>643</v>
      </c>
      <c r="D23" s="12" t="s">
        <v>24</v>
      </c>
      <c r="E23" s="12" t="s">
        <v>373</v>
      </c>
    </row>
    <row r="24" spans="1:5" hidden="1">
      <c r="A24" s="11">
        <v>15</v>
      </c>
      <c r="B24" s="11">
        <v>8571</v>
      </c>
      <c r="C24" s="23" t="s">
        <v>638</v>
      </c>
      <c r="D24" s="12" t="s">
        <v>30</v>
      </c>
      <c r="E24" s="12" t="s">
        <v>652</v>
      </c>
    </row>
    <row r="25" spans="1:5" hidden="1">
      <c r="A25" s="11">
        <v>15</v>
      </c>
      <c r="B25" s="11">
        <v>8572</v>
      </c>
      <c r="C25" s="23" t="s">
        <v>638</v>
      </c>
      <c r="D25" s="12" t="s">
        <v>30</v>
      </c>
      <c r="E25" s="12" t="s">
        <v>282</v>
      </c>
    </row>
    <row r="26" spans="1:5" hidden="1">
      <c r="A26" s="11">
        <v>15</v>
      </c>
      <c r="B26" s="11">
        <v>8573</v>
      </c>
      <c r="C26" s="23" t="s">
        <v>638</v>
      </c>
      <c r="D26" s="12" t="s">
        <v>30</v>
      </c>
      <c r="E26" s="12" t="s">
        <v>653</v>
      </c>
    </row>
    <row r="27" spans="1:5" hidden="1">
      <c r="A27" s="11">
        <v>15</v>
      </c>
      <c r="B27" s="11">
        <v>8576</v>
      </c>
      <c r="C27" s="23" t="s">
        <v>640</v>
      </c>
      <c r="D27" s="12" t="s">
        <v>24</v>
      </c>
      <c r="E27" s="12" t="s">
        <v>114</v>
      </c>
    </row>
    <row r="28" spans="1:5" hidden="1">
      <c r="A28" s="11">
        <v>15</v>
      </c>
      <c r="B28" s="11">
        <v>8577</v>
      </c>
      <c r="C28" s="23" t="s">
        <v>640</v>
      </c>
      <c r="D28" s="12" t="s">
        <v>24</v>
      </c>
      <c r="E28" s="12" t="s">
        <v>374</v>
      </c>
    </row>
    <row r="29" spans="1:5" hidden="1">
      <c r="A29" s="11">
        <v>15</v>
      </c>
      <c r="B29" s="11">
        <v>8578</v>
      </c>
      <c r="C29" s="23" t="s">
        <v>640</v>
      </c>
      <c r="D29" s="12" t="s">
        <v>24</v>
      </c>
      <c r="E29" s="12" t="s">
        <v>129</v>
      </c>
    </row>
    <row r="30" spans="1:5" hidden="1">
      <c r="A30" s="11">
        <v>16</v>
      </c>
      <c r="B30" s="11">
        <v>5219</v>
      </c>
      <c r="C30" s="23" t="s">
        <v>643</v>
      </c>
      <c r="D30" s="12" t="s">
        <v>24</v>
      </c>
      <c r="E30" s="12" t="s">
        <v>654</v>
      </c>
    </row>
    <row r="31" spans="1:5" hidden="1">
      <c r="A31" s="11">
        <v>19</v>
      </c>
      <c r="B31" s="11">
        <v>1448</v>
      </c>
      <c r="C31" s="23" t="s">
        <v>638</v>
      </c>
      <c r="D31" s="12" t="s">
        <v>30</v>
      </c>
      <c r="E31" s="12" t="s">
        <v>655</v>
      </c>
    </row>
    <row r="32" spans="1:5" hidden="1">
      <c r="A32" s="11">
        <v>19</v>
      </c>
      <c r="B32" s="11">
        <v>1449</v>
      </c>
      <c r="C32" s="23" t="s">
        <v>638</v>
      </c>
      <c r="D32" s="12" t="s">
        <v>30</v>
      </c>
      <c r="E32" s="12" t="s">
        <v>225</v>
      </c>
    </row>
    <row r="33" spans="1:5" hidden="1">
      <c r="A33" s="11">
        <v>19</v>
      </c>
      <c r="B33" s="11">
        <v>5078</v>
      </c>
      <c r="C33" s="23" t="s">
        <v>640</v>
      </c>
      <c r="D33" s="12" t="s">
        <v>24</v>
      </c>
      <c r="E33" s="12" t="s">
        <v>367</v>
      </c>
    </row>
    <row r="34" spans="1:5" hidden="1">
      <c r="A34" s="11">
        <v>20</v>
      </c>
      <c r="B34" s="11">
        <v>6839</v>
      </c>
      <c r="C34" s="23" t="s">
        <v>640</v>
      </c>
      <c r="D34" s="12" t="s">
        <v>24</v>
      </c>
      <c r="E34" s="12" t="s">
        <v>112</v>
      </c>
    </row>
    <row r="35" spans="1:5" hidden="1">
      <c r="A35" s="11">
        <v>20</v>
      </c>
      <c r="B35" s="11">
        <v>8927</v>
      </c>
      <c r="C35" s="23" t="s">
        <v>640</v>
      </c>
      <c r="D35" s="12" t="s">
        <v>24</v>
      </c>
      <c r="E35" s="12" t="s">
        <v>614</v>
      </c>
    </row>
    <row r="36" spans="1:5" hidden="1">
      <c r="A36" s="11">
        <v>20</v>
      </c>
      <c r="B36" s="11">
        <v>9204</v>
      </c>
      <c r="C36" s="23" t="s">
        <v>640</v>
      </c>
      <c r="D36" s="12" t="s">
        <v>24</v>
      </c>
      <c r="E36" s="12" t="s">
        <v>254</v>
      </c>
    </row>
    <row r="37" spans="1:5" hidden="1">
      <c r="A37" s="11">
        <v>24</v>
      </c>
      <c r="B37" s="11">
        <v>5066</v>
      </c>
      <c r="C37" s="23" t="s">
        <v>640</v>
      </c>
      <c r="D37" s="12" t="s">
        <v>24</v>
      </c>
      <c r="E37" s="12" t="s">
        <v>509</v>
      </c>
    </row>
    <row r="38" spans="1:5" hidden="1">
      <c r="A38" s="11">
        <v>24</v>
      </c>
      <c r="B38" s="11">
        <v>5291</v>
      </c>
      <c r="C38" s="23" t="s">
        <v>638</v>
      </c>
      <c r="D38" s="12" t="s">
        <v>30</v>
      </c>
      <c r="E38" s="12" t="s">
        <v>656</v>
      </c>
    </row>
    <row r="39" spans="1:5" hidden="1">
      <c r="A39" s="11">
        <v>24</v>
      </c>
      <c r="B39" s="11">
        <v>5292</v>
      </c>
      <c r="C39" s="23" t="s">
        <v>638</v>
      </c>
      <c r="D39" s="12" t="s">
        <v>30</v>
      </c>
      <c r="E39" s="12" t="s">
        <v>657</v>
      </c>
    </row>
    <row r="40" spans="1:5" hidden="1">
      <c r="A40" s="11">
        <v>24</v>
      </c>
      <c r="B40" s="11">
        <v>5293</v>
      </c>
      <c r="C40" s="23" t="s">
        <v>638</v>
      </c>
      <c r="D40" s="12" t="s">
        <v>30</v>
      </c>
      <c r="E40" s="12" t="s">
        <v>658</v>
      </c>
    </row>
    <row r="41" spans="1:5" hidden="1">
      <c r="A41" s="11">
        <v>24</v>
      </c>
      <c r="B41" s="11">
        <v>5294</v>
      </c>
      <c r="C41" s="23" t="s">
        <v>638</v>
      </c>
      <c r="D41" s="12" t="s">
        <v>30</v>
      </c>
      <c r="E41" s="12" t="s">
        <v>425</v>
      </c>
    </row>
    <row r="42" spans="1:5" hidden="1">
      <c r="A42" s="11">
        <v>30</v>
      </c>
      <c r="B42" s="11">
        <v>4957</v>
      </c>
      <c r="C42" s="23" t="s">
        <v>643</v>
      </c>
      <c r="D42" s="12" t="s">
        <v>30</v>
      </c>
      <c r="E42" s="12" t="s">
        <v>143</v>
      </c>
    </row>
    <row r="43" spans="1:5" hidden="1">
      <c r="A43" s="11">
        <v>30</v>
      </c>
      <c r="B43" s="11">
        <v>4958</v>
      </c>
      <c r="C43" s="23" t="s">
        <v>643</v>
      </c>
      <c r="D43" s="12" t="s">
        <v>30</v>
      </c>
      <c r="E43" s="12" t="s">
        <v>144</v>
      </c>
    </row>
    <row r="44" spans="1:5" hidden="1">
      <c r="A44" s="11">
        <v>30</v>
      </c>
      <c r="B44" s="11">
        <v>6172</v>
      </c>
      <c r="C44" s="23" t="s">
        <v>640</v>
      </c>
      <c r="D44" s="12" t="s">
        <v>24</v>
      </c>
      <c r="E44" s="12" t="s">
        <v>490</v>
      </c>
    </row>
    <row r="45" spans="1:5" hidden="1">
      <c r="A45" s="11">
        <v>31</v>
      </c>
      <c r="B45" s="11">
        <v>8732</v>
      </c>
      <c r="C45" s="23" t="s">
        <v>643</v>
      </c>
      <c r="D45" s="12" t="s">
        <v>30</v>
      </c>
      <c r="E45" s="12" t="s">
        <v>195</v>
      </c>
    </row>
    <row r="46" spans="1:5" hidden="1">
      <c r="A46" s="11">
        <v>31</v>
      </c>
      <c r="B46" s="11">
        <v>8733</v>
      </c>
      <c r="C46" s="23" t="s">
        <v>643</v>
      </c>
      <c r="D46" s="12" t="s">
        <v>30</v>
      </c>
      <c r="E46" s="12" t="s">
        <v>196</v>
      </c>
    </row>
    <row r="47" spans="1:5" hidden="1">
      <c r="A47" s="11">
        <v>31</v>
      </c>
      <c r="B47" s="11">
        <v>8737</v>
      </c>
      <c r="C47" s="23" t="s">
        <v>640</v>
      </c>
      <c r="D47" s="12" t="s">
        <v>24</v>
      </c>
      <c r="E47" s="12" t="s">
        <v>299</v>
      </c>
    </row>
    <row r="48" spans="1:5" hidden="1">
      <c r="A48" s="11">
        <v>32</v>
      </c>
      <c r="B48" s="11">
        <v>5027</v>
      </c>
      <c r="C48" s="23" t="s">
        <v>640</v>
      </c>
      <c r="D48" s="12" t="s">
        <v>24</v>
      </c>
      <c r="E48" s="12" t="s">
        <v>280</v>
      </c>
    </row>
    <row r="49" spans="1:5" hidden="1">
      <c r="A49" s="11">
        <v>33</v>
      </c>
      <c r="B49" s="11">
        <v>8859</v>
      </c>
      <c r="C49" s="23" t="s">
        <v>643</v>
      </c>
      <c r="D49" s="12" t="s">
        <v>30</v>
      </c>
      <c r="E49" s="12" t="s">
        <v>659</v>
      </c>
    </row>
    <row r="50" spans="1:5" hidden="1">
      <c r="A50" s="11">
        <v>33</v>
      </c>
      <c r="B50" s="11">
        <v>8860</v>
      </c>
      <c r="C50" s="23" t="s">
        <v>643</v>
      </c>
      <c r="D50" s="12" t="s">
        <v>30</v>
      </c>
      <c r="E50" s="12" t="s">
        <v>660</v>
      </c>
    </row>
    <row r="51" spans="1:5" hidden="1">
      <c r="A51" s="11">
        <v>33</v>
      </c>
      <c r="B51" s="11">
        <v>8861</v>
      </c>
      <c r="C51" s="23" t="s">
        <v>643</v>
      </c>
      <c r="D51" s="12" t="s">
        <v>24</v>
      </c>
      <c r="E51" s="12" t="s">
        <v>661</v>
      </c>
    </row>
    <row r="52" spans="1:5" hidden="1">
      <c r="A52" s="11">
        <v>37</v>
      </c>
      <c r="B52" s="11">
        <v>6406</v>
      </c>
      <c r="C52" s="23" t="s">
        <v>640</v>
      </c>
      <c r="D52" s="12" t="s">
        <v>24</v>
      </c>
      <c r="E52" s="12" t="s">
        <v>219</v>
      </c>
    </row>
    <row r="53" spans="1:5" hidden="1">
      <c r="A53" s="11">
        <v>38</v>
      </c>
      <c r="B53" s="11">
        <v>6553</v>
      </c>
      <c r="C53" s="23" t="s">
        <v>643</v>
      </c>
      <c r="D53" s="12" t="s">
        <v>30</v>
      </c>
      <c r="E53" s="12" t="s">
        <v>216</v>
      </c>
    </row>
    <row r="54" spans="1:5" hidden="1">
      <c r="A54" s="11">
        <v>38</v>
      </c>
      <c r="B54" s="11">
        <v>6554</v>
      </c>
      <c r="C54" s="23" t="s">
        <v>643</v>
      </c>
      <c r="D54" s="12" t="s">
        <v>30</v>
      </c>
      <c r="E54" s="12" t="s">
        <v>84</v>
      </c>
    </row>
    <row r="55" spans="1:5" hidden="1">
      <c r="A55" s="11">
        <v>40</v>
      </c>
      <c r="B55" s="11">
        <v>5142</v>
      </c>
      <c r="C55" s="23" t="s">
        <v>640</v>
      </c>
      <c r="D55" s="12" t="s">
        <v>24</v>
      </c>
      <c r="E55" s="12" t="s">
        <v>477</v>
      </c>
    </row>
    <row r="56" spans="1:5" hidden="1">
      <c r="A56" s="11">
        <v>40</v>
      </c>
      <c r="B56" s="11">
        <v>7990</v>
      </c>
      <c r="C56" s="23" t="s">
        <v>638</v>
      </c>
      <c r="D56" s="12" t="s">
        <v>30</v>
      </c>
      <c r="E56" s="12" t="s">
        <v>662</v>
      </c>
    </row>
    <row r="57" spans="1:5" hidden="1">
      <c r="A57" s="11">
        <v>40</v>
      </c>
      <c r="B57" s="11">
        <v>7991</v>
      </c>
      <c r="C57" s="23" t="s">
        <v>638</v>
      </c>
      <c r="D57" s="12" t="s">
        <v>30</v>
      </c>
      <c r="E57" s="12" t="s">
        <v>663</v>
      </c>
    </row>
    <row r="58" spans="1:5" hidden="1">
      <c r="A58" s="11">
        <v>41</v>
      </c>
      <c r="B58" s="11">
        <v>410</v>
      </c>
      <c r="C58" s="23" t="s">
        <v>650</v>
      </c>
      <c r="D58" s="12" t="s">
        <v>30</v>
      </c>
      <c r="E58" s="12" t="s">
        <v>664</v>
      </c>
    </row>
    <row r="59" spans="1:5" hidden="1">
      <c r="A59" s="11">
        <v>41</v>
      </c>
      <c r="B59" s="11">
        <v>7341</v>
      </c>
      <c r="C59" s="23" t="s">
        <v>643</v>
      </c>
      <c r="D59" s="12" t="s">
        <v>24</v>
      </c>
      <c r="E59" s="12" t="s">
        <v>665</v>
      </c>
    </row>
    <row r="60" spans="1:5" hidden="1">
      <c r="A60" s="11">
        <v>42</v>
      </c>
      <c r="B60" s="11">
        <v>420</v>
      </c>
      <c r="C60" s="23" t="s">
        <v>638</v>
      </c>
      <c r="D60" s="12" t="s">
        <v>30</v>
      </c>
      <c r="E60" s="12" t="s">
        <v>666</v>
      </c>
    </row>
    <row r="61" spans="1:5" hidden="1">
      <c r="A61" s="11">
        <v>42</v>
      </c>
      <c r="B61" s="11">
        <v>7886</v>
      </c>
      <c r="C61" s="23" t="s">
        <v>643</v>
      </c>
      <c r="D61" s="12" t="s">
        <v>30</v>
      </c>
      <c r="E61" s="12" t="s">
        <v>227</v>
      </c>
    </row>
    <row r="62" spans="1:5" hidden="1">
      <c r="A62" s="11">
        <v>52</v>
      </c>
      <c r="B62" s="11">
        <v>520</v>
      </c>
      <c r="C62" s="23" t="s">
        <v>638</v>
      </c>
      <c r="D62" s="12" t="s">
        <v>30</v>
      </c>
      <c r="E62" s="12" t="s">
        <v>510</v>
      </c>
    </row>
    <row r="63" spans="1:5" hidden="1">
      <c r="A63" s="11">
        <v>53</v>
      </c>
      <c r="B63" s="11">
        <v>5141</v>
      </c>
      <c r="C63" s="23" t="s">
        <v>640</v>
      </c>
      <c r="D63" s="12" t="s">
        <v>24</v>
      </c>
      <c r="E63" s="12" t="s">
        <v>552</v>
      </c>
    </row>
    <row r="64" spans="1:5" hidden="1">
      <c r="A64" s="11">
        <v>54</v>
      </c>
      <c r="B64" s="11">
        <v>6204</v>
      </c>
      <c r="C64" s="23" t="s">
        <v>640</v>
      </c>
      <c r="D64" s="12" t="s">
        <v>24</v>
      </c>
      <c r="E64" s="12" t="s">
        <v>152</v>
      </c>
    </row>
    <row r="65" spans="1:5" hidden="1">
      <c r="A65" s="11">
        <v>57</v>
      </c>
      <c r="B65" s="11">
        <v>9929</v>
      </c>
      <c r="C65" s="23" t="s">
        <v>638</v>
      </c>
      <c r="D65" s="12" t="s">
        <v>30</v>
      </c>
      <c r="E65" s="12" t="s">
        <v>176</v>
      </c>
    </row>
    <row r="66" spans="1:5" hidden="1">
      <c r="A66" s="11">
        <v>57</v>
      </c>
      <c r="B66" s="11">
        <v>9930</v>
      </c>
      <c r="C66" s="23" t="s">
        <v>638</v>
      </c>
      <c r="D66" s="12" t="s">
        <v>30</v>
      </c>
      <c r="E66" s="12" t="s">
        <v>667</v>
      </c>
    </row>
    <row r="67" spans="1:5" hidden="1">
      <c r="A67" s="11">
        <v>57</v>
      </c>
      <c r="B67" s="11">
        <v>9931</v>
      </c>
      <c r="C67" s="23" t="s">
        <v>638</v>
      </c>
      <c r="D67" s="12" t="s">
        <v>30</v>
      </c>
      <c r="E67" s="12" t="s">
        <v>668</v>
      </c>
    </row>
    <row r="68" spans="1:5" hidden="1">
      <c r="A68" s="11">
        <v>57</v>
      </c>
      <c r="B68" s="11">
        <v>9949</v>
      </c>
      <c r="C68" s="23" t="s">
        <v>643</v>
      </c>
      <c r="D68" s="12" t="s">
        <v>30</v>
      </c>
      <c r="E68" s="12" t="s">
        <v>377</v>
      </c>
    </row>
    <row r="69" spans="1:5" hidden="1">
      <c r="A69" s="11">
        <v>57</v>
      </c>
      <c r="B69" s="11">
        <v>9950</v>
      </c>
      <c r="C69" s="23" t="s">
        <v>650</v>
      </c>
      <c r="D69" s="12" t="s">
        <v>30</v>
      </c>
      <c r="E69" s="12" t="s">
        <v>534</v>
      </c>
    </row>
    <row r="70" spans="1:5" hidden="1">
      <c r="A70" s="11">
        <v>57</v>
      </c>
      <c r="B70" s="11">
        <v>9951</v>
      </c>
      <c r="C70" s="23" t="s">
        <v>650</v>
      </c>
      <c r="D70" s="12" t="s">
        <v>30</v>
      </c>
      <c r="E70" s="12" t="s">
        <v>669</v>
      </c>
    </row>
    <row r="71" spans="1:5" hidden="1">
      <c r="A71" s="11">
        <v>57</v>
      </c>
      <c r="B71" s="11">
        <v>9961</v>
      </c>
      <c r="C71" s="23" t="s">
        <v>643</v>
      </c>
      <c r="D71" s="12" t="s">
        <v>30</v>
      </c>
      <c r="E71" s="12" t="s">
        <v>670</v>
      </c>
    </row>
    <row r="72" spans="1:5" hidden="1">
      <c r="A72" s="11">
        <v>57</v>
      </c>
      <c r="B72" s="11">
        <v>9962</v>
      </c>
      <c r="C72" s="23" t="s">
        <v>643</v>
      </c>
      <c r="D72" s="12" t="s">
        <v>30</v>
      </c>
      <c r="E72" s="12" t="s">
        <v>671</v>
      </c>
    </row>
    <row r="73" spans="1:5" hidden="1">
      <c r="A73" s="11">
        <v>57</v>
      </c>
      <c r="B73" s="11">
        <v>9963</v>
      </c>
      <c r="C73" s="23" t="s">
        <v>640</v>
      </c>
      <c r="D73" s="12" t="s">
        <v>24</v>
      </c>
      <c r="E73" s="12" t="s">
        <v>58</v>
      </c>
    </row>
    <row r="74" spans="1:5" hidden="1">
      <c r="A74" s="11">
        <v>59</v>
      </c>
      <c r="B74" s="11">
        <v>3667</v>
      </c>
      <c r="C74" s="23" t="s">
        <v>638</v>
      </c>
      <c r="D74" s="12" t="s">
        <v>30</v>
      </c>
      <c r="E74" s="12" t="s">
        <v>672</v>
      </c>
    </row>
    <row r="75" spans="1:5" hidden="1">
      <c r="A75" s="11">
        <v>59</v>
      </c>
      <c r="B75" s="11">
        <v>5002</v>
      </c>
      <c r="C75" s="23" t="s">
        <v>640</v>
      </c>
      <c r="D75" s="12" t="s">
        <v>24</v>
      </c>
      <c r="E75" s="12" t="s">
        <v>407</v>
      </c>
    </row>
    <row r="76" spans="1:5" hidden="1">
      <c r="A76" s="11">
        <v>60</v>
      </c>
      <c r="B76" s="11">
        <v>8719</v>
      </c>
      <c r="C76" s="23" t="s">
        <v>643</v>
      </c>
      <c r="D76" s="12" t="s">
        <v>30</v>
      </c>
      <c r="E76" s="12" t="s">
        <v>31</v>
      </c>
    </row>
    <row r="77" spans="1:5" hidden="1">
      <c r="A77" s="11">
        <v>60</v>
      </c>
      <c r="B77" s="11">
        <v>8720</v>
      </c>
      <c r="C77" s="23" t="s">
        <v>643</v>
      </c>
      <c r="D77" s="12" t="s">
        <v>30</v>
      </c>
      <c r="E77" s="12" t="s">
        <v>324</v>
      </c>
    </row>
    <row r="78" spans="1:5" hidden="1">
      <c r="A78" s="11">
        <v>60</v>
      </c>
      <c r="B78" s="11">
        <v>8721</v>
      </c>
      <c r="C78" s="23" t="s">
        <v>643</v>
      </c>
      <c r="D78" s="12" t="s">
        <v>30</v>
      </c>
      <c r="E78" s="12" t="s">
        <v>59</v>
      </c>
    </row>
    <row r="79" spans="1:5" hidden="1">
      <c r="A79" s="11">
        <v>60</v>
      </c>
      <c r="B79" s="11">
        <v>8722</v>
      </c>
      <c r="C79" s="23" t="s">
        <v>638</v>
      </c>
      <c r="D79" s="12" t="s">
        <v>30</v>
      </c>
      <c r="E79" s="12" t="s">
        <v>673</v>
      </c>
    </row>
    <row r="80" spans="1:5" hidden="1">
      <c r="A80" s="11">
        <v>60</v>
      </c>
      <c r="B80" s="11">
        <v>8723</v>
      </c>
      <c r="C80" s="23" t="s">
        <v>638</v>
      </c>
      <c r="D80" s="12" t="s">
        <v>30</v>
      </c>
      <c r="E80" s="12" t="s">
        <v>322</v>
      </c>
    </row>
    <row r="81" spans="1:5" hidden="1">
      <c r="A81" s="11">
        <v>60</v>
      </c>
      <c r="B81" s="11">
        <v>8724</v>
      </c>
      <c r="C81" s="23" t="s">
        <v>643</v>
      </c>
      <c r="D81" s="12" t="s">
        <v>30</v>
      </c>
      <c r="E81" s="12" t="s">
        <v>482</v>
      </c>
    </row>
    <row r="82" spans="1:5" hidden="1">
      <c r="A82" s="11">
        <v>60</v>
      </c>
      <c r="B82" s="11">
        <v>8725</v>
      </c>
      <c r="C82" s="23" t="s">
        <v>643</v>
      </c>
      <c r="D82" s="12" t="s">
        <v>30</v>
      </c>
      <c r="E82" s="12" t="s">
        <v>323</v>
      </c>
    </row>
    <row r="83" spans="1:5" hidden="1">
      <c r="A83" s="11">
        <v>60</v>
      </c>
      <c r="B83" s="11">
        <v>8726</v>
      </c>
      <c r="C83" s="23" t="s">
        <v>643</v>
      </c>
      <c r="D83" s="12" t="s">
        <v>30</v>
      </c>
      <c r="E83" s="12" t="s">
        <v>608</v>
      </c>
    </row>
    <row r="84" spans="1:5" hidden="1">
      <c r="A84" s="11">
        <v>60</v>
      </c>
      <c r="B84" s="11">
        <v>8727</v>
      </c>
      <c r="C84" s="23" t="s">
        <v>640</v>
      </c>
      <c r="D84" s="12" t="s">
        <v>24</v>
      </c>
      <c r="E84" s="12" t="s">
        <v>458</v>
      </c>
    </row>
    <row r="85" spans="1:5" hidden="1">
      <c r="A85" s="11">
        <v>60</v>
      </c>
      <c r="B85" s="11">
        <v>8728</v>
      </c>
      <c r="C85" s="23" t="s">
        <v>643</v>
      </c>
      <c r="D85" s="12" t="s">
        <v>24</v>
      </c>
      <c r="E85" s="12" t="s">
        <v>674</v>
      </c>
    </row>
    <row r="86" spans="1:5" hidden="1">
      <c r="A86" s="11">
        <v>60</v>
      </c>
      <c r="B86" s="11">
        <v>8729</v>
      </c>
      <c r="C86" s="23" t="s">
        <v>640</v>
      </c>
      <c r="D86" s="12" t="s">
        <v>24</v>
      </c>
      <c r="E86" s="12" t="s">
        <v>303</v>
      </c>
    </row>
    <row r="87" spans="1:5" hidden="1">
      <c r="A87" s="11">
        <v>61</v>
      </c>
      <c r="B87" s="11">
        <v>781</v>
      </c>
      <c r="C87" s="23" t="s">
        <v>643</v>
      </c>
      <c r="D87" s="12" t="s">
        <v>30</v>
      </c>
      <c r="E87" s="12" t="s">
        <v>349</v>
      </c>
    </row>
    <row r="88" spans="1:5" hidden="1">
      <c r="A88" s="11">
        <v>61</v>
      </c>
      <c r="B88" s="11">
        <v>782</v>
      </c>
      <c r="C88" s="23" t="s">
        <v>643</v>
      </c>
      <c r="D88" s="12" t="s">
        <v>30</v>
      </c>
      <c r="E88" s="12" t="s">
        <v>501</v>
      </c>
    </row>
    <row r="89" spans="1:5" hidden="1">
      <c r="A89" s="11">
        <v>61</v>
      </c>
      <c r="B89" s="11">
        <v>783</v>
      </c>
      <c r="C89" s="23" t="s">
        <v>643</v>
      </c>
      <c r="D89" s="12" t="s">
        <v>30</v>
      </c>
      <c r="E89" s="12" t="s">
        <v>502</v>
      </c>
    </row>
    <row r="90" spans="1:5" hidden="1">
      <c r="A90" s="11">
        <v>61</v>
      </c>
      <c r="B90" s="11">
        <v>788</v>
      </c>
      <c r="C90" s="23" t="s">
        <v>640</v>
      </c>
      <c r="D90" s="12" t="s">
        <v>24</v>
      </c>
      <c r="E90" s="12" t="s">
        <v>25</v>
      </c>
    </row>
    <row r="91" spans="1:5" hidden="1">
      <c r="A91" s="11">
        <v>64</v>
      </c>
      <c r="B91" s="11">
        <v>6447</v>
      </c>
      <c r="C91" s="23" t="s">
        <v>650</v>
      </c>
      <c r="D91" s="12" t="s">
        <v>30</v>
      </c>
      <c r="E91" s="12" t="s">
        <v>33</v>
      </c>
    </row>
    <row r="92" spans="1:5" hidden="1">
      <c r="A92" s="11">
        <v>64</v>
      </c>
      <c r="B92" s="11">
        <v>6605</v>
      </c>
      <c r="C92" s="23" t="s">
        <v>650</v>
      </c>
      <c r="D92" s="12" t="s">
        <v>30</v>
      </c>
      <c r="E92" s="12" t="s">
        <v>675</v>
      </c>
    </row>
    <row r="93" spans="1:5" hidden="1">
      <c r="A93" s="11">
        <v>64</v>
      </c>
      <c r="B93" s="11">
        <v>9306</v>
      </c>
      <c r="C93" s="23" t="s">
        <v>640</v>
      </c>
      <c r="D93" s="12" t="s">
        <v>24</v>
      </c>
      <c r="E93" s="12" t="s">
        <v>676</v>
      </c>
    </row>
    <row r="94" spans="1:5" hidden="1">
      <c r="A94" s="11">
        <v>65</v>
      </c>
      <c r="B94" s="11">
        <v>2686</v>
      </c>
      <c r="C94" s="23" t="s">
        <v>638</v>
      </c>
      <c r="D94" s="12" t="s">
        <v>30</v>
      </c>
      <c r="E94" s="12" t="s">
        <v>589</v>
      </c>
    </row>
    <row r="95" spans="1:5" hidden="1">
      <c r="A95" s="11">
        <v>68</v>
      </c>
      <c r="B95" s="11">
        <v>4979</v>
      </c>
      <c r="C95" s="23" t="s">
        <v>638</v>
      </c>
      <c r="D95" s="12" t="s">
        <v>30</v>
      </c>
      <c r="E95" s="12" t="s">
        <v>677</v>
      </c>
    </row>
    <row r="96" spans="1:5" hidden="1">
      <c r="A96" s="11">
        <v>68</v>
      </c>
      <c r="B96" s="11">
        <v>4980</v>
      </c>
      <c r="C96" s="23" t="s">
        <v>638</v>
      </c>
      <c r="D96" s="12" t="s">
        <v>30</v>
      </c>
      <c r="E96" s="12" t="s">
        <v>678</v>
      </c>
    </row>
    <row r="97" spans="1:5" hidden="1">
      <c r="A97" s="11">
        <v>68</v>
      </c>
      <c r="B97" s="11">
        <v>4981</v>
      </c>
      <c r="C97" s="23" t="s">
        <v>638</v>
      </c>
      <c r="D97" s="12" t="s">
        <v>30</v>
      </c>
      <c r="E97" s="12" t="s">
        <v>679</v>
      </c>
    </row>
    <row r="98" spans="1:5" hidden="1">
      <c r="A98" s="11">
        <v>68</v>
      </c>
      <c r="B98" s="11">
        <v>4991</v>
      </c>
      <c r="C98" s="23" t="s">
        <v>638</v>
      </c>
      <c r="D98" s="12" t="s">
        <v>30</v>
      </c>
      <c r="E98" s="12" t="s">
        <v>680</v>
      </c>
    </row>
    <row r="99" spans="1:5" hidden="1">
      <c r="A99" s="11">
        <v>68</v>
      </c>
      <c r="B99" s="11">
        <v>5135</v>
      </c>
      <c r="C99" s="23" t="s">
        <v>640</v>
      </c>
      <c r="D99" s="12" t="s">
        <v>24</v>
      </c>
      <c r="E99" s="12" t="s">
        <v>313</v>
      </c>
    </row>
    <row r="100" spans="1:5" hidden="1">
      <c r="A100" s="11">
        <v>70</v>
      </c>
      <c r="B100" s="11">
        <v>4729</v>
      </c>
      <c r="C100" s="23" t="s">
        <v>638</v>
      </c>
      <c r="D100" s="12" t="s">
        <v>30</v>
      </c>
      <c r="E100" s="12" t="s">
        <v>681</v>
      </c>
    </row>
    <row r="101" spans="1:5" hidden="1">
      <c r="A101" s="11">
        <v>70</v>
      </c>
      <c r="B101" s="11">
        <v>5164</v>
      </c>
      <c r="C101" s="23" t="s">
        <v>640</v>
      </c>
      <c r="D101" s="12" t="s">
        <v>24</v>
      </c>
      <c r="E101" s="12" t="s">
        <v>218</v>
      </c>
    </row>
    <row r="102" spans="1:5" hidden="1">
      <c r="A102" s="11">
        <v>73</v>
      </c>
      <c r="B102" s="11">
        <v>5108</v>
      </c>
      <c r="C102" s="23" t="s">
        <v>640</v>
      </c>
      <c r="D102" s="12" t="s">
        <v>24</v>
      </c>
      <c r="E102" s="12" t="s">
        <v>478</v>
      </c>
    </row>
    <row r="103" spans="1:5" hidden="1">
      <c r="A103" s="11">
        <v>73</v>
      </c>
      <c r="B103" s="11">
        <v>6483</v>
      </c>
      <c r="C103" s="23" t="s">
        <v>638</v>
      </c>
      <c r="D103" s="12" t="s">
        <v>30</v>
      </c>
      <c r="E103" s="12" t="s">
        <v>682</v>
      </c>
    </row>
    <row r="104" spans="1:5" hidden="1">
      <c r="A104" s="11">
        <v>74</v>
      </c>
      <c r="B104" s="11">
        <v>6215</v>
      </c>
      <c r="C104" s="23" t="s">
        <v>643</v>
      </c>
      <c r="D104" s="12" t="s">
        <v>24</v>
      </c>
      <c r="E104" s="12" t="s">
        <v>683</v>
      </c>
    </row>
    <row r="105" spans="1:5" hidden="1">
      <c r="A105" s="11">
        <v>74</v>
      </c>
      <c r="B105" s="11">
        <v>8273</v>
      </c>
      <c r="C105" s="23" t="s">
        <v>638</v>
      </c>
      <c r="D105" s="12" t="s">
        <v>30</v>
      </c>
      <c r="E105" s="12" t="s">
        <v>684</v>
      </c>
    </row>
    <row r="106" spans="1:5" hidden="1">
      <c r="A106" s="11">
        <v>76</v>
      </c>
      <c r="B106" s="11">
        <v>5126</v>
      </c>
      <c r="C106" s="23" t="s">
        <v>640</v>
      </c>
      <c r="D106" s="12" t="s">
        <v>24</v>
      </c>
      <c r="E106" s="12" t="s">
        <v>607</v>
      </c>
    </row>
    <row r="107" spans="1:5" hidden="1">
      <c r="A107" s="11">
        <v>77</v>
      </c>
      <c r="B107" s="11">
        <v>4853</v>
      </c>
      <c r="C107" s="23" t="s">
        <v>643</v>
      </c>
      <c r="D107" s="12" t="s">
        <v>30</v>
      </c>
      <c r="E107" s="12" t="s">
        <v>548</v>
      </c>
    </row>
    <row r="108" spans="1:5" hidden="1">
      <c r="A108" s="11">
        <v>77</v>
      </c>
      <c r="B108" s="11">
        <v>5204</v>
      </c>
      <c r="C108" s="23" t="s">
        <v>640</v>
      </c>
      <c r="D108" s="12" t="s">
        <v>24</v>
      </c>
      <c r="E108" s="12" t="s">
        <v>368</v>
      </c>
    </row>
    <row r="109" spans="1:5" hidden="1">
      <c r="A109" s="11">
        <v>78</v>
      </c>
      <c r="B109" s="11">
        <v>6246</v>
      </c>
      <c r="C109" s="23" t="s">
        <v>640</v>
      </c>
      <c r="D109" s="12" t="s">
        <v>24</v>
      </c>
      <c r="E109" s="12" t="s">
        <v>128</v>
      </c>
    </row>
    <row r="110" spans="1:5" hidden="1">
      <c r="A110" s="11">
        <v>78</v>
      </c>
      <c r="B110" s="11">
        <v>8590</v>
      </c>
      <c r="C110" s="23" t="s">
        <v>638</v>
      </c>
      <c r="D110" s="12" t="s">
        <v>30</v>
      </c>
      <c r="E110" s="12" t="s">
        <v>685</v>
      </c>
    </row>
    <row r="111" spans="1:5" hidden="1">
      <c r="A111" s="11">
        <v>78</v>
      </c>
      <c r="B111" s="11">
        <v>8591</v>
      </c>
      <c r="C111" s="23" t="s">
        <v>638</v>
      </c>
      <c r="D111" s="12" t="s">
        <v>30</v>
      </c>
      <c r="E111" s="12" t="s">
        <v>686</v>
      </c>
    </row>
    <row r="112" spans="1:5" hidden="1">
      <c r="A112" s="11">
        <v>78</v>
      </c>
      <c r="B112" s="11">
        <v>8592</v>
      </c>
      <c r="C112" s="23" t="s">
        <v>638</v>
      </c>
      <c r="D112" s="12" t="s">
        <v>30</v>
      </c>
      <c r="E112" s="12" t="s">
        <v>506</v>
      </c>
    </row>
    <row r="113" spans="1:5" hidden="1">
      <c r="A113" s="11">
        <v>78</v>
      </c>
      <c r="B113" s="11">
        <v>8593</v>
      </c>
      <c r="C113" s="23" t="s">
        <v>638</v>
      </c>
      <c r="D113" s="12" t="s">
        <v>30</v>
      </c>
      <c r="E113" s="12" t="s">
        <v>687</v>
      </c>
    </row>
    <row r="114" spans="1:5" hidden="1">
      <c r="A114" s="11">
        <v>78</v>
      </c>
      <c r="B114" s="11">
        <v>8594</v>
      </c>
      <c r="C114" s="23" t="s">
        <v>643</v>
      </c>
      <c r="D114" s="12" t="s">
        <v>24</v>
      </c>
      <c r="E114" s="12" t="s">
        <v>432</v>
      </c>
    </row>
    <row r="115" spans="1:5" hidden="1">
      <c r="A115" s="11">
        <v>79</v>
      </c>
      <c r="B115" s="11">
        <v>6245</v>
      </c>
      <c r="C115" s="23" t="s">
        <v>640</v>
      </c>
      <c r="D115" s="12" t="s">
        <v>24</v>
      </c>
      <c r="E115" s="12" t="s">
        <v>202</v>
      </c>
    </row>
    <row r="116" spans="1:5" hidden="1">
      <c r="A116" s="11">
        <v>81</v>
      </c>
      <c r="B116" s="11">
        <v>4568</v>
      </c>
      <c r="C116" s="23" t="s">
        <v>638</v>
      </c>
      <c r="D116" s="12" t="s">
        <v>30</v>
      </c>
      <c r="E116" s="12" t="s">
        <v>228</v>
      </c>
    </row>
    <row r="117" spans="1:5" hidden="1">
      <c r="A117" s="11">
        <v>81</v>
      </c>
      <c r="B117" s="11">
        <v>5036</v>
      </c>
      <c r="C117" s="23" t="s">
        <v>640</v>
      </c>
      <c r="D117" s="12" t="s">
        <v>24</v>
      </c>
      <c r="E117" s="12" t="s">
        <v>419</v>
      </c>
    </row>
    <row r="118" spans="1:5" hidden="1">
      <c r="A118" s="11">
        <v>85</v>
      </c>
      <c r="B118" s="11">
        <v>8970</v>
      </c>
      <c r="C118" s="23" t="s">
        <v>643</v>
      </c>
      <c r="D118" s="12" t="s">
        <v>30</v>
      </c>
      <c r="E118" s="12" t="s">
        <v>688</v>
      </c>
    </row>
    <row r="119" spans="1:5" hidden="1">
      <c r="A119" s="11">
        <v>85</v>
      </c>
      <c r="B119" s="11">
        <v>8971</v>
      </c>
      <c r="C119" s="23" t="s">
        <v>643</v>
      </c>
      <c r="D119" s="12" t="s">
        <v>30</v>
      </c>
      <c r="E119" s="12" t="s">
        <v>689</v>
      </c>
    </row>
    <row r="120" spans="1:5" hidden="1">
      <c r="A120" s="11">
        <v>85</v>
      </c>
      <c r="B120" s="11">
        <v>8972</v>
      </c>
      <c r="C120" s="23" t="s">
        <v>643</v>
      </c>
      <c r="D120" s="12" t="s">
        <v>30</v>
      </c>
      <c r="E120" s="12" t="s">
        <v>690</v>
      </c>
    </row>
    <row r="121" spans="1:5" hidden="1">
      <c r="A121" s="11">
        <v>85</v>
      </c>
      <c r="B121" s="11">
        <v>8973</v>
      </c>
      <c r="C121" s="23" t="s">
        <v>643</v>
      </c>
      <c r="D121" s="12" t="s">
        <v>30</v>
      </c>
      <c r="E121" s="12" t="s">
        <v>205</v>
      </c>
    </row>
    <row r="122" spans="1:5" hidden="1">
      <c r="A122" s="11">
        <v>85</v>
      </c>
      <c r="B122" s="11">
        <v>8974</v>
      </c>
      <c r="C122" s="23" t="s">
        <v>643</v>
      </c>
      <c r="D122" s="12" t="s">
        <v>24</v>
      </c>
      <c r="E122" s="12" t="s">
        <v>382</v>
      </c>
    </row>
    <row r="123" spans="1:5" hidden="1">
      <c r="A123" s="11">
        <v>88</v>
      </c>
      <c r="B123" s="11">
        <v>5111</v>
      </c>
      <c r="C123" s="23" t="s">
        <v>640</v>
      </c>
      <c r="D123" s="12" t="s">
        <v>24</v>
      </c>
      <c r="E123" s="12" t="s">
        <v>298</v>
      </c>
    </row>
    <row r="124" spans="1:5" hidden="1">
      <c r="A124" s="11">
        <v>91</v>
      </c>
      <c r="B124" s="11">
        <v>4730</v>
      </c>
      <c r="C124" s="23" t="s">
        <v>638</v>
      </c>
      <c r="D124" s="12" t="s">
        <v>30</v>
      </c>
      <c r="E124" s="12" t="s">
        <v>691</v>
      </c>
    </row>
    <row r="125" spans="1:5" hidden="1">
      <c r="A125" s="11">
        <v>91</v>
      </c>
      <c r="B125" s="11">
        <v>4731</v>
      </c>
      <c r="C125" s="23" t="s">
        <v>638</v>
      </c>
      <c r="D125" s="12" t="s">
        <v>30</v>
      </c>
      <c r="E125" s="12" t="s">
        <v>692</v>
      </c>
    </row>
    <row r="126" spans="1:5" hidden="1">
      <c r="A126" s="11">
        <v>91</v>
      </c>
      <c r="B126" s="11">
        <v>5148</v>
      </c>
      <c r="C126" s="23" t="s">
        <v>640</v>
      </c>
      <c r="D126" s="12" t="s">
        <v>24</v>
      </c>
      <c r="E126" s="12" t="s">
        <v>88</v>
      </c>
    </row>
    <row r="127" spans="1:5" hidden="1">
      <c r="A127" s="11">
        <v>91</v>
      </c>
      <c r="B127" s="11">
        <v>5803</v>
      </c>
      <c r="C127" s="23" t="s">
        <v>650</v>
      </c>
      <c r="D127" s="12" t="s">
        <v>30</v>
      </c>
      <c r="E127" s="12" t="s">
        <v>693</v>
      </c>
    </row>
    <row r="128" spans="1:5" hidden="1">
      <c r="A128" s="11">
        <v>91</v>
      </c>
      <c r="B128" s="11">
        <v>7943</v>
      </c>
      <c r="C128" s="23" t="s">
        <v>643</v>
      </c>
      <c r="D128" s="12" t="s">
        <v>24</v>
      </c>
      <c r="E128" s="12" t="s">
        <v>535</v>
      </c>
    </row>
    <row r="129" spans="1:5" hidden="1">
      <c r="A129" s="11">
        <v>91</v>
      </c>
      <c r="B129" s="11">
        <v>8163</v>
      </c>
      <c r="C129" s="23" t="s">
        <v>638</v>
      </c>
      <c r="D129" s="12" t="s">
        <v>30</v>
      </c>
      <c r="E129" s="12" t="s">
        <v>694</v>
      </c>
    </row>
    <row r="130" spans="1:5" hidden="1">
      <c r="A130" s="11">
        <v>91</v>
      </c>
      <c r="B130" s="11">
        <v>8164</v>
      </c>
      <c r="C130" s="23" t="s">
        <v>638</v>
      </c>
      <c r="D130" s="12" t="s">
        <v>30</v>
      </c>
      <c r="E130" s="12" t="s">
        <v>695</v>
      </c>
    </row>
    <row r="131" spans="1:5" hidden="1">
      <c r="A131" s="11">
        <v>91</v>
      </c>
      <c r="B131" s="11">
        <v>8165</v>
      </c>
      <c r="C131" s="23" t="s">
        <v>643</v>
      </c>
      <c r="D131" s="12" t="s">
        <v>30</v>
      </c>
      <c r="E131" s="12" t="s">
        <v>696</v>
      </c>
    </row>
    <row r="132" spans="1:5" hidden="1">
      <c r="A132" s="11">
        <v>93</v>
      </c>
      <c r="B132" s="11">
        <v>931</v>
      </c>
      <c r="C132" s="23" t="s">
        <v>638</v>
      </c>
      <c r="D132" s="12" t="s">
        <v>30</v>
      </c>
      <c r="E132" s="12" t="s">
        <v>556</v>
      </c>
    </row>
    <row r="133" spans="1:5" hidden="1">
      <c r="A133" s="11">
        <v>93</v>
      </c>
      <c r="B133" s="11">
        <v>6055</v>
      </c>
      <c r="C133" s="23" t="s">
        <v>638</v>
      </c>
      <c r="D133" s="12" t="s">
        <v>30</v>
      </c>
      <c r="E133" s="12" t="s">
        <v>697</v>
      </c>
    </row>
    <row r="134" spans="1:5" hidden="1">
      <c r="A134" s="11">
        <v>93</v>
      </c>
      <c r="B134" s="11">
        <v>7126</v>
      </c>
      <c r="C134" s="23" t="s">
        <v>643</v>
      </c>
      <c r="D134" s="12" t="s">
        <v>24</v>
      </c>
      <c r="E134" s="12" t="s">
        <v>29</v>
      </c>
    </row>
    <row r="135" spans="1:5" hidden="1">
      <c r="A135" s="11">
        <v>93</v>
      </c>
      <c r="B135" s="11">
        <v>7227</v>
      </c>
      <c r="C135" s="23" t="s">
        <v>650</v>
      </c>
      <c r="D135" s="12" t="s">
        <v>30</v>
      </c>
      <c r="E135" s="12" t="s">
        <v>399</v>
      </c>
    </row>
    <row r="136" spans="1:5" hidden="1">
      <c r="A136" s="11">
        <v>96</v>
      </c>
      <c r="B136" s="11">
        <v>1035</v>
      </c>
      <c r="C136" s="23" t="s">
        <v>643</v>
      </c>
      <c r="D136" s="12" t="s">
        <v>30</v>
      </c>
      <c r="E136" s="12" t="s">
        <v>60</v>
      </c>
    </row>
    <row r="137" spans="1:5" hidden="1">
      <c r="A137" s="11">
        <v>96</v>
      </c>
      <c r="B137" s="11">
        <v>1036</v>
      </c>
      <c r="C137" s="23" t="s">
        <v>643</v>
      </c>
      <c r="D137" s="12" t="s">
        <v>30</v>
      </c>
      <c r="E137" s="12" t="s">
        <v>161</v>
      </c>
    </row>
    <row r="138" spans="1:5" hidden="1">
      <c r="A138" s="11">
        <v>96</v>
      </c>
      <c r="B138" s="11">
        <v>4257</v>
      </c>
      <c r="C138" s="23" t="s">
        <v>638</v>
      </c>
      <c r="D138" s="12" t="s">
        <v>30</v>
      </c>
      <c r="E138" s="12" t="s">
        <v>197</v>
      </c>
    </row>
    <row r="139" spans="1:5" hidden="1">
      <c r="A139" s="11">
        <v>96</v>
      </c>
      <c r="B139" s="11">
        <v>6735</v>
      </c>
      <c r="C139" s="23" t="s">
        <v>640</v>
      </c>
      <c r="D139" s="12" t="s">
        <v>24</v>
      </c>
      <c r="E139" s="12" t="s">
        <v>603</v>
      </c>
    </row>
    <row r="140" spans="1:5" hidden="1">
      <c r="A140" s="11">
        <v>101</v>
      </c>
      <c r="B140" s="11">
        <v>4867</v>
      </c>
      <c r="C140" s="23" t="s">
        <v>650</v>
      </c>
      <c r="D140" s="12" t="s">
        <v>30</v>
      </c>
      <c r="E140" s="12" t="s">
        <v>698</v>
      </c>
    </row>
    <row r="141" spans="1:5" hidden="1">
      <c r="A141" s="11">
        <v>101</v>
      </c>
      <c r="B141" s="11">
        <v>5128</v>
      </c>
      <c r="C141" s="23" t="s">
        <v>640</v>
      </c>
      <c r="D141" s="12" t="s">
        <v>24</v>
      </c>
      <c r="E141" s="12" t="s">
        <v>294</v>
      </c>
    </row>
    <row r="142" spans="1:5" hidden="1">
      <c r="A142" s="11">
        <v>108</v>
      </c>
      <c r="B142" s="11">
        <v>1738</v>
      </c>
      <c r="C142" s="23" t="s">
        <v>638</v>
      </c>
      <c r="D142" s="12" t="s">
        <v>30</v>
      </c>
      <c r="E142" s="12" t="s">
        <v>699</v>
      </c>
    </row>
    <row r="143" spans="1:5" hidden="1">
      <c r="A143" s="11">
        <v>108</v>
      </c>
      <c r="B143" s="11">
        <v>1739</v>
      </c>
      <c r="C143" s="23" t="s">
        <v>638</v>
      </c>
      <c r="D143" s="12" t="s">
        <v>30</v>
      </c>
      <c r="E143" s="12" t="s">
        <v>489</v>
      </c>
    </row>
    <row r="144" spans="1:5" hidden="1">
      <c r="A144" s="11">
        <v>108</v>
      </c>
      <c r="B144" s="11">
        <v>1740</v>
      </c>
      <c r="C144" s="23" t="s">
        <v>638</v>
      </c>
      <c r="D144" s="12" t="s">
        <v>30</v>
      </c>
      <c r="E144" s="12" t="s">
        <v>700</v>
      </c>
    </row>
    <row r="145" spans="1:5" hidden="1">
      <c r="A145" s="11">
        <v>108</v>
      </c>
      <c r="B145" s="11">
        <v>2041</v>
      </c>
      <c r="C145" s="23" t="s">
        <v>638</v>
      </c>
      <c r="D145" s="12" t="s">
        <v>30</v>
      </c>
      <c r="E145" s="12" t="s">
        <v>701</v>
      </c>
    </row>
    <row r="146" spans="1:5" hidden="1">
      <c r="A146" s="11">
        <v>108</v>
      </c>
      <c r="B146" s="11">
        <v>2042</v>
      </c>
      <c r="C146" s="23" t="s">
        <v>638</v>
      </c>
      <c r="D146" s="12" t="s">
        <v>30</v>
      </c>
      <c r="E146" s="12" t="s">
        <v>702</v>
      </c>
    </row>
    <row r="147" spans="1:5" hidden="1">
      <c r="A147" s="11">
        <v>108</v>
      </c>
      <c r="B147" s="11">
        <v>2254</v>
      </c>
      <c r="C147" s="23" t="s">
        <v>643</v>
      </c>
      <c r="D147" s="12" t="s">
        <v>24</v>
      </c>
      <c r="E147" s="12" t="s">
        <v>703</v>
      </c>
    </row>
    <row r="148" spans="1:5" hidden="1">
      <c r="A148" s="11">
        <v>111</v>
      </c>
      <c r="B148" s="11">
        <v>3654</v>
      </c>
      <c r="C148" s="23" t="s">
        <v>638</v>
      </c>
      <c r="D148" s="12" t="s">
        <v>30</v>
      </c>
      <c r="E148" s="12" t="s">
        <v>704</v>
      </c>
    </row>
    <row r="149" spans="1:5" hidden="1">
      <c r="A149" s="11">
        <v>111</v>
      </c>
      <c r="B149" s="11">
        <v>5671</v>
      </c>
      <c r="C149" s="23" t="s">
        <v>643</v>
      </c>
      <c r="D149" s="12" t="s">
        <v>30</v>
      </c>
      <c r="E149" s="12" t="s">
        <v>48</v>
      </c>
    </row>
    <row r="150" spans="1:5" hidden="1">
      <c r="A150" s="11">
        <v>115</v>
      </c>
      <c r="B150" s="11">
        <v>4756</v>
      </c>
      <c r="C150" s="23" t="s">
        <v>643</v>
      </c>
      <c r="D150" s="12" t="s">
        <v>30</v>
      </c>
      <c r="E150" s="12" t="s">
        <v>705</v>
      </c>
    </row>
    <row r="151" spans="1:5" hidden="1">
      <c r="A151" s="11">
        <v>115</v>
      </c>
      <c r="B151" s="11">
        <v>4758</v>
      </c>
      <c r="C151" s="23" t="s">
        <v>638</v>
      </c>
      <c r="D151" s="12" t="s">
        <v>30</v>
      </c>
      <c r="E151" s="12" t="s">
        <v>85</v>
      </c>
    </row>
    <row r="152" spans="1:5" hidden="1">
      <c r="A152" s="11">
        <v>115</v>
      </c>
      <c r="B152" s="11">
        <v>5080</v>
      </c>
      <c r="C152" s="23" t="s">
        <v>640</v>
      </c>
      <c r="D152" s="12" t="s">
        <v>24</v>
      </c>
      <c r="E152" s="12" t="s">
        <v>263</v>
      </c>
    </row>
    <row r="153" spans="1:5" hidden="1">
      <c r="A153" s="11">
        <v>123</v>
      </c>
      <c r="B153" s="11">
        <v>4462</v>
      </c>
      <c r="C153" s="23" t="s">
        <v>638</v>
      </c>
      <c r="D153" s="12" t="s">
        <v>30</v>
      </c>
      <c r="E153" s="12" t="s">
        <v>706</v>
      </c>
    </row>
    <row r="154" spans="1:5" hidden="1">
      <c r="A154" s="11">
        <v>123</v>
      </c>
      <c r="B154" s="11">
        <v>7134</v>
      </c>
      <c r="C154" s="23" t="s">
        <v>643</v>
      </c>
      <c r="D154" s="12" t="s">
        <v>24</v>
      </c>
      <c r="E154" s="12" t="s">
        <v>707</v>
      </c>
    </row>
    <row r="155" spans="1:5" hidden="1">
      <c r="A155" s="11">
        <v>138</v>
      </c>
      <c r="B155" s="11">
        <v>5780</v>
      </c>
      <c r="C155" s="23" t="s">
        <v>638</v>
      </c>
      <c r="D155" s="12" t="s">
        <v>30</v>
      </c>
      <c r="E155" s="12" t="s">
        <v>708</v>
      </c>
    </row>
    <row r="156" spans="1:5" hidden="1">
      <c r="A156" s="11">
        <v>138</v>
      </c>
      <c r="B156" s="11">
        <v>6628</v>
      </c>
      <c r="C156" s="23" t="s">
        <v>643</v>
      </c>
      <c r="D156" s="12" t="s">
        <v>24</v>
      </c>
      <c r="E156" s="12" t="s">
        <v>563</v>
      </c>
    </row>
    <row r="157" spans="1:5" hidden="1">
      <c r="A157" s="11">
        <v>141</v>
      </c>
      <c r="B157" s="11">
        <v>1415</v>
      </c>
      <c r="C157" s="23" t="s">
        <v>638</v>
      </c>
      <c r="D157" s="12" t="s">
        <v>30</v>
      </c>
      <c r="E157" s="12" t="s">
        <v>206</v>
      </c>
    </row>
    <row r="158" spans="1:5" hidden="1">
      <c r="A158" s="11">
        <v>141</v>
      </c>
      <c r="B158" s="11">
        <v>1541</v>
      </c>
      <c r="C158" s="23" t="s">
        <v>640</v>
      </c>
      <c r="D158" s="12" t="s">
        <v>24</v>
      </c>
      <c r="E158" s="12" t="s">
        <v>242</v>
      </c>
    </row>
    <row r="159" spans="1:5" hidden="1">
      <c r="A159" s="11">
        <v>153</v>
      </c>
      <c r="B159" s="11">
        <v>9879</v>
      </c>
      <c r="C159" s="23" t="s">
        <v>643</v>
      </c>
      <c r="D159" s="12" t="s">
        <v>30</v>
      </c>
      <c r="E159" s="12" t="s">
        <v>262</v>
      </c>
    </row>
    <row r="160" spans="1:5" hidden="1">
      <c r="A160" s="11">
        <v>153</v>
      </c>
      <c r="B160" s="11">
        <v>9880</v>
      </c>
      <c r="C160" s="23" t="s">
        <v>643</v>
      </c>
      <c r="D160" s="12" t="s">
        <v>30</v>
      </c>
      <c r="E160" s="12" t="s">
        <v>61</v>
      </c>
    </row>
    <row r="161" spans="1:5" hidden="1">
      <c r="A161" s="11">
        <v>153</v>
      </c>
      <c r="B161" s="11">
        <v>9881</v>
      </c>
      <c r="C161" s="23" t="s">
        <v>643</v>
      </c>
      <c r="D161" s="12" t="s">
        <v>30</v>
      </c>
      <c r="E161" s="12" t="s">
        <v>155</v>
      </c>
    </row>
    <row r="162" spans="1:5" hidden="1">
      <c r="A162" s="11">
        <v>153</v>
      </c>
      <c r="B162" s="11">
        <v>9882</v>
      </c>
      <c r="C162" s="23" t="s">
        <v>643</v>
      </c>
      <c r="D162" s="12" t="s">
        <v>30</v>
      </c>
      <c r="E162" s="12" t="s">
        <v>156</v>
      </c>
    </row>
    <row r="163" spans="1:5" hidden="1">
      <c r="A163" s="11">
        <v>154</v>
      </c>
      <c r="B163" s="11">
        <v>5041</v>
      </c>
      <c r="C163" s="23" t="s">
        <v>640</v>
      </c>
      <c r="D163" s="12" t="s">
        <v>24</v>
      </c>
      <c r="E163" s="12" t="s">
        <v>364</v>
      </c>
    </row>
    <row r="164" spans="1:5" hidden="1">
      <c r="A164" s="11">
        <v>159</v>
      </c>
      <c r="B164" s="11">
        <v>1143</v>
      </c>
      <c r="C164" s="23" t="s">
        <v>650</v>
      </c>
      <c r="D164" s="12" t="s">
        <v>30</v>
      </c>
      <c r="E164" s="12" t="s">
        <v>199</v>
      </c>
    </row>
    <row r="165" spans="1:5" hidden="1">
      <c r="A165" s="11">
        <v>159</v>
      </c>
      <c r="B165" s="11">
        <v>4775</v>
      </c>
      <c r="C165" s="23" t="s">
        <v>650</v>
      </c>
      <c r="D165" s="12" t="s">
        <v>30</v>
      </c>
      <c r="E165" s="12" t="s">
        <v>328</v>
      </c>
    </row>
    <row r="166" spans="1:5" hidden="1">
      <c r="A166" s="11">
        <v>159</v>
      </c>
      <c r="B166" s="11">
        <v>6893</v>
      </c>
      <c r="C166" s="23" t="s">
        <v>650</v>
      </c>
      <c r="D166" s="12" t="s">
        <v>30</v>
      </c>
      <c r="E166" s="12" t="s">
        <v>215</v>
      </c>
    </row>
    <row r="167" spans="1:5" hidden="1">
      <c r="A167" s="11">
        <v>162</v>
      </c>
      <c r="B167" s="11">
        <v>1620</v>
      </c>
      <c r="C167" s="23" t="s">
        <v>650</v>
      </c>
      <c r="D167" s="12" t="s">
        <v>30</v>
      </c>
      <c r="E167" s="12" t="s">
        <v>709</v>
      </c>
    </row>
    <row r="168" spans="1:5" hidden="1">
      <c r="A168" s="11">
        <v>162</v>
      </c>
      <c r="B168" s="11">
        <v>5384</v>
      </c>
      <c r="C168" s="23" t="s">
        <v>638</v>
      </c>
      <c r="D168" s="12" t="s">
        <v>30</v>
      </c>
      <c r="E168" s="12" t="s">
        <v>710</v>
      </c>
    </row>
    <row r="169" spans="1:5" hidden="1">
      <c r="A169" s="11">
        <v>163</v>
      </c>
      <c r="B169" s="11">
        <v>4130</v>
      </c>
      <c r="C169" s="23" t="s">
        <v>643</v>
      </c>
      <c r="D169" s="12" t="s">
        <v>30</v>
      </c>
      <c r="E169" s="12" t="s">
        <v>148</v>
      </c>
    </row>
    <row r="170" spans="1:5" hidden="1">
      <c r="A170" s="11">
        <v>163</v>
      </c>
      <c r="B170" s="11">
        <v>5553</v>
      </c>
      <c r="C170" s="23" t="s">
        <v>643</v>
      </c>
      <c r="D170" s="12" t="s">
        <v>30</v>
      </c>
      <c r="E170" s="12" t="s">
        <v>577</v>
      </c>
    </row>
    <row r="171" spans="1:5" hidden="1">
      <c r="A171" s="11">
        <v>163</v>
      </c>
      <c r="B171" s="11">
        <v>5554</v>
      </c>
      <c r="C171" s="23" t="s">
        <v>643</v>
      </c>
      <c r="D171" s="12" t="s">
        <v>30</v>
      </c>
      <c r="E171" s="12" t="s">
        <v>604</v>
      </c>
    </row>
    <row r="172" spans="1:5" hidden="1">
      <c r="A172" s="11">
        <v>166</v>
      </c>
      <c r="B172" s="11">
        <v>7927</v>
      </c>
      <c r="C172" s="23" t="s">
        <v>638</v>
      </c>
      <c r="D172" s="12" t="s">
        <v>30</v>
      </c>
      <c r="E172" s="12" t="s">
        <v>711</v>
      </c>
    </row>
    <row r="173" spans="1:5" hidden="1">
      <c r="A173" s="11">
        <v>166</v>
      </c>
      <c r="B173" s="11">
        <v>7928</v>
      </c>
      <c r="C173" s="23" t="s">
        <v>650</v>
      </c>
      <c r="D173" s="12" t="s">
        <v>30</v>
      </c>
      <c r="E173" s="12" t="s">
        <v>712</v>
      </c>
    </row>
    <row r="174" spans="1:5" hidden="1">
      <c r="A174" s="11">
        <v>166</v>
      </c>
      <c r="B174" s="11">
        <v>7929</v>
      </c>
      <c r="C174" s="23" t="s">
        <v>638</v>
      </c>
      <c r="D174" s="12" t="s">
        <v>30</v>
      </c>
      <c r="E174" s="12" t="s">
        <v>713</v>
      </c>
    </row>
    <row r="175" spans="1:5" hidden="1">
      <c r="A175" s="11">
        <v>166</v>
      </c>
      <c r="B175" s="11">
        <v>7939</v>
      </c>
      <c r="C175" s="23" t="s">
        <v>640</v>
      </c>
      <c r="D175" s="12" t="s">
        <v>24</v>
      </c>
      <c r="E175" s="12" t="s">
        <v>565</v>
      </c>
    </row>
    <row r="176" spans="1:5" hidden="1">
      <c r="A176" s="11">
        <v>166</v>
      </c>
      <c r="B176" s="11">
        <v>7940</v>
      </c>
      <c r="C176" s="23" t="s">
        <v>640</v>
      </c>
      <c r="D176" s="12" t="s">
        <v>24</v>
      </c>
      <c r="E176" s="12" t="s">
        <v>55</v>
      </c>
    </row>
    <row r="177" spans="1:5" hidden="1">
      <c r="A177" s="11">
        <v>167</v>
      </c>
      <c r="B177" s="11">
        <v>5030</v>
      </c>
      <c r="C177" s="23" t="s">
        <v>640</v>
      </c>
      <c r="D177" s="12" t="s">
        <v>24</v>
      </c>
      <c r="E177" s="12" t="s">
        <v>330</v>
      </c>
    </row>
    <row r="178" spans="1:5" hidden="1">
      <c r="A178" s="11">
        <v>168</v>
      </c>
      <c r="B178" s="11">
        <v>5224</v>
      </c>
      <c r="C178" s="23" t="s">
        <v>640</v>
      </c>
      <c r="D178" s="12" t="s">
        <v>24</v>
      </c>
      <c r="E178" s="12" t="s">
        <v>248</v>
      </c>
    </row>
    <row r="179" spans="1:5" hidden="1">
      <c r="A179" s="11">
        <v>171</v>
      </c>
      <c r="B179" s="11">
        <v>4164</v>
      </c>
      <c r="C179" s="23" t="s">
        <v>638</v>
      </c>
      <c r="D179" s="12" t="s">
        <v>30</v>
      </c>
      <c r="E179" s="12" t="s">
        <v>175</v>
      </c>
    </row>
    <row r="180" spans="1:5" hidden="1">
      <c r="A180" s="11">
        <v>171</v>
      </c>
      <c r="B180" s="11">
        <v>4452</v>
      </c>
      <c r="C180" s="23" t="s">
        <v>650</v>
      </c>
      <c r="D180" s="12" t="s">
        <v>30</v>
      </c>
      <c r="E180" s="12" t="s">
        <v>714</v>
      </c>
    </row>
    <row r="181" spans="1:5" hidden="1">
      <c r="A181" s="11">
        <v>172</v>
      </c>
      <c r="B181" s="11">
        <v>7429</v>
      </c>
      <c r="C181" s="23" t="s">
        <v>643</v>
      </c>
      <c r="D181" s="12" t="s">
        <v>24</v>
      </c>
      <c r="E181" s="12" t="s">
        <v>433</v>
      </c>
    </row>
    <row r="182" spans="1:5" hidden="1">
      <c r="A182" s="11">
        <v>177</v>
      </c>
      <c r="B182" s="11">
        <v>7043</v>
      </c>
      <c r="C182" s="23" t="s">
        <v>650</v>
      </c>
      <c r="D182" s="12" t="s">
        <v>30</v>
      </c>
      <c r="E182" s="12" t="s">
        <v>715</v>
      </c>
    </row>
    <row r="183" spans="1:5" hidden="1">
      <c r="A183" s="11">
        <v>178</v>
      </c>
      <c r="B183" s="11">
        <v>1755</v>
      </c>
      <c r="C183" s="23" t="s">
        <v>643</v>
      </c>
      <c r="D183" s="12" t="s">
        <v>30</v>
      </c>
      <c r="E183" s="12" t="s">
        <v>716</v>
      </c>
    </row>
    <row r="184" spans="1:5" hidden="1">
      <c r="A184" s="11">
        <v>178</v>
      </c>
      <c r="B184" s="11">
        <v>6218</v>
      </c>
      <c r="C184" s="23" t="s">
        <v>640</v>
      </c>
      <c r="D184" s="12" t="s">
        <v>24</v>
      </c>
      <c r="E184" s="12" t="s">
        <v>189</v>
      </c>
    </row>
    <row r="185" spans="1:5" hidden="1">
      <c r="A185" s="11">
        <v>185</v>
      </c>
      <c r="B185" s="11">
        <v>405</v>
      </c>
      <c r="C185" s="23" t="s">
        <v>638</v>
      </c>
      <c r="D185" s="12" t="s">
        <v>30</v>
      </c>
      <c r="E185" s="12" t="s">
        <v>717</v>
      </c>
    </row>
    <row r="186" spans="1:5" hidden="1">
      <c r="A186" s="11">
        <v>185</v>
      </c>
      <c r="B186" s="11">
        <v>3253</v>
      </c>
      <c r="C186" s="23" t="s">
        <v>638</v>
      </c>
      <c r="D186" s="12" t="s">
        <v>30</v>
      </c>
      <c r="E186" s="12" t="s">
        <v>718</v>
      </c>
    </row>
    <row r="187" spans="1:5" hidden="1">
      <c r="A187" s="11">
        <v>185</v>
      </c>
      <c r="B187" s="11">
        <v>7959</v>
      </c>
      <c r="C187" s="23" t="s">
        <v>638</v>
      </c>
      <c r="D187" s="12" t="s">
        <v>30</v>
      </c>
      <c r="E187" s="12" t="s">
        <v>158</v>
      </c>
    </row>
    <row r="188" spans="1:5" hidden="1">
      <c r="A188" s="11">
        <v>186</v>
      </c>
      <c r="B188" s="11">
        <v>6508</v>
      </c>
      <c r="C188" s="23" t="s">
        <v>643</v>
      </c>
      <c r="D188" s="12" t="s">
        <v>30</v>
      </c>
      <c r="E188" s="12" t="s">
        <v>269</v>
      </c>
    </row>
    <row r="189" spans="1:5" hidden="1">
      <c r="A189" s="11">
        <v>186</v>
      </c>
      <c r="B189" s="11">
        <v>6509</v>
      </c>
      <c r="C189" s="23" t="s">
        <v>643</v>
      </c>
      <c r="D189" s="12" t="s">
        <v>30</v>
      </c>
      <c r="E189" s="12" t="s">
        <v>267</v>
      </c>
    </row>
    <row r="190" spans="1:5" hidden="1">
      <c r="A190" s="11">
        <v>186</v>
      </c>
      <c r="B190" s="11">
        <v>6510</v>
      </c>
      <c r="C190" s="23" t="s">
        <v>638</v>
      </c>
      <c r="D190" s="12" t="s">
        <v>30</v>
      </c>
      <c r="E190" s="12" t="s">
        <v>719</v>
      </c>
    </row>
    <row r="191" spans="1:5" hidden="1">
      <c r="A191" s="11">
        <v>186</v>
      </c>
      <c r="B191" s="11">
        <v>6513</v>
      </c>
      <c r="C191" s="23" t="s">
        <v>643</v>
      </c>
      <c r="D191" s="12" t="s">
        <v>30</v>
      </c>
      <c r="E191" s="12" t="s">
        <v>301</v>
      </c>
    </row>
    <row r="192" spans="1:5" hidden="1">
      <c r="A192" s="11">
        <v>186</v>
      </c>
      <c r="B192" s="11">
        <v>6514</v>
      </c>
      <c r="C192" s="23" t="s">
        <v>643</v>
      </c>
      <c r="D192" s="12" t="s">
        <v>30</v>
      </c>
      <c r="E192" s="12" t="s">
        <v>139</v>
      </c>
    </row>
    <row r="193" spans="1:5" hidden="1">
      <c r="A193" s="11">
        <v>187</v>
      </c>
      <c r="B193" s="11">
        <v>5485</v>
      </c>
      <c r="C193" s="23" t="s">
        <v>638</v>
      </c>
      <c r="D193" s="12" t="s">
        <v>30</v>
      </c>
      <c r="E193" s="12" t="s">
        <v>191</v>
      </c>
    </row>
    <row r="194" spans="1:5" hidden="1">
      <c r="A194" s="11">
        <v>190</v>
      </c>
      <c r="B194" s="11">
        <v>5557</v>
      </c>
      <c r="C194" s="23" t="s">
        <v>638</v>
      </c>
      <c r="D194" s="12" t="s">
        <v>30</v>
      </c>
      <c r="E194" s="12" t="s">
        <v>523</v>
      </c>
    </row>
    <row r="195" spans="1:5" hidden="1">
      <c r="A195" s="11">
        <v>191</v>
      </c>
      <c r="B195" s="11">
        <v>5112</v>
      </c>
      <c r="C195" s="23" t="s">
        <v>640</v>
      </c>
      <c r="D195" s="12" t="s">
        <v>24</v>
      </c>
      <c r="E195" s="12" t="s">
        <v>529</v>
      </c>
    </row>
    <row r="196" spans="1:5" hidden="1">
      <c r="A196" s="11">
        <v>193</v>
      </c>
      <c r="B196" s="11">
        <v>8532</v>
      </c>
      <c r="C196" s="23" t="s">
        <v>638</v>
      </c>
      <c r="D196" s="12" t="s">
        <v>30</v>
      </c>
      <c r="E196" s="12" t="s">
        <v>513</v>
      </c>
    </row>
    <row r="197" spans="1:5" hidden="1">
      <c r="A197" s="11">
        <v>193</v>
      </c>
      <c r="B197" s="11">
        <v>8534</v>
      </c>
      <c r="C197" s="23" t="s">
        <v>638</v>
      </c>
      <c r="D197" s="12" t="s">
        <v>30</v>
      </c>
      <c r="E197" s="12" t="s">
        <v>468</v>
      </c>
    </row>
    <row r="198" spans="1:5" hidden="1">
      <c r="A198" s="11">
        <v>193</v>
      </c>
      <c r="B198" s="11">
        <v>8537</v>
      </c>
      <c r="C198" s="23" t="s">
        <v>640</v>
      </c>
      <c r="D198" s="12" t="s">
        <v>24</v>
      </c>
      <c r="E198" s="12" t="s">
        <v>302</v>
      </c>
    </row>
    <row r="199" spans="1:5" hidden="1">
      <c r="A199" s="11">
        <v>195</v>
      </c>
      <c r="B199" s="11">
        <v>1950</v>
      </c>
      <c r="C199" s="23" t="s">
        <v>638</v>
      </c>
      <c r="D199" s="12" t="s">
        <v>30</v>
      </c>
      <c r="E199" s="12" t="s">
        <v>568</v>
      </c>
    </row>
    <row r="200" spans="1:5" hidden="1">
      <c r="A200" s="11">
        <v>195</v>
      </c>
      <c r="B200" s="11">
        <v>6392</v>
      </c>
      <c r="C200" s="23" t="s">
        <v>638</v>
      </c>
      <c r="D200" s="12" t="s">
        <v>30</v>
      </c>
      <c r="E200" s="12" t="s">
        <v>449</v>
      </c>
    </row>
    <row r="201" spans="1:5" hidden="1">
      <c r="A201" s="11">
        <v>197</v>
      </c>
      <c r="B201" s="11">
        <v>5084</v>
      </c>
      <c r="C201" s="23" t="s">
        <v>640</v>
      </c>
      <c r="D201" s="12" t="s">
        <v>24</v>
      </c>
      <c r="E201" s="12" t="s">
        <v>185</v>
      </c>
    </row>
    <row r="202" spans="1:5" hidden="1">
      <c r="A202" s="11">
        <v>198</v>
      </c>
      <c r="B202" s="11">
        <v>5179</v>
      </c>
      <c r="C202" s="23" t="s">
        <v>640</v>
      </c>
      <c r="D202" s="12" t="s">
        <v>24</v>
      </c>
      <c r="E202" s="12" t="s">
        <v>316</v>
      </c>
    </row>
    <row r="203" spans="1:5" hidden="1">
      <c r="A203" s="11">
        <v>201</v>
      </c>
      <c r="B203" s="11">
        <v>6916</v>
      </c>
      <c r="C203" s="23" t="s">
        <v>650</v>
      </c>
      <c r="D203" s="12" t="s">
        <v>30</v>
      </c>
      <c r="E203" s="12" t="s">
        <v>279</v>
      </c>
    </row>
    <row r="204" spans="1:5" hidden="1">
      <c r="A204" s="11">
        <v>201</v>
      </c>
      <c r="B204" s="11">
        <v>6918</v>
      </c>
      <c r="C204" s="23" t="s">
        <v>650</v>
      </c>
      <c r="D204" s="12" t="s">
        <v>30</v>
      </c>
      <c r="E204" s="12" t="s">
        <v>720</v>
      </c>
    </row>
    <row r="205" spans="1:5" hidden="1">
      <c r="A205" s="11">
        <v>201</v>
      </c>
      <c r="B205" s="11">
        <v>6919</v>
      </c>
      <c r="C205" s="23" t="s">
        <v>650</v>
      </c>
      <c r="D205" s="12" t="s">
        <v>30</v>
      </c>
      <c r="E205" s="12" t="s">
        <v>609</v>
      </c>
    </row>
    <row r="206" spans="1:5" hidden="1">
      <c r="A206" s="11">
        <v>202</v>
      </c>
      <c r="B206" s="11">
        <v>2020</v>
      </c>
      <c r="C206" s="23" t="s">
        <v>638</v>
      </c>
      <c r="D206" s="12" t="s">
        <v>30</v>
      </c>
      <c r="E206" s="12" t="s">
        <v>721</v>
      </c>
    </row>
    <row r="207" spans="1:5" hidden="1">
      <c r="A207" s="11">
        <v>202</v>
      </c>
      <c r="B207" s="11">
        <v>6608</v>
      </c>
      <c r="C207" s="23" t="s">
        <v>643</v>
      </c>
      <c r="D207" s="12" t="s">
        <v>24</v>
      </c>
      <c r="E207" s="12" t="s">
        <v>558</v>
      </c>
    </row>
    <row r="208" spans="1:5" hidden="1">
      <c r="A208" s="11">
        <v>211</v>
      </c>
      <c r="B208" s="11">
        <v>5067</v>
      </c>
      <c r="C208" s="23" t="s">
        <v>640</v>
      </c>
      <c r="D208" s="12" t="s">
        <v>24</v>
      </c>
      <c r="E208" s="12" t="s">
        <v>441</v>
      </c>
    </row>
    <row r="209" spans="1:5" hidden="1">
      <c r="A209" s="11">
        <v>211</v>
      </c>
      <c r="B209" s="11">
        <v>5308</v>
      </c>
      <c r="C209" s="23" t="s">
        <v>643</v>
      </c>
      <c r="D209" s="12" t="s">
        <v>30</v>
      </c>
      <c r="E209" s="12" t="s">
        <v>182</v>
      </c>
    </row>
    <row r="210" spans="1:5" hidden="1">
      <c r="A210" s="11">
        <v>211</v>
      </c>
      <c r="B210" s="11">
        <v>5309</v>
      </c>
      <c r="C210" s="23" t="s">
        <v>643</v>
      </c>
      <c r="D210" s="12" t="s">
        <v>30</v>
      </c>
      <c r="E210" s="12" t="s">
        <v>99</v>
      </c>
    </row>
    <row r="211" spans="1:5" hidden="1">
      <c r="A211" s="11">
        <v>213</v>
      </c>
      <c r="B211" s="11">
        <v>5594</v>
      </c>
      <c r="C211" s="23" t="s">
        <v>638</v>
      </c>
      <c r="D211" s="12" t="s">
        <v>30</v>
      </c>
      <c r="E211" s="12" t="s">
        <v>722</v>
      </c>
    </row>
    <row r="212" spans="1:5" hidden="1">
      <c r="A212" s="11">
        <v>213</v>
      </c>
      <c r="B212" s="11">
        <v>5595</v>
      </c>
      <c r="C212" s="23" t="s">
        <v>638</v>
      </c>
      <c r="D212" s="12" t="s">
        <v>30</v>
      </c>
      <c r="E212" s="12" t="s">
        <v>723</v>
      </c>
    </row>
    <row r="213" spans="1:5" hidden="1">
      <c r="A213" s="11">
        <v>216</v>
      </c>
      <c r="B213" s="11">
        <v>4433</v>
      </c>
      <c r="C213" s="23" t="s">
        <v>638</v>
      </c>
      <c r="D213" s="12" t="s">
        <v>30</v>
      </c>
      <c r="E213" s="12" t="s">
        <v>412</v>
      </c>
    </row>
    <row r="214" spans="1:5" hidden="1">
      <c r="A214" s="11">
        <v>216</v>
      </c>
      <c r="B214" s="11">
        <v>4434</v>
      </c>
      <c r="C214" s="23" t="s">
        <v>638</v>
      </c>
      <c r="D214" s="12" t="s">
        <v>30</v>
      </c>
      <c r="E214" s="12" t="s">
        <v>623</v>
      </c>
    </row>
    <row r="215" spans="1:5" hidden="1">
      <c r="A215" s="11">
        <v>216</v>
      </c>
      <c r="B215" s="11">
        <v>8486</v>
      </c>
      <c r="C215" s="23" t="s">
        <v>638</v>
      </c>
      <c r="D215" s="12" t="s">
        <v>30</v>
      </c>
      <c r="E215" s="12" t="s">
        <v>724</v>
      </c>
    </row>
    <row r="216" spans="1:5" hidden="1">
      <c r="A216" s="11">
        <v>217</v>
      </c>
      <c r="B216" s="11">
        <v>5208</v>
      </c>
      <c r="C216" s="23" t="s">
        <v>640</v>
      </c>
      <c r="D216" s="12" t="s">
        <v>24</v>
      </c>
      <c r="E216" s="12" t="s">
        <v>326</v>
      </c>
    </row>
    <row r="217" spans="1:5" hidden="1">
      <c r="A217" s="11">
        <v>221</v>
      </c>
      <c r="B217" s="11">
        <v>5221</v>
      </c>
      <c r="C217" s="23" t="s">
        <v>640</v>
      </c>
      <c r="D217" s="12" t="s">
        <v>24</v>
      </c>
      <c r="E217" s="12" t="s">
        <v>187</v>
      </c>
    </row>
    <row r="218" spans="1:5" hidden="1">
      <c r="A218" s="11">
        <v>225</v>
      </c>
      <c r="B218" s="11">
        <v>8863</v>
      </c>
      <c r="C218" s="23" t="s">
        <v>650</v>
      </c>
      <c r="D218" s="12" t="s">
        <v>30</v>
      </c>
      <c r="E218" s="12" t="s">
        <v>547</v>
      </c>
    </row>
    <row r="219" spans="1:5" hidden="1">
      <c r="A219" s="11">
        <v>225</v>
      </c>
      <c r="B219" s="11">
        <v>8864</v>
      </c>
      <c r="C219" s="23" t="s">
        <v>650</v>
      </c>
      <c r="D219" s="12" t="s">
        <v>30</v>
      </c>
      <c r="E219" s="12" t="s">
        <v>725</v>
      </c>
    </row>
    <row r="220" spans="1:5" hidden="1">
      <c r="A220" s="11">
        <v>225</v>
      </c>
      <c r="B220" s="11">
        <v>8865</v>
      </c>
      <c r="C220" s="23" t="s">
        <v>643</v>
      </c>
      <c r="D220" s="12" t="s">
        <v>30</v>
      </c>
      <c r="E220" s="12" t="s">
        <v>288</v>
      </c>
    </row>
    <row r="221" spans="1:5" hidden="1">
      <c r="A221" s="11">
        <v>225</v>
      </c>
      <c r="B221" s="11">
        <v>8866</v>
      </c>
      <c r="C221" s="23" t="s">
        <v>643</v>
      </c>
      <c r="D221" s="12" t="s">
        <v>30</v>
      </c>
      <c r="E221" s="12" t="s">
        <v>389</v>
      </c>
    </row>
    <row r="222" spans="1:5" hidden="1">
      <c r="A222" s="11">
        <v>225</v>
      </c>
      <c r="B222" s="11">
        <v>8867</v>
      </c>
      <c r="C222" s="23" t="s">
        <v>643</v>
      </c>
      <c r="D222" s="12" t="s">
        <v>30</v>
      </c>
      <c r="E222" s="12" t="s">
        <v>448</v>
      </c>
    </row>
    <row r="223" spans="1:5" hidden="1">
      <c r="A223" s="11">
        <v>225</v>
      </c>
      <c r="B223" s="11">
        <v>8868</v>
      </c>
      <c r="C223" s="23" t="s">
        <v>640</v>
      </c>
      <c r="D223" s="12" t="s">
        <v>24</v>
      </c>
      <c r="E223" s="12" t="s">
        <v>376</v>
      </c>
    </row>
    <row r="224" spans="1:5" hidden="1">
      <c r="A224" s="11">
        <v>225</v>
      </c>
      <c r="B224" s="11">
        <v>8869</v>
      </c>
      <c r="C224" s="23" t="s">
        <v>643</v>
      </c>
      <c r="D224" s="12" t="s">
        <v>24</v>
      </c>
      <c r="E224" s="12" t="s">
        <v>311</v>
      </c>
    </row>
    <row r="225" spans="1:5" hidden="1">
      <c r="A225" s="11">
        <v>229</v>
      </c>
      <c r="B225" s="11">
        <v>8955</v>
      </c>
      <c r="C225" s="23" t="s">
        <v>643</v>
      </c>
      <c r="D225" s="12" t="s">
        <v>30</v>
      </c>
      <c r="E225" s="12" t="s">
        <v>289</v>
      </c>
    </row>
    <row r="226" spans="1:5" hidden="1">
      <c r="A226" s="11">
        <v>229</v>
      </c>
      <c r="B226" s="11">
        <v>8956</v>
      </c>
      <c r="C226" s="23" t="s">
        <v>643</v>
      </c>
      <c r="D226" s="12" t="s">
        <v>30</v>
      </c>
      <c r="E226" s="12" t="s">
        <v>260</v>
      </c>
    </row>
    <row r="227" spans="1:5" hidden="1">
      <c r="A227" s="11">
        <v>229</v>
      </c>
      <c r="B227" s="11">
        <v>8957</v>
      </c>
      <c r="C227" s="23" t="s">
        <v>643</v>
      </c>
      <c r="D227" s="12" t="s">
        <v>30</v>
      </c>
      <c r="E227" s="12" t="s">
        <v>71</v>
      </c>
    </row>
    <row r="228" spans="1:5" hidden="1">
      <c r="A228" s="11">
        <v>229</v>
      </c>
      <c r="B228" s="11">
        <v>8958</v>
      </c>
      <c r="C228" s="23" t="s">
        <v>650</v>
      </c>
      <c r="D228" s="12" t="s">
        <v>30</v>
      </c>
      <c r="E228" s="12" t="s">
        <v>726</v>
      </c>
    </row>
    <row r="229" spans="1:5" hidden="1">
      <c r="A229" s="11">
        <v>229</v>
      </c>
      <c r="B229" s="11">
        <v>9604</v>
      </c>
      <c r="C229" s="23" t="s">
        <v>640</v>
      </c>
      <c r="D229" s="12" t="s">
        <v>24</v>
      </c>
      <c r="E229" s="12" t="s">
        <v>384</v>
      </c>
    </row>
    <row r="230" spans="1:5" hidden="1">
      <c r="A230" s="11">
        <v>229</v>
      </c>
      <c r="B230" s="11">
        <v>9605</v>
      </c>
      <c r="C230" s="23" t="s">
        <v>640</v>
      </c>
      <c r="D230" s="12" t="s">
        <v>24</v>
      </c>
      <c r="E230" s="12" t="s">
        <v>153</v>
      </c>
    </row>
    <row r="231" spans="1:5" hidden="1">
      <c r="A231" s="11">
        <v>231</v>
      </c>
      <c r="B231" s="11">
        <v>2311</v>
      </c>
      <c r="C231" s="23" t="s">
        <v>638</v>
      </c>
      <c r="D231" s="12" t="s">
        <v>30</v>
      </c>
      <c r="E231" s="12" t="s">
        <v>595</v>
      </c>
    </row>
    <row r="232" spans="1:5" hidden="1">
      <c r="A232" s="11">
        <v>231</v>
      </c>
      <c r="B232" s="11">
        <v>5209</v>
      </c>
      <c r="C232" s="23" t="s">
        <v>643</v>
      </c>
      <c r="D232" s="12" t="s">
        <v>30</v>
      </c>
      <c r="E232" s="12" t="s">
        <v>486</v>
      </c>
    </row>
    <row r="233" spans="1:5" hidden="1">
      <c r="A233" s="11">
        <v>231</v>
      </c>
      <c r="B233" s="11">
        <v>6243</v>
      </c>
      <c r="C233" s="23" t="s">
        <v>640</v>
      </c>
      <c r="D233" s="12" t="s">
        <v>24</v>
      </c>
      <c r="E233" s="12" t="s">
        <v>594</v>
      </c>
    </row>
    <row r="234" spans="1:5" hidden="1">
      <c r="A234" s="11">
        <v>232</v>
      </c>
      <c r="B234" s="11">
        <v>4062</v>
      </c>
      <c r="C234" s="23" t="s">
        <v>638</v>
      </c>
      <c r="D234" s="12" t="s">
        <v>30</v>
      </c>
      <c r="E234" s="12" t="s">
        <v>473</v>
      </c>
    </row>
    <row r="235" spans="1:5" hidden="1">
      <c r="A235" s="11">
        <v>233</v>
      </c>
      <c r="B235" s="11">
        <v>7212</v>
      </c>
      <c r="C235" s="23" t="s">
        <v>643</v>
      </c>
      <c r="D235" s="12" t="s">
        <v>24</v>
      </c>
      <c r="E235" s="12" t="s">
        <v>727</v>
      </c>
    </row>
    <row r="236" spans="1:5" hidden="1">
      <c r="A236" s="11">
        <v>236</v>
      </c>
      <c r="B236" s="11">
        <v>6242</v>
      </c>
      <c r="C236" s="23" t="s">
        <v>640</v>
      </c>
      <c r="D236" s="12" t="s">
        <v>24</v>
      </c>
      <c r="E236" s="12" t="s">
        <v>578</v>
      </c>
    </row>
    <row r="237" spans="1:5" hidden="1">
      <c r="A237" s="11">
        <v>236</v>
      </c>
      <c r="B237" s="11">
        <v>8497</v>
      </c>
      <c r="C237" s="23" t="s">
        <v>640</v>
      </c>
      <c r="D237" s="12" t="s">
        <v>24</v>
      </c>
      <c r="E237" s="12" t="s">
        <v>285</v>
      </c>
    </row>
    <row r="238" spans="1:5" hidden="1">
      <c r="A238" s="11">
        <v>237</v>
      </c>
      <c r="B238" s="11">
        <v>270</v>
      </c>
      <c r="C238" s="23" t="s">
        <v>638</v>
      </c>
      <c r="D238" s="12" t="s">
        <v>30</v>
      </c>
      <c r="E238" s="12" t="s">
        <v>75</v>
      </c>
    </row>
    <row r="239" spans="1:5" hidden="1">
      <c r="A239" s="11">
        <v>237</v>
      </c>
      <c r="B239" s="11">
        <v>6467</v>
      </c>
      <c r="C239" s="23" t="s">
        <v>640</v>
      </c>
      <c r="D239" s="12" t="s">
        <v>24</v>
      </c>
      <c r="E239" s="12" t="s">
        <v>151</v>
      </c>
    </row>
    <row r="240" spans="1:5" hidden="1">
      <c r="A240" s="11">
        <v>240</v>
      </c>
      <c r="B240" s="11">
        <v>4510</v>
      </c>
      <c r="C240" s="23" t="s">
        <v>650</v>
      </c>
      <c r="D240" s="12" t="s">
        <v>30</v>
      </c>
      <c r="E240" s="12" t="s">
        <v>728</v>
      </c>
    </row>
    <row r="241" spans="1:5" hidden="1">
      <c r="A241" s="11">
        <v>240</v>
      </c>
      <c r="B241" s="11">
        <v>6372</v>
      </c>
      <c r="C241" s="23" t="s">
        <v>643</v>
      </c>
      <c r="D241" s="12" t="s">
        <v>30</v>
      </c>
      <c r="E241" s="12" t="s">
        <v>261</v>
      </c>
    </row>
    <row r="242" spans="1:5" hidden="1">
      <c r="A242" s="11">
        <v>244</v>
      </c>
      <c r="B242" s="11">
        <v>5129</v>
      </c>
      <c r="C242" s="23" t="s">
        <v>640</v>
      </c>
      <c r="D242" s="12" t="s">
        <v>24</v>
      </c>
      <c r="E242" s="12" t="s">
        <v>591</v>
      </c>
    </row>
    <row r="243" spans="1:5" hidden="1">
      <c r="A243" s="11">
        <v>245</v>
      </c>
      <c r="B243" s="11">
        <v>1370</v>
      </c>
      <c r="C243" s="23" t="s">
        <v>650</v>
      </c>
      <c r="D243" s="12" t="s">
        <v>30</v>
      </c>
      <c r="E243" s="12" t="s">
        <v>729</v>
      </c>
    </row>
    <row r="244" spans="1:5" hidden="1">
      <c r="A244" s="11">
        <v>250</v>
      </c>
      <c r="B244" s="11">
        <v>5197</v>
      </c>
      <c r="C244" s="23" t="s">
        <v>640</v>
      </c>
      <c r="D244" s="12" t="s">
        <v>24</v>
      </c>
      <c r="E244" s="12" t="s">
        <v>522</v>
      </c>
    </row>
    <row r="245" spans="1:5" hidden="1">
      <c r="A245" s="11">
        <v>250</v>
      </c>
      <c r="B245" s="11">
        <v>5386</v>
      </c>
      <c r="C245" s="23" t="s">
        <v>638</v>
      </c>
      <c r="D245" s="12" t="s">
        <v>30</v>
      </c>
      <c r="E245" s="12" t="s">
        <v>730</v>
      </c>
    </row>
    <row r="246" spans="1:5" hidden="1">
      <c r="A246" s="11">
        <v>250</v>
      </c>
      <c r="B246" s="11">
        <v>5387</v>
      </c>
      <c r="C246" s="23" t="s">
        <v>638</v>
      </c>
      <c r="D246" s="12" t="s">
        <v>30</v>
      </c>
      <c r="E246" s="12" t="s">
        <v>731</v>
      </c>
    </row>
    <row r="247" spans="1:5" hidden="1">
      <c r="A247" s="11">
        <v>250</v>
      </c>
      <c r="B247" s="11">
        <v>5388</v>
      </c>
      <c r="C247" s="23" t="s">
        <v>638</v>
      </c>
      <c r="D247" s="12" t="s">
        <v>30</v>
      </c>
      <c r="E247" s="12" t="s">
        <v>732</v>
      </c>
    </row>
    <row r="248" spans="1:5" hidden="1">
      <c r="A248" s="11">
        <v>250</v>
      </c>
      <c r="B248" s="11">
        <v>5389</v>
      </c>
      <c r="C248" s="23" t="s">
        <v>650</v>
      </c>
      <c r="D248" s="12" t="s">
        <v>30</v>
      </c>
      <c r="E248" s="12" t="s">
        <v>733</v>
      </c>
    </row>
    <row r="249" spans="1:5" hidden="1">
      <c r="A249" s="11">
        <v>253</v>
      </c>
      <c r="B249" s="11">
        <v>5176</v>
      </c>
      <c r="C249" s="23" t="s">
        <v>640</v>
      </c>
      <c r="D249" s="12" t="s">
        <v>24</v>
      </c>
      <c r="E249" s="12" t="s">
        <v>53</v>
      </c>
    </row>
    <row r="250" spans="1:5" hidden="1">
      <c r="A250" s="11">
        <v>253</v>
      </c>
      <c r="B250" s="11">
        <v>5891</v>
      </c>
      <c r="C250" s="23" t="s">
        <v>650</v>
      </c>
      <c r="D250" s="12" t="s">
        <v>30</v>
      </c>
      <c r="E250" s="12" t="s">
        <v>307</v>
      </c>
    </row>
    <row r="251" spans="1:5" hidden="1">
      <c r="A251" s="11">
        <v>253</v>
      </c>
      <c r="B251" s="11">
        <v>5892</v>
      </c>
      <c r="C251" s="23" t="s">
        <v>643</v>
      </c>
      <c r="D251" s="12" t="s">
        <v>30</v>
      </c>
      <c r="E251" s="12" t="s">
        <v>469</v>
      </c>
    </row>
    <row r="252" spans="1:5" hidden="1">
      <c r="A252" s="11">
        <v>254</v>
      </c>
      <c r="B252" s="11">
        <v>9211</v>
      </c>
      <c r="C252" s="23" t="s">
        <v>638</v>
      </c>
      <c r="D252" s="12" t="s">
        <v>30</v>
      </c>
      <c r="E252" s="12" t="s">
        <v>461</v>
      </c>
    </row>
    <row r="253" spans="1:5" hidden="1">
      <c r="A253" s="11">
        <v>254</v>
      </c>
      <c r="B253" s="11">
        <v>9212</v>
      </c>
      <c r="C253" s="23" t="s">
        <v>638</v>
      </c>
      <c r="D253" s="12" t="s">
        <v>30</v>
      </c>
      <c r="E253" s="12" t="s">
        <v>734</v>
      </c>
    </row>
    <row r="254" spans="1:5" hidden="1">
      <c r="A254" s="11">
        <v>254</v>
      </c>
      <c r="B254" s="11">
        <v>9213</v>
      </c>
      <c r="C254" s="23" t="s">
        <v>638</v>
      </c>
      <c r="D254" s="12" t="s">
        <v>30</v>
      </c>
      <c r="E254" s="12" t="s">
        <v>735</v>
      </c>
    </row>
    <row r="255" spans="1:5" hidden="1">
      <c r="A255" s="11">
        <v>258</v>
      </c>
      <c r="B255" s="11">
        <v>5155</v>
      </c>
      <c r="C255" s="23" t="s">
        <v>640</v>
      </c>
      <c r="D255" s="12" t="s">
        <v>24</v>
      </c>
      <c r="E255" s="12" t="s">
        <v>331</v>
      </c>
    </row>
    <row r="256" spans="1:5" hidden="1">
      <c r="A256" s="11">
        <v>261</v>
      </c>
      <c r="B256" s="11">
        <v>5048</v>
      </c>
      <c r="C256" s="23" t="s">
        <v>640</v>
      </c>
      <c r="D256" s="12" t="s">
        <v>24</v>
      </c>
      <c r="E256" s="12" t="s">
        <v>355</v>
      </c>
    </row>
    <row r="257" spans="1:5" hidden="1">
      <c r="A257" s="11">
        <v>261</v>
      </c>
      <c r="B257" s="11">
        <v>8475</v>
      </c>
      <c r="C257" s="23" t="s">
        <v>638</v>
      </c>
      <c r="D257" s="12" t="s">
        <v>30</v>
      </c>
      <c r="E257" s="12" t="s">
        <v>736</v>
      </c>
    </row>
    <row r="258" spans="1:5" hidden="1">
      <c r="A258" s="11">
        <v>261</v>
      </c>
      <c r="B258" s="11">
        <v>8476</v>
      </c>
      <c r="C258" s="23" t="s">
        <v>638</v>
      </c>
      <c r="D258" s="12" t="s">
        <v>30</v>
      </c>
      <c r="E258" s="12" t="s">
        <v>737</v>
      </c>
    </row>
    <row r="259" spans="1:5" hidden="1">
      <c r="A259" s="11">
        <v>261</v>
      </c>
      <c r="B259" s="11">
        <v>8477</v>
      </c>
      <c r="C259" s="23" t="s">
        <v>638</v>
      </c>
      <c r="D259" s="12" t="s">
        <v>30</v>
      </c>
      <c r="E259" s="12" t="s">
        <v>738</v>
      </c>
    </row>
    <row r="260" spans="1:5" hidden="1">
      <c r="A260" s="11">
        <v>261</v>
      </c>
      <c r="B260" s="11">
        <v>8478</v>
      </c>
      <c r="C260" s="23" t="s">
        <v>638</v>
      </c>
      <c r="D260" s="12" t="s">
        <v>30</v>
      </c>
      <c r="E260" s="12" t="s">
        <v>739</v>
      </c>
    </row>
    <row r="261" spans="1:5" hidden="1">
      <c r="A261" s="11">
        <v>261</v>
      </c>
      <c r="B261" s="11">
        <v>8479</v>
      </c>
      <c r="C261" s="23" t="s">
        <v>638</v>
      </c>
      <c r="D261" s="12" t="s">
        <v>30</v>
      </c>
      <c r="E261" s="12" t="s">
        <v>740</v>
      </c>
    </row>
    <row r="262" spans="1:5" hidden="1">
      <c r="A262" s="11">
        <v>262</v>
      </c>
      <c r="B262" s="11">
        <v>3650</v>
      </c>
      <c r="C262" s="23" t="s">
        <v>638</v>
      </c>
      <c r="D262" s="12" t="s">
        <v>30</v>
      </c>
      <c r="E262" s="12" t="s">
        <v>741</v>
      </c>
    </row>
    <row r="263" spans="1:5" hidden="1">
      <c r="A263" s="11">
        <v>262</v>
      </c>
      <c r="B263" s="11">
        <v>5153</v>
      </c>
      <c r="C263" s="23" t="s">
        <v>640</v>
      </c>
      <c r="D263" s="12" t="s">
        <v>24</v>
      </c>
      <c r="E263" s="12" t="s">
        <v>52</v>
      </c>
    </row>
    <row r="264" spans="1:5" hidden="1">
      <c r="A264" s="11">
        <v>264</v>
      </c>
      <c r="B264" s="11">
        <v>9903</v>
      </c>
      <c r="C264" s="23" t="s">
        <v>643</v>
      </c>
      <c r="D264" s="12" t="s">
        <v>30</v>
      </c>
      <c r="E264" s="12" t="s">
        <v>487</v>
      </c>
    </row>
    <row r="265" spans="1:5" hidden="1">
      <c r="A265" s="11">
        <v>264</v>
      </c>
      <c r="B265" s="11">
        <v>9904</v>
      </c>
      <c r="C265" s="23" t="s">
        <v>643</v>
      </c>
      <c r="D265" s="12" t="s">
        <v>30</v>
      </c>
      <c r="E265" s="12" t="s">
        <v>488</v>
      </c>
    </row>
    <row r="266" spans="1:5" hidden="1">
      <c r="A266" s="11">
        <v>264</v>
      </c>
      <c r="B266" s="11">
        <v>9905</v>
      </c>
      <c r="C266" s="23" t="s">
        <v>643</v>
      </c>
      <c r="D266" s="12" t="s">
        <v>30</v>
      </c>
      <c r="E266" s="12" t="s">
        <v>344</v>
      </c>
    </row>
    <row r="267" spans="1:5" hidden="1">
      <c r="A267" s="11">
        <v>264</v>
      </c>
      <c r="B267" s="11">
        <v>9906</v>
      </c>
      <c r="C267" s="23" t="s">
        <v>640</v>
      </c>
      <c r="D267" s="12" t="s">
        <v>24</v>
      </c>
      <c r="E267" s="12" t="s">
        <v>57</v>
      </c>
    </row>
    <row r="268" spans="1:5" hidden="1">
      <c r="A268" s="11">
        <v>265</v>
      </c>
      <c r="B268" s="11">
        <v>4658</v>
      </c>
      <c r="C268" s="23" t="s">
        <v>650</v>
      </c>
      <c r="D268" s="12" t="s">
        <v>30</v>
      </c>
      <c r="E268" s="12" t="s">
        <v>742</v>
      </c>
    </row>
    <row r="269" spans="1:5" hidden="1">
      <c r="A269" s="11">
        <v>265</v>
      </c>
      <c r="B269" s="11">
        <v>5083</v>
      </c>
      <c r="C269" s="23" t="s">
        <v>640</v>
      </c>
      <c r="D269" s="12" t="s">
        <v>24</v>
      </c>
      <c r="E269" s="12" t="s">
        <v>743</v>
      </c>
    </row>
    <row r="270" spans="1:5" hidden="1">
      <c r="A270" s="11">
        <v>267</v>
      </c>
      <c r="B270" s="11">
        <v>6186</v>
      </c>
      <c r="C270" s="23" t="s">
        <v>640</v>
      </c>
      <c r="D270" s="12" t="s">
        <v>24</v>
      </c>
      <c r="E270" s="12" t="s">
        <v>300</v>
      </c>
    </row>
    <row r="271" spans="1:5" hidden="1">
      <c r="A271" s="11">
        <v>275</v>
      </c>
      <c r="B271" s="11">
        <v>5034</v>
      </c>
      <c r="C271" s="23" t="s">
        <v>643</v>
      </c>
      <c r="D271" s="12" t="s">
        <v>24</v>
      </c>
      <c r="E271" s="12" t="s">
        <v>744</v>
      </c>
    </row>
    <row r="272" spans="1:5" hidden="1">
      <c r="A272" s="11">
        <v>277</v>
      </c>
      <c r="B272" s="11">
        <v>5021</v>
      </c>
      <c r="C272" s="23" t="s">
        <v>640</v>
      </c>
      <c r="D272" s="12" t="s">
        <v>24</v>
      </c>
      <c r="E272" s="12" t="s">
        <v>272</v>
      </c>
    </row>
    <row r="273" spans="1:5" hidden="1">
      <c r="A273" s="11">
        <v>279</v>
      </c>
      <c r="B273" s="11">
        <v>5147</v>
      </c>
      <c r="C273" s="23" t="s">
        <v>643</v>
      </c>
      <c r="D273" s="12" t="s">
        <v>24</v>
      </c>
      <c r="E273" s="12" t="s">
        <v>745</v>
      </c>
    </row>
    <row r="274" spans="1:5" hidden="1">
      <c r="A274" s="11">
        <v>281</v>
      </c>
      <c r="B274" s="11">
        <v>3178</v>
      </c>
      <c r="C274" s="23" t="s">
        <v>643</v>
      </c>
      <c r="D274" s="12" t="s">
        <v>30</v>
      </c>
      <c r="E274" s="12" t="s">
        <v>402</v>
      </c>
    </row>
    <row r="275" spans="1:5" hidden="1">
      <c r="A275" s="11">
        <v>285</v>
      </c>
      <c r="B275" s="11">
        <v>1436</v>
      </c>
      <c r="C275" s="23" t="s">
        <v>638</v>
      </c>
      <c r="D275" s="12" t="s">
        <v>30</v>
      </c>
      <c r="E275" s="12" t="s">
        <v>746</v>
      </c>
    </row>
    <row r="276" spans="1:5" hidden="1">
      <c r="A276" s="11">
        <v>285</v>
      </c>
      <c r="B276" s="11">
        <v>1437</v>
      </c>
      <c r="C276" s="23" t="s">
        <v>638</v>
      </c>
      <c r="D276" s="12" t="s">
        <v>30</v>
      </c>
      <c r="E276" s="12" t="s">
        <v>549</v>
      </c>
    </row>
    <row r="277" spans="1:5" hidden="1">
      <c r="A277" s="11">
        <v>285</v>
      </c>
      <c r="B277" s="11">
        <v>5228</v>
      </c>
      <c r="C277" s="23" t="s">
        <v>643</v>
      </c>
      <c r="D277" s="12" t="s">
        <v>24</v>
      </c>
      <c r="E277" s="12" t="s">
        <v>747</v>
      </c>
    </row>
    <row r="278" spans="1:5" hidden="1">
      <c r="A278" s="11">
        <v>285</v>
      </c>
      <c r="B278" s="11">
        <v>6053</v>
      </c>
      <c r="C278" s="23" t="s">
        <v>638</v>
      </c>
      <c r="D278" s="12" t="s">
        <v>30</v>
      </c>
      <c r="E278" s="12" t="s">
        <v>748</v>
      </c>
    </row>
    <row r="279" spans="1:5" hidden="1">
      <c r="A279" s="11">
        <v>285</v>
      </c>
      <c r="B279" s="11">
        <v>6054</v>
      </c>
      <c r="C279" s="23" t="s">
        <v>638</v>
      </c>
      <c r="D279" s="12" t="s">
        <v>30</v>
      </c>
      <c r="E279" s="12" t="s">
        <v>749</v>
      </c>
    </row>
    <row r="280" spans="1:5" hidden="1">
      <c r="A280" s="11">
        <v>287</v>
      </c>
      <c r="B280" s="11">
        <v>905</v>
      </c>
      <c r="C280" s="23" t="s">
        <v>650</v>
      </c>
      <c r="D280" s="12" t="s">
        <v>30</v>
      </c>
      <c r="E280" s="12" t="s">
        <v>750</v>
      </c>
    </row>
    <row r="281" spans="1:5" hidden="1">
      <c r="A281" s="11">
        <v>287</v>
      </c>
      <c r="B281" s="11">
        <v>906</v>
      </c>
      <c r="C281" s="23" t="s">
        <v>650</v>
      </c>
      <c r="D281" s="12" t="s">
        <v>30</v>
      </c>
      <c r="E281" s="12" t="s">
        <v>366</v>
      </c>
    </row>
    <row r="282" spans="1:5" hidden="1">
      <c r="A282" s="11">
        <v>287</v>
      </c>
      <c r="B282" s="11">
        <v>907</v>
      </c>
      <c r="C282" s="23" t="s">
        <v>643</v>
      </c>
      <c r="D282" s="12" t="s">
        <v>24</v>
      </c>
      <c r="E282" s="12" t="s">
        <v>624</v>
      </c>
    </row>
    <row r="283" spans="1:5" hidden="1">
      <c r="A283" s="11">
        <v>289</v>
      </c>
      <c r="B283" s="11">
        <v>3176</v>
      </c>
      <c r="C283" s="23" t="s">
        <v>638</v>
      </c>
      <c r="D283" s="12" t="s">
        <v>30</v>
      </c>
      <c r="E283" s="12" t="s">
        <v>514</v>
      </c>
    </row>
    <row r="284" spans="1:5" hidden="1">
      <c r="A284" s="11">
        <v>289</v>
      </c>
      <c r="B284" s="11">
        <v>3177</v>
      </c>
      <c r="C284" s="23" t="s">
        <v>638</v>
      </c>
      <c r="D284" s="12" t="s">
        <v>30</v>
      </c>
      <c r="E284" s="12" t="s">
        <v>515</v>
      </c>
    </row>
    <row r="285" spans="1:5" hidden="1">
      <c r="A285" s="11">
        <v>289</v>
      </c>
      <c r="B285" s="11">
        <v>4593</v>
      </c>
      <c r="C285" s="23" t="s">
        <v>643</v>
      </c>
      <c r="D285" s="12" t="s">
        <v>30</v>
      </c>
      <c r="E285" s="12" t="s">
        <v>121</v>
      </c>
    </row>
    <row r="286" spans="1:5" hidden="1">
      <c r="A286" s="11">
        <v>289</v>
      </c>
      <c r="B286" s="11">
        <v>8225</v>
      </c>
      <c r="C286" s="23" t="s">
        <v>643</v>
      </c>
      <c r="D286" s="12" t="s">
        <v>30</v>
      </c>
      <c r="E286" s="12" t="s">
        <v>356</v>
      </c>
    </row>
    <row r="287" spans="1:5" hidden="1">
      <c r="A287" s="11">
        <v>289</v>
      </c>
      <c r="B287" s="11">
        <v>8874</v>
      </c>
      <c r="C287" s="23" t="s">
        <v>650</v>
      </c>
      <c r="D287" s="12" t="s">
        <v>30</v>
      </c>
      <c r="E287" s="12" t="s">
        <v>531</v>
      </c>
    </row>
    <row r="288" spans="1:5" hidden="1">
      <c r="A288" s="11">
        <v>291</v>
      </c>
      <c r="B288" s="11">
        <v>2911</v>
      </c>
      <c r="C288" s="23" t="s">
        <v>638</v>
      </c>
      <c r="D288" s="12" t="s">
        <v>30</v>
      </c>
      <c r="E288" s="12" t="s">
        <v>751</v>
      </c>
    </row>
    <row r="289" spans="1:5" hidden="1">
      <c r="A289" s="11">
        <v>291</v>
      </c>
      <c r="B289" s="11">
        <v>4410</v>
      </c>
      <c r="C289" s="23" t="s">
        <v>638</v>
      </c>
      <c r="D289" s="12" t="s">
        <v>30</v>
      </c>
      <c r="E289" s="12" t="s">
        <v>752</v>
      </c>
    </row>
    <row r="290" spans="1:5" hidden="1">
      <c r="A290" s="11">
        <v>291</v>
      </c>
      <c r="B290" s="11">
        <v>5114</v>
      </c>
      <c r="C290" s="23" t="s">
        <v>640</v>
      </c>
      <c r="D290" s="12" t="s">
        <v>24</v>
      </c>
      <c r="E290" s="12" t="s">
        <v>245</v>
      </c>
    </row>
    <row r="291" spans="1:5" hidden="1">
      <c r="A291" s="11">
        <v>291</v>
      </c>
      <c r="B291" s="11">
        <v>8139</v>
      </c>
      <c r="C291" s="23" t="s">
        <v>643</v>
      </c>
      <c r="D291" s="12" t="s">
        <v>24</v>
      </c>
      <c r="E291" s="12" t="s">
        <v>428</v>
      </c>
    </row>
    <row r="292" spans="1:5" hidden="1">
      <c r="A292" s="11">
        <v>291</v>
      </c>
      <c r="B292" s="11">
        <v>8188</v>
      </c>
      <c r="C292" s="23" t="s">
        <v>638</v>
      </c>
      <c r="D292" s="12" t="s">
        <v>30</v>
      </c>
      <c r="E292" s="12" t="s">
        <v>753</v>
      </c>
    </row>
    <row r="293" spans="1:5" hidden="1">
      <c r="A293" s="11">
        <v>292</v>
      </c>
      <c r="B293" s="11">
        <v>278</v>
      </c>
      <c r="C293" s="23" t="e">
        <v>#N/A</v>
      </c>
      <c r="D293" s="12" t="s">
        <v>24</v>
      </c>
      <c r="E293" s="12" t="s">
        <v>754</v>
      </c>
    </row>
    <row r="294" spans="1:5" hidden="1">
      <c r="A294" s="11">
        <v>292</v>
      </c>
      <c r="B294" s="11">
        <v>5116</v>
      </c>
      <c r="C294" s="23" t="s">
        <v>640</v>
      </c>
      <c r="D294" s="12" t="s">
        <v>24</v>
      </c>
      <c r="E294" s="12" t="s">
        <v>372</v>
      </c>
    </row>
    <row r="295" spans="1:5" hidden="1">
      <c r="A295" s="11">
        <v>292</v>
      </c>
      <c r="B295" s="11">
        <v>5426</v>
      </c>
      <c r="C295" s="23" t="s">
        <v>650</v>
      </c>
      <c r="D295" s="12" t="s">
        <v>30</v>
      </c>
      <c r="E295" s="12" t="s">
        <v>755</v>
      </c>
    </row>
    <row r="296" spans="1:5" hidden="1">
      <c r="A296" s="11">
        <v>297</v>
      </c>
      <c r="B296" s="11">
        <v>4564</v>
      </c>
      <c r="C296" s="23" t="s">
        <v>638</v>
      </c>
      <c r="D296" s="12" t="s">
        <v>30</v>
      </c>
      <c r="E296" s="12" t="s">
        <v>756</v>
      </c>
    </row>
    <row r="297" spans="1:5" hidden="1">
      <c r="A297" s="11">
        <v>297</v>
      </c>
      <c r="B297" s="11">
        <v>4565</v>
      </c>
      <c r="C297" s="23" t="s">
        <v>638</v>
      </c>
      <c r="D297" s="12" t="s">
        <v>30</v>
      </c>
      <c r="E297" s="12" t="s">
        <v>586</v>
      </c>
    </row>
    <row r="298" spans="1:5" hidden="1">
      <c r="A298" s="11">
        <v>297</v>
      </c>
      <c r="B298" s="11">
        <v>5398</v>
      </c>
      <c r="C298" s="23" t="s">
        <v>643</v>
      </c>
      <c r="D298" s="12" t="s">
        <v>30</v>
      </c>
      <c r="E298" s="12" t="s">
        <v>312</v>
      </c>
    </row>
    <row r="299" spans="1:5" hidden="1">
      <c r="A299" s="11">
        <v>300</v>
      </c>
      <c r="B299" s="11">
        <v>5139</v>
      </c>
      <c r="C299" s="23" t="s">
        <v>640</v>
      </c>
      <c r="D299" s="12" t="s">
        <v>24</v>
      </c>
      <c r="E299" s="12" t="s">
        <v>51</v>
      </c>
    </row>
    <row r="300" spans="1:5" hidden="1">
      <c r="A300" s="11">
        <v>302</v>
      </c>
      <c r="B300" s="11">
        <v>5170</v>
      </c>
      <c r="C300" s="23" t="s">
        <v>640</v>
      </c>
      <c r="D300" s="12" t="s">
        <v>24</v>
      </c>
      <c r="E300" s="12" t="s">
        <v>28</v>
      </c>
    </row>
    <row r="301" spans="1:5" hidden="1">
      <c r="A301" s="11">
        <v>305</v>
      </c>
      <c r="B301" s="11">
        <v>3278</v>
      </c>
      <c r="C301" s="23" t="s">
        <v>638</v>
      </c>
      <c r="D301" s="12" t="s">
        <v>30</v>
      </c>
      <c r="E301" s="12" t="s">
        <v>757</v>
      </c>
    </row>
    <row r="302" spans="1:5" hidden="1">
      <c r="A302" s="11">
        <v>305</v>
      </c>
      <c r="B302" s="11">
        <v>3279</v>
      </c>
      <c r="C302" s="23" t="s">
        <v>638</v>
      </c>
      <c r="D302" s="12" t="s">
        <v>30</v>
      </c>
      <c r="E302" s="12" t="s">
        <v>149</v>
      </c>
    </row>
    <row r="303" spans="1:5" hidden="1">
      <c r="A303" s="11">
        <v>305</v>
      </c>
      <c r="B303" s="11">
        <v>4897</v>
      </c>
      <c r="C303" s="23" t="s">
        <v>643</v>
      </c>
      <c r="D303" s="12" t="s">
        <v>30</v>
      </c>
      <c r="E303" s="12" t="s">
        <v>36</v>
      </c>
    </row>
    <row r="304" spans="1:5" hidden="1">
      <c r="A304" s="11">
        <v>305</v>
      </c>
      <c r="B304" s="11">
        <v>7722</v>
      </c>
      <c r="C304" s="23" t="s">
        <v>638</v>
      </c>
      <c r="D304" s="12" t="s">
        <v>30</v>
      </c>
      <c r="E304" s="12" t="s">
        <v>45</v>
      </c>
    </row>
    <row r="305" spans="1:5" hidden="1">
      <c r="A305" s="11">
        <v>306</v>
      </c>
      <c r="B305" s="11">
        <v>428</v>
      </c>
      <c r="C305" s="23" t="e">
        <v>#N/A</v>
      </c>
      <c r="D305" s="12" t="s">
        <v>24</v>
      </c>
      <c r="E305" s="12" t="s">
        <v>758</v>
      </c>
    </row>
    <row r="306" spans="1:5" hidden="1">
      <c r="A306" s="11">
        <v>306</v>
      </c>
      <c r="B306" s="11">
        <v>519</v>
      </c>
      <c r="C306" s="23" t="e">
        <v>#N/A</v>
      </c>
      <c r="D306" s="12" t="s">
        <v>30</v>
      </c>
      <c r="E306" s="12" t="e">
        <v>#N/A</v>
      </c>
    </row>
    <row r="307" spans="1:5" hidden="1">
      <c r="A307" s="11">
        <v>306</v>
      </c>
      <c r="B307" s="11">
        <v>535</v>
      </c>
      <c r="C307" s="23" t="e">
        <v>#N/A</v>
      </c>
      <c r="D307" s="12" t="s">
        <v>30</v>
      </c>
      <c r="E307" s="12" t="e">
        <v>#N/A</v>
      </c>
    </row>
    <row r="308" spans="1:5" hidden="1">
      <c r="A308" s="11">
        <v>306</v>
      </c>
      <c r="B308" s="11">
        <v>539</v>
      </c>
      <c r="C308" s="23" t="e">
        <v>#N/A</v>
      </c>
      <c r="D308" s="12" t="s">
        <v>30</v>
      </c>
      <c r="E308" s="12" t="e">
        <v>#N/A</v>
      </c>
    </row>
    <row r="309" spans="1:5" hidden="1">
      <c r="A309" s="11">
        <v>306</v>
      </c>
      <c r="B309" s="11">
        <v>544</v>
      </c>
      <c r="C309" s="23" t="e">
        <v>#N/A</v>
      </c>
      <c r="D309" s="12" t="s">
        <v>30</v>
      </c>
      <c r="E309" s="12" t="e">
        <v>#N/A</v>
      </c>
    </row>
    <row r="310" spans="1:5" hidden="1">
      <c r="A310" s="11">
        <v>306</v>
      </c>
      <c r="B310" s="11">
        <v>3061</v>
      </c>
      <c r="C310" s="23" t="s">
        <v>638</v>
      </c>
      <c r="D310" s="12" t="s">
        <v>30</v>
      </c>
      <c r="E310" s="12" t="s">
        <v>759</v>
      </c>
    </row>
    <row r="311" spans="1:5" hidden="1">
      <c r="A311" s="11">
        <v>306</v>
      </c>
      <c r="B311" s="11">
        <v>3062</v>
      </c>
      <c r="C311" s="23" t="s">
        <v>638</v>
      </c>
      <c r="D311" s="12" t="s">
        <v>30</v>
      </c>
      <c r="E311" s="12" t="s">
        <v>760</v>
      </c>
    </row>
    <row r="312" spans="1:5" hidden="1">
      <c r="A312" s="11">
        <v>306</v>
      </c>
      <c r="B312" s="11">
        <v>4838</v>
      </c>
      <c r="C312" s="23" t="s">
        <v>650</v>
      </c>
      <c r="D312" s="12" t="s">
        <v>30</v>
      </c>
      <c r="E312" s="12" t="s">
        <v>504</v>
      </c>
    </row>
    <row r="313" spans="1:5" hidden="1">
      <c r="A313" s="11">
        <v>306</v>
      </c>
      <c r="B313" s="11">
        <v>5652</v>
      </c>
      <c r="C313" s="23" t="s">
        <v>643</v>
      </c>
      <c r="D313" s="12" t="s">
        <v>30</v>
      </c>
      <c r="E313" s="12" t="s">
        <v>340</v>
      </c>
    </row>
    <row r="314" spans="1:5" hidden="1">
      <c r="A314" s="11">
        <v>306</v>
      </c>
      <c r="B314" s="11">
        <v>7097</v>
      </c>
      <c r="C314" s="23" t="s">
        <v>643</v>
      </c>
      <c r="D314" s="12" t="s">
        <v>24</v>
      </c>
      <c r="E314" s="12" t="s">
        <v>761</v>
      </c>
    </row>
    <row r="315" spans="1:5" hidden="1">
      <c r="A315" s="11">
        <v>312</v>
      </c>
      <c r="B315" s="11">
        <v>3121</v>
      </c>
      <c r="C315" s="23" t="s">
        <v>638</v>
      </c>
      <c r="D315" s="12" t="s">
        <v>30</v>
      </c>
      <c r="E315" s="12" t="s">
        <v>762</v>
      </c>
    </row>
    <row r="316" spans="1:5" hidden="1">
      <c r="A316" s="11">
        <v>312</v>
      </c>
      <c r="B316" s="11">
        <v>3122</v>
      </c>
      <c r="C316" s="23" t="s">
        <v>638</v>
      </c>
      <c r="D316" s="12" t="s">
        <v>30</v>
      </c>
      <c r="E316" s="12" t="s">
        <v>67</v>
      </c>
    </row>
    <row r="317" spans="1:5" hidden="1">
      <c r="A317" s="11">
        <v>317</v>
      </c>
      <c r="B317" s="11">
        <v>3402</v>
      </c>
      <c r="C317" s="23" t="s">
        <v>638</v>
      </c>
      <c r="D317" s="12" t="s">
        <v>30</v>
      </c>
      <c r="E317" s="12" t="s">
        <v>491</v>
      </c>
    </row>
    <row r="318" spans="1:5" hidden="1">
      <c r="A318" s="11">
        <v>317</v>
      </c>
      <c r="B318" s="11">
        <v>3403</v>
      </c>
      <c r="C318" s="23" t="s">
        <v>638</v>
      </c>
      <c r="D318" s="12" t="s">
        <v>30</v>
      </c>
      <c r="E318" s="12" t="s">
        <v>133</v>
      </c>
    </row>
    <row r="319" spans="1:5" hidden="1">
      <c r="A319" s="11">
        <v>317</v>
      </c>
      <c r="B319" s="11">
        <v>3404</v>
      </c>
      <c r="C319" s="23" t="s">
        <v>638</v>
      </c>
      <c r="D319" s="12" t="s">
        <v>30</v>
      </c>
      <c r="E319" s="12" t="s">
        <v>763</v>
      </c>
    </row>
    <row r="320" spans="1:5" hidden="1">
      <c r="A320" s="11">
        <v>317</v>
      </c>
      <c r="B320" s="11">
        <v>3405</v>
      </c>
      <c r="C320" s="23" t="s">
        <v>638</v>
      </c>
      <c r="D320" s="12" t="s">
        <v>30</v>
      </c>
      <c r="E320" s="12" t="s">
        <v>764</v>
      </c>
    </row>
    <row r="321" spans="1:5" hidden="1">
      <c r="A321" s="11">
        <v>317</v>
      </c>
      <c r="B321" s="11">
        <v>6613</v>
      </c>
      <c r="C321" s="23" t="s">
        <v>643</v>
      </c>
      <c r="D321" s="12" t="s">
        <v>24</v>
      </c>
      <c r="E321" s="12" t="s">
        <v>765</v>
      </c>
    </row>
    <row r="322" spans="1:5" hidden="1">
      <c r="A322" s="11">
        <v>317</v>
      </c>
      <c r="B322" s="11">
        <v>9730</v>
      </c>
      <c r="C322" s="23" t="s">
        <v>638</v>
      </c>
      <c r="D322" s="12" t="s">
        <v>30</v>
      </c>
      <c r="E322" s="12" t="s">
        <v>766</v>
      </c>
    </row>
    <row r="323" spans="1:5" hidden="1">
      <c r="A323" s="11">
        <v>318</v>
      </c>
      <c r="B323" s="11">
        <v>4635</v>
      </c>
      <c r="C323" s="23" t="s">
        <v>638</v>
      </c>
      <c r="D323" s="12" t="s">
        <v>30</v>
      </c>
      <c r="E323" s="12" t="s">
        <v>767</v>
      </c>
    </row>
    <row r="324" spans="1:5" hidden="1">
      <c r="A324" s="11">
        <v>318</v>
      </c>
      <c r="B324" s="11">
        <v>5136</v>
      </c>
      <c r="C324" s="23" t="s">
        <v>640</v>
      </c>
      <c r="D324" s="12" t="s">
        <v>24</v>
      </c>
      <c r="E324" s="12" t="s">
        <v>631</v>
      </c>
    </row>
    <row r="325" spans="1:5" hidden="1">
      <c r="A325" s="11">
        <v>318</v>
      </c>
      <c r="B325" s="11">
        <v>5348</v>
      </c>
      <c r="C325" s="23" t="s">
        <v>643</v>
      </c>
      <c r="D325" s="12" t="s">
        <v>30</v>
      </c>
      <c r="E325" s="12" t="s">
        <v>380</v>
      </c>
    </row>
    <row r="326" spans="1:5" hidden="1">
      <c r="A326" s="11">
        <v>318</v>
      </c>
      <c r="B326" s="11">
        <v>5349</v>
      </c>
      <c r="C326" s="23" t="s">
        <v>643</v>
      </c>
      <c r="D326" s="12" t="s">
        <v>30</v>
      </c>
      <c r="E326" s="12" t="s">
        <v>209</v>
      </c>
    </row>
    <row r="327" spans="1:5" hidden="1">
      <c r="A327" s="11">
        <v>318</v>
      </c>
      <c r="B327" s="11">
        <v>6631</v>
      </c>
      <c r="C327" s="23" t="s">
        <v>643</v>
      </c>
      <c r="D327" s="12" t="s">
        <v>30</v>
      </c>
      <c r="E327" s="12" t="s">
        <v>590</v>
      </c>
    </row>
    <row r="328" spans="1:5" hidden="1">
      <c r="A328" s="11">
        <v>318</v>
      </c>
      <c r="B328" s="11">
        <v>7680</v>
      </c>
      <c r="C328" s="23" t="s">
        <v>643</v>
      </c>
      <c r="D328" s="12" t="s">
        <v>24</v>
      </c>
      <c r="E328" s="12" t="s">
        <v>557</v>
      </c>
    </row>
    <row r="329" spans="1:5" hidden="1">
      <c r="A329" s="11">
        <v>322</v>
      </c>
      <c r="B329" s="11">
        <v>2441</v>
      </c>
      <c r="C329" s="23" t="s">
        <v>643</v>
      </c>
      <c r="D329" s="12" t="s">
        <v>30</v>
      </c>
      <c r="E329" s="12" t="s">
        <v>198</v>
      </c>
    </row>
    <row r="330" spans="1:5" hidden="1">
      <c r="A330" s="11">
        <v>322</v>
      </c>
      <c r="B330" s="11">
        <v>2442</v>
      </c>
      <c r="C330" s="23" t="s">
        <v>650</v>
      </c>
      <c r="D330" s="12" t="s">
        <v>30</v>
      </c>
      <c r="E330" s="12" t="s">
        <v>768</v>
      </c>
    </row>
    <row r="331" spans="1:5" hidden="1">
      <c r="A331" s="11">
        <v>322</v>
      </c>
      <c r="B331" s="11">
        <v>2443</v>
      </c>
      <c r="C331" s="23" t="s">
        <v>643</v>
      </c>
      <c r="D331" s="12" t="s">
        <v>30</v>
      </c>
      <c r="E331" s="12" t="s">
        <v>361</v>
      </c>
    </row>
    <row r="332" spans="1:5" hidden="1">
      <c r="A332" s="11">
        <v>322</v>
      </c>
      <c r="B332" s="11">
        <v>2444</v>
      </c>
      <c r="C332" s="23" t="s">
        <v>640</v>
      </c>
      <c r="D332" s="12" t="s">
        <v>24</v>
      </c>
      <c r="E332" s="12" t="s">
        <v>109</v>
      </c>
    </row>
    <row r="333" spans="1:5" hidden="1">
      <c r="A333" s="11">
        <v>325</v>
      </c>
      <c r="B333" s="11">
        <v>5574</v>
      </c>
      <c r="C333" s="23" t="s">
        <v>638</v>
      </c>
      <c r="D333" s="12" t="s">
        <v>30</v>
      </c>
      <c r="E333" s="12" t="s">
        <v>769</v>
      </c>
    </row>
    <row r="334" spans="1:5" hidden="1">
      <c r="A334" s="11">
        <v>325</v>
      </c>
      <c r="B334" s="11">
        <v>5575</v>
      </c>
      <c r="C334" s="23" t="s">
        <v>638</v>
      </c>
      <c r="D334" s="12" t="s">
        <v>30</v>
      </c>
      <c r="E334" s="12" t="s">
        <v>770</v>
      </c>
    </row>
    <row r="335" spans="1:5" hidden="1">
      <c r="A335" s="11">
        <v>329</v>
      </c>
      <c r="B335" s="11">
        <v>3291</v>
      </c>
      <c r="C335" s="23" t="s">
        <v>638</v>
      </c>
      <c r="D335" s="12" t="s">
        <v>30</v>
      </c>
      <c r="E335" s="12" t="s">
        <v>315</v>
      </c>
    </row>
    <row r="336" spans="1:5" hidden="1">
      <c r="A336" s="11">
        <v>329</v>
      </c>
      <c r="B336" s="11">
        <v>7906</v>
      </c>
      <c r="C336" s="23" t="e">
        <v>#N/A</v>
      </c>
      <c r="D336" s="12" t="s">
        <v>30</v>
      </c>
      <c r="E336" s="12" t="s">
        <v>771</v>
      </c>
    </row>
    <row r="337" spans="1:5" hidden="1">
      <c r="A337" s="11">
        <v>330</v>
      </c>
      <c r="B337" s="11">
        <v>4406</v>
      </c>
      <c r="C337" s="23" t="s">
        <v>638</v>
      </c>
      <c r="D337" s="12" t="s">
        <v>30</v>
      </c>
      <c r="E337" s="12" t="s">
        <v>772</v>
      </c>
    </row>
    <row r="338" spans="1:5" hidden="1">
      <c r="A338" s="11">
        <v>330</v>
      </c>
      <c r="B338" s="11">
        <v>4407</v>
      </c>
      <c r="C338" s="23" t="s">
        <v>638</v>
      </c>
      <c r="D338" s="12" t="s">
        <v>30</v>
      </c>
      <c r="E338" s="12" t="s">
        <v>598</v>
      </c>
    </row>
    <row r="339" spans="1:5" hidden="1">
      <c r="A339" s="11">
        <v>330</v>
      </c>
      <c r="B339" s="11">
        <v>6747</v>
      </c>
      <c r="C339" s="23" t="s">
        <v>638</v>
      </c>
      <c r="D339" s="12" t="s">
        <v>30</v>
      </c>
      <c r="E339" s="12" t="s">
        <v>406</v>
      </c>
    </row>
    <row r="340" spans="1:5" hidden="1">
      <c r="A340" s="11">
        <v>331</v>
      </c>
      <c r="B340" s="11">
        <v>574</v>
      </c>
      <c r="C340" s="23" t="s">
        <v>640</v>
      </c>
      <c r="D340" s="12" t="s">
        <v>24</v>
      </c>
      <c r="E340" s="12" t="s">
        <v>457</v>
      </c>
    </row>
    <row r="341" spans="1:5" hidden="1">
      <c r="A341" s="11">
        <v>331</v>
      </c>
      <c r="B341" s="11">
        <v>575</v>
      </c>
      <c r="C341" s="23" t="s">
        <v>640</v>
      </c>
      <c r="D341" s="12" t="s">
        <v>24</v>
      </c>
      <c r="E341" s="12" t="s">
        <v>596</v>
      </c>
    </row>
    <row r="342" spans="1:5" hidden="1">
      <c r="A342" s="11">
        <v>331</v>
      </c>
      <c r="B342" s="11">
        <v>8342</v>
      </c>
      <c r="C342" s="23" t="s">
        <v>650</v>
      </c>
      <c r="D342" s="12" t="s">
        <v>30</v>
      </c>
      <c r="E342" s="12" t="s">
        <v>773</v>
      </c>
    </row>
    <row r="343" spans="1:5" hidden="1">
      <c r="A343" s="11">
        <v>331</v>
      </c>
      <c r="B343" s="11">
        <v>8343</v>
      </c>
      <c r="C343" s="23" t="s">
        <v>650</v>
      </c>
      <c r="D343" s="12" t="s">
        <v>30</v>
      </c>
      <c r="E343" s="12" t="s">
        <v>774</v>
      </c>
    </row>
    <row r="344" spans="1:5" hidden="1">
      <c r="A344" s="11">
        <v>331</v>
      </c>
      <c r="B344" s="11">
        <v>8344</v>
      </c>
      <c r="C344" s="23" t="s">
        <v>650</v>
      </c>
      <c r="D344" s="12" t="s">
        <v>30</v>
      </c>
      <c r="E344" s="12" t="s">
        <v>775</v>
      </c>
    </row>
    <row r="345" spans="1:5" hidden="1">
      <c r="A345" s="11">
        <v>331</v>
      </c>
      <c r="B345" s="11">
        <v>8345</v>
      </c>
      <c r="C345" s="23" t="s">
        <v>650</v>
      </c>
      <c r="D345" s="12" t="s">
        <v>30</v>
      </c>
      <c r="E345" s="12" t="s">
        <v>776</v>
      </c>
    </row>
    <row r="346" spans="1:5" hidden="1">
      <c r="A346" s="11">
        <v>332</v>
      </c>
      <c r="B346" s="11">
        <v>2553</v>
      </c>
      <c r="C346" s="23" t="s">
        <v>643</v>
      </c>
      <c r="D346" s="12" t="s">
        <v>30</v>
      </c>
      <c r="E346" s="12" t="s">
        <v>777</v>
      </c>
    </row>
    <row r="347" spans="1:5" hidden="1">
      <c r="A347" s="11">
        <v>332</v>
      </c>
      <c r="B347" s="11">
        <v>2556</v>
      </c>
      <c r="C347" s="23" t="s">
        <v>643</v>
      </c>
      <c r="D347" s="12" t="s">
        <v>30</v>
      </c>
      <c r="E347" s="12" t="s">
        <v>778</v>
      </c>
    </row>
    <row r="348" spans="1:5" hidden="1">
      <c r="A348" s="11">
        <v>332</v>
      </c>
      <c r="B348" s="11">
        <v>2559</v>
      </c>
      <c r="C348" s="23" t="s">
        <v>643</v>
      </c>
      <c r="D348" s="12" t="s">
        <v>30</v>
      </c>
      <c r="E348" s="12" t="s">
        <v>503</v>
      </c>
    </row>
    <row r="349" spans="1:5" hidden="1">
      <c r="A349" s="11">
        <v>332</v>
      </c>
      <c r="B349" s="11">
        <v>7569</v>
      </c>
      <c r="C349" s="23" t="s">
        <v>640</v>
      </c>
      <c r="D349" s="12" t="s">
        <v>24</v>
      </c>
      <c r="E349" s="12" t="s">
        <v>351</v>
      </c>
    </row>
    <row r="350" spans="1:5" hidden="1">
      <c r="A350" s="11">
        <v>333</v>
      </c>
      <c r="B350" s="11">
        <v>442</v>
      </c>
      <c r="C350" s="23" t="e">
        <v>#N/A</v>
      </c>
      <c r="D350" s="12" t="s">
        <v>24</v>
      </c>
      <c r="E350" s="12" t="s">
        <v>779</v>
      </c>
    </row>
    <row r="351" spans="1:5" hidden="1">
      <c r="A351" s="11">
        <v>333</v>
      </c>
      <c r="B351" s="11">
        <v>5076</v>
      </c>
      <c r="C351" s="23" t="s">
        <v>643</v>
      </c>
      <c r="D351" s="12" t="s">
        <v>24</v>
      </c>
      <c r="E351" s="12" t="s">
        <v>780</v>
      </c>
    </row>
    <row r="352" spans="1:5" hidden="1">
      <c r="A352" s="11">
        <v>334</v>
      </c>
      <c r="B352" s="11">
        <v>8801</v>
      </c>
      <c r="C352" s="23" t="s">
        <v>638</v>
      </c>
      <c r="D352" s="12" t="s">
        <v>30</v>
      </c>
      <c r="E352" s="12" t="s">
        <v>434</v>
      </c>
    </row>
    <row r="353" spans="1:5" hidden="1">
      <c r="A353" s="11">
        <v>334</v>
      </c>
      <c r="B353" s="11">
        <v>8802</v>
      </c>
      <c r="C353" s="23" t="s">
        <v>638</v>
      </c>
      <c r="D353" s="12" t="s">
        <v>30</v>
      </c>
      <c r="E353" s="12" t="s">
        <v>781</v>
      </c>
    </row>
    <row r="354" spans="1:5" hidden="1">
      <c r="A354" s="11">
        <v>335</v>
      </c>
      <c r="B354" s="11">
        <v>3966</v>
      </c>
      <c r="C354" s="23" t="s">
        <v>638</v>
      </c>
      <c r="D354" s="12" t="s">
        <v>30</v>
      </c>
      <c r="E354" s="12" t="s">
        <v>485</v>
      </c>
    </row>
    <row r="355" spans="1:5">
      <c r="A355" s="11">
        <v>335</v>
      </c>
      <c r="B355" s="11">
        <v>5741</v>
      </c>
      <c r="C355" s="23" t="s">
        <v>643</v>
      </c>
      <c r="D355" s="12" t="s">
        <v>30</v>
      </c>
      <c r="E355" s="12" t="s">
        <v>32</v>
      </c>
    </row>
    <row r="356" spans="1:5" hidden="1">
      <c r="A356" s="11">
        <v>336</v>
      </c>
      <c r="B356" s="11">
        <v>4148</v>
      </c>
      <c r="C356" s="23" t="s">
        <v>638</v>
      </c>
      <c r="D356" s="12" t="s">
        <v>30</v>
      </c>
      <c r="E356" s="12" t="s">
        <v>782</v>
      </c>
    </row>
    <row r="357" spans="1:5" hidden="1">
      <c r="A357" s="11">
        <v>336</v>
      </c>
      <c r="B357" s="11">
        <v>4149</v>
      </c>
      <c r="C357" s="23" t="s">
        <v>638</v>
      </c>
      <c r="D357" s="12" t="s">
        <v>30</v>
      </c>
      <c r="E357" s="12" t="s">
        <v>507</v>
      </c>
    </row>
    <row r="358" spans="1:5" hidden="1">
      <c r="A358" s="11">
        <v>337</v>
      </c>
      <c r="B358" s="11">
        <v>6253</v>
      </c>
      <c r="C358" s="23" t="s">
        <v>640</v>
      </c>
      <c r="D358" s="12" t="s">
        <v>24</v>
      </c>
      <c r="E358" s="12" t="s">
        <v>352</v>
      </c>
    </row>
    <row r="359" spans="1:5" hidden="1">
      <c r="A359" s="11">
        <v>341</v>
      </c>
      <c r="B359" s="11">
        <v>3411</v>
      </c>
      <c r="C359" s="23" t="s">
        <v>638</v>
      </c>
      <c r="D359" s="12" t="s">
        <v>30</v>
      </c>
      <c r="E359" s="12" t="s">
        <v>783</v>
      </c>
    </row>
    <row r="360" spans="1:5" hidden="1">
      <c r="A360" s="11">
        <v>341</v>
      </c>
      <c r="B360" s="11">
        <v>3412</v>
      </c>
      <c r="C360" s="23" t="s">
        <v>638</v>
      </c>
      <c r="D360" s="12" t="s">
        <v>30</v>
      </c>
      <c r="E360" s="12" t="s">
        <v>784</v>
      </c>
    </row>
    <row r="361" spans="1:5" hidden="1">
      <c r="A361" s="11">
        <v>343</v>
      </c>
      <c r="B361" s="11">
        <v>7954</v>
      </c>
      <c r="C361" s="23" t="s">
        <v>643</v>
      </c>
      <c r="D361" s="12" t="s">
        <v>30</v>
      </c>
      <c r="E361" s="12" t="s">
        <v>122</v>
      </c>
    </row>
    <row r="362" spans="1:5" hidden="1">
      <c r="A362" s="11">
        <v>343</v>
      </c>
      <c r="B362" s="11">
        <v>7955</v>
      </c>
      <c r="C362" s="23" t="s">
        <v>643</v>
      </c>
      <c r="D362" s="12" t="s">
        <v>30</v>
      </c>
      <c r="E362" s="12" t="s">
        <v>95</v>
      </c>
    </row>
    <row r="363" spans="1:5" hidden="1">
      <c r="A363" s="11">
        <v>345</v>
      </c>
      <c r="B363" s="11">
        <v>1962</v>
      </c>
      <c r="C363" s="23" t="s">
        <v>643</v>
      </c>
      <c r="D363" s="12" t="s">
        <v>30</v>
      </c>
      <c r="E363" s="12" t="s">
        <v>391</v>
      </c>
    </row>
    <row r="364" spans="1:5" hidden="1">
      <c r="A364" s="11">
        <v>345</v>
      </c>
      <c r="B364" s="11">
        <v>6254</v>
      </c>
      <c r="C364" s="23" t="s">
        <v>643</v>
      </c>
      <c r="D364" s="12" t="s">
        <v>30</v>
      </c>
      <c r="E364" s="12" t="s">
        <v>64</v>
      </c>
    </row>
    <row r="365" spans="1:5" hidden="1">
      <c r="A365" s="11">
        <v>346</v>
      </c>
      <c r="B365" s="11">
        <v>3461</v>
      </c>
      <c r="C365" s="23" t="s">
        <v>638</v>
      </c>
      <c r="D365" s="12" t="s">
        <v>30</v>
      </c>
      <c r="E365" s="12" t="s">
        <v>572</v>
      </c>
    </row>
    <row r="366" spans="1:5" hidden="1">
      <c r="A366" s="11">
        <v>347</v>
      </c>
      <c r="B366" s="11">
        <v>4782</v>
      </c>
      <c r="C366" s="23" t="s">
        <v>650</v>
      </c>
      <c r="D366" s="12" t="s">
        <v>30</v>
      </c>
      <c r="E366" s="12" t="s">
        <v>229</v>
      </c>
    </row>
    <row r="367" spans="1:5" hidden="1">
      <c r="A367" s="11">
        <v>348</v>
      </c>
      <c r="B367" s="11">
        <v>192</v>
      </c>
      <c r="C367" s="23" t="e">
        <v>#N/A</v>
      </c>
      <c r="D367" s="12" t="s">
        <v>24</v>
      </c>
      <c r="E367" s="12" t="s">
        <v>617</v>
      </c>
    </row>
    <row r="368" spans="1:5" hidden="1">
      <c r="A368" s="11">
        <v>348</v>
      </c>
      <c r="B368" s="11">
        <v>2991</v>
      </c>
      <c r="C368" s="23" t="s">
        <v>638</v>
      </c>
      <c r="D368" s="12" t="s">
        <v>30</v>
      </c>
      <c r="E368" s="12" t="s">
        <v>785</v>
      </c>
    </row>
    <row r="369" spans="1:5" hidden="1">
      <c r="A369" s="11">
        <v>348</v>
      </c>
      <c r="B369" s="11">
        <v>3480</v>
      </c>
      <c r="C369" s="23" t="s">
        <v>638</v>
      </c>
      <c r="D369" s="12" t="s">
        <v>30</v>
      </c>
      <c r="E369" s="12" t="s">
        <v>786</v>
      </c>
    </row>
    <row r="370" spans="1:5" hidden="1">
      <c r="A370" s="11">
        <v>348</v>
      </c>
      <c r="B370" s="11">
        <v>3481</v>
      </c>
      <c r="C370" s="23" t="s">
        <v>638</v>
      </c>
      <c r="D370" s="12" t="s">
        <v>30</v>
      </c>
      <c r="E370" s="12" t="s">
        <v>492</v>
      </c>
    </row>
    <row r="371" spans="1:5" hidden="1">
      <c r="A371" s="11">
        <v>348</v>
      </c>
      <c r="B371" s="11">
        <v>5649</v>
      </c>
      <c r="C371" s="23" t="s">
        <v>643</v>
      </c>
      <c r="D371" s="12" t="s">
        <v>30</v>
      </c>
      <c r="E371" s="12" t="s">
        <v>375</v>
      </c>
    </row>
    <row r="372" spans="1:5" hidden="1">
      <c r="A372" s="11">
        <v>348</v>
      </c>
      <c r="B372" s="11">
        <v>6724</v>
      </c>
      <c r="C372" s="23" t="s">
        <v>643</v>
      </c>
      <c r="D372" s="12" t="s">
        <v>24</v>
      </c>
      <c r="E372" s="12" t="s">
        <v>438</v>
      </c>
    </row>
    <row r="373" spans="1:5" hidden="1">
      <c r="A373" s="11">
        <v>348</v>
      </c>
      <c r="B373" s="11">
        <v>9006</v>
      </c>
      <c r="C373" s="23" t="s">
        <v>650</v>
      </c>
      <c r="D373" s="12" t="s">
        <v>30</v>
      </c>
      <c r="E373" s="12" t="s">
        <v>787</v>
      </c>
    </row>
    <row r="374" spans="1:5" hidden="1">
      <c r="A374" s="11">
        <v>348</v>
      </c>
      <c r="B374" s="11">
        <v>9007</v>
      </c>
      <c r="C374" s="23" t="s">
        <v>650</v>
      </c>
      <c r="D374" s="12" t="s">
        <v>30</v>
      </c>
      <c r="E374" s="12" t="s">
        <v>230</v>
      </c>
    </row>
    <row r="375" spans="1:5" hidden="1">
      <c r="A375" s="11">
        <v>348</v>
      </c>
      <c r="B375" s="11">
        <v>9008</v>
      </c>
      <c r="C375" s="23" t="s">
        <v>650</v>
      </c>
      <c r="D375" s="12" t="s">
        <v>30</v>
      </c>
      <c r="E375" s="12" t="s">
        <v>788</v>
      </c>
    </row>
    <row r="376" spans="1:5" hidden="1">
      <c r="A376" s="11">
        <v>348</v>
      </c>
      <c r="B376" s="11">
        <v>9009</v>
      </c>
      <c r="C376" s="23" t="s">
        <v>643</v>
      </c>
      <c r="D376" s="12" t="s">
        <v>24</v>
      </c>
      <c r="E376" s="12" t="s">
        <v>789</v>
      </c>
    </row>
    <row r="377" spans="1:5" hidden="1">
      <c r="A377" s="11">
        <v>351</v>
      </c>
      <c r="B377" s="11">
        <v>6182</v>
      </c>
      <c r="C377" s="23" t="s">
        <v>640</v>
      </c>
      <c r="D377" s="12" t="s">
        <v>24</v>
      </c>
      <c r="E377" s="12" t="s">
        <v>790</v>
      </c>
    </row>
    <row r="378" spans="1:5" hidden="1">
      <c r="A378" s="11">
        <v>352</v>
      </c>
      <c r="B378" s="11">
        <v>869</v>
      </c>
      <c r="C378" s="23" t="s">
        <v>638</v>
      </c>
      <c r="D378" s="12" t="s">
        <v>30</v>
      </c>
      <c r="E378" s="12" t="s">
        <v>791</v>
      </c>
    </row>
    <row r="379" spans="1:5" hidden="1">
      <c r="A379" s="11">
        <v>352</v>
      </c>
      <c r="B379" s="11">
        <v>6618</v>
      </c>
      <c r="C379" s="23" t="s">
        <v>643</v>
      </c>
      <c r="D379" s="12" t="s">
        <v>24</v>
      </c>
      <c r="E379" s="12" t="s">
        <v>792</v>
      </c>
    </row>
    <row r="380" spans="1:5" hidden="1">
      <c r="A380" s="11">
        <v>355</v>
      </c>
      <c r="B380" s="11">
        <v>5360</v>
      </c>
      <c r="C380" s="23" t="s">
        <v>638</v>
      </c>
      <c r="D380" s="12" t="s">
        <v>30</v>
      </c>
      <c r="E380" s="12" t="s">
        <v>793</v>
      </c>
    </row>
    <row r="381" spans="1:5" hidden="1">
      <c r="A381" s="11">
        <v>356</v>
      </c>
      <c r="B381" s="11">
        <v>8638</v>
      </c>
      <c r="C381" s="23" t="s">
        <v>638</v>
      </c>
      <c r="D381" s="12" t="s">
        <v>30</v>
      </c>
      <c r="E381" s="12" t="s">
        <v>794</v>
      </c>
    </row>
    <row r="382" spans="1:5" hidden="1">
      <c r="A382" s="11">
        <v>356</v>
      </c>
      <c r="B382" s="11">
        <v>8639</v>
      </c>
      <c r="C382" s="23" t="s">
        <v>638</v>
      </c>
      <c r="D382" s="12" t="s">
        <v>30</v>
      </c>
      <c r="E382" s="12" t="s">
        <v>795</v>
      </c>
    </row>
    <row r="383" spans="1:5" hidden="1">
      <c r="A383" s="11">
        <v>358</v>
      </c>
      <c r="B383" s="11">
        <v>4499</v>
      </c>
      <c r="C383" s="23" t="s">
        <v>643</v>
      </c>
      <c r="D383" s="12" t="s">
        <v>30</v>
      </c>
      <c r="E383" s="12" t="s">
        <v>575</v>
      </c>
    </row>
    <row r="384" spans="1:5" hidden="1">
      <c r="A384" s="11">
        <v>358</v>
      </c>
      <c r="B384" s="11">
        <v>5149</v>
      </c>
      <c r="C384" s="23" t="s">
        <v>640</v>
      </c>
      <c r="D384" s="12" t="s">
        <v>24</v>
      </c>
      <c r="E384" s="12" t="s">
        <v>413</v>
      </c>
    </row>
    <row r="385" spans="1:5" hidden="1">
      <c r="A385" s="11">
        <v>358</v>
      </c>
      <c r="B385" s="11">
        <v>5597</v>
      </c>
      <c r="C385" s="23" t="s">
        <v>638</v>
      </c>
      <c r="D385" s="12" t="s">
        <v>30</v>
      </c>
      <c r="E385" s="12" t="s">
        <v>796</v>
      </c>
    </row>
    <row r="386" spans="1:5" hidden="1">
      <c r="A386" s="11">
        <v>358</v>
      </c>
      <c r="B386" s="11">
        <v>9648</v>
      </c>
      <c r="C386" s="23" t="s">
        <v>650</v>
      </c>
      <c r="D386" s="12" t="s">
        <v>30</v>
      </c>
      <c r="E386" s="12" t="s">
        <v>797</v>
      </c>
    </row>
    <row r="387" spans="1:5" hidden="1">
      <c r="A387" s="11">
        <v>359</v>
      </c>
      <c r="B387" s="11">
        <v>4650</v>
      </c>
      <c r="C387" s="23" t="s">
        <v>638</v>
      </c>
      <c r="D387" s="12" t="s">
        <v>30</v>
      </c>
      <c r="E387" s="12" t="s">
        <v>798</v>
      </c>
    </row>
    <row r="388" spans="1:5" hidden="1">
      <c r="A388" s="11">
        <v>359</v>
      </c>
      <c r="B388" s="11">
        <v>8425</v>
      </c>
      <c r="C388" s="23" t="s">
        <v>638</v>
      </c>
      <c r="D388" s="12" t="s">
        <v>30</v>
      </c>
      <c r="E388" s="12" t="s">
        <v>546</v>
      </c>
    </row>
    <row r="389" spans="1:5" hidden="1">
      <c r="A389" s="11">
        <v>360</v>
      </c>
      <c r="B389" s="11">
        <v>2855</v>
      </c>
      <c r="C389" s="23" t="s">
        <v>650</v>
      </c>
      <c r="D389" s="12" t="s">
        <v>30</v>
      </c>
      <c r="E389" s="12" t="s">
        <v>362</v>
      </c>
    </row>
    <row r="390" spans="1:5" hidden="1">
      <c r="A390" s="11">
        <v>360</v>
      </c>
      <c r="B390" s="11">
        <v>2856</v>
      </c>
      <c r="C390" s="23" t="s">
        <v>650</v>
      </c>
      <c r="D390" s="12" t="s">
        <v>30</v>
      </c>
      <c r="E390" s="12" t="s">
        <v>799</v>
      </c>
    </row>
    <row r="391" spans="1:5" hidden="1">
      <c r="A391" s="11">
        <v>361</v>
      </c>
      <c r="B391" s="11">
        <v>5005</v>
      </c>
      <c r="C391" s="23" t="s">
        <v>640</v>
      </c>
      <c r="D391" s="12" t="s">
        <v>24</v>
      </c>
      <c r="E391" s="12" t="s">
        <v>423</v>
      </c>
    </row>
    <row r="392" spans="1:5" hidden="1">
      <c r="A392" s="11">
        <v>363</v>
      </c>
      <c r="B392" s="11">
        <v>5168</v>
      </c>
      <c r="C392" s="23" t="s">
        <v>640</v>
      </c>
      <c r="D392" s="12" t="s">
        <v>24</v>
      </c>
      <c r="E392" s="12" t="s">
        <v>92</v>
      </c>
    </row>
    <row r="393" spans="1:5" hidden="1">
      <c r="A393" s="11">
        <v>365</v>
      </c>
      <c r="B393" s="11">
        <v>454</v>
      </c>
      <c r="C393" s="23" t="s">
        <v>638</v>
      </c>
      <c r="D393" s="12" t="s">
        <v>30</v>
      </c>
      <c r="E393" s="12" t="s">
        <v>538</v>
      </c>
    </row>
    <row r="394" spans="1:5" hidden="1">
      <c r="A394" s="11">
        <v>365</v>
      </c>
      <c r="B394" s="11">
        <v>3652</v>
      </c>
      <c r="C394" s="23" t="s">
        <v>638</v>
      </c>
      <c r="D394" s="12" t="s">
        <v>30</v>
      </c>
      <c r="E394" s="12" t="s">
        <v>800</v>
      </c>
    </row>
    <row r="395" spans="1:5" hidden="1">
      <c r="A395" s="11">
        <v>365</v>
      </c>
      <c r="B395" s="11">
        <v>4632</v>
      </c>
      <c r="C395" s="23" t="s">
        <v>638</v>
      </c>
      <c r="D395" s="12" t="s">
        <v>30</v>
      </c>
      <c r="E395" s="12" t="s">
        <v>801</v>
      </c>
    </row>
    <row r="396" spans="1:5" hidden="1">
      <c r="A396" s="11">
        <v>366</v>
      </c>
      <c r="B396" s="11">
        <v>5132</v>
      </c>
      <c r="C396" s="23" t="s">
        <v>640</v>
      </c>
      <c r="D396" s="12" t="s">
        <v>24</v>
      </c>
      <c r="E396" s="12" t="s">
        <v>259</v>
      </c>
    </row>
    <row r="397" spans="1:5" hidden="1">
      <c r="A397" s="11">
        <v>367</v>
      </c>
      <c r="B397" s="11">
        <v>2222</v>
      </c>
      <c r="C397" s="23" t="s">
        <v>638</v>
      </c>
      <c r="D397" s="12" t="s">
        <v>30</v>
      </c>
      <c r="E397" s="12" t="s">
        <v>802</v>
      </c>
    </row>
    <row r="398" spans="1:5" hidden="1">
      <c r="A398" s="11">
        <v>367</v>
      </c>
      <c r="B398" s="11">
        <v>2223</v>
      </c>
      <c r="C398" s="23" t="s">
        <v>638</v>
      </c>
      <c r="D398" s="12" t="s">
        <v>30</v>
      </c>
      <c r="E398" s="12" t="s">
        <v>803</v>
      </c>
    </row>
    <row r="399" spans="1:5" hidden="1">
      <c r="A399" s="11">
        <v>367</v>
      </c>
      <c r="B399" s="11">
        <v>6261</v>
      </c>
      <c r="C399" s="23" t="s">
        <v>638</v>
      </c>
      <c r="D399" s="12" t="s">
        <v>30</v>
      </c>
      <c r="E399" s="12" t="s">
        <v>86</v>
      </c>
    </row>
    <row r="400" spans="1:5" hidden="1">
      <c r="A400" s="11">
        <v>367</v>
      </c>
      <c r="B400" s="11">
        <v>9580</v>
      </c>
      <c r="C400" s="23" t="s">
        <v>640</v>
      </c>
      <c r="D400" s="12" t="s">
        <v>24</v>
      </c>
      <c r="E400" s="12" t="s">
        <v>386</v>
      </c>
    </row>
    <row r="401" spans="1:5" hidden="1">
      <c r="A401" s="11">
        <v>368</v>
      </c>
      <c r="B401" s="11">
        <v>6775</v>
      </c>
      <c r="C401" s="23" t="s">
        <v>650</v>
      </c>
      <c r="D401" s="12" t="s">
        <v>30</v>
      </c>
      <c r="E401" s="12" t="s">
        <v>159</v>
      </c>
    </row>
    <row r="402" spans="1:5" hidden="1">
      <c r="A402" s="11">
        <v>368</v>
      </c>
      <c r="B402" s="11">
        <v>7669</v>
      </c>
      <c r="C402" s="23" t="s">
        <v>638</v>
      </c>
      <c r="D402" s="12" t="s">
        <v>30</v>
      </c>
      <c r="E402" s="12" t="s">
        <v>804</v>
      </c>
    </row>
    <row r="403" spans="1:5" hidden="1">
      <c r="A403" s="11">
        <v>369</v>
      </c>
      <c r="B403" s="11">
        <v>2735</v>
      </c>
      <c r="C403" s="23" t="s">
        <v>638</v>
      </c>
      <c r="D403" s="12" t="s">
        <v>30</v>
      </c>
      <c r="E403" s="12" t="s">
        <v>805</v>
      </c>
    </row>
    <row r="404" spans="1:5" hidden="1">
      <c r="A404" s="11">
        <v>369</v>
      </c>
      <c r="B404" s="11">
        <v>3691</v>
      </c>
      <c r="C404" s="23" t="s">
        <v>638</v>
      </c>
      <c r="D404" s="12" t="s">
        <v>30</v>
      </c>
      <c r="E404" s="12" t="s">
        <v>806</v>
      </c>
    </row>
    <row r="405" spans="1:5" hidden="1">
      <c r="A405" s="11">
        <v>369</v>
      </c>
      <c r="B405" s="11">
        <v>4185</v>
      </c>
      <c r="C405" s="23" t="s">
        <v>638</v>
      </c>
      <c r="D405" s="12" t="s">
        <v>30</v>
      </c>
      <c r="E405" s="12" t="s">
        <v>807</v>
      </c>
    </row>
    <row r="406" spans="1:5" hidden="1">
      <c r="A406" s="11">
        <v>371</v>
      </c>
      <c r="B406" s="11">
        <v>3710</v>
      </c>
      <c r="C406" s="23" t="s">
        <v>638</v>
      </c>
      <c r="D406" s="12" t="s">
        <v>30</v>
      </c>
      <c r="E406" s="12" t="s">
        <v>541</v>
      </c>
    </row>
    <row r="407" spans="1:5" hidden="1">
      <c r="A407" s="11">
        <v>371</v>
      </c>
      <c r="B407" s="11">
        <v>3741</v>
      </c>
      <c r="C407" s="23" t="s">
        <v>643</v>
      </c>
      <c r="D407" s="12" t="s">
        <v>30</v>
      </c>
      <c r="E407" s="12" t="s">
        <v>345</v>
      </c>
    </row>
    <row r="408" spans="1:5" hidden="1">
      <c r="A408" s="11">
        <v>371</v>
      </c>
      <c r="B408" s="11">
        <v>4279</v>
      </c>
      <c r="C408" s="23" t="s">
        <v>643</v>
      </c>
      <c r="D408" s="12" t="s">
        <v>30</v>
      </c>
      <c r="E408" s="12" t="s">
        <v>500</v>
      </c>
    </row>
    <row r="409" spans="1:5" hidden="1">
      <c r="A409" s="11">
        <v>371</v>
      </c>
      <c r="B409" s="11">
        <v>6718</v>
      </c>
      <c r="C409" s="23" t="s">
        <v>643</v>
      </c>
      <c r="D409" s="12" t="s">
        <v>24</v>
      </c>
      <c r="E409" s="12" t="s">
        <v>287</v>
      </c>
    </row>
    <row r="410" spans="1:5" hidden="1">
      <c r="A410" s="11">
        <v>372</v>
      </c>
      <c r="B410" s="11">
        <v>7917</v>
      </c>
      <c r="C410" s="23" t="s">
        <v>643</v>
      </c>
      <c r="D410" s="12" t="s">
        <v>30</v>
      </c>
      <c r="E410" s="12" t="s">
        <v>46</v>
      </c>
    </row>
    <row r="411" spans="1:5" hidden="1">
      <c r="A411" s="11">
        <v>376</v>
      </c>
      <c r="B411" s="11">
        <v>2854</v>
      </c>
      <c r="C411" s="23" t="s">
        <v>638</v>
      </c>
      <c r="D411" s="12" t="s">
        <v>30</v>
      </c>
      <c r="E411" s="12" t="s">
        <v>808</v>
      </c>
    </row>
    <row r="412" spans="1:5" hidden="1">
      <c r="A412" s="11">
        <v>376</v>
      </c>
      <c r="B412" s="11">
        <v>8568</v>
      </c>
      <c r="C412" s="23" t="s">
        <v>638</v>
      </c>
      <c r="D412" s="12" t="s">
        <v>30</v>
      </c>
      <c r="E412" s="12" t="s">
        <v>809</v>
      </c>
    </row>
    <row r="413" spans="1:5" hidden="1">
      <c r="A413" s="11">
        <v>377</v>
      </c>
      <c r="B413" s="11">
        <v>1504</v>
      </c>
      <c r="C413" s="23" t="s">
        <v>643</v>
      </c>
      <c r="D413" s="12" t="s">
        <v>30</v>
      </c>
      <c r="E413" s="12" t="s">
        <v>810</v>
      </c>
    </row>
    <row r="414" spans="1:5" hidden="1">
      <c r="A414" s="11">
        <v>377</v>
      </c>
      <c r="B414" s="11">
        <v>1505</v>
      </c>
      <c r="C414" s="23" t="s">
        <v>643</v>
      </c>
      <c r="D414" s="12" t="s">
        <v>30</v>
      </c>
      <c r="E414" s="12" t="s">
        <v>418</v>
      </c>
    </row>
    <row r="415" spans="1:5" hidden="1">
      <c r="A415" s="11">
        <v>377</v>
      </c>
      <c r="B415" s="11">
        <v>1506</v>
      </c>
      <c r="C415" s="23" t="s">
        <v>643</v>
      </c>
      <c r="D415" s="12" t="s">
        <v>30</v>
      </c>
      <c r="E415" s="12" t="s">
        <v>811</v>
      </c>
    </row>
    <row r="416" spans="1:5" hidden="1">
      <c r="A416" s="11">
        <v>377</v>
      </c>
      <c r="B416" s="11">
        <v>1508</v>
      </c>
      <c r="C416" s="23" t="s">
        <v>643</v>
      </c>
      <c r="D416" s="12" t="s">
        <v>24</v>
      </c>
      <c r="E416" s="12" t="s">
        <v>543</v>
      </c>
    </row>
    <row r="417" spans="1:5" hidden="1">
      <c r="A417" s="11">
        <v>379</v>
      </c>
      <c r="B417" s="11">
        <v>6465</v>
      </c>
      <c r="C417" s="23" t="s">
        <v>640</v>
      </c>
      <c r="D417" s="12" t="s">
        <v>24</v>
      </c>
      <c r="E417" s="12" t="s">
        <v>354</v>
      </c>
    </row>
    <row r="418" spans="1:5" hidden="1">
      <c r="A418" s="11">
        <v>379</v>
      </c>
      <c r="B418" s="11">
        <v>8468</v>
      </c>
      <c r="C418" s="23" t="s">
        <v>638</v>
      </c>
      <c r="D418" s="12" t="s">
        <v>30</v>
      </c>
      <c r="E418" s="12" t="s">
        <v>812</v>
      </c>
    </row>
    <row r="419" spans="1:5" hidden="1">
      <c r="A419" s="11">
        <v>383</v>
      </c>
      <c r="B419" s="11">
        <v>5194</v>
      </c>
      <c r="C419" s="23" t="s">
        <v>640</v>
      </c>
      <c r="D419" s="12" t="s">
        <v>24</v>
      </c>
      <c r="E419" s="12" t="s">
        <v>605</v>
      </c>
    </row>
    <row r="420" spans="1:5" hidden="1">
      <c r="A420" s="11">
        <v>384</v>
      </c>
      <c r="B420" s="11">
        <v>3841</v>
      </c>
      <c r="C420" s="23" t="s">
        <v>638</v>
      </c>
      <c r="D420" s="12" t="s">
        <v>30</v>
      </c>
      <c r="E420" s="12" t="s">
        <v>173</v>
      </c>
    </row>
    <row r="421" spans="1:5" hidden="1">
      <c r="A421" s="11">
        <v>384</v>
      </c>
      <c r="B421" s="11">
        <v>3842</v>
      </c>
      <c r="C421" s="23" t="s">
        <v>638</v>
      </c>
      <c r="D421" s="12" t="s">
        <v>30</v>
      </c>
      <c r="E421" s="12" t="s">
        <v>172</v>
      </c>
    </row>
    <row r="422" spans="1:5" hidden="1">
      <c r="A422" s="11">
        <v>385</v>
      </c>
      <c r="B422" s="11">
        <v>1826</v>
      </c>
      <c r="C422" s="23" t="s">
        <v>643</v>
      </c>
      <c r="D422" s="12" t="s">
        <v>30</v>
      </c>
      <c r="E422" s="12" t="s">
        <v>145</v>
      </c>
    </row>
    <row r="423" spans="1:5" hidden="1">
      <c r="A423" s="11">
        <v>385</v>
      </c>
      <c r="B423" s="11">
        <v>3694</v>
      </c>
      <c r="C423" s="23" t="s">
        <v>638</v>
      </c>
      <c r="D423" s="12" t="s">
        <v>30</v>
      </c>
      <c r="E423" s="12" t="s">
        <v>813</v>
      </c>
    </row>
    <row r="424" spans="1:5" hidden="1">
      <c r="A424" s="11">
        <v>385</v>
      </c>
      <c r="B424" s="11">
        <v>6601</v>
      </c>
      <c r="C424" s="23" t="s">
        <v>650</v>
      </c>
      <c r="D424" s="12" t="s">
        <v>30</v>
      </c>
      <c r="E424" s="12" t="s">
        <v>444</v>
      </c>
    </row>
    <row r="425" spans="1:5" hidden="1">
      <c r="A425" s="11">
        <v>385</v>
      </c>
      <c r="B425" s="11">
        <v>7139</v>
      </c>
      <c r="C425" s="23" t="s">
        <v>643</v>
      </c>
      <c r="D425" s="12" t="s">
        <v>24</v>
      </c>
      <c r="E425" s="12" t="s">
        <v>560</v>
      </c>
    </row>
    <row r="426" spans="1:5" hidden="1">
      <c r="A426" s="11">
        <v>388</v>
      </c>
      <c r="B426" s="11">
        <v>5169</v>
      </c>
      <c r="C426" s="23" t="s">
        <v>640</v>
      </c>
      <c r="D426" s="12" t="s">
        <v>24</v>
      </c>
      <c r="E426" s="12" t="s">
        <v>186</v>
      </c>
    </row>
    <row r="427" spans="1:5" hidden="1">
      <c r="A427" s="11">
        <v>389</v>
      </c>
      <c r="B427" s="11">
        <v>3891</v>
      </c>
      <c r="C427" s="23" t="s">
        <v>638</v>
      </c>
      <c r="D427" s="12" t="s">
        <v>30</v>
      </c>
      <c r="E427" s="12" t="s">
        <v>814</v>
      </c>
    </row>
    <row r="428" spans="1:5" hidden="1">
      <c r="A428" s="11">
        <v>389</v>
      </c>
      <c r="B428" s="11">
        <v>4689</v>
      </c>
      <c r="C428" s="23" t="s">
        <v>643</v>
      </c>
      <c r="D428" s="12" t="s">
        <v>30</v>
      </c>
      <c r="E428" s="12" t="s">
        <v>231</v>
      </c>
    </row>
    <row r="429" spans="1:5" hidden="1">
      <c r="A429" s="11">
        <v>389</v>
      </c>
      <c r="B429" s="11">
        <v>4690</v>
      </c>
      <c r="C429" s="23" t="s">
        <v>643</v>
      </c>
      <c r="D429" s="12" t="s">
        <v>30</v>
      </c>
      <c r="E429" s="12" t="s">
        <v>100</v>
      </c>
    </row>
    <row r="430" spans="1:5" hidden="1">
      <c r="A430" s="11">
        <v>389</v>
      </c>
      <c r="B430" s="11">
        <v>7327</v>
      </c>
      <c r="C430" s="23" t="s">
        <v>643</v>
      </c>
      <c r="D430" s="12" t="s">
        <v>24</v>
      </c>
      <c r="E430" s="12" t="s">
        <v>815</v>
      </c>
    </row>
    <row r="431" spans="1:5" hidden="1">
      <c r="A431" s="11">
        <v>392</v>
      </c>
      <c r="B431" s="11">
        <v>4793</v>
      </c>
      <c r="C431" s="23" t="s">
        <v>643</v>
      </c>
      <c r="D431" s="12" t="s">
        <v>30</v>
      </c>
      <c r="E431" s="12" t="s">
        <v>460</v>
      </c>
    </row>
    <row r="432" spans="1:5" hidden="1">
      <c r="A432" s="11">
        <v>392</v>
      </c>
      <c r="B432" s="11">
        <v>4794</v>
      </c>
      <c r="C432" s="23" t="s">
        <v>643</v>
      </c>
      <c r="D432" s="12" t="s">
        <v>30</v>
      </c>
      <c r="E432" s="12" t="s">
        <v>270</v>
      </c>
    </row>
    <row r="433" spans="1:5" hidden="1">
      <c r="A433" s="11">
        <v>392</v>
      </c>
      <c r="B433" s="11">
        <v>4890</v>
      </c>
      <c r="C433" s="23" t="s">
        <v>643</v>
      </c>
      <c r="D433" s="12" t="s">
        <v>30</v>
      </c>
      <c r="E433" s="12" t="s">
        <v>134</v>
      </c>
    </row>
    <row r="434" spans="1:5" hidden="1">
      <c r="A434" s="11">
        <v>392</v>
      </c>
      <c r="B434" s="11">
        <v>5064</v>
      </c>
      <c r="C434" s="23" t="s">
        <v>640</v>
      </c>
      <c r="D434" s="12" t="s">
        <v>24</v>
      </c>
      <c r="E434" s="12" t="s">
        <v>212</v>
      </c>
    </row>
    <row r="435" spans="1:5" hidden="1">
      <c r="A435" s="11">
        <v>392</v>
      </c>
      <c r="B435" s="11">
        <v>5265</v>
      </c>
      <c r="C435" s="23" t="s">
        <v>643</v>
      </c>
      <c r="D435" s="12" t="s">
        <v>30</v>
      </c>
      <c r="E435" s="12" t="s">
        <v>232</v>
      </c>
    </row>
    <row r="436" spans="1:5" hidden="1">
      <c r="A436" s="11">
        <v>395</v>
      </c>
      <c r="B436" s="11">
        <v>1528</v>
      </c>
      <c r="C436" s="23" t="s">
        <v>640</v>
      </c>
      <c r="D436" s="12" t="s">
        <v>24</v>
      </c>
      <c r="E436" s="12" t="s">
        <v>211</v>
      </c>
    </row>
    <row r="437" spans="1:5" hidden="1">
      <c r="A437" s="11">
        <v>395</v>
      </c>
      <c r="B437" s="11">
        <v>1529</v>
      </c>
      <c r="C437" s="23" t="s">
        <v>640</v>
      </c>
      <c r="D437" s="12" t="s">
        <v>24</v>
      </c>
      <c r="E437" s="12" t="s">
        <v>318</v>
      </c>
    </row>
    <row r="438" spans="1:5" hidden="1">
      <c r="A438" s="11">
        <v>395</v>
      </c>
      <c r="B438" s="11">
        <v>1532</v>
      </c>
      <c r="C438" s="23" t="s">
        <v>643</v>
      </c>
      <c r="D438" s="12" t="s">
        <v>30</v>
      </c>
      <c r="E438" s="12" t="s">
        <v>816</v>
      </c>
    </row>
    <row r="439" spans="1:5" hidden="1">
      <c r="A439" s="11">
        <v>395</v>
      </c>
      <c r="B439" s="11">
        <v>1537</v>
      </c>
      <c r="C439" s="23" t="s">
        <v>643</v>
      </c>
      <c r="D439" s="12" t="s">
        <v>30</v>
      </c>
      <c r="E439" s="12" t="s">
        <v>817</v>
      </c>
    </row>
    <row r="440" spans="1:5" hidden="1">
      <c r="A440" s="11">
        <v>395</v>
      </c>
      <c r="B440" s="11">
        <v>1538</v>
      </c>
      <c r="C440" s="23" t="s">
        <v>643</v>
      </c>
      <c r="D440" s="12" t="s">
        <v>30</v>
      </c>
      <c r="E440" s="12" t="s">
        <v>818</v>
      </c>
    </row>
    <row r="441" spans="1:5" hidden="1">
      <c r="A441" s="11">
        <v>395</v>
      </c>
      <c r="B441" s="11">
        <v>1539</v>
      </c>
      <c r="C441" s="23" t="s">
        <v>643</v>
      </c>
      <c r="D441" s="12" t="s">
        <v>30</v>
      </c>
      <c r="E441" s="12" t="s">
        <v>819</v>
      </c>
    </row>
    <row r="442" spans="1:5" hidden="1">
      <c r="A442" s="11">
        <v>398</v>
      </c>
      <c r="B442" s="11">
        <v>3527</v>
      </c>
      <c r="C442" s="23" t="s">
        <v>638</v>
      </c>
      <c r="D442" s="12" t="s">
        <v>30</v>
      </c>
      <c r="E442" s="12" t="s">
        <v>820</v>
      </c>
    </row>
    <row r="443" spans="1:5" hidden="1">
      <c r="A443" s="11">
        <v>398</v>
      </c>
      <c r="B443" s="11">
        <v>9562</v>
      </c>
      <c r="C443" s="23" t="s">
        <v>643</v>
      </c>
      <c r="D443" s="12" t="s">
        <v>30</v>
      </c>
      <c r="E443" s="12" t="s">
        <v>401</v>
      </c>
    </row>
    <row r="444" spans="1:5" hidden="1">
      <c r="A444" s="11">
        <v>399</v>
      </c>
      <c r="B444" s="11">
        <v>8440</v>
      </c>
      <c r="C444" s="23" t="s">
        <v>638</v>
      </c>
      <c r="D444" s="12" t="s">
        <v>30</v>
      </c>
      <c r="E444" s="12" t="s">
        <v>821</v>
      </c>
    </row>
    <row r="445" spans="1:5" hidden="1">
      <c r="A445" s="11">
        <v>399</v>
      </c>
      <c r="B445" s="11">
        <v>8441</v>
      </c>
      <c r="C445" s="23" t="s">
        <v>638</v>
      </c>
      <c r="D445" s="12" t="s">
        <v>30</v>
      </c>
      <c r="E445" s="12" t="s">
        <v>822</v>
      </c>
    </row>
    <row r="446" spans="1:5" hidden="1">
      <c r="A446" s="11">
        <v>399</v>
      </c>
      <c r="B446" s="11">
        <v>8442</v>
      </c>
      <c r="C446" s="23" t="s">
        <v>638</v>
      </c>
      <c r="D446" s="12" t="s">
        <v>30</v>
      </c>
      <c r="E446" s="12" t="s">
        <v>823</v>
      </c>
    </row>
    <row r="447" spans="1:5" hidden="1">
      <c r="A447" s="11">
        <v>399</v>
      </c>
      <c r="B447" s="11">
        <v>8624</v>
      </c>
      <c r="C447" s="23" t="s">
        <v>638</v>
      </c>
      <c r="D447" s="12" t="s">
        <v>30</v>
      </c>
      <c r="E447" s="12" t="s">
        <v>824</v>
      </c>
    </row>
    <row r="448" spans="1:5" hidden="1">
      <c r="A448" s="11">
        <v>399</v>
      </c>
      <c r="B448" s="11">
        <v>8625</v>
      </c>
      <c r="C448" s="23" t="s">
        <v>638</v>
      </c>
      <c r="D448" s="12" t="s">
        <v>30</v>
      </c>
      <c r="E448" s="12" t="s">
        <v>381</v>
      </c>
    </row>
    <row r="449" spans="1:5" hidden="1">
      <c r="A449" s="11">
        <v>400</v>
      </c>
      <c r="B449" s="11">
        <v>2939</v>
      </c>
      <c r="C449" s="23" t="s">
        <v>638</v>
      </c>
      <c r="D449" s="12" t="s">
        <v>30</v>
      </c>
      <c r="E449" s="12" t="s">
        <v>825</v>
      </c>
    </row>
    <row r="450" spans="1:5" hidden="1">
      <c r="A450" s="11">
        <v>404</v>
      </c>
      <c r="B450" s="11">
        <v>4534</v>
      </c>
      <c r="C450" s="23" t="s">
        <v>650</v>
      </c>
      <c r="D450" s="12" t="s">
        <v>30</v>
      </c>
      <c r="E450" s="12" t="s">
        <v>826</v>
      </c>
    </row>
    <row r="451" spans="1:5" hidden="1">
      <c r="A451" s="11">
        <v>404</v>
      </c>
      <c r="B451" s="11">
        <v>5873</v>
      </c>
      <c r="C451" s="23" t="s">
        <v>650</v>
      </c>
      <c r="D451" s="12" t="s">
        <v>30</v>
      </c>
      <c r="E451" s="12" t="s">
        <v>827</v>
      </c>
    </row>
    <row r="452" spans="1:5" hidden="1">
      <c r="A452" s="11">
        <v>406</v>
      </c>
      <c r="B452" s="11">
        <v>4578</v>
      </c>
      <c r="C452" s="23" t="s">
        <v>643</v>
      </c>
      <c r="D452" s="12" t="s">
        <v>30</v>
      </c>
      <c r="E452" s="12" t="s">
        <v>828</v>
      </c>
    </row>
    <row r="453" spans="1:5" hidden="1">
      <c r="A453" s="11">
        <v>406</v>
      </c>
      <c r="B453" s="11">
        <v>4579</v>
      </c>
      <c r="C453" s="23" t="s">
        <v>643</v>
      </c>
      <c r="D453" s="12" t="s">
        <v>30</v>
      </c>
      <c r="E453" s="12" t="s">
        <v>430</v>
      </c>
    </row>
    <row r="454" spans="1:5" hidden="1">
      <c r="A454" s="11">
        <v>407</v>
      </c>
      <c r="B454" s="11">
        <v>4070</v>
      </c>
      <c r="C454" s="23" t="s">
        <v>650</v>
      </c>
      <c r="D454" s="12" t="s">
        <v>30</v>
      </c>
      <c r="E454" s="12" t="s">
        <v>435</v>
      </c>
    </row>
    <row r="455" spans="1:5" hidden="1">
      <c r="A455" s="11">
        <v>407</v>
      </c>
      <c r="B455" s="11">
        <v>6891</v>
      </c>
      <c r="C455" s="23" t="s">
        <v>650</v>
      </c>
      <c r="D455" s="12" t="s">
        <v>30</v>
      </c>
      <c r="E455" s="12" t="s">
        <v>569</v>
      </c>
    </row>
    <row r="456" spans="1:5" hidden="1">
      <c r="A456" s="11">
        <v>413</v>
      </c>
      <c r="B456" s="11">
        <v>499</v>
      </c>
      <c r="C456" s="23" t="s">
        <v>638</v>
      </c>
      <c r="D456" s="11" t="s">
        <v>30</v>
      </c>
      <c r="E456" s="11" t="s">
        <v>462</v>
      </c>
    </row>
    <row r="457" spans="1:5" hidden="1">
      <c r="A457" s="11">
        <v>413</v>
      </c>
      <c r="B457" s="11">
        <v>4133</v>
      </c>
      <c r="C457" s="23" t="s">
        <v>638</v>
      </c>
      <c r="D457" s="12" t="s">
        <v>30</v>
      </c>
      <c r="E457" s="12" t="s">
        <v>408</v>
      </c>
    </row>
    <row r="458" spans="1:5" hidden="1">
      <c r="A458" s="11">
        <v>413</v>
      </c>
      <c r="B458" s="11">
        <v>4636</v>
      </c>
      <c r="C458" s="23" t="s">
        <v>643</v>
      </c>
      <c r="D458" s="12" t="s">
        <v>30</v>
      </c>
      <c r="E458" s="12" t="s">
        <v>466</v>
      </c>
    </row>
    <row r="459" spans="1:5" hidden="1">
      <c r="A459" s="11">
        <v>415</v>
      </c>
      <c r="B459" s="11">
        <v>8616</v>
      </c>
      <c r="C459" s="23" t="s">
        <v>643</v>
      </c>
      <c r="D459" s="12" t="s">
        <v>30</v>
      </c>
      <c r="E459" s="12" t="s">
        <v>325</v>
      </c>
    </row>
    <row r="460" spans="1:5" hidden="1">
      <c r="A460" s="11">
        <v>415</v>
      </c>
      <c r="B460" s="11">
        <v>8617</v>
      </c>
      <c r="C460" s="23" t="s">
        <v>643</v>
      </c>
      <c r="D460" s="12" t="s">
        <v>30</v>
      </c>
      <c r="E460" s="12" t="s">
        <v>613</v>
      </c>
    </row>
    <row r="461" spans="1:5" hidden="1">
      <c r="A461" s="11">
        <v>415</v>
      </c>
      <c r="B461" s="11">
        <v>8666</v>
      </c>
      <c r="C461" s="23" t="s">
        <v>643</v>
      </c>
      <c r="D461" s="12" t="s">
        <v>30</v>
      </c>
      <c r="E461" s="12" t="s">
        <v>829</v>
      </c>
    </row>
    <row r="462" spans="1:5" hidden="1">
      <c r="A462" s="11">
        <v>419</v>
      </c>
      <c r="B462" s="11">
        <v>5077</v>
      </c>
      <c r="C462" s="23" t="s">
        <v>640</v>
      </c>
      <c r="D462" s="12" t="s">
        <v>24</v>
      </c>
      <c r="E462" s="12" t="s">
        <v>422</v>
      </c>
    </row>
    <row r="463" spans="1:5" hidden="1">
      <c r="A463" s="11">
        <v>419</v>
      </c>
      <c r="B463" s="11">
        <v>7980</v>
      </c>
      <c r="C463" s="23" t="s">
        <v>640</v>
      </c>
      <c r="D463" s="12" t="s">
        <v>24</v>
      </c>
      <c r="E463" s="12" t="s">
        <v>113</v>
      </c>
    </row>
    <row r="464" spans="1:5" hidden="1">
      <c r="A464" s="11">
        <v>420</v>
      </c>
      <c r="B464" s="11">
        <v>5173</v>
      </c>
      <c r="C464" s="23" t="s">
        <v>640</v>
      </c>
      <c r="D464" s="12" t="s">
        <v>24</v>
      </c>
      <c r="E464" s="12" t="s">
        <v>320</v>
      </c>
    </row>
    <row r="465" spans="1:5" hidden="1">
      <c r="A465" s="11">
        <v>422</v>
      </c>
      <c r="B465" s="11">
        <v>4221</v>
      </c>
      <c r="C465" s="23" t="s">
        <v>643</v>
      </c>
      <c r="D465" s="12" t="s">
        <v>30</v>
      </c>
      <c r="E465" s="12" t="s">
        <v>194</v>
      </c>
    </row>
    <row r="466" spans="1:5" hidden="1">
      <c r="A466" s="11">
        <v>422</v>
      </c>
      <c r="B466" s="11">
        <v>4555</v>
      </c>
      <c r="C466" s="23" t="s">
        <v>643</v>
      </c>
      <c r="D466" s="12" t="s">
        <v>30</v>
      </c>
      <c r="E466" s="12" t="s">
        <v>138</v>
      </c>
    </row>
    <row r="467" spans="1:5" hidden="1">
      <c r="A467" s="11">
        <v>426</v>
      </c>
      <c r="B467" s="11">
        <v>4260</v>
      </c>
      <c r="C467" s="23" t="s">
        <v>638</v>
      </c>
      <c r="D467" s="12" t="s">
        <v>30</v>
      </c>
      <c r="E467" s="12" t="s">
        <v>830</v>
      </c>
    </row>
    <row r="468" spans="1:5" hidden="1">
      <c r="A468" s="11">
        <v>426</v>
      </c>
      <c r="B468" s="11">
        <v>7819</v>
      </c>
      <c r="C468" s="23" t="s">
        <v>643</v>
      </c>
      <c r="D468" s="12" t="s">
        <v>30</v>
      </c>
      <c r="E468" s="12" t="s">
        <v>341</v>
      </c>
    </row>
    <row r="469" spans="1:5" hidden="1">
      <c r="A469" s="11">
        <v>427</v>
      </c>
      <c r="B469" s="11">
        <v>4271</v>
      </c>
      <c r="C469" s="23" t="s">
        <v>638</v>
      </c>
      <c r="D469" s="12" t="s">
        <v>30</v>
      </c>
      <c r="E469" s="12" t="s">
        <v>831</v>
      </c>
    </row>
    <row r="470" spans="1:5" hidden="1">
      <c r="A470" s="11">
        <v>430</v>
      </c>
      <c r="B470" s="11">
        <v>5104</v>
      </c>
      <c r="C470" s="23" t="s">
        <v>640</v>
      </c>
      <c r="D470" s="12" t="s">
        <v>24</v>
      </c>
      <c r="E470" s="12" t="s">
        <v>832</v>
      </c>
    </row>
    <row r="471" spans="1:5" hidden="1">
      <c r="A471" s="11">
        <v>432</v>
      </c>
      <c r="B471" s="11">
        <v>5195</v>
      </c>
      <c r="C471" s="23" t="s">
        <v>640</v>
      </c>
      <c r="D471" s="12" t="s">
        <v>24</v>
      </c>
      <c r="E471" s="12" t="s">
        <v>126</v>
      </c>
    </row>
    <row r="472" spans="1:5" hidden="1">
      <c r="A472" s="11">
        <v>438</v>
      </c>
      <c r="B472" s="11">
        <v>1565</v>
      </c>
      <c r="C472" s="23" t="s">
        <v>640</v>
      </c>
      <c r="D472" s="12" t="s">
        <v>24</v>
      </c>
      <c r="E472" s="12" t="s">
        <v>42</v>
      </c>
    </row>
    <row r="473" spans="1:5" hidden="1">
      <c r="A473" s="11">
        <v>438</v>
      </c>
      <c r="B473" s="11">
        <v>4380</v>
      </c>
      <c r="C473" s="23" t="s">
        <v>638</v>
      </c>
      <c r="D473" s="12" t="s">
        <v>30</v>
      </c>
      <c r="E473" s="12" t="s">
        <v>833</v>
      </c>
    </row>
    <row r="474" spans="1:5" hidden="1">
      <c r="A474" s="11">
        <v>439</v>
      </c>
      <c r="B474" s="11">
        <v>6309</v>
      </c>
      <c r="C474" s="23" t="s">
        <v>638</v>
      </c>
      <c r="D474" s="12" t="s">
        <v>30</v>
      </c>
      <c r="E474" s="12" t="s">
        <v>834</v>
      </c>
    </row>
    <row r="475" spans="1:5" hidden="1">
      <c r="A475" s="11">
        <v>439</v>
      </c>
      <c r="B475" s="11">
        <v>6702</v>
      </c>
      <c r="C475" s="23" t="s">
        <v>638</v>
      </c>
      <c r="D475" s="12" t="s">
        <v>30</v>
      </c>
      <c r="E475" s="12" t="s">
        <v>835</v>
      </c>
    </row>
    <row r="476" spans="1:5" hidden="1">
      <c r="A476" s="11">
        <v>442</v>
      </c>
      <c r="B476" s="11">
        <v>8883</v>
      </c>
      <c r="C476" s="23" t="s">
        <v>638</v>
      </c>
      <c r="D476" s="12" t="s">
        <v>30</v>
      </c>
      <c r="E476" s="12" t="s">
        <v>836</v>
      </c>
    </row>
    <row r="477" spans="1:5" hidden="1">
      <c r="A477" s="11">
        <v>442</v>
      </c>
      <c r="B477" s="11">
        <v>8884</v>
      </c>
      <c r="C477" s="23" t="s">
        <v>638</v>
      </c>
      <c r="D477" s="12" t="s">
        <v>30</v>
      </c>
      <c r="E477" s="12" t="s">
        <v>837</v>
      </c>
    </row>
    <row r="478" spans="1:5" hidden="1">
      <c r="A478" s="11">
        <v>442</v>
      </c>
      <c r="B478" s="11">
        <v>8885</v>
      </c>
      <c r="C478" s="23" t="s">
        <v>638</v>
      </c>
      <c r="D478" s="12" t="s">
        <v>30</v>
      </c>
      <c r="E478" s="12" t="s">
        <v>178</v>
      </c>
    </row>
    <row r="479" spans="1:5" hidden="1">
      <c r="A479" s="11">
        <v>442</v>
      </c>
      <c r="B479" s="11">
        <v>8886</v>
      </c>
      <c r="C479" s="23" t="s">
        <v>638</v>
      </c>
      <c r="D479" s="12" t="s">
        <v>30</v>
      </c>
      <c r="E479" s="12" t="s">
        <v>838</v>
      </c>
    </row>
    <row r="480" spans="1:5" hidden="1">
      <c r="A480" s="11">
        <v>442</v>
      </c>
      <c r="B480" s="11">
        <v>8887</v>
      </c>
      <c r="C480" s="23" t="s">
        <v>640</v>
      </c>
      <c r="D480" s="12" t="s">
        <v>24</v>
      </c>
      <c r="E480" s="12" t="s">
        <v>41</v>
      </c>
    </row>
    <row r="481" spans="1:5" hidden="1">
      <c r="A481" s="11">
        <v>442</v>
      </c>
      <c r="B481" s="11">
        <v>8888</v>
      </c>
      <c r="C481" s="23" t="s">
        <v>640</v>
      </c>
      <c r="D481" s="12" t="s">
        <v>24</v>
      </c>
      <c r="E481" s="12" t="s">
        <v>385</v>
      </c>
    </row>
    <row r="482" spans="1:5" hidden="1">
      <c r="A482" s="11">
        <v>444</v>
      </c>
      <c r="B482" s="11">
        <v>3240</v>
      </c>
      <c r="C482" s="23" t="s">
        <v>638</v>
      </c>
      <c r="D482" s="12" t="s">
        <v>30</v>
      </c>
      <c r="E482" s="12" t="s">
        <v>839</v>
      </c>
    </row>
    <row r="483" spans="1:5" hidden="1">
      <c r="A483" s="11">
        <v>446</v>
      </c>
      <c r="B483" s="11">
        <v>3425</v>
      </c>
      <c r="C483" s="23" t="s">
        <v>638</v>
      </c>
      <c r="D483" s="12" t="s">
        <v>30</v>
      </c>
      <c r="E483" s="12" t="s">
        <v>357</v>
      </c>
    </row>
    <row r="484" spans="1:5" hidden="1">
      <c r="A484" s="11">
        <v>446</v>
      </c>
      <c r="B484" s="11">
        <v>4461</v>
      </c>
      <c r="C484" s="23" t="s">
        <v>638</v>
      </c>
      <c r="D484" s="12" t="s">
        <v>30</v>
      </c>
      <c r="E484" s="12" t="s">
        <v>359</v>
      </c>
    </row>
    <row r="485" spans="1:5" hidden="1">
      <c r="A485" s="11">
        <v>451</v>
      </c>
      <c r="B485" s="11">
        <v>3799</v>
      </c>
      <c r="C485" s="23" t="s">
        <v>638</v>
      </c>
      <c r="D485" s="12" t="s">
        <v>30</v>
      </c>
      <c r="E485" s="12" t="s">
        <v>840</v>
      </c>
    </row>
    <row r="486" spans="1:5" hidden="1">
      <c r="A486" s="11">
        <v>451</v>
      </c>
      <c r="B486" s="11">
        <v>4967</v>
      </c>
      <c r="C486" s="23" t="s">
        <v>643</v>
      </c>
      <c r="D486" s="12" t="s">
        <v>30</v>
      </c>
      <c r="E486" s="12" t="s">
        <v>388</v>
      </c>
    </row>
    <row r="487" spans="1:5" hidden="1">
      <c r="A487" s="11">
        <v>451</v>
      </c>
      <c r="B487" s="11">
        <v>9434</v>
      </c>
      <c r="C487" s="23" t="s">
        <v>640</v>
      </c>
      <c r="D487" s="12" t="s">
        <v>24</v>
      </c>
      <c r="E487" s="12" t="s">
        <v>327</v>
      </c>
    </row>
    <row r="488" spans="1:5" hidden="1">
      <c r="A488" s="11">
        <v>453</v>
      </c>
      <c r="B488" s="11">
        <v>8012</v>
      </c>
      <c r="C488" s="23" t="s">
        <v>638</v>
      </c>
      <c r="D488" s="12" t="s">
        <v>30</v>
      </c>
      <c r="E488" s="12" t="s">
        <v>275</v>
      </c>
    </row>
    <row r="489" spans="1:5" hidden="1">
      <c r="A489" s="11">
        <v>453</v>
      </c>
      <c r="B489" s="11">
        <v>8013</v>
      </c>
      <c r="C489" s="23" t="s">
        <v>638</v>
      </c>
      <c r="D489" s="12" t="s">
        <v>30</v>
      </c>
      <c r="E489" s="12" t="s">
        <v>841</v>
      </c>
    </row>
    <row r="490" spans="1:5" hidden="1">
      <c r="A490" s="11">
        <v>453</v>
      </c>
      <c r="B490" s="11">
        <v>8014</v>
      </c>
      <c r="C490" s="23" t="s">
        <v>638</v>
      </c>
      <c r="D490" s="12" t="s">
        <v>30</v>
      </c>
      <c r="E490" s="12" t="s">
        <v>842</v>
      </c>
    </row>
    <row r="491" spans="1:5" hidden="1">
      <c r="A491" s="11">
        <v>453</v>
      </c>
      <c r="B491" s="11">
        <v>8017</v>
      </c>
      <c r="C491" s="23" t="s">
        <v>638</v>
      </c>
      <c r="D491" s="12" t="s">
        <v>30</v>
      </c>
      <c r="E491" s="12" t="s">
        <v>306</v>
      </c>
    </row>
    <row r="492" spans="1:5" hidden="1">
      <c r="A492" s="11">
        <v>453</v>
      </c>
      <c r="B492" s="11">
        <v>8018</v>
      </c>
      <c r="C492" s="23" t="s">
        <v>640</v>
      </c>
      <c r="D492" s="12" t="s">
        <v>24</v>
      </c>
      <c r="E492" s="12" t="s">
        <v>456</v>
      </c>
    </row>
    <row r="493" spans="1:5" hidden="1">
      <c r="A493" s="11">
        <v>453</v>
      </c>
      <c r="B493" s="11">
        <v>8019</v>
      </c>
      <c r="C493" s="23" t="s">
        <v>640</v>
      </c>
      <c r="D493" s="12" t="s">
        <v>24</v>
      </c>
      <c r="E493" s="12" t="s">
        <v>190</v>
      </c>
    </row>
    <row r="494" spans="1:5" hidden="1">
      <c r="A494" s="11">
        <v>454</v>
      </c>
      <c r="B494" s="11">
        <v>1884</v>
      </c>
      <c r="C494" s="23" t="s">
        <v>643</v>
      </c>
      <c r="D494" s="12" t="s">
        <v>30</v>
      </c>
      <c r="E494" s="12" t="s">
        <v>587</v>
      </c>
    </row>
    <row r="495" spans="1:5" hidden="1">
      <c r="A495" s="11">
        <v>454</v>
      </c>
      <c r="B495" s="11">
        <v>1885</v>
      </c>
      <c r="C495" s="23" t="s">
        <v>643</v>
      </c>
      <c r="D495" s="12" t="s">
        <v>30</v>
      </c>
      <c r="E495" s="12" t="s">
        <v>378</v>
      </c>
    </row>
    <row r="496" spans="1:5" hidden="1">
      <c r="A496" s="11">
        <v>454</v>
      </c>
      <c r="B496" s="11">
        <v>1886</v>
      </c>
      <c r="C496" s="23" t="s">
        <v>643</v>
      </c>
      <c r="D496" s="12" t="s">
        <v>30</v>
      </c>
      <c r="E496" s="12" t="s">
        <v>439</v>
      </c>
    </row>
    <row r="497" spans="1:5" hidden="1">
      <c r="A497" s="11">
        <v>454</v>
      </c>
      <c r="B497" s="11">
        <v>5231</v>
      </c>
      <c r="C497" s="23" t="s">
        <v>640</v>
      </c>
      <c r="D497" s="12" t="s">
        <v>24</v>
      </c>
      <c r="E497" s="12" t="s">
        <v>54</v>
      </c>
    </row>
    <row r="498" spans="1:5" hidden="1">
      <c r="A498" s="11">
        <v>455</v>
      </c>
      <c r="B498" s="11">
        <v>5206</v>
      </c>
      <c r="C498" s="23" t="s">
        <v>640</v>
      </c>
      <c r="D498" s="12" t="s">
        <v>24</v>
      </c>
      <c r="E498" s="12" t="s">
        <v>94</v>
      </c>
    </row>
    <row r="499" spans="1:5" hidden="1">
      <c r="A499" s="11">
        <v>455</v>
      </c>
      <c r="B499" s="11">
        <v>5974</v>
      </c>
      <c r="C499" s="23" t="s">
        <v>638</v>
      </c>
      <c r="D499" s="12" t="s">
        <v>30</v>
      </c>
      <c r="E499" s="12" t="s">
        <v>843</v>
      </c>
    </row>
    <row r="500" spans="1:5" hidden="1">
      <c r="A500" s="11">
        <v>457</v>
      </c>
      <c r="B500" s="11">
        <v>9000</v>
      </c>
      <c r="C500" s="23" t="s">
        <v>638</v>
      </c>
      <c r="D500" s="12" t="s">
        <v>30</v>
      </c>
      <c r="E500" s="12" t="s">
        <v>844</v>
      </c>
    </row>
    <row r="501" spans="1:5" hidden="1">
      <c r="A501" s="11">
        <v>457</v>
      </c>
      <c r="B501" s="11">
        <v>9001</v>
      </c>
      <c r="C501" s="23" t="s">
        <v>643</v>
      </c>
      <c r="D501" s="12" t="s">
        <v>30</v>
      </c>
      <c r="E501" s="12" t="s">
        <v>166</v>
      </c>
    </row>
    <row r="502" spans="1:5" hidden="1">
      <c r="A502" s="11">
        <v>457</v>
      </c>
      <c r="B502" s="11">
        <v>9004</v>
      </c>
      <c r="C502" s="23" t="s">
        <v>640</v>
      </c>
      <c r="D502" s="12" t="s">
        <v>24</v>
      </c>
      <c r="E502" s="12" t="s">
        <v>253</v>
      </c>
    </row>
    <row r="503" spans="1:5" hidden="1">
      <c r="A503" s="11">
        <v>459</v>
      </c>
      <c r="B503" s="11">
        <v>4591</v>
      </c>
      <c r="C503" s="23" t="s">
        <v>638</v>
      </c>
      <c r="D503" s="12" t="s">
        <v>30</v>
      </c>
      <c r="E503" s="12" t="s">
        <v>845</v>
      </c>
    </row>
    <row r="504" spans="1:5" hidden="1">
      <c r="A504" s="11">
        <v>466</v>
      </c>
      <c r="B504" s="11">
        <v>6596</v>
      </c>
      <c r="C504" s="23" t="s">
        <v>650</v>
      </c>
      <c r="D504" s="12" t="s">
        <v>30</v>
      </c>
      <c r="E504" s="12" t="s">
        <v>846</v>
      </c>
    </row>
    <row r="505" spans="1:5" hidden="1">
      <c r="A505" s="11">
        <v>466</v>
      </c>
      <c r="B505" s="11">
        <v>6777</v>
      </c>
      <c r="C505" s="23" t="s">
        <v>650</v>
      </c>
      <c r="D505" s="12" t="s">
        <v>30</v>
      </c>
      <c r="E505" s="12" t="s">
        <v>847</v>
      </c>
    </row>
    <row r="506" spans="1:5" hidden="1">
      <c r="A506" s="11">
        <v>467</v>
      </c>
      <c r="B506" s="11">
        <v>8911</v>
      </c>
      <c r="C506" s="23" t="s">
        <v>638</v>
      </c>
      <c r="D506" s="12" t="s">
        <v>30</v>
      </c>
      <c r="E506" s="12" t="s">
        <v>410</v>
      </c>
    </row>
    <row r="507" spans="1:5" hidden="1">
      <c r="A507" s="11">
        <v>467</v>
      </c>
      <c r="B507" s="11">
        <v>8912</v>
      </c>
      <c r="C507" s="23" t="s">
        <v>638</v>
      </c>
      <c r="D507" s="12" t="s">
        <v>30</v>
      </c>
      <c r="E507" s="12" t="s">
        <v>142</v>
      </c>
    </row>
    <row r="508" spans="1:5" hidden="1">
      <c r="A508" s="11">
        <v>467</v>
      </c>
      <c r="B508" s="11">
        <v>8915</v>
      </c>
      <c r="C508" s="23" t="s">
        <v>638</v>
      </c>
      <c r="D508" s="12" t="s">
        <v>30</v>
      </c>
      <c r="E508" s="12" t="s">
        <v>848</v>
      </c>
    </row>
    <row r="509" spans="1:5" hidden="1">
      <c r="A509" s="11">
        <v>467</v>
      </c>
      <c r="B509" s="11">
        <v>8916</v>
      </c>
      <c r="C509" s="23" t="s">
        <v>638</v>
      </c>
      <c r="D509" s="12" t="s">
        <v>30</v>
      </c>
      <c r="E509" s="12" t="s">
        <v>849</v>
      </c>
    </row>
    <row r="510" spans="1:5" hidden="1">
      <c r="A510" s="11">
        <v>467</v>
      </c>
      <c r="B510" s="11">
        <v>8917</v>
      </c>
      <c r="C510" s="23" t="s">
        <v>638</v>
      </c>
      <c r="D510" s="12" t="s">
        <v>30</v>
      </c>
      <c r="E510" s="12" t="s">
        <v>436</v>
      </c>
    </row>
    <row r="511" spans="1:5" hidden="1">
      <c r="A511" s="11">
        <v>467</v>
      </c>
      <c r="B511" s="11">
        <v>9051</v>
      </c>
      <c r="C511" s="23" t="s">
        <v>640</v>
      </c>
      <c r="D511" s="12" t="s">
        <v>24</v>
      </c>
      <c r="E511" s="12" t="s">
        <v>314</v>
      </c>
    </row>
    <row r="512" spans="1:5" hidden="1">
      <c r="A512" s="11">
        <v>467</v>
      </c>
      <c r="B512" s="11">
        <v>9052</v>
      </c>
      <c r="C512" s="23" t="s">
        <v>640</v>
      </c>
      <c r="D512" s="12" t="s">
        <v>24</v>
      </c>
      <c r="E512" s="12" t="s">
        <v>850</v>
      </c>
    </row>
    <row r="513" spans="1:5" hidden="1">
      <c r="A513" s="11">
        <v>473</v>
      </c>
      <c r="B513" s="11">
        <v>3441</v>
      </c>
      <c r="C513" s="23" t="s">
        <v>643</v>
      </c>
      <c r="D513" s="12" t="s">
        <v>30</v>
      </c>
      <c r="E513" s="12" t="s">
        <v>470</v>
      </c>
    </row>
    <row r="514" spans="1:5" hidden="1">
      <c r="A514" s="11">
        <v>473</v>
      </c>
      <c r="B514" s="11">
        <v>3442</v>
      </c>
      <c r="C514" s="23" t="s">
        <v>643</v>
      </c>
      <c r="D514" s="12" t="s">
        <v>30</v>
      </c>
      <c r="E514" s="12" t="s">
        <v>472</v>
      </c>
    </row>
    <row r="515" spans="1:5" hidden="1">
      <c r="A515" s="11">
        <v>476</v>
      </c>
      <c r="B515" s="11">
        <v>3657</v>
      </c>
      <c r="C515" s="23" t="s">
        <v>638</v>
      </c>
      <c r="D515" s="12" t="s">
        <v>30</v>
      </c>
      <c r="E515" s="12" t="s">
        <v>851</v>
      </c>
    </row>
    <row r="516" spans="1:5" hidden="1">
      <c r="A516" s="11">
        <v>476</v>
      </c>
      <c r="B516" s="11">
        <v>5573</v>
      </c>
      <c r="C516" s="23" t="s">
        <v>643</v>
      </c>
      <c r="D516" s="12" t="s">
        <v>30</v>
      </c>
      <c r="E516" s="12" t="s">
        <v>429</v>
      </c>
    </row>
    <row r="517" spans="1:5" hidden="1">
      <c r="A517" s="11">
        <v>476</v>
      </c>
      <c r="B517" s="11">
        <v>7759</v>
      </c>
      <c r="C517" s="23" t="s">
        <v>643</v>
      </c>
      <c r="D517" s="12" t="s">
        <v>24</v>
      </c>
      <c r="E517" s="12" t="s">
        <v>852</v>
      </c>
    </row>
    <row r="518" spans="1:5" hidden="1">
      <c r="A518" s="11">
        <v>476</v>
      </c>
      <c r="B518" s="11">
        <v>9844</v>
      </c>
      <c r="C518" s="23" t="s">
        <v>643</v>
      </c>
      <c r="D518" s="12" t="s">
        <v>30</v>
      </c>
      <c r="E518" s="12" t="s">
        <v>853</v>
      </c>
    </row>
    <row r="519" spans="1:5" hidden="1">
      <c r="A519" s="11">
        <v>477</v>
      </c>
      <c r="B519" s="11">
        <v>4773</v>
      </c>
      <c r="C519" s="23" t="s">
        <v>638</v>
      </c>
      <c r="D519" s="12" t="s">
        <v>30</v>
      </c>
      <c r="E519" s="12" t="s">
        <v>854</v>
      </c>
    </row>
    <row r="520" spans="1:5" hidden="1">
      <c r="A520" s="11">
        <v>477</v>
      </c>
      <c r="B520" s="11">
        <v>6251</v>
      </c>
      <c r="C520" s="23" t="s">
        <v>640</v>
      </c>
      <c r="D520" s="12" t="s">
        <v>24</v>
      </c>
      <c r="E520" s="12" t="s">
        <v>250</v>
      </c>
    </row>
    <row r="521" spans="1:5" hidden="1">
      <c r="A521" s="11">
        <v>481</v>
      </c>
      <c r="B521" s="11">
        <v>1005</v>
      </c>
      <c r="C521" s="23" t="s">
        <v>638</v>
      </c>
      <c r="D521" s="12" t="s">
        <v>30</v>
      </c>
      <c r="E521" s="12" t="s">
        <v>855</v>
      </c>
    </row>
    <row r="522" spans="1:5" hidden="1">
      <c r="A522" s="11">
        <v>481</v>
      </c>
      <c r="B522" s="11">
        <v>1006</v>
      </c>
      <c r="C522" s="23" t="s">
        <v>638</v>
      </c>
      <c r="D522" s="12" t="s">
        <v>30</v>
      </c>
      <c r="E522" s="12" t="s">
        <v>532</v>
      </c>
    </row>
    <row r="523" spans="1:5" hidden="1">
      <c r="A523" s="11">
        <v>481</v>
      </c>
      <c r="B523" s="11">
        <v>1007</v>
      </c>
      <c r="C523" s="23" t="s">
        <v>638</v>
      </c>
      <c r="D523" s="12" t="s">
        <v>30</v>
      </c>
      <c r="E523" s="12" t="s">
        <v>856</v>
      </c>
    </row>
    <row r="524" spans="1:5" hidden="1">
      <c r="A524" s="11">
        <v>481</v>
      </c>
      <c r="B524" s="11">
        <v>1008</v>
      </c>
      <c r="C524" s="23" t="s">
        <v>643</v>
      </c>
      <c r="D524" s="12" t="s">
        <v>30</v>
      </c>
      <c r="E524" s="12" t="s">
        <v>284</v>
      </c>
    </row>
    <row r="525" spans="1:5" hidden="1">
      <c r="A525" s="11">
        <v>481</v>
      </c>
      <c r="B525" s="11">
        <v>1009</v>
      </c>
      <c r="C525" s="23" t="s">
        <v>643</v>
      </c>
      <c r="D525" s="12" t="s">
        <v>30</v>
      </c>
      <c r="E525" s="12" t="s">
        <v>365</v>
      </c>
    </row>
    <row r="526" spans="1:5" hidden="1">
      <c r="A526" s="11">
        <v>481</v>
      </c>
      <c r="B526" s="11">
        <v>1010</v>
      </c>
      <c r="C526" s="23" t="s">
        <v>640</v>
      </c>
      <c r="D526" s="12" t="s">
        <v>24</v>
      </c>
      <c r="E526" s="12" t="s">
        <v>241</v>
      </c>
    </row>
    <row r="527" spans="1:5" hidden="1">
      <c r="A527" s="11">
        <v>481</v>
      </c>
      <c r="B527" s="11">
        <v>1011</v>
      </c>
      <c r="C527" s="23" t="s">
        <v>640</v>
      </c>
      <c r="D527" s="12" t="s">
        <v>24</v>
      </c>
      <c r="E527" s="12" t="s">
        <v>630</v>
      </c>
    </row>
    <row r="528" spans="1:5" hidden="1">
      <c r="A528" s="11">
        <v>482</v>
      </c>
      <c r="B528" s="11">
        <v>8620</v>
      </c>
      <c r="C528" s="23" t="s">
        <v>638</v>
      </c>
      <c r="D528" s="12" t="s">
        <v>30</v>
      </c>
      <c r="E528" s="12" t="s">
        <v>857</v>
      </c>
    </row>
    <row r="529" spans="1:5" hidden="1">
      <c r="A529" s="11">
        <v>484</v>
      </c>
      <c r="B529" s="11">
        <v>3268</v>
      </c>
      <c r="C529" s="23" t="s">
        <v>638</v>
      </c>
      <c r="D529" s="12" t="s">
        <v>30</v>
      </c>
      <c r="E529" s="12" t="s">
        <v>618</v>
      </c>
    </row>
    <row r="530" spans="1:5" hidden="1">
      <c r="A530" s="11">
        <v>484</v>
      </c>
      <c r="B530" s="11">
        <v>7125</v>
      </c>
      <c r="C530" s="23" t="s">
        <v>643</v>
      </c>
      <c r="D530" s="12" t="s">
        <v>24</v>
      </c>
      <c r="E530" s="12" t="s">
        <v>437</v>
      </c>
    </row>
    <row r="531" spans="1:5" hidden="1">
      <c r="A531" s="11">
        <v>484</v>
      </c>
      <c r="B531" s="11">
        <v>7226</v>
      </c>
      <c r="C531" s="23" t="s">
        <v>650</v>
      </c>
      <c r="D531" s="12" t="s">
        <v>30</v>
      </c>
      <c r="E531" s="12" t="s">
        <v>346</v>
      </c>
    </row>
    <row r="532" spans="1:5" hidden="1">
      <c r="A532" s="11">
        <v>484</v>
      </c>
      <c r="B532" s="11">
        <v>7234</v>
      </c>
      <c r="C532" s="23" t="s">
        <v>650</v>
      </c>
      <c r="D532" s="12" t="s">
        <v>30</v>
      </c>
      <c r="E532" s="12" t="s">
        <v>606</v>
      </c>
    </row>
    <row r="533" spans="1:5" hidden="1">
      <c r="A533" s="11">
        <v>486</v>
      </c>
      <c r="B533" s="11">
        <v>5081</v>
      </c>
      <c r="C533" s="23" t="s">
        <v>640</v>
      </c>
      <c r="D533" s="12" t="s">
        <v>24</v>
      </c>
      <c r="E533" s="12" t="s">
        <v>858</v>
      </c>
    </row>
    <row r="534" spans="1:5" hidden="1">
      <c r="A534" s="11">
        <v>486</v>
      </c>
      <c r="B534" s="11">
        <v>5693</v>
      </c>
      <c r="C534" s="23" t="s">
        <v>650</v>
      </c>
      <c r="D534" s="12" t="s">
        <v>30</v>
      </c>
      <c r="E534" s="12" t="s">
        <v>123</v>
      </c>
    </row>
    <row r="535" spans="1:5" hidden="1">
      <c r="A535" s="11">
        <v>486</v>
      </c>
      <c r="B535" s="11">
        <v>5745</v>
      </c>
      <c r="C535" s="23" t="s">
        <v>638</v>
      </c>
      <c r="D535" s="12" t="s">
        <v>30</v>
      </c>
      <c r="E535" s="12" t="s">
        <v>859</v>
      </c>
    </row>
    <row r="536" spans="1:5" hidden="1">
      <c r="A536" s="11">
        <v>486</v>
      </c>
      <c r="B536" s="11">
        <v>5748</v>
      </c>
      <c r="C536" s="23" t="s">
        <v>638</v>
      </c>
      <c r="D536" s="12" t="s">
        <v>30</v>
      </c>
      <c r="E536" s="12" t="s">
        <v>860</v>
      </c>
    </row>
    <row r="537" spans="1:5" hidden="1">
      <c r="A537" s="11">
        <v>492</v>
      </c>
      <c r="B537" s="11">
        <v>6238</v>
      </c>
      <c r="C537" s="23" t="s">
        <v>643</v>
      </c>
      <c r="D537" s="12" t="s">
        <v>30</v>
      </c>
      <c r="E537" s="12" t="s">
        <v>73</v>
      </c>
    </row>
    <row r="538" spans="1:5" hidden="1">
      <c r="A538" s="11">
        <v>495</v>
      </c>
      <c r="B538" s="11">
        <v>8482</v>
      </c>
      <c r="C538" s="23" t="s">
        <v>640</v>
      </c>
      <c r="D538" s="12" t="s">
        <v>24</v>
      </c>
      <c r="E538" s="12" t="s">
        <v>387</v>
      </c>
    </row>
    <row r="539" spans="1:5" hidden="1">
      <c r="A539" s="11">
        <v>498</v>
      </c>
      <c r="B539" s="11">
        <v>8456</v>
      </c>
      <c r="C539" s="23" t="s">
        <v>638</v>
      </c>
      <c r="D539" s="12" t="s">
        <v>30</v>
      </c>
      <c r="E539" s="12" t="s">
        <v>861</v>
      </c>
    </row>
    <row r="540" spans="1:5" hidden="1">
      <c r="A540" s="11">
        <v>499</v>
      </c>
      <c r="B540" s="11">
        <v>172</v>
      </c>
      <c r="C540" s="23" t="e">
        <v>#N/A</v>
      </c>
      <c r="D540" s="12" t="s">
        <v>24</v>
      </c>
      <c r="E540" s="12" t="s">
        <v>862</v>
      </c>
    </row>
    <row r="541" spans="1:5" hidden="1">
      <c r="A541" s="11">
        <v>499</v>
      </c>
      <c r="B541" s="11">
        <v>9802</v>
      </c>
      <c r="C541" s="23" t="s">
        <v>643</v>
      </c>
      <c r="D541" s="12" t="s">
        <v>30</v>
      </c>
      <c r="E541" s="12" t="s">
        <v>863</v>
      </c>
    </row>
    <row r="542" spans="1:5" hidden="1">
      <c r="A542" s="11">
        <v>499</v>
      </c>
      <c r="B542" s="11">
        <v>9803</v>
      </c>
      <c r="C542" s="23" t="s">
        <v>638</v>
      </c>
      <c r="D542" s="12" t="s">
        <v>30</v>
      </c>
      <c r="E542" s="12" t="s">
        <v>864</v>
      </c>
    </row>
    <row r="543" spans="1:5" hidden="1">
      <c r="A543" s="11">
        <v>499</v>
      </c>
      <c r="B543" s="11">
        <v>9804</v>
      </c>
      <c r="C543" s="23" t="s">
        <v>638</v>
      </c>
      <c r="D543" s="12" t="s">
        <v>30</v>
      </c>
      <c r="E543" s="12" t="s">
        <v>555</v>
      </c>
    </row>
    <row r="544" spans="1:5" hidden="1">
      <c r="A544" s="11">
        <v>499</v>
      </c>
      <c r="B544" s="11">
        <v>9805</v>
      </c>
      <c r="C544" s="23" t="s">
        <v>638</v>
      </c>
      <c r="D544" s="12" t="s">
        <v>30</v>
      </c>
      <c r="E544" s="12" t="s">
        <v>865</v>
      </c>
    </row>
    <row r="545" spans="1:5" hidden="1">
      <c r="A545" s="11">
        <v>499</v>
      </c>
      <c r="B545" s="11">
        <v>9806</v>
      </c>
      <c r="C545" s="23" t="s">
        <v>643</v>
      </c>
      <c r="D545" s="12" t="s">
        <v>30</v>
      </c>
      <c r="E545" s="12" t="s">
        <v>447</v>
      </c>
    </row>
    <row r="546" spans="1:5" hidden="1">
      <c r="A546" s="11">
        <v>499</v>
      </c>
      <c r="B546" s="11">
        <v>9807</v>
      </c>
      <c r="C546" s="23" t="s">
        <v>643</v>
      </c>
      <c r="D546" s="12" t="s">
        <v>30</v>
      </c>
      <c r="E546" s="12" t="s">
        <v>409</v>
      </c>
    </row>
    <row r="547" spans="1:5" hidden="1">
      <c r="A547" s="11">
        <v>499</v>
      </c>
      <c r="B547" s="11">
        <v>9808</v>
      </c>
      <c r="C547" s="23" t="s">
        <v>643</v>
      </c>
      <c r="D547" s="12" t="s">
        <v>30</v>
      </c>
      <c r="E547" s="12" t="s">
        <v>65</v>
      </c>
    </row>
    <row r="548" spans="1:5" hidden="1">
      <c r="A548" s="11">
        <v>499</v>
      </c>
      <c r="B548" s="11">
        <v>9809</v>
      </c>
      <c r="C548" s="23" t="s">
        <v>643</v>
      </c>
      <c r="D548" s="12" t="s">
        <v>30</v>
      </c>
      <c r="E548" s="12" t="s">
        <v>866</v>
      </c>
    </row>
    <row r="549" spans="1:5" hidden="1">
      <c r="A549" s="11">
        <v>499</v>
      </c>
      <c r="B549" s="11">
        <v>9810</v>
      </c>
      <c r="C549" s="23" t="s">
        <v>640</v>
      </c>
      <c r="D549" s="12" t="s">
        <v>24</v>
      </c>
      <c r="E549" s="12" t="s">
        <v>621</v>
      </c>
    </row>
    <row r="550" spans="1:5" hidden="1">
      <c r="A550" s="11">
        <v>499</v>
      </c>
      <c r="B550" s="11">
        <v>9811</v>
      </c>
      <c r="C550" s="23" t="s">
        <v>640</v>
      </c>
      <c r="D550" s="12" t="s">
        <v>24</v>
      </c>
      <c r="E550" s="12" t="s">
        <v>334</v>
      </c>
    </row>
    <row r="551" spans="1:5" hidden="1">
      <c r="A551" s="11">
        <v>502</v>
      </c>
      <c r="B551" s="11">
        <v>4247</v>
      </c>
      <c r="C551" s="23" t="s">
        <v>638</v>
      </c>
      <c r="D551" s="12" t="s">
        <v>30</v>
      </c>
      <c r="E551" s="12" t="s">
        <v>867</v>
      </c>
    </row>
    <row r="552" spans="1:5" hidden="1">
      <c r="A552" s="11">
        <v>502</v>
      </c>
      <c r="B552" s="11">
        <v>4626</v>
      </c>
      <c r="C552" s="23" t="s">
        <v>643</v>
      </c>
      <c r="D552" s="12" t="s">
        <v>30</v>
      </c>
      <c r="E552" s="12" t="s">
        <v>68</v>
      </c>
    </row>
    <row r="553" spans="1:5" hidden="1">
      <c r="A553" s="11">
        <v>503</v>
      </c>
      <c r="B553" s="11">
        <v>5031</v>
      </c>
      <c r="C553" s="23" t="s">
        <v>638</v>
      </c>
      <c r="D553" s="12" t="s">
        <v>30</v>
      </c>
      <c r="E553" s="12" t="s">
        <v>192</v>
      </c>
    </row>
    <row r="554" spans="1:5" hidden="1">
      <c r="A554" s="11">
        <v>503</v>
      </c>
      <c r="B554" s="11">
        <v>5032</v>
      </c>
      <c r="C554" s="23" t="s">
        <v>643</v>
      </c>
      <c r="D554" s="12" t="s">
        <v>30</v>
      </c>
      <c r="E554" s="12" t="s">
        <v>154</v>
      </c>
    </row>
    <row r="555" spans="1:5" hidden="1">
      <c r="A555" s="11">
        <v>506</v>
      </c>
      <c r="B555" s="11">
        <v>7316</v>
      </c>
      <c r="C555" s="23" t="s">
        <v>643</v>
      </c>
      <c r="D555" s="12" t="s">
        <v>24</v>
      </c>
      <c r="E555" s="12" t="s">
        <v>566</v>
      </c>
    </row>
    <row r="556" spans="1:5" hidden="1">
      <c r="A556" s="11">
        <v>507</v>
      </c>
      <c r="B556" s="11">
        <v>1727</v>
      </c>
      <c r="C556" s="23" t="s">
        <v>643</v>
      </c>
      <c r="D556" s="12" t="s">
        <v>30</v>
      </c>
      <c r="E556" s="12" t="s">
        <v>233</v>
      </c>
    </row>
    <row r="557" spans="1:5" hidden="1">
      <c r="A557" s="11">
        <v>509</v>
      </c>
      <c r="B557" s="11">
        <v>8778</v>
      </c>
      <c r="C557" s="23" t="s">
        <v>638</v>
      </c>
      <c r="D557" s="12" t="s">
        <v>30</v>
      </c>
      <c r="E557" s="12" t="s">
        <v>868</v>
      </c>
    </row>
    <row r="558" spans="1:5" hidden="1">
      <c r="A558" s="11">
        <v>509</v>
      </c>
      <c r="B558" s="11">
        <v>8779</v>
      </c>
      <c r="C558" s="23" t="s">
        <v>638</v>
      </c>
      <c r="D558" s="12" t="s">
        <v>30</v>
      </c>
      <c r="E558" s="12" t="s">
        <v>869</v>
      </c>
    </row>
    <row r="559" spans="1:5" hidden="1">
      <c r="A559" s="11">
        <v>509</v>
      </c>
      <c r="B559" s="11">
        <v>8834</v>
      </c>
      <c r="C559" s="23" t="s">
        <v>638</v>
      </c>
      <c r="D559" s="12" t="s">
        <v>30</v>
      </c>
      <c r="E559" s="12" t="s">
        <v>588</v>
      </c>
    </row>
    <row r="560" spans="1:5" hidden="1">
      <c r="A560" s="11">
        <v>509</v>
      </c>
      <c r="B560" s="11">
        <v>8835</v>
      </c>
      <c r="C560" s="23" t="s">
        <v>640</v>
      </c>
      <c r="D560" s="12" t="s">
        <v>24</v>
      </c>
      <c r="E560" s="12" t="s">
        <v>165</v>
      </c>
    </row>
    <row r="561" spans="1:5" hidden="1">
      <c r="A561" s="11">
        <v>511</v>
      </c>
      <c r="B561" s="11">
        <v>5122</v>
      </c>
      <c r="C561" s="23" t="s">
        <v>640</v>
      </c>
      <c r="D561" s="12" t="s">
        <v>24</v>
      </c>
      <c r="E561" s="12" t="s">
        <v>125</v>
      </c>
    </row>
    <row r="562" spans="1:5" hidden="1">
      <c r="A562" s="11">
        <v>512</v>
      </c>
      <c r="B562" s="11">
        <v>4167</v>
      </c>
      <c r="C562" s="23" t="s">
        <v>638</v>
      </c>
      <c r="D562" s="12" t="s">
        <v>30</v>
      </c>
      <c r="E562" s="12" t="s">
        <v>870</v>
      </c>
    </row>
    <row r="563" spans="1:5" hidden="1">
      <c r="A563" s="11">
        <v>512</v>
      </c>
      <c r="B563" s="11">
        <v>4168</v>
      </c>
      <c r="C563" s="23" t="s">
        <v>638</v>
      </c>
      <c r="D563" s="12" t="s">
        <v>30</v>
      </c>
      <c r="E563" s="12" t="s">
        <v>118</v>
      </c>
    </row>
    <row r="564" spans="1:5" hidden="1">
      <c r="A564" s="11">
        <v>512</v>
      </c>
      <c r="B564" s="11">
        <v>4718</v>
      </c>
      <c r="C564" s="23" t="s">
        <v>643</v>
      </c>
      <c r="D564" s="12" t="s">
        <v>30</v>
      </c>
      <c r="E564" s="12" t="s">
        <v>234</v>
      </c>
    </row>
    <row r="565" spans="1:5" hidden="1">
      <c r="A565" s="11">
        <v>513</v>
      </c>
      <c r="B565" s="11">
        <v>4949</v>
      </c>
      <c r="C565" s="23" t="s">
        <v>638</v>
      </c>
      <c r="D565" s="12" t="s">
        <v>30</v>
      </c>
      <c r="E565" s="12" t="s">
        <v>871</v>
      </c>
    </row>
    <row r="566" spans="1:5" hidden="1">
      <c r="A566" s="11">
        <v>513</v>
      </c>
      <c r="B566" s="11">
        <v>5130</v>
      </c>
      <c r="C566" s="23" t="s">
        <v>638</v>
      </c>
      <c r="D566" s="12" t="s">
        <v>30</v>
      </c>
      <c r="E566" s="12" t="s">
        <v>872</v>
      </c>
    </row>
    <row r="567" spans="1:5" hidden="1">
      <c r="A567" s="11">
        <v>516</v>
      </c>
      <c r="B567" s="11">
        <v>9726</v>
      </c>
      <c r="C567" s="23" t="s">
        <v>638</v>
      </c>
      <c r="D567" s="12" t="s">
        <v>30</v>
      </c>
      <c r="E567" s="12" t="s">
        <v>567</v>
      </c>
    </row>
    <row r="568" spans="1:5" hidden="1">
      <c r="A568" s="11">
        <v>516</v>
      </c>
      <c r="B568" s="11">
        <v>9727</v>
      </c>
      <c r="C568" s="23" t="s">
        <v>638</v>
      </c>
      <c r="D568" s="12" t="s">
        <v>30</v>
      </c>
      <c r="E568" s="12" t="s">
        <v>616</v>
      </c>
    </row>
    <row r="569" spans="1:5" hidden="1">
      <c r="A569" s="11">
        <v>516</v>
      </c>
      <c r="B569" s="11">
        <v>9728</v>
      </c>
      <c r="C569" s="23" t="s">
        <v>643</v>
      </c>
      <c r="D569" s="12" t="s">
        <v>30</v>
      </c>
      <c r="E569" s="12" t="s">
        <v>119</v>
      </c>
    </row>
    <row r="570" spans="1:5" hidden="1">
      <c r="A570" s="11">
        <v>516</v>
      </c>
      <c r="B570" s="11">
        <v>9729</v>
      </c>
      <c r="C570" s="23" t="s">
        <v>640</v>
      </c>
      <c r="D570" s="12" t="s">
        <v>24</v>
      </c>
      <c r="E570" s="12" t="s">
        <v>427</v>
      </c>
    </row>
    <row r="571" spans="1:5" hidden="1">
      <c r="A571" s="11">
        <v>517</v>
      </c>
      <c r="B571" s="11">
        <v>3873</v>
      </c>
      <c r="C571" s="23" t="s">
        <v>638</v>
      </c>
      <c r="D571" s="12" t="s">
        <v>30</v>
      </c>
      <c r="E571" s="12" t="s">
        <v>873</v>
      </c>
    </row>
    <row r="572" spans="1:5" hidden="1">
      <c r="A572" s="11">
        <v>517</v>
      </c>
      <c r="B572" s="11">
        <v>5053</v>
      </c>
      <c r="C572" s="23" t="s">
        <v>640</v>
      </c>
      <c r="D572" s="12" t="s">
        <v>24</v>
      </c>
      <c r="E572" s="12" t="s">
        <v>424</v>
      </c>
    </row>
    <row r="573" spans="1:5" hidden="1">
      <c r="A573" s="11">
        <v>520</v>
      </c>
      <c r="B573" s="11">
        <v>4470</v>
      </c>
      <c r="C573" s="23" t="s">
        <v>643</v>
      </c>
      <c r="D573" s="12" t="s">
        <v>30</v>
      </c>
      <c r="E573" s="12" t="s">
        <v>115</v>
      </c>
    </row>
    <row r="574" spans="1:5" hidden="1">
      <c r="A574" s="11">
        <v>520</v>
      </c>
      <c r="B574" s="11">
        <v>4471</v>
      </c>
      <c r="C574" s="23" t="s">
        <v>643</v>
      </c>
      <c r="D574" s="12" t="s">
        <v>30</v>
      </c>
      <c r="E574" s="12" t="s">
        <v>96</v>
      </c>
    </row>
    <row r="575" spans="1:5" hidden="1">
      <c r="A575" s="11">
        <v>520</v>
      </c>
      <c r="B575" s="11">
        <v>8281</v>
      </c>
      <c r="C575" s="23" t="s">
        <v>643</v>
      </c>
      <c r="D575" s="12" t="s">
        <v>30</v>
      </c>
      <c r="E575" s="12" t="s">
        <v>622</v>
      </c>
    </row>
    <row r="576" spans="1:5" hidden="1">
      <c r="A576" s="11">
        <v>522</v>
      </c>
      <c r="B576" s="11">
        <v>4590</v>
      </c>
      <c r="C576" s="23" t="s">
        <v>643</v>
      </c>
      <c r="D576" s="12" t="s">
        <v>30</v>
      </c>
      <c r="E576" s="12" t="s">
        <v>348</v>
      </c>
    </row>
    <row r="577" spans="1:5" hidden="1">
      <c r="A577" s="11">
        <v>522</v>
      </c>
      <c r="B577" s="11">
        <v>4592</v>
      </c>
      <c r="C577" s="23" t="s">
        <v>643</v>
      </c>
      <c r="D577" s="12" t="s">
        <v>30</v>
      </c>
      <c r="E577" s="12" t="s">
        <v>350</v>
      </c>
    </row>
    <row r="578" spans="1:5" hidden="1">
      <c r="A578" s="11">
        <v>523</v>
      </c>
      <c r="B578" s="11">
        <v>3975</v>
      </c>
      <c r="C578" s="23" t="s">
        <v>638</v>
      </c>
      <c r="D578" s="12" t="s">
        <v>30</v>
      </c>
      <c r="E578" s="12" t="s">
        <v>601</v>
      </c>
    </row>
    <row r="579" spans="1:5" hidden="1">
      <c r="A579" s="11">
        <v>523</v>
      </c>
      <c r="B579" s="11">
        <v>3997</v>
      </c>
      <c r="C579" s="23" t="s">
        <v>638</v>
      </c>
      <c r="D579" s="12" t="s">
        <v>30</v>
      </c>
      <c r="E579" s="12" t="s">
        <v>874</v>
      </c>
    </row>
    <row r="580" spans="1:5" hidden="1">
      <c r="A580" s="11">
        <v>523</v>
      </c>
      <c r="B580" s="11">
        <v>5082</v>
      </c>
      <c r="C580" s="23" t="s">
        <v>640</v>
      </c>
      <c r="D580" s="12" t="s">
        <v>24</v>
      </c>
      <c r="E580" s="12" t="s">
        <v>49</v>
      </c>
    </row>
    <row r="581" spans="1:5" hidden="1">
      <c r="A581" s="11">
        <v>524</v>
      </c>
      <c r="B581" s="11">
        <v>6336</v>
      </c>
      <c r="C581" s="23" t="s">
        <v>640</v>
      </c>
      <c r="D581" s="12" t="s">
        <v>24</v>
      </c>
      <c r="E581" s="12" t="s">
        <v>559</v>
      </c>
    </row>
    <row r="582" spans="1:5" hidden="1">
      <c r="A582" s="11">
        <v>531</v>
      </c>
      <c r="B582" s="11">
        <v>3943</v>
      </c>
      <c r="C582" s="23" t="s">
        <v>638</v>
      </c>
      <c r="D582" s="12" t="s">
        <v>30</v>
      </c>
      <c r="E582" s="12" t="s">
        <v>875</v>
      </c>
    </row>
    <row r="583" spans="1:5" hidden="1">
      <c r="A583" s="11">
        <v>531</v>
      </c>
      <c r="B583" s="11">
        <v>3944</v>
      </c>
      <c r="C583" s="23" t="s">
        <v>638</v>
      </c>
      <c r="D583" s="12" t="s">
        <v>30</v>
      </c>
      <c r="E583" s="12" t="s">
        <v>876</v>
      </c>
    </row>
    <row r="584" spans="1:5" hidden="1">
      <c r="A584" s="11">
        <v>536</v>
      </c>
      <c r="B584" s="11">
        <v>4795</v>
      </c>
      <c r="C584" s="23" t="s">
        <v>643</v>
      </c>
      <c r="D584" s="12" t="s">
        <v>30</v>
      </c>
      <c r="E584" s="12" t="s">
        <v>37</v>
      </c>
    </row>
    <row r="585" spans="1:5" hidden="1">
      <c r="A585" s="11">
        <v>536</v>
      </c>
      <c r="B585" s="11">
        <v>4796</v>
      </c>
      <c r="C585" s="23" t="s">
        <v>643</v>
      </c>
      <c r="D585" s="12" t="s">
        <v>30</v>
      </c>
      <c r="E585" s="12" t="s">
        <v>273</v>
      </c>
    </row>
    <row r="586" spans="1:5" hidden="1">
      <c r="A586" s="11">
        <v>536</v>
      </c>
      <c r="B586" s="11">
        <v>5362</v>
      </c>
      <c r="C586" s="23" t="s">
        <v>643</v>
      </c>
      <c r="D586" s="12" t="s">
        <v>30</v>
      </c>
      <c r="E586" s="12" t="s">
        <v>508</v>
      </c>
    </row>
    <row r="587" spans="1:5" hidden="1">
      <c r="A587" s="11">
        <v>536</v>
      </c>
      <c r="B587" s="11">
        <v>6913</v>
      </c>
      <c r="C587" s="23" t="s">
        <v>643</v>
      </c>
      <c r="D587" s="12" t="s">
        <v>30</v>
      </c>
      <c r="E587" s="12" t="s">
        <v>525</v>
      </c>
    </row>
    <row r="588" spans="1:5" hidden="1">
      <c r="A588" s="11">
        <v>536</v>
      </c>
      <c r="B588" s="11">
        <v>6914</v>
      </c>
      <c r="C588" s="23" t="s">
        <v>643</v>
      </c>
      <c r="D588" s="12" t="s">
        <v>30</v>
      </c>
      <c r="E588" s="12" t="s">
        <v>483</v>
      </c>
    </row>
    <row r="589" spans="1:5" hidden="1">
      <c r="A589" s="11">
        <v>536</v>
      </c>
      <c r="B589" s="11">
        <v>6915</v>
      </c>
      <c r="C589" s="23" t="s">
        <v>643</v>
      </c>
      <c r="D589" s="12" t="s">
        <v>30</v>
      </c>
      <c r="E589" s="12" t="s">
        <v>600</v>
      </c>
    </row>
    <row r="590" spans="1:5" hidden="1">
      <c r="A590" s="11">
        <v>536</v>
      </c>
      <c r="B590" s="11">
        <v>6927</v>
      </c>
      <c r="C590" s="23" t="s">
        <v>643</v>
      </c>
      <c r="D590" s="12" t="s">
        <v>24</v>
      </c>
      <c r="E590" s="12" t="s">
        <v>258</v>
      </c>
    </row>
    <row r="591" spans="1:5" hidden="1">
      <c r="A591" s="11">
        <v>536</v>
      </c>
      <c r="B591" s="11">
        <v>8988</v>
      </c>
      <c r="C591" s="23" t="s">
        <v>643</v>
      </c>
      <c r="D591" s="12" t="s">
        <v>24</v>
      </c>
      <c r="E591" s="12" t="s">
        <v>633</v>
      </c>
    </row>
    <row r="592" spans="1:5" hidden="1">
      <c r="A592" s="11">
        <v>536</v>
      </c>
      <c r="B592" s="11">
        <v>8993</v>
      </c>
      <c r="C592" s="23" t="s">
        <v>643</v>
      </c>
      <c r="D592" s="12" t="s">
        <v>30</v>
      </c>
      <c r="E592" s="12" t="s">
        <v>405</v>
      </c>
    </row>
    <row r="593" spans="1:5" hidden="1">
      <c r="A593" s="11">
        <v>537</v>
      </c>
      <c r="B593" s="11">
        <v>5370</v>
      </c>
      <c r="C593" s="23" t="s">
        <v>638</v>
      </c>
      <c r="D593" s="12" t="s">
        <v>30</v>
      </c>
      <c r="E593" s="12" t="s">
        <v>877</v>
      </c>
    </row>
    <row r="594" spans="1:5" hidden="1">
      <c r="A594" s="11">
        <v>541</v>
      </c>
      <c r="B594" s="11">
        <v>5185</v>
      </c>
      <c r="C594" s="23" t="s">
        <v>640</v>
      </c>
      <c r="D594" s="12" t="s">
        <v>24</v>
      </c>
      <c r="E594" s="12" t="s">
        <v>246</v>
      </c>
    </row>
    <row r="595" spans="1:5" hidden="1">
      <c r="A595" s="11">
        <v>541</v>
      </c>
      <c r="B595" s="11">
        <v>8650</v>
      </c>
      <c r="C595" s="23" t="s">
        <v>638</v>
      </c>
      <c r="D595" s="12" t="s">
        <v>30</v>
      </c>
      <c r="E595" s="12" t="s">
        <v>518</v>
      </c>
    </row>
    <row r="596" spans="1:5" hidden="1">
      <c r="A596" s="11">
        <v>541</v>
      </c>
      <c r="B596" s="11">
        <v>8651</v>
      </c>
      <c r="C596" s="23" t="s">
        <v>638</v>
      </c>
      <c r="D596" s="12" t="s">
        <v>30</v>
      </c>
      <c r="E596" s="12" t="s">
        <v>878</v>
      </c>
    </row>
    <row r="597" spans="1:5" hidden="1">
      <c r="A597" s="11">
        <v>541</v>
      </c>
      <c r="B597" s="11">
        <v>8652</v>
      </c>
      <c r="C597" s="23" t="s">
        <v>638</v>
      </c>
      <c r="D597" s="12" t="s">
        <v>30</v>
      </c>
      <c r="E597" s="12" t="s">
        <v>626</v>
      </c>
    </row>
    <row r="598" spans="1:5" hidden="1">
      <c r="A598" s="11">
        <v>541</v>
      </c>
      <c r="B598" s="11">
        <v>8654</v>
      </c>
      <c r="C598" s="23" t="s">
        <v>638</v>
      </c>
      <c r="D598" s="12" t="s">
        <v>30</v>
      </c>
      <c r="E598" s="12" t="s">
        <v>879</v>
      </c>
    </row>
    <row r="599" spans="1:5" hidden="1">
      <c r="A599" s="11">
        <v>541</v>
      </c>
      <c r="B599" s="11">
        <v>8655</v>
      </c>
      <c r="C599" s="23" t="s">
        <v>638</v>
      </c>
      <c r="D599" s="12" t="s">
        <v>30</v>
      </c>
      <c r="E599" s="12" t="s">
        <v>880</v>
      </c>
    </row>
    <row r="600" spans="1:5" hidden="1">
      <c r="A600" s="11">
        <v>541</v>
      </c>
      <c r="B600" s="11">
        <v>8657</v>
      </c>
      <c r="C600" s="23" t="s">
        <v>638</v>
      </c>
      <c r="D600" s="12" t="s">
        <v>30</v>
      </c>
      <c r="E600" s="12" t="s">
        <v>881</v>
      </c>
    </row>
    <row r="601" spans="1:5" hidden="1">
      <c r="A601" s="11">
        <v>541</v>
      </c>
      <c r="B601" s="11">
        <v>8659</v>
      </c>
      <c r="C601" s="23" t="s">
        <v>638</v>
      </c>
      <c r="D601" s="12" t="s">
        <v>30</v>
      </c>
      <c r="E601" s="12" t="s">
        <v>882</v>
      </c>
    </row>
    <row r="602" spans="1:5" hidden="1">
      <c r="A602" s="11">
        <v>541</v>
      </c>
      <c r="B602" s="11">
        <v>8660</v>
      </c>
      <c r="C602" s="23" t="s">
        <v>640</v>
      </c>
      <c r="D602" s="12" t="s">
        <v>24</v>
      </c>
      <c r="E602" s="12" t="s">
        <v>291</v>
      </c>
    </row>
    <row r="603" spans="1:5" hidden="1">
      <c r="A603" s="11">
        <v>545</v>
      </c>
      <c r="B603" s="11">
        <v>5450</v>
      </c>
      <c r="C603" s="23" t="s">
        <v>638</v>
      </c>
      <c r="D603" s="12" t="s">
        <v>30</v>
      </c>
      <c r="E603" s="12" t="s">
        <v>883</v>
      </c>
    </row>
    <row r="604" spans="1:5" hidden="1">
      <c r="A604" s="11">
        <v>549</v>
      </c>
      <c r="B604" s="11">
        <v>7123</v>
      </c>
      <c r="C604" s="23" t="s">
        <v>643</v>
      </c>
      <c r="D604" s="12" t="s">
        <v>24</v>
      </c>
      <c r="E604" s="12" t="s">
        <v>564</v>
      </c>
    </row>
    <row r="605" spans="1:5" hidden="1">
      <c r="A605" s="11">
        <v>551</v>
      </c>
      <c r="B605" s="11">
        <v>9643</v>
      </c>
      <c r="C605" s="23" t="s">
        <v>640</v>
      </c>
      <c r="D605" s="12" t="s">
        <v>24</v>
      </c>
      <c r="E605" s="12" t="s">
        <v>390</v>
      </c>
    </row>
    <row r="606" spans="1:5" hidden="1">
      <c r="A606" s="11">
        <v>551</v>
      </c>
      <c r="B606" s="11">
        <v>9644</v>
      </c>
      <c r="C606" s="23" t="s">
        <v>640</v>
      </c>
      <c r="D606" s="12" t="s">
        <v>24</v>
      </c>
      <c r="E606" s="12" t="s">
        <v>255</v>
      </c>
    </row>
    <row r="607" spans="1:5" hidden="1">
      <c r="A607" s="11">
        <v>553</v>
      </c>
      <c r="B607" s="11">
        <v>6707</v>
      </c>
      <c r="C607" s="23" t="s">
        <v>650</v>
      </c>
      <c r="D607" s="12" t="s">
        <v>30</v>
      </c>
      <c r="E607" s="12" t="s">
        <v>398</v>
      </c>
    </row>
    <row r="608" spans="1:5" hidden="1">
      <c r="A608" s="11">
        <v>554</v>
      </c>
      <c r="B608" s="11">
        <v>8294</v>
      </c>
      <c r="C608" s="23" t="s">
        <v>640</v>
      </c>
      <c r="D608" s="12" t="s">
        <v>24</v>
      </c>
      <c r="E608" s="12" t="s">
        <v>78</v>
      </c>
    </row>
    <row r="609" spans="1:5" hidden="1">
      <c r="A609" s="11">
        <v>554</v>
      </c>
      <c r="B609" s="11">
        <v>8295</v>
      </c>
      <c r="C609" s="23" t="s">
        <v>640</v>
      </c>
      <c r="D609" s="12" t="s">
        <v>24</v>
      </c>
      <c r="E609" s="12" t="s">
        <v>592</v>
      </c>
    </row>
    <row r="610" spans="1:5" hidden="1">
      <c r="A610" s="11">
        <v>554</v>
      </c>
      <c r="B610" s="11">
        <v>8296</v>
      </c>
      <c r="C610" s="23" t="s">
        <v>638</v>
      </c>
      <c r="D610" s="12" t="s">
        <v>30</v>
      </c>
      <c r="E610" s="12" t="s">
        <v>884</v>
      </c>
    </row>
    <row r="611" spans="1:5" hidden="1">
      <c r="A611" s="11">
        <v>554</v>
      </c>
      <c r="B611" s="11">
        <v>8297</v>
      </c>
      <c r="C611" s="23" t="s">
        <v>638</v>
      </c>
      <c r="D611" s="12" t="s">
        <v>30</v>
      </c>
      <c r="E611" s="12" t="s">
        <v>885</v>
      </c>
    </row>
    <row r="612" spans="1:5" hidden="1">
      <c r="A612" s="11">
        <v>554</v>
      </c>
      <c r="B612" s="11">
        <v>8298</v>
      </c>
      <c r="C612" s="23" t="s">
        <v>638</v>
      </c>
      <c r="D612" s="12" t="s">
        <v>30</v>
      </c>
      <c r="E612" s="12" t="s">
        <v>886</v>
      </c>
    </row>
    <row r="613" spans="1:5" hidden="1">
      <c r="A613" s="11">
        <v>555</v>
      </c>
      <c r="B613" s="11">
        <v>7259</v>
      </c>
      <c r="C613" s="23" t="s">
        <v>650</v>
      </c>
      <c r="D613" s="12" t="s">
        <v>30</v>
      </c>
      <c r="E613" s="12" t="s">
        <v>619</v>
      </c>
    </row>
    <row r="614" spans="1:5" hidden="1">
      <c r="A614" s="11">
        <v>555</v>
      </c>
      <c r="B614" s="11">
        <v>7265</v>
      </c>
      <c r="C614" s="23" t="s">
        <v>650</v>
      </c>
      <c r="D614" s="12" t="s">
        <v>30</v>
      </c>
      <c r="E614" s="12" t="s">
        <v>271</v>
      </c>
    </row>
    <row r="615" spans="1:5" hidden="1">
      <c r="A615" s="11">
        <v>556</v>
      </c>
      <c r="B615" s="11">
        <v>8333</v>
      </c>
      <c r="C615" s="23" t="s">
        <v>640</v>
      </c>
      <c r="D615" s="12" t="s">
        <v>24</v>
      </c>
      <c r="E615" s="12" t="s">
        <v>90</v>
      </c>
    </row>
    <row r="616" spans="1:5" hidden="1">
      <c r="A616" s="11">
        <v>556</v>
      </c>
      <c r="B616" s="11">
        <v>8334</v>
      </c>
      <c r="C616" s="23" t="s">
        <v>638</v>
      </c>
      <c r="D616" s="12" t="s">
        <v>30</v>
      </c>
      <c r="E616" s="12" t="s">
        <v>887</v>
      </c>
    </row>
    <row r="617" spans="1:5" hidden="1">
      <c r="A617" s="11">
        <v>556</v>
      </c>
      <c r="B617" s="11">
        <v>8335</v>
      </c>
      <c r="C617" s="23" t="s">
        <v>638</v>
      </c>
      <c r="D617" s="12" t="s">
        <v>30</v>
      </c>
      <c r="E617" s="12" t="s">
        <v>888</v>
      </c>
    </row>
    <row r="618" spans="1:5" hidden="1">
      <c r="A618" s="11">
        <v>556</v>
      </c>
      <c r="B618" s="11">
        <v>8336</v>
      </c>
      <c r="C618" s="23" t="s">
        <v>638</v>
      </c>
      <c r="D618" s="12" t="s">
        <v>30</v>
      </c>
      <c r="E618" s="12" t="s">
        <v>527</v>
      </c>
    </row>
    <row r="619" spans="1:5" hidden="1">
      <c r="A619" s="11">
        <v>556</v>
      </c>
      <c r="B619" s="11">
        <v>8337</v>
      </c>
      <c r="C619" s="23" t="s">
        <v>638</v>
      </c>
      <c r="D619" s="12" t="s">
        <v>30</v>
      </c>
      <c r="E619" s="12" t="s">
        <v>889</v>
      </c>
    </row>
    <row r="620" spans="1:5" hidden="1">
      <c r="A620" s="11">
        <v>556</v>
      </c>
      <c r="B620" s="11">
        <v>8338</v>
      </c>
      <c r="C620" s="23" t="s">
        <v>638</v>
      </c>
      <c r="D620" s="12" t="s">
        <v>30</v>
      </c>
      <c r="E620" s="12" t="s">
        <v>890</v>
      </c>
    </row>
    <row r="621" spans="1:5" hidden="1">
      <c r="A621" s="11">
        <v>557</v>
      </c>
      <c r="B621" s="11">
        <v>5571</v>
      </c>
      <c r="C621" s="23" t="s">
        <v>638</v>
      </c>
      <c r="D621" s="12" t="s">
        <v>30</v>
      </c>
      <c r="E621" s="12" t="s">
        <v>891</v>
      </c>
    </row>
    <row r="622" spans="1:5" hidden="1">
      <c r="A622" s="11">
        <v>567</v>
      </c>
      <c r="B622" s="11">
        <v>2423</v>
      </c>
      <c r="C622" s="23" t="s">
        <v>638</v>
      </c>
      <c r="D622" s="12" t="s">
        <v>30</v>
      </c>
      <c r="E622" s="12" t="s">
        <v>342</v>
      </c>
    </row>
    <row r="623" spans="1:5" hidden="1">
      <c r="A623" s="11">
        <v>567</v>
      </c>
      <c r="B623" s="11">
        <v>4521</v>
      </c>
      <c r="C623" s="23" t="s">
        <v>643</v>
      </c>
      <c r="D623" s="12" t="s">
        <v>30</v>
      </c>
      <c r="E623" s="12" t="s">
        <v>120</v>
      </c>
    </row>
    <row r="624" spans="1:5" hidden="1">
      <c r="A624" s="11">
        <v>569</v>
      </c>
      <c r="B624" s="11">
        <v>4575</v>
      </c>
      <c r="C624" s="23" t="s">
        <v>638</v>
      </c>
      <c r="D624" s="12" t="s">
        <v>30</v>
      </c>
      <c r="E624" s="12" t="s">
        <v>160</v>
      </c>
    </row>
    <row r="625" spans="1:5" hidden="1">
      <c r="A625" s="11">
        <v>569</v>
      </c>
      <c r="B625" s="11">
        <v>4576</v>
      </c>
      <c r="C625" s="23" t="s">
        <v>638</v>
      </c>
      <c r="D625" s="12" t="s">
        <v>30</v>
      </c>
      <c r="E625" s="12" t="s">
        <v>892</v>
      </c>
    </row>
    <row r="626" spans="1:5" hidden="1">
      <c r="A626" s="11">
        <v>569</v>
      </c>
      <c r="B626" s="11">
        <v>4577</v>
      </c>
      <c r="C626" s="23" t="s">
        <v>638</v>
      </c>
      <c r="D626" s="12" t="s">
        <v>30</v>
      </c>
      <c r="E626" s="12" t="s">
        <v>893</v>
      </c>
    </row>
    <row r="627" spans="1:5" hidden="1">
      <c r="A627" s="11">
        <v>569</v>
      </c>
      <c r="B627" s="11">
        <v>8129</v>
      </c>
      <c r="C627" s="23" t="s">
        <v>643</v>
      </c>
      <c r="D627" s="12" t="s">
        <v>24</v>
      </c>
      <c r="E627" s="12" t="s">
        <v>894</v>
      </c>
    </row>
    <row r="628" spans="1:5" hidden="1">
      <c r="A628" s="11">
        <v>571</v>
      </c>
      <c r="B628" s="11">
        <v>6150</v>
      </c>
      <c r="C628" s="23" t="s">
        <v>640</v>
      </c>
      <c r="D628" s="12" t="s">
        <v>24</v>
      </c>
      <c r="E628" s="12" t="s">
        <v>249</v>
      </c>
    </row>
    <row r="629" spans="1:5" hidden="1">
      <c r="A629" s="11">
        <v>583</v>
      </c>
      <c r="B629" s="11">
        <v>5691</v>
      </c>
      <c r="C629" s="23" t="s">
        <v>643</v>
      </c>
      <c r="D629" s="12" t="s">
        <v>30</v>
      </c>
      <c r="E629" s="12" t="s">
        <v>223</v>
      </c>
    </row>
    <row r="630" spans="1:5" hidden="1">
      <c r="A630" s="11">
        <v>583</v>
      </c>
      <c r="B630" s="11">
        <v>7632</v>
      </c>
      <c r="C630" s="23" t="s">
        <v>638</v>
      </c>
      <c r="D630" s="12" t="s">
        <v>30</v>
      </c>
      <c r="E630" s="12" t="s">
        <v>895</v>
      </c>
    </row>
    <row r="631" spans="1:5" hidden="1">
      <c r="A631" s="11">
        <v>584</v>
      </c>
      <c r="B631" s="11">
        <v>3068</v>
      </c>
      <c r="C631" s="23" t="s">
        <v>638</v>
      </c>
      <c r="D631" s="12" t="s">
        <v>30</v>
      </c>
      <c r="E631" s="12" t="s">
        <v>896</v>
      </c>
    </row>
    <row r="632" spans="1:5" hidden="1">
      <c r="A632" s="11">
        <v>584</v>
      </c>
      <c r="B632" s="11">
        <v>5570</v>
      </c>
      <c r="C632" s="23" t="s">
        <v>650</v>
      </c>
      <c r="D632" s="12" t="s">
        <v>30</v>
      </c>
      <c r="E632" s="12" t="s">
        <v>573</v>
      </c>
    </row>
    <row r="633" spans="1:5" hidden="1">
      <c r="A633" s="11">
        <v>584</v>
      </c>
      <c r="B633" s="11">
        <v>6874</v>
      </c>
      <c r="C633" s="23" t="s">
        <v>643</v>
      </c>
      <c r="D633" s="12" t="s">
        <v>30</v>
      </c>
      <c r="E633" s="12" t="s">
        <v>493</v>
      </c>
    </row>
    <row r="634" spans="1:5" hidden="1">
      <c r="A634" s="11">
        <v>591</v>
      </c>
      <c r="B634" s="11">
        <v>7833</v>
      </c>
      <c r="C634" s="23" t="s">
        <v>650</v>
      </c>
      <c r="D634" s="12" t="s">
        <v>30</v>
      </c>
      <c r="E634" s="12" t="s">
        <v>140</v>
      </c>
    </row>
    <row r="635" spans="1:5" hidden="1">
      <c r="A635" s="11">
        <v>595</v>
      </c>
      <c r="B635" s="11">
        <v>3697</v>
      </c>
      <c r="C635" s="23" t="s">
        <v>638</v>
      </c>
      <c r="D635" s="12" t="s">
        <v>30</v>
      </c>
      <c r="E635" s="12" t="s">
        <v>403</v>
      </c>
    </row>
    <row r="636" spans="1:5" hidden="1">
      <c r="A636" s="11">
        <v>595</v>
      </c>
      <c r="B636" s="11">
        <v>5928</v>
      </c>
      <c r="C636" s="23" t="s">
        <v>650</v>
      </c>
      <c r="D636" s="12" t="s">
        <v>30</v>
      </c>
      <c r="E636" s="12" t="s">
        <v>235</v>
      </c>
    </row>
    <row r="637" spans="1:5" hidden="1">
      <c r="A637" s="11">
        <v>601</v>
      </c>
      <c r="B637" s="11">
        <v>6407</v>
      </c>
      <c r="C637" s="23" t="s">
        <v>640</v>
      </c>
      <c r="D637" s="12" t="s">
        <v>24</v>
      </c>
      <c r="E637" s="12" t="s">
        <v>415</v>
      </c>
    </row>
    <row r="638" spans="1:5" hidden="1">
      <c r="A638" s="11">
        <v>601</v>
      </c>
      <c r="B638" s="11">
        <v>6419</v>
      </c>
      <c r="C638" s="23" t="s">
        <v>638</v>
      </c>
      <c r="D638" s="12" t="s">
        <v>30</v>
      </c>
      <c r="E638" s="12" t="s">
        <v>897</v>
      </c>
    </row>
    <row r="639" spans="1:5" hidden="1">
      <c r="A639" s="11">
        <v>601</v>
      </c>
      <c r="B639" s="11">
        <v>6420</v>
      </c>
      <c r="C639" s="23" t="s">
        <v>650</v>
      </c>
      <c r="D639" s="12" t="s">
        <v>30</v>
      </c>
      <c r="E639" s="12" t="s">
        <v>898</v>
      </c>
    </row>
    <row r="640" spans="1:5" hidden="1">
      <c r="A640" s="11">
        <v>601</v>
      </c>
      <c r="B640" s="11">
        <v>6423</v>
      </c>
      <c r="C640" s="23" t="s">
        <v>638</v>
      </c>
      <c r="D640" s="12" t="s">
        <v>30</v>
      </c>
      <c r="E640" s="12" t="s">
        <v>464</v>
      </c>
    </row>
    <row r="641" spans="1:5" hidden="1">
      <c r="A641" s="11">
        <v>601</v>
      </c>
      <c r="B641" s="11">
        <v>6424</v>
      </c>
      <c r="C641" s="23" t="s">
        <v>638</v>
      </c>
      <c r="D641" s="12" t="s">
        <v>30</v>
      </c>
      <c r="E641" s="12" t="s">
        <v>583</v>
      </c>
    </row>
    <row r="642" spans="1:5" hidden="1">
      <c r="A642" s="11">
        <v>601</v>
      </c>
      <c r="B642" s="11">
        <v>6425</v>
      </c>
      <c r="C642" s="23" t="s">
        <v>650</v>
      </c>
      <c r="D642" s="12" t="s">
        <v>30</v>
      </c>
      <c r="E642" s="12" t="s">
        <v>76</v>
      </c>
    </row>
    <row r="643" spans="1:5" hidden="1">
      <c r="A643" s="11">
        <v>604</v>
      </c>
      <c r="B643" s="11">
        <v>8503</v>
      </c>
      <c r="C643" s="23" t="s">
        <v>638</v>
      </c>
      <c r="D643" s="12" t="s">
        <v>30</v>
      </c>
      <c r="E643" s="12" t="s">
        <v>495</v>
      </c>
    </row>
    <row r="644" spans="1:5" hidden="1">
      <c r="A644" s="11">
        <v>606</v>
      </c>
      <c r="B644" s="11">
        <v>4627</v>
      </c>
      <c r="C644" s="23" t="s">
        <v>638</v>
      </c>
      <c r="D644" s="12" t="s">
        <v>30</v>
      </c>
      <c r="E644" s="12" t="s">
        <v>899</v>
      </c>
    </row>
    <row r="645" spans="1:5" hidden="1">
      <c r="A645" s="11">
        <v>606</v>
      </c>
      <c r="B645" s="11">
        <v>5201</v>
      </c>
      <c r="C645" s="23" t="s">
        <v>640</v>
      </c>
      <c r="D645" s="12" t="s">
        <v>24</v>
      </c>
      <c r="E645" s="12" t="s">
        <v>247</v>
      </c>
    </row>
    <row r="646" spans="1:5" hidden="1">
      <c r="A646" s="11">
        <v>609</v>
      </c>
      <c r="B646" s="11">
        <v>7875</v>
      </c>
      <c r="C646" s="23" t="s">
        <v>640</v>
      </c>
      <c r="D646" s="12" t="s">
        <v>24</v>
      </c>
      <c r="E646" s="12" t="s">
        <v>416</v>
      </c>
    </row>
    <row r="647" spans="1:5" hidden="1">
      <c r="A647" s="11">
        <v>609</v>
      </c>
      <c r="B647" s="11">
        <v>7888</v>
      </c>
      <c r="C647" s="23" t="s">
        <v>640</v>
      </c>
      <c r="D647" s="12" t="s">
        <v>24</v>
      </c>
      <c r="E647" s="12" t="s">
        <v>252</v>
      </c>
    </row>
    <row r="648" spans="1:5" hidden="1">
      <c r="A648" s="11">
        <v>613</v>
      </c>
      <c r="B648" s="11">
        <v>6713</v>
      </c>
      <c r="C648" s="23" t="s">
        <v>643</v>
      </c>
      <c r="D648" s="12" t="s">
        <v>24</v>
      </c>
      <c r="E648" s="12" t="s">
        <v>404</v>
      </c>
    </row>
    <row r="649" spans="1:5" hidden="1">
      <c r="A649" s="11">
        <v>616</v>
      </c>
      <c r="B649" s="11">
        <v>1067</v>
      </c>
      <c r="C649" s="23" t="s">
        <v>638</v>
      </c>
      <c r="D649" s="12" t="s">
        <v>30</v>
      </c>
      <c r="E649" s="12" t="s">
        <v>615</v>
      </c>
    </row>
    <row r="650" spans="1:5" hidden="1">
      <c r="A650" s="11">
        <v>621</v>
      </c>
      <c r="B650" s="11">
        <v>4267</v>
      </c>
      <c r="C650" s="23" t="s">
        <v>638</v>
      </c>
      <c r="D650" s="12" t="s">
        <v>30</v>
      </c>
      <c r="E650" s="12" t="s">
        <v>900</v>
      </c>
    </row>
    <row r="651" spans="1:5" hidden="1">
      <c r="A651" s="11">
        <v>623</v>
      </c>
      <c r="B651" s="11">
        <v>5047</v>
      </c>
      <c r="C651" s="23" t="s">
        <v>640</v>
      </c>
      <c r="D651" s="12" t="s">
        <v>24</v>
      </c>
      <c r="E651" s="12" t="s">
        <v>26</v>
      </c>
    </row>
    <row r="652" spans="1:5" hidden="1">
      <c r="A652" s="11">
        <v>623</v>
      </c>
      <c r="B652" s="11">
        <v>7375</v>
      </c>
      <c r="C652" s="23" t="s">
        <v>640</v>
      </c>
      <c r="D652" s="12" t="s">
        <v>24</v>
      </c>
      <c r="E652" s="12" t="s">
        <v>446</v>
      </c>
    </row>
    <row r="653" spans="1:5" hidden="1">
      <c r="A653" s="11">
        <v>625</v>
      </c>
      <c r="B653" s="11">
        <v>6096</v>
      </c>
      <c r="C653" s="23" t="s">
        <v>640</v>
      </c>
      <c r="D653" s="12" t="s">
        <v>24</v>
      </c>
      <c r="E653" s="12" t="s">
        <v>188</v>
      </c>
    </row>
    <row r="654" spans="1:5" hidden="1">
      <c r="A654" s="11">
        <v>629</v>
      </c>
      <c r="B654" s="11">
        <v>4569</v>
      </c>
      <c r="C654" s="23" t="s">
        <v>638</v>
      </c>
      <c r="D654" s="12" t="s">
        <v>30</v>
      </c>
      <c r="E654" s="12" t="s">
        <v>221</v>
      </c>
    </row>
    <row r="655" spans="1:5" hidden="1">
      <c r="A655" s="11">
        <v>629</v>
      </c>
      <c r="B655" s="11">
        <v>4571</v>
      </c>
      <c r="C655" s="23" t="s">
        <v>638</v>
      </c>
      <c r="D655" s="12" t="s">
        <v>30</v>
      </c>
      <c r="E655" s="12" t="s">
        <v>528</v>
      </c>
    </row>
    <row r="656" spans="1:5" hidden="1">
      <c r="A656" s="11">
        <v>629</v>
      </c>
      <c r="B656" s="11">
        <v>4572</v>
      </c>
      <c r="C656" s="23" t="s">
        <v>638</v>
      </c>
      <c r="D656" s="12" t="s">
        <v>30</v>
      </c>
      <c r="E656" s="12" t="s">
        <v>901</v>
      </c>
    </row>
    <row r="657" spans="1:5" hidden="1">
      <c r="A657" s="11">
        <v>631</v>
      </c>
      <c r="B657" s="11">
        <v>2615</v>
      </c>
      <c r="C657" s="23" t="s">
        <v>650</v>
      </c>
      <c r="D657" s="12" t="s">
        <v>30</v>
      </c>
      <c r="E657" s="12" t="s">
        <v>62</v>
      </c>
    </row>
    <row r="658" spans="1:5" hidden="1">
      <c r="A658" s="11">
        <v>631</v>
      </c>
      <c r="B658" s="11">
        <v>2616</v>
      </c>
      <c r="C658" s="23" t="s">
        <v>643</v>
      </c>
      <c r="D658" s="12" t="s">
        <v>30</v>
      </c>
      <c r="E658" s="12" t="s">
        <v>337</v>
      </c>
    </row>
    <row r="659" spans="1:5" hidden="1">
      <c r="A659" s="11">
        <v>631</v>
      </c>
      <c r="B659" s="11">
        <v>2617</v>
      </c>
      <c r="C659" s="23" t="s">
        <v>643</v>
      </c>
      <c r="D659" s="12" t="s">
        <v>30</v>
      </c>
      <c r="E659" s="12" t="s">
        <v>103</v>
      </c>
    </row>
    <row r="660" spans="1:5" hidden="1">
      <c r="A660" s="11">
        <v>631</v>
      </c>
      <c r="B660" s="11">
        <v>2794</v>
      </c>
      <c r="C660" s="23" t="s">
        <v>643</v>
      </c>
      <c r="D660" s="12" t="s">
        <v>30</v>
      </c>
      <c r="E660" s="12" t="s">
        <v>97</v>
      </c>
    </row>
    <row r="661" spans="1:5" hidden="1">
      <c r="A661" s="11">
        <v>631</v>
      </c>
      <c r="B661" s="11">
        <v>2795</v>
      </c>
      <c r="C661" s="23" t="s">
        <v>643</v>
      </c>
      <c r="D661" s="12" t="s">
        <v>30</v>
      </c>
      <c r="E661" s="12" t="s">
        <v>98</v>
      </c>
    </row>
    <row r="662" spans="1:5" hidden="1">
      <c r="A662" s="11">
        <v>634</v>
      </c>
      <c r="B662" s="11">
        <v>5087</v>
      </c>
      <c r="C662" s="23" t="s">
        <v>640</v>
      </c>
      <c r="D662" s="12" t="s">
        <v>24</v>
      </c>
      <c r="E662" s="12" t="s">
        <v>183</v>
      </c>
    </row>
    <row r="663" spans="1:5" hidden="1">
      <c r="A663" s="11">
        <v>638</v>
      </c>
      <c r="B663" s="11">
        <v>4486</v>
      </c>
      <c r="C663" s="23" t="s">
        <v>643</v>
      </c>
      <c r="D663" s="12" t="s">
        <v>30</v>
      </c>
      <c r="E663" s="12" t="s">
        <v>116</v>
      </c>
    </row>
    <row r="664" spans="1:5" hidden="1">
      <c r="A664" s="11">
        <v>641</v>
      </c>
      <c r="B664" s="11">
        <v>6410</v>
      </c>
      <c r="C664" s="23" t="s">
        <v>650</v>
      </c>
      <c r="D664" s="12" t="s">
        <v>30</v>
      </c>
      <c r="E664" s="12" t="s">
        <v>902</v>
      </c>
    </row>
    <row r="665" spans="1:5" hidden="1">
      <c r="A665" s="11">
        <v>642</v>
      </c>
      <c r="B665" s="11">
        <v>1949</v>
      </c>
      <c r="C665" s="23" t="s">
        <v>650</v>
      </c>
      <c r="D665" s="12" t="s">
        <v>30</v>
      </c>
      <c r="E665" s="12" t="s">
        <v>903</v>
      </c>
    </row>
    <row r="666" spans="1:5" hidden="1">
      <c r="A666" s="11">
        <v>642</v>
      </c>
      <c r="B666" s="11">
        <v>1951</v>
      </c>
      <c r="C666" s="23" t="s">
        <v>650</v>
      </c>
      <c r="D666" s="12" t="s">
        <v>30</v>
      </c>
      <c r="E666" s="12" t="s">
        <v>904</v>
      </c>
    </row>
    <row r="667" spans="1:5" hidden="1">
      <c r="A667" s="11">
        <v>642</v>
      </c>
      <c r="B667" s="11">
        <v>1952</v>
      </c>
      <c r="C667" s="23" t="s">
        <v>650</v>
      </c>
      <c r="D667" s="12" t="s">
        <v>30</v>
      </c>
      <c r="E667" s="12" t="s">
        <v>571</v>
      </c>
    </row>
    <row r="668" spans="1:5" hidden="1">
      <c r="A668" s="11">
        <v>643</v>
      </c>
      <c r="B668" s="11">
        <v>6431</v>
      </c>
      <c r="C668" s="23" t="s">
        <v>638</v>
      </c>
      <c r="D668" s="12" t="s">
        <v>30</v>
      </c>
      <c r="E668" s="12" t="s">
        <v>905</v>
      </c>
    </row>
    <row r="669" spans="1:5" hidden="1">
      <c r="A669" s="11">
        <v>647</v>
      </c>
      <c r="B669" s="11">
        <v>3862</v>
      </c>
      <c r="C669" s="23" t="s">
        <v>638</v>
      </c>
      <c r="D669" s="12" t="s">
        <v>30</v>
      </c>
      <c r="E669" s="12" t="s">
        <v>906</v>
      </c>
    </row>
    <row r="670" spans="1:5" hidden="1">
      <c r="A670" s="11">
        <v>647</v>
      </c>
      <c r="B670" s="11">
        <v>3863</v>
      </c>
      <c r="C670" s="23" t="s">
        <v>638</v>
      </c>
      <c r="D670" s="12" t="s">
        <v>30</v>
      </c>
      <c r="E670" s="12" t="s">
        <v>907</v>
      </c>
    </row>
    <row r="671" spans="1:5" hidden="1">
      <c r="A671" s="11">
        <v>651</v>
      </c>
      <c r="B671" s="11">
        <v>6511</v>
      </c>
      <c r="C671" s="23" t="s">
        <v>650</v>
      </c>
      <c r="D671" s="12" t="s">
        <v>30</v>
      </c>
      <c r="E671" s="12" t="s">
        <v>908</v>
      </c>
    </row>
    <row r="672" spans="1:5" hidden="1">
      <c r="A672" s="11">
        <v>651</v>
      </c>
      <c r="B672" s="11">
        <v>7318</v>
      </c>
      <c r="C672" s="23" t="s">
        <v>643</v>
      </c>
      <c r="D672" s="12" t="s">
        <v>24</v>
      </c>
      <c r="E672" s="12" t="s">
        <v>561</v>
      </c>
    </row>
    <row r="673" spans="1:5" hidden="1">
      <c r="A673" s="11">
        <v>652</v>
      </c>
      <c r="B673" s="11">
        <v>5070</v>
      </c>
      <c r="C673" s="23" t="s">
        <v>640</v>
      </c>
      <c r="D673" s="12" t="s">
        <v>24</v>
      </c>
      <c r="E673" s="12" t="s">
        <v>201</v>
      </c>
    </row>
    <row r="674" spans="1:5" hidden="1">
      <c r="A674" s="11">
        <v>656</v>
      </c>
      <c r="B674" s="11">
        <v>5103</v>
      </c>
      <c r="C674" s="23" t="s">
        <v>640</v>
      </c>
      <c r="D674" s="12" t="s">
        <v>24</v>
      </c>
      <c r="E674" s="12" t="s">
        <v>909</v>
      </c>
    </row>
    <row r="675" spans="1:5" hidden="1">
      <c r="A675" s="11">
        <v>656</v>
      </c>
      <c r="B675" s="11">
        <v>5663</v>
      </c>
      <c r="C675" s="23" t="s">
        <v>638</v>
      </c>
      <c r="D675" s="12" t="s">
        <v>30</v>
      </c>
      <c r="E675" s="12" t="s">
        <v>484</v>
      </c>
    </row>
    <row r="676" spans="1:5" hidden="1">
      <c r="A676" s="11">
        <v>656</v>
      </c>
      <c r="B676" s="11">
        <v>5664</v>
      </c>
      <c r="C676" s="23" t="s">
        <v>638</v>
      </c>
      <c r="D676" s="12" t="s">
        <v>30</v>
      </c>
      <c r="E676" s="12" t="s">
        <v>317</v>
      </c>
    </row>
    <row r="677" spans="1:5" hidden="1">
      <c r="A677" s="11">
        <v>658</v>
      </c>
      <c r="B677" s="11">
        <v>6228</v>
      </c>
      <c r="C677" s="23" t="s">
        <v>643</v>
      </c>
      <c r="D677" s="12" t="s">
        <v>30</v>
      </c>
      <c r="E677" s="12" t="s">
        <v>203</v>
      </c>
    </row>
    <row r="678" spans="1:5" hidden="1">
      <c r="A678" s="11">
        <v>658</v>
      </c>
      <c r="B678" s="11">
        <v>6229</v>
      </c>
      <c r="C678" s="23" t="s">
        <v>650</v>
      </c>
      <c r="D678" s="12" t="s">
        <v>30</v>
      </c>
      <c r="E678" s="12" t="s">
        <v>910</v>
      </c>
    </row>
    <row r="679" spans="1:5" hidden="1">
      <c r="A679" s="11">
        <v>658</v>
      </c>
      <c r="B679" s="11">
        <v>7074</v>
      </c>
      <c r="C679" s="23" t="s">
        <v>643</v>
      </c>
      <c r="D679" s="12" t="s">
        <v>24</v>
      </c>
      <c r="E679" s="12" t="s">
        <v>414</v>
      </c>
    </row>
    <row r="680" spans="1:5" hidden="1">
      <c r="A680" s="11">
        <v>659</v>
      </c>
      <c r="B680" s="11">
        <v>5102</v>
      </c>
      <c r="C680" s="23" t="s">
        <v>640</v>
      </c>
      <c r="D680" s="12" t="s">
        <v>24</v>
      </c>
      <c r="E680" s="12" t="s">
        <v>481</v>
      </c>
    </row>
    <row r="681" spans="1:5" hidden="1">
      <c r="A681" s="11">
        <v>664</v>
      </c>
      <c r="B681" s="11">
        <v>5191</v>
      </c>
      <c r="C681" s="23" t="s">
        <v>640</v>
      </c>
      <c r="D681" s="12" t="s">
        <v>24</v>
      </c>
      <c r="E681" s="12" t="s">
        <v>911</v>
      </c>
    </row>
    <row r="682" spans="1:5" hidden="1">
      <c r="A682" s="11">
        <v>664</v>
      </c>
      <c r="B682" s="11">
        <v>8858</v>
      </c>
      <c r="C682" s="23" t="s">
        <v>650</v>
      </c>
      <c r="D682" s="12" t="s">
        <v>30</v>
      </c>
      <c r="E682" s="12" t="s">
        <v>912</v>
      </c>
    </row>
    <row r="683" spans="1:5" hidden="1">
      <c r="A683" s="11">
        <v>667</v>
      </c>
      <c r="B683" s="11">
        <v>5167</v>
      </c>
      <c r="C683" s="23" t="s">
        <v>640</v>
      </c>
      <c r="D683" s="12" t="s">
        <v>24</v>
      </c>
      <c r="E683" s="12" t="s">
        <v>277</v>
      </c>
    </row>
    <row r="684" spans="1:5" hidden="1">
      <c r="A684" s="11">
        <v>672</v>
      </c>
      <c r="B684" s="11">
        <v>8374</v>
      </c>
      <c r="C684" s="23" t="s">
        <v>638</v>
      </c>
      <c r="D684" s="12" t="s">
        <v>30</v>
      </c>
      <c r="E684" s="12" t="s">
        <v>913</v>
      </c>
    </row>
    <row r="685" spans="1:5" hidden="1">
      <c r="A685" s="11">
        <v>674</v>
      </c>
      <c r="B685" s="11">
        <v>5200</v>
      </c>
      <c r="C685" s="23" t="s">
        <v>640</v>
      </c>
      <c r="D685" s="12" t="s">
        <v>24</v>
      </c>
      <c r="E685" s="12" t="s">
        <v>93</v>
      </c>
    </row>
    <row r="686" spans="1:5" hidden="1">
      <c r="A686" s="11">
        <v>677</v>
      </c>
      <c r="B686" s="11">
        <v>5835</v>
      </c>
      <c r="C686" s="23" t="s">
        <v>650</v>
      </c>
      <c r="D686" s="12" t="s">
        <v>30</v>
      </c>
      <c r="E686" s="12" t="s">
        <v>914</v>
      </c>
    </row>
    <row r="687" spans="1:5" hidden="1">
      <c r="A687" s="11">
        <v>677</v>
      </c>
      <c r="B687" s="11">
        <v>6896</v>
      </c>
      <c r="C687" s="23" t="s">
        <v>650</v>
      </c>
      <c r="D687" s="12" t="s">
        <v>30</v>
      </c>
      <c r="E687" s="12" t="s">
        <v>915</v>
      </c>
    </row>
    <row r="688" spans="1:5" hidden="1">
      <c r="A688" s="11">
        <v>677</v>
      </c>
      <c r="B688" s="11">
        <v>7124</v>
      </c>
      <c r="C688" s="23" t="s">
        <v>643</v>
      </c>
      <c r="D688" s="12" t="s">
        <v>24</v>
      </c>
      <c r="E688" s="12" t="s">
        <v>916</v>
      </c>
    </row>
    <row r="689" spans="1:5" hidden="1">
      <c r="A689" s="11">
        <v>678</v>
      </c>
      <c r="B689" s="11">
        <v>5227</v>
      </c>
      <c r="C689" s="23" t="s">
        <v>640</v>
      </c>
      <c r="D689" s="12" t="s">
        <v>24</v>
      </c>
      <c r="E689" s="12" t="s">
        <v>394</v>
      </c>
    </row>
    <row r="690" spans="1:5" hidden="1">
      <c r="A690" s="11">
        <v>678</v>
      </c>
      <c r="B690" s="11">
        <v>6014</v>
      </c>
      <c r="C690" s="23" t="s">
        <v>650</v>
      </c>
      <c r="D690" s="12" t="s">
        <v>30</v>
      </c>
      <c r="E690" s="12" t="s">
        <v>917</v>
      </c>
    </row>
    <row r="691" spans="1:5" hidden="1">
      <c r="A691" s="11">
        <v>678</v>
      </c>
      <c r="B691" s="11">
        <v>6015</v>
      </c>
      <c r="C691" s="23" t="s">
        <v>650</v>
      </c>
      <c r="D691" s="12" t="s">
        <v>30</v>
      </c>
      <c r="E691" s="12" t="s">
        <v>918</v>
      </c>
    </row>
    <row r="692" spans="1:5" hidden="1">
      <c r="A692" s="11">
        <v>678</v>
      </c>
      <c r="B692" s="11">
        <v>6016</v>
      </c>
      <c r="C692" s="23" t="s">
        <v>650</v>
      </c>
      <c r="D692" s="12" t="s">
        <v>30</v>
      </c>
      <c r="E692" s="12" t="s">
        <v>443</v>
      </c>
    </row>
    <row r="693" spans="1:5" hidden="1">
      <c r="A693" s="11">
        <v>681</v>
      </c>
      <c r="B693" s="11">
        <v>3640</v>
      </c>
      <c r="C693" s="23" t="s">
        <v>638</v>
      </c>
      <c r="D693" s="12" t="s">
        <v>30</v>
      </c>
      <c r="E693" s="12" t="s">
        <v>919</v>
      </c>
    </row>
    <row r="694" spans="1:5" hidden="1">
      <c r="A694" s="11">
        <v>681</v>
      </c>
      <c r="B694" s="11">
        <v>8420</v>
      </c>
      <c r="C694" s="23" t="s">
        <v>643</v>
      </c>
      <c r="D694" s="12" t="s">
        <v>30</v>
      </c>
      <c r="E694" s="12" t="s">
        <v>117</v>
      </c>
    </row>
    <row r="695" spans="1:5" hidden="1">
      <c r="A695" s="11">
        <v>681</v>
      </c>
      <c r="B695" s="11">
        <v>8494</v>
      </c>
      <c r="C695" s="23" t="s">
        <v>638</v>
      </c>
      <c r="D695" s="12" t="s">
        <v>30</v>
      </c>
      <c r="E695" s="12" t="s">
        <v>920</v>
      </c>
    </row>
    <row r="696" spans="1:5" hidden="1">
      <c r="A696" s="11">
        <v>681</v>
      </c>
      <c r="B696" s="11">
        <v>8495</v>
      </c>
      <c r="C696" s="23" t="s">
        <v>638</v>
      </c>
      <c r="D696" s="12" t="s">
        <v>30</v>
      </c>
      <c r="E696" s="12" t="s">
        <v>921</v>
      </c>
    </row>
    <row r="697" spans="1:5" hidden="1">
      <c r="A697" s="11">
        <v>681</v>
      </c>
      <c r="B697" s="11">
        <v>8496</v>
      </c>
      <c r="C697" s="23" t="s">
        <v>638</v>
      </c>
      <c r="D697" s="12" t="s">
        <v>30</v>
      </c>
      <c r="E697" s="12" t="s">
        <v>474</v>
      </c>
    </row>
    <row r="698" spans="1:5" hidden="1">
      <c r="A698" s="11">
        <v>682</v>
      </c>
      <c r="B698" s="11">
        <v>5049</v>
      </c>
      <c r="C698" s="23" t="s">
        <v>640</v>
      </c>
      <c r="D698" s="12" t="s">
        <v>24</v>
      </c>
      <c r="E698" s="12" t="s">
        <v>163</v>
      </c>
    </row>
    <row r="699" spans="1:5" hidden="1">
      <c r="A699" s="11">
        <v>682</v>
      </c>
      <c r="B699" s="11">
        <v>5959</v>
      </c>
      <c r="C699" s="23" t="s">
        <v>638</v>
      </c>
      <c r="D699" s="12" t="s">
        <v>30</v>
      </c>
      <c r="E699" s="12" t="s">
        <v>922</v>
      </c>
    </row>
    <row r="700" spans="1:5" hidden="1">
      <c r="A700" s="11">
        <v>682</v>
      </c>
      <c r="B700" s="11">
        <v>5960</v>
      </c>
      <c r="C700" s="23" t="s">
        <v>638</v>
      </c>
      <c r="D700" s="12" t="s">
        <v>30</v>
      </c>
      <c r="E700" s="12" t="s">
        <v>923</v>
      </c>
    </row>
    <row r="701" spans="1:5" hidden="1">
      <c r="A701" s="11">
        <v>687</v>
      </c>
      <c r="B701" s="11">
        <v>6362</v>
      </c>
      <c r="C701" s="23" t="s">
        <v>638</v>
      </c>
      <c r="D701" s="12" t="s">
        <v>30</v>
      </c>
      <c r="E701" s="12" t="s">
        <v>924</v>
      </c>
    </row>
    <row r="702" spans="1:5" hidden="1">
      <c r="A702" s="11">
        <v>687</v>
      </c>
      <c r="B702" s="11">
        <v>6363</v>
      </c>
      <c r="C702" s="23" t="s">
        <v>638</v>
      </c>
      <c r="D702" s="12" t="s">
        <v>30</v>
      </c>
      <c r="E702" s="12" t="s">
        <v>521</v>
      </c>
    </row>
    <row r="703" spans="1:5" hidden="1">
      <c r="A703" s="11">
        <v>687</v>
      </c>
      <c r="B703" s="11">
        <v>8513</v>
      </c>
      <c r="C703" s="23" t="s">
        <v>638</v>
      </c>
      <c r="D703" s="12" t="s">
        <v>30</v>
      </c>
      <c r="E703" s="12" t="s">
        <v>925</v>
      </c>
    </row>
    <row r="704" spans="1:5" hidden="1">
      <c r="A704" s="11">
        <v>688</v>
      </c>
      <c r="B704" s="11">
        <v>4840</v>
      </c>
      <c r="C704" s="23" t="s">
        <v>643</v>
      </c>
      <c r="D704" s="12" t="s">
        <v>30</v>
      </c>
      <c r="E704" s="12" t="s">
        <v>168</v>
      </c>
    </row>
    <row r="705" spans="1:5" hidden="1">
      <c r="A705" s="11">
        <v>688</v>
      </c>
      <c r="B705" s="11">
        <v>4843</v>
      </c>
      <c r="C705" s="23" t="s">
        <v>643</v>
      </c>
      <c r="D705" s="12" t="s">
        <v>30</v>
      </c>
      <c r="E705" s="12" t="s">
        <v>157</v>
      </c>
    </row>
    <row r="706" spans="1:5" hidden="1">
      <c r="A706" s="11">
        <v>688</v>
      </c>
      <c r="B706" s="11">
        <v>6209</v>
      </c>
      <c r="C706" s="23" t="s">
        <v>643</v>
      </c>
      <c r="D706" s="12" t="s">
        <v>24</v>
      </c>
      <c r="E706" s="12" t="s">
        <v>926</v>
      </c>
    </row>
    <row r="707" spans="1:5" hidden="1">
      <c r="A707" s="11">
        <v>689</v>
      </c>
      <c r="B707" s="11">
        <v>4549</v>
      </c>
      <c r="C707" s="23" t="s">
        <v>638</v>
      </c>
      <c r="D707" s="12" t="s">
        <v>30</v>
      </c>
      <c r="E707" s="12" t="s">
        <v>927</v>
      </c>
    </row>
    <row r="708" spans="1:5" hidden="1">
      <c r="A708" s="11">
        <v>690</v>
      </c>
      <c r="B708" s="11">
        <v>944</v>
      </c>
      <c r="C708" s="23" t="s">
        <v>638</v>
      </c>
      <c r="D708" s="12" t="s">
        <v>30</v>
      </c>
      <c r="E708" s="12" t="s">
        <v>519</v>
      </c>
    </row>
    <row r="709" spans="1:5" hidden="1">
      <c r="A709" s="11">
        <v>690</v>
      </c>
      <c r="B709" s="11">
        <v>6180</v>
      </c>
      <c r="C709" s="23" t="s">
        <v>640</v>
      </c>
      <c r="D709" s="12" t="s">
        <v>24</v>
      </c>
      <c r="E709" s="12" t="s">
        <v>77</v>
      </c>
    </row>
    <row r="710" spans="1:5" hidden="1">
      <c r="A710" s="11">
        <v>692</v>
      </c>
      <c r="B710" s="11">
        <v>1515</v>
      </c>
      <c r="C710" s="23" t="s">
        <v>640</v>
      </c>
      <c r="D710" s="12" t="s">
        <v>24</v>
      </c>
      <c r="E710" s="12" t="s">
        <v>108</v>
      </c>
    </row>
    <row r="711" spans="1:5" hidden="1">
      <c r="A711" s="11">
        <v>692</v>
      </c>
      <c r="B711" s="11">
        <v>1516</v>
      </c>
      <c r="C711" s="23" t="s">
        <v>640</v>
      </c>
      <c r="D711" s="12" t="s">
        <v>24</v>
      </c>
      <c r="E711" s="12" t="s">
        <v>928</v>
      </c>
    </row>
    <row r="712" spans="1:5" hidden="1">
      <c r="A712" s="11">
        <v>692</v>
      </c>
      <c r="B712" s="11">
        <v>1525</v>
      </c>
      <c r="C712" s="23" t="s">
        <v>650</v>
      </c>
      <c r="D712" s="12" t="s">
        <v>30</v>
      </c>
      <c r="E712" s="12" t="s">
        <v>929</v>
      </c>
    </row>
    <row r="713" spans="1:5" hidden="1">
      <c r="A713" s="11">
        <v>692</v>
      </c>
      <c r="B713" s="11">
        <v>1526</v>
      </c>
      <c r="C713" s="23" t="s">
        <v>650</v>
      </c>
      <c r="D713" s="12" t="s">
        <v>30</v>
      </c>
      <c r="E713" s="12" t="s">
        <v>930</v>
      </c>
    </row>
    <row r="714" spans="1:5" hidden="1">
      <c r="A714" s="11">
        <v>692</v>
      </c>
      <c r="B714" s="11">
        <v>1527</v>
      </c>
      <c r="C714" s="23" t="s">
        <v>643</v>
      </c>
      <c r="D714" s="12" t="s">
        <v>30</v>
      </c>
      <c r="E714" s="12" t="s">
        <v>931</v>
      </c>
    </row>
    <row r="715" spans="1:5" hidden="1">
      <c r="A715" s="11">
        <v>693</v>
      </c>
      <c r="B715" s="11">
        <v>7979</v>
      </c>
      <c r="C715" s="23" t="s">
        <v>640</v>
      </c>
      <c r="D715" s="12" t="s">
        <v>24</v>
      </c>
      <c r="E715" s="12" t="s">
        <v>537</v>
      </c>
    </row>
    <row r="716" spans="1:5" hidden="1">
      <c r="A716" s="11">
        <v>698</v>
      </c>
      <c r="B716" s="11">
        <v>5187</v>
      </c>
      <c r="C716" s="23" t="s">
        <v>640</v>
      </c>
      <c r="D716" s="12" t="s">
        <v>24</v>
      </c>
      <c r="E716" s="12" t="s">
        <v>932</v>
      </c>
    </row>
    <row r="717" spans="1:5" hidden="1">
      <c r="A717" s="11">
        <v>704</v>
      </c>
      <c r="B717" s="11">
        <v>2673</v>
      </c>
      <c r="C717" s="23" t="s">
        <v>638</v>
      </c>
      <c r="D717" s="12" t="s">
        <v>30</v>
      </c>
      <c r="E717" s="12" t="s">
        <v>347</v>
      </c>
    </row>
    <row r="718" spans="1:5" hidden="1">
      <c r="A718" s="11">
        <v>704</v>
      </c>
      <c r="B718" s="11">
        <v>4647</v>
      </c>
      <c r="C718" s="23" t="s">
        <v>638</v>
      </c>
      <c r="D718" s="12" t="s">
        <v>30</v>
      </c>
      <c r="E718" s="12" t="s">
        <v>933</v>
      </c>
    </row>
    <row r="719" spans="1:5" hidden="1">
      <c r="A719" s="11">
        <v>705</v>
      </c>
      <c r="B719" s="11">
        <v>2792</v>
      </c>
      <c r="C719" s="23" t="s">
        <v>638</v>
      </c>
      <c r="D719" s="12" t="s">
        <v>30</v>
      </c>
      <c r="E719" s="12" t="s">
        <v>934</v>
      </c>
    </row>
    <row r="720" spans="1:5" hidden="1">
      <c r="A720" s="11">
        <v>705</v>
      </c>
      <c r="B720" s="11">
        <v>4151</v>
      </c>
      <c r="C720" s="23" t="s">
        <v>643</v>
      </c>
      <c r="D720" s="12" t="s">
        <v>30</v>
      </c>
      <c r="E720" s="12" t="s">
        <v>79</v>
      </c>
    </row>
    <row r="721" spans="1:5" hidden="1">
      <c r="A721" s="11">
        <v>705</v>
      </c>
      <c r="B721" s="11">
        <v>4152</v>
      </c>
      <c r="C721" s="23" t="s">
        <v>643</v>
      </c>
      <c r="D721" s="12" t="s">
        <v>30</v>
      </c>
      <c r="E721" s="12" t="s">
        <v>266</v>
      </c>
    </row>
    <row r="722" spans="1:5" hidden="1">
      <c r="A722" s="11">
        <v>706</v>
      </c>
      <c r="B722" s="11">
        <v>4146</v>
      </c>
      <c r="C722" s="23" t="s">
        <v>638</v>
      </c>
      <c r="D722" s="12" t="s">
        <v>30</v>
      </c>
      <c r="E722" s="12" t="s">
        <v>63</v>
      </c>
    </row>
    <row r="723" spans="1:5" hidden="1">
      <c r="A723" s="11">
        <v>706</v>
      </c>
      <c r="B723" s="11">
        <v>4147</v>
      </c>
      <c r="C723" s="23" t="s">
        <v>638</v>
      </c>
      <c r="D723" s="12" t="s">
        <v>30</v>
      </c>
      <c r="E723" s="12" t="s">
        <v>44</v>
      </c>
    </row>
    <row r="724" spans="1:5" hidden="1">
      <c r="A724" s="11">
        <v>707</v>
      </c>
      <c r="B724" s="11">
        <v>2679</v>
      </c>
      <c r="C724" s="23" t="s">
        <v>650</v>
      </c>
      <c r="D724" s="12" t="s">
        <v>30</v>
      </c>
      <c r="E724" s="12" t="s">
        <v>935</v>
      </c>
    </row>
    <row r="725" spans="1:5" hidden="1">
      <c r="A725" s="11">
        <v>707</v>
      </c>
      <c r="B725" s="11">
        <v>4988</v>
      </c>
      <c r="C725" s="23" t="s">
        <v>650</v>
      </c>
      <c r="D725" s="12" t="s">
        <v>30</v>
      </c>
      <c r="E725" s="12" t="s">
        <v>936</v>
      </c>
    </row>
    <row r="726" spans="1:5" hidden="1">
      <c r="A726" s="11">
        <v>708</v>
      </c>
      <c r="B726" s="11">
        <v>5752</v>
      </c>
      <c r="C726" s="23" t="s">
        <v>638</v>
      </c>
      <c r="D726" s="12" t="s">
        <v>30</v>
      </c>
      <c r="E726" s="12" t="s">
        <v>937</v>
      </c>
    </row>
    <row r="727" spans="1:5" hidden="1">
      <c r="A727" s="11">
        <v>708</v>
      </c>
      <c r="B727" s="11">
        <v>5753</v>
      </c>
      <c r="C727" s="23" t="s">
        <v>638</v>
      </c>
      <c r="D727" s="12" t="s">
        <v>30</v>
      </c>
      <c r="E727" s="12" t="s">
        <v>938</v>
      </c>
    </row>
    <row r="728" spans="1:5" hidden="1">
      <c r="A728" s="11">
        <v>709</v>
      </c>
      <c r="B728" s="11">
        <v>3426</v>
      </c>
      <c r="C728" s="23" t="s">
        <v>643</v>
      </c>
      <c r="D728" s="12" t="s">
        <v>30</v>
      </c>
      <c r="E728" s="12" t="s">
        <v>417</v>
      </c>
    </row>
    <row r="729" spans="1:5" hidden="1">
      <c r="A729" s="11">
        <v>711</v>
      </c>
      <c r="B729" s="11">
        <v>2680</v>
      </c>
      <c r="C729" s="23" t="s">
        <v>638</v>
      </c>
      <c r="D729" s="12" t="s">
        <v>30</v>
      </c>
      <c r="E729" s="12" t="s">
        <v>939</v>
      </c>
    </row>
    <row r="730" spans="1:5" hidden="1">
      <c r="A730" s="11">
        <v>716</v>
      </c>
      <c r="B730" s="11">
        <v>4597</v>
      </c>
      <c r="C730" s="23" t="s">
        <v>638</v>
      </c>
      <c r="D730" s="12" t="s">
        <v>30</v>
      </c>
      <c r="E730" s="12" t="s">
        <v>82</v>
      </c>
    </row>
    <row r="731" spans="1:5" hidden="1">
      <c r="A731" s="11">
        <v>716</v>
      </c>
      <c r="B731" s="11">
        <v>5192</v>
      </c>
      <c r="C731" s="23" t="s">
        <v>640</v>
      </c>
      <c r="D731" s="12" t="s">
        <v>24</v>
      </c>
      <c r="E731" s="12" t="s">
        <v>629</v>
      </c>
    </row>
    <row r="732" spans="1:5" hidden="1">
      <c r="A732" s="11">
        <v>718</v>
      </c>
      <c r="B732" s="11">
        <v>6248</v>
      </c>
      <c r="C732" s="23" t="s">
        <v>640</v>
      </c>
      <c r="D732" s="12" t="s">
        <v>24</v>
      </c>
      <c r="E732" s="12" t="s">
        <v>512</v>
      </c>
    </row>
    <row r="733" spans="1:5" hidden="1">
      <c r="A733" s="11">
        <v>719</v>
      </c>
      <c r="B733" s="11">
        <v>7190</v>
      </c>
      <c r="C733" s="23" t="s">
        <v>638</v>
      </c>
      <c r="D733" s="12" t="s">
        <v>30</v>
      </c>
      <c r="E733" s="12" t="s">
        <v>940</v>
      </c>
    </row>
    <row r="734" spans="1:5" hidden="1">
      <c r="A734" s="11">
        <v>721</v>
      </c>
      <c r="B734" s="11">
        <v>8891</v>
      </c>
      <c r="C734" s="23" t="s">
        <v>650</v>
      </c>
      <c r="D734" s="12" t="s">
        <v>30</v>
      </c>
      <c r="E734" s="12" t="s">
        <v>551</v>
      </c>
    </row>
    <row r="735" spans="1:5" hidden="1">
      <c r="A735" s="11">
        <v>721</v>
      </c>
      <c r="B735" s="11">
        <v>8892</v>
      </c>
      <c r="C735" s="23" t="s">
        <v>650</v>
      </c>
      <c r="D735" s="12" t="s">
        <v>30</v>
      </c>
      <c r="E735" s="12" t="s">
        <v>171</v>
      </c>
    </row>
    <row r="736" spans="1:5" hidden="1">
      <c r="A736" s="11">
        <v>721</v>
      </c>
      <c r="B736" s="11">
        <v>8893</v>
      </c>
      <c r="C736" s="23" t="s">
        <v>650</v>
      </c>
      <c r="D736" s="12" t="s">
        <v>30</v>
      </c>
      <c r="E736" s="12" t="s">
        <v>170</v>
      </c>
    </row>
    <row r="737" spans="1:5" hidden="1">
      <c r="A737" s="11">
        <v>721</v>
      </c>
      <c r="B737" s="11">
        <v>8894</v>
      </c>
      <c r="C737" s="23" t="s">
        <v>650</v>
      </c>
      <c r="D737" s="12" t="s">
        <v>30</v>
      </c>
      <c r="E737" s="12" t="s">
        <v>169</v>
      </c>
    </row>
    <row r="738" spans="1:5" hidden="1">
      <c r="A738" s="11">
        <v>721</v>
      </c>
      <c r="B738" s="11">
        <v>8895</v>
      </c>
      <c r="C738" s="23" t="s">
        <v>650</v>
      </c>
      <c r="D738" s="12" t="s">
        <v>30</v>
      </c>
      <c r="E738" s="12" t="s">
        <v>941</v>
      </c>
    </row>
    <row r="739" spans="1:5" hidden="1">
      <c r="A739" s="11">
        <v>721</v>
      </c>
      <c r="B739" s="11">
        <v>8896</v>
      </c>
      <c r="C739" s="23" t="s">
        <v>640</v>
      </c>
      <c r="D739" s="12" t="s">
        <v>24</v>
      </c>
      <c r="E739" s="12" t="s">
        <v>942</v>
      </c>
    </row>
    <row r="740" spans="1:5" hidden="1">
      <c r="A740" s="11">
        <v>721</v>
      </c>
      <c r="B740" s="11">
        <v>8897</v>
      </c>
      <c r="C740" s="23" t="s">
        <v>643</v>
      </c>
      <c r="D740" s="12" t="s">
        <v>24</v>
      </c>
      <c r="E740" s="12" t="s">
        <v>476</v>
      </c>
    </row>
    <row r="741" spans="1:5" hidden="1">
      <c r="A741" s="11">
        <v>723</v>
      </c>
      <c r="B741" s="11">
        <v>5046</v>
      </c>
      <c r="C741" s="23" t="s">
        <v>640</v>
      </c>
      <c r="D741" s="12" t="s">
        <v>24</v>
      </c>
      <c r="E741" s="12" t="s">
        <v>310</v>
      </c>
    </row>
    <row r="742" spans="1:5" hidden="1">
      <c r="A742" s="11">
        <v>724</v>
      </c>
      <c r="B742" s="11">
        <v>4004</v>
      </c>
      <c r="C742" s="23" t="s">
        <v>638</v>
      </c>
      <c r="D742" s="12" t="s">
        <v>30</v>
      </c>
      <c r="E742" s="12" t="s">
        <v>104</v>
      </c>
    </row>
    <row r="743" spans="1:5" hidden="1">
      <c r="A743" s="11">
        <v>724</v>
      </c>
      <c r="B743" s="11">
        <v>4005</v>
      </c>
      <c r="C743" s="23" t="s">
        <v>638</v>
      </c>
      <c r="D743" s="12" t="s">
        <v>30</v>
      </c>
      <c r="E743" s="12" t="s">
        <v>442</v>
      </c>
    </row>
    <row r="744" spans="1:5" hidden="1">
      <c r="A744" s="11">
        <v>724</v>
      </c>
      <c r="B744" s="11">
        <v>6894</v>
      </c>
      <c r="C744" s="23" t="s">
        <v>643</v>
      </c>
      <c r="D744" s="12" t="s">
        <v>30</v>
      </c>
      <c r="E744" s="12" t="s">
        <v>369</v>
      </c>
    </row>
    <row r="745" spans="1:5" hidden="1">
      <c r="A745" s="11">
        <v>725</v>
      </c>
      <c r="B745" s="11">
        <v>5166</v>
      </c>
      <c r="C745" s="23" t="s">
        <v>640</v>
      </c>
      <c r="D745" s="12" t="s">
        <v>24</v>
      </c>
      <c r="E745" s="12" t="s">
        <v>91</v>
      </c>
    </row>
    <row r="746" spans="1:5" hidden="1">
      <c r="A746" s="11">
        <v>725</v>
      </c>
      <c r="B746" s="11">
        <v>8090</v>
      </c>
      <c r="C746" s="23" t="s">
        <v>640</v>
      </c>
      <c r="D746" s="12" t="s">
        <v>24</v>
      </c>
      <c r="E746" s="12" t="s">
        <v>336</v>
      </c>
    </row>
    <row r="747" spans="1:5" hidden="1">
      <c r="A747" s="11">
        <v>728</v>
      </c>
      <c r="B747" s="11">
        <v>8582</v>
      </c>
      <c r="C747" s="23" t="s">
        <v>638</v>
      </c>
      <c r="D747" s="12" t="s">
        <v>30</v>
      </c>
      <c r="E747" s="12" t="s">
        <v>943</v>
      </c>
    </row>
    <row r="748" spans="1:5" hidden="1">
      <c r="A748" s="11">
        <v>728</v>
      </c>
      <c r="B748" s="11">
        <v>8583</v>
      </c>
      <c r="C748" s="23" t="s">
        <v>638</v>
      </c>
      <c r="D748" s="12" t="s">
        <v>30</v>
      </c>
      <c r="E748" s="12" t="s">
        <v>526</v>
      </c>
    </row>
    <row r="749" spans="1:5" hidden="1">
      <c r="A749" s="11">
        <v>728</v>
      </c>
      <c r="B749" s="11">
        <v>8584</v>
      </c>
      <c r="C749" s="23" t="s">
        <v>638</v>
      </c>
      <c r="D749" s="12" t="s">
        <v>30</v>
      </c>
      <c r="E749" s="12" t="s">
        <v>516</v>
      </c>
    </row>
    <row r="750" spans="1:5" hidden="1">
      <c r="A750" s="11">
        <v>728</v>
      </c>
      <c r="B750" s="11">
        <v>8585</v>
      </c>
      <c r="C750" s="23" t="s">
        <v>638</v>
      </c>
      <c r="D750" s="12" t="s">
        <v>30</v>
      </c>
      <c r="E750" s="12" t="s">
        <v>517</v>
      </c>
    </row>
    <row r="751" spans="1:5" hidden="1">
      <c r="A751" s="11">
        <v>728</v>
      </c>
      <c r="B751" s="11">
        <v>8586</v>
      </c>
      <c r="C751" s="23" t="s">
        <v>640</v>
      </c>
      <c r="D751" s="12" t="s">
        <v>24</v>
      </c>
      <c r="E751" s="12" t="s">
        <v>479</v>
      </c>
    </row>
    <row r="752" spans="1:5" hidden="1">
      <c r="A752" s="11">
        <v>728</v>
      </c>
      <c r="B752" s="11">
        <v>8587</v>
      </c>
      <c r="C752" s="23" t="s">
        <v>640</v>
      </c>
      <c r="D752" s="12" t="s">
        <v>24</v>
      </c>
      <c r="E752" s="12" t="s">
        <v>130</v>
      </c>
    </row>
    <row r="753" spans="1:5" hidden="1">
      <c r="A753" s="11">
        <v>730</v>
      </c>
      <c r="B753" s="11">
        <v>7262</v>
      </c>
      <c r="C753" s="23" t="s">
        <v>650</v>
      </c>
      <c r="D753" s="12" t="s">
        <v>30</v>
      </c>
      <c r="E753" s="12" t="s">
        <v>944</v>
      </c>
    </row>
    <row r="754" spans="1:5" hidden="1">
      <c r="A754" s="11">
        <v>730</v>
      </c>
      <c r="B754" s="11">
        <v>7263</v>
      </c>
      <c r="C754" s="23" t="s">
        <v>650</v>
      </c>
      <c r="D754" s="12" t="s">
        <v>30</v>
      </c>
      <c r="E754" s="12" t="s">
        <v>455</v>
      </c>
    </row>
    <row r="755" spans="1:5" hidden="1">
      <c r="A755" s="11">
        <v>732</v>
      </c>
      <c r="B755" s="11">
        <v>6966</v>
      </c>
      <c r="C755" s="23" t="s">
        <v>643</v>
      </c>
      <c r="D755" s="12" t="s">
        <v>30</v>
      </c>
      <c r="E755" s="12" t="s">
        <v>290</v>
      </c>
    </row>
    <row r="756" spans="1:5" hidden="1">
      <c r="A756" s="11">
        <v>732</v>
      </c>
      <c r="B756" s="11">
        <v>7258</v>
      </c>
      <c r="C756" s="23" t="s">
        <v>650</v>
      </c>
      <c r="D756" s="12" t="s">
        <v>30</v>
      </c>
      <c r="E756" s="12" t="s">
        <v>945</v>
      </c>
    </row>
    <row r="757" spans="1:5" hidden="1">
      <c r="A757" s="11">
        <v>733</v>
      </c>
      <c r="B757" s="11">
        <v>5337</v>
      </c>
      <c r="C757" s="23" t="s">
        <v>650</v>
      </c>
      <c r="D757" s="12" t="s">
        <v>30</v>
      </c>
      <c r="E757" s="12" t="s">
        <v>946</v>
      </c>
    </row>
    <row r="758" spans="1:5" hidden="1">
      <c r="A758" s="11">
        <v>733</v>
      </c>
      <c r="B758" s="11">
        <v>5466</v>
      </c>
      <c r="C758" s="23" t="s">
        <v>650</v>
      </c>
      <c r="D758" s="12" t="s">
        <v>30</v>
      </c>
      <c r="E758" s="12" t="s">
        <v>947</v>
      </c>
    </row>
    <row r="759" spans="1:5" hidden="1">
      <c r="A759" s="11">
        <v>739</v>
      </c>
      <c r="B759" s="11">
        <v>3664</v>
      </c>
      <c r="C759" s="23" t="s">
        <v>643</v>
      </c>
      <c r="D759" s="12" t="s">
        <v>30</v>
      </c>
      <c r="E759" s="12" t="s">
        <v>105</v>
      </c>
    </row>
    <row r="760" spans="1:5" hidden="1">
      <c r="A760" s="11">
        <v>739</v>
      </c>
      <c r="B760" s="11">
        <v>3803</v>
      </c>
      <c r="C760" s="23" t="s">
        <v>643</v>
      </c>
      <c r="D760" s="12" t="s">
        <v>30</v>
      </c>
      <c r="E760" s="12" t="s">
        <v>948</v>
      </c>
    </row>
    <row r="761" spans="1:5" hidden="1">
      <c r="A761" s="11">
        <v>741</v>
      </c>
      <c r="B761" s="11">
        <v>6841</v>
      </c>
      <c r="C761" s="23" t="s">
        <v>643</v>
      </c>
      <c r="D761" s="12" t="s">
        <v>30</v>
      </c>
      <c r="E761" s="12" t="s">
        <v>137</v>
      </c>
    </row>
    <row r="762" spans="1:5" hidden="1">
      <c r="A762" s="11">
        <v>741</v>
      </c>
      <c r="B762" s="11">
        <v>6842</v>
      </c>
      <c r="C762" s="23" t="s">
        <v>643</v>
      </c>
      <c r="D762" s="12" t="s">
        <v>30</v>
      </c>
      <c r="E762" s="12" t="s">
        <v>147</v>
      </c>
    </row>
    <row r="763" spans="1:5" hidden="1">
      <c r="A763" s="11">
        <v>741</v>
      </c>
      <c r="B763" s="11">
        <v>6843</v>
      </c>
      <c r="C763" s="23" t="s">
        <v>643</v>
      </c>
      <c r="D763" s="12" t="s">
        <v>24</v>
      </c>
      <c r="E763" s="12" t="s">
        <v>89</v>
      </c>
    </row>
    <row r="764" spans="1:5" hidden="1">
      <c r="A764" s="11">
        <v>743</v>
      </c>
      <c r="B764" s="11">
        <v>5106</v>
      </c>
      <c r="C764" s="23" t="s">
        <v>640</v>
      </c>
      <c r="D764" s="12" t="s">
        <v>24</v>
      </c>
      <c r="E764" s="12" t="s">
        <v>319</v>
      </c>
    </row>
    <row r="765" spans="1:5" hidden="1">
      <c r="A765" s="11">
        <v>743</v>
      </c>
      <c r="B765" s="11">
        <v>5695</v>
      </c>
      <c r="C765" s="23" t="s">
        <v>638</v>
      </c>
      <c r="D765" s="12" t="s">
        <v>30</v>
      </c>
      <c r="E765" s="12" t="s">
        <v>208</v>
      </c>
    </row>
    <row r="766" spans="1:5" hidden="1">
      <c r="A766" s="11">
        <v>743</v>
      </c>
      <c r="B766" s="11">
        <v>5696</v>
      </c>
      <c r="C766" s="23" t="s">
        <v>638</v>
      </c>
      <c r="D766" s="12" t="s">
        <v>30</v>
      </c>
      <c r="E766" s="12" t="s">
        <v>949</v>
      </c>
    </row>
    <row r="767" spans="1:5" hidden="1">
      <c r="A767" s="11">
        <v>743</v>
      </c>
      <c r="B767" s="11">
        <v>5697</v>
      </c>
      <c r="C767" s="23" t="s">
        <v>638</v>
      </c>
      <c r="D767" s="12" t="s">
        <v>30</v>
      </c>
      <c r="E767" s="12" t="s">
        <v>174</v>
      </c>
    </row>
    <row r="768" spans="1:5" hidden="1">
      <c r="A768" s="11">
        <v>745</v>
      </c>
      <c r="B768" s="11">
        <v>1471</v>
      </c>
      <c r="C768" s="23" t="s">
        <v>638</v>
      </c>
      <c r="D768" s="12" t="s">
        <v>30</v>
      </c>
      <c r="E768" s="12" t="s">
        <v>950</v>
      </c>
    </row>
    <row r="769" spans="1:5" hidden="1">
      <c r="A769" s="11">
        <v>745</v>
      </c>
      <c r="B769" s="11">
        <v>1472</v>
      </c>
      <c r="C769" s="23" t="s">
        <v>638</v>
      </c>
      <c r="D769" s="12" t="s">
        <v>30</v>
      </c>
      <c r="E769" s="12" t="s">
        <v>951</v>
      </c>
    </row>
    <row r="770" spans="1:5" hidden="1">
      <c r="A770" s="11">
        <v>745</v>
      </c>
      <c r="B770" s="11">
        <v>1473</v>
      </c>
      <c r="C770" s="23" t="s">
        <v>638</v>
      </c>
      <c r="D770" s="12" t="s">
        <v>30</v>
      </c>
      <c r="E770" s="12" t="s">
        <v>952</v>
      </c>
    </row>
    <row r="771" spans="1:5" hidden="1">
      <c r="A771" s="11">
        <v>745</v>
      </c>
      <c r="B771" s="11">
        <v>1477</v>
      </c>
      <c r="C771" s="23" t="s">
        <v>640</v>
      </c>
      <c r="D771" s="12" t="s">
        <v>24</v>
      </c>
      <c r="E771" s="12" t="s">
        <v>87</v>
      </c>
    </row>
    <row r="772" spans="1:5" hidden="1">
      <c r="A772" s="12">
        <v>746</v>
      </c>
      <c r="B772" s="12">
        <v>4522</v>
      </c>
      <c r="C772" s="24" t="s">
        <v>643</v>
      </c>
      <c r="D772" s="12" t="s">
        <v>30</v>
      </c>
      <c r="E772" s="12" t="s">
        <v>953</v>
      </c>
    </row>
    <row r="773" spans="1:5" hidden="1">
      <c r="A773" s="25">
        <v>748</v>
      </c>
      <c r="B773" s="25">
        <v>4584</v>
      </c>
      <c r="C773" s="23" t="s">
        <v>638</v>
      </c>
      <c r="D773" s="12" t="s">
        <v>30</v>
      </c>
      <c r="E773" s="12" t="s">
        <v>954</v>
      </c>
    </row>
    <row r="774" spans="1:5" hidden="1">
      <c r="A774" s="25">
        <v>748</v>
      </c>
      <c r="B774" s="25">
        <v>4585</v>
      </c>
      <c r="C774" s="23" t="s">
        <v>638</v>
      </c>
      <c r="D774" s="12" t="s">
        <v>30</v>
      </c>
      <c r="E774" s="12" t="s">
        <v>955</v>
      </c>
    </row>
    <row r="775" spans="1:5" hidden="1">
      <c r="A775" s="11">
        <v>750</v>
      </c>
      <c r="B775" s="11">
        <v>5157</v>
      </c>
      <c r="C775" s="23" t="s">
        <v>640</v>
      </c>
      <c r="D775" s="12" t="s">
        <v>24</v>
      </c>
      <c r="E775" s="12" t="s">
        <v>628</v>
      </c>
    </row>
    <row r="776" spans="1:5" hidden="1">
      <c r="A776" s="25">
        <v>750</v>
      </c>
      <c r="B776" s="25">
        <v>5537</v>
      </c>
      <c r="C776" s="23" t="s">
        <v>638</v>
      </c>
      <c r="D776" s="12" t="s">
        <v>30</v>
      </c>
      <c r="E776" s="12" t="s">
        <v>956</v>
      </c>
    </row>
    <row r="777" spans="1:5" hidden="1">
      <c r="A777" s="11">
        <v>750</v>
      </c>
      <c r="B777" s="11">
        <v>5538</v>
      </c>
      <c r="C777" s="23" t="s">
        <v>638</v>
      </c>
      <c r="D777" s="12" t="s">
        <v>30</v>
      </c>
      <c r="E777" s="12" t="s">
        <v>957</v>
      </c>
    </row>
    <row r="778" spans="1:5" hidden="1">
      <c r="A778" s="11">
        <v>750</v>
      </c>
      <c r="B778" s="11">
        <v>7483</v>
      </c>
      <c r="C778" s="23" t="s">
        <v>638</v>
      </c>
      <c r="D778" s="12" t="s">
        <v>30</v>
      </c>
      <c r="E778" s="12" t="s">
        <v>625</v>
      </c>
    </row>
    <row r="779" spans="1:5" hidden="1">
      <c r="A779" s="11">
        <v>756</v>
      </c>
      <c r="B779" s="11">
        <v>5183</v>
      </c>
      <c r="C779" s="23" t="s">
        <v>643</v>
      </c>
      <c r="D779" s="12" t="s">
        <v>24</v>
      </c>
      <c r="E779" s="12" t="s">
        <v>295</v>
      </c>
    </row>
    <row r="780" spans="1:5" hidden="1">
      <c r="A780" s="11">
        <v>760</v>
      </c>
      <c r="B780" s="11">
        <v>6092</v>
      </c>
      <c r="C780" s="23" t="s">
        <v>640</v>
      </c>
      <c r="D780" s="12" t="s">
        <v>24</v>
      </c>
      <c r="E780" s="12" t="s">
        <v>553</v>
      </c>
    </row>
    <row r="781" spans="1:5" hidden="1">
      <c r="A781" s="11">
        <v>762</v>
      </c>
      <c r="B781" s="11">
        <v>5181</v>
      </c>
      <c r="C781" s="23" t="s">
        <v>640</v>
      </c>
      <c r="D781" s="12" t="s">
        <v>24</v>
      </c>
      <c r="E781" s="12" t="s">
        <v>304</v>
      </c>
    </row>
    <row r="782" spans="1:5" hidden="1">
      <c r="A782" s="11">
        <v>763</v>
      </c>
      <c r="B782" s="11">
        <v>2660</v>
      </c>
      <c r="C782" s="23" t="e">
        <v>#N/A</v>
      </c>
      <c r="D782" s="12" t="s">
        <v>30</v>
      </c>
      <c r="E782" s="12" t="s">
        <v>958</v>
      </c>
    </row>
    <row r="783" spans="1:5" hidden="1">
      <c r="A783" s="11">
        <v>763</v>
      </c>
      <c r="B783" s="11">
        <v>4996</v>
      </c>
      <c r="C783" s="23" t="s">
        <v>643</v>
      </c>
      <c r="D783" s="12" t="s">
        <v>30</v>
      </c>
      <c r="E783" s="12" t="s">
        <v>574</v>
      </c>
    </row>
    <row r="784" spans="1:5" hidden="1">
      <c r="A784" s="11">
        <v>763</v>
      </c>
      <c r="B784" s="11">
        <v>4997</v>
      </c>
      <c r="C784" s="23" t="s">
        <v>643</v>
      </c>
      <c r="D784" s="12" t="s">
        <v>30</v>
      </c>
      <c r="E784" s="12" t="s">
        <v>393</v>
      </c>
    </row>
    <row r="785" spans="1:5" hidden="1">
      <c r="A785" s="11">
        <v>764</v>
      </c>
      <c r="B785" s="11">
        <v>4307</v>
      </c>
      <c r="C785" s="23" t="s">
        <v>650</v>
      </c>
      <c r="D785" s="12" t="s">
        <v>30</v>
      </c>
      <c r="E785" s="12" t="s">
        <v>959</v>
      </c>
    </row>
    <row r="786" spans="1:5" hidden="1">
      <c r="A786" s="11">
        <v>764</v>
      </c>
      <c r="B786" s="11">
        <v>4312</v>
      </c>
      <c r="C786" s="23" t="s">
        <v>650</v>
      </c>
      <c r="D786" s="12" t="s">
        <v>30</v>
      </c>
      <c r="E786" s="12" t="s">
        <v>960</v>
      </c>
    </row>
    <row r="787" spans="1:5" hidden="1">
      <c r="A787" s="11">
        <v>764</v>
      </c>
      <c r="B787" s="11">
        <v>4990</v>
      </c>
      <c r="C787" s="23" t="s">
        <v>650</v>
      </c>
      <c r="D787" s="12" t="s">
        <v>30</v>
      </c>
      <c r="E787" s="12" t="s">
        <v>467</v>
      </c>
    </row>
    <row r="788" spans="1:5" hidden="1">
      <c r="A788" s="11">
        <v>764</v>
      </c>
      <c r="B788" s="11">
        <v>6052</v>
      </c>
      <c r="C788" s="23" t="s">
        <v>638</v>
      </c>
      <c r="D788" s="12" t="s">
        <v>30</v>
      </c>
      <c r="E788" s="12" t="s">
        <v>961</v>
      </c>
    </row>
    <row r="789" spans="1:5" hidden="1">
      <c r="A789" s="11">
        <v>764</v>
      </c>
      <c r="B789" s="11">
        <v>6715</v>
      </c>
      <c r="C789" s="23" t="s">
        <v>643</v>
      </c>
      <c r="D789" s="12" t="s">
        <v>24</v>
      </c>
      <c r="E789" s="12" t="s">
        <v>431</v>
      </c>
    </row>
    <row r="790" spans="1:5" hidden="1">
      <c r="A790" s="11">
        <v>765</v>
      </c>
      <c r="B790" s="11">
        <v>310</v>
      </c>
      <c r="C790" s="23" t="s">
        <v>643</v>
      </c>
      <c r="D790" s="12" t="s">
        <v>30</v>
      </c>
      <c r="E790" s="12" t="s">
        <v>962</v>
      </c>
    </row>
    <row r="791" spans="1:5" hidden="1">
      <c r="A791" s="11">
        <v>765</v>
      </c>
      <c r="B791" s="11">
        <v>4998</v>
      </c>
      <c r="C791" s="23" t="s">
        <v>643</v>
      </c>
      <c r="D791" s="12" t="s">
        <v>30</v>
      </c>
      <c r="E791" s="12" t="s">
        <v>268</v>
      </c>
    </row>
    <row r="792" spans="1:5" hidden="1">
      <c r="A792" s="11">
        <v>769</v>
      </c>
      <c r="B792" s="11">
        <v>5051</v>
      </c>
      <c r="C792" s="23" t="s">
        <v>640</v>
      </c>
      <c r="D792" s="12" t="s">
        <v>24</v>
      </c>
      <c r="E792" s="12" t="s">
        <v>353</v>
      </c>
    </row>
    <row r="793" spans="1:5" hidden="1">
      <c r="A793" s="11">
        <v>769</v>
      </c>
      <c r="B793" s="11">
        <v>8675</v>
      </c>
      <c r="C793" s="23" t="s">
        <v>638</v>
      </c>
      <c r="D793" s="12" t="s">
        <v>30</v>
      </c>
      <c r="E793" s="12" t="s">
        <v>963</v>
      </c>
    </row>
    <row r="794" spans="1:5" hidden="1">
      <c r="A794" s="11">
        <v>769</v>
      </c>
      <c r="B794" s="11">
        <v>8676</v>
      </c>
      <c r="C794" s="23" t="s">
        <v>638</v>
      </c>
      <c r="D794" s="12" t="s">
        <v>30</v>
      </c>
      <c r="E794" s="12" t="s">
        <v>964</v>
      </c>
    </row>
    <row r="795" spans="1:5" hidden="1">
      <c r="A795" s="11">
        <v>769</v>
      </c>
      <c r="B795" s="11">
        <v>8677</v>
      </c>
      <c r="C795" s="23" t="s">
        <v>638</v>
      </c>
      <c r="D795" s="12" t="s">
        <v>30</v>
      </c>
      <c r="E795" s="12" t="s">
        <v>965</v>
      </c>
    </row>
    <row r="796" spans="1:5" hidden="1">
      <c r="A796" s="11">
        <v>769</v>
      </c>
      <c r="B796" s="11">
        <v>8678</v>
      </c>
      <c r="C796" s="23" t="s">
        <v>638</v>
      </c>
      <c r="D796" s="12" t="s">
        <v>30</v>
      </c>
      <c r="E796" s="12" t="s">
        <v>584</v>
      </c>
    </row>
    <row r="797" spans="1:5" hidden="1">
      <c r="A797" s="11">
        <v>769</v>
      </c>
      <c r="B797" s="11">
        <v>8679</v>
      </c>
      <c r="C797" s="23" t="s">
        <v>640</v>
      </c>
      <c r="D797" s="12" t="s">
        <v>24</v>
      </c>
      <c r="E797" s="12" t="s">
        <v>480</v>
      </c>
    </row>
    <row r="798" spans="1:5" hidden="1">
      <c r="A798" s="11">
        <v>772</v>
      </c>
      <c r="B798" s="11">
        <v>3462</v>
      </c>
      <c r="C798" s="23" t="s">
        <v>638</v>
      </c>
      <c r="D798" s="12" t="s">
        <v>30</v>
      </c>
      <c r="E798" s="12" t="s">
        <v>124</v>
      </c>
    </row>
    <row r="799" spans="1:5" hidden="1">
      <c r="A799" s="11">
        <v>772</v>
      </c>
      <c r="B799" s="11">
        <v>7721</v>
      </c>
      <c r="C799" s="23" t="s">
        <v>638</v>
      </c>
      <c r="D799" s="12" t="s">
        <v>30</v>
      </c>
      <c r="E799" s="12" t="s">
        <v>496</v>
      </c>
    </row>
    <row r="800" spans="1:5" hidden="1">
      <c r="A800" s="11">
        <v>775</v>
      </c>
      <c r="B800" s="11">
        <v>6986</v>
      </c>
      <c r="C800" s="23" t="s">
        <v>643</v>
      </c>
      <c r="D800" s="12" t="s">
        <v>30</v>
      </c>
      <c r="E800" s="12" t="s">
        <v>106</v>
      </c>
    </row>
    <row r="801" spans="1:5" hidden="1">
      <c r="A801" s="11">
        <v>777</v>
      </c>
      <c r="B801" s="11">
        <v>4868</v>
      </c>
      <c r="C801" s="23" t="s">
        <v>643</v>
      </c>
      <c r="D801" s="12" t="s">
        <v>24</v>
      </c>
      <c r="E801" s="12" t="s">
        <v>966</v>
      </c>
    </row>
    <row r="802" spans="1:5" hidden="1">
      <c r="A802" s="11">
        <v>777</v>
      </c>
      <c r="B802" s="11">
        <v>5009</v>
      </c>
      <c r="C802" s="23" t="s">
        <v>640</v>
      </c>
      <c r="D802" s="12" t="s">
        <v>24</v>
      </c>
      <c r="E802" s="12" t="s">
        <v>632</v>
      </c>
    </row>
    <row r="803" spans="1:5" hidden="1">
      <c r="A803" s="11">
        <v>777</v>
      </c>
      <c r="B803" s="11">
        <v>8636</v>
      </c>
      <c r="C803" s="23" t="s">
        <v>638</v>
      </c>
      <c r="D803" s="12" t="s">
        <v>30</v>
      </c>
      <c r="E803" s="12" t="s">
        <v>967</v>
      </c>
    </row>
    <row r="804" spans="1:5" hidden="1">
      <c r="A804" s="11">
        <v>777</v>
      </c>
      <c r="B804" s="11">
        <v>8637</v>
      </c>
      <c r="C804" s="23" t="s">
        <v>638</v>
      </c>
      <c r="D804" s="12" t="s">
        <v>30</v>
      </c>
      <c r="E804" s="12" t="s">
        <v>968</v>
      </c>
    </row>
    <row r="805" spans="1:5" hidden="1">
      <c r="A805" s="11">
        <v>779</v>
      </c>
      <c r="B805" s="11">
        <v>5013</v>
      </c>
      <c r="C805" s="23" t="s">
        <v>640</v>
      </c>
      <c r="D805" s="12" t="s">
        <v>24</v>
      </c>
      <c r="E805" s="12" t="s">
        <v>554</v>
      </c>
    </row>
    <row r="806" spans="1:5" hidden="1">
      <c r="A806" s="11">
        <v>779</v>
      </c>
      <c r="B806" s="11">
        <v>8684</v>
      </c>
      <c r="C806" s="23" t="s">
        <v>643</v>
      </c>
      <c r="D806" s="12" t="s">
        <v>24</v>
      </c>
      <c r="E806" s="12" t="s">
        <v>969</v>
      </c>
    </row>
    <row r="807" spans="1:5" hidden="1">
      <c r="A807" s="11">
        <v>779</v>
      </c>
      <c r="B807" s="11">
        <v>8685</v>
      </c>
      <c r="C807" s="23" t="s">
        <v>640</v>
      </c>
      <c r="D807" s="12" t="s">
        <v>24</v>
      </c>
      <c r="E807" s="12" t="s">
        <v>184</v>
      </c>
    </row>
    <row r="808" spans="1:5" hidden="1">
      <c r="A808" s="11">
        <v>780</v>
      </c>
      <c r="B808" s="11">
        <v>4713</v>
      </c>
      <c r="C808" s="23" t="s">
        <v>643</v>
      </c>
      <c r="D808" s="12" t="s">
        <v>30</v>
      </c>
      <c r="E808" s="12" t="s">
        <v>539</v>
      </c>
    </row>
    <row r="809" spans="1:5" hidden="1">
      <c r="A809" s="11">
        <v>780</v>
      </c>
      <c r="B809" s="11">
        <v>4714</v>
      </c>
      <c r="C809" s="23" t="s">
        <v>643</v>
      </c>
      <c r="D809" s="12" t="s">
        <v>30</v>
      </c>
      <c r="E809" s="12" t="s">
        <v>107</v>
      </c>
    </row>
    <row r="810" spans="1:5" hidden="1">
      <c r="A810" s="11">
        <v>780</v>
      </c>
      <c r="B810" s="11">
        <v>4715</v>
      </c>
      <c r="C810" s="23" t="s">
        <v>643</v>
      </c>
      <c r="D810" s="12" t="s">
        <v>30</v>
      </c>
      <c r="E810" s="12" t="s">
        <v>540</v>
      </c>
    </row>
    <row r="811" spans="1:5" hidden="1">
      <c r="A811" s="11">
        <v>781</v>
      </c>
      <c r="B811" s="11">
        <v>5057</v>
      </c>
      <c r="C811" s="23" t="s">
        <v>640</v>
      </c>
      <c r="D811" s="12" t="s">
        <v>24</v>
      </c>
      <c r="E811" s="12" t="s">
        <v>370</v>
      </c>
    </row>
    <row r="812" spans="1:5" hidden="1">
      <c r="A812" s="11">
        <v>782</v>
      </c>
      <c r="B812" s="11">
        <v>9854</v>
      </c>
      <c r="C812" s="23" t="s">
        <v>650</v>
      </c>
      <c r="D812" s="12" t="s">
        <v>30</v>
      </c>
      <c r="E812" s="12" t="s">
        <v>970</v>
      </c>
    </row>
    <row r="813" spans="1:5" hidden="1">
      <c r="A813" s="11">
        <v>782</v>
      </c>
      <c r="B813" s="11">
        <v>9855</v>
      </c>
      <c r="C813" s="23" t="s">
        <v>650</v>
      </c>
      <c r="D813" s="12" t="s">
        <v>30</v>
      </c>
      <c r="E813" s="12" t="s">
        <v>971</v>
      </c>
    </row>
    <row r="814" spans="1:5" hidden="1">
      <c r="A814" s="11">
        <v>789</v>
      </c>
      <c r="B814" s="11">
        <v>3145</v>
      </c>
      <c r="C814" s="23" t="s">
        <v>638</v>
      </c>
      <c r="D814" s="12" t="s">
        <v>30</v>
      </c>
      <c r="E814" s="12" t="s">
        <v>465</v>
      </c>
    </row>
    <row r="815" spans="1:5" hidden="1">
      <c r="A815" s="11">
        <v>789</v>
      </c>
      <c r="B815" s="11">
        <v>5118</v>
      </c>
      <c r="C815" s="23" t="s">
        <v>643</v>
      </c>
      <c r="D815" s="12" t="s">
        <v>24</v>
      </c>
      <c r="E815" s="12" t="s">
        <v>545</v>
      </c>
    </row>
    <row r="816" spans="1:5" hidden="1">
      <c r="A816" s="11">
        <v>789</v>
      </c>
      <c r="B816" s="11">
        <v>5660</v>
      </c>
      <c r="C816" s="23" t="s">
        <v>643</v>
      </c>
      <c r="D816" s="12" t="s">
        <v>30</v>
      </c>
      <c r="E816" s="12" t="s">
        <v>550</v>
      </c>
    </row>
    <row r="817" spans="1:5" hidden="1">
      <c r="A817" s="11">
        <v>789</v>
      </c>
      <c r="B817" s="11">
        <v>5661</v>
      </c>
      <c r="C817" s="23" t="s">
        <v>643</v>
      </c>
      <c r="D817" s="12" t="s">
        <v>30</v>
      </c>
      <c r="E817" s="12" t="s">
        <v>494</v>
      </c>
    </row>
    <row r="818" spans="1:5" hidden="1">
      <c r="A818" s="11">
        <v>792</v>
      </c>
      <c r="B818" s="11">
        <v>4512</v>
      </c>
      <c r="C818" s="23" t="s">
        <v>650</v>
      </c>
      <c r="D818" s="12" t="s">
        <v>30</v>
      </c>
      <c r="E818" s="12" t="s">
        <v>972</v>
      </c>
    </row>
    <row r="819" spans="1:5" hidden="1">
      <c r="A819" s="11">
        <v>793</v>
      </c>
      <c r="B819" s="11">
        <v>5216</v>
      </c>
      <c r="C819" s="23" t="s">
        <v>640</v>
      </c>
      <c r="D819" s="12" t="s">
        <v>24</v>
      </c>
      <c r="E819" s="12" t="s">
        <v>127</v>
      </c>
    </row>
    <row r="820" spans="1:5" hidden="1">
      <c r="A820" s="11">
        <v>793</v>
      </c>
      <c r="B820" s="11">
        <v>8469</v>
      </c>
      <c r="C820" s="23" t="s">
        <v>638</v>
      </c>
      <c r="D820" s="12" t="s">
        <v>30</v>
      </c>
      <c r="E820" s="12" t="s">
        <v>973</v>
      </c>
    </row>
    <row r="821" spans="1:5" hidden="1">
      <c r="A821" s="11">
        <v>795</v>
      </c>
      <c r="B821" s="11">
        <v>1021</v>
      </c>
      <c r="C821" s="23" t="s">
        <v>643</v>
      </c>
      <c r="D821" s="12" t="s">
        <v>30</v>
      </c>
      <c r="E821" s="12" t="s">
        <v>974</v>
      </c>
    </row>
    <row r="822" spans="1:5" hidden="1">
      <c r="A822" s="11">
        <v>795</v>
      </c>
      <c r="B822" s="11">
        <v>1022</v>
      </c>
      <c r="C822" s="23" t="s">
        <v>643</v>
      </c>
      <c r="D822" s="12" t="s">
        <v>30</v>
      </c>
      <c r="E822" s="12" t="s">
        <v>975</v>
      </c>
    </row>
    <row r="823" spans="1:5" hidden="1">
      <c r="A823" s="11">
        <v>795</v>
      </c>
      <c r="B823" s="11">
        <v>1023</v>
      </c>
      <c r="C823" s="23" t="s">
        <v>643</v>
      </c>
      <c r="D823" s="12" t="s">
        <v>30</v>
      </c>
      <c r="E823" s="12" t="s">
        <v>620</v>
      </c>
    </row>
    <row r="824" spans="1:5" hidden="1">
      <c r="A824" s="11">
        <v>795</v>
      </c>
      <c r="B824" s="11">
        <v>1027</v>
      </c>
      <c r="C824" s="23" t="s">
        <v>640</v>
      </c>
      <c r="D824" s="12" t="s">
        <v>24</v>
      </c>
      <c r="E824" s="12" t="s">
        <v>276</v>
      </c>
    </row>
    <row r="825" spans="1:5" hidden="1">
      <c r="A825" s="11">
        <v>795</v>
      </c>
      <c r="B825" s="11">
        <v>1028</v>
      </c>
      <c r="C825" s="23" t="s">
        <v>640</v>
      </c>
      <c r="D825" s="12" t="s">
        <v>24</v>
      </c>
      <c r="E825" s="12" t="s">
        <v>305</v>
      </c>
    </row>
    <row r="826" spans="1:5" hidden="1">
      <c r="A826" s="11">
        <v>795</v>
      </c>
      <c r="B826" s="11">
        <v>1029</v>
      </c>
      <c r="C826" s="23" t="s">
        <v>640</v>
      </c>
      <c r="D826" s="12" t="s">
        <v>24</v>
      </c>
      <c r="E826" s="12" t="s">
        <v>383</v>
      </c>
    </row>
    <row r="827" spans="1:5" hidden="1">
      <c r="A827" s="11">
        <v>796</v>
      </c>
      <c r="B827" s="11">
        <v>6911</v>
      </c>
      <c r="C827" s="23" t="s">
        <v>643</v>
      </c>
      <c r="D827" s="12" t="s">
        <v>24</v>
      </c>
      <c r="E827" s="12" t="s">
        <v>976</v>
      </c>
    </row>
    <row r="828" spans="1:5" hidden="1">
      <c r="A828" s="11">
        <v>799</v>
      </c>
      <c r="B828" s="11">
        <v>8184</v>
      </c>
      <c r="C828" s="23" t="s">
        <v>643</v>
      </c>
      <c r="D828" s="12" t="s">
        <v>30</v>
      </c>
      <c r="E828" s="12" t="s">
        <v>69</v>
      </c>
    </row>
    <row r="829" spans="1:5" hidden="1">
      <c r="A829" s="11">
        <v>799</v>
      </c>
      <c r="B829" s="11">
        <v>8185</v>
      </c>
      <c r="C829" s="23" t="s">
        <v>643</v>
      </c>
      <c r="D829" s="12" t="s">
        <v>30</v>
      </c>
      <c r="E829" s="12" t="s">
        <v>101</v>
      </c>
    </row>
    <row r="830" spans="1:5" hidden="1">
      <c r="A830" s="11">
        <v>799</v>
      </c>
      <c r="B830" s="11">
        <v>8186</v>
      </c>
      <c r="C830" s="23" t="s">
        <v>643</v>
      </c>
      <c r="D830" s="12" t="s">
        <v>30</v>
      </c>
      <c r="E830" s="12" t="s">
        <v>463</v>
      </c>
    </row>
    <row r="831" spans="1:5" hidden="1">
      <c r="A831" s="11">
        <v>799</v>
      </c>
      <c r="B831" s="11">
        <v>8187</v>
      </c>
      <c r="C831" s="23" t="s">
        <v>643</v>
      </c>
      <c r="D831" s="12" t="s">
        <v>30</v>
      </c>
      <c r="E831" s="12" t="s">
        <v>338</v>
      </c>
    </row>
    <row r="832" spans="1:5" hidden="1">
      <c r="A832" s="11">
        <v>802</v>
      </c>
      <c r="B832" s="11">
        <v>2711</v>
      </c>
      <c r="C832" s="23" t="s">
        <v>638</v>
      </c>
      <c r="D832" s="12" t="s">
        <v>30</v>
      </c>
      <c r="E832" s="12" t="s">
        <v>497</v>
      </c>
    </row>
    <row r="833" spans="1:5" hidden="1">
      <c r="A833" s="11">
        <v>802</v>
      </c>
      <c r="B833" s="11">
        <v>2712</v>
      </c>
      <c r="C833" s="23" t="s">
        <v>638</v>
      </c>
      <c r="D833" s="12" t="s">
        <v>30</v>
      </c>
      <c r="E833" s="12" t="s">
        <v>498</v>
      </c>
    </row>
    <row r="834" spans="1:5" hidden="1">
      <c r="A834" s="11">
        <v>802</v>
      </c>
      <c r="B834" s="11">
        <v>6323</v>
      </c>
      <c r="C834" s="23" t="s">
        <v>638</v>
      </c>
      <c r="D834" s="12" t="s">
        <v>30</v>
      </c>
      <c r="E834" s="12" t="s">
        <v>977</v>
      </c>
    </row>
    <row r="835" spans="1:5" hidden="1">
      <c r="A835" s="11">
        <v>806</v>
      </c>
      <c r="B835" s="11">
        <v>5156</v>
      </c>
      <c r="C835" s="23" t="s">
        <v>640</v>
      </c>
      <c r="D835" s="12" t="s">
        <v>24</v>
      </c>
      <c r="E835" s="12" t="s">
        <v>426</v>
      </c>
    </row>
    <row r="836" spans="1:5" hidden="1">
      <c r="A836" s="11">
        <v>809</v>
      </c>
      <c r="B836" s="11">
        <v>3131</v>
      </c>
      <c r="C836" s="23" t="s">
        <v>638</v>
      </c>
      <c r="D836" s="12" t="s">
        <v>30</v>
      </c>
      <c r="E836" s="12" t="s">
        <v>978</v>
      </c>
    </row>
    <row r="837" spans="1:5" hidden="1">
      <c r="A837" s="11">
        <v>809</v>
      </c>
      <c r="B837" s="11">
        <v>6400</v>
      </c>
      <c r="C837" s="23" t="s">
        <v>638</v>
      </c>
      <c r="D837" s="12" t="s">
        <v>30</v>
      </c>
      <c r="E837" s="12" t="s">
        <v>979</v>
      </c>
    </row>
    <row r="838" spans="1:5" hidden="1">
      <c r="A838" s="11">
        <v>810</v>
      </c>
      <c r="B838" s="11">
        <v>8204</v>
      </c>
      <c r="C838" s="23" t="s">
        <v>640</v>
      </c>
      <c r="D838" s="12" t="s">
        <v>24</v>
      </c>
      <c r="E838" s="12" t="s">
        <v>360</v>
      </c>
    </row>
    <row r="839" spans="1:5" hidden="1">
      <c r="A839" s="11">
        <v>812</v>
      </c>
      <c r="B839" s="11">
        <v>5144</v>
      </c>
      <c r="C839" s="23" t="s">
        <v>640</v>
      </c>
      <c r="D839" s="12" t="s">
        <v>24</v>
      </c>
      <c r="E839" s="12" t="s">
        <v>562</v>
      </c>
    </row>
    <row r="840" spans="1:5" hidden="1">
      <c r="A840" s="11">
        <v>812</v>
      </c>
      <c r="B840" s="11">
        <v>7613</v>
      </c>
      <c r="C840" s="23" t="s">
        <v>643</v>
      </c>
      <c r="D840" s="12" t="s">
        <v>24</v>
      </c>
      <c r="E840" s="12" t="s">
        <v>251</v>
      </c>
    </row>
    <row r="841" spans="1:5" hidden="1">
      <c r="A841" s="11">
        <v>812</v>
      </c>
      <c r="B841" s="11">
        <v>7614</v>
      </c>
      <c r="C841" s="23" t="s">
        <v>643</v>
      </c>
      <c r="D841" s="12" t="s">
        <v>24</v>
      </c>
      <c r="E841" s="12" t="s">
        <v>335</v>
      </c>
    </row>
    <row r="842" spans="1:5" hidden="1">
      <c r="A842" s="11">
        <v>816</v>
      </c>
      <c r="B842" s="11">
        <v>4113</v>
      </c>
      <c r="C842" s="23" t="s">
        <v>638</v>
      </c>
      <c r="D842" s="12" t="s">
        <v>30</v>
      </c>
      <c r="E842" s="12" t="s">
        <v>83</v>
      </c>
    </row>
    <row r="843" spans="1:5" hidden="1">
      <c r="A843" s="11">
        <v>816</v>
      </c>
      <c r="B843" s="11">
        <v>5205</v>
      </c>
      <c r="C843" s="23" t="s">
        <v>640</v>
      </c>
      <c r="D843" s="12" t="s">
        <v>24</v>
      </c>
      <c r="E843" s="12" t="s">
        <v>264</v>
      </c>
    </row>
    <row r="844" spans="1:5" hidden="1">
      <c r="A844" s="11">
        <v>820</v>
      </c>
      <c r="B844" s="11">
        <v>6174</v>
      </c>
      <c r="C844" s="23" t="s">
        <v>640</v>
      </c>
      <c r="D844" s="12" t="s">
        <v>24</v>
      </c>
      <c r="E844" s="12" t="s">
        <v>395</v>
      </c>
    </row>
    <row r="845" spans="1:5" hidden="1">
      <c r="A845" s="11">
        <v>820</v>
      </c>
      <c r="B845" s="11">
        <v>6988</v>
      </c>
      <c r="C845" s="23" t="s">
        <v>643</v>
      </c>
      <c r="D845" s="12" t="s">
        <v>30</v>
      </c>
      <c r="E845" s="12" t="s">
        <v>217</v>
      </c>
    </row>
    <row r="846" spans="1:5" hidden="1">
      <c r="A846" s="11">
        <v>824</v>
      </c>
      <c r="B846" s="11">
        <v>217</v>
      </c>
      <c r="C846" s="23" t="s">
        <v>638</v>
      </c>
      <c r="D846" s="12" t="s">
        <v>30</v>
      </c>
      <c r="E846" s="12" t="s">
        <v>980</v>
      </c>
    </row>
    <row r="847" spans="1:5" hidden="1">
      <c r="A847" s="11">
        <v>824</v>
      </c>
      <c r="B847" s="11">
        <v>220</v>
      </c>
      <c r="C847" s="23" t="s">
        <v>638</v>
      </c>
      <c r="D847" s="12" t="s">
        <v>30</v>
      </c>
      <c r="E847" s="12" t="s">
        <v>981</v>
      </c>
    </row>
    <row r="848" spans="1:5" hidden="1">
      <c r="A848" s="11">
        <v>824</v>
      </c>
      <c r="B848" s="11">
        <v>223</v>
      </c>
      <c r="C848" s="23" t="s">
        <v>638</v>
      </c>
      <c r="D848" s="12" t="s">
        <v>30</v>
      </c>
      <c r="E848" s="12" t="s">
        <v>982</v>
      </c>
    </row>
    <row r="849" spans="1:5" hidden="1">
      <c r="A849" s="11">
        <v>824</v>
      </c>
      <c r="B849" s="11">
        <v>5040</v>
      </c>
      <c r="C849" s="23" t="s">
        <v>640</v>
      </c>
      <c r="D849" s="12" t="s">
        <v>24</v>
      </c>
      <c r="E849" s="12" t="s">
        <v>530</v>
      </c>
    </row>
    <row r="850" spans="1:5" hidden="1">
      <c r="A850" s="11">
        <v>825</v>
      </c>
      <c r="B850" s="11">
        <v>5023</v>
      </c>
      <c r="C850" s="23" t="s">
        <v>640</v>
      </c>
      <c r="D850" s="12" t="s">
        <v>24</v>
      </c>
      <c r="E850" s="12" t="s">
        <v>162</v>
      </c>
    </row>
    <row r="851" spans="1:5" hidden="1">
      <c r="A851" s="11">
        <v>828</v>
      </c>
      <c r="B851" s="11">
        <v>2234</v>
      </c>
      <c r="C851" s="23" t="s">
        <v>643</v>
      </c>
      <c r="D851" s="12" t="s">
        <v>30</v>
      </c>
      <c r="E851" s="12" t="s">
        <v>236</v>
      </c>
    </row>
    <row r="852" spans="1:5" hidden="1">
      <c r="A852" s="11">
        <v>828</v>
      </c>
      <c r="B852" s="11">
        <v>2235</v>
      </c>
      <c r="C852" s="23" t="s">
        <v>643</v>
      </c>
      <c r="D852" s="12" t="s">
        <v>30</v>
      </c>
      <c r="E852" s="12" t="s">
        <v>237</v>
      </c>
    </row>
    <row r="853" spans="1:5" hidden="1">
      <c r="A853" s="11">
        <v>828</v>
      </c>
      <c r="B853" s="11">
        <v>3101</v>
      </c>
      <c r="C853" s="23" t="s">
        <v>638</v>
      </c>
      <c r="D853" s="12" t="s">
        <v>30</v>
      </c>
      <c r="E853" s="12" t="s">
        <v>983</v>
      </c>
    </row>
    <row r="854" spans="1:5" hidden="1">
      <c r="A854" s="11">
        <v>828</v>
      </c>
      <c r="B854" s="11">
        <v>3103</v>
      </c>
      <c r="C854" s="23" t="s">
        <v>638</v>
      </c>
      <c r="D854" s="12" t="s">
        <v>30</v>
      </c>
      <c r="E854" s="12" t="s">
        <v>984</v>
      </c>
    </row>
    <row r="855" spans="1:5" hidden="1">
      <c r="A855" s="11">
        <v>828</v>
      </c>
      <c r="B855" s="11">
        <v>8331</v>
      </c>
      <c r="C855" s="23" t="s">
        <v>638</v>
      </c>
      <c r="D855" s="12" t="s">
        <v>30</v>
      </c>
      <c r="E855" s="12" t="s">
        <v>985</v>
      </c>
    </row>
    <row r="856" spans="1:5" hidden="1">
      <c r="A856" s="11">
        <v>829</v>
      </c>
      <c r="B856" s="11">
        <v>1155</v>
      </c>
      <c r="C856" s="23" t="s">
        <v>638</v>
      </c>
      <c r="D856" s="12" t="s">
        <v>30</v>
      </c>
      <c r="E856" s="12" t="s">
        <v>986</v>
      </c>
    </row>
    <row r="857" spans="1:5" hidden="1">
      <c r="A857" s="11">
        <v>829</v>
      </c>
      <c r="B857" s="11">
        <v>1156</v>
      </c>
      <c r="C857" s="23" t="s">
        <v>638</v>
      </c>
      <c r="D857" s="12" t="s">
        <v>30</v>
      </c>
      <c r="E857" s="12" t="s">
        <v>343</v>
      </c>
    </row>
    <row r="858" spans="1:5" hidden="1">
      <c r="A858" s="11">
        <v>829</v>
      </c>
      <c r="B858" s="11">
        <v>1157</v>
      </c>
      <c r="C858" s="23" t="s">
        <v>638</v>
      </c>
      <c r="D858" s="12" t="s">
        <v>30</v>
      </c>
      <c r="E858" s="12" t="s">
        <v>987</v>
      </c>
    </row>
    <row r="859" spans="1:5" hidden="1">
      <c r="A859" s="11">
        <v>829</v>
      </c>
      <c r="B859" s="11">
        <v>5137</v>
      </c>
      <c r="C859" s="23" t="s">
        <v>640</v>
      </c>
      <c r="D859" s="12" t="s">
        <v>24</v>
      </c>
      <c r="E859" s="12" t="s">
        <v>50</v>
      </c>
    </row>
    <row r="860" spans="1:5" hidden="1">
      <c r="A860" s="11">
        <v>829</v>
      </c>
      <c r="B860" s="11">
        <v>5762</v>
      </c>
      <c r="C860" s="23" t="s">
        <v>638</v>
      </c>
      <c r="D860" s="12" t="s">
        <v>30</v>
      </c>
      <c r="E860" s="12" t="s">
        <v>988</v>
      </c>
    </row>
    <row r="861" spans="1:5" hidden="1">
      <c r="A861" s="11">
        <v>831</v>
      </c>
      <c r="B861" s="11">
        <v>1014</v>
      </c>
      <c r="C861" s="23" t="s">
        <v>638</v>
      </c>
      <c r="D861" s="12" t="s">
        <v>30</v>
      </c>
      <c r="E861" s="12" t="s">
        <v>989</v>
      </c>
    </row>
    <row r="862" spans="1:5" hidden="1">
      <c r="A862" s="11">
        <v>831</v>
      </c>
      <c r="B862" s="11">
        <v>3909</v>
      </c>
      <c r="C862" s="23" t="s">
        <v>638</v>
      </c>
      <c r="D862" s="12" t="s">
        <v>30</v>
      </c>
      <c r="E862" s="12" t="s">
        <v>627</v>
      </c>
    </row>
    <row r="863" spans="1:5" hidden="1">
      <c r="A863" s="11">
        <v>831</v>
      </c>
      <c r="B863" s="11">
        <v>4654</v>
      </c>
      <c r="C863" s="23" t="s">
        <v>638</v>
      </c>
      <c r="D863" s="12" t="s">
        <v>30</v>
      </c>
      <c r="E863" s="12" t="s">
        <v>179</v>
      </c>
    </row>
    <row r="864" spans="1:5" hidden="1">
      <c r="A864" s="11">
        <v>832</v>
      </c>
      <c r="B864" s="11">
        <v>4767</v>
      </c>
      <c r="C864" s="23" t="s">
        <v>643</v>
      </c>
      <c r="D864" s="12" t="s">
        <v>30</v>
      </c>
      <c r="E864" s="12" t="s">
        <v>204</v>
      </c>
    </row>
    <row r="865" spans="1:5" hidden="1">
      <c r="A865" s="11">
        <v>832</v>
      </c>
      <c r="B865" s="11">
        <v>4768</v>
      </c>
      <c r="C865" s="23" t="s">
        <v>643</v>
      </c>
      <c r="D865" s="12" t="s">
        <v>30</v>
      </c>
      <c r="E865" s="12" t="s">
        <v>207</v>
      </c>
    </row>
    <row r="866" spans="1:5" hidden="1">
      <c r="A866" s="11">
        <v>838</v>
      </c>
      <c r="B866" s="11">
        <v>4008</v>
      </c>
      <c r="C866" s="23" t="s">
        <v>638</v>
      </c>
      <c r="D866" s="12" t="s">
        <v>30</v>
      </c>
      <c r="E866" s="12" t="s">
        <v>990</v>
      </c>
    </row>
    <row r="867" spans="1:5" hidden="1">
      <c r="A867" s="11">
        <v>838</v>
      </c>
      <c r="B867" s="11">
        <v>4009</v>
      </c>
      <c r="C867" s="23" t="s">
        <v>638</v>
      </c>
      <c r="D867" s="12" t="s">
        <v>30</v>
      </c>
      <c r="E867" s="12" t="s">
        <v>238</v>
      </c>
    </row>
    <row r="868" spans="1:5" hidden="1">
      <c r="A868" s="11">
        <v>838</v>
      </c>
      <c r="B868" s="11">
        <v>8382</v>
      </c>
      <c r="C868" s="23" t="s">
        <v>638</v>
      </c>
      <c r="D868" s="12" t="s">
        <v>30</v>
      </c>
      <c r="E868" s="12" t="s">
        <v>991</v>
      </c>
    </row>
    <row r="869" spans="1:5" hidden="1">
      <c r="A869" s="11">
        <v>838</v>
      </c>
      <c r="B869" s="11">
        <v>8383</v>
      </c>
      <c r="C869" s="23" t="s">
        <v>638</v>
      </c>
      <c r="D869" s="12" t="s">
        <v>30</v>
      </c>
      <c r="E869" s="12" t="s">
        <v>992</v>
      </c>
    </row>
    <row r="870" spans="1:5" hidden="1">
      <c r="A870" s="11">
        <v>840</v>
      </c>
      <c r="B870" s="11">
        <v>4248</v>
      </c>
      <c r="C870" s="23" t="s">
        <v>643</v>
      </c>
      <c r="D870" s="12" t="s">
        <v>30</v>
      </c>
      <c r="E870" s="12" t="s">
        <v>286</v>
      </c>
    </row>
    <row r="871" spans="1:5" hidden="1">
      <c r="A871" s="11">
        <v>840</v>
      </c>
      <c r="B871" s="11">
        <v>4332</v>
      </c>
      <c r="C871" s="23" t="s">
        <v>638</v>
      </c>
      <c r="D871" s="12" t="s">
        <v>30</v>
      </c>
      <c r="E871" s="12" t="s">
        <v>993</v>
      </c>
    </row>
    <row r="872" spans="1:5" hidden="1">
      <c r="A872" s="11">
        <v>842</v>
      </c>
      <c r="B872" s="11">
        <v>1645</v>
      </c>
      <c r="C872" s="23" t="s">
        <v>650</v>
      </c>
      <c r="D872" s="12" t="s">
        <v>30</v>
      </c>
      <c r="E872" s="12" t="s">
        <v>66</v>
      </c>
    </row>
    <row r="873" spans="1:5" hidden="1">
      <c r="A873" s="11">
        <v>842</v>
      </c>
      <c r="B873" s="11">
        <v>1646</v>
      </c>
      <c r="C873" s="23" t="s">
        <v>638</v>
      </c>
      <c r="D873" s="12" t="s">
        <v>30</v>
      </c>
      <c r="E873" s="12" t="s">
        <v>570</v>
      </c>
    </row>
    <row r="874" spans="1:5" hidden="1">
      <c r="A874" s="11">
        <v>843</v>
      </c>
      <c r="B874" s="11">
        <v>6716</v>
      </c>
      <c r="C874" s="23" t="s">
        <v>643</v>
      </c>
      <c r="D874" s="12" t="s">
        <v>24</v>
      </c>
      <c r="E874" s="12" t="s">
        <v>333</v>
      </c>
    </row>
    <row r="875" spans="1:5" hidden="1">
      <c r="A875" s="11">
        <v>844</v>
      </c>
      <c r="B875" s="11">
        <v>6157</v>
      </c>
      <c r="C875" s="23" t="s">
        <v>643</v>
      </c>
      <c r="D875" s="12" t="s">
        <v>30</v>
      </c>
      <c r="E875" s="12" t="s">
        <v>43</v>
      </c>
    </row>
    <row r="876" spans="1:5" hidden="1">
      <c r="A876" s="11">
        <v>844</v>
      </c>
      <c r="B876" s="11">
        <v>6169</v>
      </c>
      <c r="C876" s="23" t="s">
        <v>640</v>
      </c>
      <c r="D876" s="12" t="s">
        <v>24</v>
      </c>
      <c r="E876" s="12" t="s">
        <v>296</v>
      </c>
    </row>
    <row r="877" spans="1:5" hidden="1">
      <c r="A877" s="11">
        <v>845</v>
      </c>
      <c r="B877" s="11">
        <v>4007</v>
      </c>
      <c r="C877" s="23" t="s">
        <v>638</v>
      </c>
      <c r="D877" s="12" t="s">
        <v>30</v>
      </c>
      <c r="E877" s="12" t="s">
        <v>363</v>
      </c>
    </row>
    <row r="878" spans="1:5" hidden="1">
      <c r="A878" s="11">
        <v>845</v>
      </c>
      <c r="B878" s="11">
        <v>9232</v>
      </c>
      <c r="C878" s="23" t="s">
        <v>640</v>
      </c>
      <c r="D878" s="12" t="s">
        <v>24</v>
      </c>
      <c r="E878" s="12" t="s">
        <v>994</v>
      </c>
    </row>
    <row r="879" spans="1:5" hidden="1">
      <c r="A879" s="11">
        <v>846</v>
      </c>
      <c r="B879" s="11">
        <v>4376</v>
      </c>
      <c r="C879" s="23" t="s">
        <v>638</v>
      </c>
      <c r="D879" s="12" t="s">
        <v>30</v>
      </c>
      <c r="E879" s="12" t="s">
        <v>995</v>
      </c>
    </row>
    <row r="880" spans="1:5" hidden="1">
      <c r="A880" s="11">
        <v>846</v>
      </c>
      <c r="B880" s="11">
        <v>4377</v>
      </c>
      <c r="C880" s="23" t="s">
        <v>638</v>
      </c>
      <c r="D880" s="12" t="s">
        <v>30</v>
      </c>
      <c r="E880" s="12" t="s">
        <v>996</v>
      </c>
    </row>
    <row r="881" spans="1:5" hidden="1">
      <c r="A881" s="11">
        <v>846</v>
      </c>
      <c r="B881" s="11">
        <v>9410</v>
      </c>
      <c r="C881" s="23" t="s">
        <v>643</v>
      </c>
      <c r="D881" s="12" t="s">
        <v>30</v>
      </c>
      <c r="E881" s="12" t="s">
        <v>997</v>
      </c>
    </row>
    <row r="882" spans="1:5" hidden="1">
      <c r="A882" s="11">
        <v>847</v>
      </c>
      <c r="B882" s="11">
        <v>4386</v>
      </c>
      <c r="C882" s="23" t="s">
        <v>638</v>
      </c>
      <c r="D882" s="12" t="s">
        <v>30</v>
      </c>
      <c r="E882" s="12" t="s">
        <v>520</v>
      </c>
    </row>
    <row r="883" spans="1:5" hidden="1">
      <c r="A883" s="11">
        <v>848</v>
      </c>
      <c r="B883" s="11">
        <v>4739</v>
      </c>
      <c r="C883" s="23" t="s">
        <v>643</v>
      </c>
      <c r="D883" s="12" t="s">
        <v>30</v>
      </c>
      <c r="E883" s="12" t="s">
        <v>72</v>
      </c>
    </row>
    <row r="884" spans="1:5" hidden="1">
      <c r="A884" s="11">
        <v>848</v>
      </c>
      <c r="B884" s="11">
        <v>4740</v>
      </c>
      <c r="C884" s="23" t="s">
        <v>643</v>
      </c>
      <c r="D884" s="12" t="s">
        <v>30</v>
      </c>
      <c r="E884" s="12" t="s">
        <v>599</v>
      </c>
    </row>
    <row r="885" spans="1:5" hidden="1">
      <c r="A885" s="11">
        <v>848</v>
      </c>
      <c r="B885" s="11">
        <v>7374</v>
      </c>
      <c r="C885" s="23" t="s">
        <v>643</v>
      </c>
      <c r="D885" s="12" t="s">
        <v>24</v>
      </c>
      <c r="E885" s="12" t="s">
        <v>998</v>
      </c>
    </row>
    <row r="886" spans="1:5" hidden="1">
      <c r="A886" s="11">
        <v>849</v>
      </c>
      <c r="B886" s="11">
        <v>9720</v>
      </c>
      <c r="C886" s="23" t="s">
        <v>643</v>
      </c>
      <c r="D886" s="12" t="s">
        <v>30</v>
      </c>
      <c r="E886" s="12" t="s">
        <v>146</v>
      </c>
    </row>
    <row r="887" spans="1:5" hidden="1">
      <c r="A887" s="11">
        <v>849</v>
      </c>
      <c r="B887" s="11">
        <v>9721</v>
      </c>
      <c r="C887" s="23" t="s">
        <v>643</v>
      </c>
      <c r="D887" s="12" t="s">
        <v>30</v>
      </c>
      <c r="E887" s="12" t="s">
        <v>150</v>
      </c>
    </row>
    <row r="888" spans="1:5" hidden="1">
      <c r="A888" s="11">
        <v>849</v>
      </c>
      <c r="B888" s="11">
        <v>9722</v>
      </c>
      <c r="C888" s="23" t="s">
        <v>643</v>
      </c>
      <c r="D888" s="12" t="s">
        <v>30</v>
      </c>
      <c r="E888" s="12" t="s">
        <v>200</v>
      </c>
    </row>
    <row r="889" spans="1:5" hidden="1">
      <c r="A889" s="11">
        <v>849</v>
      </c>
      <c r="B889" s="11">
        <v>9723</v>
      </c>
      <c r="C889" s="23" t="s">
        <v>643</v>
      </c>
      <c r="D889" s="12" t="s">
        <v>30</v>
      </c>
      <c r="E889" s="12" t="s">
        <v>34</v>
      </c>
    </row>
    <row r="890" spans="1:5" hidden="1">
      <c r="A890" s="11">
        <v>849</v>
      </c>
      <c r="B890" s="11">
        <v>9724</v>
      </c>
      <c r="C890" s="23" t="s">
        <v>640</v>
      </c>
      <c r="D890" s="12" t="s">
        <v>24</v>
      </c>
      <c r="E890" s="12" t="s">
        <v>396</v>
      </c>
    </row>
    <row r="891" spans="1:5" hidden="1">
      <c r="A891" s="11">
        <v>849</v>
      </c>
      <c r="B891" s="11">
        <v>9725</v>
      </c>
      <c r="C891" s="23" t="s">
        <v>640</v>
      </c>
      <c r="D891" s="12" t="s">
        <v>24</v>
      </c>
      <c r="E891" s="12" t="s">
        <v>256</v>
      </c>
    </row>
    <row r="892" spans="1:5" hidden="1">
      <c r="A892" s="11">
        <v>852</v>
      </c>
      <c r="B892" s="11">
        <v>5050</v>
      </c>
      <c r="C892" s="23" t="s">
        <v>640</v>
      </c>
      <c r="D892" s="12" t="s">
        <v>24</v>
      </c>
      <c r="E892" s="12" t="s">
        <v>244</v>
      </c>
    </row>
    <row r="893" spans="1:5" hidden="1">
      <c r="A893" s="11">
        <v>858</v>
      </c>
      <c r="B893" s="11">
        <v>2875</v>
      </c>
      <c r="C893" s="23" t="s">
        <v>638</v>
      </c>
      <c r="D893" s="12" t="s">
        <v>30</v>
      </c>
      <c r="E893" s="12" t="s">
        <v>999</v>
      </c>
    </row>
    <row r="894" spans="1:5" hidden="1">
      <c r="A894" s="11">
        <v>858</v>
      </c>
      <c r="B894" s="11">
        <v>2876</v>
      </c>
      <c r="C894" s="23" t="s">
        <v>638</v>
      </c>
      <c r="D894" s="12" t="s">
        <v>30</v>
      </c>
      <c r="E894" s="12" t="s">
        <v>1000</v>
      </c>
    </row>
    <row r="895" spans="1:5" hidden="1">
      <c r="A895" s="11">
        <v>861</v>
      </c>
      <c r="B895" s="11">
        <v>5957</v>
      </c>
      <c r="C895" s="23" t="s">
        <v>643</v>
      </c>
      <c r="D895" s="12" t="s">
        <v>30</v>
      </c>
      <c r="E895" s="12" t="s">
        <v>135</v>
      </c>
    </row>
    <row r="896" spans="1:5" hidden="1">
      <c r="A896" s="11">
        <v>861</v>
      </c>
      <c r="B896" s="11">
        <v>5958</v>
      </c>
      <c r="C896" s="23" t="s">
        <v>643</v>
      </c>
      <c r="D896" s="12" t="s">
        <v>30</v>
      </c>
      <c r="E896" s="12" t="s">
        <v>136</v>
      </c>
    </row>
    <row r="897" spans="1:5" hidden="1">
      <c r="A897" s="11">
        <v>863</v>
      </c>
      <c r="B897" s="11">
        <v>942</v>
      </c>
      <c r="C897" s="23" t="e">
        <v>#N/A</v>
      </c>
      <c r="D897" s="12" t="s">
        <v>30</v>
      </c>
      <c r="E897" s="12" t="s">
        <v>1001</v>
      </c>
    </row>
    <row r="898" spans="1:5" hidden="1">
      <c r="A898" s="11">
        <v>863</v>
      </c>
      <c r="B898" s="11">
        <v>943</v>
      </c>
      <c r="C898" s="23" t="e">
        <v>#N/A</v>
      </c>
      <c r="D898" s="12" t="s">
        <v>30</v>
      </c>
      <c r="E898" s="12" t="s">
        <v>1002</v>
      </c>
    </row>
    <row r="899" spans="1:5" hidden="1">
      <c r="A899" s="11">
        <v>863</v>
      </c>
      <c r="B899" s="11">
        <v>990</v>
      </c>
      <c r="C899" s="23" t="e">
        <v>#N/A</v>
      </c>
      <c r="D899" s="12" t="s">
        <v>30</v>
      </c>
      <c r="E899" s="12" t="s">
        <v>1003</v>
      </c>
    </row>
    <row r="900" spans="1:5" hidden="1">
      <c r="A900" s="11">
        <v>863</v>
      </c>
      <c r="B900" s="11">
        <v>999</v>
      </c>
      <c r="C900" s="23" t="e">
        <v>#N/A</v>
      </c>
      <c r="D900" s="12" t="s">
        <v>30</v>
      </c>
      <c r="E900" s="12" t="s">
        <v>1004</v>
      </c>
    </row>
    <row r="901" spans="1:5" hidden="1">
      <c r="A901" s="11">
        <v>863</v>
      </c>
      <c r="B901" s="11">
        <v>3488</v>
      </c>
      <c r="C901" s="23" t="s">
        <v>638</v>
      </c>
      <c r="D901" s="12" t="s">
        <v>30</v>
      </c>
      <c r="E901" s="12" t="s">
        <v>1005</v>
      </c>
    </row>
    <row r="902" spans="1:5" hidden="1">
      <c r="A902" s="11">
        <v>864</v>
      </c>
      <c r="B902" s="11">
        <v>5377</v>
      </c>
      <c r="C902" s="23" t="s">
        <v>643</v>
      </c>
      <c r="D902" s="12" t="s">
        <v>30</v>
      </c>
      <c r="E902" s="12" t="s">
        <v>167</v>
      </c>
    </row>
    <row r="903" spans="1:5" hidden="1">
      <c r="A903" s="11">
        <v>864</v>
      </c>
      <c r="B903" s="11">
        <v>5795</v>
      </c>
      <c r="C903" s="23" t="s">
        <v>643</v>
      </c>
      <c r="D903" s="12" t="s">
        <v>30</v>
      </c>
      <c r="E903" s="12" t="s">
        <v>80</v>
      </c>
    </row>
    <row r="904" spans="1:5" hidden="1">
      <c r="A904" s="11">
        <v>865</v>
      </c>
      <c r="B904" s="11">
        <v>7595</v>
      </c>
      <c r="C904" s="23" t="s">
        <v>638</v>
      </c>
      <c r="D904" s="12" t="s">
        <v>30</v>
      </c>
      <c r="E904" s="12" t="s">
        <v>1006</v>
      </c>
    </row>
    <row r="905" spans="1:5" hidden="1">
      <c r="A905" s="11">
        <v>865</v>
      </c>
      <c r="B905" s="11">
        <v>7596</v>
      </c>
      <c r="C905" s="23" t="s">
        <v>638</v>
      </c>
      <c r="D905" s="12" t="s">
        <v>30</v>
      </c>
      <c r="E905" s="12" t="s">
        <v>1007</v>
      </c>
    </row>
    <row r="906" spans="1:5" hidden="1">
      <c r="A906" s="11">
        <v>866</v>
      </c>
      <c r="B906" s="11">
        <v>467</v>
      </c>
      <c r="C906" s="23" t="s">
        <v>643</v>
      </c>
      <c r="D906" s="12" t="s">
        <v>30</v>
      </c>
      <c r="E906" s="12" t="s">
        <v>180</v>
      </c>
    </row>
    <row r="907" spans="1:5" hidden="1">
      <c r="A907" s="11">
        <v>866</v>
      </c>
      <c r="B907" s="11">
        <v>6260</v>
      </c>
      <c r="C907" s="23" t="s">
        <v>643</v>
      </c>
      <c r="D907" s="12" t="s">
        <v>30</v>
      </c>
      <c r="E907" s="12" t="s">
        <v>35</v>
      </c>
    </row>
    <row r="908" spans="1:5" hidden="1">
      <c r="A908" s="11">
        <v>866</v>
      </c>
      <c r="B908" s="11">
        <v>8661</v>
      </c>
      <c r="C908" s="23" t="s">
        <v>638</v>
      </c>
      <c r="D908" s="12" t="s">
        <v>30</v>
      </c>
      <c r="E908" s="12" t="s">
        <v>278</v>
      </c>
    </row>
    <row r="909" spans="1:5" hidden="1">
      <c r="A909" s="11">
        <v>866</v>
      </c>
      <c r="B909" s="11">
        <v>8662</v>
      </c>
      <c r="C909" s="23" t="s">
        <v>640</v>
      </c>
      <c r="D909" s="12" t="s">
        <v>24</v>
      </c>
      <c r="E909" s="12" t="s">
        <v>131</v>
      </c>
    </row>
    <row r="910" spans="1:5" hidden="1">
      <c r="A910" s="11">
        <v>867</v>
      </c>
      <c r="B910" s="11">
        <v>4060</v>
      </c>
      <c r="C910" s="23" t="s">
        <v>638</v>
      </c>
      <c r="D910" s="12" t="s">
        <v>30</v>
      </c>
      <c r="E910" s="12" t="s">
        <v>1008</v>
      </c>
    </row>
    <row r="911" spans="1:5" hidden="1">
      <c r="A911" s="11">
        <v>867</v>
      </c>
      <c r="B911" s="11">
        <v>5043</v>
      </c>
      <c r="C911" s="23" t="s">
        <v>643</v>
      </c>
      <c r="D911" s="12" t="s">
        <v>24</v>
      </c>
      <c r="E911" s="12" t="s">
        <v>1009</v>
      </c>
    </row>
    <row r="912" spans="1:5" hidden="1">
      <c r="A912" s="11">
        <v>868</v>
      </c>
      <c r="B912" s="11">
        <v>6149</v>
      </c>
      <c r="C912" s="23" t="s">
        <v>643</v>
      </c>
      <c r="D912" s="12" t="s">
        <v>24</v>
      </c>
      <c r="E912" s="12" t="s">
        <v>576</v>
      </c>
    </row>
    <row r="913" spans="1:5" hidden="1">
      <c r="A913" s="11">
        <v>876</v>
      </c>
      <c r="B913" s="11">
        <v>9680</v>
      </c>
      <c r="C913" s="23" t="s">
        <v>643</v>
      </c>
      <c r="D913" s="12" t="s">
        <v>30</v>
      </c>
      <c r="E913" s="12" t="s">
        <v>339</v>
      </c>
    </row>
    <row r="914" spans="1:5" hidden="1">
      <c r="A914" s="11">
        <v>876</v>
      </c>
      <c r="B914" s="11">
        <v>9681</v>
      </c>
      <c r="C914" s="23" t="s">
        <v>643</v>
      </c>
      <c r="D914" s="12" t="s">
        <v>30</v>
      </c>
      <c r="E914" s="12" t="s">
        <v>193</v>
      </c>
    </row>
    <row r="915" spans="1:5" hidden="1">
      <c r="A915" s="11">
        <v>876</v>
      </c>
      <c r="B915" s="11">
        <v>9682</v>
      </c>
      <c r="C915" s="23" t="s">
        <v>640</v>
      </c>
      <c r="D915" s="12" t="s">
        <v>24</v>
      </c>
      <c r="E915" s="12" t="s">
        <v>332</v>
      </c>
    </row>
    <row r="916" spans="1:5" hidden="1">
      <c r="A916" s="11">
        <v>879</v>
      </c>
      <c r="B916" s="11">
        <v>4915</v>
      </c>
      <c r="C916" s="23" t="s">
        <v>638</v>
      </c>
      <c r="D916" s="12" t="s">
        <v>30</v>
      </c>
      <c r="E916" s="12" t="s">
        <v>1010</v>
      </c>
    </row>
    <row r="917" spans="1:5" hidden="1">
      <c r="A917" s="11">
        <v>879</v>
      </c>
      <c r="B917" s="11">
        <v>5045</v>
      </c>
      <c r="C917" s="23" t="s">
        <v>640</v>
      </c>
      <c r="D917" s="12" t="s">
        <v>24</v>
      </c>
      <c r="E917" s="12" t="s">
        <v>421</v>
      </c>
    </row>
    <row r="918" spans="1:5" hidden="1">
      <c r="A918" s="11">
        <v>881</v>
      </c>
      <c r="B918" s="11">
        <v>2477</v>
      </c>
      <c r="C918" s="23" t="s">
        <v>638</v>
      </c>
      <c r="D918" s="12" t="s">
        <v>30</v>
      </c>
      <c r="E918" s="12" t="s">
        <v>1011</v>
      </c>
    </row>
    <row r="919" spans="1:5" hidden="1">
      <c r="A919" s="11">
        <v>881</v>
      </c>
      <c r="B919" s="11">
        <v>2478</v>
      </c>
      <c r="C919" s="23" t="s">
        <v>638</v>
      </c>
      <c r="D919" s="12" t="s">
        <v>30</v>
      </c>
      <c r="E919" s="12" t="s">
        <v>585</v>
      </c>
    </row>
    <row r="920" spans="1:5" hidden="1">
      <c r="A920" s="11">
        <v>882</v>
      </c>
      <c r="B920" s="11">
        <v>3510</v>
      </c>
      <c r="C920" s="23" t="s">
        <v>643</v>
      </c>
      <c r="D920" s="12" t="s">
        <v>30</v>
      </c>
      <c r="E920" s="12" t="s">
        <v>222</v>
      </c>
    </row>
    <row r="921" spans="1:5" hidden="1">
      <c r="A921" s="11">
        <v>882</v>
      </c>
      <c r="B921" s="11">
        <v>5020</v>
      </c>
      <c r="C921" s="23" t="s">
        <v>640</v>
      </c>
      <c r="D921" s="12" t="s">
        <v>24</v>
      </c>
      <c r="E921" s="12" t="s">
        <v>224</v>
      </c>
    </row>
    <row r="922" spans="1:5" hidden="1">
      <c r="A922" s="11">
        <v>883</v>
      </c>
      <c r="B922" s="11">
        <v>4074</v>
      </c>
      <c r="C922" s="23" t="s">
        <v>638</v>
      </c>
      <c r="D922" s="12" t="s">
        <v>30</v>
      </c>
      <c r="E922" s="12" t="s">
        <v>1012</v>
      </c>
    </row>
    <row r="923" spans="1:5" hidden="1">
      <c r="A923" s="11">
        <v>884</v>
      </c>
      <c r="B923" s="11">
        <v>3962</v>
      </c>
      <c r="C923" s="23" t="s">
        <v>638</v>
      </c>
      <c r="D923" s="12" t="s">
        <v>30</v>
      </c>
      <c r="E923" s="12" t="s">
        <v>1013</v>
      </c>
    </row>
    <row r="924" spans="1:5" hidden="1">
      <c r="A924" s="11">
        <v>884</v>
      </c>
      <c r="B924" s="11">
        <v>7538</v>
      </c>
      <c r="C924" s="23" t="s">
        <v>643</v>
      </c>
      <c r="D924" s="12" t="s">
        <v>30</v>
      </c>
      <c r="E924" s="12" t="s">
        <v>440</v>
      </c>
    </row>
    <row r="925" spans="1:5" hidden="1">
      <c r="A925" s="11">
        <v>885</v>
      </c>
      <c r="B925" s="11">
        <v>8851</v>
      </c>
      <c r="C925" s="23" t="s">
        <v>638</v>
      </c>
      <c r="D925" s="12" t="s">
        <v>30</v>
      </c>
      <c r="E925" s="12" t="s">
        <v>1014</v>
      </c>
    </row>
    <row r="926" spans="1:5" hidden="1">
      <c r="A926" s="11">
        <v>888</v>
      </c>
      <c r="B926" s="11">
        <v>6818</v>
      </c>
      <c r="C926" s="23" t="s">
        <v>640</v>
      </c>
      <c r="D926" s="12" t="s">
        <v>24</v>
      </c>
      <c r="E926" s="12" t="s">
        <v>321</v>
      </c>
    </row>
    <row r="927" spans="1:5" hidden="1">
      <c r="A927" s="11">
        <v>890</v>
      </c>
      <c r="B927" s="11">
        <v>3897</v>
      </c>
      <c r="C927" s="23" t="s">
        <v>650</v>
      </c>
      <c r="D927" s="12" t="s">
        <v>30</v>
      </c>
      <c r="E927" s="12" t="s">
        <v>597</v>
      </c>
    </row>
    <row r="928" spans="1:5" hidden="1">
      <c r="A928" s="11">
        <v>890</v>
      </c>
      <c r="B928" s="11">
        <v>9584</v>
      </c>
      <c r="C928" s="23" t="s">
        <v>640</v>
      </c>
      <c r="D928" s="12" t="s">
        <v>24</v>
      </c>
      <c r="E928" s="12" t="s">
        <v>593</v>
      </c>
    </row>
    <row r="929" spans="1:5" hidden="1">
      <c r="A929" s="11">
        <v>892</v>
      </c>
      <c r="B929" s="11">
        <v>8920</v>
      </c>
      <c r="C929" s="23" t="s">
        <v>638</v>
      </c>
      <c r="D929" s="12" t="s">
        <v>30</v>
      </c>
      <c r="E929" s="12" t="s">
        <v>445</v>
      </c>
    </row>
    <row r="930" spans="1:5" hidden="1">
      <c r="A930" s="11">
        <v>892</v>
      </c>
      <c r="B930" s="11">
        <v>8921</v>
      </c>
      <c r="C930" s="23" t="s">
        <v>638</v>
      </c>
      <c r="D930" s="12" t="s">
        <v>30</v>
      </c>
      <c r="E930" s="12" t="s">
        <v>471</v>
      </c>
    </row>
    <row r="931" spans="1:5" hidden="1">
      <c r="A931" s="11">
        <v>894</v>
      </c>
      <c r="B931" s="11">
        <v>4232</v>
      </c>
      <c r="C931" s="23" t="s">
        <v>638</v>
      </c>
      <c r="D931" s="12" t="s">
        <v>30</v>
      </c>
      <c r="E931" s="12" t="s">
        <v>1015</v>
      </c>
    </row>
    <row r="932" spans="1:5" hidden="1">
      <c r="A932" s="11">
        <v>894</v>
      </c>
      <c r="B932" s="11">
        <v>4233</v>
      </c>
      <c r="C932" s="23" t="s">
        <v>638</v>
      </c>
      <c r="D932" s="12" t="s">
        <v>30</v>
      </c>
      <c r="E932" s="12" t="s">
        <v>1016</v>
      </c>
    </row>
    <row r="933" spans="1:5" hidden="1">
      <c r="A933" s="11">
        <v>894</v>
      </c>
      <c r="B933" s="11">
        <v>6466</v>
      </c>
      <c r="C933" s="23" t="s">
        <v>640</v>
      </c>
      <c r="D933" s="12" t="s">
        <v>24</v>
      </c>
      <c r="E933" s="12" t="s">
        <v>420</v>
      </c>
    </row>
    <row r="934" spans="1:5" hidden="1">
      <c r="A934" s="11">
        <v>906</v>
      </c>
      <c r="B934" s="11">
        <v>480</v>
      </c>
      <c r="C934" s="23" t="s">
        <v>638</v>
      </c>
      <c r="D934" s="12" t="s">
        <v>30</v>
      </c>
      <c r="E934" s="12" t="s">
        <v>1017</v>
      </c>
    </row>
    <row r="935" spans="1:5" hidden="1">
      <c r="A935" s="11">
        <v>906</v>
      </c>
      <c r="B935" s="11">
        <v>5721</v>
      </c>
      <c r="C935" s="23" t="s">
        <v>638</v>
      </c>
      <c r="D935" s="12" t="s">
        <v>30</v>
      </c>
      <c r="E935" s="12" t="s">
        <v>1018</v>
      </c>
    </row>
    <row r="936" spans="1:5" hidden="1">
      <c r="A936" s="11">
        <v>907</v>
      </c>
      <c r="B936" s="11">
        <v>4830</v>
      </c>
      <c r="C936" s="23" t="s">
        <v>640</v>
      </c>
      <c r="D936" s="12" t="s">
        <v>24</v>
      </c>
      <c r="E936" s="12" t="s">
        <v>110</v>
      </c>
    </row>
    <row r="937" spans="1:5" hidden="1">
      <c r="A937" s="11">
        <v>907</v>
      </c>
      <c r="B937" s="11">
        <v>5019</v>
      </c>
      <c r="C937" s="23" t="s">
        <v>640</v>
      </c>
      <c r="D937" s="12" t="s">
        <v>24</v>
      </c>
      <c r="E937" s="12" t="s">
        <v>111</v>
      </c>
    </row>
    <row r="938" spans="1:5" hidden="1">
      <c r="A938" s="11">
        <v>907</v>
      </c>
      <c r="B938" s="11">
        <v>5547</v>
      </c>
      <c r="C938" s="23" t="s">
        <v>643</v>
      </c>
      <c r="D938" s="12" t="s">
        <v>30</v>
      </c>
      <c r="E938" s="12" t="s">
        <v>177</v>
      </c>
    </row>
    <row r="939" spans="1:5" hidden="1">
      <c r="A939" s="11">
        <v>909</v>
      </c>
      <c r="B939" s="11">
        <v>6641</v>
      </c>
      <c r="C939" s="23" t="s">
        <v>643</v>
      </c>
      <c r="D939" s="12" t="s">
        <v>30</v>
      </c>
      <c r="E939" s="12" t="s">
        <v>239</v>
      </c>
    </row>
    <row r="940" spans="1:5" hidden="1">
      <c r="A940" s="11">
        <v>914</v>
      </c>
      <c r="B940" s="11">
        <v>5544</v>
      </c>
      <c r="C940" s="23" t="s">
        <v>643</v>
      </c>
      <c r="D940" s="12" t="s">
        <v>30</v>
      </c>
      <c r="E940" s="12" t="s">
        <v>102</v>
      </c>
    </row>
    <row r="941" spans="1:5" hidden="1">
      <c r="A941" s="11">
        <v>914</v>
      </c>
      <c r="B941" s="11">
        <v>9140</v>
      </c>
      <c r="C941" s="23" t="s">
        <v>638</v>
      </c>
      <c r="D941" s="12" t="s">
        <v>30</v>
      </c>
      <c r="E941" s="12" t="s">
        <v>511</v>
      </c>
    </row>
    <row r="942" spans="1:5" hidden="1">
      <c r="A942" s="11">
        <v>915</v>
      </c>
      <c r="B942" s="11">
        <v>8313</v>
      </c>
      <c r="C942" s="23" t="s">
        <v>640</v>
      </c>
      <c r="D942" s="12" t="s">
        <v>24</v>
      </c>
      <c r="E942" s="12" t="s">
        <v>27</v>
      </c>
    </row>
    <row r="943" spans="1:5" hidden="1">
      <c r="A943" s="11">
        <v>915</v>
      </c>
      <c r="B943" s="11">
        <v>8314</v>
      </c>
      <c r="C943" s="23" t="s">
        <v>640</v>
      </c>
      <c r="D943" s="12" t="s">
        <v>24</v>
      </c>
      <c r="E943" s="12" t="s">
        <v>56</v>
      </c>
    </row>
    <row r="944" spans="1:5" hidden="1">
      <c r="A944" s="11">
        <v>915</v>
      </c>
      <c r="B944" s="11">
        <v>8315</v>
      </c>
      <c r="C944" s="23" t="s">
        <v>638</v>
      </c>
      <c r="D944" s="12" t="s">
        <v>30</v>
      </c>
      <c r="E944" s="12" t="s">
        <v>1019</v>
      </c>
    </row>
    <row r="945" spans="1:5" hidden="1">
      <c r="A945" s="11">
        <v>915</v>
      </c>
      <c r="B945" s="11">
        <v>8316</v>
      </c>
      <c r="C945" s="23" t="s">
        <v>638</v>
      </c>
      <c r="D945" s="12" t="s">
        <v>30</v>
      </c>
      <c r="E945" s="12" t="s">
        <v>1020</v>
      </c>
    </row>
    <row r="946" spans="1:5" hidden="1">
      <c r="A946" s="11">
        <v>916</v>
      </c>
      <c r="B946" s="11">
        <v>5052</v>
      </c>
      <c r="C946" s="23" t="s">
        <v>640</v>
      </c>
      <c r="D946" s="12" t="s">
        <v>24</v>
      </c>
      <c r="E946" s="12" t="s">
        <v>309</v>
      </c>
    </row>
    <row r="947" spans="1:5" hidden="1">
      <c r="A947" s="11">
        <v>916</v>
      </c>
      <c r="B947" s="11">
        <v>5345</v>
      </c>
      <c r="C947" s="23" t="s">
        <v>650</v>
      </c>
      <c r="D947" s="12" t="s">
        <v>30</v>
      </c>
      <c r="E947" s="12" t="s">
        <v>505</v>
      </c>
    </row>
    <row r="948" spans="1:5" hidden="1">
      <c r="A948" s="11">
        <v>916</v>
      </c>
      <c r="B948" s="11">
        <v>5743</v>
      </c>
      <c r="C948" s="23" t="s">
        <v>643</v>
      </c>
      <c r="D948" s="12" t="s">
        <v>30</v>
      </c>
      <c r="E948" s="12" t="s">
        <v>132</v>
      </c>
    </row>
    <row r="949" spans="1:5" hidden="1">
      <c r="A949" s="11">
        <v>927</v>
      </c>
      <c r="B949" s="11">
        <v>5143</v>
      </c>
      <c r="C949" s="23" t="s">
        <v>640</v>
      </c>
      <c r="D949" s="12" t="s">
        <v>24</v>
      </c>
      <c r="E949" s="12" t="s">
        <v>542</v>
      </c>
    </row>
    <row r="950" spans="1:5" hidden="1">
      <c r="A950" s="11">
        <v>927</v>
      </c>
      <c r="B950" s="11">
        <v>5749</v>
      </c>
      <c r="C950" s="23" t="s">
        <v>643</v>
      </c>
      <c r="D950" s="12" t="s">
        <v>30</v>
      </c>
      <c r="E950" s="12" t="s">
        <v>38</v>
      </c>
    </row>
    <row r="951" spans="1:5" hidden="1">
      <c r="A951" s="11">
        <v>927</v>
      </c>
      <c r="B951" s="11">
        <v>5750</v>
      </c>
      <c r="C951" s="23" t="s">
        <v>643</v>
      </c>
      <c r="D951" s="12" t="s">
        <v>30</v>
      </c>
      <c r="E951" s="12" t="s">
        <v>39</v>
      </c>
    </row>
    <row r="952" spans="1:5" hidden="1">
      <c r="A952" s="11">
        <v>927</v>
      </c>
      <c r="B952" s="11">
        <v>5751</v>
      </c>
      <c r="C952" s="23" t="s">
        <v>643</v>
      </c>
      <c r="D952" s="12" t="s">
        <v>30</v>
      </c>
      <c r="E952" s="12" t="s">
        <v>210</v>
      </c>
    </row>
    <row r="953" spans="1:5" hidden="1">
      <c r="A953" s="11">
        <v>937</v>
      </c>
      <c r="B953" s="11">
        <v>5115</v>
      </c>
      <c r="C953" s="23" t="s">
        <v>640</v>
      </c>
      <c r="D953" s="12" t="s">
        <v>24</v>
      </c>
      <c r="E953" s="12" t="s">
        <v>164</v>
      </c>
    </row>
    <row r="954" spans="1:5" hidden="1">
      <c r="A954" s="11">
        <v>941</v>
      </c>
      <c r="B954" s="11">
        <v>5220</v>
      </c>
      <c r="C954" s="23" t="s">
        <v>640</v>
      </c>
      <c r="D954" s="12" t="s">
        <v>24</v>
      </c>
      <c r="E954" s="12" t="s">
        <v>265</v>
      </c>
    </row>
    <row r="955" spans="1:5" hidden="1">
      <c r="A955" s="11">
        <v>943</v>
      </c>
      <c r="B955" s="11">
        <v>3427</v>
      </c>
      <c r="C955" s="23" t="s">
        <v>638</v>
      </c>
      <c r="D955" s="12" t="s">
        <v>30</v>
      </c>
      <c r="E955" s="12" t="s">
        <v>1021</v>
      </c>
    </row>
    <row r="956" spans="1:5" hidden="1">
      <c r="A956" s="26">
        <v>943</v>
      </c>
      <c r="B956" s="26">
        <v>3428</v>
      </c>
      <c r="C956" s="27" t="s">
        <v>638</v>
      </c>
      <c r="D956" s="28" t="s">
        <v>30</v>
      </c>
      <c r="E956" s="28" t="s">
        <v>1022</v>
      </c>
    </row>
    <row r="957" spans="1:5" hidden="1">
      <c r="A957" s="26">
        <v>943</v>
      </c>
      <c r="B957" s="26">
        <v>7348</v>
      </c>
      <c r="C957" s="27" t="s">
        <v>638</v>
      </c>
      <c r="D957" s="28" t="s">
        <v>30</v>
      </c>
      <c r="E957" s="28" t="s">
        <v>379</v>
      </c>
    </row>
    <row r="958" spans="1:5" hidden="1">
      <c r="A958" s="26">
        <v>943</v>
      </c>
      <c r="B958" s="26">
        <v>7442</v>
      </c>
      <c r="C958" s="27" t="s">
        <v>638</v>
      </c>
      <c r="D958" s="28" t="s">
        <v>30</v>
      </c>
      <c r="E958" s="28" t="s">
        <v>1023</v>
      </c>
    </row>
    <row r="959" spans="1:5" hidden="1">
      <c r="A959" s="26">
        <v>944</v>
      </c>
      <c r="B959" s="26">
        <v>2228</v>
      </c>
      <c r="C959" s="27" t="s">
        <v>640</v>
      </c>
      <c r="D959" s="28" t="s">
        <v>24</v>
      </c>
      <c r="E959" s="28" t="s">
        <v>544</v>
      </c>
    </row>
    <row r="960" spans="1:5" hidden="1">
      <c r="A960" s="26">
        <v>944</v>
      </c>
      <c r="B960" s="26">
        <v>8353</v>
      </c>
      <c r="C960" s="27" t="s">
        <v>640</v>
      </c>
      <c r="D960" s="28" t="s">
        <v>24</v>
      </c>
      <c r="E960" s="28" t="s">
        <v>582</v>
      </c>
    </row>
    <row r="961" spans="1:5" hidden="1">
      <c r="A961" s="26">
        <v>944</v>
      </c>
      <c r="B961" s="26">
        <v>8354</v>
      </c>
      <c r="C961" s="27" t="s">
        <v>643</v>
      </c>
      <c r="D961" s="28" t="s">
        <v>24</v>
      </c>
      <c r="E961" s="28" t="s">
        <v>524</v>
      </c>
    </row>
    <row r="962" spans="1:5" hidden="1">
      <c r="A962" s="26">
        <v>944</v>
      </c>
      <c r="B962" s="26">
        <v>8355</v>
      </c>
      <c r="C962" s="27" t="s">
        <v>650</v>
      </c>
      <c r="D962" s="28" t="s">
        <v>30</v>
      </c>
      <c r="E962" s="28" t="s">
        <v>283</v>
      </c>
    </row>
    <row r="963" spans="1:5" hidden="1">
      <c r="A963" s="26">
        <v>944</v>
      </c>
      <c r="B963" s="26">
        <v>8356</v>
      </c>
      <c r="C963" s="27" t="s">
        <v>650</v>
      </c>
      <c r="D963" s="28" t="s">
        <v>30</v>
      </c>
      <c r="E963" s="28" t="s">
        <v>293</v>
      </c>
    </row>
    <row r="964" spans="1:5" hidden="1">
      <c r="A964" s="26">
        <v>944</v>
      </c>
      <c r="B964" s="26">
        <v>8357</v>
      </c>
      <c r="C964" s="27" t="s">
        <v>650</v>
      </c>
      <c r="D964" s="28" t="s">
        <v>30</v>
      </c>
      <c r="E964" s="28" t="s">
        <v>47</v>
      </c>
    </row>
    <row r="965" spans="1:5" hidden="1">
      <c r="A965" s="26">
        <v>944</v>
      </c>
      <c r="B965" s="26">
        <v>8358</v>
      </c>
      <c r="C965" s="27" t="s">
        <v>650</v>
      </c>
      <c r="D965" s="28" t="s">
        <v>30</v>
      </c>
      <c r="E965" s="28" t="s">
        <v>1024</v>
      </c>
    </row>
    <row r="966" spans="1:5" hidden="1">
      <c r="A966" s="26">
        <v>946</v>
      </c>
      <c r="B966" s="26">
        <v>4497</v>
      </c>
      <c r="C966" s="27" t="s">
        <v>638</v>
      </c>
      <c r="D966" s="28" t="s">
        <v>30</v>
      </c>
      <c r="E966" s="28" t="s">
        <v>1025</v>
      </c>
    </row>
    <row r="967" spans="1:5" hidden="1">
      <c r="A967" s="26">
        <v>946</v>
      </c>
      <c r="B967" s="26">
        <v>5225</v>
      </c>
      <c r="C967" s="27" t="s">
        <v>640</v>
      </c>
      <c r="D967" s="28" t="s">
        <v>24</v>
      </c>
      <c r="E967" s="28" t="s">
        <v>459</v>
      </c>
    </row>
    <row r="968" spans="1:5" hidden="1">
      <c r="A968" s="26">
        <v>951</v>
      </c>
      <c r="B968" s="26">
        <v>7776</v>
      </c>
      <c r="C968" s="27" t="s">
        <v>638</v>
      </c>
      <c r="D968" s="28" t="s">
        <v>30</v>
      </c>
      <c r="E968" s="28" t="s">
        <v>81</v>
      </c>
    </row>
    <row r="969" spans="1:5" hidden="1">
      <c r="A969" s="26">
        <v>951</v>
      </c>
      <c r="B969" s="26">
        <v>7777</v>
      </c>
      <c r="C969" s="27" t="s">
        <v>638</v>
      </c>
      <c r="D969" s="28" t="s">
        <v>30</v>
      </c>
      <c r="E969" s="28" t="s">
        <v>1026</v>
      </c>
    </row>
    <row r="970" spans="1:5" hidden="1">
      <c r="A970" s="26">
        <v>951</v>
      </c>
      <c r="B970" s="26">
        <v>7810</v>
      </c>
      <c r="C970" s="27" t="s">
        <v>638</v>
      </c>
      <c r="D970" s="28" t="s">
        <v>30</v>
      </c>
      <c r="E970" s="28" t="s">
        <v>1027</v>
      </c>
    </row>
    <row r="971" spans="1:5" hidden="1">
      <c r="A971" s="26">
        <v>951</v>
      </c>
      <c r="B971" s="26">
        <v>7816</v>
      </c>
      <c r="C971" s="27" t="s">
        <v>638</v>
      </c>
      <c r="D971" s="28" t="s">
        <v>30</v>
      </c>
      <c r="E971" s="28" t="s">
        <v>70</v>
      </c>
    </row>
    <row r="972" spans="1:5" hidden="1">
      <c r="A972" s="26">
        <v>951</v>
      </c>
      <c r="B972" s="26">
        <v>7849</v>
      </c>
      <c r="C972" s="27" t="s">
        <v>638</v>
      </c>
      <c r="D972" s="28" t="s">
        <v>30</v>
      </c>
      <c r="E972" s="28" t="s">
        <v>214</v>
      </c>
    </row>
    <row r="973" spans="1:5" hidden="1">
      <c r="A973" s="26">
        <v>957</v>
      </c>
      <c r="B973" s="26">
        <v>9512</v>
      </c>
      <c r="C973" s="27" t="s">
        <v>640</v>
      </c>
      <c r="D973" s="28" t="s">
        <v>24</v>
      </c>
      <c r="E973" s="28" t="s">
        <v>297</v>
      </c>
    </row>
    <row r="974" spans="1:5" hidden="1">
      <c r="A974" s="26">
        <v>957</v>
      </c>
      <c r="B974" s="26">
        <v>9513</v>
      </c>
      <c r="C974" s="27" t="s">
        <v>640</v>
      </c>
      <c r="D974" s="28" t="s">
        <v>24</v>
      </c>
      <c r="E974" s="28" t="s">
        <v>358</v>
      </c>
    </row>
    <row r="975" spans="1:5" hidden="1">
      <c r="A975" s="26">
        <v>959</v>
      </c>
      <c r="B975" s="26">
        <v>4498</v>
      </c>
      <c r="C975" s="27" t="s">
        <v>643</v>
      </c>
      <c r="D975" s="28" t="s">
        <v>30</v>
      </c>
      <c r="E975" s="28" t="s">
        <v>392</v>
      </c>
    </row>
    <row r="976" spans="1:5" hidden="1">
      <c r="A976" s="26">
        <v>959</v>
      </c>
      <c r="B976" s="26">
        <v>5577</v>
      </c>
      <c r="C976" s="27" t="s">
        <v>638</v>
      </c>
      <c r="D976" s="28" t="s">
        <v>30</v>
      </c>
      <c r="E976" s="28" t="s">
        <v>1028</v>
      </c>
    </row>
    <row r="977" spans="1:5" hidden="1">
      <c r="A977" s="26">
        <v>959</v>
      </c>
      <c r="B977" s="26">
        <v>9265</v>
      </c>
      <c r="C977" s="27" t="s">
        <v>643</v>
      </c>
      <c r="D977" s="28" t="s">
        <v>24</v>
      </c>
      <c r="E977" s="28" t="s">
        <v>397</v>
      </c>
    </row>
    <row r="978" spans="1:5" hidden="1">
      <c r="A978" s="26">
        <v>966</v>
      </c>
      <c r="B978" s="26">
        <v>4116</v>
      </c>
      <c r="C978" s="27" t="s">
        <v>638</v>
      </c>
      <c r="D978" s="28" t="s">
        <v>30</v>
      </c>
      <c r="E978" s="28" t="s">
        <v>220</v>
      </c>
    </row>
    <row r="979" spans="1:5" hidden="1">
      <c r="A979" s="26">
        <v>966</v>
      </c>
      <c r="B979" s="26">
        <v>6290</v>
      </c>
      <c r="C979" s="27" t="s">
        <v>638</v>
      </c>
      <c r="D979" s="28" t="s">
        <v>30</v>
      </c>
      <c r="E979" s="28" t="s">
        <v>499</v>
      </c>
    </row>
    <row r="980" spans="1:5" hidden="1">
      <c r="A980" s="26">
        <v>966</v>
      </c>
      <c r="B980" s="26">
        <v>9941</v>
      </c>
      <c r="C980" s="27" t="s">
        <v>643</v>
      </c>
      <c r="D980" s="28" t="s">
        <v>30</v>
      </c>
      <c r="E980" s="28" t="s">
        <v>240</v>
      </c>
    </row>
    <row r="981" spans="1:5" hidden="1">
      <c r="A981" s="26">
        <v>966</v>
      </c>
      <c r="B981" s="26">
        <v>9942</v>
      </c>
      <c r="C981" s="27" t="s">
        <v>643</v>
      </c>
      <c r="D981" s="28" t="s">
        <v>30</v>
      </c>
      <c r="E981" s="28" t="s">
        <v>411</v>
      </c>
    </row>
    <row r="982" spans="1:5" hidden="1">
      <c r="A982" s="26">
        <v>966</v>
      </c>
      <c r="B982" s="26">
        <v>9943</v>
      </c>
      <c r="C982" s="27" t="s">
        <v>643</v>
      </c>
      <c r="D982" s="28" t="s">
        <v>30</v>
      </c>
      <c r="E982" s="28" t="s">
        <v>40</v>
      </c>
    </row>
    <row r="983" spans="1:5" hidden="1">
      <c r="A983" s="26">
        <v>972</v>
      </c>
      <c r="B983" s="26">
        <v>3913</v>
      </c>
      <c r="C983" s="27" t="s">
        <v>638</v>
      </c>
      <c r="D983" s="28" t="s">
        <v>30</v>
      </c>
      <c r="E983" s="28" t="s">
        <v>213</v>
      </c>
    </row>
    <row r="984" spans="1:5" hidden="1">
      <c r="A984" s="26">
        <v>992</v>
      </c>
      <c r="B984" s="26">
        <v>3492</v>
      </c>
      <c r="C984" s="27" t="s">
        <v>638</v>
      </c>
      <c r="D984" s="28" t="s">
        <v>30</v>
      </c>
      <c r="E984" s="28" t="s">
        <v>1029</v>
      </c>
    </row>
    <row r="985" spans="1:5" hidden="1">
      <c r="A985" s="26">
        <v>993</v>
      </c>
      <c r="B985" s="26">
        <v>3469</v>
      </c>
      <c r="C985" s="27" t="s">
        <v>638</v>
      </c>
      <c r="D985" s="28" t="s">
        <v>30</v>
      </c>
      <c r="E985" s="28" t="s">
        <v>533</v>
      </c>
    </row>
    <row r="986" spans="1:5" hidden="1">
      <c r="A986" s="26">
        <v>993</v>
      </c>
      <c r="B986" s="26">
        <v>3470</v>
      </c>
      <c r="C986" s="27" t="s">
        <v>643</v>
      </c>
      <c r="D986" s="28" t="s">
        <v>30</v>
      </c>
      <c r="E986" s="28" t="s">
        <v>181</v>
      </c>
    </row>
    <row r="987" spans="1:5" hidden="1">
      <c r="A987" s="26">
        <v>863</v>
      </c>
      <c r="B987" s="26">
        <v>2210</v>
      </c>
      <c r="C987" s="27"/>
      <c r="D987" s="28" t="s">
        <v>30</v>
      </c>
      <c r="E987" s="28" t="s">
        <v>1030</v>
      </c>
    </row>
    <row r="988" spans="1:5" hidden="1">
      <c r="A988" s="26">
        <v>863</v>
      </c>
      <c r="B988" s="26">
        <v>2221</v>
      </c>
      <c r="C988" s="27"/>
      <c r="D988" s="28" t="s">
        <v>30</v>
      </c>
      <c r="E988" s="28" t="s">
        <v>1031</v>
      </c>
    </row>
    <row r="989" spans="1:5" hidden="1">
      <c r="A989" s="26">
        <v>868</v>
      </c>
      <c r="B989" s="26">
        <v>3255</v>
      </c>
      <c r="C989" s="27"/>
      <c r="D989" s="28" t="s">
        <v>30</v>
      </c>
      <c r="E989" s="28" t="s">
        <v>1032</v>
      </c>
    </row>
    <row r="990" spans="1:5" hidden="1">
      <c r="A990" s="26">
        <v>868</v>
      </c>
      <c r="B990" s="26">
        <v>5482</v>
      </c>
      <c r="C990" s="27"/>
      <c r="D990" s="28" t="s">
        <v>30</v>
      </c>
      <c r="E990" s="28" t="s">
        <v>1033</v>
      </c>
    </row>
    <row r="991" spans="1:5" hidden="1">
      <c r="A991" s="26">
        <v>868</v>
      </c>
      <c r="B991" s="26">
        <v>5591</v>
      </c>
      <c r="C991" s="27"/>
      <c r="D991" s="28" t="s">
        <v>30</v>
      </c>
      <c r="E991" s="28" t="s">
        <v>1034</v>
      </c>
    </row>
    <row r="992" spans="1:5" hidden="1">
      <c r="A992" s="26">
        <v>868</v>
      </c>
      <c r="B992" s="26">
        <v>5935</v>
      </c>
      <c r="C992" s="27"/>
      <c r="D992" s="28" t="s">
        <v>30</v>
      </c>
      <c r="E992" s="28" t="s">
        <v>1035</v>
      </c>
    </row>
    <row r="993" spans="1:5" hidden="1">
      <c r="A993" s="26">
        <v>868</v>
      </c>
      <c r="B993" s="26">
        <v>5936</v>
      </c>
      <c r="C993" s="27"/>
      <c r="D993" s="28" t="s">
        <v>30</v>
      </c>
      <c r="E993" s="28" t="s">
        <v>1036</v>
      </c>
    </row>
    <row r="994" spans="1:5" hidden="1">
      <c r="A994" s="26">
        <v>214</v>
      </c>
      <c r="B994" s="26">
        <v>3861</v>
      </c>
      <c r="C994" s="27"/>
      <c r="D994" s="28" t="s">
        <v>30</v>
      </c>
      <c r="E994" s="28" t="s">
        <v>1037</v>
      </c>
    </row>
    <row r="995" spans="1:5" hidden="1">
      <c r="A995" s="26">
        <v>214</v>
      </c>
      <c r="B995" s="26">
        <v>1469</v>
      </c>
      <c r="C995" s="27"/>
      <c r="D995" s="28" t="s">
        <v>24</v>
      </c>
      <c r="E995" s="28" t="s">
        <v>1038</v>
      </c>
    </row>
    <row r="996" spans="1:5" hidden="1">
      <c r="A996" s="26">
        <v>848</v>
      </c>
      <c r="B996" s="26">
        <v>4738</v>
      </c>
      <c r="C996" s="27"/>
      <c r="D996" s="28" t="s">
        <v>30</v>
      </c>
      <c r="E996" s="28" t="s">
        <v>1039</v>
      </c>
    </row>
    <row r="997" spans="1:5" hidden="1">
      <c r="A997" s="26">
        <v>185</v>
      </c>
      <c r="B997" s="26">
        <v>2208</v>
      </c>
      <c r="C997" s="27"/>
      <c r="D997" s="28" t="s">
        <v>24</v>
      </c>
      <c r="E997" s="28" t="s">
        <v>1040</v>
      </c>
    </row>
    <row r="998" spans="1:5" hidden="1">
      <c r="A998" s="26">
        <v>214</v>
      </c>
      <c r="B998" s="26">
        <v>1468</v>
      </c>
      <c r="C998" s="27"/>
      <c r="D998" s="28" t="s">
        <v>30</v>
      </c>
      <c r="E998" s="28" t="s">
        <v>1041</v>
      </c>
    </row>
  </sheetData>
  <autoFilter ref="A1:D998" xr:uid="{CCE624AE-33BF-45E1-845E-95B4B412D29D}">
    <filterColumn colId="1">
      <filters>
        <filter val="5741"/>
      </filters>
    </filterColumn>
  </autoFilter>
  <conditionalFormatting sqref="B943:B955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AEB46D783D8A43A9A0ABF7BFF4DFAE" ma:contentTypeVersion="17" ma:contentTypeDescription="Crear nuevo documento." ma:contentTypeScope="" ma:versionID="05799839aa18d275e1fba861edbe2aed">
  <xsd:schema xmlns:xsd="http://www.w3.org/2001/XMLSchema" xmlns:xs="http://www.w3.org/2001/XMLSchema" xmlns:p="http://schemas.microsoft.com/office/2006/metadata/properties" xmlns:ns1="http://schemas.microsoft.com/sharepoint/v3" xmlns:ns3="cd9228ee-71a0-4fc2-a120-25923a45344d" xmlns:ns4="f25c57e6-0613-47bf-943f-de928d06c6fb" targetNamespace="http://schemas.microsoft.com/office/2006/metadata/properties" ma:root="true" ma:fieldsID="28ac5057f4112742d4e062f1dde5ebda" ns1:_="" ns3:_="" ns4:_="">
    <xsd:import namespace="http://schemas.microsoft.com/sharepoint/v3"/>
    <xsd:import namespace="cd9228ee-71a0-4fc2-a120-25923a45344d"/>
    <xsd:import namespace="f25c57e6-0613-47bf-943f-de928d06c6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228ee-71a0-4fc2-a120-25923a453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c57e6-0613-47bf-943f-de928d06c6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cd9228ee-71a0-4fc2-a120-25923a45344d" xsi:nil="true"/>
  </documentManagement>
</p:properties>
</file>

<file path=customXml/itemProps1.xml><?xml version="1.0" encoding="utf-8"?>
<ds:datastoreItem xmlns:ds="http://schemas.openxmlformats.org/officeDocument/2006/customXml" ds:itemID="{9197CCDA-CCBE-40BF-9020-D7368184271B}"/>
</file>

<file path=customXml/itemProps2.xml><?xml version="1.0" encoding="utf-8"?>
<ds:datastoreItem xmlns:ds="http://schemas.openxmlformats.org/officeDocument/2006/customXml" ds:itemID="{983714C1-EA43-470A-8841-16927C6C532D}"/>
</file>

<file path=customXml/itemProps3.xml><?xml version="1.0" encoding="utf-8"?>
<ds:datastoreItem xmlns:ds="http://schemas.openxmlformats.org/officeDocument/2006/customXml" ds:itemID="{C467E24A-34CA-4D87-90BB-EEE642571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Bancolombia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 Sanchez Garro</dc:creator>
  <cp:keywords/>
  <dc:description/>
  <cp:lastModifiedBy>Jesus David Fabra Tapias</cp:lastModifiedBy>
  <cp:revision/>
  <dcterms:created xsi:type="dcterms:W3CDTF">2024-02-21T11:45:28Z</dcterms:created>
  <dcterms:modified xsi:type="dcterms:W3CDTF">2025-11-23T18:42:29Z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Removed">
    <vt:lpwstr>False</vt:lpwstr>
  </property>
  <property fmtid="{D5CDD505-2E9C-101B-9397-08002B2CF9AE}" pid="3" name="MSIP_Label_2bdef0a0-0ef1-4d2b-a0a4-a81484bf7e0e_ActionId">
    <vt:lpwstr>28ab8f12-20f2-4ed0-befb-4a0eff0a1e8a</vt:lpwstr>
  </property>
  <property fmtid="{D5CDD505-2E9C-101B-9397-08002B2CF9AE}" pid="4" name="MSIP_Label_2bdef0a0-0ef1-4d2b-a0a4-a81484bf7e0e_Name">
    <vt:lpwstr>Confidencial histórico</vt:lpwstr>
  </property>
  <property fmtid="{D5CDD505-2E9C-101B-9397-08002B2CF9AE}" pid="5" name="MSIP_Label_2bdef0a0-0ef1-4d2b-a0a4-a81484bf7e0e_SetDate">
    <vt:lpwstr>2025-08-07T02:28:12Z</vt:lpwstr>
  </property>
  <property fmtid="{D5CDD505-2E9C-101B-9397-08002B2CF9AE}" pid="6" name="MSIP_Label_2bdef0a0-0ef1-4d2b-a0a4-a81484bf7e0e_SiteId">
    <vt:lpwstr>b5e244bd-c492-495b-8b10-61bfd453e423</vt:lpwstr>
  </property>
  <property fmtid="{D5CDD505-2E9C-101B-9397-08002B2CF9AE}" pid="7" name="MSIP_Label_2bdef0a0-0ef1-4d2b-a0a4-a81484bf7e0e_Enabled">
    <vt:lpwstr>True</vt:lpwstr>
  </property>
  <property fmtid="{D5CDD505-2E9C-101B-9397-08002B2CF9AE}" pid="8" name="ContentTypeId">
    <vt:lpwstr>0x010100B0AEB46D783D8A43A9A0ABF7BFF4DFAE</vt:lpwstr>
  </property>
  <property fmtid="{D5CDD505-2E9C-101B-9397-08002B2CF9AE}" pid="9" name="MSIP_Label_2bdef0a0-0ef1-4d2b-a0a4-a81484bf7e0e_Extended_MSFT_Method">
    <vt:lpwstr>Standard</vt:lpwstr>
  </property>
  <property fmtid="{D5CDD505-2E9C-101B-9397-08002B2CF9AE}" pid="10" name="Sensitivity">
    <vt:lpwstr>Confidencial histórico</vt:lpwstr>
  </property>
</Properties>
</file>